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1" defaultThemeVersion="153222"/>
  <mc:AlternateContent xmlns:mc="http://schemas.openxmlformats.org/markup-compatibility/2006">
    <mc:Choice Requires="x15">
      <x15ac:absPath xmlns:x15ac="http://schemas.microsoft.com/office/spreadsheetml/2010/11/ac" url="C:\amazur\lims\Lib_Normalization\"/>
    </mc:Choice>
  </mc:AlternateContent>
  <bookViews>
    <workbookView xWindow="0" yWindow="0" windowWidth="16385" windowHeight="8190" tabRatio="993"/>
  </bookViews>
  <sheets>
    <sheet name="LibraryDataEntry" sheetId="1" r:id="rId1"/>
    <sheet name="TrackIT_Lines" sheetId="2" state="hidden" r:id="rId2"/>
    <sheet name="Cluster" sheetId="3" r:id="rId3"/>
    <sheet name="Lots_reagents" sheetId="4" r:id="rId4"/>
    <sheet name="PRINT" sheetId="5" r:id="rId5"/>
    <sheet name="Calculation" sheetId="6" r:id="rId6"/>
    <sheet name="ListAndConversion" sheetId="7" r:id="rId7"/>
    <sheet name="RunName_Diluent" sheetId="8" r:id="rId8"/>
    <sheet name="RunName_IntermediateDil" sheetId="9" r:id="rId9"/>
    <sheet name="RunName_MainDilution" sheetId="10" r:id="rId10"/>
    <sheet name="RunName_Pooling" sheetId="11" r:id="rId11"/>
    <sheet name="RunName_Denaturation" sheetId="12" r:id="rId12"/>
    <sheet name="RunName_TransOnStrip" sheetId="13" r:id="rId13"/>
    <sheet name="RunName_ExAmpPrep" sheetId="14" r:id="rId14"/>
    <sheet name="Change History" sheetId="15" r:id="rId15"/>
  </sheets>
  <definedNames>
    <definedName name="_xlnm._FilterDatabase" localSheetId="7">RunName_Diluent!$A$1:$C$1</definedName>
    <definedName name="_xlnm._FilterDatabase" localSheetId="1">TrackIT_Lines!$A$1:$AX$1</definedName>
    <definedName name="Calculation_Tab">Calculation!$A$10:$AS$393</definedName>
    <definedName name="Cluster">Cluster!$A$29:$AA$412</definedName>
    <definedName name="Coordinate">ListAndConversion!$X$4:$Y$99</definedName>
    <definedName name="Direct_Denaturation">Calculation!$AL$10:$AL$393</definedName>
    <definedName name="Flow_Cell">Calculation!$H$10:$H$394</definedName>
    <definedName name="Flow_Cell_Lane">Calculation!$I$10:$I$394</definedName>
    <definedName name="Identifier">Calculation!$C$10:$C$393</definedName>
    <definedName name="Identifier_Cluster">Cluster!$C$29:$C$412</definedName>
    <definedName name="Main_Dil">Calculation!$U$10:$U$394</definedName>
    <definedName name="Plate_Barcode">Calculation!$E$10:$E$394</definedName>
    <definedName name="_xlnm.Print_Area" localSheetId="2">Cluster!$A$1:$Y$60</definedName>
    <definedName name="_xlnm.Print_Area" localSheetId="4">PRINT!$A$1:$L$25</definedName>
    <definedName name="QC">Calculation!$L$9:$R$9</definedName>
    <definedName name="Sample_Intermediate_Dil">Calculation!$X$10:$X$393</definedName>
    <definedName name="ToPool">Calculation!$AS$10:$AS$393</definedName>
    <definedName name="Trans_1">ListAndConversion!$CJ$4:$CJ$387</definedName>
    <definedName name="Trans_12">ListAndConversion!$CJ$4:$CK$387</definedName>
    <definedName name="Trans_123">ListAndConversion!$CJ$4:$CL$387</definedName>
    <definedName name="Trans_1234">ListAndConversion!$CJ$4:$CM$387</definedName>
    <definedName name="Trans_12345">ListAndConversion!$CJ$4:$CN$387</definedName>
    <definedName name="Trans_123456">ListAndConversion!$CJ$4:$CO$387</definedName>
    <definedName name="Trans_1234567">ListAndConversion!$CJ$4:$CP$387</definedName>
    <definedName name="Trans_2">ListAndConversion!$CK$4:$CK$387</definedName>
    <definedName name="Trans_3">ListAndConversion!$CL$4:$CL$387</definedName>
    <definedName name="Trans_4">ListAndConversion!$CM$4:$CM$387</definedName>
    <definedName name="Trans_5">ListAndConversion!$CN$4:$CN$387</definedName>
    <definedName name="Trans_6">ListAndConversion!$CO$4:$CO$387</definedName>
    <definedName name="Trans_7">ListAndConversion!$CP$4:$CP$387</definedName>
    <definedName name="Trans_8">ListAndConversion!$CQ$4:$CQ$387</definedName>
    <definedName name="Trans_All">ListAndConversion!$CF$4:$CS$387</definedName>
    <definedName name="UniqueFCLane">ListAndConversion!$F$3:$M$387</definedName>
  </definedNames>
  <calcPr calcId="15251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L394" i="6" l="1"/>
  <c r="AK394" i="6"/>
  <c r="AB394" i="6"/>
  <c r="Z394" i="6"/>
  <c r="Y394" i="6"/>
  <c r="X394" i="6"/>
  <c r="AA394" i="6" s="1"/>
  <c r="V394" i="6"/>
  <c r="U394" i="6"/>
  <c r="T394" i="6"/>
  <c r="AC393" i="6"/>
  <c r="W393" i="6"/>
  <c r="I393" i="6"/>
  <c r="H393" i="6"/>
  <c r="AC392" i="6"/>
  <c r="W392" i="6"/>
  <c r="I392" i="6"/>
  <c r="H392" i="6"/>
  <c r="AC391" i="6"/>
  <c r="W391" i="6"/>
  <c r="I391" i="6"/>
  <c r="H391" i="6"/>
  <c r="AC390" i="6"/>
  <c r="W390" i="6"/>
  <c r="I390" i="6"/>
  <c r="H390" i="6"/>
  <c r="AC389" i="6"/>
  <c r="W389" i="6"/>
  <c r="I389" i="6"/>
  <c r="H389" i="6"/>
  <c r="AC388" i="6"/>
  <c r="W388" i="6"/>
  <c r="I388" i="6"/>
  <c r="H388" i="6"/>
  <c r="AC387" i="6"/>
  <c r="W387" i="6"/>
  <c r="I387" i="6"/>
  <c r="H387" i="6"/>
  <c r="AC386" i="6"/>
  <c r="W386" i="6"/>
  <c r="I386" i="6"/>
  <c r="H386" i="6"/>
  <c r="AC385" i="6"/>
  <c r="W385" i="6"/>
  <c r="I385" i="6"/>
  <c r="H385" i="6"/>
  <c r="AC384" i="6"/>
  <c r="W384" i="6"/>
  <c r="I384" i="6"/>
  <c r="H384" i="6"/>
  <c r="AC383" i="6"/>
  <c r="W383" i="6"/>
  <c r="I383" i="6"/>
  <c r="H383" i="6"/>
  <c r="AC382" i="6"/>
  <c r="W382" i="6"/>
  <c r="I382" i="6"/>
  <c r="H382" i="6"/>
  <c r="AC381" i="6"/>
  <c r="W381" i="6"/>
  <c r="I381" i="6"/>
  <c r="H381" i="6"/>
  <c r="AC380" i="6"/>
  <c r="W380" i="6"/>
  <c r="I380" i="6"/>
  <c r="H380" i="6"/>
  <c r="AC379" i="6"/>
  <c r="W379" i="6"/>
  <c r="I379" i="6"/>
  <c r="H379" i="6"/>
  <c r="AC378" i="6"/>
  <c r="W378" i="6"/>
  <c r="I378" i="6"/>
  <c r="H378" i="6"/>
  <c r="AC377" i="6"/>
  <c r="W377" i="6"/>
  <c r="I377" i="6"/>
  <c r="H377" i="6"/>
  <c r="AC376" i="6"/>
  <c r="W376" i="6"/>
  <c r="I376" i="6"/>
  <c r="H376" i="6"/>
  <c r="AC375" i="6"/>
  <c r="W375" i="6"/>
  <c r="I375" i="6"/>
  <c r="H375" i="6"/>
  <c r="AC374" i="6"/>
  <c r="W374" i="6"/>
  <c r="I374" i="6"/>
  <c r="H374" i="6"/>
  <c r="AC373" i="6"/>
  <c r="W373" i="6"/>
  <c r="I373" i="6"/>
  <c r="H373" i="6"/>
  <c r="AC372" i="6"/>
  <c r="W372" i="6"/>
  <c r="I372" i="6"/>
  <c r="H372" i="6"/>
  <c r="AC371" i="6"/>
  <c r="W371" i="6"/>
  <c r="I371" i="6"/>
  <c r="H371" i="6"/>
  <c r="AC370" i="6"/>
  <c r="W370" i="6"/>
  <c r="I370" i="6"/>
  <c r="H370" i="6"/>
  <c r="AC369" i="6"/>
  <c r="W369" i="6"/>
  <c r="I369" i="6"/>
  <c r="H369" i="6"/>
  <c r="AC368" i="6"/>
  <c r="W368" i="6"/>
  <c r="I368" i="6"/>
  <c r="H368" i="6"/>
  <c r="AC367" i="6"/>
  <c r="W367" i="6"/>
  <c r="I367" i="6"/>
  <c r="H367" i="6"/>
  <c r="AC366" i="6"/>
  <c r="W366" i="6"/>
  <c r="I366" i="6"/>
  <c r="H366" i="6"/>
  <c r="AC365" i="6"/>
  <c r="W365" i="6"/>
  <c r="I365" i="6"/>
  <c r="H365" i="6"/>
  <c r="AC364" i="6"/>
  <c r="W364" i="6"/>
  <c r="I364" i="6"/>
  <c r="H364" i="6"/>
  <c r="AC363" i="6"/>
  <c r="W363" i="6"/>
  <c r="I363" i="6"/>
  <c r="H363" i="6"/>
  <c r="AC362" i="6"/>
  <c r="W362" i="6"/>
  <c r="I362" i="6"/>
  <c r="H362" i="6"/>
  <c r="AC361" i="6"/>
  <c r="W361" i="6"/>
  <c r="I361" i="6"/>
  <c r="H361" i="6"/>
  <c r="AC360" i="6"/>
  <c r="W360" i="6"/>
  <c r="I360" i="6"/>
  <c r="H360" i="6"/>
  <c r="AC359" i="6"/>
  <c r="W359" i="6"/>
  <c r="I359" i="6"/>
  <c r="H359" i="6"/>
  <c r="AC358" i="6"/>
  <c r="W358" i="6"/>
  <c r="I358" i="6"/>
  <c r="H358" i="6"/>
  <c r="AC357" i="6"/>
  <c r="W357" i="6"/>
  <c r="I357" i="6"/>
  <c r="H357" i="6"/>
  <c r="AC356" i="6"/>
  <c r="W356" i="6"/>
  <c r="I356" i="6"/>
  <c r="H356" i="6"/>
  <c r="AC355" i="6"/>
  <c r="W355" i="6"/>
  <c r="I355" i="6"/>
  <c r="H355" i="6"/>
  <c r="AC354" i="6"/>
  <c r="W354" i="6"/>
  <c r="I354" i="6"/>
  <c r="H354" i="6"/>
  <c r="AC353" i="6"/>
  <c r="W353" i="6"/>
  <c r="I353" i="6"/>
  <c r="H353" i="6"/>
  <c r="AC352" i="6"/>
  <c r="W352" i="6"/>
  <c r="I352" i="6"/>
  <c r="H352" i="6"/>
  <c r="AC351" i="6"/>
  <c r="W351" i="6"/>
  <c r="I351" i="6"/>
  <c r="H351" i="6"/>
  <c r="AC350" i="6"/>
  <c r="W350" i="6"/>
  <c r="I350" i="6"/>
  <c r="H350" i="6"/>
  <c r="AC349" i="6"/>
  <c r="W349" i="6"/>
  <c r="I349" i="6"/>
  <c r="H349" i="6"/>
  <c r="AC348" i="6"/>
  <c r="W348" i="6"/>
  <c r="I348" i="6"/>
  <c r="H348" i="6"/>
  <c r="AC347" i="6"/>
  <c r="W347" i="6"/>
  <c r="I347" i="6"/>
  <c r="H347" i="6"/>
  <c r="AC346" i="6"/>
  <c r="W346" i="6"/>
  <c r="I346" i="6"/>
  <c r="H346" i="6"/>
  <c r="AC345" i="6"/>
  <c r="W345" i="6"/>
  <c r="I345" i="6"/>
  <c r="H345" i="6"/>
  <c r="AC344" i="6"/>
  <c r="W344" i="6"/>
  <c r="I344" i="6"/>
  <c r="H344" i="6"/>
  <c r="AC343" i="6"/>
  <c r="W343" i="6"/>
  <c r="I343" i="6"/>
  <c r="H343" i="6"/>
  <c r="AC342" i="6"/>
  <c r="W342" i="6"/>
  <c r="I342" i="6"/>
  <c r="H342" i="6"/>
  <c r="AC341" i="6"/>
  <c r="W341" i="6"/>
  <c r="I341" i="6"/>
  <c r="H341" i="6"/>
  <c r="AC340" i="6"/>
  <c r="W340" i="6"/>
  <c r="I340" i="6"/>
  <c r="H340" i="6"/>
  <c r="AC339" i="6"/>
  <c r="W339" i="6"/>
  <c r="I339" i="6"/>
  <c r="H339" i="6"/>
  <c r="AC338" i="6"/>
  <c r="W338" i="6"/>
  <c r="I338" i="6"/>
  <c r="H338" i="6"/>
  <c r="AC337" i="6"/>
  <c r="W337" i="6"/>
  <c r="I337" i="6"/>
  <c r="H337" i="6"/>
  <c r="AC336" i="6"/>
  <c r="W336" i="6"/>
  <c r="I336" i="6"/>
  <c r="H336" i="6"/>
  <c r="AC335" i="6"/>
  <c r="W335" i="6"/>
  <c r="I335" i="6"/>
  <c r="H335" i="6"/>
  <c r="AC334" i="6"/>
  <c r="W334" i="6"/>
  <c r="I334" i="6"/>
  <c r="H334" i="6"/>
  <c r="AC333" i="6"/>
  <c r="W333" i="6"/>
  <c r="I333" i="6"/>
  <c r="H333" i="6"/>
  <c r="AC332" i="6"/>
  <c r="W332" i="6"/>
  <c r="I332" i="6"/>
  <c r="H332" i="6"/>
  <c r="AC331" i="6"/>
  <c r="W331" i="6"/>
  <c r="I331" i="6"/>
  <c r="H331" i="6"/>
  <c r="AC330" i="6"/>
  <c r="W330" i="6"/>
  <c r="I330" i="6"/>
  <c r="H330" i="6"/>
  <c r="AC329" i="6"/>
  <c r="W329" i="6"/>
  <c r="I329" i="6"/>
  <c r="H329" i="6"/>
  <c r="AC328" i="6"/>
  <c r="W328" i="6"/>
  <c r="I328" i="6"/>
  <c r="H328" i="6"/>
  <c r="AC327" i="6"/>
  <c r="W327" i="6"/>
  <c r="I327" i="6"/>
  <c r="H327" i="6"/>
  <c r="AC326" i="6"/>
  <c r="W326" i="6"/>
  <c r="I326" i="6"/>
  <c r="H326" i="6"/>
  <c r="AC325" i="6"/>
  <c r="W325" i="6"/>
  <c r="I325" i="6"/>
  <c r="H325" i="6"/>
  <c r="AC324" i="6"/>
  <c r="W324" i="6"/>
  <c r="I324" i="6"/>
  <c r="H324" i="6"/>
  <c r="AC323" i="6"/>
  <c r="W323" i="6"/>
  <c r="I323" i="6"/>
  <c r="H323" i="6"/>
  <c r="AC322" i="6"/>
  <c r="W322" i="6"/>
  <c r="I322" i="6"/>
  <c r="H322" i="6"/>
  <c r="AC321" i="6"/>
  <c r="W321" i="6"/>
  <c r="I321" i="6"/>
  <c r="H321" i="6"/>
  <c r="AC320" i="6"/>
  <c r="W320" i="6"/>
  <c r="I320" i="6"/>
  <c r="H320" i="6"/>
  <c r="AC319" i="6"/>
  <c r="W319" i="6"/>
  <c r="I319" i="6"/>
  <c r="H319" i="6"/>
  <c r="AC318" i="6"/>
  <c r="W318" i="6"/>
  <c r="I318" i="6"/>
  <c r="H318" i="6"/>
  <c r="AC317" i="6"/>
  <c r="W317" i="6"/>
  <c r="I317" i="6"/>
  <c r="H317" i="6"/>
  <c r="AC316" i="6"/>
  <c r="W316" i="6"/>
  <c r="I316" i="6"/>
  <c r="H316" i="6"/>
  <c r="AC315" i="6"/>
  <c r="W315" i="6"/>
  <c r="I315" i="6"/>
  <c r="H315" i="6"/>
  <c r="AC314" i="6"/>
  <c r="W314" i="6"/>
  <c r="I314" i="6"/>
  <c r="H314" i="6"/>
  <c r="AC313" i="6"/>
  <c r="W313" i="6"/>
  <c r="I313" i="6"/>
  <c r="H313" i="6"/>
  <c r="AC312" i="6"/>
  <c r="W312" i="6"/>
  <c r="I312" i="6"/>
  <c r="H312" i="6"/>
  <c r="AC311" i="6"/>
  <c r="W311" i="6"/>
  <c r="I311" i="6"/>
  <c r="H311" i="6"/>
  <c r="AC310" i="6"/>
  <c r="W310" i="6"/>
  <c r="I310" i="6"/>
  <c r="H310" i="6"/>
  <c r="AC309" i="6"/>
  <c r="W309" i="6"/>
  <c r="I309" i="6"/>
  <c r="H309" i="6"/>
  <c r="AC308" i="6"/>
  <c r="W308" i="6"/>
  <c r="I308" i="6"/>
  <c r="H308" i="6"/>
  <c r="AC307" i="6"/>
  <c r="W307" i="6"/>
  <c r="I307" i="6"/>
  <c r="H307" i="6"/>
  <c r="AC306" i="6"/>
  <c r="W306" i="6"/>
  <c r="I306" i="6"/>
  <c r="H306" i="6"/>
  <c r="AC305" i="6"/>
  <c r="W305" i="6"/>
  <c r="I305" i="6"/>
  <c r="H305" i="6"/>
  <c r="AC304" i="6"/>
  <c r="W304" i="6"/>
  <c r="I304" i="6"/>
  <c r="H304" i="6"/>
  <c r="AC303" i="6"/>
  <c r="W303" i="6"/>
  <c r="I303" i="6"/>
  <c r="H303" i="6"/>
  <c r="AC302" i="6"/>
  <c r="W302" i="6"/>
  <c r="I302" i="6"/>
  <c r="H302" i="6"/>
  <c r="AC301" i="6"/>
  <c r="W301" i="6"/>
  <c r="I301" i="6"/>
  <c r="H301" i="6"/>
  <c r="AC300" i="6"/>
  <c r="W300" i="6"/>
  <c r="I300" i="6"/>
  <c r="H300" i="6"/>
  <c r="AC299" i="6"/>
  <c r="W299" i="6"/>
  <c r="I299" i="6"/>
  <c r="H299" i="6"/>
  <c r="AC298" i="6"/>
  <c r="W298" i="6"/>
  <c r="I298" i="6"/>
  <c r="H298" i="6"/>
  <c r="AC297" i="6"/>
  <c r="W297" i="6"/>
  <c r="I297" i="6"/>
  <c r="H297" i="6"/>
  <c r="AC296" i="6"/>
  <c r="W296" i="6"/>
  <c r="I296" i="6"/>
  <c r="H296" i="6"/>
  <c r="AC295" i="6"/>
  <c r="W295" i="6"/>
  <c r="I295" i="6"/>
  <c r="H295" i="6"/>
  <c r="AC294" i="6"/>
  <c r="W294" i="6"/>
  <c r="I294" i="6"/>
  <c r="H294" i="6"/>
  <c r="AC293" i="6"/>
  <c r="W293" i="6"/>
  <c r="I293" i="6"/>
  <c r="H293" i="6"/>
  <c r="AC292" i="6"/>
  <c r="W292" i="6"/>
  <c r="I292" i="6"/>
  <c r="H292" i="6"/>
  <c r="AC291" i="6"/>
  <c r="W291" i="6"/>
  <c r="I291" i="6"/>
  <c r="H291" i="6"/>
  <c r="AC290" i="6"/>
  <c r="W290" i="6"/>
  <c r="I290" i="6"/>
  <c r="H290" i="6"/>
  <c r="AC289" i="6"/>
  <c r="W289" i="6"/>
  <c r="I289" i="6"/>
  <c r="H289" i="6"/>
  <c r="AC288" i="6"/>
  <c r="W288" i="6"/>
  <c r="I288" i="6"/>
  <c r="H288" i="6"/>
  <c r="AC287" i="6"/>
  <c r="W287" i="6"/>
  <c r="I287" i="6"/>
  <c r="H287" i="6"/>
  <c r="AC286" i="6"/>
  <c r="W286" i="6"/>
  <c r="I286" i="6"/>
  <c r="H286" i="6"/>
  <c r="AC285" i="6"/>
  <c r="W285" i="6"/>
  <c r="I285" i="6"/>
  <c r="H285" i="6"/>
  <c r="AC284" i="6"/>
  <c r="W284" i="6"/>
  <c r="I284" i="6"/>
  <c r="H284" i="6"/>
  <c r="AC283" i="6"/>
  <c r="W283" i="6"/>
  <c r="I283" i="6"/>
  <c r="H283" i="6"/>
  <c r="AC282" i="6"/>
  <c r="W282" i="6"/>
  <c r="I282" i="6"/>
  <c r="H282" i="6"/>
  <c r="AC281" i="6"/>
  <c r="W281" i="6"/>
  <c r="I281" i="6"/>
  <c r="H281" i="6"/>
  <c r="AC280" i="6"/>
  <c r="W280" i="6"/>
  <c r="I280" i="6"/>
  <c r="H280" i="6"/>
  <c r="AC279" i="6"/>
  <c r="W279" i="6"/>
  <c r="I279" i="6"/>
  <c r="H279" i="6"/>
  <c r="AC278" i="6"/>
  <c r="W278" i="6"/>
  <c r="I278" i="6"/>
  <c r="H278" i="6"/>
  <c r="AC277" i="6"/>
  <c r="W277" i="6"/>
  <c r="I277" i="6"/>
  <c r="H277" i="6"/>
  <c r="AC276" i="6"/>
  <c r="W276" i="6"/>
  <c r="I276" i="6"/>
  <c r="H276" i="6"/>
  <c r="AC275" i="6"/>
  <c r="W275" i="6"/>
  <c r="I275" i="6"/>
  <c r="H275" i="6"/>
  <c r="AC274" i="6"/>
  <c r="W274" i="6"/>
  <c r="I274" i="6"/>
  <c r="H274" i="6"/>
  <c r="AC273" i="6"/>
  <c r="W273" i="6"/>
  <c r="I273" i="6"/>
  <c r="H273" i="6"/>
  <c r="AC272" i="6"/>
  <c r="W272" i="6"/>
  <c r="I272" i="6"/>
  <c r="H272" i="6"/>
  <c r="AC271" i="6"/>
  <c r="W271" i="6"/>
  <c r="I271" i="6"/>
  <c r="H271" i="6"/>
  <c r="AC270" i="6"/>
  <c r="W270" i="6"/>
  <c r="I270" i="6"/>
  <c r="H270" i="6"/>
  <c r="AC269" i="6"/>
  <c r="W269" i="6"/>
  <c r="I269" i="6"/>
  <c r="H269" i="6"/>
  <c r="AC268" i="6"/>
  <c r="W268" i="6"/>
  <c r="I268" i="6"/>
  <c r="H268" i="6"/>
  <c r="AC267" i="6"/>
  <c r="W267" i="6"/>
  <c r="I267" i="6"/>
  <c r="H267" i="6"/>
  <c r="AC266" i="6"/>
  <c r="W266" i="6"/>
  <c r="I266" i="6"/>
  <c r="H266" i="6"/>
  <c r="AC265" i="6"/>
  <c r="W265" i="6"/>
  <c r="I265" i="6"/>
  <c r="H265" i="6"/>
  <c r="AC264" i="6"/>
  <c r="W264" i="6"/>
  <c r="I264" i="6"/>
  <c r="H264" i="6"/>
  <c r="AC263" i="6"/>
  <c r="W263" i="6"/>
  <c r="I263" i="6"/>
  <c r="H263" i="6"/>
  <c r="AC262" i="6"/>
  <c r="W262" i="6"/>
  <c r="I262" i="6"/>
  <c r="H262" i="6"/>
  <c r="AC261" i="6"/>
  <c r="W261" i="6"/>
  <c r="I261" i="6"/>
  <c r="H261" i="6"/>
  <c r="AC260" i="6"/>
  <c r="W260" i="6"/>
  <c r="I260" i="6"/>
  <c r="H260" i="6"/>
  <c r="AC259" i="6"/>
  <c r="W259" i="6"/>
  <c r="I259" i="6"/>
  <c r="H259" i="6"/>
  <c r="AC258" i="6"/>
  <c r="W258" i="6"/>
  <c r="I258" i="6"/>
  <c r="H258" i="6"/>
  <c r="AC257" i="6"/>
  <c r="W257" i="6"/>
  <c r="I257" i="6"/>
  <c r="H257" i="6"/>
  <c r="AC256" i="6"/>
  <c r="W256" i="6"/>
  <c r="I256" i="6"/>
  <c r="H256" i="6"/>
  <c r="AC255" i="6"/>
  <c r="W255" i="6"/>
  <c r="I255" i="6"/>
  <c r="H255" i="6"/>
  <c r="AC254" i="6"/>
  <c r="W254" i="6"/>
  <c r="I254" i="6"/>
  <c r="H254" i="6"/>
  <c r="AC253" i="6"/>
  <c r="W253" i="6"/>
  <c r="I253" i="6"/>
  <c r="H253" i="6"/>
  <c r="AC252" i="6"/>
  <c r="W252" i="6"/>
  <c r="I252" i="6"/>
  <c r="H252" i="6"/>
  <c r="AC251" i="6"/>
  <c r="W251" i="6"/>
  <c r="I251" i="6"/>
  <c r="H251" i="6"/>
  <c r="AC250" i="6"/>
  <c r="W250" i="6"/>
  <c r="I250" i="6"/>
  <c r="H250" i="6"/>
  <c r="AC249" i="6"/>
  <c r="W249" i="6"/>
  <c r="I249" i="6"/>
  <c r="H249" i="6"/>
  <c r="AC248" i="6"/>
  <c r="W248" i="6"/>
  <c r="I248" i="6"/>
  <c r="H248" i="6"/>
  <c r="AC247" i="6"/>
  <c r="W247" i="6"/>
  <c r="I247" i="6"/>
  <c r="H247" i="6"/>
  <c r="AC246" i="6"/>
  <c r="W246" i="6"/>
  <c r="I246" i="6"/>
  <c r="H246" i="6"/>
  <c r="AC245" i="6"/>
  <c r="W245" i="6"/>
  <c r="I245" i="6"/>
  <c r="H245" i="6"/>
  <c r="AC244" i="6"/>
  <c r="W244" i="6"/>
  <c r="I244" i="6"/>
  <c r="H244" i="6"/>
  <c r="AC243" i="6"/>
  <c r="W243" i="6"/>
  <c r="I243" i="6"/>
  <c r="H243" i="6"/>
  <c r="AC242" i="6"/>
  <c r="W242" i="6"/>
  <c r="I242" i="6"/>
  <c r="H242" i="6"/>
  <c r="AC241" i="6"/>
  <c r="W241" i="6"/>
  <c r="I241" i="6"/>
  <c r="H241" i="6"/>
  <c r="AC240" i="6"/>
  <c r="W240" i="6"/>
  <c r="I240" i="6"/>
  <c r="H240" i="6"/>
  <c r="AC239" i="6"/>
  <c r="W239" i="6"/>
  <c r="I239" i="6"/>
  <c r="H239" i="6"/>
  <c r="AC238" i="6"/>
  <c r="W238" i="6"/>
  <c r="I238" i="6"/>
  <c r="H238" i="6"/>
  <c r="AC237" i="6"/>
  <c r="W237" i="6"/>
  <c r="I237" i="6"/>
  <c r="H237" i="6"/>
  <c r="AC236" i="6"/>
  <c r="W236" i="6"/>
  <c r="I236" i="6"/>
  <c r="H236" i="6"/>
  <c r="AC235" i="6"/>
  <c r="W235" i="6"/>
  <c r="I235" i="6"/>
  <c r="H235" i="6"/>
  <c r="AC234" i="6"/>
  <c r="W234" i="6"/>
  <c r="I234" i="6"/>
  <c r="H234" i="6"/>
  <c r="AC233" i="6"/>
  <c r="W233" i="6"/>
  <c r="I233" i="6"/>
  <c r="H233" i="6"/>
  <c r="AC232" i="6"/>
  <c r="W232" i="6"/>
  <c r="I232" i="6"/>
  <c r="H232" i="6"/>
  <c r="AC231" i="6"/>
  <c r="W231" i="6"/>
  <c r="I231" i="6"/>
  <c r="H231" i="6"/>
  <c r="AC230" i="6"/>
  <c r="W230" i="6"/>
  <c r="I230" i="6"/>
  <c r="H230" i="6"/>
  <c r="AC229" i="6"/>
  <c r="W229" i="6"/>
  <c r="I229" i="6"/>
  <c r="H229" i="6"/>
  <c r="AC228" i="6"/>
  <c r="W228" i="6"/>
  <c r="I228" i="6"/>
  <c r="H228" i="6"/>
  <c r="AC227" i="6"/>
  <c r="W227" i="6"/>
  <c r="I227" i="6"/>
  <c r="H227" i="6"/>
  <c r="AC226" i="6"/>
  <c r="W226" i="6"/>
  <c r="I226" i="6"/>
  <c r="H226" i="6"/>
  <c r="AC225" i="6"/>
  <c r="W225" i="6"/>
  <c r="I225" i="6"/>
  <c r="H225" i="6"/>
  <c r="AC224" i="6"/>
  <c r="W224" i="6"/>
  <c r="I224" i="6"/>
  <c r="H224" i="6"/>
  <c r="AC223" i="6"/>
  <c r="W223" i="6"/>
  <c r="I223" i="6"/>
  <c r="H223" i="6"/>
  <c r="AC222" i="6"/>
  <c r="W222" i="6"/>
  <c r="I222" i="6"/>
  <c r="H222" i="6"/>
  <c r="AC221" i="6"/>
  <c r="W221" i="6"/>
  <c r="I221" i="6"/>
  <c r="H221" i="6"/>
  <c r="AC220" i="6"/>
  <c r="W220" i="6"/>
  <c r="I220" i="6"/>
  <c r="H220" i="6"/>
  <c r="AC219" i="6"/>
  <c r="W219" i="6"/>
  <c r="I219" i="6"/>
  <c r="H219" i="6"/>
  <c r="AC218" i="6"/>
  <c r="W218" i="6"/>
  <c r="I218" i="6"/>
  <c r="H218" i="6"/>
  <c r="AC217" i="6"/>
  <c r="W217" i="6"/>
  <c r="I217" i="6"/>
  <c r="H217" i="6"/>
  <c r="AC216" i="6"/>
  <c r="W216" i="6"/>
  <c r="I216" i="6"/>
  <c r="H216" i="6"/>
  <c r="AC215" i="6"/>
  <c r="W215" i="6"/>
  <c r="I215" i="6"/>
  <c r="H215" i="6"/>
  <c r="AC214" i="6"/>
  <c r="W214" i="6"/>
  <c r="I214" i="6"/>
  <c r="H214" i="6"/>
  <c r="AC213" i="6"/>
  <c r="W213" i="6"/>
  <c r="I213" i="6"/>
  <c r="H213" i="6"/>
  <c r="AC212" i="6"/>
  <c r="W212" i="6"/>
  <c r="I212" i="6"/>
  <c r="H212" i="6"/>
  <c r="AC211" i="6"/>
  <c r="W211" i="6"/>
  <c r="I211" i="6"/>
  <c r="H211" i="6"/>
  <c r="AC210" i="6"/>
  <c r="W210" i="6"/>
  <c r="I210" i="6"/>
  <c r="H210" i="6"/>
  <c r="AC209" i="6"/>
  <c r="W209" i="6"/>
  <c r="I209" i="6"/>
  <c r="H209" i="6"/>
  <c r="AC208" i="6"/>
  <c r="W208" i="6"/>
  <c r="I208" i="6"/>
  <c r="H208" i="6"/>
  <c r="AC207" i="6"/>
  <c r="W207" i="6"/>
  <c r="I207" i="6"/>
  <c r="H207" i="6"/>
  <c r="AC206" i="6"/>
  <c r="W206" i="6"/>
  <c r="I206" i="6"/>
  <c r="H206" i="6"/>
  <c r="AC205" i="6"/>
  <c r="W205" i="6"/>
  <c r="I205" i="6"/>
  <c r="H205" i="6"/>
  <c r="AC204" i="6"/>
  <c r="W204" i="6"/>
  <c r="I204" i="6"/>
  <c r="H204" i="6"/>
  <c r="AC203" i="6"/>
  <c r="W203" i="6"/>
  <c r="I203" i="6"/>
  <c r="H203" i="6"/>
  <c r="AC202" i="6"/>
  <c r="W202" i="6"/>
  <c r="I202" i="6"/>
  <c r="H202" i="6"/>
  <c r="AC201" i="6"/>
  <c r="W201" i="6"/>
  <c r="I201" i="6"/>
  <c r="H201" i="6"/>
  <c r="AC200" i="6"/>
  <c r="W200" i="6"/>
  <c r="I200" i="6"/>
  <c r="H200" i="6"/>
  <c r="AC199" i="6"/>
  <c r="W199" i="6"/>
  <c r="I199" i="6"/>
  <c r="H199" i="6"/>
  <c r="AC198" i="6"/>
  <c r="W198" i="6"/>
  <c r="I198" i="6"/>
  <c r="H198" i="6"/>
  <c r="AC197" i="6"/>
  <c r="W197" i="6"/>
  <c r="I197" i="6"/>
  <c r="H197" i="6"/>
  <c r="AC196" i="6"/>
  <c r="W196" i="6"/>
  <c r="I196" i="6"/>
  <c r="H196" i="6"/>
  <c r="AC195" i="6"/>
  <c r="W195" i="6"/>
  <c r="I195" i="6"/>
  <c r="H195" i="6"/>
  <c r="AC194" i="6"/>
  <c r="W194" i="6"/>
  <c r="I194" i="6"/>
  <c r="H194" i="6"/>
  <c r="AC193" i="6"/>
  <c r="W193" i="6"/>
  <c r="I193" i="6"/>
  <c r="H193" i="6"/>
  <c r="AC192" i="6"/>
  <c r="W192" i="6"/>
  <c r="I192" i="6"/>
  <c r="H192" i="6"/>
  <c r="AC191" i="6"/>
  <c r="W191" i="6"/>
  <c r="I191" i="6"/>
  <c r="H191" i="6"/>
  <c r="AC190" i="6"/>
  <c r="W190" i="6"/>
  <c r="I190" i="6"/>
  <c r="H190" i="6"/>
  <c r="AC189" i="6"/>
  <c r="W189" i="6"/>
  <c r="I189" i="6"/>
  <c r="H189" i="6"/>
  <c r="AC188" i="6"/>
  <c r="W188" i="6"/>
  <c r="I188" i="6"/>
  <c r="H188" i="6"/>
  <c r="AC187" i="6"/>
  <c r="W187" i="6"/>
  <c r="I187" i="6"/>
  <c r="H187" i="6"/>
  <c r="AC186" i="6"/>
  <c r="W186" i="6"/>
  <c r="I186" i="6"/>
  <c r="H186" i="6"/>
  <c r="AC185" i="6"/>
  <c r="W185" i="6"/>
  <c r="I185" i="6"/>
  <c r="H185" i="6"/>
  <c r="AC184" i="6"/>
  <c r="W184" i="6"/>
  <c r="I184" i="6"/>
  <c r="H184" i="6"/>
  <c r="AC183" i="6"/>
  <c r="W183" i="6"/>
  <c r="I183" i="6"/>
  <c r="H183" i="6"/>
  <c r="AC182" i="6"/>
  <c r="W182" i="6"/>
  <c r="I182" i="6"/>
  <c r="H182" i="6"/>
  <c r="AC181" i="6"/>
  <c r="W181" i="6"/>
  <c r="I181" i="6"/>
  <c r="H181" i="6"/>
  <c r="AC180" i="6"/>
  <c r="W180" i="6"/>
  <c r="I180" i="6"/>
  <c r="H180" i="6"/>
  <c r="AC179" i="6"/>
  <c r="W179" i="6"/>
  <c r="I179" i="6"/>
  <c r="H179" i="6"/>
  <c r="AC178" i="6"/>
  <c r="W178" i="6"/>
  <c r="I178" i="6"/>
  <c r="H178" i="6"/>
  <c r="AC177" i="6"/>
  <c r="W177" i="6"/>
  <c r="I177" i="6"/>
  <c r="H177" i="6"/>
  <c r="AC176" i="6"/>
  <c r="W176" i="6"/>
  <c r="I176" i="6"/>
  <c r="H176" i="6"/>
  <c r="AC175" i="6"/>
  <c r="W175" i="6"/>
  <c r="I175" i="6"/>
  <c r="H175" i="6"/>
  <c r="AC174" i="6"/>
  <c r="W174" i="6"/>
  <c r="I174" i="6"/>
  <c r="H174" i="6"/>
  <c r="AC173" i="6"/>
  <c r="W173" i="6"/>
  <c r="I173" i="6"/>
  <c r="H173" i="6"/>
  <c r="AC172" i="6"/>
  <c r="W172" i="6"/>
  <c r="I172" i="6"/>
  <c r="H172" i="6"/>
  <c r="AC171" i="6"/>
  <c r="W171" i="6"/>
  <c r="I171" i="6"/>
  <c r="H171" i="6"/>
  <c r="AC170" i="6"/>
  <c r="W170" i="6"/>
  <c r="I170" i="6"/>
  <c r="H170" i="6"/>
  <c r="AC169" i="6"/>
  <c r="W169" i="6"/>
  <c r="I169" i="6"/>
  <c r="H169" i="6"/>
  <c r="AC168" i="6"/>
  <c r="W168" i="6"/>
  <c r="I168" i="6"/>
  <c r="H168" i="6"/>
  <c r="AC167" i="6"/>
  <c r="W167" i="6"/>
  <c r="I167" i="6"/>
  <c r="H167" i="6"/>
  <c r="AC166" i="6"/>
  <c r="W166" i="6"/>
  <c r="I166" i="6"/>
  <c r="H166" i="6"/>
  <c r="AC165" i="6"/>
  <c r="W165" i="6"/>
  <c r="I165" i="6"/>
  <c r="H165" i="6"/>
  <c r="AC164" i="6"/>
  <c r="W164" i="6"/>
  <c r="I164" i="6"/>
  <c r="H164" i="6"/>
  <c r="AC163" i="6"/>
  <c r="W163" i="6"/>
  <c r="I163" i="6"/>
  <c r="H163" i="6"/>
  <c r="AC162" i="6"/>
  <c r="W162" i="6"/>
  <c r="I162" i="6"/>
  <c r="H162" i="6"/>
  <c r="AC161" i="6"/>
  <c r="W161" i="6"/>
  <c r="I161" i="6"/>
  <c r="H161" i="6"/>
  <c r="AC160" i="6"/>
  <c r="W160" i="6"/>
  <c r="I160" i="6"/>
  <c r="H160" i="6"/>
  <c r="AC159" i="6"/>
  <c r="W159" i="6"/>
  <c r="I159" i="6"/>
  <c r="H159" i="6"/>
  <c r="AC158" i="6"/>
  <c r="W158" i="6"/>
  <c r="I158" i="6"/>
  <c r="H158" i="6"/>
  <c r="AC157" i="6"/>
  <c r="W157" i="6"/>
  <c r="I157" i="6"/>
  <c r="H157" i="6"/>
  <c r="AC156" i="6"/>
  <c r="W156" i="6"/>
  <c r="I156" i="6"/>
  <c r="H156" i="6"/>
  <c r="AC155" i="6"/>
  <c r="W155" i="6"/>
  <c r="I155" i="6"/>
  <c r="H155" i="6"/>
  <c r="AC154" i="6"/>
  <c r="W154" i="6"/>
  <c r="I154" i="6"/>
  <c r="H154" i="6"/>
  <c r="AC153" i="6"/>
  <c r="W153" i="6"/>
  <c r="I153" i="6"/>
  <c r="H153" i="6"/>
  <c r="AC152" i="6"/>
  <c r="W152" i="6"/>
  <c r="I152" i="6"/>
  <c r="H152" i="6"/>
  <c r="AC151" i="6"/>
  <c r="W151" i="6"/>
  <c r="I151" i="6"/>
  <c r="H151" i="6"/>
  <c r="AC150" i="6"/>
  <c r="W150" i="6"/>
  <c r="I150" i="6"/>
  <c r="H150" i="6"/>
  <c r="AC149" i="6"/>
  <c r="W149" i="6"/>
  <c r="I149" i="6"/>
  <c r="H149" i="6"/>
  <c r="AC148" i="6"/>
  <c r="W148" i="6"/>
  <c r="I148" i="6"/>
  <c r="H148" i="6"/>
  <c r="AC147" i="6"/>
  <c r="W147" i="6"/>
  <c r="I147" i="6"/>
  <c r="H147" i="6"/>
  <c r="AC146" i="6"/>
  <c r="W146" i="6"/>
  <c r="I146" i="6"/>
  <c r="H146" i="6"/>
  <c r="AC145" i="6"/>
  <c r="W145" i="6"/>
  <c r="I145" i="6"/>
  <c r="H145" i="6"/>
  <c r="AC144" i="6"/>
  <c r="W144" i="6"/>
  <c r="I144" i="6"/>
  <c r="H144" i="6"/>
  <c r="AC143" i="6"/>
  <c r="W143" i="6"/>
  <c r="I143" i="6"/>
  <c r="H143" i="6"/>
  <c r="AC142" i="6"/>
  <c r="W142" i="6"/>
  <c r="I142" i="6"/>
  <c r="H142" i="6"/>
  <c r="AC141" i="6"/>
  <c r="W141" i="6"/>
  <c r="I141" i="6"/>
  <c r="H141" i="6"/>
  <c r="AC140" i="6"/>
  <c r="W140" i="6"/>
  <c r="I140" i="6"/>
  <c r="H140" i="6"/>
  <c r="AC139" i="6"/>
  <c r="W139" i="6"/>
  <c r="I139" i="6"/>
  <c r="H139" i="6"/>
  <c r="AC138" i="6"/>
  <c r="W138" i="6"/>
  <c r="I138" i="6"/>
  <c r="H138" i="6"/>
  <c r="AC137" i="6"/>
  <c r="W137" i="6"/>
  <c r="I137" i="6"/>
  <c r="H137" i="6"/>
  <c r="AC136" i="6"/>
  <c r="W136" i="6"/>
  <c r="I136" i="6"/>
  <c r="H136" i="6"/>
  <c r="AC135" i="6"/>
  <c r="W135" i="6"/>
  <c r="I135" i="6"/>
  <c r="H135" i="6"/>
  <c r="AC134" i="6"/>
  <c r="W134" i="6"/>
  <c r="I134" i="6"/>
  <c r="H134" i="6"/>
  <c r="AC133" i="6"/>
  <c r="W133" i="6"/>
  <c r="I133" i="6"/>
  <c r="H133" i="6"/>
  <c r="AC132" i="6"/>
  <c r="W132" i="6"/>
  <c r="I132" i="6"/>
  <c r="H132" i="6"/>
  <c r="AC131" i="6"/>
  <c r="W131" i="6"/>
  <c r="I131" i="6"/>
  <c r="H131" i="6"/>
  <c r="AC130" i="6"/>
  <c r="W130" i="6"/>
  <c r="I130" i="6"/>
  <c r="H130" i="6"/>
  <c r="AC129" i="6"/>
  <c r="W129" i="6"/>
  <c r="I129" i="6"/>
  <c r="H129" i="6"/>
  <c r="AC128" i="6"/>
  <c r="W128" i="6"/>
  <c r="I128" i="6"/>
  <c r="H128" i="6"/>
  <c r="AC127" i="6"/>
  <c r="W127" i="6"/>
  <c r="I127" i="6"/>
  <c r="H127" i="6"/>
  <c r="AC126" i="6"/>
  <c r="W126" i="6"/>
  <c r="I126" i="6"/>
  <c r="H126" i="6"/>
  <c r="AC125" i="6"/>
  <c r="W125" i="6"/>
  <c r="I125" i="6"/>
  <c r="H125" i="6"/>
  <c r="AC124" i="6"/>
  <c r="W124" i="6"/>
  <c r="I124" i="6"/>
  <c r="H124" i="6"/>
  <c r="AC123" i="6"/>
  <c r="W123" i="6"/>
  <c r="I123" i="6"/>
  <c r="H123" i="6"/>
  <c r="AC122" i="6"/>
  <c r="W122" i="6"/>
  <c r="I122" i="6"/>
  <c r="H122" i="6"/>
  <c r="AC121" i="6"/>
  <c r="W121" i="6"/>
  <c r="I121" i="6"/>
  <c r="H121" i="6"/>
  <c r="AC120" i="6"/>
  <c r="W120" i="6"/>
  <c r="I120" i="6"/>
  <c r="H120" i="6"/>
  <c r="AC119" i="6"/>
  <c r="W119" i="6"/>
  <c r="I119" i="6"/>
  <c r="H119" i="6"/>
  <c r="AC118" i="6"/>
  <c r="W118" i="6"/>
  <c r="I118" i="6"/>
  <c r="H118" i="6"/>
  <c r="AC117" i="6"/>
  <c r="W117" i="6"/>
  <c r="I117" i="6"/>
  <c r="H117" i="6"/>
  <c r="AC116" i="6"/>
  <c r="W116" i="6"/>
  <c r="I116" i="6"/>
  <c r="H116" i="6"/>
  <c r="AC115" i="6"/>
  <c r="W115" i="6"/>
  <c r="I115" i="6"/>
  <c r="H115" i="6"/>
  <c r="AC114" i="6"/>
  <c r="W114" i="6"/>
  <c r="I114" i="6"/>
  <c r="H114" i="6"/>
  <c r="AC113" i="6"/>
  <c r="W113" i="6"/>
  <c r="I113" i="6"/>
  <c r="H113" i="6"/>
  <c r="AC112" i="6"/>
  <c r="W112" i="6"/>
  <c r="I112" i="6"/>
  <c r="H112" i="6"/>
  <c r="AC111" i="6"/>
  <c r="W111" i="6"/>
  <c r="I111" i="6"/>
  <c r="H111" i="6"/>
  <c r="AC110" i="6"/>
  <c r="W110" i="6"/>
  <c r="I110" i="6"/>
  <c r="H110" i="6"/>
  <c r="AC109" i="6"/>
  <c r="W109" i="6"/>
  <c r="I109" i="6"/>
  <c r="H109" i="6"/>
  <c r="AC108" i="6"/>
  <c r="W108" i="6"/>
  <c r="I108" i="6"/>
  <c r="H108" i="6"/>
  <c r="AC107" i="6"/>
  <c r="W107" i="6"/>
  <c r="I107" i="6"/>
  <c r="H107" i="6"/>
  <c r="AC106" i="6"/>
  <c r="W106" i="6"/>
  <c r="I106" i="6"/>
  <c r="H106" i="6"/>
  <c r="AC105" i="6"/>
  <c r="W105" i="6"/>
  <c r="I105" i="6"/>
  <c r="H105" i="6"/>
  <c r="AC104" i="6"/>
  <c r="W104" i="6"/>
  <c r="AC103" i="6"/>
  <c r="W103" i="6"/>
  <c r="AC102" i="6"/>
  <c r="W102" i="6"/>
  <c r="AC101" i="6"/>
  <c r="W101" i="6"/>
  <c r="AC100" i="6"/>
  <c r="W100" i="6"/>
  <c r="AC99" i="6"/>
  <c r="W99" i="6"/>
  <c r="AC98" i="6"/>
  <c r="W98" i="6"/>
  <c r="AC97" i="6"/>
  <c r="W97" i="6"/>
  <c r="AC96" i="6"/>
  <c r="W96" i="6"/>
  <c r="AC95" i="6"/>
  <c r="W95" i="6"/>
  <c r="AC94" i="6"/>
  <c r="W94" i="6"/>
  <c r="AC93" i="6"/>
  <c r="W93" i="6"/>
  <c r="AC92" i="6"/>
  <c r="W92" i="6"/>
  <c r="AC91" i="6"/>
  <c r="W91" i="6"/>
  <c r="AC90" i="6"/>
  <c r="W90" i="6"/>
  <c r="AC89" i="6"/>
  <c r="W89" i="6"/>
  <c r="AC88" i="6"/>
  <c r="W88" i="6"/>
  <c r="AC87" i="6"/>
  <c r="W87" i="6"/>
  <c r="AC86" i="6"/>
  <c r="W86" i="6"/>
  <c r="AC85" i="6"/>
  <c r="W85" i="6"/>
  <c r="AC84" i="6"/>
  <c r="W84" i="6"/>
  <c r="AC83" i="6"/>
  <c r="W83" i="6"/>
  <c r="AC82" i="6"/>
  <c r="W82" i="6"/>
  <c r="AC81" i="6"/>
  <c r="W81" i="6"/>
  <c r="AC80" i="6"/>
  <c r="W80" i="6"/>
  <c r="AC79" i="6"/>
  <c r="W79" i="6"/>
  <c r="AC78" i="6"/>
  <c r="W78" i="6"/>
  <c r="AC77" i="6"/>
  <c r="W77" i="6"/>
  <c r="AC76" i="6"/>
  <c r="W76" i="6"/>
  <c r="AC75" i="6"/>
  <c r="W75" i="6"/>
  <c r="AC74" i="6"/>
  <c r="W74" i="6"/>
  <c r="AC73" i="6"/>
  <c r="W73" i="6"/>
  <c r="AC72" i="6"/>
  <c r="W72" i="6"/>
  <c r="AC71" i="6"/>
  <c r="W71" i="6"/>
  <c r="AC70" i="6"/>
  <c r="W70" i="6"/>
  <c r="AC69" i="6"/>
  <c r="W69" i="6"/>
  <c r="AC68" i="6"/>
  <c r="W68" i="6"/>
  <c r="AC67" i="6"/>
  <c r="W67" i="6"/>
  <c r="AC66" i="6"/>
  <c r="W66" i="6"/>
  <c r="AC65" i="6"/>
  <c r="W65" i="6"/>
  <c r="AC64" i="6"/>
  <c r="W64" i="6"/>
  <c r="AC63" i="6"/>
  <c r="W63" i="6"/>
  <c r="AC62" i="6"/>
  <c r="W62" i="6"/>
  <c r="AC61" i="6"/>
  <c r="W61" i="6"/>
  <c r="AC60" i="6"/>
  <c r="W60" i="6"/>
  <c r="AC59" i="6"/>
  <c r="W59" i="6"/>
  <c r="AC58" i="6"/>
  <c r="W58" i="6"/>
  <c r="AC57" i="6"/>
  <c r="W57" i="6"/>
  <c r="AC56" i="6"/>
  <c r="W56" i="6"/>
  <c r="AC55" i="6"/>
  <c r="W55" i="6"/>
  <c r="AC54" i="6"/>
  <c r="W54" i="6"/>
  <c r="AC53" i="6"/>
  <c r="W53" i="6"/>
  <c r="AC52" i="6"/>
  <c r="W52" i="6"/>
  <c r="AC51" i="6"/>
  <c r="W51" i="6"/>
  <c r="AC50" i="6"/>
  <c r="W50" i="6"/>
  <c r="AC49" i="6"/>
  <c r="W49" i="6"/>
  <c r="AC48" i="6"/>
  <c r="W48" i="6"/>
  <c r="AC47" i="6"/>
  <c r="W47" i="6"/>
  <c r="AC46" i="6"/>
  <c r="W46" i="6"/>
  <c r="AC45" i="6"/>
  <c r="W45" i="6"/>
  <c r="AC44" i="6"/>
  <c r="W44" i="6"/>
  <c r="AC43" i="6"/>
  <c r="W43" i="6"/>
  <c r="AC42" i="6"/>
  <c r="W42" i="6"/>
  <c r="AC41" i="6"/>
  <c r="W41" i="6"/>
  <c r="AC40" i="6"/>
  <c r="W40" i="6"/>
  <c r="AC39" i="6"/>
  <c r="W39" i="6"/>
  <c r="AC38" i="6"/>
  <c r="W38" i="6"/>
  <c r="AC37" i="6"/>
  <c r="W37" i="6"/>
  <c r="AC36" i="6"/>
  <c r="W36" i="6"/>
  <c r="AC35" i="6"/>
  <c r="W35" i="6"/>
  <c r="AC34" i="6"/>
  <c r="W34" i="6"/>
  <c r="AC33" i="6"/>
  <c r="W33" i="6"/>
  <c r="AC32" i="6"/>
  <c r="W32" i="6"/>
  <c r="AC31" i="6"/>
  <c r="W31" i="6"/>
  <c r="AC30" i="6"/>
  <c r="W30" i="6"/>
  <c r="AC29" i="6"/>
  <c r="W29" i="6"/>
  <c r="AC28" i="6"/>
  <c r="W28" i="6"/>
  <c r="AC27" i="6"/>
  <c r="W27" i="6"/>
  <c r="AC26" i="6"/>
  <c r="W26" i="6"/>
  <c r="AC25" i="6"/>
  <c r="W25" i="6"/>
  <c r="AC24" i="6"/>
  <c r="W24" i="6"/>
  <c r="AC23" i="6"/>
  <c r="W23" i="6"/>
  <c r="AC22" i="6"/>
  <c r="W22" i="6"/>
  <c r="AC21" i="6"/>
  <c r="W21" i="6"/>
  <c r="AC20" i="6"/>
  <c r="W20" i="6"/>
  <c r="AC19" i="6"/>
  <c r="W19" i="6"/>
  <c r="AC18" i="6"/>
  <c r="W18" i="6"/>
  <c r="AC17" i="6"/>
  <c r="W17" i="6"/>
  <c r="BD16" i="6"/>
  <c r="AC16" i="6"/>
  <c r="W16" i="6"/>
  <c r="AC15" i="6"/>
  <c r="W15" i="6"/>
  <c r="AC14" i="6"/>
  <c r="W14" i="6"/>
  <c r="AC13" i="6"/>
  <c r="W13" i="6"/>
  <c r="AC12" i="6"/>
  <c r="W12" i="6"/>
  <c r="AC11" i="6"/>
  <c r="W11" i="6"/>
  <c r="AC10" i="6"/>
  <c r="W10" i="6"/>
  <c r="BD9" i="6"/>
  <c r="BC9" i="6"/>
  <c r="BB9" i="6"/>
  <c r="BA9" i="6"/>
  <c r="AZ9" i="6"/>
  <c r="AY9" i="6"/>
  <c r="AX9" i="6"/>
  <c r="AW9" i="6"/>
  <c r="AV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A8" i="6"/>
  <c r="Z8" i="6"/>
  <c r="AR6" i="6"/>
  <c r="AK6" i="6"/>
  <c r="AI6" i="6"/>
  <c r="AG6" i="6"/>
  <c r="L24" i="5"/>
  <c r="A17" i="5"/>
  <c r="L13" i="5"/>
  <c r="K13" i="5"/>
  <c r="J13" i="5"/>
  <c r="B2" i="5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W28" i="3"/>
  <c r="V28" i="3"/>
  <c r="U28" i="3"/>
  <c r="T19" i="3"/>
  <c r="S19" i="3"/>
  <c r="S17" i="3"/>
  <c r="AD10" i="3"/>
  <c r="AC10" i="3"/>
  <c r="AD9" i="3"/>
  <c r="AC9" i="3"/>
  <c r="AD8" i="3"/>
  <c r="AC8" i="3"/>
  <c r="AA97" i="2"/>
  <c r="X97" i="2"/>
  <c r="W97" i="2"/>
  <c r="AG96" i="2"/>
  <c r="AD96" i="2"/>
  <c r="AB96" i="2"/>
  <c r="AA96" i="2"/>
  <c r="Z96" i="2"/>
  <c r="X96" i="2"/>
  <c r="W96" i="2"/>
  <c r="Q96" i="2"/>
  <c r="P96" i="2"/>
  <c r="O96" i="2"/>
  <c r="J96" i="2"/>
  <c r="I96" i="2"/>
  <c r="B96" i="2"/>
  <c r="A96" i="2"/>
  <c r="AG95" i="2"/>
  <c r="AD95" i="2"/>
  <c r="AB95" i="2"/>
  <c r="AA95" i="2"/>
  <c r="Z95" i="2"/>
  <c r="X95" i="2"/>
  <c r="W95" i="2"/>
  <c r="Q95" i="2"/>
  <c r="P95" i="2"/>
  <c r="O95" i="2"/>
  <c r="J95" i="2"/>
  <c r="I95" i="2"/>
  <c r="B95" i="2"/>
  <c r="A95" i="2"/>
  <c r="AG94" i="2"/>
  <c r="AD94" i="2"/>
  <c r="AB94" i="2"/>
  <c r="AA94" i="2"/>
  <c r="Z94" i="2"/>
  <c r="X94" i="2"/>
  <c r="W94" i="2"/>
  <c r="Q94" i="2"/>
  <c r="P94" i="2"/>
  <c r="O94" i="2"/>
  <c r="J94" i="2"/>
  <c r="I94" i="2"/>
  <c r="B94" i="2"/>
  <c r="A94" i="2"/>
  <c r="AG93" i="2"/>
  <c r="AD93" i="2"/>
  <c r="AB93" i="2"/>
  <c r="AA93" i="2"/>
  <c r="Z93" i="2"/>
  <c r="X93" i="2"/>
  <c r="W93" i="2"/>
  <c r="Q93" i="2"/>
  <c r="P93" i="2"/>
  <c r="O93" i="2"/>
  <c r="J93" i="2"/>
  <c r="I93" i="2"/>
  <c r="B93" i="2"/>
  <c r="A93" i="2"/>
  <c r="AG92" i="2"/>
  <c r="AD92" i="2"/>
  <c r="AB92" i="2"/>
  <c r="AA92" i="2"/>
  <c r="Z92" i="2"/>
  <c r="X92" i="2"/>
  <c r="W92" i="2"/>
  <c r="Q92" i="2"/>
  <c r="P92" i="2"/>
  <c r="O92" i="2"/>
  <c r="J92" i="2"/>
  <c r="I92" i="2"/>
  <c r="B92" i="2"/>
  <c r="A92" i="2"/>
  <c r="AG91" i="2"/>
  <c r="AD91" i="2"/>
  <c r="AB91" i="2"/>
  <c r="AA91" i="2"/>
  <c r="Z91" i="2"/>
  <c r="X91" i="2"/>
  <c r="W91" i="2"/>
  <c r="Q91" i="2"/>
  <c r="P91" i="2"/>
  <c r="O91" i="2"/>
  <c r="J91" i="2"/>
  <c r="I91" i="2"/>
  <c r="B91" i="2"/>
  <c r="A91" i="2"/>
  <c r="AG90" i="2"/>
  <c r="AD90" i="2"/>
  <c r="AB90" i="2"/>
  <c r="AA90" i="2"/>
  <c r="Z90" i="2"/>
  <c r="X90" i="2"/>
  <c r="W90" i="2"/>
  <c r="Q90" i="2"/>
  <c r="P90" i="2"/>
  <c r="O90" i="2"/>
  <c r="J90" i="2"/>
  <c r="I90" i="2"/>
  <c r="B90" i="2"/>
  <c r="A90" i="2"/>
  <c r="AG89" i="2"/>
  <c r="AD89" i="2"/>
  <c r="AB89" i="2"/>
  <c r="AA89" i="2"/>
  <c r="Z89" i="2"/>
  <c r="X89" i="2"/>
  <c r="W89" i="2"/>
  <c r="Q89" i="2"/>
  <c r="P89" i="2"/>
  <c r="O89" i="2"/>
  <c r="J89" i="2"/>
  <c r="I89" i="2"/>
  <c r="B89" i="2"/>
  <c r="A89" i="2"/>
  <c r="AG88" i="2"/>
  <c r="AD88" i="2"/>
  <c r="AB88" i="2"/>
  <c r="AA88" i="2"/>
  <c r="Z88" i="2"/>
  <c r="X88" i="2"/>
  <c r="W88" i="2"/>
  <c r="Q88" i="2"/>
  <c r="P88" i="2"/>
  <c r="O88" i="2"/>
  <c r="J88" i="2"/>
  <c r="I88" i="2"/>
  <c r="B88" i="2"/>
  <c r="A88" i="2"/>
  <c r="AG87" i="2"/>
  <c r="AD87" i="2"/>
  <c r="AB87" i="2"/>
  <c r="AA87" i="2"/>
  <c r="Z87" i="2"/>
  <c r="X87" i="2"/>
  <c r="W87" i="2"/>
  <c r="Q87" i="2"/>
  <c r="P87" i="2"/>
  <c r="O87" i="2"/>
  <c r="J87" i="2"/>
  <c r="I87" i="2"/>
  <c r="B87" i="2"/>
  <c r="A87" i="2"/>
  <c r="AG86" i="2"/>
  <c r="AD86" i="2"/>
  <c r="AB86" i="2"/>
  <c r="AA86" i="2"/>
  <c r="Z86" i="2"/>
  <c r="X86" i="2"/>
  <c r="W86" i="2"/>
  <c r="Q86" i="2"/>
  <c r="P86" i="2"/>
  <c r="O86" i="2"/>
  <c r="J86" i="2"/>
  <c r="I86" i="2"/>
  <c r="B86" i="2"/>
  <c r="A86" i="2"/>
  <c r="AG85" i="2"/>
  <c r="AD85" i="2"/>
  <c r="AB85" i="2"/>
  <c r="AA85" i="2"/>
  <c r="Z85" i="2"/>
  <c r="X85" i="2"/>
  <c r="W85" i="2"/>
  <c r="Q85" i="2"/>
  <c r="P85" i="2"/>
  <c r="O85" i="2"/>
  <c r="J85" i="2"/>
  <c r="I85" i="2"/>
  <c r="B85" i="2"/>
  <c r="A85" i="2"/>
  <c r="AG84" i="2"/>
  <c r="AD84" i="2"/>
  <c r="AB84" i="2"/>
  <c r="AA84" i="2"/>
  <c r="Z84" i="2"/>
  <c r="X84" i="2"/>
  <c r="W84" i="2"/>
  <c r="Q84" i="2"/>
  <c r="P84" i="2"/>
  <c r="O84" i="2"/>
  <c r="J84" i="2"/>
  <c r="I84" i="2"/>
  <c r="B84" i="2"/>
  <c r="A84" i="2"/>
  <c r="AG83" i="2"/>
  <c r="AD83" i="2"/>
  <c r="AB83" i="2"/>
  <c r="AA83" i="2"/>
  <c r="Z83" i="2"/>
  <c r="X83" i="2"/>
  <c r="W83" i="2"/>
  <c r="Q83" i="2"/>
  <c r="P83" i="2"/>
  <c r="O83" i="2"/>
  <c r="J83" i="2"/>
  <c r="I83" i="2"/>
  <c r="B83" i="2"/>
  <c r="A83" i="2"/>
  <c r="AG82" i="2"/>
  <c r="AD82" i="2"/>
  <c r="AB82" i="2"/>
  <c r="AA82" i="2"/>
  <c r="Z82" i="2"/>
  <c r="X82" i="2"/>
  <c r="W82" i="2"/>
  <c r="Q82" i="2"/>
  <c r="P82" i="2"/>
  <c r="O82" i="2"/>
  <c r="J82" i="2"/>
  <c r="I82" i="2"/>
  <c r="B82" i="2"/>
  <c r="A82" i="2"/>
  <c r="AG81" i="2"/>
  <c r="AD81" i="2"/>
  <c r="AB81" i="2"/>
  <c r="AA81" i="2"/>
  <c r="Z81" i="2"/>
  <c r="X81" i="2"/>
  <c r="W81" i="2"/>
  <c r="Q81" i="2"/>
  <c r="P81" i="2"/>
  <c r="O81" i="2"/>
  <c r="J81" i="2"/>
  <c r="I81" i="2"/>
  <c r="B81" i="2"/>
  <c r="A81" i="2"/>
  <c r="AG80" i="2"/>
  <c r="AD80" i="2"/>
  <c r="AB80" i="2"/>
  <c r="AA80" i="2"/>
  <c r="Z80" i="2"/>
  <c r="X80" i="2"/>
  <c r="W80" i="2"/>
  <c r="Q80" i="2"/>
  <c r="P80" i="2"/>
  <c r="O80" i="2"/>
  <c r="J80" i="2"/>
  <c r="I80" i="2"/>
  <c r="B80" i="2"/>
  <c r="A80" i="2"/>
  <c r="AG79" i="2"/>
  <c r="AD79" i="2"/>
  <c r="AB79" i="2"/>
  <c r="AA79" i="2"/>
  <c r="Z79" i="2"/>
  <c r="X79" i="2"/>
  <c r="W79" i="2"/>
  <c r="Q79" i="2"/>
  <c r="P79" i="2"/>
  <c r="O79" i="2"/>
  <c r="J79" i="2"/>
  <c r="I79" i="2"/>
  <c r="B79" i="2"/>
  <c r="A79" i="2"/>
  <c r="AG78" i="2"/>
  <c r="AD78" i="2"/>
  <c r="AB78" i="2"/>
  <c r="AA78" i="2"/>
  <c r="Z78" i="2"/>
  <c r="X78" i="2"/>
  <c r="W78" i="2"/>
  <c r="Q78" i="2"/>
  <c r="P78" i="2"/>
  <c r="O78" i="2"/>
  <c r="J78" i="2"/>
  <c r="I78" i="2"/>
  <c r="B78" i="2"/>
  <c r="A78" i="2"/>
  <c r="AG77" i="2"/>
  <c r="AD77" i="2"/>
  <c r="AB77" i="2"/>
  <c r="AA77" i="2"/>
  <c r="Z77" i="2"/>
  <c r="X77" i="2"/>
  <c r="W77" i="2"/>
  <c r="Q77" i="2"/>
  <c r="P77" i="2"/>
  <c r="O77" i="2"/>
  <c r="J77" i="2"/>
  <c r="I77" i="2"/>
  <c r="B77" i="2"/>
  <c r="A77" i="2"/>
  <c r="AG76" i="2"/>
  <c r="AD76" i="2"/>
  <c r="AB76" i="2"/>
  <c r="AA76" i="2"/>
  <c r="Z76" i="2"/>
  <c r="X76" i="2"/>
  <c r="W76" i="2"/>
  <c r="Q76" i="2"/>
  <c r="P76" i="2"/>
  <c r="O76" i="2"/>
  <c r="J76" i="2"/>
  <c r="I76" i="2"/>
  <c r="B76" i="2"/>
  <c r="A76" i="2"/>
  <c r="AG75" i="2"/>
  <c r="AD75" i="2"/>
  <c r="AB75" i="2"/>
  <c r="AA75" i="2"/>
  <c r="Z75" i="2"/>
  <c r="X75" i="2"/>
  <c r="W75" i="2"/>
  <c r="Q75" i="2"/>
  <c r="P75" i="2"/>
  <c r="O75" i="2"/>
  <c r="J75" i="2"/>
  <c r="I75" i="2"/>
  <c r="B75" i="2"/>
  <c r="A75" i="2"/>
  <c r="AG74" i="2"/>
  <c r="AD74" i="2"/>
  <c r="AB74" i="2"/>
  <c r="AA74" i="2"/>
  <c r="Z74" i="2"/>
  <c r="X74" i="2"/>
  <c r="W74" i="2"/>
  <c r="Q74" i="2"/>
  <c r="P74" i="2"/>
  <c r="O74" i="2"/>
  <c r="J74" i="2"/>
  <c r="I74" i="2"/>
  <c r="B74" i="2"/>
  <c r="A74" i="2"/>
  <c r="AG73" i="2"/>
  <c r="AD73" i="2"/>
  <c r="AB73" i="2"/>
  <c r="AA73" i="2"/>
  <c r="Z73" i="2"/>
  <c r="X73" i="2"/>
  <c r="W73" i="2"/>
  <c r="Q73" i="2"/>
  <c r="P73" i="2"/>
  <c r="O73" i="2"/>
  <c r="J73" i="2"/>
  <c r="I73" i="2"/>
  <c r="B73" i="2"/>
  <c r="A73" i="2"/>
  <c r="AG72" i="2"/>
  <c r="AD72" i="2"/>
  <c r="AB72" i="2"/>
  <c r="AA72" i="2"/>
  <c r="Z72" i="2"/>
  <c r="X72" i="2"/>
  <c r="W72" i="2"/>
  <c r="Q72" i="2"/>
  <c r="P72" i="2"/>
  <c r="O72" i="2"/>
  <c r="J72" i="2"/>
  <c r="I72" i="2"/>
  <c r="B72" i="2"/>
  <c r="A72" i="2"/>
  <c r="AG71" i="2"/>
  <c r="AD71" i="2"/>
  <c r="AB71" i="2"/>
  <c r="AA71" i="2"/>
  <c r="Z71" i="2"/>
  <c r="X71" i="2"/>
  <c r="W71" i="2"/>
  <c r="Q71" i="2"/>
  <c r="P71" i="2"/>
  <c r="O71" i="2"/>
  <c r="J71" i="2"/>
  <c r="I71" i="2"/>
  <c r="B71" i="2"/>
  <c r="A71" i="2"/>
  <c r="AG70" i="2"/>
  <c r="AD70" i="2"/>
  <c r="AB70" i="2"/>
  <c r="AA70" i="2"/>
  <c r="Z70" i="2"/>
  <c r="X70" i="2"/>
  <c r="W70" i="2"/>
  <c r="Q70" i="2"/>
  <c r="P70" i="2"/>
  <c r="O70" i="2"/>
  <c r="J70" i="2"/>
  <c r="I70" i="2"/>
  <c r="B70" i="2"/>
  <c r="A70" i="2"/>
  <c r="AG69" i="2"/>
  <c r="AD69" i="2"/>
  <c r="AB69" i="2"/>
  <c r="AA69" i="2"/>
  <c r="Z69" i="2"/>
  <c r="X69" i="2"/>
  <c r="W69" i="2"/>
  <c r="Q69" i="2"/>
  <c r="P69" i="2"/>
  <c r="O69" i="2"/>
  <c r="J69" i="2"/>
  <c r="I69" i="2"/>
  <c r="B69" i="2"/>
  <c r="A69" i="2"/>
  <c r="AG68" i="2"/>
  <c r="AD68" i="2"/>
  <c r="AB68" i="2"/>
  <c r="AA68" i="2"/>
  <c r="Z68" i="2"/>
  <c r="X68" i="2"/>
  <c r="W68" i="2"/>
  <c r="Q68" i="2"/>
  <c r="P68" i="2"/>
  <c r="O68" i="2"/>
  <c r="J68" i="2"/>
  <c r="I68" i="2"/>
  <c r="B68" i="2"/>
  <c r="A68" i="2"/>
  <c r="AG67" i="2"/>
  <c r="AD67" i="2"/>
  <c r="AB67" i="2"/>
  <c r="AA67" i="2"/>
  <c r="Z67" i="2"/>
  <c r="X67" i="2"/>
  <c r="W67" i="2"/>
  <c r="Q67" i="2"/>
  <c r="P67" i="2"/>
  <c r="O67" i="2"/>
  <c r="J67" i="2"/>
  <c r="I67" i="2"/>
  <c r="B67" i="2"/>
  <c r="A67" i="2"/>
  <c r="AG66" i="2"/>
  <c r="AD66" i="2"/>
  <c r="AB66" i="2"/>
  <c r="AA66" i="2"/>
  <c r="Z66" i="2"/>
  <c r="X66" i="2"/>
  <c r="W66" i="2"/>
  <c r="Q66" i="2"/>
  <c r="P66" i="2"/>
  <c r="O66" i="2"/>
  <c r="J66" i="2"/>
  <c r="I66" i="2"/>
  <c r="B66" i="2"/>
  <c r="A66" i="2"/>
  <c r="AG65" i="2"/>
  <c r="AD65" i="2"/>
  <c r="AB65" i="2"/>
  <c r="AA65" i="2"/>
  <c r="Z65" i="2"/>
  <c r="X65" i="2"/>
  <c r="W65" i="2"/>
  <c r="Q65" i="2"/>
  <c r="P65" i="2"/>
  <c r="O65" i="2"/>
  <c r="J65" i="2"/>
  <c r="I65" i="2"/>
  <c r="B65" i="2"/>
  <c r="A65" i="2"/>
  <c r="AG64" i="2"/>
  <c r="AD64" i="2"/>
  <c r="AB64" i="2"/>
  <c r="AA64" i="2"/>
  <c r="Z64" i="2"/>
  <c r="X64" i="2"/>
  <c r="W64" i="2"/>
  <c r="Q64" i="2"/>
  <c r="P64" i="2"/>
  <c r="O64" i="2"/>
  <c r="J64" i="2"/>
  <c r="I64" i="2"/>
  <c r="B64" i="2"/>
  <c r="A64" i="2"/>
  <c r="AG63" i="2"/>
  <c r="AD63" i="2"/>
  <c r="AB63" i="2"/>
  <c r="AA63" i="2"/>
  <c r="Z63" i="2"/>
  <c r="X63" i="2"/>
  <c r="W63" i="2"/>
  <c r="Q63" i="2"/>
  <c r="P63" i="2"/>
  <c r="O63" i="2"/>
  <c r="J63" i="2"/>
  <c r="I63" i="2"/>
  <c r="B63" i="2"/>
  <c r="A63" i="2"/>
  <c r="AG62" i="2"/>
  <c r="AD62" i="2"/>
  <c r="AB62" i="2"/>
  <c r="AA62" i="2"/>
  <c r="Z62" i="2"/>
  <c r="X62" i="2"/>
  <c r="W62" i="2"/>
  <c r="Q62" i="2"/>
  <c r="P62" i="2"/>
  <c r="O62" i="2"/>
  <c r="J62" i="2"/>
  <c r="I62" i="2"/>
  <c r="B62" i="2"/>
  <c r="A62" i="2"/>
  <c r="AG61" i="2"/>
  <c r="AD61" i="2"/>
  <c r="AB61" i="2"/>
  <c r="AA61" i="2"/>
  <c r="Z61" i="2"/>
  <c r="X61" i="2"/>
  <c r="W61" i="2"/>
  <c r="Q61" i="2"/>
  <c r="P61" i="2"/>
  <c r="O61" i="2"/>
  <c r="J61" i="2"/>
  <c r="I61" i="2"/>
  <c r="B61" i="2"/>
  <c r="A61" i="2"/>
  <c r="AG60" i="2"/>
  <c r="AD60" i="2"/>
  <c r="AB60" i="2"/>
  <c r="AA60" i="2"/>
  <c r="Z60" i="2"/>
  <c r="X60" i="2"/>
  <c r="W60" i="2"/>
  <c r="Q60" i="2"/>
  <c r="P60" i="2"/>
  <c r="O60" i="2"/>
  <c r="J60" i="2"/>
  <c r="I60" i="2"/>
  <c r="B60" i="2"/>
  <c r="A60" i="2"/>
  <c r="AG59" i="2"/>
  <c r="AD59" i="2"/>
  <c r="AB59" i="2"/>
  <c r="AA59" i="2"/>
  <c r="Z59" i="2"/>
  <c r="X59" i="2"/>
  <c r="W59" i="2"/>
  <c r="Q59" i="2"/>
  <c r="P59" i="2"/>
  <c r="O59" i="2"/>
  <c r="J59" i="2"/>
  <c r="I59" i="2"/>
  <c r="B59" i="2"/>
  <c r="A59" i="2"/>
  <c r="AG58" i="2"/>
  <c r="AD58" i="2"/>
  <c r="AB58" i="2"/>
  <c r="AA58" i="2"/>
  <c r="Z58" i="2"/>
  <c r="X58" i="2"/>
  <c r="W58" i="2"/>
  <c r="Q58" i="2"/>
  <c r="P58" i="2"/>
  <c r="O58" i="2"/>
  <c r="J58" i="2"/>
  <c r="I58" i="2"/>
  <c r="B58" i="2"/>
  <c r="A58" i="2"/>
  <c r="AG57" i="2"/>
  <c r="AD57" i="2"/>
  <c r="AB57" i="2"/>
  <c r="AA57" i="2"/>
  <c r="Z57" i="2"/>
  <c r="X57" i="2"/>
  <c r="W57" i="2"/>
  <c r="Q57" i="2"/>
  <c r="P57" i="2"/>
  <c r="O57" i="2"/>
  <c r="J57" i="2"/>
  <c r="I57" i="2"/>
  <c r="B57" i="2"/>
  <c r="A57" i="2"/>
  <c r="AG56" i="2"/>
  <c r="AD56" i="2"/>
  <c r="AB56" i="2"/>
  <c r="AA56" i="2"/>
  <c r="Z56" i="2"/>
  <c r="X56" i="2"/>
  <c r="W56" i="2"/>
  <c r="Q56" i="2"/>
  <c r="P56" i="2"/>
  <c r="O56" i="2"/>
  <c r="J56" i="2"/>
  <c r="I56" i="2"/>
  <c r="B56" i="2"/>
  <c r="A56" i="2"/>
  <c r="AG55" i="2"/>
  <c r="AD55" i="2"/>
  <c r="AB55" i="2"/>
  <c r="AA55" i="2"/>
  <c r="Z55" i="2"/>
  <c r="X55" i="2"/>
  <c r="W55" i="2"/>
  <c r="Q55" i="2"/>
  <c r="P55" i="2"/>
  <c r="O55" i="2"/>
  <c r="J55" i="2"/>
  <c r="I55" i="2"/>
  <c r="B55" i="2"/>
  <c r="A55" i="2"/>
  <c r="AG54" i="2"/>
  <c r="AD54" i="2"/>
  <c r="AB54" i="2"/>
  <c r="AA54" i="2"/>
  <c r="Z54" i="2"/>
  <c r="X54" i="2"/>
  <c r="W54" i="2"/>
  <c r="Q54" i="2"/>
  <c r="P54" i="2"/>
  <c r="O54" i="2"/>
  <c r="J54" i="2"/>
  <c r="I54" i="2"/>
  <c r="B54" i="2"/>
  <c r="A54" i="2"/>
  <c r="AG53" i="2"/>
  <c r="AD53" i="2"/>
  <c r="AB53" i="2"/>
  <c r="AA53" i="2"/>
  <c r="Z53" i="2"/>
  <c r="X53" i="2"/>
  <c r="W53" i="2"/>
  <c r="Q53" i="2"/>
  <c r="P53" i="2"/>
  <c r="O53" i="2"/>
  <c r="J53" i="2"/>
  <c r="I53" i="2"/>
  <c r="B53" i="2"/>
  <c r="A53" i="2"/>
  <c r="AG52" i="2"/>
  <c r="AD52" i="2"/>
  <c r="AB52" i="2"/>
  <c r="AA52" i="2"/>
  <c r="Z52" i="2"/>
  <c r="X52" i="2"/>
  <c r="W52" i="2"/>
  <c r="Q52" i="2"/>
  <c r="P52" i="2"/>
  <c r="O52" i="2"/>
  <c r="J52" i="2"/>
  <c r="I52" i="2"/>
  <c r="B52" i="2"/>
  <c r="A52" i="2"/>
  <c r="AG51" i="2"/>
  <c r="AD51" i="2"/>
  <c r="AB51" i="2"/>
  <c r="AA51" i="2"/>
  <c r="Z51" i="2"/>
  <c r="X51" i="2"/>
  <c r="W51" i="2"/>
  <c r="Q51" i="2"/>
  <c r="P51" i="2"/>
  <c r="O51" i="2"/>
  <c r="J51" i="2"/>
  <c r="I51" i="2"/>
  <c r="B51" i="2"/>
  <c r="A51" i="2"/>
  <c r="AG50" i="2"/>
  <c r="AD50" i="2"/>
  <c r="AB50" i="2"/>
  <c r="AA50" i="2"/>
  <c r="Z50" i="2"/>
  <c r="X50" i="2"/>
  <c r="W50" i="2"/>
  <c r="Q50" i="2"/>
  <c r="P50" i="2"/>
  <c r="O50" i="2"/>
  <c r="J50" i="2"/>
  <c r="I50" i="2"/>
  <c r="B50" i="2"/>
  <c r="A50" i="2"/>
  <c r="AG49" i="2"/>
  <c r="AD49" i="2"/>
  <c r="AB49" i="2"/>
  <c r="AA49" i="2"/>
  <c r="Z49" i="2"/>
  <c r="X49" i="2"/>
  <c r="W49" i="2"/>
  <c r="Q49" i="2"/>
  <c r="P49" i="2"/>
  <c r="O49" i="2"/>
  <c r="J49" i="2"/>
  <c r="I49" i="2"/>
  <c r="B49" i="2"/>
  <c r="A49" i="2"/>
  <c r="AG48" i="2"/>
  <c r="AD48" i="2"/>
  <c r="AB48" i="2"/>
  <c r="AA48" i="2"/>
  <c r="Z48" i="2"/>
  <c r="X48" i="2"/>
  <c r="W48" i="2"/>
  <c r="Q48" i="2"/>
  <c r="P48" i="2"/>
  <c r="O48" i="2"/>
  <c r="J48" i="2"/>
  <c r="I48" i="2"/>
  <c r="B48" i="2"/>
  <c r="A48" i="2"/>
  <c r="AG47" i="2"/>
  <c r="AD47" i="2"/>
  <c r="AB47" i="2"/>
  <c r="AA47" i="2"/>
  <c r="Z47" i="2"/>
  <c r="X47" i="2"/>
  <c r="W47" i="2"/>
  <c r="Q47" i="2"/>
  <c r="P47" i="2"/>
  <c r="O47" i="2"/>
  <c r="J47" i="2"/>
  <c r="I47" i="2"/>
  <c r="B47" i="2"/>
  <c r="A47" i="2"/>
  <c r="AG46" i="2"/>
  <c r="AD46" i="2"/>
  <c r="AB46" i="2"/>
  <c r="AA46" i="2"/>
  <c r="Z46" i="2"/>
  <c r="X46" i="2"/>
  <c r="W46" i="2"/>
  <c r="Q46" i="2"/>
  <c r="P46" i="2"/>
  <c r="O46" i="2"/>
  <c r="J46" i="2"/>
  <c r="I46" i="2"/>
  <c r="B46" i="2"/>
  <c r="A46" i="2"/>
  <c r="AG45" i="2"/>
  <c r="AD45" i="2"/>
  <c r="AB45" i="2"/>
  <c r="AA45" i="2"/>
  <c r="Z45" i="2"/>
  <c r="X45" i="2"/>
  <c r="W45" i="2"/>
  <c r="Q45" i="2"/>
  <c r="P45" i="2"/>
  <c r="O45" i="2"/>
  <c r="J45" i="2"/>
  <c r="I45" i="2"/>
  <c r="B45" i="2"/>
  <c r="A45" i="2"/>
  <c r="AG44" i="2"/>
  <c r="AD44" i="2"/>
  <c r="AB44" i="2"/>
  <c r="AA44" i="2"/>
  <c r="Z44" i="2"/>
  <c r="X44" i="2"/>
  <c r="W44" i="2"/>
  <c r="Q44" i="2"/>
  <c r="P44" i="2"/>
  <c r="O44" i="2"/>
  <c r="J44" i="2"/>
  <c r="I44" i="2"/>
  <c r="B44" i="2"/>
  <c r="A44" i="2"/>
  <c r="AG43" i="2"/>
  <c r="AD43" i="2"/>
  <c r="AB43" i="2"/>
  <c r="AA43" i="2"/>
  <c r="Z43" i="2"/>
  <c r="X43" i="2"/>
  <c r="W43" i="2"/>
  <c r="Q43" i="2"/>
  <c r="P43" i="2"/>
  <c r="O43" i="2"/>
  <c r="J43" i="2"/>
  <c r="I43" i="2"/>
  <c r="B43" i="2"/>
  <c r="A43" i="2"/>
  <c r="AG42" i="2"/>
  <c r="AD42" i="2"/>
  <c r="AB42" i="2"/>
  <c r="AA42" i="2"/>
  <c r="Z42" i="2"/>
  <c r="X42" i="2"/>
  <c r="W42" i="2"/>
  <c r="Q42" i="2"/>
  <c r="P42" i="2"/>
  <c r="O42" i="2"/>
  <c r="J42" i="2"/>
  <c r="I42" i="2"/>
  <c r="B42" i="2"/>
  <c r="A42" i="2"/>
  <c r="AG41" i="2"/>
  <c r="AD41" i="2"/>
  <c r="AB41" i="2"/>
  <c r="AA41" i="2"/>
  <c r="Z41" i="2"/>
  <c r="X41" i="2"/>
  <c r="W41" i="2"/>
  <c r="Q41" i="2"/>
  <c r="P41" i="2"/>
  <c r="O41" i="2"/>
  <c r="J41" i="2"/>
  <c r="I41" i="2"/>
  <c r="B41" i="2"/>
  <c r="A41" i="2"/>
  <c r="AG40" i="2"/>
  <c r="AD40" i="2"/>
  <c r="AB40" i="2"/>
  <c r="AA40" i="2"/>
  <c r="Z40" i="2"/>
  <c r="X40" i="2"/>
  <c r="W40" i="2"/>
  <c r="Q40" i="2"/>
  <c r="P40" i="2"/>
  <c r="O40" i="2"/>
  <c r="J40" i="2"/>
  <c r="I40" i="2"/>
  <c r="B40" i="2"/>
  <c r="A40" i="2"/>
  <c r="AG39" i="2"/>
  <c r="AD39" i="2"/>
  <c r="AB39" i="2"/>
  <c r="AA39" i="2"/>
  <c r="Z39" i="2"/>
  <c r="X39" i="2"/>
  <c r="W39" i="2"/>
  <c r="Q39" i="2"/>
  <c r="P39" i="2"/>
  <c r="O39" i="2"/>
  <c r="J39" i="2"/>
  <c r="I39" i="2"/>
  <c r="B39" i="2"/>
  <c r="A39" i="2"/>
  <c r="AG38" i="2"/>
  <c r="AD38" i="2"/>
  <c r="AB38" i="2"/>
  <c r="AA38" i="2"/>
  <c r="Z38" i="2"/>
  <c r="X38" i="2"/>
  <c r="W38" i="2"/>
  <c r="Q38" i="2"/>
  <c r="P38" i="2"/>
  <c r="O38" i="2"/>
  <c r="J38" i="2"/>
  <c r="I38" i="2"/>
  <c r="B38" i="2"/>
  <c r="A38" i="2"/>
  <c r="AG37" i="2"/>
  <c r="AD37" i="2"/>
  <c r="AB37" i="2"/>
  <c r="AA37" i="2"/>
  <c r="Z37" i="2"/>
  <c r="X37" i="2"/>
  <c r="W37" i="2"/>
  <c r="Q37" i="2"/>
  <c r="P37" i="2"/>
  <c r="O37" i="2"/>
  <c r="J37" i="2"/>
  <c r="I37" i="2"/>
  <c r="B37" i="2"/>
  <c r="A37" i="2"/>
  <c r="AG36" i="2"/>
  <c r="AD36" i="2"/>
  <c r="AB36" i="2"/>
  <c r="AA36" i="2"/>
  <c r="Z36" i="2"/>
  <c r="X36" i="2"/>
  <c r="W36" i="2"/>
  <c r="Q36" i="2"/>
  <c r="P36" i="2"/>
  <c r="O36" i="2"/>
  <c r="J36" i="2"/>
  <c r="I36" i="2"/>
  <c r="B36" i="2"/>
  <c r="A36" i="2"/>
  <c r="AG35" i="2"/>
  <c r="AD35" i="2"/>
  <c r="AB35" i="2"/>
  <c r="AA35" i="2"/>
  <c r="Z35" i="2"/>
  <c r="X35" i="2"/>
  <c r="W35" i="2"/>
  <c r="Q35" i="2"/>
  <c r="P35" i="2"/>
  <c r="O35" i="2"/>
  <c r="J35" i="2"/>
  <c r="I35" i="2"/>
  <c r="B35" i="2"/>
  <c r="A35" i="2"/>
  <c r="AG34" i="2"/>
  <c r="AD34" i="2"/>
  <c r="AB34" i="2"/>
  <c r="AA34" i="2"/>
  <c r="Z34" i="2"/>
  <c r="X34" i="2"/>
  <c r="W34" i="2"/>
  <c r="Q34" i="2"/>
  <c r="P34" i="2"/>
  <c r="O34" i="2"/>
  <c r="J34" i="2"/>
  <c r="I34" i="2"/>
  <c r="B34" i="2"/>
  <c r="A34" i="2"/>
  <c r="AG33" i="2"/>
  <c r="AD33" i="2"/>
  <c r="AB33" i="2"/>
  <c r="AA33" i="2"/>
  <c r="Z33" i="2"/>
  <c r="X33" i="2"/>
  <c r="W33" i="2"/>
  <c r="Q33" i="2"/>
  <c r="P33" i="2"/>
  <c r="O33" i="2"/>
  <c r="J33" i="2"/>
  <c r="I33" i="2"/>
  <c r="B33" i="2"/>
  <c r="A33" i="2"/>
  <c r="AG32" i="2"/>
  <c r="AD32" i="2"/>
  <c r="AB32" i="2"/>
  <c r="AA32" i="2"/>
  <c r="Z32" i="2"/>
  <c r="X32" i="2"/>
  <c r="W32" i="2"/>
  <c r="Q32" i="2"/>
  <c r="P32" i="2"/>
  <c r="O32" i="2"/>
  <c r="J32" i="2"/>
  <c r="I32" i="2"/>
  <c r="B32" i="2"/>
  <c r="A32" i="2"/>
  <c r="AG31" i="2"/>
  <c r="AD31" i="2"/>
  <c r="AB31" i="2"/>
  <c r="AA31" i="2"/>
  <c r="Z31" i="2"/>
  <c r="X31" i="2"/>
  <c r="W31" i="2"/>
  <c r="Q31" i="2"/>
  <c r="P31" i="2"/>
  <c r="O31" i="2"/>
  <c r="J31" i="2"/>
  <c r="I31" i="2"/>
  <c r="B31" i="2"/>
  <c r="A31" i="2"/>
  <c r="AG30" i="2"/>
  <c r="AD30" i="2"/>
  <c r="AB30" i="2"/>
  <c r="AA30" i="2"/>
  <c r="Z30" i="2"/>
  <c r="X30" i="2"/>
  <c r="W30" i="2"/>
  <c r="Q30" i="2"/>
  <c r="P30" i="2"/>
  <c r="O30" i="2"/>
  <c r="J30" i="2"/>
  <c r="I30" i="2"/>
  <c r="B30" i="2"/>
  <c r="A30" i="2"/>
  <c r="AG29" i="2"/>
  <c r="AD29" i="2"/>
  <c r="AB29" i="2"/>
  <c r="AA29" i="2"/>
  <c r="Z29" i="2"/>
  <c r="X29" i="2"/>
  <c r="W29" i="2"/>
  <c r="Q29" i="2"/>
  <c r="P29" i="2"/>
  <c r="O29" i="2"/>
  <c r="J29" i="2"/>
  <c r="I29" i="2"/>
  <c r="B29" i="2"/>
  <c r="A29" i="2"/>
  <c r="AG28" i="2"/>
  <c r="AD28" i="2"/>
  <c r="AB28" i="2"/>
  <c r="AA28" i="2"/>
  <c r="Z28" i="2"/>
  <c r="X28" i="2"/>
  <c r="W28" i="2"/>
  <c r="Q28" i="2"/>
  <c r="P28" i="2"/>
  <c r="O28" i="2"/>
  <c r="J28" i="2"/>
  <c r="I28" i="2"/>
  <c r="B28" i="2"/>
  <c r="A28" i="2"/>
  <c r="AG27" i="2"/>
  <c r="AD27" i="2"/>
  <c r="AB27" i="2"/>
  <c r="AA27" i="2"/>
  <c r="Z27" i="2"/>
  <c r="X27" i="2"/>
  <c r="W27" i="2"/>
  <c r="Q27" i="2"/>
  <c r="P27" i="2"/>
  <c r="O27" i="2"/>
  <c r="J27" i="2"/>
  <c r="I27" i="2"/>
  <c r="B27" i="2"/>
  <c r="A27" i="2"/>
  <c r="AG26" i="2"/>
  <c r="AD26" i="2"/>
  <c r="AB26" i="2"/>
  <c r="AA26" i="2"/>
  <c r="Z26" i="2"/>
  <c r="X26" i="2"/>
  <c r="W26" i="2"/>
  <c r="Q26" i="2"/>
  <c r="P26" i="2"/>
  <c r="O26" i="2"/>
  <c r="J26" i="2"/>
  <c r="I26" i="2"/>
  <c r="B26" i="2"/>
  <c r="A26" i="2"/>
  <c r="AG25" i="2"/>
  <c r="AD25" i="2"/>
  <c r="AB25" i="2"/>
  <c r="AA25" i="2"/>
  <c r="Z25" i="2"/>
  <c r="X25" i="2"/>
  <c r="W25" i="2"/>
  <c r="Q25" i="2"/>
  <c r="P25" i="2"/>
  <c r="O25" i="2"/>
  <c r="J25" i="2"/>
  <c r="I25" i="2"/>
  <c r="B25" i="2"/>
  <c r="A25" i="2"/>
  <c r="AG24" i="2"/>
  <c r="AD24" i="2"/>
  <c r="AB24" i="2"/>
  <c r="AA24" i="2"/>
  <c r="Z24" i="2"/>
  <c r="X24" i="2"/>
  <c r="W24" i="2"/>
  <c r="Q24" i="2"/>
  <c r="P24" i="2"/>
  <c r="O24" i="2"/>
  <c r="J24" i="2"/>
  <c r="I24" i="2"/>
  <c r="B24" i="2"/>
  <c r="A24" i="2"/>
  <c r="AG23" i="2"/>
  <c r="AD23" i="2"/>
  <c r="AB23" i="2"/>
  <c r="AA23" i="2"/>
  <c r="Z23" i="2"/>
  <c r="X23" i="2"/>
  <c r="W23" i="2"/>
  <c r="Q23" i="2"/>
  <c r="P23" i="2"/>
  <c r="O23" i="2"/>
  <c r="J23" i="2"/>
  <c r="I23" i="2"/>
  <c r="B23" i="2"/>
  <c r="A23" i="2"/>
  <c r="AG22" i="2"/>
  <c r="AD22" i="2"/>
  <c r="AB22" i="2"/>
  <c r="AA22" i="2"/>
  <c r="Z22" i="2"/>
  <c r="X22" i="2"/>
  <c r="W22" i="2"/>
  <c r="Q22" i="2"/>
  <c r="P22" i="2"/>
  <c r="O22" i="2"/>
  <c r="J22" i="2"/>
  <c r="I22" i="2"/>
  <c r="B22" i="2"/>
  <c r="A22" i="2"/>
  <c r="AG21" i="2"/>
  <c r="AD21" i="2"/>
  <c r="AB21" i="2"/>
  <c r="AA21" i="2"/>
  <c r="Z21" i="2"/>
  <c r="X21" i="2"/>
  <c r="W21" i="2"/>
  <c r="Q21" i="2"/>
  <c r="P21" i="2"/>
  <c r="O21" i="2"/>
  <c r="J21" i="2"/>
  <c r="I21" i="2"/>
  <c r="B21" i="2"/>
  <c r="A21" i="2"/>
  <c r="AG20" i="2"/>
  <c r="AD20" i="2"/>
  <c r="AB20" i="2"/>
  <c r="AA20" i="2"/>
  <c r="Z20" i="2"/>
  <c r="X20" i="2"/>
  <c r="W20" i="2"/>
  <c r="Q20" i="2"/>
  <c r="P20" i="2"/>
  <c r="O20" i="2"/>
  <c r="J20" i="2"/>
  <c r="I20" i="2"/>
  <c r="B20" i="2"/>
  <c r="A20" i="2"/>
  <c r="AG19" i="2"/>
  <c r="AD19" i="2"/>
  <c r="AB19" i="2"/>
  <c r="AA19" i="2"/>
  <c r="Z19" i="2"/>
  <c r="X19" i="2"/>
  <c r="W19" i="2"/>
  <c r="Q19" i="2"/>
  <c r="P19" i="2"/>
  <c r="O19" i="2"/>
  <c r="J19" i="2"/>
  <c r="I19" i="2"/>
  <c r="B19" i="2"/>
  <c r="A19" i="2"/>
  <c r="AG18" i="2"/>
  <c r="AD18" i="2"/>
  <c r="AB18" i="2"/>
  <c r="AA18" i="2"/>
  <c r="Z18" i="2"/>
  <c r="X18" i="2"/>
  <c r="W18" i="2"/>
  <c r="Q18" i="2"/>
  <c r="P18" i="2"/>
  <c r="O18" i="2"/>
  <c r="J18" i="2"/>
  <c r="I18" i="2"/>
  <c r="B18" i="2"/>
  <c r="A18" i="2"/>
  <c r="AG17" i="2"/>
  <c r="AD17" i="2"/>
  <c r="AB17" i="2"/>
  <c r="AA17" i="2"/>
  <c r="Z17" i="2"/>
  <c r="X17" i="2"/>
  <c r="W17" i="2"/>
  <c r="Q17" i="2"/>
  <c r="P17" i="2"/>
  <c r="O17" i="2"/>
  <c r="J17" i="2"/>
  <c r="I17" i="2"/>
  <c r="B17" i="2"/>
  <c r="A17" i="2"/>
  <c r="AG16" i="2"/>
  <c r="AD16" i="2"/>
  <c r="AB16" i="2"/>
  <c r="AA16" i="2"/>
  <c r="Z16" i="2"/>
  <c r="X16" i="2"/>
  <c r="W16" i="2"/>
  <c r="Q16" i="2"/>
  <c r="P16" i="2"/>
  <c r="O16" i="2"/>
  <c r="J16" i="2"/>
  <c r="I16" i="2"/>
  <c r="B16" i="2"/>
  <c r="A16" i="2"/>
  <c r="AG15" i="2"/>
  <c r="AD15" i="2"/>
  <c r="AB15" i="2"/>
  <c r="AA15" i="2"/>
  <c r="Z15" i="2"/>
  <c r="X15" i="2"/>
  <c r="W15" i="2"/>
  <c r="Q15" i="2"/>
  <c r="P15" i="2"/>
  <c r="O15" i="2"/>
  <c r="J15" i="2"/>
  <c r="I15" i="2"/>
  <c r="B15" i="2"/>
  <c r="A15" i="2"/>
  <c r="AG14" i="2"/>
  <c r="AD14" i="2"/>
  <c r="AB14" i="2"/>
  <c r="AA14" i="2"/>
  <c r="Z14" i="2"/>
  <c r="X14" i="2"/>
  <c r="W14" i="2"/>
  <c r="Q14" i="2"/>
  <c r="P14" i="2"/>
  <c r="O14" i="2"/>
  <c r="J14" i="2"/>
  <c r="I14" i="2"/>
  <c r="B14" i="2"/>
  <c r="A14" i="2"/>
  <c r="AG13" i="2"/>
  <c r="AD13" i="2"/>
  <c r="AB13" i="2"/>
  <c r="AA13" i="2"/>
  <c r="Z13" i="2"/>
  <c r="X13" i="2"/>
  <c r="W13" i="2"/>
  <c r="Q13" i="2"/>
  <c r="P13" i="2"/>
  <c r="O13" i="2"/>
  <c r="J13" i="2"/>
  <c r="I13" i="2"/>
  <c r="B13" i="2"/>
  <c r="A13" i="2"/>
  <c r="AG12" i="2"/>
  <c r="AD12" i="2"/>
  <c r="AB12" i="2"/>
  <c r="AA12" i="2"/>
  <c r="Z12" i="2"/>
  <c r="X12" i="2"/>
  <c r="W12" i="2"/>
  <c r="Q12" i="2"/>
  <c r="P12" i="2"/>
  <c r="O12" i="2"/>
  <c r="J12" i="2"/>
  <c r="I12" i="2"/>
  <c r="B12" i="2"/>
  <c r="A12" i="2"/>
  <c r="AG11" i="2"/>
  <c r="AD11" i="2"/>
  <c r="AB11" i="2"/>
  <c r="AA11" i="2"/>
  <c r="Z11" i="2"/>
  <c r="X11" i="2"/>
  <c r="W11" i="2"/>
  <c r="Q11" i="2"/>
  <c r="P11" i="2"/>
  <c r="O11" i="2"/>
  <c r="J11" i="2"/>
  <c r="I11" i="2"/>
  <c r="B11" i="2"/>
  <c r="A11" i="2"/>
  <c r="AG10" i="2"/>
  <c r="AD10" i="2"/>
  <c r="AB10" i="2"/>
  <c r="AA10" i="2"/>
  <c r="Z10" i="2"/>
  <c r="X10" i="2"/>
  <c r="W10" i="2"/>
  <c r="Q10" i="2"/>
  <c r="P10" i="2"/>
  <c r="O10" i="2"/>
  <c r="J10" i="2"/>
  <c r="I10" i="2"/>
  <c r="B10" i="2"/>
  <c r="A10" i="2"/>
  <c r="AG9" i="2"/>
  <c r="AD9" i="2"/>
  <c r="AB9" i="2"/>
  <c r="AA9" i="2"/>
  <c r="Z9" i="2"/>
  <c r="X9" i="2"/>
  <c r="W9" i="2"/>
  <c r="Q9" i="2"/>
  <c r="P9" i="2"/>
  <c r="O9" i="2"/>
  <c r="J9" i="2"/>
  <c r="I9" i="2"/>
  <c r="B9" i="2"/>
  <c r="A9" i="2"/>
  <c r="AG8" i="2"/>
  <c r="AD8" i="2"/>
  <c r="AB8" i="2"/>
  <c r="AA8" i="2"/>
  <c r="Z8" i="2"/>
  <c r="X8" i="2"/>
  <c r="W8" i="2"/>
  <c r="Q8" i="2"/>
  <c r="P8" i="2"/>
  <c r="O8" i="2"/>
  <c r="J8" i="2"/>
  <c r="I8" i="2"/>
  <c r="B8" i="2"/>
  <c r="A8" i="2"/>
  <c r="AG7" i="2"/>
  <c r="AD7" i="2"/>
  <c r="AB7" i="2"/>
  <c r="AA7" i="2"/>
  <c r="Z7" i="2"/>
  <c r="X7" i="2"/>
  <c r="W7" i="2"/>
  <c r="Q7" i="2"/>
  <c r="P7" i="2"/>
  <c r="O7" i="2"/>
  <c r="J7" i="2"/>
  <c r="I7" i="2"/>
  <c r="B7" i="2"/>
  <c r="A7" i="2"/>
  <c r="AG6" i="2"/>
  <c r="AD6" i="2"/>
  <c r="AB6" i="2"/>
  <c r="AA6" i="2"/>
  <c r="Z6" i="2"/>
  <c r="X6" i="2"/>
  <c r="W6" i="2"/>
  <c r="Q6" i="2"/>
  <c r="P6" i="2"/>
  <c r="O6" i="2"/>
  <c r="J6" i="2"/>
  <c r="I6" i="2"/>
  <c r="B6" i="2"/>
  <c r="A6" i="2"/>
  <c r="AG5" i="2"/>
  <c r="AD5" i="2"/>
  <c r="AB5" i="2"/>
  <c r="AA5" i="2"/>
  <c r="Z5" i="2"/>
  <c r="X5" i="2"/>
  <c r="W5" i="2"/>
  <c r="Q5" i="2"/>
  <c r="P5" i="2"/>
  <c r="O5" i="2"/>
  <c r="J5" i="2"/>
  <c r="I5" i="2"/>
  <c r="B5" i="2"/>
  <c r="A5" i="2"/>
  <c r="AG4" i="2"/>
  <c r="AD4" i="2"/>
  <c r="AB4" i="2"/>
  <c r="AA4" i="2"/>
  <c r="Z4" i="2"/>
  <c r="X4" i="2"/>
  <c r="W4" i="2"/>
  <c r="Q4" i="2"/>
  <c r="P4" i="2"/>
  <c r="O4" i="2"/>
  <c r="J4" i="2"/>
  <c r="I4" i="2"/>
  <c r="B4" i="2"/>
  <c r="A4" i="2"/>
  <c r="AG3" i="2"/>
  <c r="AD3" i="2"/>
  <c r="AB3" i="2"/>
  <c r="AA3" i="2"/>
  <c r="Z3" i="2"/>
  <c r="X3" i="2"/>
  <c r="W3" i="2"/>
  <c r="Q3" i="2"/>
  <c r="P3" i="2"/>
  <c r="O3" i="2"/>
  <c r="J3" i="2"/>
  <c r="I3" i="2"/>
  <c r="B3" i="2"/>
  <c r="A3" i="2"/>
  <c r="AG2" i="2"/>
  <c r="AD2" i="2"/>
  <c r="AB2" i="2"/>
  <c r="AA2" i="2"/>
  <c r="Z2" i="2"/>
  <c r="X2" i="2"/>
  <c r="W2" i="2"/>
  <c r="Q2" i="2"/>
  <c r="P2" i="2"/>
  <c r="O2" i="2"/>
  <c r="J2" i="2"/>
  <c r="I2" i="2"/>
  <c r="B2" i="2"/>
  <c r="A2" i="2"/>
  <c r="I11" i="6" l="1"/>
  <c r="H11" i="6"/>
  <c r="I14" i="6"/>
  <c r="H14" i="6"/>
  <c r="H18" i="6"/>
  <c r="I18" i="6"/>
  <c r="I22" i="6"/>
  <c r="H22" i="6"/>
  <c r="H26" i="6"/>
  <c r="I26" i="6"/>
  <c r="I30" i="6"/>
  <c r="H30" i="6"/>
  <c r="H34" i="6"/>
  <c r="I34" i="6"/>
  <c r="I38" i="6"/>
  <c r="H38" i="6"/>
  <c r="H42" i="6"/>
  <c r="I42" i="6"/>
  <c r="I46" i="6"/>
  <c r="H46" i="6"/>
  <c r="H50" i="6"/>
  <c r="I50" i="6"/>
  <c r="I54" i="6"/>
  <c r="H54" i="6"/>
  <c r="H58" i="6"/>
  <c r="I58" i="6"/>
  <c r="I62" i="6"/>
  <c r="H62" i="6"/>
  <c r="H66" i="6"/>
  <c r="I66" i="6"/>
  <c r="I70" i="6"/>
  <c r="H70" i="6"/>
  <c r="H74" i="6"/>
  <c r="I74" i="6"/>
  <c r="I78" i="6"/>
  <c r="H78" i="6"/>
  <c r="H82" i="6"/>
  <c r="I82" i="6"/>
  <c r="I86" i="6"/>
  <c r="H86" i="6"/>
  <c r="H90" i="6"/>
  <c r="I90" i="6"/>
  <c r="I94" i="6"/>
  <c r="H94" i="6"/>
  <c r="H98" i="6"/>
  <c r="I98" i="6"/>
  <c r="I102" i="6"/>
  <c r="H102" i="6"/>
  <c r="I13" i="6"/>
  <c r="H13" i="6"/>
  <c r="I25" i="6"/>
  <c r="H25" i="6"/>
  <c r="I29" i="6"/>
  <c r="H29" i="6"/>
  <c r="I33" i="6"/>
  <c r="H33" i="6"/>
  <c r="I37" i="6"/>
  <c r="H37" i="6"/>
  <c r="I41" i="6"/>
  <c r="H41" i="6"/>
  <c r="I45" i="6"/>
  <c r="H45" i="6"/>
  <c r="I49" i="6"/>
  <c r="H49" i="6"/>
  <c r="I53" i="6"/>
  <c r="H53" i="6"/>
  <c r="I57" i="6"/>
  <c r="H57" i="6"/>
  <c r="I61" i="6"/>
  <c r="H61" i="6"/>
  <c r="I65" i="6"/>
  <c r="H65" i="6"/>
  <c r="I69" i="6"/>
  <c r="H69" i="6"/>
  <c r="I73" i="6"/>
  <c r="H73" i="6"/>
  <c r="I77" i="6"/>
  <c r="H77" i="6"/>
  <c r="I81" i="6"/>
  <c r="H81" i="6"/>
  <c r="I85" i="6"/>
  <c r="H85" i="6"/>
  <c r="I89" i="6"/>
  <c r="H89" i="6"/>
  <c r="I93" i="6"/>
  <c r="H93" i="6"/>
  <c r="I97" i="6"/>
  <c r="H97" i="6"/>
  <c r="H101" i="6"/>
  <c r="I101" i="6"/>
  <c r="I17" i="6"/>
  <c r="H17" i="6"/>
  <c r="I21" i="6"/>
  <c r="H21" i="6"/>
  <c r="I10" i="6"/>
  <c r="H10" i="6"/>
  <c r="I12" i="6"/>
  <c r="H12" i="6"/>
  <c r="I20" i="6"/>
  <c r="H20" i="6"/>
  <c r="I24" i="6"/>
  <c r="H24" i="6"/>
  <c r="I28" i="6"/>
  <c r="H28" i="6"/>
  <c r="I32" i="6"/>
  <c r="H32" i="6"/>
  <c r="I36" i="6"/>
  <c r="H36" i="6"/>
  <c r="I40" i="6"/>
  <c r="H40" i="6"/>
  <c r="I44" i="6"/>
  <c r="H44" i="6"/>
  <c r="I48" i="6"/>
  <c r="H48" i="6"/>
  <c r="I52" i="6"/>
  <c r="H52" i="6"/>
  <c r="I56" i="6"/>
  <c r="H56" i="6"/>
  <c r="I60" i="6"/>
  <c r="H60" i="6"/>
  <c r="I64" i="6"/>
  <c r="H64" i="6"/>
  <c r="I68" i="6"/>
  <c r="H68" i="6"/>
  <c r="I72" i="6"/>
  <c r="H72" i="6"/>
  <c r="I76" i="6"/>
  <c r="H76" i="6"/>
  <c r="I80" i="6"/>
  <c r="H80" i="6"/>
  <c r="I84" i="6"/>
  <c r="H84" i="6"/>
  <c r="I88" i="6"/>
  <c r="H88" i="6"/>
  <c r="I92" i="6"/>
  <c r="H92" i="6"/>
  <c r="I96" i="6"/>
  <c r="H96" i="6"/>
  <c r="I100" i="6"/>
  <c r="H100" i="6"/>
  <c r="H104" i="6"/>
  <c r="I104" i="6"/>
  <c r="H16" i="6"/>
  <c r="I16" i="6"/>
  <c r="I15" i="6"/>
  <c r="H15" i="6"/>
  <c r="I19" i="6"/>
  <c r="H19" i="6"/>
  <c r="I23" i="6"/>
  <c r="H23" i="6"/>
  <c r="I27" i="6"/>
  <c r="H27" i="6"/>
  <c r="I31" i="6"/>
  <c r="H31" i="6"/>
  <c r="I35" i="6"/>
  <c r="H35" i="6"/>
  <c r="I39" i="6"/>
  <c r="H39" i="6"/>
  <c r="I43" i="6"/>
  <c r="H43" i="6"/>
  <c r="I47" i="6"/>
  <c r="H47" i="6"/>
  <c r="I51" i="6"/>
  <c r="H51" i="6"/>
  <c r="I55" i="6"/>
  <c r="H55" i="6"/>
  <c r="I59" i="6"/>
  <c r="H59" i="6"/>
  <c r="I63" i="6"/>
  <c r="H63" i="6"/>
  <c r="I67" i="6"/>
  <c r="H67" i="6"/>
  <c r="I71" i="6"/>
  <c r="H71" i="6"/>
  <c r="I75" i="6"/>
  <c r="H75" i="6"/>
  <c r="I79" i="6"/>
  <c r="H79" i="6"/>
  <c r="I83" i="6"/>
  <c r="H83" i="6"/>
  <c r="I87" i="6"/>
  <c r="H87" i="6"/>
  <c r="I91" i="6"/>
  <c r="H91" i="6"/>
  <c r="I95" i="6"/>
  <c r="H95" i="6"/>
  <c r="I99" i="6"/>
  <c r="H99" i="6"/>
  <c r="I103" i="6"/>
  <c r="H103" i="6"/>
  <c r="S394" i="6"/>
  <c r="AG394" i="6"/>
  <c r="AH394" i="6" s="1"/>
  <c r="AF394" i="6"/>
  <c r="AM392" i="6"/>
  <c r="AM388" i="6"/>
  <c r="AM384" i="6"/>
  <c r="AM380" i="6"/>
  <c r="AM376" i="6"/>
  <c r="AM372" i="6"/>
  <c r="AM368" i="6"/>
  <c r="AM364" i="6"/>
  <c r="AM360" i="6"/>
  <c r="L390" i="6"/>
  <c r="L386" i="6"/>
  <c r="L382" i="6"/>
  <c r="L378" i="6"/>
  <c r="L374" i="6"/>
  <c r="L370" i="6"/>
  <c r="L366" i="6"/>
  <c r="L362" i="6"/>
  <c r="L358" i="6"/>
  <c r="AM393" i="6"/>
  <c r="AM389" i="6"/>
  <c r="AM385" i="6"/>
  <c r="AM381" i="6"/>
  <c r="AM377" i="6"/>
  <c r="AM373" i="6"/>
  <c r="AM369" i="6"/>
  <c r="AM365" i="6"/>
  <c r="AM361" i="6"/>
  <c r="AM357" i="6"/>
  <c r="AM353" i="6"/>
  <c r="AM349" i="6"/>
  <c r="AM345" i="6"/>
  <c r="M393" i="6"/>
  <c r="Q388" i="6"/>
  <c r="E383" i="6"/>
  <c r="M377" i="6"/>
  <c r="Q372" i="6"/>
  <c r="E367" i="6"/>
  <c r="M361" i="6"/>
  <c r="Q356" i="6"/>
  <c r="E351" i="6"/>
  <c r="M345" i="6"/>
  <c r="Q340" i="6"/>
  <c r="E335" i="6"/>
  <c r="M329" i="6"/>
  <c r="Q324" i="6"/>
  <c r="E319" i="6"/>
  <c r="F390" i="6"/>
  <c r="Q379" i="6"/>
  <c r="F375" i="6"/>
  <c r="N364" i="6"/>
  <c r="Q359" i="6"/>
  <c r="B355" i="6"/>
  <c r="AD349" i="6"/>
  <c r="F344" i="6"/>
  <c r="O336" i="6"/>
  <c r="M332" i="6"/>
  <c r="L330" i="6"/>
  <c r="J326" i="6"/>
  <c r="F318" i="6"/>
  <c r="P314" i="6"/>
  <c r="P310" i="6"/>
  <c r="P306" i="6"/>
  <c r="P302" i="6"/>
  <c r="P298" i="6"/>
  <c r="P294" i="6"/>
  <c r="P290" i="6"/>
  <c r="P286" i="6"/>
  <c r="P282" i="6"/>
  <c r="P278" i="6"/>
  <c r="P274" i="6"/>
  <c r="E390" i="6"/>
  <c r="N379" i="6"/>
  <c r="D375" i="6"/>
  <c r="M364" i="6"/>
  <c r="N359" i="6"/>
  <c r="AD352" i="6"/>
  <c r="Q347" i="6"/>
  <c r="J342" i="6"/>
  <c r="F335" i="6"/>
  <c r="D333" i="6"/>
  <c r="K330" i="6"/>
  <c r="O322" i="6"/>
  <c r="M318" i="6"/>
  <c r="O316" i="6"/>
  <c r="O312" i="6"/>
  <c r="O308" i="6"/>
  <c r="O304" i="6"/>
  <c r="O300" i="6"/>
  <c r="O296" i="6"/>
  <c r="O292" i="6"/>
  <c r="O288" i="6"/>
  <c r="O284" i="6"/>
  <c r="O280" i="6"/>
  <c r="O276" i="6"/>
  <c r="O272" i="6"/>
  <c r="O268" i="6"/>
  <c r="O264" i="6"/>
  <c r="O260" i="6"/>
  <c r="O256" i="6"/>
  <c r="O252" i="6"/>
  <c r="O248" i="6"/>
  <c r="O244" i="6"/>
  <c r="O240" i="6"/>
  <c r="O236" i="6"/>
  <c r="O232" i="6"/>
  <c r="O228" i="6"/>
  <c r="O224" i="6"/>
  <c r="O220" i="6"/>
  <c r="B391" i="6"/>
  <c r="F386" i="6"/>
  <c r="Q375" i="6"/>
  <c r="F371" i="6"/>
  <c r="O360" i="6"/>
  <c r="B354" i="6"/>
  <c r="AE348" i="6"/>
  <c r="D344" i="6"/>
  <c r="O337" i="6"/>
  <c r="N335" i="6"/>
  <c r="L333" i="6"/>
  <c r="Q325" i="6"/>
  <c r="AE320" i="6"/>
  <c r="AD318" i="6"/>
  <c r="F316" i="6"/>
  <c r="AD312" i="6"/>
  <c r="J309" i="6"/>
  <c r="N306" i="6"/>
  <c r="B303" i="6"/>
  <c r="AE392" i="6"/>
  <c r="AE388" i="6"/>
  <c r="AE384" i="6"/>
  <c r="AE380" i="6"/>
  <c r="AE376" i="6"/>
  <c r="AE372" i="6"/>
  <c r="AE368" i="6"/>
  <c r="AE364" i="6"/>
  <c r="AE360" i="6"/>
  <c r="D390" i="6"/>
  <c r="D386" i="6"/>
  <c r="D382" i="6"/>
  <c r="D378" i="6"/>
  <c r="D374" i="6"/>
  <c r="D370" i="6"/>
  <c r="D366" i="6"/>
  <c r="D362" i="6"/>
  <c r="D358" i="6"/>
  <c r="AE393" i="6"/>
  <c r="AE389" i="6"/>
  <c r="AE385" i="6"/>
  <c r="AE381" i="6"/>
  <c r="AE377" i="6"/>
  <c r="AE373" i="6"/>
  <c r="AE369" i="6"/>
  <c r="AE365" i="6"/>
  <c r="AE361" i="6"/>
  <c r="AE357" i="6"/>
  <c r="AE353" i="6"/>
  <c r="AE349" i="6"/>
  <c r="AE345" i="6"/>
  <c r="E393" i="6"/>
  <c r="M387" i="6"/>
  <c r="Q382" i="6"/>
  <c r="E377" i="6"/>
  <c r="M371" i="6"/>
  <c r="Q366" i="6"/>
  <c r="E361" i="6"/>
  <c r="M355" i="6"/>
  <c r="Q350" i="6"/>
  <c r="E345" i="6"/>
  <c r="M339" i="6"/>
  <c r="Q334" i="6"/>
  <c r="E329" i="6"/>
  <c r="M323" i="6"/>
  <c r="Q318" i="6"/>
  <c r="J385" i="6"/>
  <c r="B379" i="6"/>
  <c r="F374" i="6"/>
  <c r="Q363" i="6"/>
  <c r="D359" i="6"/>
  <c r="N354" i="6"/>
  <c r="K349" i="6"/>
  <c r="AN343" i="6"/>
  <c r="P335" i="6"/>
  <c r="E332" i="6"/>
  <c r="D330" i="6"/>
  <c r="B326" i="6"/>
  <c r="O317" i="6"/>
  <c r="L313" i="6"/>
  <c r="L309" i="6"/>
  <c r="L305" i="6"/>
  <c r="L301" i="6"/>
  <c r="L297" i="6"/>
  <c r="L293" i="6"/>
  <c r="L289" i="6"/>
  <c r="L285" i="6"/>
  <c r="L281" i="6"/>
  <c r="L277" i="6"/>
  <c r="Q393" i="6"/>
  <c r="F389" i="6"/>
  <c r="N378" i="6"/>
  <c r="E374" i="6"/>
  <c r="N363" i="6"/>
  <c r="AM356" i="6"/>
  <c r="N351" i="6"/>
  <c r="F347" i="6"/>
  <c r="P340" i="6"/>
  <c r="AN334" i="6"/>
  <c r="AM332" i="6"/>
  <c r="K329" i="6"/>
  <c r="P321" i="6"/>
  <c r="E318" i="6"/>
  <c r="K315" i="6"/>
  <c r="K311" i="6"/>
  <c r="K307" i="6"/>
  <c r="K303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251" i="6"/>
  <c r="K247" i="6"/>
  <c r="K243" i="6"/>
  <c r="K239" i="6"/>
  <c r="K235" i="6"/>
  <c r="K231" i="6"/>
  <c r="K227" i="6"/>
  <c r="K223" i="6"/>
  <c r="K219" i="6"/>
  <c r="AD390" i="6"/>
  <c r="J381" i="6"/>
  <c r="B375" i="6"/>
  <c r="F370" i="6"/>
  <c r="E360" i="6"/>
  <c r="Q353" i="6"/>
  <c r="J348" i="6"/>
  <c r="AN342" i="6"/>
  <c r="F337" i="6"/>
  <c r="D335" i="6"/>
  <c r="K332" i="6"/>
  <c r="O324" i="6"/>
  <c r="M320" i="6"/>
  <c r="L318" i="6"/>
  <c r="J315" i="6"/>
  <c r="N312" i="6"/>
  <c r="B309" i="6"/>
  <c r="F306" i="6"/>
  <c r="AD302" i="6"/>
  <c r="O392" i="6"/>
  <c r="O388" i="6"/>
  <c r="O384" i="6"/>
  <c r="O380" i="6"/>
  <c r="O376" i="6"/>
  <c r="O372" i="6"/>
  <c r="O368" i="6"/>
  <c r="O364" i="6"/>
  <c r="AN393" i="6"/>
  <c r="AN389" i="6"/>
  <c r="AN385" i="6"/>
  <c r="AN381" i="6"/>
  <c r="AN377" i="6"/>
  <c r="AN373" i="6"/>
  <c r="AN369" i="6"/>
  <c r="AN365" i="6"/>
  <c r="AN361" i="6"/>
  <c r="AN357" i="6"/>
  <c r="O393" i="6"/>
  <c r="O389" i="6"/>
  <c r="O385" i="6"/>
  <c r="O381" i="6"/>
  <c r="O377" i="6"/>
  <c r="O373" i="6"/>
  <c r="O369" i="6"/>
  <c r="O365" i="6"/>
  <c r="O361" i="6"/>
  <c r="O357" i="6"/>
  <c r="O353" i="6"/>
  <c r="O349" i="6"/>
  <c r="O345" i="6"/>
  <c r="Q392" i="6"/>
  <c r="E387" i="6"/>
  <c r="M381" i="6"/>
  <c r="Q376" i="6"/>
  <c r="E371" i="6"/>
  <c r="M365" i="6"/>
  <c r="Q360" i="6"/>
  <c r="E355" i="6"/>
  <c r="M349" i="6"/>
  <c r="Q344" i="6"/>
  <c r="E339" i="6"/>
  <c r="M333" i="6"/>
  <c r="Q328" i="6"/>
  <c r="E323" i="6"/>
  <c r="M317" i="6"/>
  <c r="AN384" i="6"/>
  <c r="AD378" i="6"/>
  <c r="J369" i="6"/>
  <c r="B363" i="6"/>
  <c r="J358" i="6"/>
  <c r="E354" i="6"/>
  <c r="M348" i="6"/>
  <c r="J343" i="6"/>
  <c r="N334" i="6"/>
  <c r="AN331" i="6"/>
  <c r="AM329" i="6"/>
  <c r="J325" i="6"/>
  <c r="F317" i="6"/>
  <c r="D313" i="6"/>
  <c r="D309" i="6"/>
  <c r="D305" i="6"/>
  <c r="D301" i="6"/>
  <c r="D297" i="6"/>
  <c r="D293" i="6"/>
  <c r="D289" i="6"/>
  <c r="D285" i="6"/>
  <c r="D281" i="6"/>
  <c r="D277" i="6"/>
  <c r="B393" i="6"/>
  <c r="F388" i="6"/>
  <c r="Q377" i="6"/>
  <c r="F373" i="6"/>
  <c r="N362" i="6"/>
  <c r="N356" i="6"/>
  <c r="O350" i="6"/>
  <c r="AM346" i="6"/>
  <c r="Q339" i="6"/>
  <c r="AE334" i="6"/>
  <c r="AD332" i="6"/>
  <c r="B329" i="6"/>
  <c r="N320" i="6"/>
  <c r="AN317" i="6"/>
  <c r="AM314" i="6"/>
  <c r="AM310" i="6"/>
  <c r="AM306" i="6"/>
  <c r="AM302" i="6"/>
  <c r="AM298" i="6"/>
  <c r="AM294" i="6"/>
  <c r="AM290" i="6"/>
  <c r="AM286" i="6"/>
  <c r="AM282" i="6"/>
  <c r="AM278" i="6"/>
  <c r="AM274" i="6"/>
  <c r="AM270" i="6"/>
  <c r="AM266" i="6"/>
  <c r="AM262" i="6"/>
  <c r="AM258" i="6"/>
  <c r="AM254" i="6"/>
  <c r="AM250" i="6"/>
  <c r="AM246" i="6"/>
  <c r="AM242" i="6"/>
  <c r="AM238" i="6"/>
  <c r="AM234" i="6"/>
  <c r="AM230" i="6"/>
  <c r="AM226" i="6"/>
  <c r="AM222" i="6"/>
  <c r="AM218" i="6"/>
  <c r="P390" i="6"/>
  <c r="AN380" i="6"/>
  <c r="AD374" i="6"/>
  <c r="J365" i="6"/>
  <c r="L359" i="6"/>
  <c r="F353" i="6"/>
  <c r="P347" i="6"/>
  <c r="AD342" i="6"/>
  <c r="AN336" i="6"/>
  <c r="AM334" i="6"/>
  <c r="K331" i="6"/>
  <c r="P323" i="6"/>
  <c r="E320" i="6"/>
  <c r="D318" i="6"/>
  <c r="B315" i="6"/>
  <c r="F312" i="6"/>
  <c r="AD308" i="6"/>
  <c r="J305" i="6"/>
  <c r="N302" i="6"/>
  <c r="K391" i="6"/>
  <c r="K387" i="6"/>
  <c r="K383" i="6"/>
  <c r="K379" i="6"/>
  <c r="K375" i="6"/>
  <c r="K371" i="6"/>
  <c r="K367" i="6"/>
  <c r="K363" i="6"/>
  <c r="P393" i="6"/>
  <c r="P389" i="6"/>
  <c r="P385" i="6"/>
  <c r="P381" i="6"/>
  <c r="P377" i="6"/>
  <c r="P373" i="6"/>
  <c r="P369" i="6"/>
  <c r="P365" i="6"/>
  <c r="P361" i="6"/>
  <c r="P357" i="6"/>
  <c r="K392" i="6"/>
  <c r="K388" i="6"/>
  <c r="K384" i="6"/>
  <c r="K380" i="6"/>
  <c r="K376" i="6"/>
  <c r="K372" i="6"/>
  <c r="K368" i="6"/>
  <c r="K364" i="6"/>
  <c r="K360" i="6"/>
  <c r="K356" i="6"/>
  <c r="K352" i="6"/>
  <c r="K348" i="6"/>
  <c r="K344" i="6"/>
  <c r="M391" i="6"/>
  <c r="Q386" i="6"/>
  <c r="E381" i="6"/>
  <c r="M375" i="6"/>
  <c r="Q370" i="6"/>
  <c r="E365" i="6"/>
  <c r="M359" i="6"/>
  <c r="Q354" i="6"/>
  <c r="E349" i="6"/>
  <c r="M343" i="6"/>
  <c r="Q338" i="6"/>
  <c r="E333" i="6"/>
  <c r="M327" i="6"/>
  <c r="Q322" i="6"/>
  <c r="E317" i="6"/>
  <c r="J384" i="6"/>
  <c r="P378" i="6"/>
  <c r="AN368" i="6"/>
  <c r="AD362" i="6"/>
  <c r="AD357" i="6"/>
  <c r="AE352" i="6"/>
  <c r="D348" i="6"/>
  <c r="L342" i="6"/>
  <c r="F334" i="6"/>
  <c r="AE331" i="6"/>
  <c r="AD329" i="6"/>
  <c r="P322" i="6"/>
  <c r="AN316" i="6"/>
  <c r="AN312" i="6"/>
  <c r="AN308" i="6"/>
  <c r="AN304" i="6"/>
  <c r="AN300" i="6"/>
  <c r="AN296" i="6"/>
  <c r="AN292" i="6"/>
  <c r="AN288" i="6"/>
  <c r="AN284" i="6"/>
  <c r="AN280" i="6"/>
  <c r="AN276" i="6"/>
  <c r="AD392" i="6"/>
  <c r="J383" i="6"/>
  <c r="B377" i="6"/>
  <c r="F372" i="6"/>
  <c r="Q361" i="6"/>
  <c r="B356" i="6"/>
  <c r="F350" i="6"/>
  <c r="L345" i="6"/>
  <c r="O338" i="6"/>
  <c r="M334" i="6"/>
  <c r="L332" i="6"/>
  <c r="J328" i="6"/>
  <c r="F320" i="6"/>
  <c r="AE317" i="6"/>
  <c r="AE314" i="6"/>
  <c r="AE310" i="6"/>
  <c r="AE306" i="6"/>
  <c r="AE302" i="6"/>
  <c r="AE298" i="6"/>
  <c r="AE294" i="6"/>
  <c r="AE290" i="6"/>
  <c r="AE286" i="6"/>
  <c r="AE282" i="6"/>
  <c r="AE278" i="6"/>
  <c r="AE274" i="6"/>
  <c r="AE270" i="6"/>
  <c r="AE266" i="6"/>
  <c r="AE262" i="6"/>
  <c r="AE258" i="6"/>
  <c r="AE254" i="6"/>
  <c r="AE250" i="6"/>
  <c r="AE246" i="6"/>
  <c r="AE242" i="6"/>
  <c r="AE238" i="6"/>
  <c r="AE234" i="6"/>
  <c r="AE230" i="6"/>
  <c r="AE226" i="6"/>
  <c r="AE222" i="6"/>
  <c r="AE218" i="6"/>
  <c r="B390" i="6"/>
  <c r="J380" i="6"/>
  <c r="P374" i="6"/>
  <c r="AN364" i="6"/>
  <c r="B359" i="6"/>
  <c r="AM352" i="6"/>
  <c r="D347" i="6"/>
  <c r="Q341" i="6"/>
  <c r="AE336" i="6"/>
  <c r="AD334" i="6"/>
  <c r="B331" i="6"/>
  <c r="N322" i="6"/>
  <c r="AN319" i="6"/>
  <c r="AM317" i="6"/>
  <c r="AD314" i="6"/>
  <c r="J311" i="6"/>
  <c r="N308" i="6"/>
  <c r="B305" i="6"/>
  <c r="F302" i="6"/>
  <c r="AM390" i="6"/>
  <c r="AM386" i="6"/>
  <c r="AM382" i="6"/>
  <c r="AM378" i="6"/>
  <c r="AM374" i="6"/>
  <c r="AM370" i="6"/>
  <c r="AM366" i="6"/>
  <c r="AM362" i="6"/>
  <c r="L392" i="6"/>
  <c r="L388" i="6"/>
  <c r="L384" i="6"/>
  <c r="L380" i="6"/>
  <c r="L376" i="6"/>
  <c r="L372" i="6"/>
  <c r="L368" i="6"/>
  <c r="L364" i="6"/>
  <c r="L360" i="6"/>
  <c r="L356" i="6"/>
  <c r="AM391" i="6"/>
  <c r="AM387" i="6"/>
  <c r="AM383" i="6"/>
  <c r="AM379" i="6"/>
  <c r="AM375" i="6"/>
  <c r="AM371" i="6"/>
  <c r="AM367" i="6"/>
  <c r="AM363" i="6"/>
  <c r="AM359" i="6"/>
  <c r="AM355" i="6"/>
  <c r="AM351" i="6"/>
  <c r="AM347" i="6"/>
  <c r="AM343" i="6"/>
  <c r="E391" i="6"/>
  <c r="M385" i="6"/>
  <c r="Q380" i="6"/>
  <c r="E375" i="6"/>
  <c r="M369" i="6"/>
  <c r="Q364" i="6"/>
  <c r="E359" i="6"/>
  <c r="M353" i="6"/>
  <c r="Q348" i="6"/>
  <c r="E343" i="6"/>
  <c r="M337" i="6"/>
  <c r="Q332" i="6"/>
  <c r="E327" i="6"/>
  <c r="M321" i="6"/>
  <c r="AD393" i="6"/>
  <c r="L383" i="6"/>
  <c r="B378" i="6"/>
  <c r="J368" i="6"/>
  <c r="P362" i="6"/>
  <c r="AN356" i="6"/>
  <c r="J352" i="6"/>
  <c r="AN346" i="6"/>
  <c r="B342" i="6"/>
  <c r="O333" i="6"/>
  <c r="N331" i="6"/>
  <c r="L329" i="6"/>
  <c r="Q321" i="6"/>
  <c r="P316" i="6"/>
  <c r="P312" i="6"/>
  <c r="P308" i="6"/>
  <c r="P304" i="6"/>
  <c r="P300" i="6"/>
  <c r="P296" i="6"/>
  <c r="P292" i="6"/>
  <c r="P288" i="6"/>
  <c r="P284" i="6"/>
  <c r="P280" i="6"/>
  <c r="P276" i="6"/>
  <c r="P392" i="6"/>
  <c r="AN382" i="6"/>
  <c r="AD376" i="6"/>
  <c r="J367" i="6"/>
  <c r="B361" i="6"/>
  <c r="K355" i="6"/>
  <c r="AN349" i="6"/>
  <c r="B345" i="6"/>
  <c r="P337" i="6"/>
  <c r="E334" i="6"/>
  <c r="D332" i="6"/>
  <c r="B328" i="6"/>
  <c r="O319" i="6"/>
  <c r="N317" i="6"/>
  <c r="O314" i="6"/>
  <c r="O310" i="6"/>
  <c r="O306" i="6"/>
  <c r="O302" i="6"/>
  <c r="O298" i="6"/>
  <c r="O294" i="6"/>
  <c r="O290" i="6"/>
  <c r="O286" i="6"/>
  <c r="O282" i="6"/>
  <c r="O278" i="6"/>
  <c r="O274" i="6"/>
  <c r="O270" i="6"/>
  <c r="O266" i="6"/>
  <c r="O262" i="6"/>
  <c r="O258" i="6"/>
  <c r="O254" i="6"/>
  <c r="O250" i="6"/>
  <c r="O246" i="6"/>
  <c r="O242" i="6"/>
  <c r="O238" i="6"/>
  <c r="O234" i="6"/>
  <c r="O230" i="6"/>
  <c r="O226" i="6"/>
  <c r="O222" i="6"/>
  <c r="O218" i="6"/>
  <c r="AD389" i="6"/>
  <c r="L379" i="6"/>
  <c r="B374" i="6"/>
  <c r="J364" i="6"/>
  <c r="F357" i="6"/>
  <c r="L351" i="6"/>
  <c r="P346" i="6"/>
  <c r="O340" i="6"/>
  <c r="M336" i="6"/>
  <c r="L334" i="6"/>
  <c r="J330" i="6"/>
  <c r="F322" i="6"/>
  <c r="AE319" i="6"/>
  <c r="AD317" i="6"/>
  <c r="N314" i="6"/>
  <c r="B311" i="6"/>
  <c r="F308" i="6"/>
  <c r="AD304" i="6"/>
  <c r="J301" i="6"/>
  <c r="AE390" i="6"/>
  <c r="AE386" i="6"/>
  <c r="AE382" i="6"/>
  <c r="AE378" i="6"/>
  <c r="AE374" i="6"/>
  <c r="AE370" i="6"/>
  <c r="AE366" i="6"/>
  <c r="AE362" i="6"/>
  <c r="D392" i="6"/>
  <c r="D388" i="6"/>
  <c r="D384" i="6"/>
  <c r="D380" i="6"/>
  <c r="D376" i="6"/>
  <c r="D372" i="6"/>
  <c r="D368" i="6"/>
  <c r="D364" i="6"/>
  <c r="D360" i="6"/>
  <c r="D356" i="6"/>
  <c r="AE391" i="6"/>
  <c r="AE387" i="6"/>
  <c r="AE383" i="6"/>
  <c r="AE379" i="6"/>
  <c r="AE375" i="6"/>
  <c r="AE371" i="6"/>
  <c r="AE367" i="6"/>
  <c r="AE363" i="6"/>
  <c r="AE359" i="6"/>
  <c r="AE355" i="6"/>
  <c r="AE351" i="6"/>
  <c r="AE347" i="6"/>
  <c r="AE343" i="6"/>
  <c r="Q390" i="6"/>
  <c r="E385" i="6"/>
  <c r="M379" i="6"/>
  <c r="Q374" i="6"/>
  <c r="E369" i="6"/>
  <c r="M363" i="6"/>
  <c r="Q358" i="6"/>
  <c r="E353" i="6"/>
  <c r="M347" i="6"/>
  <c r="Q342" i="6"/>
  <c r="E337" i="6"/>
  <c r="M331" i="6"/>
  <c r="Q326" i="6"/>
  <c r="E321" i="6"/>
  <c r="D393" i="6"/>
  <c r="M382" i="6"/>
  <c r="AD377" i="6"/>
  <c r="L367" i="6"/>
  <c r="B362" i="6"/>
  <c r="O356" i="6"/>
  <c r="P351" i="6"/>
  <c r="AD346" i="6"/>
  <c r="J341" i="6"/>
  <c r="F333" i="6"/>
  <c r="D331" i="6"/>
  <c r="K328" i="6"/>
  <c r="O320" i="6"/>
  <c r="L315" i="6"/>
  <c r="L311" i="6"/>
  <c r="L307" i="6"/>
  <c r="L303" i="6"/>
  <c r="L299" i="6"/>
  <c r="L295" i="6"/>
  <c r="L291" i="6"/>
  <c r="L287" i="6"/>
  <c r="L283" i="6"/>
  <c r="L279" i="6"/>
  <c r="L275" i="6"/>
  <c r="B392" i="6"/>
  <c r="J382" i="6"/>
  <c r="P376" i="6"/>
  <c r="AN366" i="6"/>
  <c r="AD360" i="6"/>
  <c r="M354" i="6"/>
  <c r="J349" i="6"/>
  <c r="N344" i="6"/>
  <c r="N336" i="6"/>
  <c r="AN333" i="6"/>
  <c r="AM331" i="6"/>
  <c r="J327" i="6"/>
  <c r="F319" i="6"/>
  <c r="D317" i="6"/>
  <c r="K313" i="6"/>
  <c r="K309" i="6"/>
  <c r="K305" i="6"/>
  <c r="K301" i="6"/>
  <c r="K297" i="6"/>
  <c r="K293" i="6"/>
  <c r="K289" i="6"/>
  <c r="K285" i="6"/>
  <c r="K281" i="6"/>
  <c r="K277" i="6"/>
  <c r="K273" i="6"/>
  <c r="K269" i="6"/>
  <c r="K265" i="6"/>
  <c r="K261" i="6"/>
  <c r="K257" i="6"/>
  <c r="K253" i="6"/>
  <c r="K249" i="6"/>
  <c r="K245" i="6"/>
  <c r="K241" i="6"/>
  <c r="K237" i="6"/>
  <c r="K233" i="6"/>
  <c r="K229" i="6"/>
  <c r="K225" i="6"/>
  <c r="K221" i="6"/>
  <c r="N393" i="6"/>
  <c r="D389" i="6"/>
  <c r="M378" i="6"/>
  <c r="AD373" i="6"/>
  <c r="L363" i="6"/>
  <c r="M356" i="6"/>
  <c r="B351" i="6"/>
  <c r="AD345" i="6"/>
  <c r="P339" i="6"/>
  <c r="E336" i="6"/>
  <c r="D334" i="6"/>
  <c r="B330" i="6"/>
  <c r="O321" i="6"/>
  <c r="N319" i="6"/>
  <c r="L317" i="6"/>
  <c r="F314" i="6"/>
  <c r="AD310" i="6"/>
  <c r="J307" i="6"/>
  <c r="N304" i="6"/>
  <c r="B301" i="6"/>
  <c r="O390" i="6"/>
  <c r="O386" i="6"/>
  <c r="O382" i="6"/>
  <c r="O378" i="6"/>
  <c r="O374" i="6"/>
  <c r="O370" i="6"/>
  <c r="O366" i="6"/>
  <c r="O362" i="6"/>
  <c r="AN391" i="6"/>
  <c r="AN387" i="6"/>
  <c r="AN383" i="6"/>
  <c r="AN379" i="6"/>
  <c r="AN375" i="6"/>
  <c r="AN371" i="6"/>
  <c r="AN367" i="6"/>
  <c r="AN363" i="6"/>
  <c r="AN359" i="6"/>
  <c r="AN355" i="6"/>
  <c r="O391" i="6"/>
  <c r="O387" i="6"/>
  <c r="O383" i="6"/>
  <c r="O379" i="6"/>
  <c r="O375" i="6"/>
  <c r="O371" i="6"/>
  <c r="O367" i="6"/>
  <c r="O363" i="6"/>
  <c r="O359" i="6"/>
  <c r="O355" i="6"/>
  <c r="O351" i="6"/>
  <c r="O347" i="6"/>
  <c r="O343" i="6"/>
  <c r="M389" i="6"/>
  <c r="Q384" i="6"/>
  <c r="E379" i="6"/>
  <c r="M373" i="6"/>
  <c r="Q368" i="6"/>
  <c r="E363" i="6"/>
  <c r="M357" i="6"/>
  <c r="Q352" i="6"/>
  <c r="E347" i="6"/>
  <c r="M341" i="6"/>
  <c r="Q336" i="6"/>
  <c r="E331" i="6"/>
  <c r="M325" i="6"/>
  <c r="Q320" i="6"/>
  <c r="E392" i="6"/>
  <c r="N381" i="6"/>
  <c r="D377" i="6"/>
  <c r="M366" i="6"/>
  <c r="AD361" i="6"/>
  <c r="E356" i="6"/>
  <c r="D351" i="6"/>
  <c r="N345" i="6"/>
  <c r="P338" i="6"/>
  <c r="AN332" i="6"/>
  <c r="AM330" i="6"/>
  <c r="K327" i="6"/>
  <c r="P319" i="6"/>
  <c r="D315" i="6"/>
  <c r="D311" i="6"/>
  <c r="D307" i="6"/>
  <c r="D303" i="6"/>
  <c r="D299" i="6"/>
  <c r="D295" i="6"/>
  <c r="D291" i="6"/>
  <c r="D287" i="6"/>
  <c r="D283" i="6"/>
  <c r="D279" i="6"/>
  <c r="D275" i="6"/>
  <c r="AD391" i="6"/>
  <c r="L381" i="6"/>
  <c r="B376" i="6"/>
  <c r="J366" i="6"/>
  <c r="P360" i="6"/>
  <c r="D354" i="6"/>
  <c r="L348" i="6"/>
  <c r="E344" i="6"/>
  <c r="F336" i="6"/>
  <c r="AE333" i="6"/>
  <c r="AD331" i="6"/>
  <c r="P324" i="6"/>
  <c r="AN318" i="6"/>
  <c r="AM316" i="6"/>
  <c r="AM312" i="6"/>
  <c r="AM308" i="6"/>
  <c r="AM304" i="6"/>
  <c r="AM300" i="6"/>
  <c r="AM296" i="6"/>
  <c r="AM292" i="6"/>
  <c r="AM288" i="6"/>
  <c r="AM284" i="6"/>
  <c r="AM280" i="6"/>
  <c r="AM276" i="6"/>
  <c r="AM272" i="6"/>
  <c r="AM268" i="6"/>
  <c r="AM264" i="6"/>
  <c r="AM260" i="6"/>
  <c r="AM256" i="6"/>
  <c r="AM252" i="6"/>
  <c r="AM248" i="6"/>
  <c r="AM244" i="6"/>
  <c r="AM240" i="6"/>
  <c r="AM236" i="6"/>
  <c r="AM232" i="6"/>
  <c r="AM228" i="6"/>
  <c r="AM224" i="6"/>
  <c r="AM220" i="6"/>
  <c r="N392" i="6"/>
  <c r="E388" i="6"/>
  <c r="N377" i="6"/>
  <c r="D373" i="6"/>
  <c r="M362" i="6"/>
  <c r="J355" i="6"/>
  <c r="N350" i="6"/>
  <c r="K345" i="6"/>
  <c r="N338" i="6"/>
  <c r="AN335" i="6"/>
  <c r="AM333" i="6"/>
  <c r="J329" i="6"/>
  <c r="F321" i="6"/>
  <c r="D319" i="6"/>
  <c r="AD316" i="6"/>
  <c r="J313" i="6"/>
  <c r="N310" i="6"/>
  <c r="B307" i="6"/>
  <c r="F304" i="6"/>
  <c r="AD300" i="6"/>
  <c r="K393" i="6"/>
  <c r="K361" i="6"/>
  <c r="P363" i="6"/>
  <c r="K370" i="6"/>
  <c r="E389" i="6"/>
  <c r="Q346" i="6"/>
  <c r="E376" i="6"/>
  <c r="AD330" i="6"/>
  <c r="AN294" i="6"/>
  <c r="AD375" i="6"/>
  <c r="L331" i="6"/>
  <c r="AE296" i="6"/>
  <c r="AE264" i="6"/>
  <c r="AE232" i="6"/>
  <c r="N361" i="6"/>
  <c r="AN320" i="6"/>
  <c r="F300" i="6"/>
  <c r="AD296" i="6"/>
  <c r="J293" i="6"/>
  <c r="N290" i="6"/>
  <c r="B287" i="6"/>
  <c r="F284" i="6"/>
  <c r="AD280" i="6"/>
  <c r="J277" i="6"/>
  <c r="N274" i="6"/>
  <c r="B271" i="6"/>
  <c r="F268" i="6"/>
  <c r="AD264" i="6"/>
  <c r="J261" i="6"/>
  <c r="N258" i="6"/>
  <c r="B255" i="6"/>
  <c r="F252" i="6"/>
  <c r="N391" i="6"/>
  <c r="D387" i="6"/>
  <c r="M376" i="6"/>
  <c r="AD371" i="6"/>
  <c r="L361" i="6"/>
  <c r="K389" i="6"/>
  <c r="P391" i="6"/>
  <c r="P359" i="6"/>
  <c r="K366" i="6"/>
  <c r="M383" i="6"/>
  <c r="E341" i="6"/>
  <c r="N365" i="6"/>
  <c r="B327" i="6"/>
  <c r="AN290" i="6"/>
  <c r="L365" i="6"/>
  <c r="Q323" i="6"/>
  <c r="AE292" i="6"/>
  <c r="AE260" i="6"/>
  <c r="AE228" i="6"/>
  <c r="L354" i="6"/>
  <c r="AM318" i="6"/>
  <c r="J299" i="6"/>
  <c r="N296" i="6"/>
  <c r="B293" i="6"/>
  <c r="F290" i="6"/>
  <c r="AD286" i="6"/>
  <c r="J283" i="6"/>
  <c r="N280" i="6"/>
  <c r="B277" i="6"/>
  <c r="F274" i="6"/>
  <c r="AD270" i="6"/>
  <c r="J267" i="6"/>
  <c r="K385" i="6"/>
  <c r="P387" i="6"/>
  <c r="P355" i="6"/>
  <c r="K362" i="6"/>
  <c r="Q378" i="6"/>
  <c r="M335" i="6"/>
  <c r="D361" i="6"/>
  <c r="N318" i="6"/>
  <c r="AN286" i="6"/>
  <c r="F360" i="6"/>
  <c r="AE318" i="6"/>
  <c r="AE288" i="6"/>
  <c r="AE256" i="6"/>
  <c r="AE224" i="6"/>
  <c r="E350" i="6"/>
  <c r="N316" i="6"/>
  <c r="B299" i="6"/>
  <c r="F296" i="6"/>
  <c r="AD292" i="6"/>
  <c r="J289" i="6"/>
  <c r="N286" i="6"/>
  <c r="B283" i="6"/>
  <c r="F280" i="6"/>
  <c r="AD276" i="6"/>
  <c r="J273" i="6"/>
  <c r="N270" i="6"/>
  <c r="B267" i="6"/>
  <c r="F264" i="6"/>
  <c r="AD260" i="6"/>
  <c r="K381" i="6"/>
  <c r="P383" i="6"/>
  <c r="K390" i="6"/>
  <c r="K358" i="6"/>
  <c r="E373" i="6"/>
  <c r="Q330" i="6"/>
  <c r="L355" i="6"/>
  <c r="AN314" i="6"/>
  <c r="AN282" i="6"/>
  <c r="AN352" i="6"/>
  <c r="AE316" i="6"/>
  <c r="AE284" i="6"/>
  <c r="AE252" i="6"/>
  <c r="AE220" i="6"/>
  <c r="M344" i="6"/>
  <c r="B313" i="6"/>
  <c r="AD298" i="6"/>
  <c r="J295" i="6"/>
  <c r="N292" i="6"/>
  <c r="B289" i="6"/>
  <c r="F286" i="6"/>
  <c r="AD282" i="6"/>
  <c r="J279" i="6"/>
  <c r="N276" i="6"/>
  <c r="B273" i="6"/>
  <c r="F270" i="6"/>
  <c r="AD266" i="6"/>
  <c r="K377" i="6"/>
  <c r="P379" i="6"/>
  <c r="K386" i="6"/>
  <c r="K354" i="6"/>
  <c r="M367" i="6"/>
  <c r="E325" i="6"/>
  <c r="P350" i="6"/>
  <c r="AN310" i="6"/>
  <c r="AN278" i="6"/>
  <c r="B348" i="6"/>
  <c r="AE312" i="6"/>
  <c r="AE280" i="6"/>
  <c r="AE248" i="6"/>
  <c r="Q391" i="6"/>
  <c r="F338" i="6"/>
  <c r="F310" i="6"/>
  <c r="N298" i="6"/>
  <c r="B295" i="6"/>
  <c r="F292" i="6"/>
  <c r="AD288" i="6"/>
  <c r="J285" i="6"/>
  <c r="N282" i="6"/>
  <c r="B279" i="6"/>
  <c r="F276" i="6"/>
  <c r="AD272" i="6"/>
  <c r="J269" i="6"/>
  <c r="N266" i="6"/>
  <c r="B263" i="6"/>
  <c r="F260" i="6"/>
  <c r="AD256" i="6"/>
  <c r="J253" i="6"/>
  <c r="N250" i="6"/>
  <c r="AD388" i="6"/>
  <c r="J379" i="6"/>
  <c r="B373" i="6"/>
  <c r="F368" i="6"/>
  <c r="AE358" i="6"/>
  <c r="D353" i="6"/>
  <c r="N347" i="6"/>
  <c r="F343" i="6"/>
  <c r="AE338" i="6"/>
  <c r="AD336" i="6"/>
  <c r="B333" i="6"/>
  <c r="N324" i="6"/>
  <c r="AN321" i="6"/>
  <c r="AM319" i="6"/>
  <c r="Q315" i="6"/>
  <c r="E310" i="6"/>
  <c r="M304" i="6"/>
  <c r="Q299" i="6"/>
  <c r="E294" i="6"/>
  <c r="M288" i="6"/>
  <c r="Q283" i="6"/>
  <c r="E278" i="6"/>
  <c r="AN392" i="6"/>
  <c r="AD386" i="6"/>
  <c r="J377" i="6"/>
  <c r="B371" i="6"/>
  <c r="F366" i="6"/>
  <c r="N357" i="6"/>
  <c r="L350" i="6"/>
  <c r="E346" i="6"/>
  <c r="AN340" i="6"/>
  <c r="AM338" i="6"/>
  <c r="K335" i="6"/>
  <c r="P327" i="6"/>
  <c r="E324" i="6"/>
  <c r="D322" i="6"/>
  <c r="B318" i="6"/>
  <c r="AN313" i="6"/>
  <c r="AN309" i="6"/>
  <c r="AN305" i="6"/>
  <c r="AN301" i="6"/>
  <c r="AN297" i="6"/>
  <c r="AN293" i="6"/>
  <c r="AN289" i="6"/>
  <c r="AN285" i="6"/>
  <c r="AN281" i="6"/>
  <c r="AN277" i="6"/>
  <c r="AN273" i="6"/>
  <c r="AN269" i="6"/>
  <c r="AN265" i="6"/>
  <c r="AN261" i="6"/>
  <c r="AN257" i="6"/>
  <c r="AN253" i="6"/>
  <c r="AN249" i="6"/>
  <c r="AN245" i="6"/>
  <c r="AN241" i="6"/>
  <c r="AN237" i="6"/>
  <c r="L389" i="6"/>
  <c r="B384" i="6"/>
  <c r="J374" i="6"/>
  <c r="P368" i="6"/>
  <c r="AD359" i="6"/>
  <c r="L353" i="6"/>
  <c r="P348" i="6"/>
  <c r="O342" i="6"/>
  <c r="L340" i="6"/>
  <c r="J336" i="6"/>
  <c r="F328" i="6"/>
  <c r="AE325" i="6"/>
  <c r="AD323" i="6"/>
  <c r="K316" i="6"/>
  <c r="K312" i="6"/>
  <c r="K308" i="6"/>
  <c r="K304" i="6"/>
  <c r="K300" i="6"/>
  <c r="K296" i="6"/>
  <c r="K292" i="6"/>
  <c r="K288" i="6"/>
  <c r="K284" i="6"/>
  <c r="K280" i="6"/>
  <c r="K276" i="6"/>
  <c r="K272" i="6"/>
  <c r="K268" i="6"/>
  <c r="K264" i="6"/>
  <c r="K260" i="6"/>
  <c r="K256" i="6"/>
  <c r="K252" i="6"/>
  <c r="K248" i="6"/>
  <c r="K244" i="6"/>
  <c r="K240" i="6"/>
  <c r="M386" i="6"/>
  <c r="AD381" i="6"/>
  <c r="L371" i="6"/>
  <c r="B366" i="6"/>
  <c r="B358" i="6"/>
  <c r="K373" i="6"/>
  <c r="P375" i="6"/>
  <c r="K382" i="6"/>
  <c r="K350" i="6"/>
  <c r="Q362" i="6"/>
  <c r="M319" i="6"/>
  <c r="O344" i="6"/>
  <c r="AN306" i="6"/>
  <c r="AN274" i="6"/>
  <c r="AE342" i="6"/>
  <c r="AE308" i="6"/>
  <c r="AE276" i="6"/>
  <c r="AE244" i="6"/>
  <c r="F387" i="6"/>
  <c r="AE335" i="6"/>
  <c r="AD306" i="6"/>
  <c r="F298" i="6"/>
  <c r="AD294" i="6"/>
  <c r="J291" i="6"/>
  <c r="N288" i="6"/>
  <c r="B285" i="6"/>
  <c r="F282" i="6"/>
  <c r="AD278" i="6"/>
  <c r="J275" i="6"/>
  <c r="N272" i="6"/>
  <c r="B269" i="6"/>
  <c r="F266" i="6"/>
  <c r="AD262" i="6"/>
  <c r="J259" i="6"/>
  <c r="N256" i="6"/>
  <c r="B253" i="6"/>
  <c r="F250" i="6"/>
  <c r="P388" i="6"/>
  <c r="AN378" i="6"/>
  <c r="AD372" i="6"/>
  <c r="J363" i="6"/>
  <c r="K369" i="6"/>
  <c r="P371" i="6"/>
  <c r="K378" i="6"/>
  <c r="K346" i="6"/>
  <c r="E357" i="6"/>
  <c r="F391" i="6"/>
  <c r="Q337" i="6"/>
  <c r="AN302" i="6"/>
  <c r="D391" i="6"/>
  <c r="O335" i="6"/>
  <c r="AE304" i="6"/>
  <c r="AE272" i="6"/>
  <c r="AE240" i="6"/>
  <c r="N376" i="6"/>
  <c r="AD333" i="6"/>
  <c r="J303" i="6"/>
  <c r="J297" i="6"/>
  <c r="N294" i="6"/>
  <c r="B291" i="6"/>
  <c r="F288" i="6"/>
  <c r="AD284" i="6"/>
  <c r="J281" i="6"/>
  <c r="N278" i="6"/>
  <c r="B275" i="6"/>
  <c r="F272" i="6"/>
  <c r="AD268" i="6"/>
  <c r="J265" i="6"/>
  <c r="N262" i="6"/>
  <c r="B259" i="6"/>
  <c r="K365" i="6"/>
  <c r="P367" i="6"/>
  <c r="K374" i="6"/>
  <c r="K342" i="6"/>
  <c r="M351" i="6"/>
  <c r="N380" i="6"/>
  <c r="AE332" i="6"/>
  <c r="AN298" i="6"/>
  <c r="M380" i="6"/>
  <c r="N333" i="6"/>
  <c r="AE300" i="6"/>
  <c r="AE268" i="6"/>
  <c r="AE236" i="6"/>
  <c r="E372" i="6"/>
  <c r="P326" i="6"/>
  <c r="N300" i="6"/>
  <c r="B297" i="6"/>
  <c r="F294" i="6"/>
  <c r="AD290" i="6"/>
  <c r="J287" i="6"/>
  <c r="N284" i="6"/>
  <c r="B281" i="6"/>
  <c r="F278" i="6"/>
  <c r="AD274" i="6"/>
  <c r="J271" i="6"/>
  <c r="N268" i="6"/>
  <c r="B265" i="6"/>
  <c r="F262" i="6"/>
  <c r="AD258" i="6"/>
  <c r="J255" i="6"/>
  <c r="N252" i="6"/>
  <c r="M392" i="6"/>
  <c r="AD387" i="6"/>
  <c r="L377" i="6"/>
  <c r="B372" i="6"/>
  <c r="J362" i="6"/>
  <c r="J356" i="6"/>
  <c r="K351" i="6"/>
  <c r="AN345" i="6"/>
  <c r="N340" i="6"/>
  <c r="AN337" i="6"/>
  <c r="AM335" i="6"/>
  <c r="J331" i="6"/>
  <c r="F323" i="6"/>
  <c r="D321" i="6"/>
  <c r="K318" i="6"/>
  <c r="Q313" i="6"/>
  <c r="E308" i="6"/>
  <c r="M302" i="6"/>
  <c r="Q297" i="6"/>
  <c r="E292" i="6"/>
  <c r="M286" i="6"/>
  <c r="Q281" i="6"/>
  <c r="E276" i="6"/>
  <c r="M390" i="6"/>
  <c r="AD385" i="6"/>
  <c r="L375" i="6"/>
  <c r="B370" i="6"/>
  <c r="M360" i="6"/>
  <c r="N353" i="6"/>
  <c r="F349" i="6"/>
  <c r="P343" i="6"/>
  <c r="E340" i="6"/>
  <c r="D338" i="6"/>
  <c r="B334" i="6"/>
  <c r="O325" i="6"/>
  <c r="N323" i="6"/>
  <c r="L321" i="6"/>
  <c r="D316" i="6"/>
  <c r="D312" i="6"/>
  <c r="D308" i="6"/>
  <c r="D304" i="6"/>
  <c r="D300" i="6"/>
  <c r="D296" i="6"/>
  <c r="D292" i="6"/>
  <c r="D288" i="6"/>
  <c r="D284" i="6"/>
  <c r="D280" i="6"/>
  <c r="D276" i="6"/>
  <c r="D272" i="6"/>
  <c r="D268" i="6"/>
  <c r="D264" i="6"/>
  <c r="D260" i="6"/>
  <c r="D256" i="6"/>
  <c r="D252" i="6"/>
  <c r="D248" i="6"/>
  <c r="D244" i="6"/>
  <c r="D240" i="6"/>
  <c r="D236" i="6"/>
  <c r="N386" i="6"/>
  <c r="E382" i="6"/>
  <c r="N371" i="6"/>
  <c r="D367" i="6"/>
  <c r="E358" i="6"/>
  <c r="E352" i="6"/>
  <c r="M346" i="6"/>
  <c r="AE341" i="6"/>
  <c r="AD339" i="6"/>
  <c r="P332" i="6"/>
  <c r="AN326" i="6"/>
  <c r="AM324" i="6"/>
  <c r="K321" i="6"/>
  <c r="O315" i="6"/>
  <c r="O311" i="6"/>
  <c r="O307" i="6"/>
  <c r="O303" i="6"/>
  <c r="O299" i="6"/>
  <c r="O295" i="6"/>
  <c r="O291" i="6"/>
  <c r="O287" i="6"/>
  <c r="O283" i="6"/>
  <c r="O279" i="6"/>
  <c r="O275" i="6"/>
  <c r="O271" i="6"/>
  <c r="O267" i="6"/>
  <c r="O263" i="6"/>
  <c r="O259" i="6"/>
  <c r="O255" i="6"/>
  <c r="O251" i="6"/>
  <c r="O247" i="6"/>
  <c r="O243" i="6"/>
  <c r="O239" i="6"/>
  <c r="Q383" i="6"/>
  <c r="F379" i="6"/>
  <c r="N368" i="6"/>
  <c r="E364" i="6"/>
  <c r="Q355" i="6"/>
  <c r="N264" i="6"/>
  <c r="AD254" i="6"/>
  <c r="N390" i="6"/>
  <c r="N375" i="6"/>
  <c r="N360" i="6"/>
  <c r="P353" i="6"/>
  <c r="F346" i="6"/>
  <c r="O339" i="6"/>
  <c r="AM336" i="6"/>
  <c r="B332" i="6"/>
  <c r="AE322" i="6"/>
  <c r="D320" i="6"/>
  <c r="E314" i="6"/>
  <c r="M306" i="6"/>
  <c r="E300" i="6"/>
  <c r="M292" i="6"/>
  <c r="Q285" i="6"/>
  <c r="M278" i="6"/>
  <c r="L391" i="6"/>
  <c r="E384" i="6"/>
  <c r="Q371" i="6"/>
  <c r="AN360" i="6"/>
  <c r="F352" i="6"/>
  <c r="N346" i="6"/>
  <c r="M340" i="6"/>
  <c r="AD337" i="6"/>
  <c r="O328" i="6"/>
  <c r="AE323" i="6"/>
  <c r="K319" i="6"/>
  <c r="J263" i="6"/>
  <c r="N254" i="6"/>
  <c r="Q389" i="6"/>
  <c r="N374" i="6"/>
  <c r="B360" i="6"/>
  <c r="P352" i="6"/>
  <c r="J345" i="6"/>
  <c r="F339" i="6"/>
  <c r="L336" i="6"/>
  <c r="P328" i="6"/>
  <c r="M322" i="6"/>
  <c r="AD319" i="6"/>
  <c r="M312" i="6"/>
  <c r="E306" i="6"/>
  <c r="M298" i="6"/>
  <c r="Q291" i="6"/>
  <c r="M284" i="6"/>
  <c r="Q277" i="6"/>
  <c r="N389" i="6"/>
  <c r="F383" i="6"/>
  <c r="AD370" i="6"/>
  <c r="J359" i="6"/>
  <c r="AN351" i="6"/>
  <c r="AE344" i="6"/>
  <c r="AN339" i="6"/>
  <c r="L337" i="6"/>
  <c r="N326" i="6"/>
  <c r="D323" i="6"/>
  <c r="B319" i="6"/>
  <c r="B261" i="6"/>
  <c r="F254" i="6"/>
  <c r="B389" i="6"/>
  <c r="Q373" i="6"/>
  <c r="K359" i="6"/>
  <c r="AD351" i="6"/>
  <c r="L344" i="6"/>
  <c r="AN338" i="6"/>
  <c r="D336" i="6"/>
  <c r="Q327" i="6"/>
  <c r="E322" i="6"/>
  <c r="L319" i="6"/>
  <c r="E312" i="6"/>
  <c r="Q305" i="6"/>
  <c r="E298" i="6"/>
  <c r="M290" i="6"/>
  <c r="E284" i="6"/>
  <c r="M276" i="6"/>
  <c r="N388" i="6"/>
  <c r="F382" i="6"/>
  <c r="P370" i="6"/>
  <c r="AD358" i="6"/>
  <c r="J351" i="6"/>
  <c r="J344" i="6"/>
  <c r="AE339" i="6"/>
  <c r="K336" i="6"/>
  <c r="F326" i="6"/>
  <c r="AM322" i="6"/>
  <c r="J318" i="6"/>
  <c r="N260" i="6"/>
  <c r="AD252" i="6"/>
  <c r="B388" i="6"/>
  <c r="P372" i="6"/>
  <c r="Q357" i="6"/>
  <c r="M350" i="6"/>
  <c r="B344" i="6"/>
  <c r="M338" i="6"/>
  <c r="AD335" i="6"/>
  <c r="O326" i="6"/>
  <c r="AE321" i="6"/>
  <c r="K317" i="6"/>
  <c r="Q311" i="6"/>
  <c r="E304" i="6"/>
  <c r="M296" i="6"/>
  <c r="E290" i="6"/>
  <c r="M282" i="6"/>
  <c r="Q275" i="6"/>
  <c r="Q387" i="6"/>
  <c r="AN376" i="6"/>
  <c r="AD369" i="6"/>
  <c r="P358" i="6"/>
  <c r="B350" i="6"/>
  <c r="D343" i="6"/>
  <c r="N339" i="6"/>
  <c r="B335" i="6"/>
  <c r="F325" i="6"/>
  <c r="AD322" i="6"/>
  <c r="J317" i="6"/>
  <c r="F258" i="6"/>
  <c r="J251" i="6"/>
  <c r="E386" i="6"/>
  <c r="D371" i="6"/>
  <c r="D357" i="6"/>
  <c r="D350" i="6"/>
  <c r="Q343" i="6"/>
  <c r="E338" i="6"/>
  <c r="L335" i="6"/>
  <c r="P325" i="6"/>
  <c r="N321" i="6"/>
  <c r="B317" i="6"/>
  <c r="M310" i="6"/>
  <c r="Q303" i="6"/>
  <c r="E296" i="6"/>
  <c r="Q289" i="6"/>
  <c r="E282" i="6"/>
  <c r="M274" i="6"/>
  <c r="B387" i="6"/>
  <c r="J376" i="6"/>
  <c r="D369" i="6"/>
  <c r="F358" i="6"/>
  <c r="Q349" i="6"/>
  <c r="P342" i="6"/>
  <c r="D339" i="6"/>
  <c r="J334" i="6"/>
  <c r="AN324" i="6"/>
  <c r="L322" i="6"/>
  <c r="L316" i="6"/>
  <c r="P311" i="6"/>
  <c r="D306" i="6"/>
  <c r="L300" i="6"/>
  <c r="P295" i="6"/>
  <c r="D290" i="6"/>
  <c r="L284" i="6"/>
  <c r="P279" i="6"/>
  <c r="D274" i="6"/>
  <c r="L268" i="6"/>
  <c r="P263" i="6"/>
  <c r="D258" i="6"/>
  <c r="L252" i="6"/>
  <c r="P247" i="6"/>
  <c r="D242" i="6"/>
  <c r="L236" i="6"/>
  <c r="B385" i="6"/>
  <c r="AN374" i="6"/>
  <c r="AD367" i="6"/>
  <c r="B357" i="6"/>
  <c r="D349" i="6"/>
  <c r="AN341" i="6"/>
  <c r="K338" i="6"/>
  <c r="N328" i="6"/>
  <c r="D325" i="6"/>
  <c r="J320" i="6"/>
  <c r="O313" i="6"/>
  <c r="AE307" i="6"/>
  <c r="AM301" i="6"/>
  <c r="O297" i="6"/>
  <c r="AE291" i="6"/>
  <c r="AM285" i="6"/>
  <c r="O281" i="6"/>
  <c r="AE275" i="6"/>
  <c r="AM269" i="6"/>
  <c r="O265" i="6"/>
  <c r="AE259" i="6"/>
  <c r="AM253" i="6"/>
  <c r="O249" i="6"/>
  <c r="AE243" i="6"/>
  <c r="AN388" i="6"/>
  <c r="B382" i="6"/>
  <c r="N369" i="6"/>
  <c r="F362" i="6"/>
  <c r="K353" i="6"/>
  <c r="AN347" i="6"/>
  <c r="B343" i="6"/>
  <c r="B339" i="6"/>
  <c r="N330" i="6"/>
  <c r="AN327" i="6"/>
  <c r="AM325" i="6"/>
  <c r="J321" i="6"/>
  <c r="J314" i="6"/>
  <c r="N311" i="6"/>
  <c r="B308" i="6"/>
  <c r="F305" i="6"/>
  <c r="AD301" i="6"/>
  <c r="J298" i="6"/>
  <c r="N295" i="6"/>
  <c r="B292" i="6"/>
  <c r="F289" i="6"/>
  <c r="AD285" i="6"/>
  <c r="J282" i="6"/>
  <c r="N279" i="6"/>
  <c r="B276" i="6"/>
  <c r="F273" i="6"/>
  <c r="AD269" i="6"/>
  <c r="J266" i="6"/>
  <c r="N263" i="6"/>
  <c r="B260" i="6"/>
  <c r="F257" i="6"/>
  <c r="AD253" i="6"/>
  <c r="J250" i="6"/>
  <c r="N247" i="6"/>
  <c r="B244" i="6"/>
  <c r="F241" i="6"/>
  <c r="AD237" i="6"/>
  <c r="J234" i="6"/>
  <c r="N231" i="6"/>
  <c r="B228" i="6"/>
  <c r="F225" i="6"/>
  <c r="L385" i="6"/>
  <c r="B380" i="6"/>
  <c r="J370" i="6"/>
  <c r="P364" i="6"/>
  <c r="J357" i="6"/>
  <c r="J353" i="6"/>
  <c r="N348" i="6"/>
  <c r="K343" i="6"/>
  <c r="P336" i="6"/>
  <c r="AN330" i="6"/>
  <c r="AM328" i="6"/>
  <c r="K325" i="6"/>
  <c r="P317" i="6"/>
  <c r="M311" i="6"/>
  <c r="Q306" i="6"/>
  <c r="E301" i="6"/>
  <c r="M295" i="6"/>
  <c r="Q290" i="6"/>
  <c r="E285" i="6"/>
  <c r="J257" i="6"/>
  <c r="B251" i="6"/>
  <c r="F385" i="6"/>
  <c r="E370" i="6"/>
  <c r="AD355" i="6"/>
  <c r="AN348" i="6"/>
  <c r="AM342" i="6"/>
  <c r="AE337" i="6"/>
  <c r="K334" i="6"/>
  <c r="F324" i="6"/>
  <c r="AM320" i="6"/>
  <c r="M316" i="6"/>
  <c r="Q309" i="6"/>
  <c r="E302" i="6"/>
  <c r="Q295" i="6"/>
  <c r="E288" i="6"/>
  <c r="M280" i="6"/>
  <c r="E274" i="6"/>
  <c r="P386" i="6"/>
  <c r="M374" i="6"/>
  <c r="E368" i="6"/>
  <c r="AN354" i="6"/>
  <c r="AM348" i="6"/>
  <c r="O341" i="6"/>
  <c r="AD338" i="6"/>
  <c r="J333" i="6"/>
  <c r="AE324" i="6"/>
  <c r="AM321" i="6"/>
  <c r="AN315" i="6"/>
  <c r="B257" i="6"/>
  <c r="AD250" i="6"/>
  <c r="F384" i="6"/>
  <c r="F369" i="6"/>
  <c r="AE354" i="6"/>
  <c r="AD348" i="6"/>
  <c r="P341" i="6"/>
  <c r="N337" i="6"/>
  <c r="K333" i="6"/>
  <c r="O323" i="6"/>
  <c r="AD320" i="6"/>
  <c r="E316" i="6"/>
  <c r="M308" i="6"/>
  <c r="Q301" i="6"/>
  <c r="M294" i="6"/>
  <c r="Q287" i="6"/>
  <c r="E280" i="6"/>
  <c r="J393" i="6"/>
  <c r="B386" i="6"/>
  <c r="N373" i="6"/>
  <c r="F367" i="6"/>
  <c r="AD354" i="6"/>
  <c r="L347" i="6"/>
  <c r="F341" i="6"/>
  <c r="L338" i="6"/>
  <c r="P330" i="6"/>
  <c r="M324" i="6"/>
  <c r="AD321" i="6"/>
  <c r="P315" i="6"/>
  <c r="F256" i="6"/>
  <c r="L393" i="6"/>
  <c r="J378" i="6"/>
  <c r="AN362" i="6"/>
  <c r="J354" i="6"/>
  <c r="O346" i="6"/>
  <c r="F340" i="6"/>
  <c r="D337" i="6"/>
  <c r="J332" i="6"/>
  <c r="AN322" i="6"/>
  <c r="L320" i="6"/>
  <c r="M314" i="6"/>
  <c r="Q307" i="6"/>
  <c r="M300" i="6"/>
  <c r="Q293" i="6"/>
  <c r="E286" i="6"/>
  <c r="Q279" i="6"/>
  <c r="J392" i="6"/>
  <c r="D385" i="6"/>
  <c r="N372" i="6"/>
  <c r="J361" i="6"/>
  <c r="O352" i="6"/>
  <c r="B347" i="6"/>
  <c r="AE340" i="6"/>
  <c r="AM337" i="6"/>
  <c r="Q329" i="6"/>
  <c r="AN323" i="6"/>
  <c r="K320" i="6"/>
  <c r="L314" i="6"/>
  <c r="P309" i="6"/>
  <c r="AN303" i="6"/>
  <c r="L298" i="6"/>
  <c r="P293" i="6"/>
  <c r="AN287" i="6"/>
  <c r="L282" i="6"/>
  <c r="P277" i="6"/>
  <c r="AN271" i="6"/>
  <c r="L266" i="6"/>
  <c r="P261" i="6"/>
  <c r="AN255" i="6"/>
  <c r="L250" i="6"/>
  <c r="P245" i="6"/>
  <c r="AN239" i="6"/>
  <c r="AN390" i="6"/>
  <c r="AD383" i="6"/>
  <c r="N370" i="6"/>
  <c r="F364" i="6"/>
  <c r="B353" i="6"/>
  <c r="D346" i="6"/>
  <c r="AM340" i="6"/>
  <c r="B336" i="6"/>
  <c r="AE326" i="6"/>
  <c r="D324" i="6"/>
  <c r="AM315" i="6"/>
  <c r="K310" i="6"/>
  <c r="AE305" i="6"/>
  <c r="AM299" i="6"/>
  <c r="K294" i="6"/>
  <c r="AE289" i="6"/>
  <c r="AM283" i="6"/>
  <c r="K278" i="6"/>
  <c r="AE273" i="6"/>
  <c r="AM267" i="6"/>
  <c r="K262" i="6"/>
  <c r="AE257" i="6"/>
  <c r="AM251" i="6"/>
  <c r="K246" i="6"/>
  <c r="AE241" i="6"/>
  <c r="N385" i="6"/>
  <c r="F378" i="6"/>
  <c r="AD366" i="6"/>
  <c r="K357" i="6"/>
  <c r="AN350" i="6"/>
  <c r="B346" i="6"/>
  <c r="AM341" i="6"/>
  <c r="J337" i="6"/>
  <c r="F329" i="6"/>
  <c r="D327" i="6"/>
  <c r="K324" i="6"/>
  <c r="J316" i="6"/>
  <c r="N313" i="6"/>
  <c r="B310" i="6"/>
  <c r="F307" i="6"/>
  <c r="AD303" i="6"/>
  <c r="J300" i="6"/>
  <c r="N297" i="6"/>
  <c r="B294" i="6"/>
  <c r="F291" i="6"/>
  <c r="AD287" i="6"/>
  <c r="J284" i="6"/>
  <c r="N281" i="6"/>
  <c r="B278" i="6"/>
  <c r="F275" i="6"/>
  <c r="AD271" i="6"/>
  <c r="J268" i="6"/>
  <c r="N265" i="6"/>
  <c r="B262" i="6"/>
  <c r="F259" i="6"/>
  <c r="AD255" i="6"/>
  <c r="J252" i="6"/>
  <c r="N249" i="6"/>
  <c r="B246" i="6"/>
  <c r="F243" i="6"/>
  <c r="AD239" i="6"/>
  <c r="J236" i="6"/>
  <c r="N233" i="6"/>
  <c r="B230" i="6"/>
  <c r="F227" i="6"/>
  <c r="F393" i="6"/>
  <c r="N382" i="6"/>
  <c r="E378" i="6"/>
  <c r="N367" i="6"/>
  <c r="D363" i="6"/>
  <c r="F356" i="6"/>
  <c r="Q351" i="6"/>
  <c r="J346" i="6"/>
  <c r="K341" i="6"/>
  <c r="P333" i="6"/>
  <c r="E330" i="6"/>
  <c r="D328" i="6"/>
  <c r="B324" i="6"/>
  <c r="E315" i="6"/>
  <c r="M309" i="6"/>
  <c r="Q304" i="6"/>
  <c r="E299" i="6"/>
  <c r="M293" i="6"/>
  <c r="Q288" i="6"/>
  <c r="D314" i="6"/>
  <c r="P307" i="6"/>
  <c r="AN299" i="6"/>
  <c r="L292" i="6"/>
  <c r="D286" i="6"/>
  <c r="L278" i="6"/>
  <c r="P271" i="6"/>
  <c r="L264" i="6"/>
  <c r="P257" i="6"/>
  <c r="D250" i="6"/>
  <c r="P243" i="6"/>
  <c r="AN235" i="6"/>
  <c r="D383" i="6"/>
  <c r="AD368" i="6"/>
  <c r="F355" i="6"/>
  <c r="AN344" i="6"/>
  <c r="AM339" i="6"/>
  <c r="O327" i="6"/>
  <c r="AM323" i="6"/>
  <c r="AM313" i="6"/>
  <c r="K306" i="6"/>
  <c r="AE299" i="6"/>
  <c r="O293" i="6"/>
  <c r="AE285" i="6"/>
  <c r="AM277" i="6"/>
  <c r="AE271" i="6"/>
  <c r="AM263" i="6"/>
  <c r="O257" i="6"/>
  <c r="AM249" i="6"/>
  <c r="K242" i="6"/>
  <c r="N384" i="6"/>
  <c r="J372" i="6"/>
  <c r="AM358" i="6"/>
  <c r="AD350" i="6"/>
  <c r="AM344" i="6"/>
  <c r="J338" i="6"/>
  <c r="AN328" i="6"/>
  <c r="L326" i="6"/>
  <c r="P318" i="6"/>
  <c r="F313" i="6"/>
  <c r="F309" i="6"/>
  <c r="J304" i="6"/>
  <c r="B300" i="6"/>
  <c r="B296" i="6"/>
  <c r="AD291" i="6"/>
  <c r="N287" i="6"/>
  <c r="N283" i="6"/>
  <c r="F279" i="6"/>
  <c r="J274" i="6"/>
  <c r="J270" i="6"/>
  <c r="B266" i="6"/>
  <c r="AD261" i="6"/>
  <c r="AD257" i="6"/>
  <c r="N253" i="6"/>
  <c r="F249" i="6"/>
  <c r="F245" i="6"/>
  <c r="P313" i="6"/>
  <c r="L306" i="6"/>
  <c r="P299" i="6"/>
  <c r="AN291" i="6"/>
  <c r="P285" i="6"/>
  <c r="D278" i="6"/>
  <c r="L270" i="6"/>
  <c r="AN263" i="6"/>
  <c r="L256" i="6"/>
  <c r="P249" i="6"/>
  <c r="L242" i="6"/>
  <c r="J391" i="6"/>
  <c r="F381" i="6"/>
  <c r="B368" i="6"/>
  <c r="AM354" i="6"/>
  <c r="AD344" i="6"/>
  <c r="L312" i="6"/>
  <c r="P305" i="6"/>
  <c r="D298" i="6"/>
  <c r="P291" i="6"/>
  <c r="AN283" i="6"/>
  <c r="L276" i="6"/>
  <c r="D270" i="6"/>
  <c r="L262" i="6"/>
  <c r="P255" i="6"/>
  <c r="L248" i="6"/>
  <c r="P241" i="6"/>
  <c r="J390" i="6"/>
  <c r="F380" i="6"/>
  <c r="E366" i="6"/>
  <c r="N352" i="6"/>
  <c r="N343" i="6"/>
  <c r="AN311" i="6"/>
  <c r="L304" i="6"/>
  <c r="P297" i="6"/>
  <c r="L290" i="6"/>
  <c r="P283" i="6"/>
  <c r="AN275" i="6"/>
  <c r="P269" i="6"/>
  <c r="D262" i="6"/>
  <c r="L254" i="6"/>
  <c r="AN247" i="6"/>
  <c r="L240" i="6"/>
  <c r="M388" i="6"/>
  <c r="J375" i="6"/>
  <c r="F365" i="6"/>
  <c r="AE350" i="6"/>
  <c r="F342" i="6"/>
  <c r="B337" i="6"/>
  <c r="E326" i="6"/>
  <c r="B321" i="6"/>
  <c r="AE311" i="6"/>
  <c r="AM303" i="6"/>
  <c r="AE297" i="6"/>
  <c r="AM289" i="6"/>
  <c r="K282" i="6"/>
  <c r="AM275" i="6"/>
  <c r="O269" i="6"/>
  <c r="AE261" i="6"/>
  <c r="K254" i="6"/>
  <c r="AE247" i="6"/>
  <c r="AM239" i="6"/>
  <c r="P382" i="6"/>
  <c r="B367" i="6"/>
  <c r="D355" i="6"/>
  <c r="F348" i="6"/>
  <c r="E342" i="6"/>
  <c r="Q333" i="6"/>
  <c r="E328" i="6"/>
  <c r="L325" i="6"/>
  <c r="AD315" i="6"/>
  <c r="AD311" i="6"/>
  <c r="N307" i="6"/>
  <c r="F303" i="6"/>
  <c r="F299" i="6"/>
  <c r="J294" i="6"/>
  <c r="B290" i="6"/>
  <c r="B286" i="6"/>
  <c r="AD281" i="6"/>
  <c r="N277" i="6"/>
  <c r="N273" i="6"/>
  <c r="F269" i="6"/>
  <c r="J264" i="6"/>
  <c r="J260" i="6"/>
  <c r="B256" i="6"/>
  <c r="AD251" i="6"/>
  <c r="AD247" i="6"/>
  <c r="N243" i="6"/>
  <c r="F239" i="6"/>
  <c r="F235" i="6"/>
  <c r="J230" i="6"/>
  <c r="B226" i="6"/>
  <c r="J386" i="6"/>
  <c r="D379" i="6"/>
  <c r="Q365" i="6"/>
  <c r="M358" i="6"/>
  <c r="B352" i="6"/>
  <c r="D345" i="6"/>
  <c r="J339" i="6"/>
  <c r="M330" i="6"/>
  <c r="AD327" i="6"/>
  <c r="O318" i="6"/>
  <c r="Q310" i="6"/>
  <c r="E303" i="6"/>
  <c r="Q296" i="6"/>
  <c r="E289" i="6"/>
  <c r="Q282" i="6"/>
  <c r="E277" i="6"/>
  <c r="M271" i="6"/>
  <c r="Q266" i="6"/>
  <c r="E261" i="6"/>
  <c r="M255" i="6"/>
  <c r="Q250" i="6"/>
  <c r="E245" i="6"/>
  <c r="M239" i="6"/>
  <c r="Q234" i="6"/>
  <c r="E229" i="6"/>
  <c r="M272" i="6"/>
  <c r="Q253" i="6"/>
  <c r="AD242" i="6"/>
  <c r="L233" i="6"/>
  <c r="AN226" i="6"/>
  <c r="F221" i="6"/>
  <c r="L217" i="6"/>
  <c r="L213" i="6"/>
  <c r="L209" i="6"/>
  <c r="L205" i="6"/>
  <c r="L201" i="6"/>
  <c r="L197" i="6"/>
  <c r="L193" i="6"/>
  <c r="L189" i="6"/>
  <c r="L185" i="6"/>
  <c r="L181" i="6"/>
  <c r="L177" i="6"/>
  <c r="L173" i="6"/>
  <c r="L169" i="6"/>
  <c r="L165" i="6"/>
  <c r="L161" i="6"/>
  <c r="L157" i="6"/>
  <c r="L153" i="6"/>
  <c r="L149" i="6"/>
  <c r="L145" i="6"/>
  <c r="L141" i="6"/>
  <c r="L137" i="6"/>
  <c r="L133" i="6"/>
  <c r="L129" i="6"/>
  <c r="L125" i="6"/>
  <c r="L121" i="6"/>
  <c r="L117" i="6"/>
  <c r="L113" i="6"/>
  <c r="M266" i="6"/>
  <c r="F248" i="6"/>
  <c r="N234" i="6"/>
  <c r="L228" i="6"/>
  <c r="F222" i="6"/>
  <c r="AD219" i="6"/>
  <c r="O216" i="6"/>
  <c r="O212" i="6"/>
  <c r="O208" i="6"/>
  <c r="L310" i="6"/>
  <c r="P303" i="6"/>
  <c r="L296" i="6"/>
  <c r="P289" i="6"/>
  <c r="D282" i="6"/>
  <c r="P275" i="6"/>
  <c r="AN267" i="6"/>
  <c r="L260" i="6"/>
  <c r="D254" i="6"/>
  <c r="L246" i="6"/>
  <c r="P239" i="6"/>
  <c r="N387" i="6"/>
  <c r="L373" i="6"/>
  <c r="J360" i="6"/>
  <c r="J350" i="6"/>
  <c r="N341" i="6"/>
  <c r="J335" i="6"/>
  <c r="AN325" i="6"/>
  <c r="B320" i="6"/>
  <c r="AM309" i="6"/>
  <c r="AE303" i="6"/>
  <c r="AM295" i="6"/>
  <c r="O289" i="6"/>
  <c r="AM281" i="6"/>
  <c r="K274" i="6"/>
  <c r="AE267" i="6"/>
  <c r="O261" i="6"/>
  <c r="AE253" i="6"/>
  <c r="AM245" i="6"/>
  <c r="AE239" i="6"/>
  <c r="D381" i="6"/>
  <c r="P366" i="6"/>
  <c r="P354" i="6"/>
  <c r="J347" i="6"/>
  <c r="AD341" i="6"/>
  <c r="O332" i="6"/>
  <c r="AE327" i="6"/>
  <c r="K323" i="6"/>
  <c r="N315" i="6"/>
  <c r="F311" i="6"/>
  <c r="J306" i="6"/>
  <c r="J302" i="6"/>
  <c r="B298" i="6"/>
  <c r="AD293" i="6"/>
  <c r="AD289" i="6"/>
  <c r="N285" i="6"/>
  <c r="F281" i="6"/>
  <c r="F277" i="6"/>
  <c r="J272" i="6"/>
  <c r="B268" i="6"/>
  <c r="B264" i="6"/>
  <c r="AD259" i="6"/>
  <c r="N255" i="6"/>
  <c r="N251" i="6"/>
  <c r="F247" i="6"/>
  <c r="D310" i="6"/>
  <c r="L302" i="6"/>
  <c r="AN295" i="6"/>
  <c r="L288" i="6"/>
  <c r="P281" i="6"/>
  <c r="L274" i="6"/>
  <c r="P267" i="6"/>
  <c r="AN259" i="6"/>
  <c r="P253" i="6"/>
  <c r="D246" i="6"/>
  <c r="L238" i="6"/>
  <c r="Q385" i="6"/>
  <c r="M372" i="6"/>
  <c r="AN358" i="6"/>
  <c r="P349" i="6"/>
  <c r="D341" i="6"/>
  <c r="L308" i="6"/>
  <c r="D302" i="6"/>
  <c r="L294" i="6"/>
  <c r="P287" i="6"/>
  <c r="L280" i="6"/>
  <c r="P273" i="6"/>
  <c r="D266" i="6"/>
  <c r="P259" i="6"/>
  <c r="AN251" i="6"/>
  <c r="L244" i="6"/>
  <c r="D238" i="6"/>
  <c r="AD384" i="6"/>
  <c r="Q369" i="6"/>
  <c r="O358" i="6"/>
  <c r="AD347" i="6"/>
  <c r="AD340" i="6"/>
  <c r="AN307" i="6"/>
  <c r="P301" i="6"/>
  <c r="D294" i="6"/>
  <c r="L286" i="6"/>
  <c r="AN279" i="6"/>
  <c r="L272" i="6"/>
  <c r="P265" i="6"/>
  <c r="L258" i="6"/>
  <c r="P251" i="6"/>
  <c r="AN243" i="6"/>
  <c r="P237" i="6"/>
  <c r="P384" i="6"/>
  <c r="B369" i="6"/>
  <c r="L357" i="6"/>
  <c r="K347" i="6"/>
  <c r="D340" i="6"/>
  <c r="P329" i="6"/>
  <c r="L324" i="6"/>
  <c r="K314" i="6"/>
  <c r="AM307" i="6"/>
  <c r="O301" i="6"/>
  <c r="AE293" i="6"/>
  <c r="K286" i="6"/>
  <c r="AE279" i="6"/>
  <c r="AM271" i="6"/>
  <c r="AE265" i="6"/>
  <c r="AM257" i="6"/>
  <c r="K250" i="6"/>
  <c r="AM243" i="6"/>
  <c r="L387" i="6"/>
  <c r="AN372" i="6"/>
  <c r="F363" i="6"/>
  <c r="D352" i="6"/>
  <c r="F345" i="6"/>
  <c r="K339" i="6"/>
  <c r="O329" i="6"/>
  <c r="AD326" i="6"/>
  <c r="B322" i="6"/>
  <c r="AD313" i="6"/>
  <c r="N309" i="6"/>
  <c r="N305" i="6"/>
  <c r="F301" i="6"/>
  <c r="J296" i="6"/>
  <c r="J292" i="6"/>
  <c r="B288" i="6"/>
  <c r="AD283" i="6"/>
  <c r="AD279" i="6"/>
  <c r="N275" i="6"/>
  <c r="F271" i="6"/>
  <c r="F267" i="6"/>
  <c r="J262" i="6"/>
  <c r="B258" i="6"/>
  <c r="B254" i="6"/>
  <c r="AD249" i="6"/>
  <c r="N245" i="6"/>
  <c r="N241" i="6"/>
  <c r="F237" i="6"/>
  <c r="J232" i="6"/>
  <c r="J228" i="6"/>
  <c r="B224" i="6"/>
  <c r="B381" i="6"/>
  <c r="AN370" i="6"/>
  <c r="AD363" i="6"/>
  <c r="O354" i="6"/>
  <c r="B349" i="6"/>
  <c r="D342" i="6"/>
  <c r="F332" i="6"/>
  <c r="D329" i="6"/>
  <c r="J324" i="6"/>
  <c r="M313" i="6"/>
  <c r="E307" i="6"/>
  <c r="M299" i="6"/>
  <c r="Q292" i="6"/>
  <c r="M285" i="6"/>
  <c r="M279" i="6"/>
  <c r="Q274" i="6"/>
  <c r="E269" i="6"/>
  <c r="M263" i="6"/>
  <c r="Q258" i="6"/>
  <c r="E253" i="6"/>
  <c r="M247" i="6"/>
  <c r="Q242" i="6"/>
  <c r="E237" i="6"/>
  <c r="M231" i="6"/>
  <c r="Q226" i="6"/>
  <c r="L259" i="6"/>
  <c r="AN246" i="6"/>
  <c r="AN238" i="6"/>
  <c r="B231" i="6"/>
  <c r="L224" i="6"/>
  <c r="AE219" i="6"/>
  <c r="L215" i="6"/>
  <c r="L211" i="6"/>
  <c r="L207" i="6"/>
  <c r="L203" i="6"/>
  <c r="L199" i="6"/>
  <c r="L195" i="6"/>
  <c r="L191" i="6"/>
  <c r="L187" i="6"/>
  <c r="L183" i="6"/>
  <c r="L179" i="6"/>
  <c r="L175" i="6"/>
  <c r="L171" i="6"/>
  <c r="L167" i="6"/>
  <c r="L163" i="6"/>
  <c r="L159" i="6"/>
  <c r="L155" i="6"/>
  <c r="L151" i="6"/>
  <c r="L147" i="6"/>
  <c r="L143" i="6"/>
  <c r="L139" i="6"/>
  <c r="L135" i="6"/>
  <c r="L131" i="6"/>
  <c r="L127" i="6"/>
  <c r="L123" i="6"/>
  <c r="L119" i="6"/>
  <c r="L115" i="6"/>
  <c r="D271" i="6"/>
  <c r="L253" i="6"/>
  <c r="F240" i="6"/>
  <c r="AM231" i="6"/>
  <c r="AD224" i="6"/>
  <c r="AD220" i="6"/>
  <c r="B218" i="6"/>
  <c r="O214" i="6"/>
  <c r="O210" i="6"/>
  <c r="O206" i="6"/>
  <c r="L339" i="6"/>
  <c r="L323" i="6"/>
  <c r="AM305" i="6"/>
  <c r="AM291" i="6"/>
  <c r="AE277" i="6"/>
  <c r="AE263" i="6"/>
  <c r="AE249" i="6"/>
  <c r="B383" i="6"/>
  <c r="N358" i="6"/>
  <c r="L343" i="6"/>
  <c r="AE328" i="6"/>
  <c r="Q317" i="6"/>
  <c r="J308" i="6"/>
  <c r="AD299" i="6"/>
  <c r="N291" i="6"/>
  <c r="F283" i="6"/>
  <c r="B274" i="6"/>
  <c r="AD265" i="6"/>
  <c r="N257" i="6"/>
  <c r="J248" i="6"/>
  <c r="AD241" i="6"/>
  <c r="AD235" i="6"/>
  <c r="AD229" i="6"/>
  <c r="J224" i="6"/>
  <c r="P380" i="6"/>
  <c r="B365" i="6"/>
  <c r="N355" i="6"/>
  <c r="AE346" i="6"/>
  <c r="Q335" i="6"/>
  <c r="N329" i="6"/>
  <c r="P320" i="6"/>
  <c r="E309" i="6"/>
  <c r="Q300" i="6"/>
  <c r="E291" i="6"/>
  <c r="M281" i="6"/>
  <c r="E275" i="6"/>
  <c r="M267" i="6"/>
  <c r="Q260" i="6"/>
  <c r="M253" i="6"/>
  <c r="Q246" i="6"/>
  <c r="E239" i="6"/>
  <c r="Q232" i="6"/>
  <c r="E225" i="6"/>
  <c r="P250" i="6"/>
  <c r="Q239" i="6"/>
  <c r="AE229" i="6"/>
  <c r="N220" i="6"/>
  <c r="P216" i="6"/>
  <c r="AN210" i="6"/>
  <c r="D205" i="6"/>
  <c r="P200" i="6"/>
  <c r="AN194" i="6"/>
  <c r="D189" i="6"/>
  <c r="P184" i="6"/>
  <c r="AN178" i="6"/>
  <c r="D173" i="6"/>
  <c r="P168" i="6"/>
  <c r="AN162" i="6"/>
  <c r="D157" i="6"/>
  <c r="P152" i="6"/>
  <c r="AN146" i="6"/>
  <c r="D141" i="6"/>
  <c r="P136" i="6"/>
  <c r="AN130" i="6"/>
  <c r="D125" i="6"/>
  <c r="P120" i="6"/>
  <c r="AN114" i="6"/>
  <c r="Q263" i="6"/>
  <c r="D243" i="6"/>
  <c r="Q229" i="6"/>
  <c r="N221" i="6"/>
  <c r="K218" i="6"/>
  <c r="AM212" i="6"/>
  <c r="K207" i="6"/>
  <c r="AM202" i="6"/>
  <c r="AM198" i="6"/>
  <c r="AM194" i="6"/>
  <c r="AM190" i="6"/>
  <c r="AM186" i="6"/>
  <c r="K337" i="6"/>
  <c r="K322" i="6"/>
  <c r="O305" i="6"/>
  <c r="K290" i="6"/>
  <c r="O277" i="6"/>
  <c r="AM261" i="6"/>
  <c r="AM247" i="6"/>
  <c r="AD382" i="6"/>
  <c r="AE356" i="6"/>
  <c r="N342" i="6"/>
  <c r="M328" i="6"/>
  <c r="B316" i="6"/>
  <c r="AD307" i="6"/>
  <c r="N299" i="6"/>
  <c r="J290" i="6"/>
  <c r="B282" i="6"/>
  <c r="AD273" i="6"/>
  <c r="F265" i="6"/>
  <c r="J256" i="6"/>
  <c r="B248" i="6"/>
  <c r="J240" i="6"/>
  <c r="N235" i="6"/>
  <c r="N229" i="6"/>
  <c r="F392" i="6"/>
  <c r="AD379" i="6"/>
  <c r="AD364" i="6"/>
  <c r="F354" i="6"/>
  <c r="P345" i="6"/>
  <c r="O334" i="6"/>
  <c r="AD328" i="6"/>
  <c r="Q319" i="6"/>
  <c r="Q308" i="6"/>
  <c r="Q298" i="6"/>
  <c r="M289" i="6"/>
  <c r="E281" i="6"/>
  <c r="M273" i="6"/>
  <c r="E267" i="6"/>
  <c r="M259" i="6"/>
  <c r="Q252" i="6"/>
  <c r="M245" i="6"/>
  <c r="Q238" i="6"/>
  <c r="E231" i="6"/>
  <c r="AN272" i="6"/>
  <c r="B249" i="6"/>
  <c r="AN234" i="6"/>
  <c r="M228" i="6"/>
  <c r="E220" i="6"/>
  <c r="Q331" i="6"/>
  <c r="J319" i="6"/>
  <c r="K302" i="6"/>
  <c r="AM287" i="6"/>
  <c r="AM273" i="6"/>
  <c r="AM259" i="6"/>
  <c r="AE245" i="6"/>
  <c r="E380" i="6"/>
  <c r="AD353" i="6"/>
  <c r="L341" i="6"/>
  <c r="N327" i="6"/>
  <c r="F315" i="6"/>
  <c r="B306" i="6"/>
  <c r="AD297" i="6"/>
  <c r="N289" i="6"/>
  <c r="J280" i="6"/>
  <c r="B272" i="6"/>
  <c r="AD263" i="6"/>
  <c r="F255" i="6"/>
  <c r="J246" i="6"/>
  <c r="B240" i="6"/>
  <c r="B234" i="6"/>
  <c r="F229" i="6"/>
  <c r="J387" i="6"/>
  <c r="F377" i="6"/>
  <c r="B364" i="6"/>
  <c r="AN353" i="6"/>
  <c r="P344" i="6"/>
  <c r="N332" i="6"/>
  <c r="L328" i="6"/>
  <c r="Q316" i="6"/>
  <c r="M307" i="6"/>
  <c r="M297" i="6"/>
  <c r="M287" i="6"/>
  <c r="Q280" i="6"/>
  <c r="E273" i="6"/>
  <c r="M265" i="6"/>
  <c r="E259" i="6"/>
  <c r="M251" i="6"/>
  <c r="Q244" i="6"/>
  <c r="M237" i="6"/>
  <c r="Q230" i="6"/>
  <c r="Q269" i="6"/>
  <c r="Q247" i="6"/>
  <c r="P234" i="6"/>
  <c r="P226" i="6"/>
  <c r="AN219" i="6"/>
  <c r="AN214" i="6"/>
  <c r="D209" i="6"/>
  <c r="P204" i="6"/>
  <c r="AN198" i="6"/>
  <c r="D193" i="6"/>
  <c r="P188" i="6"/>
  <c r="AN182" i="6"/>
  <c r="D177" i="6"/>
  <c r="P172" i="6"/>
  <c r="AN166" i="6"/>
  <c r="D161" i="6"/>
  <c r="P156" i="6"/>
  <c r="AN150" i="6"/>
  <c r="D145" i="6"/>
  <c r="P140" i="6"/>
  <c r="AN134" i="6"/>
  <c r="D129" i="6"/>
  <c r="P124" i="6"/>
  <c r="AN118" i="6"/>
  <c r="D113" i="6"/>
  <c r="D255" i="6"/>
  <c r="F238" i="6"/>
  <c r="N226" i="6"/>
  <c r="AN220" i="6"/>
  <c r="AM216" i="6"/>
  <c r="K211" i="6"/>
  <c r="AE206" i="6"/>
  <c r="O202" i="6"/>
  <c r="O198" i="6"/>
  <c r="O194" i="6"/>
  <c r="O190" i="6"/>
  <c r="O186" i="6"/>
  <c r="O182" i="6"/>
  <c r="O178" i="6"/>
  <c r="O174" i="6"/>
  <c r="O170" i="6"/>
  <c r="O166" i="6"/>
  <c r="O162" i="6"/>
  <c r="O158" i="6"/>
  <c r="O154" i="6"/>
  <c r="O150" i="6"/>
  <c r="O146" i="6"/>
  <c r="O142" i="6"/>
  <c r="O138" i="6"/>
  <c r="O134" i="6"/>
  <c r="O130" i="6"/>
  <c r="O126" i="6"/>
  <c r="O122" i="6"/>
  <c r="O118" i="6"/>
  <c r="O114" i="6"/>
  <c r="D265" i="6"/>
  <c r="AN248" i="6"/>
  <c r="AN240" i="6"/>
  <c r="P232" i="6"/>
  <c r="AE227" i="6"/>
  <c r="AE221" i="6"/>
  <c r="AD216" i="6"/>
  <c r="J213" i="6"/>
  <c r="N210" i="6"/>
  <c r="B207" i="6"/>
  <c r="F204" i="6"/>
  <c r="AD200" i="6"/>
  <c r="J197" i="6"/>
  <c r="N194" i="6"/>
  <c r="B191" i="6"/>
  <c r="F188" i="6"/>
  <c r="AD184" i="6"/>
  <c r="J181" i="6"/>
  <c r="N178" i="6"/>
  <c r="B175" i="6"/>
  <c r="F172" i="6"/>
  <c r="AD168" i="6"/>
  <c r="J165" i="6"/>
  <c r="N162" i="6"/>
  <c r="B159" i="6"/>
  <c r="F156" i="6"/>
  <c r="AD152" i="6"/>
  <c r="J149" i="6"/>
  <c r="N146" i="6"/>
  <c r="B143" i="6"/>
  <c r="O330" i="6"/>
  <c r="AE315" i="6"/>
  <c r="AE301" i="6"/>
  <c r="AE287" i="6"/>
  <c r="O273" i="6"/>
  <c r="K258" i="6"/>
  <c r="O245" i="6"/>
  <c r="J373" i="6"/>
  <c r="M352" i="6"/>
  <c r="K340" i="6"/>
  <c r="AM326" i="6"/>
  <c r="B314" i="6"/>
  <c r="AD305" i="6"/>
  <c r="F297" i="6"/>
  <c r="J288" i="6"/>
  <c r="B280" i="6"/>
  <c r="N271" i="6"/>
  <c r="F263" i="6"/>
  <c r="J254" i="6"/>
  <c r="AD245" i="6"/>
  <c r="N239" i="6"/>
  <c r="AD233" i="6"/>
  <c r="AD227" i="6"/>
  <c r="AN386" i="6"/>
  <c r="F376" i="6"/>
  <c r="E362" i="6"/>
  <c r="L352" i="6"/>
  <c r="AD343" i="6"/>
  <c r="O331" i="6"/>
  <c r="AM327" i="6"/>
  <c r="M315" i="6"/>
  <c r="M305" i="6"/>
  <c r="E297" i="6"/>
  <c r="E287" i="6"/>
  <c r="E279" i="6"/>
  <c r="Q272" i="6"/>
  <c r="E265" i="6"/>
  <c r="M257" i="6"/>
  <c r="E251" i="6"/>
  <c r="M243" i="6"/>
  <c r="Q236" i="6"/>
  <c r="M229" i="6"/>
  <c r="P266" i="6"/>
  <c r="E246" i="6"/>
  <c r="E234" i="6"/>
  <c r="E226" i="6"/>
  <c r="M219" i="6"/>
  <c r="P214" i="6"/>
  <c r="AN208" i="6"/>
  <c r="D203" i="6"/>
  <c r="P198" i="6"/>
  <c r="AN192" i="6"/>
  <c r="D187" i="6"/>
  <c r="P182" i="6"/>
  <c r="AN176" i="6"/>
  <c r="D171" i="6"/>
  <c r="P166" i="6"/>
  <c r="AN160" i="6"/>
  <c r="D155" i="6"/>
  <c r="P150" i="6"/>
  <c r="AN144" i="6"/>
  <c r="D139" i="6"/>
  <c r="P134" i="6"/>
  <c r="AN128" i="6"/>
  <c r="D123" i="6"/>
  <c r="P118" i="6"/>
  <c r="AN112" i="6"/>
  <c r="E252" i="6"/>
  <c r="F236" i="6"/>
  <c r="D226" i="6"/>
  <c r="M220" i="6"/>
  <c r="AE216" i="6"/>
  <c r="AM210" i="6"/>
  <c r="K205" i="6"/>
  <c r="K201" i="6"/>
  <c r="K197" i="6"/>
  <c r="K193" i="6"/>
  <c r="K189" i="6"/>
  <c r="K185" i="6"/>
  <c r="K181" i="6"/>
  <c r="K177" i="6"/>
  <c r="K173" i="6"/>
  <c r="K169" i="6"/>
  <c r="K165" i="6"/>
  <c r="K161" i="6"/>
  <c r="K157" i="6"/>
  <c r="K153" i="6"/>
  <c r="K149" i="6"/>
  <c r="K145" i="6"/>
  <c r="K141" i="6"/>
  <c r="K137" i="6"/>
  <c r="K133" i="6"/>
  <c r="K129" i="6"/>
  <c r="K125" i="6"/>
  <c r="K121" i="6"/>
  <c r="K117" i="6"/>
  <c r="K113" i="6"/>
  <c r="L263" i="6"/>
  <c r="E248" i="6"/>
  <c r="E240" i="6"/>
  <c r="E232" i="6"/>
  <c r="M226" i="6"/>
  <c r="M221" i="6"/>
  <c r="N216" i="6"/>
  <c r="B213" i="6"/>
  <c r="F210" i="6"/>
  <c r="AD206" i="6"/>
  <c r="J203" i="6"/>
  <c r="N200" i="6"/>
  <c r="B197" i="6"/>
  <c r="F194" i="6"/>
  <c r="AD190" i="6"/>
  <c r="J187" i="6"/>
  <c r="N184" i="6"/>
  <c r="B181" i="6"/>
  <c r="F178" i="6"/>
  <c r="AD174" i="6"/>
  <c r="J171" i="6"/>
  <c r="N168" i="6"/>
  <c r="B165" i="6"/>
  <c r="F162" i="6"/>
  <c r="AD158" i="6"/>
  <c r="J155" i="6"/>
  <c r="N152" i="6"/>
  <c r="B149" i="6"/>
  <c r="F146" i="6"/>
  <c r="AD142" i="6"/>
  <c r="J139" i="6"/>
  <c r="N136" i="6"/>
  <c r="B133" i="6"/>
  <c r="F130" i="6"/>
  <c r="AD126" i="6"/>
  <c r="J123" i="6"/>
  <c r="N120" i="6"/>
  <c r="B117" i="6"/>
  <c r="F114" i="6"/>
  <c r="AD110" i="6"/>
  <c r="F327" i="6"/>
  <c r="AE313" i="6"/>
  <c r="K298" i="6"/>
  <c r="O285" i="6"/>
  <c r="K270" i="6"/>
  <c r="AM255" i="6"/>
  <c r="AM241" i="6"/>
  <c r="M370" i="6"/>
  <c r="N349" i="6"/>
  <c r="B338" i="6"/>
  <c r="D326" i="6"/>
  <c r="J312" i="6"/>
  <c r="B304" i="6"/>
  <c r="AD295" i="6"/>
  <c r="F287" i="6"/>
  <c r="J278" i="6"/>
  <c r="B270" i="6"/>
  <c r="N261" i="6"/>
  <c r="F253" i="6"/>
  <c r="J244" i="6"/>
  <c r="J238" i="6"/>
  <c r="F233" i="6"/>
  <c r="N227" i="6"/>
  <c r="M384" i="6"/>
  <c r="J371" i="6"/>
  <c r="F361" i="6"/>
  <c r="F351" i="6"/>
  <c r="M342" i="6"/>
  <c r="F331" i="6"/>
  <c r="L327" i="6"/>
  <c r="Q314" i="6"/>
  <c r="E305" i="6"/>
  <c r="E295" i="6"/>
  <c r="Q286" i="6"/>
  <c r="Q278" i="6"/>
  <c r="E271" i="6"/>
  <c r="Q264" i="6"/>
  <c r="E257" i="6"/>
  <c r="M249" i="6"/>
  <c r="E243" i="6"/>
  <c r="M235" i="6"/>
  <c r="Q228" i="6"/>
  <c r="D261" i="6"/>
  <c r="J245" i="6"/>
  <c r="AD232" i="6"/>
  <c r="L225" i="6"/>
  <c r="D219" i="6"/>
  <c r="D213" i="6"/>
  <c r="P208" i="6"/>
  <c r="AN202" i="6"/>
  <c r="D197" i="6"/>
  <c r="P192" i="6"/>
  <c r="AN186" i="6"/>
  <c r="D181" i="6"/>
  <c r="P176" i="6"/>
  <c r="AN170" i="6"/>
  <c r="D165" i="6"/>
  <c r="P160" i="6"/>
  <c r="AN154" i="6"/>
  <c r="D149" i="6"/>
  <c r="P144" i="6"/>
  <c r="AN138" i="6"/>
  <c r="D133" i="6"/>
  <c r="P128" i="6"/>
  <c r="AN122" i="6"/>
  <c r="D117" i="6"/>
  <c r="P112" i="6"/>
  <c r="AN250" i="6"/>
  <c r="D234" i="6"/>
  <c r="J225" i="6"/>
  <c r="D220" i="6"/>
  <c r="K215" i="6"/>
  <c r="AE210" i="6"/>
  <c r="AM204" i="6"/>
  <c r="AM200" i="6"/>
  <c r="AM196" i="6"/>
  <c r="AM192" i="6"/>
  <c r="AM188" i="6"/>
  <c r="M326" i="6"/>
  <c r="AM311" i="6"/>
  <c r="AM297" i="6"/>
  <c r="AE283" i="6"/>
  <c r="AE269" i="6"/>
  <c r="AE255" i="6"/>
  <c r="O241" i="6"/>
  <c r="Q367" i="6"/>
  <c r="O348" i="6"/>
  <c r="P334" i="6"/>
  <c r="AD325" i="6"/>
  <c r="B312" i="6"/>
  <c r="N303" i="6"/>
  <c r="F295" i="6"/>
  <c r="J286" i="6"/>
  <c r="AD277" i="6"/>
  <c r="N269" i="6"/>
  <c r="F261" i="6"/>
  <c r="B252" i="6"/>
  <c r="AD243" i="6"/>
  <c r="B238" i="6"/>
  <c r="B232" i="6"/>
  <c r="J226" i="6"/>
  <c r="N383" i="6"/>
  <c r="L369" i="6"/>
  <c r="F359" i="6"/>
  <c r="AM350" i="6"/>
  <c r="B341" i="6"/>
  <c r="AE330" i="6"/>
  <c r="K326" i="6"/>
  <c r="E313" i="6"/>
  <c r="M303" i="6"/>
  <c r="Q294" i="6"/>
  <c r="Q284" i="6"/>
  <c r="M277" i="6"/>
  <c r="Q270" i="6"/>
  <c r="E263" i="6"/>
  <c r="Q256" i="6"/>
  <c r="E249" i="6"/>
  <c r="M241" i="6"/>
  <c r="E235" i="6"/>
  <c r="M227" i="6"/>
  <c r="E258" i="6"/>
  <c r="P244" i="6"/>
  <c r="AN231" i="6"/>
  <c r="Q223" i="6"/>
  <c r="L218" i="6"/>
  <c r="AN212" i="6"/>
  <c r="D207" i="6"/>
  <c r="P202" i="6"/>
  <c r="AN196" i="6"/>
  <c r="D191" i="6"/>
  <c r="P186" i="6"/>
  <c r="AN180" i="6"/>
  <c r="D175" i="6"/>
  <c r="P170" i="6"/>
  <c r="AN164" i="6"/>
  <c r="D159" i="6"/>
  <c r="P154" i="6"/>
  <c r="AN148" i="6"/>
  <c r="D143" i="6"/>
  <c r="P138" i="6"/>
  <c r="AN132" i="6"/>
  <c r="D127" i="6"/>
  <c r="P122" i="6"/>
  <c r="AN116" i="6"/>
  <c r="L269" i="6"/>
  <c r="M250" i="6"/>
  <c r="J233" i="6"/>
  <c r="K224" i="6"/>
  <c r="AM219" i="6"/>
  <c r="AM214" i="6"/>
  <c r="K209" i="6"/>
  <c r="AE204" i="6"/>
  <c r="AE200" i="6"/>
  <c r="AE196" i="6"/>
  <c r="AE192" i="6"/>
  <c r="AE188" i="6"/>
  <c r="AE184" i="6"/>
  <c r="AE180" i="6"/>
  <c r="AE176" i="6"/>
  <c r="AE172" i="6"/>
  <c r="AE168" i="6"/>
  <c r="AE164" i="6"/>
  <c r="AE160" i="6"/>
  <c r="AE156" i="6"/>
  <c r="AE152" i="6"/>
  <c r="AE148" i="6"/>
  <c r="AE144" i="6"/>
  <c r="AE140" i="6"/>
  <c r="AE136" i="6"/>
  <c r="AE132" i="6"/>
  <c r="AE128" i="6"/>
  <c r="AE124" i="6"/>
  <c r="AE120" i="6"/>
  <c r="AE116" i="6"/>
  <c r="AE112" i="6"/>
  <c r="AN260" i="6"/>
  <c r="P246" i="6"/>
  <c r="E238" i="6"/>
  <c r="AD230" i="6"/>
  <c r="O223" i="6"/>
  <c r="L220" i="6"/>
  <c r="J215" i="6"/>
  <c r="N212" i="6"/>
  <c r="B209" i="6"/>
  <c r="F206" i="6"/>
  <c r="AD202" i="6"/>
  <c r="J199" i="6"/>
  <c r="N196" i="6"/>
  <c r="B193" i="6"/>
  <c r="F190" i="6"/>
  <c r="AD186" i="6"/>
  <c r="J183" i="6"/>
  <c r="N180" i="6"/>
  <c r="B177" i="6"/>
  <c r="F174" i="6"/>
  <c r="AD170" i="6"/>
  <c r="J167" i="6"/>
  <c r="N164" i="6"/>
  <c r="B161" i="6"/>
  <c r="F158" i="6"/>
  <c r="AD154" i="6"/>
  <c r="J151" i="6"/>
  <c r="N148" i="6"/>
  <c r="B145" i="6"/>
  <c r="F142" i="6"/>
  <c r="N325" i="6"/>
  <c r="AE309" i="6"/>
  <c r="AE295" i="6"/>
  <c r="AE281" i="6"/>
  <c r="K266" i="6"/>
  <c r="O253" i="6"/>
  <c r="J389" i="6"/>
  <c r="AD365" i="6"/>
  <c r="L346" i="6"/>
  <c r="P331" i="6"/>
  <c r="B323" i="6"/>
  <c r="J310" i="6"/>
  <c r="B302" i="6"/>
  <c r="N293" i="6"/>
  <c r="F285" i="6"/>
  <c r="J276" i="6"/>
  <c r="AD267" i="6"/>
  <c r="N259" i="6"/>
  <c r="F251" i="6"/>
  <c r="J242" i="6"/>
  <c r="N237" i="6"/>
  <c r="AD231" i="6"/>
  <c r="AD225" i="6"/>
  <c r="Q381" i="6"/>
  <c r="M368" i="6"/>
  <c r="AD356" i="6"/>
  <c r="L349" i="6"/>
  <c r="J340" i="6"/>
  <c r="AN329" i="6"/>
  <c r="B325" i="6"/>
  <c r="Q312" i="6"/>
  <c r="Q302" i="6"/>
  <c r="E293" i="6"/>
  <c r="M283" i="6"/>
  <c r="Q276" i="6"/>
  <c r="M269" i="6"/>
  <c r="Q262" i="6"/>
  <c r="E255" i="6"/>
  <c r="Q248" i="6"/>
  <c r="E241" i="6"/>
  <c r="M233" i="6"/>
  <c r="E227" i="6"/>
  <c r="AN256" i="6"/>
  <c r="M242" i="6"/>
  <c r="P231" i="6"/>
  <c r="Q222" i="6"/>
  <c r="AD324" i="6"/>
  <c r="O309" i="6"/>
  <c r="AM293" i="6"/>
  <c r="AM279" i="6"/>
  <c r="AM265" i="6"/>
  <c r="AE251" i="6"/>
  <c r="J388" i="6"/>
  <c r="D365" i="6"/>
  <c r="Q345" i="6"/>
  <c r="F330" i="6"/>
  <c r="J322" i="6"/>
  <c r="AD309" i="6"/>
  <c r="N301" i="6"/>
  <c r="F293" i="6"/>
  <c r="B284" i="6"/>
  <c r="AD275" i="6"/>
  <c r="N267" i="6"/>
  <c r="J258" i="6"/>
  <c r="B250" i="6"/>
  <c r="B242" i="6"/>
  <c r="B236" i="6"/>
  <c r="F231" i="6"/>
  <c r="N225" i="6"/>
  <c r="AD380" i="6"/>
  <c r="N366" i="6"/>
  <c r="P356" i="6"/>
  <c r="E348" i="6"/>
  <c r="B340" i="6"/>
  <c r="AE329" i="6"/>
  <c r="J323" i="6"/>
  <c r="E311" i="6"/>
  <c r="M301" i="6"/>
  <c r="M291" i="6"/>
  <c r="E283" i="6"/>
  <c r="M275" i="6"/>
  <c r="Q268" i="6"/>
  <c r="M261" i="6"/>
  <c r="Q254" i="6"/>
  <c r="E247" i="6"/>
  <c r="Q240" i="6"/>
  <c r="E233" i="6"/>
  <c r="M225" i="6"/>
  <c r="M256" i="6"/>
  <c r="B241" i="6"/>
  <c r="K230" i="6"/>
  <c r="O221" i="6"/>
  <c r="AN216" i="6"/>
  <c r="D211" i="6"/>
  <c r="P206" i="6"/>
  <c r="AN200" i="6"/>
  <c r="D195" i="6"/>
  <c r="P190" i="6"/>
  <c r="AN184" i="6"/>
  <c r="D179" i="6"/>
  <c r="P174" i="6"/>
  <c r="AN168" i="6"/>
  <c r="D163" i="6"/>
  <c r="P158" i="6"/>
  <c r="AN152" i="6"/>
  <c r="D147" i="6"/>
  <c r="P142" i="6"/>
  <c r="AN136" i="6"/>
  <c r="D131" i="6"/>
  <c r="P126" i="6"/>
  <c r="AN120" i="6"/>
  <c r="D115" i="6"/>
  <c r="AN266" i="6"/>
  <c r="N244" i="6"/>
  <c r="O231" i="6"/>
  <c r="P222" i="6"/>
  <c r="B219" i="6"/>
  <c r="K213" i="6"/>
  <c r="AE208" i="6"/>
  <c r="K203" i="6"/>
  <c r="K199" i="6"/>
  <c r="K195" i="6"/>
  <c r="K191" i="6"/>
  <c r="K187" i="6"/>
  <c r="K183" i="6"/>
  <c r="K179" i="6"/>
  <c r="K175" i="6"/>
  <c r="K171" i="6"/>
  <c r="K167" i="6"/>
  <c r="K163" i="6"/>
  <c r="K159" i="6"/>
  <c r="K155" i="6"/>
  <c r="K151" i="6"/>
  <c r="K147" i="6"/>
  <c r="K143" i="6"/>
  <c r="K139" i="6"/>
  <c r="K135" i="6"/>
  <c r="K131" i="6"/>
  <c r="K127" i="6"/>
  <c r="K123" i="6"/>
  <c r="K119" i="6"/>
  <c r="K115" i="6"/>
  <c r="K111" i="6"/>
  <c r="Q257" i="6"/>
  <c r="M244" i="6"/>
  <c r="E236" i="6"/>
  <c r="P229" i="6"/>
  <c r="N222" i="6"/>
  <c r="J218" i="6"/>
  <c r="AD214" i="6"/>
  <c r="J211" i="6"/>
  <c r="N208" i="6"/>
  <c r="B205" i="6"/>
  <c r="F202" i="6"/>
  <c r="AD198" i="6"/>
  <c r="J195" i="6"/>
  <c r="N192" i="6"/>
  <c r="B189" i="6"/>
  <c r="F186" i="6"/>
  <c r="AD182" i="6"/>
  <c r="J179" i="6"/>
  <c r="N176" i="6"/>
  <c r="B173" i="6"/>
  <c r="F170" i="6"/>
  <c r="AD166" i="6"/>
  <c r="J163" i="6"/>
  <c r="N160" i="6"/>
  <c r="B157" i="6"/>
  <c r="F154" i="6"/>
  <c r="AD150" i="6"/>
  <c r="J147" i="6"/>
  <c r="N144" i="6"/>
  <c r="B141" i="6"/>
  <c r="F138" i="6"/>
  <c r="AD134" i="6"/>
  <c r="J131" i="6"/>
  <c r="N128" i="6"/>
  <c r="B125" i="6"/>
  <c r="F122" i="6"/>
  <c r="AD118" i="6"/>
  <c r="J115" i="6"/>
  <c r="N112" i="6"/>
  <c r="B109" i="6"/>
  <c r="D217" i="6"/>
  <c r="P196" i="6"/>
  <c r="AN174" i="6"/>
  <c r="D153" i="6"/>
  <c r="P132" i="6"/>
  <c r="E268" i="6"/>
  <c r="L219" i="6"/>
  <c r="O200" i="6"/>
  <c r="AM184" i="6"/>
  <c r="AM176" i="6"/>
  <c r="AM168" i="6"/>
  <c r="AM160" i="6"/>
  <c r="AM152" i="6"/>
  <c r="AM144" i="6"/>
  <c r="AM136" i="6"/>
  <c r="AM128" i="6"/>
  <c r="AM120" i="6"/>
  <c r="AM112" i="6"/>
  <c r="J247" i="6"/>
  <c r="L231" i="6"/>
  <c r="D221" i="6"/>
  <c r="AD212" i="6"/>
  <c r="N206" i="6"/>
  <c r="F200" i="6"/>
  <c r="J193" i="6"/>
  <c r="B187" i="6"/>
  <c r="AD180" i="6"/>
  <c r="N174" i="6"/>
  <c r="F168" i="6"/>
  <c r="J161" i="6"/>
  <c r="B155" i="6"/>
  <c r="AD148" i="6"/>
  <c r="N142" i="6"/>
  <c r="J137" i="6"/>
  <c r="J133" i="6"/>
  <c r="B129" i="6"/>
  <c r="AD124" i="6"/>
  <c r="AD120" i="6"/>
  <c r="N116" i="6"/>
  <c r="F112" i="6"/>
  <c r="F108" i="6"/>
  <c r="D104" i="6"/>
  <c r="Q267" i="6"/>
  <c r="L249" i="6"/>
  <c r="B237" i="6"/>
  <c r="D232" i="6"/>
  <c r="N223" i="6"/>
  <c r="L221" i="6"/>
  <c r="M214" i="6"/>
  <c r="Q209" i="6"/>
  <c r="E204" i="6"/>
  <c r="M198" i="6"/>
  <c r="Q193" i="6"/>
  <c r="E188" i="6"/>
  <c r="M182" i="6"/>
  <c r="Q177" i="6"/>
  <c r="E172" i="6"/>
  <c r="M166" i="6"/>
  <c r="Q161" i="6"/>
  <c r="E156" i="6"/>
  <c r="M150" i="6"/>
  <c r="Q145" i="6"/>
  <c r="E140" i="6"/>
  <c r="M134" i="6"/>
  <c r="Q129" i="6"/>
  <c r="E124" i="6"/>
  <c r="M118" i="6"/>
  <c r="Q113" i="6"/>
  <c r="E108" i="6"/>
  <c r="N103" i="6"/>
  <c r="L267" i="6"/>
  <c r="E250" i="6"/>
  <c r="E242" i="6"/>
  <c r="B235" i="6"/>
  <c r="AD228" i="6"/>
  <c r="AN223" i="6"/>
  <c r="Q218" i="6"/>
  <c r="AN213" i="6"/>
  <c r="AN209" i="6"/>
  <c r="AN205" i="6"/>
  <c r="AN201" i="6"/>
  <c r="AN197" i="6"/>
  <c r="AN193" i="6"/>
  <c r="AN189" i="6"/>
  <c r="AN185" i="6"/>
  <c r="AN181" i="6"/>
  <c r="AN177" i="6"/>
  <c r="AN173" i="6"/>
  <c r="AN169" i="6"/>
  <c r="AN165" i="6"/>
  <c r="AN161" i="6"/>
  <c r="AN157" i="6"/>
  <c r="AN153" i="6"/>
  <c r="AN149" i="6"/>
  <c r="AN145" i="6"/>
  <c r="AN141" i="6"/>
  <c r="AN137" i="6"/>
  <c r="AN133" i="6"/>
  <c r="AN129" i="6"/>
  <c r="AN125" i="6"/>
  <c r="AN121" i="6"/>
  <c r="AN117" i="6"/>
  <c r="AN113" i="6"/>
  <c r="D263" i="6"/>
  <c r="D247" i="6"/>
  <c r="O235" i="6"/>
  <c r="AM227" i="6"/>
  <c r="L223" i="6"/>
  <c r="K216" i="6"/>
  <c r="K212" i="6"/>
  <c r="K208" i="6"/>
  <c r="K204" i="6"/>
  <c r="K200" i="6"/>
  <c r="K196" i="6"/>
  <c r="K192" i="6"/>
  <c r="K188" i="6"/>
  <c r="K184" i="6"/>
  <c r="K180" i="6"/>
  <c r="K176" i="6"/>
  <c r="K172" i="6"/>
  <c r="K168" i="6"/>
  <c r="K164" i="6"/>
  <c r="K160" i="6"/>
  <c r="K156" i="6"/>
  <c r="K152" i="6"/>
  <c r="K148" i="6"/>
  <c r="K144" i="6"/>
  <c r="K140" i="6"/>
  <c r="K136" i="6"/>
  <c r="K132" i="6"/>
  <c r="K128" i="6"/>
  <c r="K124" i="6"/>
  <c r="K120" i="6"/>
  <c r="K116" i="6"/>
  <c r="K112" i="6"/>
  <c r="K108" i="6"/>
  <c r="D273" i="6"/>
  <c r="L255" i="6"/>
  <c r="AN244" i="6"/>
  <c r="J237" i="6"/>
  <c r="K232" i="6"/>
  <c r="AN225" i="6"/>
  <c r="Q220" i="6"/>
  <c r="F217" i="6"/>
  <c r="AD213" i="6"/>
  <c r="J210" i="6"/>
  <c r="N207" i="6"/>
  <c r="B204" i="6"/>
  <c r="F201" i="6"/>
  <c r="AD197" i="6"/>
  <c r="J194" i="6"/>
  <c r="N191" i="6"/>
  <c r="B188" i="6"/>
  <c r="F185" i="6"/>
  <c r="AD181" i="6"/>
  <c r="D215" i="6"/>
  <c r="P194" i="6"/>
  <c r="AN172" i="6"/>
  <c r="D151" i="6"/>
  <c r="P130" i="6"/>
  <c r="P260" i="6"/>
  <c r="K217" i="6"/>
  <c r="AE198" i="6"/>
  <c r="O184" i="6"/>
  <c r="O176" i="6"/>
  <c r="O168" i="6"/>
  <c r="O160" i="6"/>
  <c r="O152" i="6"/>
  <c r="O144" i="6"/>
  <c r="O136" i="6"/>
  <c r="O128" i="6"/>
  <c r="O120" i="6"/>
  <c r="O112" i="6"/>
  <c r="AD244" i="6"/>
  <c r="AN229" i="6"/>
  <c r="J219" i="6"/>
  <c r="F212" i="6"/>
  <c r="J205" i="6"/>
  <c r="B199" i="6"/>
  <c r="AD192" i="6"/>
  <c r="N186" i="6"/>
  <c r="F180" i="6"/>
  <c r="J173" i="6"/>
  <c r="B167" i="6"/>
  <c r="AD160" i="6"/>
  <c r="N154" i="6"/>
  <c r="F148" i="6"/>
  <c r="J141" i="6"/>
  <c r="B137" i="6"/>
  <c r="AD132" i="6"/>
  <c r="AD128" i="6"/>
  <c r="N124" i="6"/>
  <c r="F120" i="6"/>
  <c r="F116" i="6"/>
  <c r="J111" i="6"/>
  <c r="J107" i="6"/>
  <c r="AM103" i="6"/>
  <c r="P264" i="6"/>
  <c r="N246" i="6"/>
  <c r="AD236" i="6"/>
  <c r="J231" i="6"/>
  <c r="E223" i="6"/>
  <c r="B221" i="6"/>
  <c r="E214" i="6"/>
  <c r="M208" i="6"/>
  <c r="Q203" i="6"/>
  <c r="E198" i="6"/>
  <c r="M192" i="6"/>
  <c r="Q187" i="6"/>
  <c r="E182" i="6"/>
  <c r="M176" i="6"/>
  <c r="Q171" i="6"/>
  <c r="E166" i="6"/>
  <c r="M160" i="6"/>
  <c r="Q155" i="6"/>
  <c r="E150" i="6"/>
  <c r="M144" i="6"/>
  <c r="Q139" i="6"/>
  <c r="E134" i="6"/>
  <c r="M128" i="6"/>
  <c r="Q123" i="6"/>
  <c r="E118" i="6"/>
  <c r="M112" i="6"/>
  <c r="Q107" i="6"/>
  <c r="F103" i="6"/>
  <c r="E266" i="6"/>
  <c r="J249" i="6"/>
  <c r="J241" i="6"/>
  <c r="K234" i="6"/>
  <c r="AN227" i="6"/>
  <c r="AE223" i="6"/>
  <c r="P217" i="6"/>
  <c r="P213" i="6"/>
  <c r="P209" i="6"/>
  <c r="P205" i="6"/>
  <c r="P201" i="6"/>
  <c r="P197" i="6"/>
  <c r="P193" i="6"/>
  <c r="P189" i="6"/>
  <c r="P185" i="6"/>
  <c r="P181" i="6"/>
  <c r="P177" i="6"/>
  <c r="P173" i="6"/>
  <c r="P169" i="6"/>
  <c r="P165" i="6"/>
  <c r="P161" i="6"/>
  <c r="P157" i="6"/>
  <c r="P153" i="6"/>
  <c r="P149" i="6"/>
  <c r="P145" i="6"/>
  <c r="P141" i="6"/>
  <c r="P137" i="6"/>
  <c r="P133" i="6"/>
  <c r="P129" i="6"/>
  <c r="P125" i="6"/>
  <c r="P121" i="6"/>
  <c r="P117" i="6"/>
  <c r="P113" i="6"/>
  <c r="L261" i="6"/>
  <c r="F244" i="6"/>
  <c r="Q233" i="6"/>
  <c r="O227" i="6"/>
  <c r="B223" i="6"/>
  <c r="AM215" i="6"/>
  <c r="AM211" i="6"/>
  <c r="AM207" i="6"/>
  <c r="AM203" i="6"/>
  <c r="AM199" i="6"/>
  <c r="AM195" i="6"/>
  <c r="AM191" i="6"/>
  <c r="AM187" i="6"/>
  <c r="AM183" i="6"/>
  <c r="AM179" i="6"/>
  <c r="AM175" i="6"/>
  <c r="AM171" i="6"/>
  <c r="AM167" i="6"/>
  <c r="AM163" i="6"/>
  <c r="AM159" i="6"/>
  <c r="AM155" i="6"/>
  <c r="AM151" i="6"/>
  <c r="AM147" i="6"/>
  <c r="AM143" i="6"/>
  <c r="AM139" i="6"/>
  <c r="P212" i="6"/>
  <c r="AN190" i="6"/>
  <c r="D169" i="6"/>
  <c r="P148" i="6"/>
  <c r="AN126" i="6"/>
  <c r="L247" i="6"/>
  <c r="AE214" i="6"/>
  <c r="O196" i="6"/>
  <c r="AM182" i="6"/>
  <c r="AM174" i="6"/>
  <c r="AM166" i="6"/>
  <c r="AM158" i="6"/>
  <c r="AM150" i="6"/>
  <c r="AM142" i="6"/>
  <c r="AM134" i="6"/>
  <c r="AM126" i="6"/>
  <c r="AM118" i="6"/>
  <c r="Q273" i="6"/>
  <c r="B243" i="6"/>
  <c r="B229" i="6"/>
  <c r="J217" i="6"/>
  <c r="B211" i="6"/>
  <c r="AD204" i="6"/>
  <c r="N198" i="6"/>
  <c r="F192" i="6"/>
  <c r="J185" i="6"/>
  <c r="B179" i="6"/>
  <c r="AD172" i="6"/>
  <c r="N166" i="6"/>
  <c r="F160" i="6"/>
  <c r="J153" i="6"/>
  <c r="B147" i="6"/>
  <c r="AD140" i="6"/>
  <c r="AD136" i="6"/>
  <c r="N132" i="6"/>
  <c r="F128" i="6"/>
  <c r="F124" i="6"/>
  <c r="J119" i="6"/>
  <c r="B115" i="6"/>
  <c r="B111" i="6"/>
  <c r="B107" i="6"/>
  <c r="AE103" i="6"/>
  <c r="D259" i="6"/>
  <c r="D245" i="6"/>
  <c r="P236" i="6"/>
  <c r="F230" i="6"/>
  <c r="AN222" i="6"/>
  <c r="K220" i="6"/>
  <c r="Q213" i="6"/>
  <c r="E208" i="6"/>
  <c r="M202" i="6"/>
  <c r="Q197" i="6"/>
  <c r="E192" i="6"/>
  <c r="M186" i="6"/>
  <c r="Q181" i="6"/>
  <c r="E176" i="6"/>
  <c r="M170" i="6"/>
  <c r="Q165" i="6"/>
  <c r="E160" i="6"/>
  <c r="M154" i="6"/>
  <c r="Q149" i="6"/>
  <c r="E144" i="6"/>
  <c r="M138" i="6"/>
  <c r="Q133" i="6"/>
  <c r="E128" i="6"/>
  <c r="M122" i="6"/>
  <c r="Q117" i="6"/>
  <c r="E112" i="6"/>
  <c r="M106" i="6"/>
  <c r="Q102" i="6"/>
  <c r="AN264" i="6"/>
  <c r="P248" i="6"/>
  <c r="P240" i="6"/>
  <c r="AE233" i="6"/>
  <c r="P227" i="6"/>
  <c r="M223" i="6"/>
  <c r="L216" i="6"/>
  <c r="L212" i="6"/>
  <c r="L208" i="6"/>
  <c r="L204" i="6"/>
  <c r="L200" i="6"/>
  <c r="L196" i="6"/>
  <c r="L192" i="6"/>
  <c r="L188" i="6"/>
  <c r="L184" i="6"/>
  <c r="L180" i="6"/>
  <c r="L176" i="6"/>
  <c r="L172" i="6"/>
  <c r="L168" i="6"/>
  <c r="L164" i="6"/>
  <c r="L160" i="6"/>
  <c r="L156" i="6"/>
  <c r="L152" i="6"/>
  <c r="L148" i="6"/>
  <c r="L144" i="6"/>
  <c r="L140" i="6"/>
  <c r="L136" i="6"/>
  <c r="L132" i="6"/>
  <c r="L128" i="6"/>
  <c r="L124" i="6"/>
  <c r="L120" i="6"/>
  <c r="P210" i="6"/>
  <c r="AN188" i="6"/>
  <c r="D167" i="6"/>
  <c r="P146" i="6"/>
  <c r="AN124" i="6"/>
  <c r="L239" i="6"/>
  <c r="AE212" i="6"/>
  <c r="AE194" i="6"/>
  <c r="AE182" i="6"/>
  <c r="AE174" i="6"/>
  <c r="AE166" i="6"/>
  <c r="AE158" i="6"/>
  <c r="AE150" i="6"/>
  <c r="AE142" i="6"/>
  <c r="AE134" i="6"/>
  <c r="AE126" i="6"/>
  <c r="AE118" i="6"/>
  <c r="P270" i="6"/>
  <c r="Q241" i="6"/>
  <c r="K228" i="6"/>
  <c r="B217" i="6"/>
  <c r="AD210" i="6"/>
  <c r="N204" i="6"/>
  <c r="F198" i="6"/>
  <c r="J191" i="6"/>
  <c r="B185" i="6"/>
  <c r="AD178" i="6"/>
  <c r="N172" i="6"/>
  <c r="F166" i="6"/>
  <c r="J159" i="6"/>
  <c r="B153" i="6"/>
  <c r="AD146" i="6"/>
  <c r="N140" i="6"/>
  <c r="F136" i="6"/>
  <c r="F132" i="6"/>
  <c r="J127" i="6"/>
  <c r="B123" i="6"/>
  <c r="B119" i="6"/>
  <c r="AD114" i="6"/>
  <c r="N110" i="6"/>
  <c r="AD106" i="6"/>
  <c r="O103" i="6"/>
  <c r="L257" i="6"/>
  <c r="F242" i="6"/>
  <c r="AE235" i="6"/>
  <c r="AM229" i="6"/>
  <c r="AD222" i="6"/>
  <c r="B220" i="6"/>
  <c r="M212" i="6"/>
  <c r="Q207" i="6"/>
  <c r="E202" i="6"/>
  <c r="M196" i="6"/>
  <c r="Q191" i="6"/>
  <c r="E186" i="6"/>
  <c r="M180" i="6"/>
  <c r="Q175" i="6"/>
  <c r="E170" i="6"/>
  <c r="M164" i="6"/>
  <c r="Q159" i="6"/>
  <c r="E154" i="6"/>
  <c r="M148" i="6"/>
  <c r="Q143" i="6"/>
  <c r="E138" i="6"/>
  <c r="M132" i="6"/>
  <c r="Q127" i="6"/>
  <c r="E122" i="6"/>
  <c r="M116" i="6"/>
  <c r="Q111" i="6"/>
  <c r="E106" i="6"/>
  <c r="L101" i="6"/>
  <c r="M264" i="6"/>
  <c r="AD246" i="6"/>
  <c r="AD238" i="6"/>
  <c r="M232" i="6"/>
  <c r="B227" i="6"/>
  <c r="D223" i="6"/>
  <c r="D216" i="6"/>
  <c r="D212" i="6"/>
  <c r="D208" i="6"/>
  <c r="D204" i="6"/>
  <c r="D200" i="6"/>
  <c r="D196" i="6"/>
  <c r="D192" i="6"/>
  <c r="D188" i="6"/>
  <c r="D184" i="6"/>
  <c r="D180" i="6"/>
  <c r="D176" i="6"/>
  <c r="D172" i="6"/>
  <c r="D168" i="6"/>
  <c r="D164" i="6"/>
  <c r="D160" i="6"/>
  <c r="D156" i="6"/>
  <c r="D152" i="6"/>
  <c r="D148" i="6"/>
  <c r="D144" i="6"/>
  <c r="D140" i="6"/>
  <c r="D136" i="6"/>
  <c r="D132" i="6"/>
  <c r="D128" i="6"/>
  <c r="D124" i="6"/>
  <c r="D120" i="6"/>
  <c r="D116" i="6"/>
  <c r="D112" i="6"/>
  <c r="AN258" i="6"/>
  <c r="N240" i="6"/>
  <c r="L232" i="6"/>
  <c r="D225" i="6"/>
  <c r="B222" i="6"/>
  <c r="O215" i="6"/>
  <c r="O211" i="6"/>
  <c r="O207" i="6"/>
  <c r="O203" i="6"/>
  <c r="O199" i="6"/>
  <c r="O195" i="6"/>
  <c r="O191" i="6"/>
  <c r="O187" i="6"/>
  <c r="O183" i="6"/>
  <c r="O179" i="6"/>
  <c r="O175" i="6"/>
  <c r="O171" i="6"/>
  <c r="O167" i="6"/>
  <c r="O163" i="6"/>
  <c r="O159" i="6"/>
  <c r="O155" i="6"/>
  <c r="O151" i="6"/>
  <c r="O147" i="6"/>
  <c r="O143" i="6"/>
  <c r="O139" i="6"/>
  <c r="O135" i="6"/>
  <c r="O131" i="6"/>
  <c r="O127" i="6"/>
  <c r="O123" i="6"/>
  <c r="O119" i="6"/>
  <c r="O115" i="6"/>
  <c r="O111" i="6"/>
  <c r="O107" i="6"/>
  <c r="AN268" i="6"/>
  <c r="M252" i="6"/>
  <c r="P242" i="6"/>
  <c r="L235" i="6"/>
  <c r="AN228" i="6"/>
  <c r="N224" i="6"/>
  <c r="N218" i="6"/>
  <c r="AD215" i="6"/>
  <c r="J212" i="6"/>
  <c r="N209" i="6"/>
  <c r="B206" i="6"/>
  <c r="F203" i="6"/>
  <c r="AD199" i="6"/>
  <c r="J196" i="6"/>
  <c r="N193" i="6"/>
  <c r="B190" i="6"/>
  <c r="F187" i="6"/>
  <c r="AD183" i="6"/>
  <c r="J180" i="6"/>
  <c r="N177" i="6"/>
  <c r="B174" i="6"/>
  <c r="F171" i="6"/>
  <c r="AD167" i="6"/>
  <c r="J164" i="6"/>
  <c r="N161" i="6"/>
  <c r="B158" i="6"/>
  <c r="F155" i="6"/>
  <c r="AD151" i="6"/>
  <c r="J148" i="6"/>
  <c r="N145" i="6"/>
  <c r="B142" i="6"/>
  <c r="F139" i="6"/>
  <c r="AD135" i="6"/>
  <c r="J132" i="6"/>
  <c r="N129" i="6"/>
  <c r="B126" i="6"/>
  <c r="F123" i="6"/>
  <c r="AD119" i="6"/>
  <c r="AN206" i="6"/>
  <c r="D185" i="6"/>
  <c r="P164" i="6"/>
  <c r="AN142" i="6"/>
  <c r="D121" i="6"/>
  <c r="F232" i="6"/>
  <c r="AM208" i="6"/>
  <c r="O192" i="6"/>
  <c r="AM180" i="6"/>
  <c r="AM172" i="6"/>
  <c r="AM164" i="6"/>
  <c r="AM156" i="6"/>
  <c r="AM148" i="6"/>
  <c r="AM140" i="6"/>
  <c r="AM132" i="6"/>
  <c r="AM124" i="6"/>
  <c r="AM116" i="6"/>
  <c r="E262" i="6"/>
  <c r="J239" i="6"/>
  <c r="AN224" i="6"/>
  <c r="F216" i="6"/>
  <c r="J209" i="6"/>
  <c r="B203" i="6"/>
  <c r="AD196" i="6"/>
  <c r="N190" i="6"/>
  <c r="F184" i="6"/>
  <c r="J177" i="6"/>
  <c r="B171" i="6"/>
  <c r="AD164" i="6"/>
  <c r="N158" i="6"/>
  <c r="F152" i="6"/>
  <c r="J145" i="6"/>
  <c r="F140" i="6"/>
  <c r="J135" i="6"/>
  <c r="B131" i="6"/>
  <c r="B127" i="6"/>
  <c r="AD122" i="6"/>
  <c r="N118" i="6"/>
  <c r="N114" i="6"/>
  <c r="F110" i="6"/>
  <c r="N106" i="6"/>
  <c r="L273" i="6"/>
  <c r="E256" i="6"/>
  <c r="L241" i="6"/>
  <c r="Q235" i="6"/>
  <c r="O229" i="6"/>
  <c r="M222" i="6"/>
  <c r="Q217" i="6"/>
  <c r="E212" i="6"/>
  <c r="M206" i="6"/>
  <c r="Q201" i="6"/>
  <c r="E196" i="6"/>
  <c r="M190" i="6"/>
  <c r="Q185" i="6"/>
  <c r="E180" i="6"/>
  <c r="M174" i="6"/>
  <c r="Q169" i="6"/>
  <c r="E164" i="6"/>
  <c r="M158" i="6"/>
  <c r="Q153" i="6"/>
  <c r="E148" i="6"/>
  <c r="M142" i="6"/>
  <c r="Q137" i="6"/>
  <c r="E132" i="6"/>
  <c r="M126" i="6"/>
  <c r="Q121" i="6"/>
  <c r="E116" i="6"/>
  <c r="M110" i="6"/>
  <c r="AN105" i="6"/>
  <c r="D101" i="6"/>
  <c r="Q261" i="6"/>
  <c r="M246" i="6"/>
  <c r="N238" i="6"/>
  <c r="AN230" i="6"/>
  <c r="K226" i="6"/>
  <c r="L222" i="6"/>
  <c r="AN215" i="6"/>
  <c r="AN211" i="6"/>
  <c r="AN207" i="6"/>
  <c r="AN203" i="6"/>
  <c r="AN199" i="6"/>
  <c r="AN195" i="6"/>
  <c r="AN191" i="6"/>
  <c r="AN187" i="6"/>
  <c r="AN183" i="6"/>
  <c r="AN179" i="6"/>
  <c r="AN175" i="6"/>
  <c r="AN171" i="6"/>
  <c r="AN167" i="6"/>
  <c r="AN163" i="6"/>
  <c r="AN159" i="6"/>
  <c r="AN155" i="6"/>
  <c r="AN151" i="6"/>
  <c r="AN147" i="6"/>
  <c r="AN143" i="6"/>
  <c r="AN139" i="6"/>
  <c r="AN135" i="6"/>
  <c r="AN131" i="6"/>
  <c r="AN127" i="6"/>
  <c r="AN123" i="6"/>
  <c r="AN119" i="6"/>
  <c r="AN115" i="6"/>
  <c r="AN111" i="6"/>
  <c r="M258" i="6"/>
  <c r="D239" i="6"/>
  <c r="N230" i="6"/>
  <c r="P224" i="6"/>
  <c r="P219" i="6"/>
  <c r="K214" i="6"/>
  <c r="K210" i="6"/>
  <c r="K206" i="6"/>
  <c r="K202" i="6"/>
  <c r="K198" i="6"/>
  <c r="K194" i="6"/>
  <c r="K190" i="6"/>
  <c r="K186" i="6"/>
  <c r="K182" i="6"/>
  <c r="K178" i="6"/>
  <c r="K174" i="6"/>
  <c r="K170" i="6"/>
  <c r="K166" i="6"/>
  <c r="K162" i="6"/>
  <c r="K158" i="6"/>
  <c r="K154" i="6"/>
  <c r="K150" i="6"/>
  <c r="K146" i="6"/>
  <c r="K142" i="6"/>
  <c r="K138" i="6"/>
  <c r="K134" i="6"/>
  <c r="K130" i="6"/>
  <c r="K126" i="6"/>
  <c r="K122" i="6"/>
  <c r="K118" i="6"/>
  <c r="K114" i="6"/>
  <c r="K110" i="6"/>
  <c r="K106" i="6"/>
  <c r="M268" i="6"/>
  <c r="AD248" i="6"/>
  <c r="AD240" i="6"/>
  <c r="AD234" i="6"/>
  <c r="P228" i="6"/>
  <c r="D224" i="6"/>
  <c r="E218" i="6"/>
  <c r="N215" i="6"/>
  <c r="B212" i="6"/>
  <c r="F209" i="6"/>
  <c r="AD205" i="6"/>
  <c r="J202" i="6"/>
  <c r="N199" i="6"/>
  <c r="B196" i="6"/>
  <c r="F193" i="6"/>
  <c r="AD189" i="6"/>
  <c r="J186" i="6"/>
  <c r="N183" i="6"/>
  <c r="B180" i="6"/>
  <c r="F177" i="6"/>
  <c r="AD173" i="6"/>
  <c r="J170" i="6"/>
  <c r="N167" i="6"/>
  <c r="B164" i="6"/>
  <c r="F161" i="6"/>
  <c r="AD157" i="6"/>
  <c r="J154" i="6"/>
  <c r="N151" i="6"/>
  <c r="B148" i="6"/>
  <c r="F145" i="6"/>
  <c r="AN204" i="6"/>
  <c r="D183" i="6"/>
  <c r="P162" i="6"/>
  <c r="AN140" i="6"/>
  <c r="D119" i="6"/>
  <c r="D229" i="6"/>
  <c r="AM206" i="6"/>
  <c r="AE190" i="6"/>
  <c r="O180" i="6"/>
  <c r="O172" i="6"/>
  <c r="O164" i="6"/>
  <c r="O156" i="6"/>
  <c r="O148" i="6"/>
  <c r="O140" i="6"/>
  <c r="O132" i="6"/>
  <c r="O124" i="6"/>
  <c r="O116" i="6"/>
  <c r="M260" i="6"/>
  <c r="D237" i="6"/>
  <c r="F223" i="6"/>
  <c r="B215" i="6"/>
  <c r="AD208" i="6"/>
  <c r="N202" i="6"/>
  <c r="F196" i="6"/>
  <c r="J189" i="6"/>
  <c r="B183" i="6"/>
  <c r="AD176" i="6"/>
  <c r="N170" i="6"/>
  <c r="F164" i="6"/>
  <c r="J157" i="6"/>
  <c r="B151" i="6"/>
  <c r="AD144" i="6"/>
  <c r="B139" i="6"/>
  <c r="B135" i="6"/>
  <c r="AD130" i="6"/>
  <c r="N126" i="6"/>
  <c r="N122" i="6"/>
  <c r="F118" i="6"/>
  <c r="J113" i="6"/>
  <c r="J109" i="6"/>
  <c r="F106" i="6"/>
  <c r="E272" i="6"/>
  <c r="AN254" i="6"/>
  <c r="P238" i="6"/>
  <c r="D235" i="6"/>
  <c r="Q227" i="6"/>
  <c r="D222" i="6"/>
  <c r="M216" i="6"/>
  <c r="Q211" i="6"/>
  <c r="E206" i="6"/>
  <c r="M200" i="6"/>
  <c r="Q195" i="6"/>
  <c r="E190" i="6"/>
  <c r="M184" i="6"/>
  <c r="Q179" i="6"/>
  <c r="E174" i="6"/>
  <c r="M168" i="6"/>
  <c r="Q163" i="6"/>
  <c r="E158" i="6"/>
  <c r="M152" i="6"/>
  <c r="Q147" i="6"/>
  <c r="E142" i="6"/>
  <c r="M136" i="6"/>
  <c r="Q131" i="6"/>
  <c r="E126" i="6"/>
  <c r="M120" i="6"/>
  <c r="Q115" i="6"/>
  <c r="E110" i="6"/>
  <c r="P105" i="6"/>
  <c r="AM100" i="6"/>
  <c r="P258" i="6"/>
  <c r="B245" i="6"/>
  <c r="O237" i="6"/>
  <c r="P230" i="6"/>
  <c r="AE225" i="6"/>
  <c r="J221" i="6"/>
  <c r="P215" i="6"/>
  <c r="P211" i="6"/>
  <c r="P207" i="6"/>
  <c r="P203" i="6"/>
  <c r="P199" i="6"/>
  <c r="P195" i="6"/>
  <c r="P191" i="6"/>
  <c r="P187" i="6"/>
  <c r="P183" i="6"/>
  <c r="P179" i="6"/>
  <c r="P175" i="6"/>
  <c r="P171" i="6"/>
  <c r="P167" i="6"/>
  <c r="P163" i="6"/>
  <c r="P159" i="6"/>
  <c r="P155" i="6"/>
  <c r="P151" i="6"/>
  <c r="P147" i="6"/>
  <c r="P143" i="6"/>
  <c r="P139" i="6"/>
  <c r="P135" i="6"/>
  <c r="P131" i="6"/>
  <c r="P127" i="6"/>
  <c r="P123" i="6"/>
  <c r="P119" i="6"/>
  <c r="P115" i="6"/>
  <c r="P111" i="6"/>
  <c r="Q255" i="6"/>
  <c r="M238" i="6"/>
  <c r="D230" i="6"/>
  <c r="E224" i="6"/>
  <c r="P218" i="6"/>
  <c r="AM213" i="6"/>
  <c r="AM209" i="6"/>
  <c r="AM205" i="6"/>
  <c r="AM201" i="6"/>
  <c r="AM197" i="6"/>
  <c r="AM193" i="6"/>
  <c r="AM189" i="6"/>
  <c r="AM185" i="6"/>
  <c r="AM181" i="6"/>
  <c r="AM177" i="6"/>
  <c r="AM173" i="6"/>
  <c r="AM169" i="6"/>
  <c r="AM165" i="6"/>
  <c r="AM161" i="6"/>
  <c r="AM157" i="6"/>
  <c r="AM153" i="6"/>
  <c r="AM149" i="6"/>
  <c r="AM145" i="6"/>
  <c r="AM141" i="6"/>
  <c r="D201" i="6"/>
  <c r="P180" i="6"/>
  <c r="AN158" i="6"/>
  <c r="D137" i="6"/>
  <c r="P116" i="6"/>
  <c r="P223" i="6"/>
  <c r="O204" i="6"/>
  <c r="O188" i="6"/>
  <c r="AM178" i="6"/>
  <c r="AM170" i="6"/>
  <c r="AM162" i="6"/>
  <c r="AM154" i="6"/>
  <c r="AM146" i="6"/>
  <c r="AM138" i="6"/>
  <c r="AM130" i="6"/>
  <c r="AM122" i="6"/>
  <c r="AM114" i="6"/>
  <c r="P254" i="6"/>
  <c r="M234" i="6"/>
  <c r="E222" i="6"/>
  <c r="N214" i="6"/>
  <c r="F208" i="6"/>
  <c r="J201" i="6"/>
  <c r="B195" i="6"/>
  <c r="AD188" i="6"/>
  <c r="N182" i="6"/>
  <c r="F176" i="6"/>
  <c r="J169" i="6"/>
  <c r="B163" i="6"/>
  <c r="AD156" i="6"/>
  <c r="N150" i="6"/>
  <c r="F144" i="6"/>
  <c r="AD138" i="6"/>
  <c r="N134" i="6"/>
  <c r="N130" i="6"/>
  <c r="F126" i="6"/>
  <c r="J121" i="6"/>
  <c r="J117" i="6"/>
  <c r="B113" i="6"/>
  <c r="AD108" i="6"/>
  <c r="Q105" i="6"/>
  <c r="AN270" i="6"/>
  <c r="M254" i="6"/>
  <c r="AE237" i="6"/>
  <c r="L234" i="6"/>
  <c r="D227" i="6"/>
  <c r="AM221" i="6"/>
  <c r="E216" i="6"/>
  <c r="M210" i="6"/>
  <c r="Q205" i="6"/>
  <c r="E200" i="6"/>
  <c r="M194" i="6"/>
  <c r="Q189" i="6"/>
  <c r="E184" i="6"/>
  <c r="M178" i="6"/>
  <c r="Q173" i="6"/>
  <c r="E168" i="6"/>
  <c r="M162" i="6"/>
  <c r="Q157" i="6"/>
  <c r="E152" i="6"/>
  <c r="M146" i="6"/>
  <c r="Q141" i="6"/>
  <c r="E136" i="6"/>
  <c r="M130" i="6"/>
  <c r="Q125" i="6"/>
  <c r="E120" i="6"/>
  <c r="M114" i="6"/>
  <c r="Q109" i="6"/>
  <c r="K104" i="6"/>
  <c r="AE100" i="6"/>
  <c r="D253" i="6"/>
  <c r="Q243" i="6"/>
  <c r="N236" i="6"/>
  <c r="E230" i="6"/>
  <c r="Q224" i="6"/>
  <c r="J220" i="6"/>
  <c r="L214" i="6"/>
  <c r="L210" i="6"/>
  <c r="L206" i="6"/>
  <c r="L202" i="6"/>
  <c r="L198" i="6"/>
  <c r="L194" i="6"/>
  <c r="L190" i="6"/>
  <c r="L186" i="6"/>
  <c r="L182" i="6"/>
  <c r="L178" i="6"/>
  <c r="L174" i="6"/>
  <c r="L170" i="6"/>
  <c r="L166" i="6"/>
  <c r="L162" i="6"/>
  <c r="L158" i="6"/>
  <c r="L154" i="6"/>
  <c r="L150" i="6"/>
  <c r="L146" i="6"/>
  <c r="L142" i="6"/>
  <c r="L138" i="6"/>
  <c r="L134" i="6"/>
  <c r="L130" i="6"/>
  <c r="L126" i="6"/>
  <c r="L122" i="6"/>
  <c r="D199" i="6"/>
  <c r="P178" i="6"/>
  <c r="AN156" i="6"/>
  <c r="D135" i="6"/>
  <c r="P114" i="6"/>
  <c r="E221" i="6"/>
  <c r="AE202" i="6"/>
  <c r="AE186" i="6"/>
  <c r="AE178" i="6"/>
  <c r="AE170" i="6"/>
  <c r="AE162" i="6"/>
  <c r="AE154" i="6"/>
  <c r="AE146" i="6"/>
  <c r="AE138" i="6"/>
  <c r="AE130" i="6"/>
  <c r="AE122" i="6"/>
  <c r="AE114" i="6"/>
  <c r="Q249" i="6"/>
  <c r="AN232" i="6"/>
  <c r="AN221" i="6"/>
  <c r="F214" i="6"/>
  <c r="J207" i="6"/>
  <c r="B201" i="6"/>
  <c r="AD194" i="6"/>
  <c r="N188" i="6"/>
  <c r="F182" i="6"/>
  <c r="J175" i="6"/>
  <c r="B169" i="6"/>
  <c r="AD162" i="6"/>
  <c r="N156" i="6"/>
  <c r="F150" i="6"/>
  <c r="J143" i="6"/>
  <c r="N138" i="6"/>
  <c r="F134" i="6"/>
  <c r="J129" i="6"/>
  <c r="J125" i="6"/>
  <c r="B121" i="6"/>
  <c r="AD116" i="6"/>
  <c r="AD112" i="6"/>
  <c r="N108" i="6"/>
  <c r="L104" i="6"/>
  <c r="M270" i="6"/>
  <c r="Q251" i="6"/>
  <c r="Q237" i="6"/>
  <c r="N232" i="6"/>
  <c r="L226" i="6"/>
  <c r="AD221" i="6"/>
  <c r="Q215" i="6"/>
  <c r="E210" i="6"/>
  <c r="M204" i="6"/>
  <c r="Q199" i="6"/>
  <c r="E194" i="6"/>
  <c r="M188" i="6"/>
  <c r="Q183" i="6"/>
  <c r="E178" i="6"/>
  <c r="M172" i="6"/>
  <c r="Q167" i="6"/>
  <c r="E162" i="6"/>
  <c r="M156" i="6"/>
  <c r="Q151" i="6"/>
  <c r="E146" i="6"/>
  <c r="M140" i="6"/>
  <c r="Q135" i="6"/>
  <c r="E130" i="6"/>
  <c r="M124" i="6"/>
  <c r="Q119" i="6"/>
  <c r="E114" i="6"/>
  <c r="M108" i="6"/>
  <c r="AD103" i="6"/>
  <c r="D269" i="6"/>
  <c r="L251" i="6"/>
  <c r="AN242" i="6"/>
  <c r="P235" i="6"/>
  <c r="L229" i="6"/>
  <c r="F224" i="6"/>
  <c r="Q219" i="6"/>
  <c r="D214" i="6"/>
  <c r="D210" i="6"/>
  <c r="D206" i="6"/>
  <c r="D202" i="6"/>
  <c r="D198" i="6"/>
  <c r="D194" i="6"/>
  <c r="D190" i="6"/>
  <c r="D186" i="6"/>
  <c r="D182" i="6"/>
  <c r="D178" i="6"/>
  <c r="D174" i="6"/>
  <c r="D170" i="6"/>
  <c r="D166" i="6"/>
  <c r="D162" i="6"/>
  <c r="D158" i="6"/>
  <c r="D154" i="6"/>
  <c r="D150" i="6"/>
  <c r="D146" i="6"/>
  <c r="D142" i="6"/>
  <c r="D138" i="6"/>
  <c r="D134" i="6"/>
  <c r="D130" i="6"/>
  <c r="D126" i="6"/>
  <c r="D122" i="6"/>
  <c r="D118" i="6"/>
  <c r="D114" i="6"/>
  <c r="P268" i="6"/>
  <c r="N248" i="6"/>
  <c r="M236" i="6"/>
  <c r="F228" i="6"/>
  <c r="AD223" i="6"/>
  <c r="O217" i="6"/>
  <c r="O213" i="6"/>
  <c r="O209" i="6"/>
  <c r="O205" i="6"/>
  <c r="O201" i="6"/>
  <c r="O197" i="6"/>
  <c r="O193" i="6"/>
  <c r="O189" i="6"/>
  <c r="O185" i="6"/>
  <c r="O181" i="6"/>
  <c r="O177" i="6"/>
  <c r="O173" i="6"/>
  <c r="O169" i="6"/>
  <c r="O165" i="6"/>
  <c r="O161" i="6"/>
  <c r="O157" i="6"/>
  <c r="O153" i="6"/>
  <c r="O149" i="6"/>
  <c r="O145" i="6"/>
  <c r="O141" i="6"/>
  <c r="O137" i="6"/>
  <c r="O133" i="6"/>
  <c r="O129" i="6"/>
  <c r="O125" i="6"/>
  <c r="O121" i="6"/>
  <c r="O117" i="6"/>
  <c r="O113" i="6"/>
  <c r="O109" i="6"/>
  <c r="F105" i="6"/>
  <c r="D257" i="6"/>
  <c r="Q245" i="6"/>
  <c r="K238" i="6"/>
  <c r="B233" i="6"/>
  <c r="AD226" i="6"/>
  <c r="Q221" i="6"/>
  <c r="N217" i="6"/>
  <c r="B214" i="6"/>
  <c r="F211" i="6"/>
  <c r="AD207" i="6"/>
  <c r="J204" i="6"/>
  <c r="N201" i="6"/>
  <c r="B198" i="6"/>
  <c r="F195" i="6"/>
  <c r="AD191" i="6"/>
  <c r="J188" i="6"/>
  <c r="N185" i="6"/>
  <c r="B182" i="6"/>
  <c r="F179" i="6"/>
  <c r="AD175" i="6"/>
  <c r="J172" i="6"/>
  <c r="N169" i="6"/>
  <c r="B166" i="6"/>
  <c r="F163" i="6"/>
  <c r="AD159" i="6"/>
  <c r="J156" i="6"/>
  <c r="N153" i="6"/>
  <c r="B150" i="6"/>
  <c r="F147" i="6"/>
  <c r="AD143" i="6"/>
  <c r="J140" i="6"/>
  <c r="N137" i="6"/>
  <c r="B134" i="6"/>
  <c r="F131" i="6"/>
  <c r="AD127" i="6"/>
  <c r="J124" i="6"/>
  <c r="N121" i="6"/>
  <c r="B118" i="6"/>
  <c r="L118" i="6"/>
  <c r="L237" i="6"/>
  <c r="AE213" i="6"/>
  <c r="AE197" i="6"/>
  <c r="AE181" i="6"/>
  <c r="AE165" i="6"/>
  <c r="AE149" i="6"/>
  <c r="AM135" i="6"/>
  <c r="AM127" i="6"/>
  <c r="AM119" i="6"/>
  <c r="AM111" i="6"/>
  <c r="L271" i="6"/>
  <c r="E244" i="6"/>
  <c r="AE231" i="6"/>
  <c r="O219" i="6"/>
  <c r="N213" i="6"/>
  <c r="F207" i="6"/>
  <c r="J200" i="6"/>
  <c r="B194" i="6"/>
  <c r="AD187" i="6"/>
  <c r="N181" i="6"/>
  <c r="B176" i="6"/>
  <c r="N171" i="6"/>
  <c r="AD165" i="6"/>
  <c r="J160" i="6"/>
  <c r="AD155" i="6"/>
  <c r="J150" i="6"/>
  <c r="AD145" i="6"/>
  <c r="F141" i="6"/>
  <c r="J136" i="6"/>
  <c r="B132" i="6"/>
  <c r="B128" i="6"/>
  <c r="AD123" i="6"/>
  <c r="N119" i="6"/>
  <c r="AD115" i="6"/>
  <c r="J112" i="6"/>
  <c r="N109" i="6"/>
  <c r="B106" i="6"/>
  <c r="L265" i="6"/>
  <c r="F246" i="6"/>
  <c r="AM233" i="6"/>
  <c r="F226" i="6"/>
  <c r="E219" i="6"/>
  <c r="E217" i="6"/>
  <c r="M211" i="6"/>
  <c r="Q206" i="6"/>
  <c r="E201" i="6"/>
  <c r="M195" i="6"/>
  <c r="Q190" i="6"/>
  <c r="E185" i="6"/>
  <c r="M179" i="6"/>
  <c r="Q174" i="6"/>
  <c r="E169" i="6"/>
  <c r="M163" i="6"/>
  <c r="Q158" i="6"/>
  <c r="E153" i="6"/>
  <c r="M147" i="6"/>
  <c r="Q142" i="6"/>
  <c r="E137" i="6"/>
  <c r="M131" i="6"/>
  <c r="Q126" i="6"/>
  <c r="E121" i="6"/>
  <c r="M115" i="6"/>
  <c r="Q110" i="6"/>
  <c r="D105" i="6"/>
  <c r="AN101" i="6"/>
  <c r="L103" i="6"/>
  <c r="M99" i="6"/>
  <c r="Q95" i="6"/>
  <c r="M91" i="6"/>
  <c r="Q87" i="6"/>
  <c r="M83" i="6"/>
  <c r="Q79" i="6"/>
  <c r="M75" i="6"/>
  <c r="Q71" i="6"/>
  <c r="M67" i="6"/>
  <c r="Q63" i="6"/>
  <c r="M59" i="6"/>
  <c r="Q55" i="6"/>
  <c r="M51" i="6"/>
  <c r="Q47" i="6"/>
  <c r="M43" i="6"/>
  <c r="Q39" i="6"/>
  <c r="M35" i="6"/>
  <c r="Q31" i="6"/>
  <c r="M27" i="6"/>
  <c r="Q23" i="6"/>
  <c r="M19" i="6"/>
  <c r="K15" i="6"/>
  <c r="F12" i="6"/>
  <c r="P107" i="6"/>
  <c r="AD101" i="6"/>
  <c r="M96" i="6"/>
  <c r="Q92" i="6"/>
  <c r="M88" i="6"/>
  <c r="Q84" i="6"/>
  <c r="M80" i="6"/>
  <c r="Q76" i="6"/>
  <c r="M72" i="6"/>
  <c r="Q68" i="6"/>
  <c r="M64" i="6"/>
  <c r="Q60" i="6"/>
  <c r="M56" i="6"/>
  <c r="Q52" i="6"/>
  <c r="M48" i="6"/>
  <c r="Q44" i="6"/>
  <c r="M40" i="6"/>
  <c r="Q36" i="6"/>
  <c r="M32" i="6"/>
  <c r="Q28" i="6"/>
  <c r="M24" i="6"/>
  <c r="Q20" i="6"/>
  <c r="AE16" i="6"/>
  <c r="E12" i="6"/>
  <c r="K105" i="6"/>
  <c r="N98" i="6"/>
  <c r="J94" i="6"/>
  <c r="N90" i="6"/>
  <c r="J86" i="6"/>
  <c r="N82" i="6"/>
  <c r="J78" i="6"/>
  <c r="N74" i="6"/>
  <c r="J70" i="6"/>
  <c r="N66" i="6"/>
  <c r="J62" i="6"/>
  <c r="N58" i="6"/>
  <c r="J54" i="6"/>
  <c r="N50" i="6"/>
  <c r="J46" i="6"/>
  <c r="N42" i="6"/>
  <c r="J38" i="6"/>
  <c r="N34" i="6"/>
  <c r="J30" i="6"/>
  <c r="N26" i="6"/>
  <c r="J22" i="6"/>
  <c r="N18" i="6"/>
  <c r="L14" i="6"/>
  <c r="L10" i="6"/>
  <c r="AD104" i="6"/>
  <c r="B99" i="6"/>
  <c r="F95" i="6"/>
  <c r="B91" i="6"/>
  <c r="F87" i="6"/>
  <c r="B83" i="6"/>
  <c r="F79" i="6"/>
  <c r="B75" i="6"/>
  <c r="F71" i="6"/>
  <c r="B67" i="6"/>
  <c r="F63" i="6"/>
  <c r="B59" i="6"/>
  <c r="F55" i="6"/>
  <c r="B51" i="6"/>
  <c r="F47" i="6"/>
  <c r="B43" i="6"/>
  <c r="F39" i="6"/>
  <c r="B35" i="6"/>
  <c r="F31" i="6"/>
  <c r="B27" i="6"/>
  <c r="F23" i="6"/>
  <c r="B19" i="6"/>
  <c r="K14" i="6"/>
  <c r="K10" i="6"/>
  <c r="E101" i="6"/>
  <c r="O97" i="6"/>
  <c r="AD92" i="6"/>
  <c r="O89" i="6"/>
  <c r="AD84" i="6"/>
  <c r="O81" i="6"/>
  <c r="AD76" i="6"/>
  <c r="O73" i="6"/>
  <c r="AD68" i="6"/>
  <c r="O65" i="6"/>
  <c r="L116" i="6"/>
  <c r="D233" i="6"/>
  <c r="AE211" i="6"/>
  <c r="AE195" i="6"/>
  <c r="AE179" i="6"/>
  <c r="AE163" i="6"/>
  <c r="AE147" i="6"/>
  <c r="AE135" i="6"/>
  <c r="AE127" i="6"/>
  <c r="AE119" i="6"/>
  <c r="AE111" i="6"/>
  <c r="E270" i="6"/>
  <c r="J243" i="6"/>
  <c r="M230" i="6"/>
  <c r="F219" i="6"/>
  <c r="F213" i="6"/>
  <c r="J206" i="6"/>
  <c r="B200" i="6"/>
  <c r="AD193" i="6"/>
  <c r="N187" i="6"/>
  <c r="F181" i="6"/>
  <c r="N175" i="6"/>
  <c r="B170" i="6"/>
  <c r="N165" i="6"/>
  <c r="B160" i="6"/>
  <c r="N155" i="6"/>
  <c r="AD149" i="6"/>
  <c r="J144" i="6"/>
  <c r="B140" i="6"/>
  <c r="B136" i="6"/>
  <c r="AD131" i="6"/>
  <c r="N127" i="6"/>
  <c r="N123" i="6"/>
  <c r="F119" i="6"/>
  <c r="N115" i="6"/>
  <c r="B112" i="6"/>
  <c r="F109" i="6"/>
  <c r="M105" i="6"/>
  <c r="E264" i="6"/>
  <c r="L245" i="6"/>
  <c r="O233" i="6"/>
  <c r="AM225" i="6"/>
  <c r="AN218" i="6"/>
  <c r="Q216" i="6"/>
  <c r="E211" i="6"/>
  <c r="M205" i="6"/>
  <c r="Q200" i="6"/>
  <c r="E195" i="6"/>
  <c r="M189" i="6"/>
  <c r="Q184" i="6"/>
  <c r="E179" i="6"/>
  <c r="M173" i="6"/>
  <c r="Q168" i="6"/>
  <c r="E163" i="6"/>
  <c r="M157" i="6"/>
  <c r="Q152" i="6"/>
  <c r="E147" i="6"/>
  <c r="M141" i="6"/>
  <c r="Q136" i="6"/>
  <c r="E131" i="6"/>
  <c r="M125" i="6"/>
  <c r="Q120" i="6"/>
  <c r="E115" i="6"/>
  <c r="M109" i="6"/>
  <c r="AM104" i="6"/>
  <c r="P101" i="6"/>
  <c r="L102" i="6"/>
  <c r="E99" i="6"/>
  <c r="L94" i="6"/>
  <c r="E91" i="6"/>
  <c r="L86" i="6"/>
  <c r="E83" i="6"/>
  <c r="L78" i="6"/>
  <c r="E75" i="6"/>
  <c r="L70" i="6"/>
  <c r="E67" i="6"/>
  <c r="L62" i="6"/>
  <c r="E59" i="6"/>
  <c r="L54" i="6"/>
  <c r="E51" i="6"/>
  <c r="L46" i="6"/>
  <c r="E43" i="6"/>
  <c r="L38" i="6"/>
  <c r="E35" i="6"/>
  <c r="L30" i="6"/>
  <c r="E27" i="6"/>
  <c r="L22" i="6"/>
  <c r="E19" i="6"/>
  <c r="AD14" i="6"/>
  <c r="J11" i="6"/>
  <c r="AN106" i="6"/>
  <c r="L99" i="6"/>
  <c r="E96" i="6"/>
  <c r="L91" i="6"/>
  <c r="E88" i="6"/>
  <c r="L83" i="6"/>
  <c r="E80" i="6"/>
  <c r="L75" i="6"/>
  <c r="E72" i="6"/>
  <c r="L67" i="6"/>
  <c r="E64" i="6"/>
  <c r="L59" i="6"/>
  <c r="E56" i="6"/>
  <c r="L51" i="6"/>
  <c r="E48" i="6"/>
  <c r="L43" i="6"/>
  <c r="E40" i="6"/>
  <c r="L35" i="6"/>
  <c r="E32" i="6"/>
  <c r="L27" i="6"/>
  <c r="E24" i="6"/>
  <c r="L19" i="6"/>
  <c r="O16" i="6"/>
  <c r="Q11" i="6"/>
  <c r="B104" i="6"/>
  <c r="F98" i="6"/>
  <c r="B94" i="6"/>
  <c r="F90" i="6"/>
  <c r="B86" i="6"/>
  <c r="F82" i="6"/>
  <c r="B78" i="6"/>
  <c r="F74" i="6"/>
  <c r="B70" i="6"/>
  <c r="F66" i="6"/>
  <c r="B62" i="6"/>
  <c r="F58" i="6"/>
  <c r="B54" i="6"/>
  <c r="F50" i="6"/>
  <c r="L114" i="6"/>
  <c r="J229" i="6"/>
  <c r="AE209" i="6"/>
  <c r="AE193" i="6"/>
  <c r="AE177" i="6"/>
  <c r="AE161" i="6"/>
  <c r="AE145" i="6"/>
  <c r="AM133" i="6"/>
  <c r="AM125" i="6"/>
  <c r="AM117" i="6"/>
  <c r="AM109" i="6"/>
  <c r="Q265" i="6"/>
  <c r="M240" i="6"/>
  <c r="E228" i="6"/>
  <c r="AN217" i="6"/>
  <c r="AD211" i="6"/>
  <c r="N205" i="6"/>
  <c r="F199" i="6"/>
  <c r="J192" i="6"/>
  <c r="B186" i="6"/>
  <c r="AD179" i="6"/>
  <c r="F175" i="6"/>
  <c r="AD169" i="6"/>
  <c r="F165" i="6"/>
  <c r="N159" i="6"/>
  <c r="B154" i="6"/>
  <c r="N149" i="6"/>
  <c r="B144" i="6"/>
  <c r="AD139" i="6"/>
  <c r="N135" i="6"/>
  <c r="N131" i="6"/>
  <c r="F127" i="6"/>
  <c r="J122" i="6"/>
  <c r="J118" i="6"/>
  <c r="F115" i="6"/>
  <c r="AD111" i="6"/>
  <c r="J108" i="6"/>
  <c r="E105" i="6"/>
  <c r="AN262" i="6"/>
  <c r="N242" i="6"/>
  <c r="Q231" i="6"/>
  <c r="O225" i="6"/>
  <c r="AD218" i="6"/>
  <c r="M215" i="6"/>
  <c r="Q210" i="6"/>
  <c r="E205" i="6"/>
  <c r="M199" i="6"/>
  <c r="Q194" i="6"/>
  <c r="E189" i="6"/>
  <c r="M183" i="6"/>
  <c r="Q178" i="6"/>
  <c r="E173" i="6"/>
  <c r="M167" i="6"/>
  <c r="Q162" i="6"/>
  <c r="E157" i="6"/>
  <c r="M151" i="6"/>
  <c r="Q146" i="6"/>
  <c r="E141" i="6"/>
  <c r="M135" i="6"/>
  <c r="Q130" i="6"/>
  <c r="E125" i="6"/>
  <c r="M119" i="6"/>
  <c r="Q114" i="6"/>
  <c r="E109" i="6"/>
  <c r="AE104" i="6"/>
  <c r="K100" i="6"/>
  <c r="B102" i="6"/>
  <c r="AN98" i="6"/>
  <c r="D94" i="6"/>
  <c r="AN90" i="6"/>
  <c r="D86" i="6"/>
  <c r="AN82" i="6"/>
  <c r="D78" i="6"/>
  <c r="AN74" i="6"/>
  <c r="D70" i="6"/>
  <c r="AN66" i="6"/>
  <c r="D62" i="6"/>
  <c r="AN58" i="6"/>
  <c r="D54" i="6"/>
  <c r="AN50" i="6"/>
  <c r="D46" i="6"/>
  <c r="AN42" i="6"/>
  <c r="D38" i="6"/>
  <c r="AN34" i="6"/>
  <c r="D30" i="6"/>
  <c r="AN26" i="6"/>
  <c r="D22" i="6"/>
  <c r="AN18" i="6"/>
  <c r="N14" i="6"/>
  <c r="B11" i="6"/>
  <c r="D106" i="6"/>
  <c r="D99" i="6"/>
  <c r="AN95" i="6"/>
  <c r="D91" i="6"/>
  <c r="AN87" i="6"/>
  <c r="D83" i="6"/>
  <c r="AN79" i="6"/>
  <c r="D75" i="6"/>
  <c r="AN71" i="6"/>
  <c r="D67" i="6"/>
  <c r="AN63" i="6"/>
  <c r="D59" i="6"/>
  <c r="AN55" i="6"/>
  <c r="D51" i="6"/>
  <c r="AN47" i="6"/>
  <c r="D43" i="6"/>
  <c r="AN39" i="6"/>
  <c r="D35" i="6"/>
  <c r="AN31" i="6"/>
  <c r="D27" i="6"/>
  <c r="AN23" i="6"/>
  <c r="D19" i="6"/>
  <c r="J15" i="6"/>
  <c r="M10" i="6"/>
  <c r="AD102" i="6"/>
  <c r="Q97" i="6"/>
  <c r="M93" i="6"/>
  <c r="Q89" i="6"/>
  <c r="M85" i="6"/>
  <c r="Q81" i="6"/>
  <c r="M77" i="6"/>
  <c r="Q73" i="6"/>
  <c r="M69" i="6"/>
  <c r="Q65" i="6"/>
  <c r="M61" i="6"/>
  <c r="Q57" i="6"/>
  <c r="M53" i="6"/>
  <c r="Q49" i="6"/>
  <c r="L112" i="6"/>
  <c r="Q225" i="6"/>
  <c r="AE207" i="6"/>
  <c r="AE191" i="6"/>
  <c r="AE175" i="6"/>
  <c r="AE159" i="6"/>
  <c r="AE143" i="6"/>
  <c r="AE133" i="6"/>
  <c r="AE125" i="6"/>
  <c r="AE117" i="6"/>
  <c r="AE109" i="6"/>
  <c r="P262" i="6"/>
  <c r="B239" i="6"/>
  <c r="L227" i="6"/>
  <c r="AE217" i="6"/>
  <c r="N211" i="6"/>
  <c r="F205" i="6"/>
  <c r="J198" i="6"/>
  <c r="B192" i="6"/>
  <c r="AD185" i="6"/>
  <c r="N179" i="6"/>
  <c r="J174" i="6"/>
  <c r="F169" i="6"/>
  <c r="AD163" i="6"/>
  <c r="F159" i="6"/>
  <c r="AD153" i="6"/>
  <c r="F149" i="6"/>
  <c r="N143" i="6"/>
  <c r="N139" i="6"/>
  <c r="F135" i="6"/>
  <c r="J130" i="6"/>
  <c r="J126" i="6"/>
  <c r="B122" i="6"/>
  <c r="AD117" i="6"/>
  <c r="J114" i="6"/>
  <c r="N111" i="6"/>
  <c r="B108" i="6"/>
  <c r="AN104" i="6"/>
  <c r="M262" i="6"/>
  <c r="D241" i="6"/>
  <c r="D231" i="6"/>
  <c r="M224" i="6"/>
  <c r="M218" i="6"/>
  <c r="E215" i="6"/>
  <c r="M209" i="6"/>
  <c r="Q204" i="6"/>
  <c r="E199" i="6"/>
  <c r="M193" i="6"/>
  <c r="Q188" i="6"/>
  <c r="E183" i="6"/>
  <c r="M177" i="6"/>
  <c r="Q172" i="6"/>
  <c r="E167" i="6"/>
  <c r="M161" i="6"/>
  <c r="Q156" i="6"/>
  <c r="E151" i="6"/>
  <c r="M145" i="6"/>
  <c r="Q140" i="6"/>
  <c r="E135" i="6"/>
  <c r="M129" i="6"/>
  <c r="Q124" i="6"/>
  <c r="E119" i="6"/>
  <c r="M113" i="6"/>
  <c r="Q108" i="6"/>
  <c r="O104" i="6"/>
  <c r="O110" i="6"/>
  <c r="AE101" i="6"/>
  <c r="P98" i="6"/>
  <c r="AM93" i="6"/>
  <c r="P90" i="6"/>
  <c r="AM85" i="6"/>
  <c r="P82" i="6"/>
  <c r="AM77" i="6"/>
  <c r="P74" i="6"/>
  <c r="AM69" i="6"/>
  <c r="P66" i="6"/>
  <c r="AM61" i="6"/>
  <c r="P58" i="6"/>
  <c r="AM53" i="6"/>
  <c r="P50" i="6"/>
  <c r="AM45" i="6"/>
  <c r="P42" i="6"/>
  <c r="AM37" i="6"/>
  <c r="P34" i="6"/>
  <c r="AM29" i="6"/>
  <c r="P26" i="6"/>
  <c r="AM21" i="6"/>
  <c r="P18" i="6"/>
  <c r="F14" i="6"/>
  <c r="AD10" i="6"/>
  <c r="O105" i="6"/>
  <c r="AM98" i="6"/>
  <c r="P95" i="6"/>
  <c r="AM90" i="6"/>
  <c r="P87" i="6"/>
  <c r="AM82" i="6"/>
  <c r="P79" i="6"/>
  <c r="AM74" i="6"/>
  <c r="P71" i="6"/>
  <c r="AM66" i="6"/>
  <c r="P63" i="6"/>
  <c r="AM58" i="6"/>
  <c r="P55" i="6"/>
  <c r="AM50" i="6"/>
  <c r="P47" i="6"/>
  <c r="AM42" i="6"/>
  <c r="P39" i="6"/>
  <c r="AM34" i="6"/>
  <c r="P31" i="6"/>
  <c r="AM26" i="6"/>
  <c r="P23" i="6"/>
  <c r="AM18" i="6"/>
  <c r="B15" i="6"/>
  <c r="E10" i="6"/>
  <c r="J102" i="6"/>
  <c r="L96" i="6"/>
  <c r="E93" i="6"/>
  <c r="L88" i="6"/>
  <c r="E85" i="6"/>
  <c r="L80" i="6"/>
  <c r="E77" i="6"/>
  <c r="L72" i="6"/>
  <c r="E69" i="6"/>
  <c r="L64" i="6"/>
  <c r="E61" i="6"/>
  <c r="L56" i="6"/>
  <c r="E53" i="6"/>
  <c r="L48" i="6"/>
  <c r="E45" i="6"/>
  <c r="L40" i="6"/>
  <c r="E37" i="6"/>
  <c r="L32" i="6"/>
  <c r="E29" i="6"/>
  <c r="L24" i="6"/>
  <c r="E21" i="6"/>
  <c r="B17" i="6"/>
  <c r="P13" i="6"/>
  <c r="AN108" i="6"/>
  <c r="AN102" i="6"/>
  <c r="AN97" i="6"/>
  <c r="D93" i="6"/>
  <c r="AN89" i="6"/>
  <c r="D85" i="6"/>
  <c r="AN81" i="6"/>
  <c r="D77" i="6"/>
  <c r="AN73" i="6"/>
  <c r="D69" i="6"/>
  <c r="AN65" i="6"/>
  <c r="D61" i="6"/>
  <c r="AN57" i="6"/>
  <c r="D53" i="6"/>
  <c r="AN49" i="6"/>
  <c r="D45" i="6"/>
  <c r="AN41" i="6"/>
  <c r="D37" i="6"/>
  <c r="AN33" i="6"/>
  <c r="D29" i="6"/>
  <c r="AN25" i="6"/>
  <c r="D21" i="6"/>
  <c r="Q17" i="6"/>
  <c r="O13" i="6"/>
  <c r="O106" i="6"/>
  <c r="Q99" i="6"/>
  <c r="M95" i="6"/>
  <c r="Q91" i="6"/>
  <c r="M87" i="6"/>
  <c r="Q83" i="6"/>
  <c r="M79" i="6"/>
  <c r="Q75" i="6"/>
  <c r="M71" i="6"/>
  <c r="Q67" i="6"/>
  <c r="M63" i="6"/>
  <c r="Q59" i="6"/>
  <c r="M55" i="6"/>
  <c r="Q51" i="6"/>
  <c r="M47" i="6"/>
  <c r="Q43" i="6"/>
  <c r="M39" i="6"/>
  <c r="Q35" i="6"/>
  <c r="M31" i="6"/>
  <c r="Q27" i="6"/>
  <c r="M23" i="6"/>
  <c r="Q19" i="6"/>
  <c r="AE15" i="6"/>
  <c r="B12" i="6"/>
  <c r="K109" i="6"/>
  <c r="N101" i="6"/>
  <c r="F97" i="6"/>
  <c r="B93" i="6"/>
  <c r="F89" i="6"/>
  <c r="B85" i="6"/>
  <c r="F81" i="6"/>
  <c r="B77" i="6"/>
  <c r="F73" i="6"/>
  <c r="B69" i="6"/>
  <c r="F65" i="6"/>
  <c r="B61" i="6"/>
  <c r="F57" i="6"/>
  <c r="B53" i="6"/>
  <c r="F49" i="6"/>
  <c r="B45" i="6"/>
  <c r="Q271" i="6"/>
  <c r="AM223" i="6"/>
  <c r="AE205" i="6"/>
  <c r="AE189" i="6"/>
  <c r="AE173" i="6"/>
  <c r="AE157" i="6"/>
  <c r="AE141" i="6"/>
  <c r="AM131" i="6"/>
  <c r="AM123" i="6"/>
  <c r="AM115" i="6"/>
  <c r="AM107" i="6"/>
  <c r="E254" i="6"/>
  <c r="AN236" i="6"/>
  <c r="P225" i="6"/>
  <c r="J216" i="6"/>
  <c r="B210" i="6"/>
  <c r="AD203" i="6"/>
  <c r="N197" i="6"/>
  <c r="F191" i="6"/>
  <c r="J184" i="6"/>
  <c r="J178" i="6"/>
  <c r="N173" i="6"/>
  <c r="J168" i="6"/>
  <c r="N163" i="6"/>
  <c r="J158" i="6"/>
  <c r="F153" i="6"/>
  <c r="AD147" i="6"/>
  <c r="F143" i="6"/>
  <c r="J138" i="6"/>
  <c r="J134" i="6"/>
  <c r="B130" i="6"/>
  <c r="AD125" i="6"/>
  <c r="AD121" i="6"/>
  <c r="N117" i="6"/>
  <c r="B114" i="6"/>
  <c r="F111" i="6"/>
  <c r="AD107" i="6"/>
  <c r="P104" i="6"/>
  <c r="Q259" i="6"/>
  <c r="AM237" i="6"/>
  <c r="L230" i="6"/>
  <c r="P221" i="6"/>
  <c r="D218" i="6"/>
  <c r="Q214" i="6"/>
  <c r="E209" i="6"/>
  <c r="M203" i="6"/>
  <c r="Q198" i="6"/>
  <c r="E193" i="6"/>
  <c r="M187" i="6"/>
  <c r="Q182" i="6"/>
  <c r="E177" i="6"/>
  <c r="M171" i="6"/>
  <c r="Q166" i="6"/>
  <c r="E161" i="6"/>
  <c r="M155" i="6"/>
  <c r="Q150" i="6"/>
  <c r="E145" i="6"/>
  <c r="M139" i="6"/>
  <c r="Q134" i="6"/>
  <c r="E129" i="6"/>
  <c r="M123" i="6"/>
  <c r="Q118" i="6"/>
  <c r="E113" i="6"/>
  <c r="M107" i="6"/>
  <c r="J103" i="6"/>
  <c r="AN109" i="6"/>
  <c r="J101" i="6"/>
  <c r="K97" i="6"/>
  <c r="AE93" i="6"/>
  <c r="K89" i="6"/>
  <c r="AE85" i="6"/>
  <c r="K81" i="6"/>
  <c r="AE77" i="6"/>
  <c r="K73" i="6"/>
  <c r="AE69" i="6"/>
  <c r="K65" i="6"/>
  <c r="AE61" i="6"/>
  <c r="K57" i="6"/>
  <c r="AE53" i="6"/>
  <c r="K49" i="6"/>
  <c r="AE45" i="6"/>
  <c r="K41" i="6"/>
  <c r="AE37" i="6"/>
  <c r="K33" i="6"/>
  <c r="AE29" i="6"/>
  <c r="K25" i="6"/>
  <c r="AE21" i="6"/>
  <c r="L17" i="6"/>
  <c r="J13" i="6"/>
  <c r="N10" i="6"/>
  <c r="E104" i="6"/>
  <c r="AE98" i="6"/>
  <c r="K94" i="6"/>
  <c r="AE90" i="6"/>
  <c r="K86" i="6"/>
  <c r="AE82" i="6"/>
  <c r="K78" i="6"/>
  <c r="AE74" i="6"/>
  <c r="K70" i="6"/>
  <c r="AE66" i="6"/>
  <c r="K62" i="6"/>
  <c r="AE58" i="6"/>
  <c r="K54" i="6"/>
  <c r="AE50" i="6"/>
  <c r="K46" i="6"/>
  <c r="AE42" i="6"/>
  <c r="K38" i="6"/>
  <c r="AE34" i="6"/>
  <c r="K30" i="6"/>
  <c r="AE26" i="6"/>
  <c r="K22" i="6"/>
  <c r="AE18" i="6"/>
  <c r="M14" i="6"/>
  <c r="D111" i="6"/>
  <c r="AM101" i="6"/>
  <c r="D96" i="6"/>
  <c r="AN92" i="6"/>
  <c r="D88" i="6"/>
  <c r="AN84" i="6"/>
  <c r="D80" i="6"/>
  <c r="AN76" i="6"/>
  <c r="D72" i="6"/>
  <c r="AN68" i="6"/>
  <c r="D64" i="6"/>
  <c r="AN60" i="6"/>
  <c r="D56" i="6"/>
  <c r="AN52" i="6"/>
  <c r="D48" i="6"/>
  <c r="AN44" i="6"/>
  <c r="D40" i="6"/>
  <c r="AN36" i="6"/>
  <c r="D32" i="6"/>
  <c r="AN28" i="6"/>
  <c r="D24" i="6"/>
  <c r="AN20" i="6"/>
  <c r="AD16" i="6"/>
  <c r="L12" i="6"/>
  <c r="D108" i="6"/>
  <c r="Q101" i="6"/>
  <c r="P97" i="6"/>
  <c r="AM92" i="6"/>
  <c r="P89" i="6"/>
  <c r="AM84" i="6"/>
  <c r="P81" i="6"/>
  <c r="AM76" i="6"/>
  <c r="P73" i="6"/>
  <c r="AM68" i="6"/>
  <c r="P65" i="6"/>
  <c r="AM60" i="6"/>
  <c r="P57" i="6"/>
  <c r="AM52" i="6"/>
  <c r="P49" i="6"/>
  <c r="AM44" i="6"/>
  <c r="P41" i="6"/>
  <c r="AM36" i="6"/>
  <c r="P33" i="6"/>
  <c r="AM28" i="6"/>
  <c r="P25" i="6"/>
  <c r="AM20" i="6"/>
  <c r="M16" i="6"/>
  <c r="K12" i="6"/>
  <c r="N104" i="6"/>
  <c r="L98" i="6"/>
  <c r="E95" i="6"/>
  <c r="L90" i="6"/>
  <c r="E87" i="6"/>
  <c r="L82" i="6"/>
  <c r="E79" i="6"/>
  <c r="L74" i="6"/>
  <c r="E71" i="6"/>
  <c r="L66" i="6"/>
  <c r="E260" i="6"/>
  <c r="K222" i="6"/>
  <c r="AE203" i="6"/>
  <c r="AE187" i="6"/>
  <c r="AE171" i="6"/>
  <c r="AE155" i="6"/>
  <c r="AE139" i="6"/>
  <c r="AE131" i="6"/>
  <c r="AE123" i="6"/>
  <c r="AE115" i="6"/>
  <c r="AE107" i="6"/>
  <c r="AN252" i="6"/>
  <c r="K236" i="6"/>
  <c r="B225" i="6"/>
  <c r="B216" i="6"/>
  <c r="AD209" i="6"/>
  <c r="N203" i="6"/>
  <c r="F197" i="6"/>
  <c r="J190" i="6"/>
  <c r="B184" i="6"/>
  <c r="B178" i="6"/>
  <c r="F173" i="6"/>
  <c r="B168" i="6"/>
  <c r="J162" i="6"/>
  <c r="N157" i="6"/>
  <c r="J152" i="6"/>
  <c r="N147" i="6"/>
  <c r="J142" i="6"/>
  <c r="B138" i="6"/>
  <c r="AD133" i="6"/>
  <c r="AD129" i="6"/>
  <c r="N125" i="6"/>
  <c r="F121" i="6"/>
  <c r="F117" i="6"/>
  <c r="AD113" i="6"/>
  <c r="J110" i="6"/>
  <c r="N107" i="6"/>
  <c r="K103" i="6"/>
  <c r="P256" i="6"/>
  <c r="AM235" i="6"/>
  <c r="N228" i="6"/>
  <c r="P220" i="6"/>
  <c r="AM217" i="6"/>
  <c r="M213" i="6"/>
  <c r="Q208" i="6"/>
  <c r="E203" i="6"/>
  <c r="M197" i="6"/>
  <c r="Q192" i="6"/>
  <c r="E187" i="6"/>
  <c r="M181" i="6"/>
  <c r="Q176" i="6"/>
  <c r="E171" i="6"/>
  <c r="M165" i="6"/>
  <c r="Q160" i="6"/>
  <c r="E155" i="6"/>
  <c r="M149" i="6"/>
  <c r="Q144" i="6"/>
  <c r="E139" i="6"/>
  <c r="M133" i="6"/>
  <c r="Q128" i="6"/>
  <c r="E123" i="6"/>
  <c r="M117" i="6"/>
  <c r="Q112" i="6"/>
  <c r="E107" i="6"/>
  <c r="B103" i="6"/>
  <c r="D109" i="6"/>
  <c r="AN100" i="6"/>
  <c r="AD96" i="6"/>
  <c r="O93" i="6"/>
  <c r="AD88" i="6"/>
  <c r="O85" i="6"/>
  <c r="AD80" i="6"/>
  <c r="O77" i="6"/>
  <c r="AD72" i="6"/>
  <c r="O69" i="6"/>
  <c r="AD64" i="6"/>
  <c r="O61" i="6"/>
  <c r="AD56" i="6"/>
  <c r="O53" i="6"/>
  <c r="AD48" i="6"/>
  <c r="O45" i="6"/>
  <c r="AD40" i="6"/>
  <c r="O37" i="6"/>
  <c r="AD32" i="6"/>
  <c r="O29" i="6"/>
  <c r="AD24" i="6"/>
  <c r="O21" i="6"/>
  <c r="D17" i="6"/>
  <c r="B13" i="6"/>
  <c r="F10" i="6"/>
  <c r="AN103" i="6"/>
  <c r="O98" i="6"/>
  <c r="AD93" i="6"/>
  <c r="O90" i="6"/>
  <c r="AD85" i="6"/>
  <c r="O82" i="6"/>
  <c r="AD77" i="6"/>
  <c r="O74" i="6"/>
  <c r="AD69" i="6"/>
  <c r="O66" i="6"/>
  <c r="AD61" i="6"/>
  <c r="O58" i="6"/>
  <c r="AD53" i="6"/>
  <c r="O50" i="6"/>
  <c r="AD45" i="6"/>
  <c r="O42" i="6"/>
  <c r="AD37" i="6"/>
  <c r="O34" i="6"/>
  <c r="AD29" i="6"/>
  <c r="O26" i="6"/>
  <c r="AD21" i="6"/>
  <c r="O18" i="6"/>
  <c r="E14" i="6"/>
  <c r="L107" i="6"/>
  <c r="Q100" i="6"/>
  <c r="AM95" i="6"/>
  <c r="P92" i="6"/>
  <c r="AM87" i="6"/>
  <c r="P84" i="6"/>
  <c r="AM79" i="6"/>
  <c r="P76" i="6"/>
  <c r="AM71" i="6"/>
  <c r="P68" i="6"/>
  <c r="AM63" i="6"/>
  <c r="P60" i="6"/>
  <c r="AM55" i="6"/>
  <c r="P52" i="6"/>
  <c r="P252" i="6"/>
  <c r="F218" i="6"/>
  <c r="AE201" i="6"/>
  <c r="AE185" i="6"/>
  <c r="AE169" i="6"/>
  <c r="AE153" i="6"/>
  <c r="AM137" i="6"/>
  <c r="AM129" i="6"/>
  <c r="AM121" i="6"/>
  <c r="AM113" i="6"/>
  <c r="AD105" i="6"/>
  <c r="M248" i="6"/>
  <c r="AN233" i="6"/>
  <c r="J223" i="6"/>
  <c r="F215" i="6"/>
  <c r="J208" i="6"/>
  <c r="B202" i="6"/>
  <c r="AD195" i="6"/>
  <c r="N189" i="6"/>
  <c r="F183" i="6"/>
  <c r="AD177" i="6"/>
  <c r="B172" i="6"/>
  <c r="F167" i="6"/>
  <c r="B162" i="6"/>
  <c r="F157" i="6"/>
  <c r="B152" i="6"/>
  <c r="J146" i="6"/>
  <c r="AD141" i="6"/>
  <c r="AD137" i="6"/>
  <c r="N133" i="6"/>
  <c r="F129" i="6"/>
  <c r="F125" i="6"/>
  <c r="J120" i="6"/>
  <c r="J116" i="6"/>
  <c r="N113" i="6"/>
  <c r="B110" i="6"/>
  <c r="F107" i="6"/>
  <c r="P272" i="6"/>
  <c r="D251" i="6"/>
  <c r="J235" i="6"/>
  <c r="D228" i="6"/>
  <c r="F220" i="6"/>
  <c r="AD217" i="6"/>
  <c r="E213" i="6"/>
  <c r="M207" i="6"/>
  <c r="Q202" i="6"/>
  <c r="E197" i="6"/>
  <c r="M191" i="6"/>
  <c r="Q186" i="6"/>
  <c r="E181" i="6"/>
  <c r="M175" i="6"/>
  <c r="Q170" i="6"/>
  <c r="E165" i="6"/>
  <c r="M159" i="6"/>
  <c r="Q154" i="6"/>
  <c r="E149" i="6"/>
  <c r="M143" i="6"/>
  <c r="Q138" i="6"/>
  <c r="E133" i="6"/>
  <c r="M127" i="6"/>
  <c r="Q122" i="6"/>
  <c r="E117" i="6"/>
  <c r="M111" i="6"/>
  <c r="Q106" i="6"/>
  <c r="M102" i="6"/>
  <c r="B105" i="6"/>
  <c r="J100" i="6"/>
  <c r="N96" i="6"/>
  <c r="J92" i="6"/>
  <c r="N88" i="6"/>
  <c r="J84" i="6"/>
  <c r="N80" i="6"/>
  <c r="J76" i="6"/>
  <c r="N72" i="6"/>
  <c r="J68" i="6"/>
  <c r="N64" i="6"/>
  <c r="J60" i="6"/>
  <c r="N56" i="6"/>
  <c r="J52" i="6"/>
  <c r="N48" i="6"/>
  <c r="J44" i="6"/>
  <c r="N40" i="6"/>
  <c r="J36" i="6"/>
  <c r="N32" i="6"/>
  <c r="J28" i="6"/>
  <c r="N24" i="6"/>
  <c r="J20" i="6"/>
  <c r="AN16" i="6"/>
  <c r="AD12" i="6"/>
  <c r="AE110" i="6"/>
  <c r="AE102" i="6"/>
  <c r="J97" i="6"/>
  <c r="N93" i="6"/>
  <c r="J89" i="6"/>
  <c r="N85" i="6"/>
  <c r="J81" i="6"/>
  <c r="N77" i="6"/>
  <c r="J73" i="6"/>
  <c r="N69" i="6"/>
  <c r="J65" i="6"/>
  <c r="N61" i="6"/>
  <c r="J57" i="6"/>
  <c r="N53" i="6"/>
  <c r="J49" i="6"/>
  <c r="N45" i="6"/>
  <c r="J41" i="6"/>
  <c r="N37" i="6"/>
  <c r="J33" i="6"/>
  <c r="N29" i="6"/>
  <c r="J25" i="6"/>
  <c r="N21" i="6"/>
  <c r="K17" i="6"/>
  <c r="Q13" i="6"/>
  <c r="AM106" i="6"/>
  <c r="K99" i="6"/>
  <c r="AE95" i="6"/>
  <c r="K91" i="6"/>
  <c r="AE87" i="6"/>
  <c r="K83" i="6"/>
  <c r="AE79" i="6"/>
  <c r="K75" i="6"/>
  <c r="AE71" i="6"/>
  <c r="K67" i="6"/>
  <c r="AE63" i="6"/>
  <c r="K59" i="6"/>
  <c r="AE55" i="6"/>
  <c r="K51" i="6"/>
  <c r="L243" i="6"/>
  <c r="AE215" i="6"/>
  <c r="AE199" i="6"/>
  <c r="AE183" i="6"/>
  <c r="AE167" i="6"/>
  <c r="AE151" i="6"/>
  <c r="AE137" i="6"/>
  <c r="AE129" i="6"/>
  <c r="AE121" i="6"/>
  <c r="AE113" i="6"/>
  <c r="N105" i="6"/>
  <c r="B247" i="6"/>
  <c r="P233" i="6"/>
  <c r="J222" i="6"/>
  <c r="J214" i="6"/>
  <c r="B208" i="6"/>
  <c r="AD201" i="6"/>
  <c r="N195" i="6"/>
  <c r="F189" i="6"/>
  <c r="J182" i="6"/>
  <c r="J176" i="6"/>
  <c r="AD171" i="6"/>
  <c r="J166" i="6"/>
  <c r="AD161" i="6"/>
  <c r="B156" i="6"/>
  <c r="F151" i="6"/>
  <c r="B146" i="6"/>
  <c r="N141" i="6"/>
  <c r="F137" i="6"/>
  <c r="F133" i="6"/>
  <c r="J128" i="6"/>
  <c r="B124" i="6"/>
  <c r="B120" i="6"/>
  <c r="B116" i="6"/>
  <c r="F113" i="6"/>
  <c r="AD109" i="6"/>
  <c r="J106" i="6"/>
  <c r="D267" i="6"/>
  <c r="D249" i="6"/>
  <c r="F234" i="6"/>
  <c r="J227" i="6"/>
  <c r="N219" i="6"/>
  <c r="M217" i="6"/>
  <c r="Q212" i="6"/>
  <c r="E207" i="6"/>
  <c r="M201" i="6"/>
  <c r="Q196" i="6"/>
  <c r="E191" i="6"/>
  <c r="M185" i="6"/>
  <c r="Q180" i="6"/>
  <c r="E175" i="6"/>
  <c r="M169" i="6"/>
  <c r="Q164" i="6"/>
  <c r="E159" i="6"/>
  <c r="M153" i="6"/>
  <c r="Q148" i="6"/>
  <c r="E143" i="6"/>
  <c r="M137" i="6"/>
  <c r="Q132" i="6"/>
  <c r="E127" i="6"/>
  <c r="M121" i="6"/>
  <c r="Q116" i="6"/>
  <c r="E111" i="6"/>
  <c r="L105" i="6"/>
  <c r="E102" i="6"/>
  <c r="F104" i="6"/>
  <c r="B100" i="6"/>
  <c r="F96" i="6"/>
  <c r="B92" i="6"/>
  <c r="F88" i="6"/>
  <c r="B84" i="6"/>
  <c r="F80" i="6"/>
  <c r="B76" i="6"/>
  <c r="F72" i="6"/>
  <c r="B68" i="6"/>
  <c r="F64" i="6"/>
  <c r="B60" i="6"/>
  <c r="F56" i="6"/>
  <c r="B52" i="6"/>
  <c r="F48" i="6"/>
  <c r="B44" i="6"/>
  <c r="F40" i="6"/>
  <c r="B36" i="6"/>
  <c r="F32" i="6"/>
  <c r="B28" i="6"/>
  <c r="F24" i="6"/>
  <c r="B20" i="6"/>
  <c r="P16" i="6"/>
  <c r="N12" i="6"/>
  <c r="L110" i="6"/>
  <c r="K102" i="6"/>
  <c r="B97" i="6"/>
  <c r="F93" i="6"/>
  <c r="B89" i="6"/>
  <c r="F85" i="6"/>
  <c r="B81" i="6"/>
  <c r="F77" i="6"/>
  <c r="B73" i="6"/>
  <c r="F69" i="6"/>
  <c r="B65" i="6"/>
  <c r="F61" i="6"/>
  <c r="B57" i="6"/>
  <c r="F53" i="6"/>
  <c r="B49" i="6"/>
  <c r="F45" i="6"/>
  <c r="B41" i="6"/>
  <c r="F37" i="6"/>
  <c r="B33" i="6"/>
  <c r="F29" i="6"/>
  <c r="B25" i="6"/>
  <c r="F21" i="6"/>
  <c r="AM16" i="6"/>
  <c r="M12" i="6"/>
  <c r="AE105" i="6"/>
  <c r="AD98" i="6"/>
  <c r="O95" i="6"/>
  <c r="AD90" i="6"/>
  <c r="O87" i="6"/>
  <c r="AD82" i="6"/>
  <c r="O79" i="6"/>
  <c r="AD74" i="6"/>
  <c r="O71" i="6"/>
  <c r="AD66" i="6"/>
  <c r="O63" i="6"/>
  <c r="AD58" i="6"/>
  <c r="O55" i="6"/>
  <c r="AD50" i="6"/>
  <c r="O47" i="6"/>
  <c r="AD42" i="6"/>
  <c r="O39" i="6"/>
  <c r="AD34" i="6"/>
  <c r="O31" i="6"/>
  <c r="AD26" i="6"/>
  <c r="O23" i="6"/>
  <c r="AD18" i="6"/>
  <c r="Q15" i="6"/>
  <c r="P11" i="6"/>
  <c r="J105" i="6"/>
  <c r="J99" i="6"/>
  <c r="N95" i="6"/>
  <c r="J91" i="6"/>
  <c r="N87" i="6"/>
  <c r="J83" i="6"/>
  <c r="N79" i="6"/>
  <c r="J75" i="6"/>
  <c r="N71" i="6"/>
  <c r="J67" i="6"/>
  <c r="N63" i="6"/>
  <c r="J59" i="6"/>
  <c r="N55" i="6"/>
  <c r="J51" i="6"/>
  <c r="N47" i="6"/>
  <c r="J43" i="6"/>
  <c r="N39" i="6"/>
  <c r="J35" i="6"/>
  <c r="N31" i="6"/>
  <c r="J27" i="6"/>
  <c r="N23" i="6"/>
  <c r="J19" i="6"/>
  <c r="P15" i="6"/>
  <c r="O11" i="6"/>
  <c r="O101" i="6"/>
  <c r="AE97" i="6"/>
  <c r="K93" i="6"/>
  <c r="AE89" i="6"/>
  <c r="K85" i="6"/>
  <c r="AE81" i="6"/>
  <c r="K77" i="6"/>
  <c r="AE73" i="6"/>
  <c r="K69" i="6"/>
  <c r="AE65" i="6"/>
  <c r="K61" i="6"/>
  <c r="AE57" i="6"/>
  <c r="K53" i="6"/>
  <c r="AE49" i="6"/>
  <c r="K45" i="6"/>
  <c r="AE41" i="6"/>
  <c r="K37" i="6"/>
  <c r="AE33" i="6"/>
  <c r="K29" i="6"/>
  <c r="AE25" i="6"/>
  <c r="K21" i="6"/>
  <c r="P17" i="6"/>
  <c r="AD13" i="6"/>
  <c r="J10" i="6"/>
  <c r="M104" i="6"/>
  <c r="P99" i="6"/>
  <c r="AM94" i="6"/>
  <c r="P91" i="6"/>
  <c r="AM86" i="6"/>
  <c r="P83" i="6"/>
  <c r="AM78" i="6"/>
  <c r="P75" i="6"/>
  <c r="AM70" i="6"/>
  <c r="P67" i="6"/>
  <c r="AM62" i="6"/>
  <c r="P59" i="6"/>
  <c r="AM54" i="6"/>
  <c r="P51" i="6"/>
  <c r="AM46" i="6"/>
  <c r="P43" i="6"/>
  <c r="AM47" i="6"/>
  <c r="AM39" i="6"/>
  <c r="AM31" i="6"/>
  <c r="AM23" i="6"/>
  <c r="N16" i="6"/>
  <c r="K107" i="6"/>
  <c r="K96" i="6"/>
  <c r="K88" i="6"/>
  <c r="K80" i="6"/>
  <c r="K72" i="6"/>
  <c r="K64" i="6"/>
  <c r="K56" i="6"/>
  <c r="K48" i="6"/>
  <c r="K40" i="6"/>
  <c r="K32" i="6"/>
  <c r="K24" i="6"/>
  <c r="E16" i="6"/>
  <c r="D103" i="6"/>
  <c r="AN94" i="6"/>
  <c r="AN86" i="6"/>
  <c r="AN78" i="6"/>
  <c r="AN70" i="6"/>
  <c r="E63" i="6"/>
  <c r="AM57" i="6"/>
  <c r="N52" i="6"/>
  <c r="E47" i="6"/>
  <c r="AM41" i="6"/>
  <c r="N36" i="6"/>
  <c r="E31" i="6"/>
  <c r="AM25" i="6"/>
  <c r="N20" i="6"/>
  <c r="O15" i="6"/>
  <c r="F11" i="6"/>
  <c r="P102" i="6"/>
  <c r="Q96" i="6"/>
  <c r="AN91" i="6"/>
  <c r="O86" i="6"/>
  <c r="Q80" i="6"/>
  <c r="AN75" i="6"/>
  <c r="Q64" i="6"/>
  <c r="AN59" i="6"/>
  <c r="O54" i="6"/>
  <c r="Q48" i="6"/>
  <c r="AN43" i="6"/>
  <c r="P35" i="6"/>
  <c r="P27" i="6"/>
  <c r="P19" i="6"/>
  <c r="M101" i="6"/>
  <c r="B90" i="6"/>
  <c r="B82" i="6"/>
  <c r="B74" i="6"/>
  <c r="F62" i="6"/>
  <c r="B50" i="6"/>
  <c r="B42" i="6"/>
  <c r="B34" i="6"/>
  <c r="F22" i="6"/>
  <c r="AN14" i="6"/>
  <c r="N102" i="6"/>
  <c r="L89" i="6"/>
  <c r="L81" i="6"/>
  <c r="L73" i="6"/>
  <c r="E62" i="6"/>
  <c r="E54" i="6"/>
  <c r="L41" i="6"/>
  <c r="L33" i="6"/>
  <c r="L25" i="6"/>
  <c r="K13" i="6"/>
  <c r="L95" i="6"/>
  <c r="L63" i="6"/>
  <c r="L47" i="6"/>
  <c r="K34" i="6"/>
  <c r="AE22" i="6"/>
  <c r="O108" i="6"/>
  <c r="M97" i="6"/>
  <c r="Q85" i="6"/>
  <c r="M73" i="6"/>
  <c r="Q61" i="6"/>
  <c r="Q53" i="6"/>
  <c r="M41" i="6"/>
  <c r="Q29" i="6"/>
  <c r="AD17" i="6"/>
  <c r="K101" i="6"/>
  <c r="D89" i="6"/>
  <c r="D81" i="6"/>
  <c r="AN69" i="6"/>
  <c r="D57" i="6"/>
  <c r="D41" i="6"/>
  <c r="AN29" i="6"/>
  <c r="D25" i="6"/>
  <c r="AM12" i="6"/>
  <c r="E41" i="6"/>
  <c r="L28" i="6"/>
  <c r="L13" i="6"/>
  <c r="AM96" i="6"/>
  <c r="AM80" i="6"/>
  <c r="AM64" i="6"/>
  <c r="AM48" i="6"/>
  <c r="P37" i="6"/>
  <c r="P21" i="6"/>
  <c r="AE47" i="6"/>
  <c r="AE39" i="6"/>
  <c r="AE31" i="6"/>
  <c r="AE23" i="6"/>
  <c r="F16" i="6"/>
  <c r="P106" i="6"/>
  <c r="AD95" i="6"/>
  <c r="AD87" i="6"/>
  <c r="AD79" i="6"/>
  <c r="AD71" i="6"/>
  <c r="AD63" i="6"/>
  <c r="AD55" i="6"/>
  <c r="AD47" i="6"/>
  <c r="AD39" i="6"/>
  <c r="AD31" i="6"/>
  <c r="AD23" i="6"/>
  <c r="AN15" i="6"/>
  <c r="AM102" i="6"/>
  <c r="P94" i="6"/>
  <c r="P86" i="6"/>
  <c r="P78" i="6"/>
  <c r="P70" i="6"/>
  <c r="AN62" i="6"/>
  <c r="O57" i="6"/>
  <c r="F52" i="6"/>
  <c r="AN46" i="6"/>
  <c r="O41" i="6"/>
  <c r="F36" i="6"/>
  <c r="AN30" i="6"/>
  <c r="O25" i="6"/>
  <c r="F20" i="6"/>
  <c r="J14" i="6"/>
  <c r="F102" i="6"/>
  <c r="K90" i="6"/>
  <c r="J85" i="6"/>
  <c r="L79" i="6"/>
  <c r="K74" i="6"/>
  <c r="J69" i="6"/>
  <c r="J53" i="6"/>
  <c r="K42" i="6"/>
  <c r="AE30" i="6"/>
  <c r="Q14" i="6"/>
  <c r="Q93" i="6"/>
  <c r="Q77" i="6"/>
  <c r="M65" i="6"/>
  <c r="M49" i="6"/>
  <c r="M33" i="6"/>
  <c r="Q21" i="6"/>
  <c r="P10" i="6"/>
  <c r="AN93" i="6"/>
  <c r="D73" i="6"/>
  <c r="AN61" i="6"/>
  <c r="D49" i="6"/>
  <c r="AN37" i="6"/>
  <c r="AN21" i="6"/>
  <c r="L44" i="6"/>
  <c r="E25" i="6"/>
  <c r="L111" i="6"/>
  <c r="AM88" i="6"/>
  <c r="P77" i="6"/>
  <c r="P61" i="6"/>
  <c r="P45" i="6"/>
  <c r="P29" i="6"/>
  <c r="AE12" i="6"/>
  <c r="B46" i="6"/>
  <c r="B38" i="6"/>
  <c r="B30" i="6"/>
  <c r="B22" i="6"/>
  <c r="D14" i="6"/>
  <c r="Q104" i="6"/>
  <c r="Q94" i="6"/>
  <c r="Q86" i="6"/>
  <c r="Q78" i="6"/>
  <c r="Q70" i="6"/>
  <c r="Q62" i="6"/>
  <c r="Q54" i="6"/>
  <c r="Q46" i="6"/>
  <c r="Q38" i="6"/>
  <c r="Q30" i="6"/>
  <c r="Q22" i="6"/>
  <c r="AM13" i="6"/>
  <c r="O100" i="6"/>
  <c r="N92" i="6"/>
  <c r="N84" i="6"/>
  <c r="N76" i="6"/>
  <c r="N68" i="6"/>
  <c r="P62" i="6"/>
  <c r="J56" i="6"/>
  <c r="L50" i="6"/>
  <c r="P46" i="6"/>
  <c r="J40" i="6"/>
  <c r="L34" i="6"/>
  <c r="P30" i="6"/>
  <c r="J24" i="6"/>
  <c r="L18" i="6"/>
  <c r="B14" i="6"/>
  <c r="AN110" i="6"/>
  <c r="N100" i="6"/>
  <c r="D95" i="6"/>
  <c r="AD89" i="6"/>
  <c r="M84" i="6"/>
  <c r="D79" i="6"/>
  <c r="AD73" i="6"/>
  <c r="M68" i="6"/>
  <c r="D63" i="6"/>
  <c r="AD57" i="6"/>
  <c r="M52" i="6"/>
  <c r="D47" i="6"/>
  <c r="AD41" i="6"/>
  <c r="O38" i="6"/>
  <c r="AD33" i="6"/>
  <c r="O30" i="6"/>
  <c r="AD25" i="6"/>
  <c r="O22" i="6"/>
  <c r="AM17" i="6"/>
  <c r="M13" i="6"/>
  <c r="AN107" i="6"/>
  <c r="M100" i="6"/>
  <c r="E97" i="6"/>
  <c r="L92" i="6"/>
  <c r="E89" i="6"/>
  <c r="L84" i="6"/>
  <c r="E81" i="6"/>
  <c r="L76" i="6"/>
  <c r="E73" i="6"/>
  <c r="L68" i="6"/>
  <c r="E65" i="6"/>
  <c r="L60" i="6"/>
  <c r="E57" i="6"/>
  <c r="E49" i="6"/>
  <c r="L36" i="6"/>
  <c r="E33" i="6"/>
  <c r="N17" i="6"/>
  <c r="P93" i="6"/>
  <c r="AM72" i="6"/>
  <c r="P53" i="6"/>
  <c r="AM32" i="6"/>
  <c r="Q16" i="6"/>
  <c r="M45" i="6"/>
  <c r="M37" i="6"/>
  <c r="M29" i="6"/>
  <c r="M21" i="6"/>
  <c r="AN13" i="6"/>
  <c r="E103" i="6"/>
  <c r="L93" i="6"/>
  <c r="L85" i="6"/>
  <c r="L77" i="6"/>
  <c r="L69" i="6"/>
  <c r="L61" i="6"/>
  <c r="L53" i="6"/>
  <c r="L45" i="6"/>
  <c r="L37" i="6"/>
  <c r="L29" i="6"/>
  <c r="L21" i="6"/>
  <c r="AE13" i="6"/>
  <c r="F100" i="6"/>
  <c r="F92" i="6"/>
  <c r="F84" i="6"/>
  <c r="F76" i="6"/>
  <c r="F68" i="6"/>
  <c r="AD60" i="6"/>
  <c r="B56" i="6"/>
  <c r="D50" i="6"/>
  <c r="AD44" i="6"/>
  <c r="B40" i="6"/>
  <c r="D34" i="6"/>
  <c r="AD28" i="6"/>
  <c r="B24" i="6"/>
  <c r="D18" i="6"/>
  <c r="N13" i="6"/>
  <c r="D110" i="6"/>
  <c r="E100" i="6"/>
  <c r="AE94" i="6"/>
  <c r="N89" i="6"/>
  <c r="E84" i="6"/>
  <c r="AE78" i="6"/>
  <c r="N73" i="6"/>
  <c r="E68" i="6"/>
  <c r="AE62" i="6"/>
  <c r="N57" i="6"/>
  <c r="E52" i="6"/>
  <c r="AE46" i="6"/>
  <c r="N41" i="6"/>
  <c r="J37" i="6"/>
  <c r="N33" i="6"/>
  <c r="J29" i="6"/>
  <c r="N25" i="6"/>
  <c r="J21" i="6"/>
  <c r="AE17" i="6"/>
  <c r="E13" i="6"/>
  <c r="D107" i="6"/>
  <c r="D100" i="6"/>
  <c r="AN96" i="6"/>
  <c r="D92" i="6"/>
  <c r="AN88" i="6"/>
  <c r="D84" i="6"/>
  <c r="AN80" i="6"/>
  <c r="D76" i="6"/>
  <c r="AN72" i="6"/>
  <c r="D68" i="6"/>
  <c r="AN64" i="6"/>
  <c r="D60" i="6"/>
  <c r="AN56" i="6"/>
  <c r="D52" i="6"/>
  <c r="AN48" i="6"/>
  <c r="D44" i="6"/>
  <c r="AN40" i="6"/>
  <c r="D36" i="6"/>
  <c r="AN32" i="6"/>
  <c r="D28" i="6"/>
  <c r="AN24" i="6"/>
  <c r="D20" i="6"/>
  <c r="F17" i="6"/>
  <c r="D13" i="6"/>
  <c r="P110" i="6"/>
  <c r="L100" i="6"/>
  <c r="AE96" i="6"/>
  <c r="K92" i="6"/>
  <c r="AE88" i="6"/>
  <c r="K84" i="6"/>
  <c r="AE80" i="6"/>
  <c r="K76" i="6"/>
  <c r="AE72" i="6"/>
  <c r="K68" i="6"/>
  <c r="AE64" i="6"/>
  <c r="K60" i="6"/>
  <c r="AE56" i="6"/>
  <c r="K52" i="6"/>
  <c r="AE48" i="6"/>
  <c r="K44" i="6"/>
  <c r="AE40" i="6"/>
  <c r="K36" i="6"/>
  <c r="AE32" i="6"/>
  <c r="K28" i="6"/>
  <c r="AE24" i="6"/>
  <c r="K20" i="6"/>
  <c r="L15" i="6"/>
  <c r="O12" i="6"/>
  <c r="Q72" i="6"/>
  <c r="F41" i="6"/>
  <c r="F33" i="6"/>
  <c r="F25" i="6"/>
  <c r="O17" i="6"/>
  <c r="Q12" i="6"/>
  <c r="AM99" i="6"/>
  <c r="P96" i="6"/>
  <c r="P88" i="6"/>
  <c r="P80" i="6"/>
  <c r="P72" i="6"/>
  <c r="AM67" i="6"/>
  <c r="AM59" i="6"/>
  <c r="AM51" i="6"/>
  <c r="P48" i="6"/>
  <c r="P40" i="6"/>
  <c r="P32" i="6"/>
  <c r="P24" i="6"/>
  <c r="AM19" i="6"/>
  <c r="AN12" i="6"/>
  <c r="AD99" i="6"/>
  <c r="O96" i="6"/>
  <c r="O88" i="6"/>
  <c r="O80" i="6"/>
  <c r="O72" i="6"/>
  <c r="AD67" i="6"/>
  <c r="AD59" i="6"/>
  <c r="AD51" i="6"/>
  <c r="O48" i="6"/>
  <c r="O40" i="6"/>
  <c r="O32" i="6"/>
  <c r="O24" i="6"/>
  <c r="AD19" i="6"/>
  <c r="K11" i="6"/>
  <c r="K98" i="6"/>
  <c r="L55" i="6"/>
  <c r="M36" i="6"/>
  <c r="M28" i="6"/>
  <c r="K16" i="6"/>
  <c r="AE99" i="6"/>
  <c r="K87" i="6"/>
  <c r="K79" i="6"/>
  <c r="AE67" i="6"/>
  <c r="K55" i="6"/>
  <c r="AE43" i="6"/>
  <c r="K31" i="6"/>
  <c r="K23" i="6"/>
  <c r="P12" i="6"/>
  <c r="J95" i="6"/>
  <c r="J87" i="6"/>
  <c r="N75" i="6"/>
  <c r="N67" i="6"/>
  <c r="J55" i="6"/>
  <c r="N43" i="6"/>
  <c r="J31" i="6"/>
  <c r="J23" i="6"/>
  <c r="AM10" i="6"/>
  <c r="AD38" i="6"/>
  <c r="O27" i="6"/>
  <c r="L11" i="6"/>
  <c r="B95" i="6"/>
  <c r="B79" i="6"/>
  <c r="B63" i="6"/>
  <c r="F51" i="6"/>
  <c r="F35" i="6"/>
  <c r="F19" i="6"/>
  <c r="P44" i="6"/>
  <c r="P36" i="6"/>
  <c r="P28" i="6"/>
  <c r="P20" i="6"/>
  <c r="D12" i="6"/>
  <c r="F101" i="6"/>
  <c r="AE92" i="6"/>
  <c r="AE84" i="6"/>
  <c r="AE76" i="6"/>
  <c r="AE68" i="6"/>
  <c r="AE60" i="6"/>
  <c r="AE52" i="6"/>
  <c r="AE44" i="6"/>
  <c r="AE36" i="6"/>
  <c r="AE28" i="6"/>
  <c r="AE20" i="6"/>
  <c r="AM11" i="6"/>
  <c r="D98" i="6"/>
  <c r="D90" i="6"/>
  <c r="D82" i="6"/>
  <c r="D74" i="6"/>
  <c r="D66" i="6"/>
  <c r="N60" i="6"/>
  <c r="E55" i="6"/>
  <c r="AM49" i="6"/>
  <c r="N44" i="6"/>
  <c r="E39" i="6"/>
  <c r="AM33" i="6"/>
  <c r="N28" i="6"/>
  <c r="E23" i="6"/>
  <c r="AN17" i="6"/>
  <c r="F13" i="6"/>
  <c r="P108" i="6"/>
  <c r="AN99" i="6"/>
  <c r="O94" i="6"/>
  <c r="Q88" i="6"/>
  <c r="AN83" i="6"/>
  <c r="O78" i="6"/>
  <c r="AN67" i="6"/>
  <c r="O62" i="6"/>
  <c r="Q56" i="6"/>
  <c r="AN51" i="6"/>
  <c r="O46" i="6"/>
  <c r="B37" i="6"/>
  <c r="B29" i="6"/>
  <c r="B21" i="6"/>
  <c r="J104" i="6"/>
  <c r="AM91" i="6"/>
  <c r="AM83" i="6"/>
  <c r="AM75" i="6"/>
  <c r="P64" i="6"/>
  <c r="P56" i="6"/>
  <c r="AM43" i="6"/>
  <c r="AM35" i="6"/>
  <c r="AM27" i="6"/>
  <c r="J16" i="6"/>
  <c r="AE108" i="6"/>
  <c r="AD91" i="6"/>
  <c r="AD83" i="6"/>
  <c r="AD75" i="6"/>
  <c r="O64" i="6"/>
  <c r="O56" i="6"/>
  <c r="AD43" i="6"/>
  <c r="AD35" i="6"/>
  <c r="AD27" i="6"/>
  <c r="D15" i="6"/>
  <c r="J93" i="6"/>
  <c r="J61" i="6"/>
  <c r="J45" i="6"/>
  <c r="Q32" i="6"/>
  <c r="M20" i="6"/>
  <c r="P103" i="6"/>
  <c r="K95" i="6"/>
  <c r="AE83" i="6"/>
  <c r="K71" i="6"/>
  <c r="AE59" i="6"/>
  <c r="AE51" i="6"/>
  <c r="K39" i="6"/>
  <c r="AE27" i="6"/>
  <c r="B16" i="6"/>
  <c r="N99" i="6"/>
  <c r="N91" i="6"/>
  <c r="J79" i="6"/>
  <c r="J63" i="6"/>
  <c r="N51" i="6"/>
  <c r="J39" i="6"/>
  <c r="N27" i="6"/>
  <c r="AM14" i="6"/>
  <c r="O51" i="6"/>
  <c r="O19" i="6"/>
  <c r="F99" i="6"/>
  <c r="F83" i="6"/>
  <c r="F75" i="6"/>
  <c r="F59" i="6"/>
  <c r="F43" i="6"/>
  <c r="B31" i="6"/>
  <c r="AE14" i="6"/>
  <c r="K43" i="6"/>
  <c r="K35" i="6"/>
  <c r="K27" i="6"/>
  <c r="K19" i="6"/>
  <c r="AN11" i="6"/>
  <c r="P100" i="6"/>
  <c r="O92" i="6"/>
  <c r="O84" i="6"/>
  <c r="O76" i="6"/>
  <c r="O68" i="6"/>
  <c r="O60" i="6"/>
  <c r="O52" i="6"/>
  <c r="O44" i="6"/>
  <c r="O36" i="6"/>
  <c r="O28" i="6"/>
  <c r="O20" i="6"/>
  <c r="AE11" i="6"/>
  <c r="AM97" i="6"/>
  <c r="AM89" i="6"/>
  <c r="AM81" i="6"/>
  <c r="AM73" i="6"/>
  <c r="AM65" i="6"/>
  <c r="F60" i="6"/>
  <c r="AN54" i="6"/>
  <c r="O49" i="6"/>
  <c r="F44" i="6"/>
  <c r="AN38" i="6"/>
  <c r="O33" i="6"/>
  <c r="F28" i="6"/>
  <c r="AN22" i="6"/>
  <c r="L16" i="6"/>
  <c r="J12" i="6"/>
  <c r="AE106" i="6"/>
  <c r="L87" i="6"/>
  <c r="K82" i="6"/>
  <c r="J77" i="6"/>
  <c r="L71" i="6"/>
  <c r="K66" i="6"/>
  <c r="K50" i="6"/>
  <c r="Q40" i="6"/>
  <c r="Q24" i="6"/>
  <c r="M11" i="6"/>
  <c r="AE91" i="6"/>
  <c r="AE75" i="6"/>
  <c r="K63" i="6"/>
  <c r="K47" i="6"/>
  <c r="AE35" i="6"/>
  <c r="AE19" i="6"/>
  <c r="L108" i="6"/>
  <c r="N83" i="6"/>
  <c r="J71" i="6"/>
  <c r="N59" i="6"/>
  <c r="J47" i="6"/>
  <c r="N35" i="6"/>
  <c r="N19" i="6"/>
  <c r="AD46" i="6"/>
  <c r="AD22" i="6"/>
  <c r="AM105" i="6"/>
  <c r="B87" i="6"/>
  <c r="B71" i="6"/>
  <c r="B55" i="6"/>
  <c r="B39" i="6"/>
  <c r="B23" i="6"/>
  <c r="AE10" i="6"/>
  <c r="F42" i="6"/>
  <c r="F34" i="6"/>
  <c r="F26" i="6"/>
  <c r="F18" i="6"/>
  <c r="D10" i="6"/>
  <c r="M98" i="6"/>
  <c r="M90" i="6"/>
  <c r="M82" i="6"/>
  <c r="M74" i="6"/>
  <c r="M66" i="6"/>
  <c r="M58" i="6"/>
  <c r="M50" i="6"/>
  <c r="M42" i="6"/>
  <c r="M34" i="6"/>
  <c r="M26" i="6"/>
  <c r="M18" i="6"/>
  <c r="L109" i="6"/>
  <c r="J96" i="6"/>
  <c r="J88" i="6"/>
  <c r="J80" i="6"/>
  <c r="J72" i="6"/>
  <c r="J64" i="6"/>
  <c r="L58" i="6"/>
  <c r="P54" i="6"/>
  <c r="J48" i="6"/>
  <c r="L42" i="6"/>
  <c r="P38" i="6"/>
  <c r="J32" i="6"/>
  <c r="L26" i="6"/>
  <c r="P22" i="6"/>
  <c r="D16" i="6"/>
  <c r="AD11" i="6"/>
  <c r="L106" i="6"/>
  <c r="AD97" i="6"/>
  <c r="M92" i="6"/>
  <c r="D87" i="6"/>
  <c r="AD81" i="6"/>
  <c r="M76" i="6"/>
  <c r="D71" i="6"/>
  <c r="AD65" i="6"/>
  <c r="M60" i="6"/>
  <c r="D55" i="6"/>
  <c r="AD49" i="6"/>
  <c r="M44" i="6"/>
  <c r="L39" i="6"/>
  <c r="E36" i="6"/>
  <c r="L31" i="6"/>
  <c r="E28" i="6"/>
  <c r="L23" i="6"/>
  <c r="E20" i="6"/>
  <c r="AD15" i="6"/>
  <c r="E11" i="6"/>
  <c r="O102" i="6"/>
  <c r="O99" i="6"/>
  <c r="AD94" i="6"/>
  <c r="O91" i="6"/>
  <c r="AD86" i="6"/>
  <c r="O83" i="6"/>
  <c r="AD78" i="6"/>
  <c r="O75" i="6"/>
  <c r="AD70" i="6"/>
  <c r="O67" i="6"/>
  <c r="AD62" i="6"/>
  <c r="O59" i="6"/>
  <c r="AD54" i="6"/>
  <c r="O43" i="6"/>
  <c r="O35" i="6"/>
  <c r="AD30" i="6"/>
  <c r="M15" i="6"/>
  <c r="F91" i="6"/>
  <c r="F67" i="6"/>
  <c r="B47" i="6"/>
  <c r="F27" i="6"/>
  <c r="Q41" i="6"/>
  <c r="Q33" i="6"/>
  <c r="Q25" i="6"/>
  <c r="J17" i="6"/>
  <c r="P109" i="6"/>
  <c r="E98" i="6"/>
  <c r="E90" i="6"/>
  <c r="E82" i="6"/>
  <c r="E74" i="6"/>
  <c r="E66" i="6"/>
  <c r="E58" i="6"/>
  <c r="E50" i="6"/>
  <c r="E42" i="6"/>
  <c r="E34" i="6"/>
  <c r="E26" i="6"/>
  <c r="E18" i="6"/>
  <c r="AM108" i="6"/>
  <c r="B96" i="6"/>
  <c r="B88" i="6"/>
  <c r="B80" i="6"/>
  <c r="B72" i="6"/>
  <c r="B64" i="6"/>
  <c r="D58" i="6"/>
  <c r="AD52" i="6"/>
  <c r="B48" i="6"/>
  <c r="D42" i="6"/>
  <c r="AD36" i="6"/>
  <c r="B32" i="6"/>
  <c r="D26" i="6"/>
  <c r="AD20" i="6"/>
  <c r="AM15" i="6"/>
  <c r="N11" i="6"/>
  <c r="Q103" i="6"/>
  <c r="N97" i="6"/>
  <c r="E92" i="6"/>
  <c r="AE86" i="6"/>
  <c r="N81" i="6"/>
  <c r="E76" i="6"/>
  <c r="AE70" i="6"/>
  <c r="N65" i="6"/>
  <c r="E60" i="6"/>
  <c r="AE54" i="6"/>
  <c r="N49" i="6"/>
  <c r="E44" i="6"/>
  <c r="D39" i="6"/>
  <c r="AN35" i="6"/>
  <c r="D31" i="6"/>
  <c r="AN27" i="6"/>
  <c r="D23" i="6"/>
  <c r="AN19" i="6"/>
  <c r="N15" i="6"/>
  <c r="Q10" i="6"/>
  <c r="D102" i="6"/>
  <c r="J98" i="6"/>
  <c r="N94" i="6"/>
  <c r="J90" i="6"/>
  <c r="N86" i="6"/>
  <c r="J82" i="6"/>
  <c r="N78" i="6"/>
  <c r="J74" i="6"/>
  <c r="N70" i="6"/>
  <c r="J66" i="6"/>
  <c r="N62" i="6"/>
  <c r="J58" i="6"/>
  <c r="N54" i="6"/>
  <c r="J50" i="6"/>
  <c r="N46" i="6"/>
  <c r="J42" i="6"/>
  <c r="N38" i="6"/>
  <c r="J34" i="6"/>
  <c r="N30" i="6"/>
  <c r="J26" i="6"/>
  <c r="N22" i="6"/>
  <c r="J18" i="6"/>
  <c r="E15" i="6"/>
  <c r="D11" i="6"/>
  <c r="M103" i="6"/>
  <c r="Q98" i="6"/>
  <c r="M94" i="6"/>
  <c r="Q90" i="6"/>
  <c r="M86" i="6"/>
  <c r="Q82" i="6"/>
  <c r="M78" i="6"/>
  <c r="Q74" i="6"/>
  <c r="M70" i="6"/>
  <c r="Q66" i="6"/>
  <c r="M62" i="6"/>
  <c r="Q58" i="6"/>
  <c r="M54" i="6"/>
  <c r="Q50" i="6"/>
  <c r="M46" i="6"/>
  <c r="Q42" i="6"/>
  <c r="M38" i="6"/>
  <c r="Q34" i="6"/>
  <c r="M30" i="6"/>
  <c r="Q26" i="6"/>
  <c r="M22" i="6"/>
  <c r="Q18" i="6"/>
  <c r="O14" i="6"/>
  <c r="O10" i="6"/>
  <c r="O70" i="6"/>
  <c r="AM38" i="6"/>
  <c r="AM30" i="6"/>
  <c r="AM22" i="6"/>
  <c r="F15" i="6"/>
  <c r="AM110" i="6"/>
  <c r="B98" i="6"/>
  <c r="F94" i="6"/>
  <c r="F86" i="6"/>
  <c r="F78" i="6"/>
  <c r="F70" i="6"/>
  <c r="B66" i="6"/>
  <c r="B58" i="6"/>
  <c r="F54" i="6"/>
  <c r="F46" i="6"/>
  <c r="F38" i="6"/>
  <c r="F30" i="6"/>
  <c r="B26" i="6"/>
  <c r="B18" i="6"/>
  <c r="AN10" i="6"/>
  <c r="L97" i="6"/>
  <c r="E94" i="6"/>
  <c r="E86" i="6"/>
  <c r="E78" i="6"/>
  <c r="E70" i="6"/>
  <c r="L65" i="6"/>
  <c r="L57" i="6"/>
  <c r="L49" i="6"/>
  <c r="E46" i="6"/>
  <c r="E38" i="6"/>
  <c r="E30" i="6"/>
  <c r="E22" i="6"/>
  <c r="M17" i="6"/>
  <c r="B10" i="6"/>
  <c r="K58" i="6"/>
  <c r="AE38" i="6"/>
  <c r="K26" i="6"/>
  <c r="K18" i="6"/>
  <c r="B101" i="6"/>
  <c r="M89" i="6"/>
  <c r="M81" i="6"/>
  <c r="Q69" i="6"/>
  <c r="M57" i="6"/>
  <c r="Q45" i="6"/>
  <c r="Q37" i="6"/>
  <c r="M25" i="6"/>
  <c r="P14" i="6"/>
  <c r="D97" i="6"/>
  <c r="AN85" i="6"/>
  <c r="AN77" i="6"/>
  <c r="D65" i="6"/>
  <c r="AN53" i="6"/>
  <c r="AN45" i="6"/>
  <c r="D33" i="6"/>
  <c r="E17" i="6"/>
  <c r="L52" i="6"/>
  <c r="L20" i="6"/>
  <c r="AD100" i="6"/>
  <c r="P85" i="6"/>
  <c r="P69" i="6"/>
  <c r="AM56" i="6"/>
  <c r="AM40" i="6"/>
  <c r="AM24" i="6"/>
  <c r="H119" i="3" l="1"/>
  <c r="T20" i="6"/>
  <c r="T52" i="6"/>
  <c r="E52" i="3"/>
  <c r="D64" i="3"/>
  <c r="D72" i="3"/>
  <c r="E84" i="3"/>
  <c r="D96" i="3"/>
  <c r="D104" i="3"/>
  <c r="E116" i="3"/>
  <c r="J56" i="3"/>
  <c r="R37" i="6" s="1"/>
  <c r="S37" i="6" s="1"/>
  <c r="J64" i="3"/>
  <c r="R45" i="6" s="1"/>
  <c r="S45" i="6" s="1"/>
  <c r="J88" i="3"/>
  <c r="R69" i="6" s="1"/>
  <c r="S69" i="6" s="1"/>
  <c r="B120" i="3"/>
  <c r="I57" i="3"/>
  <c r="B29" i="3"/>
  <c r="T49" i="6"/>
  <c r="Y49" i="6" s="1"/>
  <c r="P68" i="3" s="1"/>
  <c r="T57" i="6"/>
  <c r="T65" i="6"/>
  <c r="Y65" i="6" s="1"/>
  <c r="P84" i="3" s="1"/>
  <c r="T97" i="6"/>
  <c r="Y97" i="6" s="1"/>
  <c r="P116" i="3" s="1"/>
  <c r="D29" i="3"/>
  <c r="B37" i="3"/>
  <c r="B45" i="3"/>
  <c r="G49" i="3"/>
  <c r="G57" i="3"/>
  <c r="G65" i="3"/>
  <c r="G73" i="3"/>
  <c r="B77" i="3"/>
  <c r="B85" i="3"/>
  <c r="G89" i="3"/>
  <c r="G97" i="3"/>
  <c r="G105" i="3"/>
  <c r="G113" i="3"/>
  <c r="B117" i="3"/>
  <c r="G34" i="3"/>
  <c r="J37" i="3"/>
  <c r="R18" i="6" s="1"/>
  <c r="S18" i="6" s="1"/>
  <c r="J45" i="3"/>
  <c r="R26" i="6" s="1"/>
  <c r="S26" i="6" s="1"/>
  <c r="J53" i="3"/>
  <c r="R34" i="6" s="1"/>
  <c r="S34" i="6" s="1"/>
  <c r="J61" i="3"/>
  <c r="R42" i="6" s="1"/>
  <c r="S42" i="6" s="1"/>
  <c r="J69" i="3"/>
  <c r="R50" i="6" s="1"/>
  <c r="S50" i="6" s="1"/>
  <c r="J77" i="3"/>
  <c r="R58" i="6" s="1"/>
  <c r="S58" i="6" s="1"/>
  <c r="J85" i="3"/>
  <c r="R66" i="6" s="1"/>
  <c r="S66" i="6" s="1"/>
  <c r="J93" i="3"/>
  <c r="R74" i="6" s="1"/>
  <c r="S74" i="6" s="1"/>
  <c r="J101" i="3"/>
  <c r="R82" i="6" s="1"/>
  <c r="S82" i="6" s="1"/>
  <c r="J109" i="3"/>
  <c r="R90" i="6" s="1"/>
  <c r="S90" i="6" s="1"/>
  <c r="J117" i="3"/>
  <c r="R98" i="6" s="1"/>
  <c r="S98" i="6" s="1"/>
  <c r="E30" i="3"/>
  <c r="AR18" i="6"/>
  <c r="AR26" i="6"/>
  <c r="AR34" i="6"/>
  <c r="AR42" i="6"/>
  <c r="AR50" i="6"/>
  <c r="AR58" i="6"/>
  <c r="AR66" i="6"/>
  <c r="AR74" i="6"/>
  <c r="AR82" i="6"/>
  <c r="AR90" i="6"/>
  <c r="AR98" i="6"/>
  <c r="E121" i="3"/>
  <c r="J29" i="3"/>
  <c r="R10" i="6" s="1"/>
  <c r="S10" i="6" s="1"/>
  <c r="D38" i="3"/>
  <c r="E42" i="3"/>
  <c r="D46" i="3"/>
  <c r="E50" i="3"/>
  <c r="D54" i="3"/>
  <c r="E58" i="3"/>
  <c r="I73" i="3"/>
  <c r="I89" i="3"/>
  <c r="I105" i="3"/>
  <c r="J122" i="3"/>
  <c r="R103" i="6" s="1"/>
  <c r="S103" i="6" s="1"/>
  <c r="H39" i="3"/>
  <c r="E45" i="3"/>
  <c r="B51" i="3"/>
  <c r="H55" i="3"/>
  <c r="E61" i="3"/>
  <c r="B67" i="3"/>
  <c r="H71" i="3"/>
  <c r="E77" i="3"/>
  <c r="B83" i="3"/>
  <c r="B91" i="3"/>
  <c r="B99" i="3"/>
  <c r="B107" i="3"/>
  <c r="B115" i="3"/>
  <c r="AR17" i="6"/>
  <c r="J44" i="3"/>
  <c r="R25" i="6" s="1"/>
  <c r="S25" i="6" s="1"/>
  <c r="J52" i="3"/>
  <c r="R33" i="6" s="1"/>
  <c r="S33" i="6" s="1"/>
  <c r="J60" i="3"/>
  <c r="R41" i="6" s="1"/>
  <c r="S41" i="6" s="1"/>
  <c r="G46" i="3"/>
  <c r="B66" i="3"/>
  <c r="G86" i="3"/>
  <c r="G110" i="3"/>
  <c r="H49" i="3"/>
  <c r="H73" i="3"/>
  <c r="H81" i="3"/>
  <c r="H89" i="3"/>
  <c r="H97" i="3"/>
  <c r="H105" i="3"/>
  <c r="H113" i="3"/>
  <c r="H34" i="3"/>
  <c r="T23" i="6"/>
  <c r="Y23" i="6" s="1"/>
  <c r="P42" i="3" s="1"/>
  <c r="T31" i="6"/>
  <c r="Y31" i="6" s="1"/>
  <c r="P50" i="3" s="1"/>
  <c r="T39" i="6"/>
  <c r="Y39" i="6" s="1"/>
  <c r="P58" i="3" s="1"/>
  <c r="H68" i="3"/>
  <c r="E74" i="3"/>
  <c r="H84" i="3"/>
  <c r="E90" i="3"/>
  <c r="H100" i="3"/>
  <c r="E106" i="3"/>
  <c r="H116" i="3"/>
  <c r="T106" i="6"/>
  <c r="H30" i="3"/>
  <c r="E35" i="3"/>
  <c r="T26" i="6"/>
  <c r="AR32" i="6"/>
  <c r="T42" i="6"/>
  <c r="AR48" i="6"/>
  <c r="T58" i="6"/>
  <c r="AR64" i="6"/>
  <c r="AR72" i="6"/>
  <c r="AR80" i="6"/>
  <c r="AR88" i="6"/>
  <c r="AR96" i="6"/>
  <c r="T109" i="6"/>
  <c r="Y109" i="6" s="1"/>
  <c r="P128" i="3" s="1"/>
  <c r="E29" i="3"/>
  <c r="G37" i="3"/>
  <c r="G45" i="3"/>
  <c r="G53" i="3"/>
  <c r="G61" i="3"/>
  <c r="I29" i="3"/>
  <c r="B42" i="3"/>
  <c r="B58" i="3"/>
  <c r="B74" i="3"/>
  <c r="B90" i="3"/>
  <c r="B106" i="3"/>
  <c r="H41" i="3"/>
  <c r="H65" i="3"/>
  <c r="AR47" i="6"/>
  <c r="AR71" i="6"/>
  <c r="T108" i="6"/>
  <c r="I38" i="3"/>
  <c r="I54" i="3"/>
  <c r="I94" i="3"/>
  <c r="I110" i="3"/>
  <c r="J43" i="3"/>
  <c r="R24" i="6" s="1"/>
  <c r="S24" i="6" s="1"/>
  <c r="J59" i="3"/>
  <c r="R40" i="6" s="1"/>
  <c r="S40" i="6" s="1"/>
  <c r="T71" i="6"/>
  <c r="Y71" i="6" s="1"/>
  <c r="P90" i="3" s="1"/>
  <c r="AR77" i="6"/>
  <c r="T87" i="6"/>
  <c r="Y87" i="6" s="1"/>
  <c r="P106" i="3" s="1"/>
  <c r="I125" i="3"/>
  <c r="AR12" i="6"/>
  <c r="T16" i="6"/>
  <c r="D41" i="3"/>
  <c r="G47" i="3"/>
  <c r="D57" i="3"/>
  <c r="G63" i="3"/>
  <c r="D73" i="3"/>
  <c r="G79" i="3"/>
  <c r="I30" i="3"/>
  <c r="D30" i="3"/>
  <c r="I33" i="3"/>
  <c r="B50" i="3"/>
  <c r="G62" i="3"/>
  <c r="G78" i="3"/>
  <c r="G94" i="3"/>
  <c r="G102" i="3"/>
  <c r="G118" i="3"/>
  <c r="AR39" i="6"/>
  <c r="AR63" i="6"/>
  <c r="AR79" i="6"/>
  <c r="B35" i="3"/>
  <c r="I46" i="3"/>
  <c r="I70" i="3"/>
  <c r="I78" i="3"/>
  <c r="I102" i="3"/>
  <c r="J51" i="3"/>
  <c r="R32" i="6" s="1"/>
  <c r="S32" i="6" s="1"/>
  <c r="AR45" i="6"/>
  <c r="AR61" i="6"/>
  <c r="AR93" i="6"/>
  <c r="E34" i="3"/>
  <c r="H46" i="3"/>
  <c r="H54" i="3"/>
  <c r="H62" i="3"/>
  <c r="H94" i="3"/>
  <c r="H102" i="3"/>
  <c r="H110" i="3"/>
  <c r="I127" i="3"/>
  <c r="AR16" i="6"/>
  <c r="AR104" i="6"/>
  <c r="B40" i="3"/>
  <c r="B48" i="3"/>
  <c r="B56" i="3"/>
  <c r="D70" i="3"/>
  <c r="J75" i="3"/>
  <c r="R56" i="6" s="1"/>
  <c r="S56" i="6" s="1"/>
  <c r="D86" i="3"/>
  <c r="D102" i="3"/>
  <c r="J107" i="3"/>
  <c r="R88" i="6" s="1"/>
  <c r="S88" i="6" s="1"/>
  <c r="D118" i="3"/>
  <c r="G32" i="3"/>
  <c r="D36" i="3"/>
  <c r="E85" i="3"/>
  <c r="E93" i="3"/>
  <c r="E101" i="3"/>
  <c r="E109" i="3"/>
  <c r="E117" i="3"/>
  <c r="I39" i="3"/>
  <c r="I47" i="3"/>
  <c r="I55" i="3"/>
  <c r="I63" i="3"/>
  <c r="I71" i="3"/>
  <c r="I79" i="3"/>
  <c r="I87" i="3"/>
  <c r="I95" i="3"/>
  <c r="I103" i="3"/>
  <c r="I111" i="3"/>
  <c r="G120" i="3"/>
  <c r="E31" i="3"/>
  <c r="G38" i="3"/>
  <c r="G54" i="3"/>
  <c r="G70" i="3"/>
  <c r="B82" i="3"/>
  <c r="B98" i="3"/>
  <c r="B114" i="3"/>
  <c r="T11" i="6"/>
  <c r="X11" i="6" s="1"/>
  <c r="H57" i="3"/>
  <c r="AR23" i="6"/>
  <c r="AR31" i="6"/>
  <c r="AR55" i="6"/>
  <c r="AR87" i="6"/>
  <c r="AR95" i="6"/>
  <c r="I62" i="3"/>
  <c r="I86" i="3"/>
  <c r="I118" i="3"/>
  <c r="T55" i="6"/>
  <c r="Y55" i="6" s="1"/>
  <c r="P74" i="3" s="1"/>
  <c r="H38" i="3"/>
  <c r="H70" i="3"/>
  <c r="H78" i="3"/>
  <c r="H86" i="3"/>
  <c r="H118" i="3"/>
  <c r="D31" i="3"/>
  <c r="J31" i="3"/>
  <c r="R12" i="6" s="1"/>
  <c r="S12" i="6" s="1"/>
  <c r="G44" i="3"/>
  <c r="G52" i="3"/>
  <c r="G60" i="3"/>
  <c r="J91" i="3"/>
  <c r="R72" i="6" s="1"/>
  <c r="S72" i="6" s="1"/>
  <c r="T15" i="6"/>
  <c r="Y15" i="6" s="1"/>
  <c r="P34" i="3" s="1"/>
  <c r="I43" i="3"/>
  <c r="I51" i="3"/>
  <c r="I59" i="3"/>
  <c r="I67" i="3"/>
  <c r="I75" i="3"/>
  <c r="I83" i="3"/>
  <c r="I91" i="3"/>
  <c r="I99" i="3"/>
  <c r="I107" i="3"/>
  <c r="I115" i="3"/>
  <c r="T100" i="6"/>
  <c r="X100" i="6" s="1"/>
  <c r="E32" i="3"/>
  <c r="G36" i="3"/>
  <c r="E39" i="3"/>
  <c r="D43" i="3"/>
  <c r="E47" i="3"/>
  <c r="D51" i="3"/>
  <c r="E55" i="3"/>
  <c r="D59" i="3"/>
  <c r="E63" i="3"/>
  <c r="D67" i="3"/>
  <c r="E71" i="3"/>
  <c r="D75" i="3"/>
  <c r="E79" i="3"/>
  <c r="D83" i="3"/>
  <c r="E87" i="3"/>
  <c r="D91" i="3"/>
  <c r="E95" i="3"/>
  <c r="D99" i="3"/>
  <c r="E103" i="3"/>
  <c r="D107" i="3"/>
  <c r="E111" i="3"/>
  <c r="D115" i="3"/>
  <c r="E119" i="3"/>
  <c r="E126" i="3"/>
  <c r="I36" i="3"/>
  <c r="AR21" i="6"/>
  <c r="AR29" i="6"/>
  <c r="AR37" i="6"/>
  <c r="I65" i="3"/>
  <c r="I81" i="3"/>
  <c r="I97" i="3"/>
  <c r="I113" i="3"/>
  <c r="E129" i="3"/>
  <c r="E37" i="3"/>
  <c r="B43" i="3"/>
  <c r="H47" i="3"/>
  <c r="E53" i="3"/>
  <c r="B59" i="3"/>
  <c r="H63" i="3"/>
  <c r="E69" i="3"/>
  <c r="B75" i="3"/>
  <c r="H79" i="3"/>
  <c r="G87" i="3"/>
  <c r="G95" i="3"/>
  <c r="G103" i="3"/>
  <c r="G111" i="3"/>
  <c r="G119" i="3"/>
  <c r="I32" i="3"/>
  <c r="T21" i="6"/>
  <c r="Y21" i="6" s="1"/>
  <c r="P40" i="3" s="1"/>
  <c r="T29" i="6"/>
  <c r="Y29" i="6" s="1"/>
  <c r="P48" i="3" s="1"/>
  <c r="T37" i="6"/>
  <c r="Y37" i="6" s="1"/>
  <c r="P56" i="3" s="1"/>
  <c r="T45" i="6"/>
  <c r="Y45" i="6" s="1"/>
  <c r="P64" i="3" s="1"/>
  <c r="T53" i="6"/>
  <c r="Y53" i="6" s="1"/>
  <c r="P72" i="3" s="1"/>
  <c r="T61" i="6"/>
  <c r="Y61" i="6" s="1"/>
  <c r="P80" i="3" s="1"/>
  <c r="T69" i="6"/>
  <c r="Y69" i="6" s="1"/>
  <c r="P88" i="3" s="1"/>
  <c r="T77" i="6"/>
  <c r="Y77" i="6" s="1"/>
  <c r="P96" i="3" s="1"/>
  <c r="T85" i="6"/>
  <c r="Y85" i="6" s="1"/>
  <c r="P104" i="3" s="1"/>
  <c r="T93" i="6"/>
  <c r="Y93" i="6" s="1"/>
  <c r="P112" i="3" s="1"/>
  <c r="D32" i="3"/>
  <c r="J35" i="3"/>
  <c r="R16" i="6" s="1"/>
  <c r="S16" i="6" s="1"/>
  <c r="T36" i="6"/>
  <c r="T60" i="6"/>
  <c r="T68" i="6"/>
  <c r="T76" i="6"/>
  <c r="V76" i="6" s="1"/>
  <c r="M95" i="3" s="1"/>
  <c r="T84" i="6"/>
  <c r="T92" i="6"/>
  <c r="D126" i="3"/>
  <c r="H44" i="3"/>
  <c r="H52" i="3"/>
  <c r="H60" i="3"/>
  <c r="E66" i="3"/>
  <c r="H76" i="3"/>
  <c r="E82" i="3"/>
  <c r="H92" i="3"/>
  <c r="E98" i="3"/>
  <c r="H108" i="3"/>
  <c r="E114" i="3"/>
  <c r="D129" i="3"/>
  <c r="B33" i="3"/>
  <c r="T18" i="6"/>
  <c r="V18" i="6" s="1"/>
  <c r="M37" i="3" s="1"/>
  <c r="AR24" i="6"/>
  <c r="T34" i="6"/>
  <c r="X34" i="6" s="1"/>
  <c r="AR40" i="6"/>
  <c r="T50" i="6"/>
  <c r="AR56" i="6"/>
  <c r="J41" i="3"/>
  <c r="R22" i="6" s="1"/>
  <c r="S22" i="6" s="1"/>
  <c r="J49" i="3"/>
  <c r="R30" i="6" s="1"/>
  <c r="S30" i="6" s="1"/>
  <c r="J57" i="3"/>
  <c r="R38" i="6" s="1"/>
  <c r="S38" i="6" s="1"/>
  <c r="J65" i="3"/>
  <c r="R46" i="6" s="1"/>
  <c r="S46" i="6" s="1"/>
  <c r="J73" i="3"/>
  <c r="R54" i="6" s="1"/>
  <c r="S54" i="6" s="1"/>
  <c r="J81" i="3"/>
  <c r="R62" i="6" s="1"/>
  <c r="S62" i="6" s="1"/>
  <c r="J89" i="3"/>
  <c r="R70" i="6" s="1"/>
  <c r="S70" i="6" s="1"/>
  <c r="J97" i="3"/>
  <c r="R78" i="6" s="1"/>
  <c r="S78" i="6" s="1"/>
  <c r="J105" i="3"/>
  <c r="R86" i="6" s="1"/>
  <c r="S86" i="6" s="1"/>
  <c r="J113" i="3"/>
  <c r="R94" i="6" s="1"/>
  <c r="S94" i="6" s="1"/>
  <c r="J123" i="3"/>
  <c r="R104" i="6" s="1"/>
  <c r="S104" i="6" s="1"/>
  <c r="E33" i="3"/>
  <c r="B41" i="3"/>
  <c r="B49" i="3"/>
  <c r="B57" i="3"/>
  <c r="B65" i="3"/>
  <c r="I31" i="3"/>
  <c r="T111" i="6"/>
  <c r="Y111" i="6" s="1"/>
  <c r="P130" i="3" s="1"/>
  <c r="T44" i="6"/>
  <c r="D40" i="3"/>
  <c r="D56" i="3"/>
  <c r="E68" i="3"/>
  <c r="D80" i="3"/>
  <c r="E92" i="3"/>
  <c r="D112" i="3"/>
  <c r="J40" i="3"/>
  <c r="R21" i="6" s="1"/>
  <c r="S21" i="6" s="1"/>
  <c r="J96" i="3"/>
  <c r="R77" i="6" s="1"/>
  <c r="S77" i="6" s="1"/>
  <c r="J112" i="3"/>
  <c r="R93" i="6" s="1"/>
  <c r="S93" i="6" s="1"/>
  <c r="J33" i="3"/>
  <c r="R14" i="6" s="1"/>
  <c r="S14" i="6" s="1"/>
  <c r="I49" i="3"/>
  <c r="AR53" i="6"/>
  <c r="AR69" i="6"/>
  <c r="T79" i="6"/>
  <c r="Y79" i="6" s="1"/>
  <c r="P98" i="3" s="1"/>
  <c r="AR85" i="6"/>
  <c r="G121" i="3"/>
  <c r="AR14" i="6"/>
  <c r="G39" i="3"/>
  <c r="D49" i="3"/>
  <c r="G55" i="3"/>
  <c r="D65" i="3"/>
  <c r="G71" i="3"/>
  <c r="D81" i="3"/>
  <c r="D34" i="3"/>
  <c r="H42" i="3"/>
  <c r="H50" i="3"/>
  <c r="H58" i="3"/>
  <c r="H66" i="3"/>
  <c r="H74" i="3"/>
  <c r="H82" i="3"/>
  <c r="H90" i="3"/>
  <c r="H98" i="3"/>
  <c r="H106" i="3"/>
  <c r="H114" i="3"/>
  <c r="G35" i="3"/>
  <c r="I42" i="3"/>
  <c r="I50" i="3"/>
  <c r="I58" i="3"/>
  <c r="I66" i="3"/>
  <c r="T13" i="6"/>
  <c r="V13" i="6" s="1"/>
  <c r="M32" i="3" s="1"/>
  <c r="T28" i="6"/>
  <c r="E44" i="3"/>
  <c r="D48" i="3"/>
  <c r="E60" i="3"/>
  <c r="E76" i="3"/>
  <c r="D88" i="3"/>
  <c r="E100" i="3"/>
  <c r="E108" i="3"/>
  <c r="H36" i="3"/>
  <c r="J48" i="3"/>
  <c r="R29" i="6" s="1"/>
  <c r="S29" i="6" s="1"/>
  <c r="J72" i="3"/>
  <c r="R53" i="6" s="1"/>
  <c r="S53" i="6" s="1"/>
  <c r="J80" i="3"/>
  <c r="R61" i="6" s="1"/>
  <c r="S61" i="6" s="1"/>
  <c r="J104" i="3"/>
  <c r="R85" i="6" s="1"/>
  <c r="S85" i="6" s="1"/>
  <c r="I41" i="3"/>
  <c r="T47" i="6"/>
  <c r="Y47" i="6" s="1"/>
  <c r="P66" i="3" s="1"/>
  <c r="T63" i="6"/>
  <c r="Y63" i="6" s="1"/>
  <c r="P82" i="3" s="1"/>
  <c r="T95" i="6"/>
  <c r="Y95" i="6" s="1"/>
  <c r="P114" i="3" s="1"/>
  <c r="T25" i="6"/>
  <c r="Y25" i="6" s="1"/>
  <c r="P44" i="3" s="1"/>
  <c r="T33" i="6"/>
  <c r="Y33" i="6" s="1"/>
  <c r="P52" i="3" s="1"/>
  <c r="T41" i="6"/>
  <c r="Y41" i="6" s="1"/>
  <c r="P60" i="3" s="1"/>
  <c r="T73" i="6"/>
  <c r="Y73" i="6" s="1"/>
  <c r="P92" i="3" s="1"/>
  <c r="T81" i="6"/>
  <c r="T89" i="6"/>
  <c r="Y89" i="6" s="1"/>
  <c r="P108" i="3" s="1"/>
  <c r="D33" i="3"/>
  <c r="G41" i="3"/>
  <c r="B53" i="3"/>
  <c r="B61" i="3"/>
  <c r="B69" i="3"/>
  <c r="G81" i="3"/>
  <c r="B93" i="3"/>
  <c r="B101" i="3"/>
  <c r="B109" i="3"/>
  <c r="D62" i="3"/>
  <c r="J67" i="3"/>
  <c r="R48" i="6" s="1"/>
  <c r="S48" i="6" s="1"/>
  <c r="D78" i="3"/>
  <c r="J83" i="3"/>
  <c r="R64" i="6" s="1"/>
  <c r="S64" i="6" s="1"/>
  <c r="D94" i="3"/>
  <c r="J99" i="3"/>
  <c r="R80" i="6" s="1"/>
  <c r="S80" i="6" s="1"/>
  <c r="D110" i="3"/>
  <c r="J115" i="3"/>
  <c r="R96" i="6" s="1"/>
  <c r="S96" i="6" s="1"/>
  <c r="G30" i="3"/>
  <c r="D89" i="3"/>
  <c r="D97" i="3"/>
  <c r="D105" i="3"/>
  <c r="D113" i="3"/>
  <c r="E122" i="3"/>
  <c r="AR10" i="6"/>
  <c r="H32" i="3"/>
  <c r="I44" i="3"/>
  <c r="I52" i="3"/>
  <c r="I60" i="3"/>
  <c r="I68" i="3"/>
  <c r="I76" i="3"/>
  <c r="I84" i="3"/>
  <c r="I92" i="3"/>
  <c r="I100" i="3"/>
  <c r="I108" i="3"/>
  <c r="I116" i="3"/>
  <c r="AR19" i="6"/>
  <c r="AR27" i="6"/>
  <c r="AR35" i="6"/>
  <c r="AR43" i="6"/>
  <c r="AR51" i="6"/>
  <c r="AR59" i="6"/>
  <c r="AR67" i="6"/>
  <c r="AR75" i="6"/>
  <c r="AR83" i="6"/>
  <c r="AR91" i="6"/>
  <c r="AR99" i="6"/>
  <c r="AR105" i="6"/>
  <c r="J34" i="3"/>
  <c r="R15" i="6" s="1"/>
  <c r="S15" i="6" s="1"/>
  <c r="H37" i="3"/>
  <c r="H45" i="3"/>
  <c r="H53" i="3"/>
  <c r="H61" i="3"/>
  <c r="H69" i="3"/>
  <c r="H77" i="3"/>
  <c r="H85" i="3"/>
  <c r="H93" i="3"/>
  <c r="H101" i="3"/>
  <c r="H109" i="3"/>
  <c r="H117" i="3"/>
  <c r="I124" i="3"/>
  <c r="G40" i="3"/>
  <c r="B44" i="3"/>
  <c r="G48" i="3"/>
  <c r="B52" i="3"/>
  <c r="G56" i="3"/>
  <c r="B60" i="3"/>
  <c r="G64" i="3"/>
  <c r="B68" i="3"/>
  <c r="G72" i="3"/>
  <c r="B76" i="3"/>
  <c r="G80" i="3"/>
  <c r="B84" i="3"/>
  <c r="G88" i="3"/>
  <c r="B92" i="3"/>
  <c r="G96" i="3"/>
  <c r="B100" i="3"/>
  <c r="G104" i="3"/>
  <c r="B108" i="3"/>
  <c r="G112" i="3"/>
  <c r="B116" i="3"/>
  <c r="T110" i="6"/>
  <c r="X110" i="6" s="1"/>
  <c r="B39" i="3"/>
  <c r="G43" i="3"/>
  <c r="B47" i="3"/>
  <c r="G51" i="3"/>
  <c r="B55" i="3"/>
  <c r="G59" i="3"/>
  <c r="B63" i="3"/>
  <c r="G67" i="3"/>
  <c r="B71" i="3"/>
  <c r="G75" i="3"/>
  <c r="B79" i="3"/>
  <c r="G83" i="3"/>
  <c r="B87" i="3"/>
  <c r="G91" i="3"/>
  <c r="B95" i="3"/>
  <c r="G99" i="3"/>
  <c r="B103" i="3"/>
  <c r="G107" i="3"/>
  <c r="B111" i="3"/>
  <c r="G115" i="3"/>
  <c r="B119" i="3"/>
  <c r="G123" i="3"/>
  <c r="T105" i="6"/>
  <c r="J135" i="3"/>
  <c r="R116" i="6" s="1"/>
  <c r="S116" i="6" s="1"/>
  <c r="J151" i="3"/>
  <c r="R132" i="6" s="1"/>
  <c r="S132" i="6" s="1"/>
  <c r="J167" i="3"/>
  <c r="R148" i="6" s="1"/>
  <c r="S148" i="6" s="1"/>
  <c r="J183" i="3"/>
  <c r="R164" i="6" s="1"/>
  <c r="S164" i="6" s="1"/>
  <c r="J199" i="3"/>
  <c r="R180" i="6" s="1"/>
  <c r="S180" i="6" s="1"/>
  <c r="J215" i="3"/>
  <c r="R196" i="6" s="1"/>
  <c r="S196" i="6" s="1"/>
  <c r="J231" i="3"/>
  <c r="R212" i="6" s="1"/>
  <c r="S212" i="6" s="1"/>
  <c r="AR227" i="6"/>
  <c r="G253" i="3"/>
  <c r="E268" i="3"/>
  <c r="E286" i="3"/>
  <c r="AR106" i="6"/>
  <c r="H128" i="3"/>
  <c r="G132" i="3"/>
  <c r="B135" i="3"/>
  <c r="B139" i="3"/>
  <c r="B143" i="3"/>
  <c r="AR128" i="6"/>
  <c r="G152" i="3"/>
  <c r="G156" i="3"/>
  <c r="B165" i="3"/>
  <c r="G170" i="3"/>
  <c r="B175" i="3"/>
  <c r="H180" i="3"/>
  <c r="AR166" i="6"/>
  <c r="H190" i="3"/>
  <c r="AR176" i="6"/>
  <c r="AR182" i="6"/>
  <c r="G208" i="3"/>
  <c r="H220" i="3"/>
  <c r="B227" i="3"/>
  <c r="AR214" i="6"/>
  <c r="AR222" i="6"/>
  <c r="B266" i="3"/>
  <c r="I132" i="3"/>
  <c r="I140" i="3"/>
  <c r="I148" i="3"/>
  <c r="I156" i="3"/>
  <c r="I170" i="3"/>
  <c r="I186" i="3"/>
  <c r="I202" i="3"/>
  <c r="I218" i="3"/>
  <c r="I234" i="3"/>
  <c r="T243" i="6"/>
  <c r="X243" i="6" s="1"/>
  <c r="I74" i="3"/>
  <c r="I82" i="3"/>
  <c r="I90" i="3"/>
  <c r="I98" i="3"/>
  <c r="I106" i="3"/>
  <c r="I114" i="3"/>
  <c r="J32" i="3"/>
  <c r="R13" i="6" s="1"/>
  <c r="S13" i="6" s="1"/>
  <c r="AR25" i="6"/>
  <c r="AR33" i="6"/>
  <c r="AR41" i="6"/>
  <c r="AR49" i="6"/>
  <c r="AR57" i="6"/>
  <c r="AR65" i="6"/>
  <c r="AR73" i="6"/>
  <c r="AR81" i="6"/>
  <c r="AR89" i="6"/>
  <c r="AR97" i="6"/>
  <c r="I121" i="3"/>
  <c r="I129" i="3"/>
  <c r="H31" i="3"/>
  <c r="D35" i="3"/>
  <c r="AR20" i="6"/>
  <c r="AR28" i="6"/>
  <c r="AR36" i="6"/>
  <c r="AR44" i="6"/>
  <c r="AR52" i="6"/>
  <c r="AR60" i="6"/>
  <c r="AR68" i="6"/>
  <c r="AR76" i="6"/>
  <c r="AR84" i="6"/>
  <c r="AR92" i="6"/>
  <c r="AR100" i="6"/>
  <c r="B124" i="3"/>
  <c r="J125" i="3"/>
  <c r="R106" i="6" s="1"/>
  <c r="S106" i="6" s="1"/>
  <c r="J141" i="3"/>
  <c r="R122" i="6" s="1"/>
  <c r="S122" i="6" s="1"/>
  <c r="J157" i="3"/>
  <c r="R138" i="6" s="1"/>
  <c r="S138" i="6" s="1"/>
  <c r="J173" i="3"/>
  <c r="R154" i="6" s="1"/>
  <c r="S154" i="6" s="1"/>
  <c r="J189" i="3"/>
  <c r="R170" i="6" s="1"/>
  <c r="S170" i="6" s="1"/>
  <c r="J205" i="3"/>
  <c r="R186" i="6" s="1"/>
  <c r="S186" i="6" s="1"/>
  <c r="J221" i="3"/>
  <c r="R202" i="6" s="1"/>
  <c r="S202" i="6" s="1"/>
  <c r="H236" i="3"/>
  <c r="G239" i="3"/>
  <c r="E247" i="3"/>
  <c r="AR235" i="6"/>
  <c r="E270" i="3"/>
  <c r="G126" i="3"/>
  <c r="B129" i="3"/>
  <c r="AR116" i="6"/>
  <c r="AR120" i="6"/>
  <c r="G144" i="3"/>
  <c r="G148" i="3"/>
  <c r="H156" i="3"/>
  <c r="H160" i="3"/>
  <c r="AR146" i="6"/>
  <c r="B171" i="3"/>
  <c r="G176" i="3"/>
  <c r="B181" i="3"/>
  <c r="G186" i="3"/>
  <c r="B191" i="3"/>
  <c r="H196" i="3"/>
  <c r="G202" i="3"/>
  <c r="H214" i="3"/>
  <c r="B221" i="3"/>
  <c r="AR208" i="6"/>
  <c r="G234" i="3"/>
  <c r="AR223" i="6"/>
  <c r="D252" i="3"/>
  <c r="H124" i="3"/>
  <c r="I172" i="3"/>
  <c r="I188" i="3"/>
  <c r="I204" i="3"/>
  <c r="I220" i="3"/>
  <c r="G237" i="3"/>
  <c r="J119" i="3"/>
  <c r="R100" i="6" s="1"/>
  <c r="S100" i="6" s="1"/>
  <c r="T107" i="6"/>
  <c r="Y107" i="6" s="1"/>
  <c r="P126" i="3" s="1"/>
  <c r="H40" i="3"/>
  <c r="H48" i="3"/>
  <c r="H56" i="3"/>
  <c r="H64" i="3"/>
  <c r="H72" i="3"/>
  <c r="H80" i="3"/>
  <c r="H88" i="3"/>
  <c r="H96" i="3"/>
  <c r="H104" i="3"/>
  <c r="H112" i="3"/>
  <c r="D122" i="3"/>
  <c r="G29" i="3"/>
  <c r="B32" i="3"/>
  <c r="E36" i="3"/>
  <c r="H43" i="3"/>
  <c r="H51" i="3"/>
  <c r="H59" i="3"/>
  <c r="H67" i="3"/>
  <c r="H75" i="3"/>
  <c r="H83" i="3"/>
  <c r="H91" i="3"/>
  <c r="H99" i="3"/>
  <c r="H107" i="3"/>
  <c r="H115" i="3"/>
  <c r="D119" i="3"/>
  <c r="E128" i="3"/>
  <c r="B122" i="3"/>
  <c r="J131" i="3"/>
  <c r="R112" i="6" s="1"/>
  <c r="S112" i="6" s="1"/>
  <c r="J147" i="3"/>
  <c r="R128" i="6" s="1"/>
  <c r="S128" i="6" s="1"/>
  <c r="J163" i="3"/>
  <c r="R144" i="6" s="1"/>
  <c r="S144" i="6" s="1"/>
  <c r="J179" i="3"/>
  <c r="R160" i="6" s="1"/>
  <c r="S160" i="6" s="1"/>
  <c r="J195" i="3"/>
  <c r="R176" i="6" s="1"/>
  <c r="S176" i="6" s="1"/>
  <c r="J211" i="3"/>
  <c r="R192" i="6" s="1"/>
  <c r="S192" i="6" s="1"/>
  <c r="J227" i="3"/>
  <c r="R208" i="6" s="1"/>
  <c r="S208" i="6" s="1"/>
  <c r="AR110" i="6"/>
  <c r="H132" i="3"/>
  <c r="G136" i="3"/>
  <c r="G140" i="3"/>
  <c r="H148" i="3"/>
  <c r="H152" i="3"/>
  <c r="B157" i="3"/>
  <c r="AR142" i="6"/>
  <c r="AR152" i="6"/>
  <c r="AR162" i="6"/>
  <c r="B187" i="3"/>
  <c r="G192" i="3"/>
  <c r="B197" i="3"/>
  <c r="B203" i="3"/>
  <c r="AR190" i="6"/>
  <c r="G216" i="3"/>
  <c r="H228" i="3"/>
  <c r="B235" i="3"/>
  <c r="B244" i="3"/>
  <c r="D271" i="3"/>
  <c r="AO252" i="6"/>
  <c r="I126" i="3"/>
  <c r="I134" i="3"/>
  <c r="I142" i="3"/>
  <c r="I150" i="3"/>
  <c r="I158" i="3"/>
  <c r="I174" i="3"/>
  <c r="I190" i="3"/>
  <c r="I206" i="3"/>
  <c r="I222" i="3"/>
  <c r="T66" i="6"/>
  <c r="T74" i="6"/>
  <c r="T82" i="6"/>
  <c r="T90" i="6"/>
  <c r="T98" i="6"/>
  <c r="J120" i="3"/>
  <c r="R101" i="6" s="1"/>
  <c r="S101" i="6" s="1"/>
  <c r="E127" i="3"/>
  <c r="T12" i="6"/>
  <c r="H35" i="3"/>
  <c r="D39" i="3"/>
  <c r="E43" i="3"/>
  <c r="D47" i="3"/>
  <c r="E51" i="3"/>
  <c r="D55" i="3"/>
  <c r="E59" i="3"/>
  <c r="D63" i="3"/>
  <c r="E67" i="3"/>
  <c r="D71" i="3"/>
  <c r="E75" i="3"/>
  <c r="D79" i="3"/>
  <c r="E83" i="3"/>
  <c r="D87" i="3"/>
  <c r="E91" i="3"/>
  <c r="D95" i="3"/>
  <c r="E99" i="3"/>
  <c r="D103" i="3"/>
  <c r="E107" i="3"/>
  <c r="D111" i="3"/>
  <c r="E115" i="3"/>
  <c r="E130" i="3"/>
  <c r="I37" i="3"/>
  <c r="I45" i="3"/>
  <c r="I53" i="3"/>
  <c r="I61" i="3"/>
  <c r="I69" i="3"/>
  <c r="I77" i="3"/>
  <c r="I85" i="3"/>
  <c r="I93" i="3"/>
  <c r="I101" i="3"/>
  <c r="I109" i="3"/>
  <c r="I117" i="3"/>
  <c r="AR13" i="6"/>
  <c r="T17" i="6"/>
  <c r="X17" i="6" s="1"/>
  <c r="I40" i="3"/>
  <c r="I48" i="3"/>
  <c r="I56" i="3"/>
  <c r="I64" i="3"/>
  <c r="I72" i="3"/>
  <c r="I80" i="3"/>
  <c r="I88" i="3"/>
  <c r="I96" i="3"/>
  <c r="I104" i="3"/>
  <c r="I112" i="3"/>
  <c r="AR101" i="6"/>
  <c r="D128" i="3"/>
  <c r="AR103" i="6"/>
  <c r="J137" i="3"/>
  <c r="R118" i="6" s="1"/>
  <c r="S118" i="6" s="1"/>
  <c r="J153" i="3"/>
  <c r="R134" i="6" s="1"/>
  <c r="S134" i="6" s="1"/>
  <c r="J169" i="3"/>
  <c r="R150" i="6" s="1"/>
  <c r="S150" i="6" s="1"/>
  <c r="J185" i="3"/>
  <c r="R166" i="6" s="1"/>
  <c r="S166" i="6" s="1"/>
  <c r="J201" i="3"/>
  <c r="R182" i="6" s="1"/>
  <c r="S182" i="6" s="1"/>
  <c r="J217" i="3"/>
  <c r="R198" i="6" s="1"/>
  <c r="S198" i="6" s="1"/>
  <c r="J233" i="3"/>
  <c r="R214" i="6" s="1"/>
  <c r="S214" i="6" s="1"/>
  <c r="E237" i="3"/>
  <c r="T230" i="6"/>
  <c r="J278" i="3"/>
  <c r="R259" i="6" s="1"/>
  <c r="S259" i="6" s="1"/>
  <c r="H126" i="3"/>
  <c r="G130" i="3"/>
  <c r="B133" i="3"/>
  <c r="H140" i="3"/>
  <c r="H144" i="3"/>
  <c r="B149" i="3"/>
  <c r="AR134" i="6"/>
  <c r="AR138" i="6"/>
  <c r="G162" i="3"/>
  <c r="H166" i="3"/>
  <c r="G172" i="3"/>
  <c r="AR158" i="6"/>
  <c r="AR168" i="6"/>
  <c r="AR178" i="6"/>
  <c r="AR184" i="6"/>
  <c r="G210" i="3"/>
  <c r="H222" i="3"/>
  <c r="B229" i="3"/>
  <c r="AR216" i="6"/>
  <c r="D255" i="3"/>
  <c r="AO236" i="6"/>
  <c r="I160" i="3"/>
  <c r="I176" i="3"/>
  <c r="I192" i="3"/>
  <c r="I208" i="3"/>
  <c r="I224" i="3"/>
  <c r="J290" i="3"/>
  <c r="R271" i="6" s="1"/>
  <c r="S271" i="6" s="1"/>
  <c r="B64" i="3"/>
  <c r="G68" i="3"/>
  <c r="B72" i="3"/>
  <c r="G76" i="3"/>
  <c r="B80" i="3"/>
  <c r="G84" i="3"/>
  <c r="B88" i="3"/>
  <c r="G92" i="3"/>
  <c r="B96" i="3"/>
  <c r="G100" i="3"/>
  <c r="B104" i="3"/>
  <c r="G108" i="3"/>
  <c r="B112" i="3"/>
  <c r="G116" i="3"/>
  <c r="B31" i="3"/>
  <c r="I34" i="3"/>
  <c r="J38" i="3"/>
  <c r="R19" i="6" s="1"/>
  <c r="S19" i="6" s="1"/>
  <c r="J46" i="3"/>
  <c r="R27" i="6" s="1"/>
  <c r="S27" i="6" s="1"/>
  <c r="J54" i="3"/>
  <c r="R35" i="6" s="1"/>
  <c r="S35" i="6" s="1"/>
  <c r="J62" i="3"/>
  <c r="R43" i="6" s="1"/>
  <c r="S43" i="6" s="1"/>
  <c r="J70" i="3"/>
  <c r="R51" i="6" s="1"/>
  <c r="S51" i="6" s="1"/>
  <c r="J78" i="3"/>
  <c r="R59" i="6" s="1"/>
  <c r="S59" i="6" s="1"/>
  <c r="J86" i="3"/>
  <c r="R67" i="6" s="1"/>
  <c r="S67" i="6" s="1"/>
  <c r="J94" i="3"/>
  <c r="R75" i="6" s="1"/>
  <c r="S75" i="6" s="1"/>
  <c r="J102" i="3"/>
  <c r="R83" i="6" s="1"/>
  <c r="S83" i="6" s="1"/>
  <c r="J110" i="3"/>
  <c r="R91" i="6" s="1"/>
  <c r="S91" i="6" s="1"/>
  <c r="J118" i="3"/>
  <c r="R99" i="6" s="1"/>
  <c r="S99" i="6" s="1"/>
  <c r="J36" i="3"/>
  <c r="R17" i="6" s="1"/>
  <c r="S17" i="6" s="1"/>
  <c r="E40" i="3"/>
  <c r="D44" i="3"/>
  <c r="E48" i="3"/>
  <c r="D52" i="3"/>
  <c r="E56" i="3"/>
  <c r="D60" i="3"/>
  <c r="E64" i="3"/>
  <c r="D68" i="3"/>
  <c r="E72" i="3"/>
  <c r="D76" i="3"/>
  <c r="E80" i="3"/>
  <c r="D84" i="3"/>
  <c r="E88" i="3"/>
  <c r="D92" i="3"/>
  <c r="E96" i="3"/>
  <c r="D100" i="3"/>
  <c r="E104" i="3"/>
  <c r="D108" i="3"/>
  <c r="E112" i="3"/>
  <c r="D116" i="3"/>
  <c r="D121" i="3"/>
  <c r="D127" i="3"/>
  <c r="B36" i="3"/>
  <c r="T24" i="6"/>
  <c r="T32" i="6"/>
  <c r="T40" i="6"/>
  <c r="T48" i="6"/>
  <c r="T56" i="6"/>
  <c r="T64" i="6"/>
  <c r="T72" i="6"/>
  <c r="T80" i="6"/>
  <c r="T88" i="6"/>
  <c r="T96" i="6"/>
  <c r="AR102" i="6"/>
  <c r="E6" i="6"/>
  <c r="A3" i="7" s="1" a="1"/>
  <c r="A3" i="7" s="1"/>
  <c r="B34" i="3"/>
  <c r="H29" i="3"/>
  <c r="G33" i="3"/>
  <c r="I120" i="3"/>
  <c r="J127" i="3"/>
  <c r="R108" i="6" s="1"/>
  <c r="S108" i="6" s="1"/>
  <c r="J143" i="3"/>
  <c r="R124" i="6" s="1"/>
  <c r="S124" i="6" s="1"/>
  <c r="J159" i="3"/>
  <c r="R140" i="6" s="1"/>
  <c r="S140" i="6" s="1"/>
  <c r="J175" i="3"/>
  <c r="R156" i="6" s="1"/>
  <c r="S156" i="6" s="1"/>
  <c r="J191" i="3"/>
  <c r="R172" i="6" s="1"/>
  <c r="S172" i="6" s="1"/>
  <c r="J207" i="3"/>
  <c r="R188" i="6" s="1"/>
  <c r="S188" i="6" s="1"/>
  <c r="J223" i="3"/>
  <c r="R204" i="6" s="1"/>
  <c r="S204" i="6" s="1"/>
  <c r="E250" i="3"/>
  <c r="E260" i="3"/>
  <c r="D123" i="3"/>
  <c r="B127" i="3"/>
  <c r="AR114" i="6"/>
  <c r="H136" i="3"/>
  <c r="B141" i="3"/>
  <c r="AR126" i="6"/>
  <c r="AR130" i="6"/>
  <c r="G154" i="3"/>
  <c r="G168" i="3"/>
  <c r="H172" i="3"/>
  <c r="G178" i="3"/>
  <c r="H182" i="3"/>
  <c r="G188" i="3"/>
  <c r="AR174" i="6"/>
  <c r="H204" i="3"/>
  <c r="B211" i="3"/>
  <c r="AR198" i="6"/>
  <c r="G224" i="3"/>
  <c r="I236" i="3"/>
  <c r="T227" i="6"/>
  <c r="Y227" i="6" s="1"/>
  <c r="P246" i="3" s="1"/>
  <c r="B258" i="3"/>
  <c r="I128" i="3"/>
  <c r="I136" i="3"/>
  <c r="I144" i="3"/>
  <c r="I152" i="3"/>
  <c r="I162" i="3"/>
  <c r="I178" i="3"/>
  <c r="I194" i="3"/>
  <c r="I210" i="3"/>
  <c r="I226" i="3"/>
  <c r="J244" i="3"/>
  <c r="R225" i="6" s="1"/>
  <c r="S225" i="6" s="1"/>
  <c r="T112" i="6"/>
  <c r="Y112" i="6" s="1"/>
  <c r="P131" i="3" s="1"/>
  <c r="J68" i="3"/>
  <c r="R49" i="6" s="1"/>
  <c r="S49" i="6" s="1"/>
  <c r="J76" i="3"/>
  <c r="R57" i="6" s="1"/>
  <c r="S57" i="6" s="1"/>
  <c r="J84" i="3"/>
  <c r="R65" i="6" s="1"/>
  <c r="S65" i="6" s="1"/>
  <c r="J92" i="3"/>
  <c r="R73" i="6" s="1"/>
  <c r="S73" i="6" s="1"/>
  <c r="J100" i="3"/>
  <c r="R81" i="6" s="1"/>
  <c r="S81" i="6" s="1"/>
  <c r="J108" i="3"/>
  <c r="R89" i="6" s="1"/>
  <c r="S89" i="6" s="1"/>
  <c r="J116" i="3"/>
  <c r="R97" i="6" s="1"/>
  <c r="S97" i="6" s="1"/>
  <c r="H121" i="3"/>
  <c r="AR15" i="6"/>
  <c r="E38" i="3"/>
  <c r="D42" i="3"/>
  <c r="E46" i="3"/>
  <c r="D50" i="3"/>
  <c r="E54" i="3"/>
  <c r="D58" i="3"/>
  <c r="E62" i="3"/>
  <c r="D66" i="3"/>
  <c r="E70" i="3"/>
  <c r="D74" i="3"/>
  <c r="E78" i="3"/>
  <c r="D82" i="3"/>
  <c r="E86" i="3"/>
  <c r="D90" i="3"/>
  <c r="E94" i="3"/>
  <c r="D98" i="3"/>
  <c r="E102" i="3"/>
  <c r="D106" i="3"/>
  <c r="E110" i="3"/>
  <c r="D114" i="3"/>
  <c r="E118" i="3"/>
  <c r="E125" i="3"/>
  <c r="B30" i="3"/>
  <c r="D37" i="3"/>
  <c r="E41" i="3"/>
  <c r="D45" i="3"/>
  <c r="E49" i="3"/>
  <c r="D53" i="3"/>
  <c r="E57" i="3"/>
  <c r="D61" i="3"/>
  <c r="E65" i="3"/>
  <c r="D69" i="3"/>
  <c r="E73" i="3"/>
  <c r="D77" i="3"/>
  <c r="E81" i="3"/>
  <c r="D85" i="3"/>
  <c r="E89" i="3"/>
  <c r="D93" i="3"/>
  <c r="E97" i="3"/>
  <c r="D101" i="3"/>
  <c r="E105" i="3"/>
  <c r="D109" i="3"/>
  <c r="E113" i="3"/>
  <c r="D117" i="3"/>
  <c r="B121" i="3"/>
  <c r="I123" i="3"/>
  <c r="J133" i="3"/>
  <c r="R114" i="6" s="1"/>
  <c r="S114" i="6" s="1"/>
  <c r="J149" i="3"/>
  <c r="R130" i="6" s="1"/>
  <c r="S130" i="6" s="1"/>
  <c r="J165" i="3"/>
  <c r="R146" i="6" s="1"/>
  <c r="S146" i="6" s="1"/>
  <c r="J181" i="3"/>
  <c r="R162" i="6" s="1"/>
  <c r="S162" i="6" s="1"/>
  <c r="J197" i="3"/>
  <c r="R178" i="6" s="1"/>
  <c r="S178" i="6" s="1"/>
  <c r="J213" i="3"/>
  <c r="R194" i="6" s="1"/>
  <c r="S194" i="6" s="1"/>
  <c r="J229" i="3"/>
  <c r="R210" i="6" s="1"/>
  <c r="S210" i="6" s="1"/>
  <c r="H237" i="3"/>
  <c r="J250" i="3"/>
  <c r="R231" i="6" s="1"/>
  <c r="S231" i="6" s="1"/>
  <c r="D281" i="3"/>
  <c r="AR108" i="6"/>
  <c r="H130" i="3"/>
  <c r="G134" i="3"/>
  <c r="AR118" i="6"/>
  <c r="AR122" i="6"/>
  <c r="G146" i="3"/>
  <c r="H158" i="3"/>
  <c r="B163" i="3"/>
  <c r="B173" i="3"/>
  <c r="G184" i="3"/>
  <c r="H188" i="3"/>
  <c r="G194" i="3"/>
  <c r="H198" i="3"/>
  <c r="B205" i="3"/>
  <c r="AR192" i="6"/>
  <c r="G218" i="3"/>
  <c r="H230" i="3"/>
  <c r="D236" i="3"/>
  <c r="J284" i="3"/>
  <c r="R265" i="6" s="1"/>
  <c r="S265" i="6" s="1"/>
  <c r="I164" i="3"/>
  <c r="I180" i="3"/>
  <c r="I196" i="3"/>
  <c r="I212" i="3"/>
  <c r="I228" i="3"/>
  <c r="AR229" i="6"/>
  <c r="T114" i="6"/>
  <c r="Y114" i="6" s="1"/>
  <c r="P133" i="3" s="1"/>
  <c r="G69" i="3"/>
  <c r="B73" i="3"/>
  <c r="G77" i="3"/>
  <c r="B81" i="3"/>
  <c r="G85" i="3"/>
  <c r="B89" i="3"/>
  <c r="G93" i="3"/>
  <c r="B97" i="3"/>
  <c r="G101" i="3"/>
  <c r="B105" i="3"/>
  <c r="G109" i="3"/>
  <c r="B113" i="3"/>
  <c r="G117" i="3"/>
  <c r="B123" i="3"/>
  <c r="J30" i="3"/>
  <c r="R11" i="6" s="1"/>
  <c r="S11" i="6" s="1"/>
  <c r="T19" i="6"/>
  <c r="Y19" i="6" s="1"/>
  <c r="P38" i="3" s="1"/>
  <c r="T27" i="6"/>
  <c r="T35" i="6"/>
  <c r="Y35" i="6" s="1"/>
  <c r="P54" i="3" s="1"/>
  <c r="T43" i="6"/>
  <c r="Y43" i="6" s="1"/>
  <c r="P62" i="3" s="1"/>
  <c r="T51" i="6"/>
  <c r="Y51" i="6" s="1"/>
  <c r="P70" i="3" s="1"/>
  <c r="T59" i="6"/>
  <c r="Y59" i="6" s="1"/>
  <c r="P78" i="3" s="1"/>
  <c r="T67" i="6"/>
  <c r="Y67" i="6" s="1"/>
  <c r="P86" i="3" s="1"/>
  <c r="T75" i="6"/>
  <c r="Y75" i="6" s="1"/>
  <c r="P94" i="3" s="1"/>
  <c r="T83" i="6"/>
  <c r="Y83" i="6" s="1"/>
  <c r="P102" i="3" s="1"/>
  <c r="T91" i="6"/>
  <c r="Y91" i="6" s="1"/>
  <c r="P110" i="3" s="1"/>
  <c r="T99" i="6"/>
  <c r="Y99" i="6" s="1"/>
  <c r="P118" i="3" s="1"/>
  <c r="D125" i="3"/>
  <c r="AR11" i="6"/>
  <c r="H33" i="3"/>
  <c r="T22" i="6"/>
  <c r="X22" i="6" s="1"/>
  <c r="T30" i="6"/>
  <c r="X30" i="6" s="1"/>
  <c r="T38" i="6"/>
  <c r="AB38" i="6" s="1"/>
  <c r="T46" i="6"/>
  <c r="X46" i="6" s="1"/>
  <c r="T54" i="6"/>
  <c r="X54" i="6" s="1"/>
  <c r="T62" i="6"/>
  <c r="X62" i="6" s="1"/>
  <c r="T70" i="6"/>
  <c r="X70" i="6" s="1"/>
  <c r="T78" i="6"/>
  <c r="X78" i="6" s="1"/>
  <c r="T86" i="6"/>
  <c r="X86" i="6" s="1"/>
  <c r="T94" i="6"/>
  <c r="X94" i="6" s="1"/>
  <c r="T102" i="6"/>
  <c r="Y102" i="6" s="1"/>
  <c r="P121" i="3" s="1"/>
  <c r="J139" i="3"/>
  <c r="R120" i="6" s="1"/>
  <c r="S120" i="6" s="1"/>
  <c r="J155" i="3"/>
  <c r="R136" i="6" s="1"/>
  <c r="S136" i="6" s="1"/>
  <c r="J171" i="3"/>
  <c r="R152" i="6" s="1"/>
  <c r="S152" i="6" s="1"/>
  <c r="J187" i="3"/>
  <c r="R168" i="6" s="1"/>
  <c r="S168" i="6" s="1"/>
  <c r="J203" i="3"/>
  <c r="R184" i="6" s="1"/>
  <c r="S184" i="6" s="1"/>
  <c r="J219" i="3"/>
  <c r="R200" i="6" s="1"/>
  <c r="S200" i="6" s="1"/>
  <c r="J235" i="3"/>
  <c r="R216" i="6" s="1"/>
  <c r="S216" i="6" s="1"/>
  <c r="D237" i="3"/>
  <c r="T245" i="6"/>
  <c r="X245" i="6" s="1"/>
  <c r="G128" i="3"/>
  <c r="B131" i="3"/>
  <c r="G138" i="3"/>
  <c r="H150" i="3"/>
  <c r="B155" i="3"/>
  <c r="B159" i="3"/>
  <c r="AR144" i="6"/>
  <c r="H168" i="3"/>
  <c r="B179" i="3"/>
  <c r="B189" i="3"/>
  <c r="G200" i="3"/>
  <c r="H212" i="3"/>
  <c r="B219" i="3"/>
  <c r="AR206" i="6"/>
  <c r="G232" i="3"/>
  <c r="G238" i="3"/>
  <c r="AR243" i="6"/>
  <c r="I130" i="3"/>
  <c r="I138" i="3"/>
  <c r="I146" i="3"/>
  <c r="I154" i="3"/>
  <c r="I166" i="3"/>
  <c r="I182" i="3"/>
  <c r="I198" i="3"/>
  <c r="I214" i="3"/>
  <c r="I230" i="3"/>
  <c r="E252" i="3"/>
  <c r="T116" i="6"/>
  <c r="H87" i="3"/>
  <c r="H95" i="3"/>
  <c r="H103" i="3"/>
  <c r="H111" i="3"/>
  <c r="B38" i="3"/>
  <c r="G42" i="3"/>
  <c r="B46" i="3"/>
  <c r="G50" i="3"/>
  <c r="B54" i="3"/>
  <c r="G58" i="3"/>
  <c r="B62" i="3"/>
  <c r="G66" i="3"/>
  <c r="B70" i="3"/>
  <c r="G74" i="3"/>
  <c r="B78" i="3"/>
  <c r="G82" i="3"/>
  <c r="B86" i="3"/>
  <c r="G90" i="3"/>
  <c r="B94" i="3"/>
  <c r="G98" i="3"/>
  <c r="B102" i="3"/>
  <c r="G106" i="3"/>
  <c r="B110" i="3"/>
  <c r="G114" i="3"/>
  <c r="B118" i="3"/>
  <c r="H123" i="3"/>
  <c r="T10" i="6"/>
  <c r="AL10" i="6" s="1"/>
  <c r="T14" i="6"/>
  <c r="AR22" i="6"/>
  <c r="AR30" i="6"/>
  <c r="AR38" i="6"/>
  <c r="AR46" i="6"/>
  <c r="AR54" i="6"/>
  <c r="AR62" i="6"/>
  <c r="AR70" i="6"/>
  <c r="AR78" i="6"/>
  <c r="AR86" i="6"/>
  <c r="AR94" i="6"/>
  <c r="I35" i="3"/>
  <c r="J39" i="3"/>
  <c r="R20" i="6" s="1"/>
  <c r="S20" i="6" s="1"/>
  <c r="J47" i="3"/>
  <c r="R28" i="6" s="1"/>
  <c r="S28" i="6" s="1"/>
  <c r="J55" i="3"/>
  <c r="R36" i="6" s="1"/>
  <c r="S36" i="6" s="1"/>
  <c r="J63" i="3"/>
  <c r="R44" i="6" s="1"/>
  <c r="S44" i="6" s="1"/>
  <c r="J71" i="3"/>
  <c r="R52" i="6" s="1"/>
  <c r="S52" i="6" s="1"/>
  <c r="J79" i="3"/>
  <c r="R60" i="6" s="1"/>
  <c r="S60" i="6" s="1"/>
  <c r="J87" i="3"/>
  <c r="R68" i="6" s="1"/>
  <c r="S68" i="6" s="1"/>
  <c r="J95" i="3"/>
  <c r="R76" i="6" s="1"/>
  <c r="S76" i="6" s="1"/>
  <c r="J103" i="3"/>
  <c r="R84" i="6" s="1"/>
  <c r="S84" i="6" s="1"/>
  <c r="J111" i="3"/>
  <c r="R92" i="6" s="1"/>
  <c r="S92" i="6" s="1"/>
  <c r="H120" i="3"/>
  <c r="G31" i="3"/>
  <c r="J42" i="3"/>
  <c r="R23" i="6" s="1"/>
  <c r="S23" i="6" s="1"/>
  <c r="J50" i="3"/>
  <c r="R31" i="6" s="1"/>
  <c r="S31" i="6" s="1"/>
  <c r="J58" i="3"/>
  <c r="R39" i="6" s="1"/>
  <c r="S39" i="6" s="1"/>
  <c r="J66" i="3"/>
  <c r="R47" i="6" s="1"/>
  <c r="S47" i="6" s="1"/>
  <c r="J74" i="3"/>
  <c r="R55" i="6" s="1"/>
  <c r="S55" i="6" s="1"/>
  <c r="J82" i="3"/>
  <c r="R63" i="6" s="1"/>
  <c r="S63" i="6" s="1"/>
  <c r="J90" i="3"/>
  <c r="R71" i="6" s="1"/>
  <c r="S71" i="6" s="1"/>
  <c r="J98" i="3"/>
  <c r="R79" i="6" s="1"/>
  <c r="S79" i="6" s="1"/>
  <c r="J106" i="3"/>
  <c r="R87" i="6" s="1"/>
  <c r="S87" i="6" s="1"/>
  <c r="J114" i="3"/>
  <c r="R95" i="6" s="1"/>
  <c r="S95" i="6" s="1"/>
  <c r="T103" i="6"/>
  <c r="Y103" i="6" s="1"/>
  <c r="P122" i="3" s="1"/>
  <c r="D120" i="3"/>
  <c r="E124" i="3"/>
  <c r="J129" i="3"/>
  <c r="R110" i="6" s="1"/>
  <c r="S110" i="6" s="1"/>
  <c r="J145" i="3"/>
  <c r="R126" i="6" s="1"/>
  <c r="S126" i="6" s="1"/>
  <c r="J161" i="3"/>
  <c r="R142" i="6" s="1"/>
  <c r="S142" i="6" s="1"/>
  <c r="J177" i="3"/>
  <c r="R158" i="6" s="1"/>
  <c r="S158" i="6" s="1"/>
  <c r="J193" i="3"/>
  <c r="R174" i="6" s="1"/>
  <c r="S174" i="6" s="1"/>
  <c r="J209" i="3"/>
  <c r="R190" i="6" s="1"/>
  <c r="S190" i="6" s="1"/>
  <c r="J225" i="3"/>
  <c r="R206" i="6" s="1"/>
  <c r="S206" i="6" s="1"/>
  <c r="G245" i="3"/>
  <c r="G265" i="3"/>
  <c r="T265" i="6"/>
  <c r="X265" i="6" s="1"/>
  <c r="B125" i="3"/>
  <c r="AR112" i="6"/>
  <c r="H134" i="3"/>
  <c r="H142" i="3"/>
  <c r="B147" i="3"/>
  <c r="B151" i="3"/>
  <c r="AR136" i="6"/>
  <c r="G160" i="3"/>
  <c r="H164" i="3"/>
  <c r="AR150" i="6"/>
  <c r="H174" i="3"/>
  <c r="AR160" i="6"/>
  <c r="H184" i="3"/>
  <c r="B195" i="3"/>
  <c r="H206" i="3"/>
  <c r="B213" i="3"/>
  <c r="AR200" i="6"/>
  <c r="G226" i="3"/>
  <c r="I250" i="3"/>
  <c r="T271" i="6"/>
  <c r="X271" i="6" s="1"/>
  <c r="I168" i="3"/>
  <c r="I184" i="3"/>
  <c r="I200" i="3"/>
  <c r="I216" i="3"/>
  <c r="I232" i="3"/>
  <c r="T237" i="6"/>
  <c r="T118" i="6"/>
  <c r="B137" i="3"/>
  <c r="AR124" i="6"/>
  <c r="H146" i="3"/>
  <c r="G150" i="3"/>
  <c r="B153" i="3"/>
  <c r="AR140" i="6"/>
  <c r="H162" i="3"/>
  <c r="G166" i="3"/>
  <c r="B169" i="3"/>
  <c r="AR156" i="6"/>
  <c r="H178" i="3"/>
  <c r="G182" i="3"/>
  <c r="B185" i="3"/>
  <c r="AR172" i="6"/>
  <c r="H194" i="3"/>
  <c r="G198" i="3"/>
  <c r="B201" i="3"/>
  <c r="AR188" i="6"/>
  <c r="H210" i="3"/>
  <c r="G214" i="3"/>
  <c r="B217" i="3"/>
  <c r="AR204" i="6"/>
  <c r="H226" i="3"/>
  <c r="G230" i="3"/>
  <c r="B233" i="3"/>
  <c r="J240" i="3"/>
  <c r="R221" i="6" s="1"/>
  <c r="S221" i="6" s="1"/>
  <c r="H245" i="3"/>
  <c r="B252" i="3"/>
  <c r="J264" i="3"/>
  <c r="R245" i="6" s="1"/>
  <c r="S245" i="6" s="1"/>
  <c r="E276" i="3"/>
  <c r="G124" i="3"/>
  <c r="H242" i="3"/>
  <c r="G247" i="3"/>
  <c r="E133" i="3"/>
  <c r="E137" i="3"/>
  <c r="E141" i="3"/>
  <c r="E145" i="3"/>
  <c r="E149" i="3"/>
  <c r="E153" i="3"/>
  <c r="E157" i="3"/>
  <c r="E161" i="3"/>
  <c r="E165" i="3"/>
  <c r="E169" i="3"/>
  <c r="E173" i="3"/>
  <c r="E177" i="3"/>
  <c r="E181" i="3"/>
  <c r="E185" i="3"/>
  <c r="E189" i="3"/>
  <c r="E193" i="3"/>
  <c r="E197" i="3"/>
  <c r="E201" i="3"/>
  <c r="E205" i="3"/>
  <c r="E209" i="3"/>
  <c r="E213" i="3"/>
  <c r="E217" i="3"/>
  <c r="E221" i="3"/>
  <c r="E225" i="3"/>
  <c r="E229" i="3"/>
  <c r="E233" i="3"/>
  <c r="J238" i="3"/>
  <c r="R219" i="6" s="1"/>
  <c r="S219" i="6" s="1"/>
  <c r="G243" i="3"/>
  <c r="T229" i="6"/>
  <c r="V229" i="6" s="1"/>
  <c r="M248" i="3" s="1"/>
  <c r="D261" i="3"/>
  <c r="T251" i="6"/>
  <c r="X251" i="6" s="1"/>
  <c r="E288" i="3"/>
  <c r="H122" i="3"/>
  <c r="J138" i="3"/>
  <c r="R119" i="6" s="1"/>
  <c r="S119" i="6" s="1"/>
  <c r="J154" i="3"/>
  <c r="R135" i="6" s="1"/>
  <c r="S135" i="6" s="1"/>
  <c r="J170" i="3"/>
  <c r="R151" i="6" s="1"/>
  <c r="S151" i="6" s="1"/>
  <c r="J186" i="3"/>
  <c r="R167" i="6" s="1"/>
  <c r="S167" i="6" s="1"/>
  <c r="J202" i="3"/>
  <c r="R183" i="6" s="1"/>
  <c r="S183" i="6" s="1"/>
  <c r="J218" i="3"/>
  <c r="R199" i="6" s="1"/>
  <c r="S199" i="6" s="1"/>
  <c r="J234" i="3"/>
  <c r="R215" i="6" s="1"/>
  <c r="S215" i="6" s="1"/>
  <c r="H240" i="3"/>
  <c r="T226" i="6"/>
  <c r="X226" i="6" s="1"/>
  <c r="J256" i="3"/>
  <c r="R237" i="6" s="1"/>
  <c r="S237" i="6" s="1"/>
  <c r="J270" i="3"/>
  <c r="R251" i="6" s="1"/>
  <c r="S251" i="6" s="1"/>
  <c r="T104" i="6"/>
  <c r="X104" i="6" s="1"/>
  <c r="Z104" i="6" s="1"/>
  <c r="H131" i="3"/>
  <c r="H135" i="3"/>
  <c r="B140" i="3"/>
  <c r="AR125" i="6"/>
  <c r="AR129" i="6"/>
  <c r="G153" i="3"/>
  <c r="AR143" i="6"/>
  <c r="G169" i="3"/>
  <c r="H181" i="3"/>
  <c r="B188" i="3"/>
  <c r="AR175" i="6"/>
  <c r="G201" i="3"/>
  <c r="H213" i="3"/>
  <c r="B220" i="3"/>
  <c r="AR207" i="6"/>
  <c r="G233" i="3"/>
  <c r="D240" i="3"/>
  <c r="D251" i="3"/>
  <c r="J268" i="3"/>
  <c r="R249" i="6" s="1"/>
  <c r="S249" i="6" s="1"/>
  <c r="I133" i="3"/>
  <c r="I141" i="3"/>
  <c r="I149" i="3"/>
  <c r="I157" i="3"/>
  <c r="I165" i="3"/>
  <c r="I173" i="3"/>
  <c r="I181" i="3"/>
  <c r="I189" i="3"/>
  <c r="I197" i="3"/>
  <c r="I205" i="3"/>
  <c r="I221" i="3"/>
  <c r="E154" i="3"/>
  <c r="D175" i="3"/>
  <c r="E218" i="3"/>
  <c r="T122" i="6"/>
  <c r="T126" i="6"/>
  <c r="T130" i="6"/>
  <c r="T134" i="6"/>
  <c r="T138" i="6"/>
  <c r="V138" i="6" s="1"/>
  <c r="M157" i="3" s="1"/>
  <c r="T142" i="6"/>
  <c r="X142" i="6" s="1"/>
  <c r="T146" i="6"/>
  <c r="AL146" i="6" s="1"/>
  <c r="T150" i="6"/>
  <c r="T154" i="6"/>
  <c r="T158" i="6"/>
  <c r="X158" i="6" s="1"/>
  <c r="T162" i="6"/>
  <c r="T166" i="6"/>
  <c r="T170" i="6"/>
  <c r="V170" i="6" s="1"/>
  <c r="M189" i="3" s="1"/>
  <c r="T174" i="6"/>
  <c r="T178" i="6"/>
  <c r="AL178" i="6" s="1"/>
  <c r="T182" i="6"/>
  <c r="T186" i="6"/>
  <c r="T190" i="6"/>
  <c r="X190" i="6" s="1"/>
  <c r="T194" i="6"/>
  <c r="T198" i="6"/>
  <c r="T202" i="6"/>
  <c r="AB202" i="6" s="1"/>
  <c r="T206" i="6"/>
  <c r="X206" i="6" s="1"/>
  <c r="T210" i="6"/>
  <c r="AL210" i="6" s="1"/>
  <c r="T214" i="6"/>
  <c r="AR220" i="6"/>
  <c r="J243" i="3"/>
  <c r="R224" i="6" s="1"/>
  <c r="S224" i="6" s="1"/>
  <c r="J262" i="3"/>
  <c r="R243" i="6" s="1"/>
  <c r="S243" i="6" s="1"/>
  <c r="E272" i="3"/>
  <c r="I119" i="3"/>
  <c r="J128" i="3"/>
  <c r="R109" i="6" s="1"/>
  <c r="S109" i="6" s="1"/>
  <c r="J144" i="3"/>
  <c r="R125" i="6" s="1"/>
  <c r="S125" i="6" s="1"/>
  <c r="J160" i="3"/>
  <c r="R141" i="6" s="1"/>
  <c r="S141" i="6" s="1"/>
  <c r="J176" i="3"/>
  <c r="R157" i="6" s="1"/>
  <c r="S157" i="6" s="1"/>
  <c r="J192" i="3"/>
  <c r="R173" i="6" s="1"/>
  <c r="S173" i="6" s="1"/>
  <c r="J208" i="3"/>
  <c r="R189" i="6" s="1"/>
  <c r="S189" i="6" s="1"/>
  <c r="J224" i="3"/>
  <c r="R205" i="6" s="1"/>
  <c r="S205" i="6" s="1"/>
  <c r="E246" i="3"/>
  <c r="T234" i="6"/>
  <c r="I256" i="3"/>
  <c r="D289" i="3"/>
  <c r="J124" i="3"/>
  <c r="R105" i="6" s="1"/>
  <c r="S105" i="6" s="1"/>
  <c r="H127" i="3"/>
  <c r="B132" i="3"/>
  <c r="AR117" i="6"/>
  <c r="AR121" i="6"/>
  <c r="G145" i="3"/>
  <c r="H157" i="3"/>
  <c r="G163" i="3"/>
  <c r="H175" i="3"/>
  <c r="B182" i="3"/>
  <c r="AR169" i="6"/>
  <c r="G195" i="3"/>
  <c r="H207" i="3"/>
  <c r="B214" i="3"/>
  <c r="AR201" i="6"/>
  <c r="G227" i="3"/>
  <c r="E156" i="3"/>
  <c r="D177" i="3"/>
  <c r="E220" i="3"/>
  <c r="E249" i="3"/>
  <c r="J274" i="3"/>
  <c r="R255" i="6" s="1"/>
  <c r="S255" i="6" s="1"/>
  <c r="AR221" i="6"/>
  <c r="I244" i="3"/>
  <c r="B264" i="3"/>
  <c r="J134" i="3"/>
  <c r="R115" i="6" s="1"/>
  <c r="S115" i="6" s="1"/>
  <c r="J150" i="3"/>
  <c r="R131" i="6" s="1"/>
  <c r="S131" i="6" s="1"/>
  <c r="J166" i="3"/>
  <c r="R147" i="6" s="1"/>
  <c r="S147" i="6" s="1"/>
  <c r="J182" i="3"/>
  <c r="R163" i="6" s="1"/>
  <c r="S163" i="6" s="1"/>
  <c r="J198" i="3"/>
  <c r="R179" i="6" s="1"/>
  <c r="S179" i="6" s="1"/>
  <c r="J214" i="3"/>
  <c r="R195" i="6" s="1"/>
  <c r="S195" i="6" s="1"/>
  <c r="J230" i="3"/>
  <c r="R211" i="6" s="1"/>
  <c r="S211" i="6" s="1"/>
  <c r="E241" i="3"/>
  <c r="J246" i="3"/>
  <c r="R227" i="6" s="1"/>
  <c r="S227" i="6" s="1"/>
  <c r="E254" i="3"/>
  <c r="D273" i="3"/>
  <c r="G125" i="3"/>
  <c r="AR109" i="6"/>
  <c r="AR113" i="6"/>
  <c r="G137" i="3"/>
  <c r="H149" i="3"/>
  <c r="B154" i="3"/>
  <c r="B158" i="3"/>
  <c r="H163" i="3"/>
  <c r="B170" i="3"/>
  <c r="AR157" i="6"/>
  <c r="G183" i="3"/>
  <c r="H195" i="3"/>
  <c r="B202" i="3"/>
  <c r="AR189" i="6"/>
  <c r="G215" i="3"/>
  <c r="H227" i="3"/>
  <c r="B234" i="3"/>
  <c r="G242" i="3"/>
  <c r="E256" i="3"/>
  <c r="I209" i="3"/>
  <c r="E248" i="3"/>
  <c r="E138" i="3"/>
  <c r="D159" i="3"/>
  <c r="E202" i="3"/>
  <c r="D223" i="3"/>
  <c r="G164" i="3"/>
  <c r="B167" i="3"/>
  <c r="AR154" i="6"/>
  <c r="H176" i="3"/>
  <c r="G180" i="3"/>
  <c r="B183" i="3"/>
  <c r="AR170" i="6"/>
  <c r="H192" i="3"/>
  <c r="G196" i="3"/>
  <c r="B199" i="3"/>
  <c r="AR186" i="6"/>
  <c r="H208" i="3"/>
  <c r="G212" i="3"/>
  <c r="B215" i="3"/>
  <c r="AR202" i="6"/>
  <c r="H224" i="3"/>
  <c r="G228" i="3"/>
  <c r="B231" i="3"/>
  <c r="E243" i="3"/>
  <c r="H253" i="3"/>
  <c r="H259" i="3"/>
  <c r="H267" i="3"/>
  <c r="E258" i="3"/>
  <c r="D130" i="3"/>
  <c r="D134" i="3"/>
  <c r="D138" i="3"/>
  <c r="D142" i="3"/>
  <c r="D146" i="3"/>
  <c r="D150" i="3"/>
  <c r="D154" i="3"/>
  <c r="D158" i="3"/>
  <c r="D162" i="3"/>
  <c r="D166" i="3"/>
  <c r="D170" i="3"/>
  <c r="D174" i="3"/>
  <c r="D178" i="3"/>
  <c r="D182" i="3"/>
  <c r="D186" i="3"/>
  <c r="D190" i="3"/>
  <c r="D194" i="3"/>
  <c r="D198" i="3"/>
  <c r="D202" i="3"/>
  <c r="D206" i="3"/>
  <c r="D210" i="3"/>
  <c r="D214" i="3"/>
  <c r="D218" i="3"/>
  <c r="D222" i="3"/>
  <c r="D226" i="3"/>
  <c r="D230" i="3"/>
  <c r="D234" i="3"/>
  <c r="T222" i="6"/>
  <c r="U222" i="6" s="1"/>
  <c r="L241" i="3" s="1"/>
  <c r="D249" i="3"/>
  <c r="AO230" i="6"/>
  <c r="J280" i="3"/>
  <c r="R261" i="6" s="1"/>
  <c r="S261" i="6" s="1"/>
  <c r="E120" i="3"/>
  <c r="D124" i="3"/>
  <c r="J140" i="3"/>
  <c r="R121" i="6" s="1"/>
  <c r="S121" i="6" s="1"/>
  <c r="J156" i="3"/>
  <c r="R137" i="6" s="1"/>
  <c r="S137" i="6" s="1"/>
  <c r="J172" i="3"/>
  <c r="R153" i="6" s="1"/>
  <c r="S153" i="6" s="1"/>
  <c r="J188" i="3"/>
  <c r="R169" i="6" s="1"/>
  <c r="S169" i="6" s="1"/>
  <c r="J204" i="3"/>
  <c r="R185" i="6" s="1"/>
  <c r="S185" i="6" s="1"/>
  <c r="J220" i="3"/>
  <c r="R201" i="6" s="1"/>
  <c r="S201" i="6" s="1"/>
  <c r="J236" i="3"/>
  <c r="R217" i="6" s="1"/>
  <c r="S217" i="6" s="1"/>
  <c r="J254" i="3"/>
  <c r="R235" i="6" s="1"/>
  <c r="S235" i="6" s="1"/>
  <c r="T241" i="6"/>
  <c r="X241" i="6" s="1"/>
  <c r="T273" i="6"/>
  <c r="X273" i="6" s="1"/>
  <c r="G129" i="3"/>
  <c r="H141" i="3"/>
  <c r="B146" i="3"/>
  <c r="B150" i="3"/>
  <c r="AR135" i="6"/>
  <c r="G159" i="3"/>
  <c r="AR145" i="6"/>
  <c r="G171" i="3"/>
  <c r="H183" i="3"/>
  <c r="B190" i="3"/>
  <c r="AR177" i="6"/>
  <c r="G203" i="3"/>
  <c r="H215" i="3"/>
  <c r="B222" i="3"/>
  <c r="AR209" i="6"/>
  <c r="G235" i="3"/>
  <c r="D243" i="3"/>
  <c r="AR239" i="6"/>
  <c r="G251" i="3"/>
  <c r="E140" i="3"/>
  <c r="D161" i="3"/>
  <c r="E204" i="3"/>
  <c r="D225" i="3"/>
  <c r="H138" i="3"/>
  <c r="G142" i="3"/>
  <c r="B145" i="3"/>
  <c r="AR132" i="6"/>
  <c r="H154" i="3"/>
  <c r="G158" i="3"/>
  <c r="B161" i="3"/>
  <c r="AR148" i="6"/>
  <c r="H170" i="3"/>
  <c r="G174" i="3"/>
  <c r="B177" i="3"/>
  <c r="AR164" i="6"/>
  <c r="H186" i="3"/>
  <c r="G190" i="3"/>
  <c r="B193" i="3"/>
  <c r="AR180" i="6"/>
  <c r="H202" i="3"/>
  <c r="G206" i="3"/>
  <c r="B209" i="3"/>
  <c r="AR196" i="6"/>
  <c r="H218" i="3"/>
  <c r="G222" i="3"/>
  <c r="B225" i="3"/>
  <c r="AR212" i="6"/>
  <c r="H234" i="3"/>
  <c r="D247" i="3"/>
  <c r="T235" i="6"/>
  <c r="D287" i="3"/>
  <c r="B241" i="3"/>
  <c r="E244" i="3"/>
  <c r="T232" i="6"/>
  <c r="X232" i="6" s="1"/>
  <c r="D277" i="3"/>
  <c r="E131" i="3"/>
  <c r="E135" i="3"/>
  <c r="E139" i="3"/>
  <c r="E143" i="3"/>
  <c r="E147" i="3"/>
  <c r="E151" i="3"/>
  <c r="E155" i="3"/>
  <c r="E159" i="3"/>
  <c r="E163" i="3"/>
  <c r="E167" i="3"/>
  <c r="E171" i="3"/>
  <c r="E175" i="3"/>
  <c r="E179" i="3"/>
  <c r="E183" i="3"/>
  <c r="E187" i="3"/>
  <c r="E191" i="3"/>
  <c r="E195" i="3"/>
  <c r="E199" i="3"/>
  <c r="E203" i="3"/>
  <c r="E207" i="3"/>
  <c r="E211" i="3"/>
  <c r="E215" i="3"/>
  <c r="E219" i="3"/>
  <c r="E223" i="3"/>
  <c r="E227" i="3"/>
  <c r="E231" i="3"/>
  <c r="E235" i="3"/>
  <c r="E242" i="3"/>
  <c r="B246" i="3"/>
  <c r="H257" i="3"/>
  <c r="H265" i="3"/>
  <c r="T101" i="6"/>
  <c r="X101" i="6" s="1"/>
  <c r="J130" i="3"/>
  <c r="R111" i="6" s="1"/>
  <c r="S111" i="6" s="1"/>
  <c r="J146" i="3"/>
  <c r="R127" i="6" s="1"/>
  <c r="S127" i="6" s="1"/>
  <c r="J162" i="3"/>
  <c r="R143" i="6" s="1"/>
  <c r="S143" i="6" s="1"/>
  <c r="J178" i="3"/>
  <c r="R159" i="6" s="1"/>
  <c r="S159" i="6" s="1"/>
  <c r="J194" i="3"/>
  <c r="R175" i="6" s="1"/>
  <c r="S175" i="6" s="1"/>
  <c r="J210" i="3"/>
  <c r="R191" i="6" s="1"/>
  <c r="S191" i="6" s="1"/>
  <c r="J226" i="3"/>
  <c r="R207" i="6" s="1"/>
  <c r="S207" i="6" s="1"/>
  <c r="B239" i="3"/>
  <c r="H241" i="3"/>
  <c r="I254" i="3"/>
  <c r="G261" i="3"/>
  <c r="T257" i="6"/>
  <c r="X257" i="6" s="1"/>
  <c r="H125" i="3"/>
  <c r="H133" i="3"/>
  <c r="B138" i="3"/>
  <c r="B142" i="3"/>
  <c r="AR127" i="6"/>
  <c r="G151" i="3"/>
  <c r="G155" i="3"/>
  <c r="H165" i="3"/>
  <c r="B172" i="3"/>
  <c r="AR159" i="6"/>
  <c r="G185" i="3"/>
  <c r="H197" i="3"/>
  <c r="B204" i="3"/>
  <c r="AR191" i="6"/>
  <c r="G217" i="3"/>
  <c r="H229" i="3"/>
  <c r="B236" i="3"/>
  <c r="J260" i="3"/>
  <c r="R241" i="6" s="1"/>
  <c r="S241" i="6" s="1"/>
  <c r="I137" i="3"/>
  <c r="I145" i="3"/>
  <c r="I153" i="3"/>
  <c r="I161" i="3"/>
  <c r="I169" i="3"/>
  <c r="I177" i="3"/>
  <c r="I185" i="3"/>
  <c r="I193" i="3"/>
  <c r="I201" i="3"/>
  <c r="I213" i="3"/>
  <c r="I231" i="3"/>
  <c r="T239" i="6"/>
  <c r="X239" i="6" s="1"/>
  <c r="Z239" i="6" s="1"/>
  <c r="D143" i="3"/>
  <c r="E186" i="3"/>
  <c r="D207" i="3"/>
  <c r="T120" i="6"/>
  <c r="T124" i="6"/>
  <c r="Y124" i="6" s="1"/>
  <c r="P143" i="3" s="1"/>
  <c r="T128" i="6"/>
  <c r="T132" i="6"/>
  <c r="T136" i="6"/>
  <c r="U136" i="6" s="1"/>
  <c r="L155" i="3" s="1"/>
  <c r="T140" i="6"/>
  <c r="Y140" i="6" s="1"/>
  <c r="P159" i="3" s="1"/>
  <c r="T144" i="6"/>
  <c r="X144" i="6" s="1"/>
  <c r="T148" i="6"/>
  <c r="T152" i="6"/>
  <c r="T156" i="6"/>
  <c r="X156" i="6" s="1"/>
  <c r="T160" i="6"/>
  <c r="T164" i="6"/>
  <c r="T168" i="6"/>
  <c r="V168" i="6" s="1"/>
  <c r="M187" i="3" s="1"/>
  <c r="T172" i="6"/>
  <c r="Y172" i="6" s="1"/>
  <c r="P191" i="3" s="1"/>
  <c r="T176" i="6"/>
  <c r="T180" i="6"/>
  <c r="T184" i="6"/>
  <c r="T188" i="6"/>
  <c r="Y188" i="6" s="1"/>
  <c r="P207" i="3" s="1"/>
  <c r="T192" i="6"/>
  <c r="X192" i="6" s="1"/>
  <c r="T196" i="6"/>
  <c r="T200" i="6"/>
  <c r="V200" i="6" s="1"/>
  <c r="M219" i="3" s="1"/>
  <c r="T204" i="6"/>
  <c r="Y204" i="6" s="1"/>
  <c r="P223" i="3" s="1"/>
  <c r="T208" i="6"/>
  <c r="T212" i="6"/>
  <c r="T216" i="6"/>
  <c r="I252" i="3"/>
  <c r="D283" i="3"/>
  <c r="J121" i="3"/>
  <c r="R102" i="6" s="1"/>
  <c r="S102" i="6" s="1"/>
  <c r="J136" i="3"/>
  <c r="R117" i="6" s="1"/>
  <c r="S117" i="6" s="1"/>
  <c r="J152" i="3"/>
  <c r="R133" i="6" s="1"/>
  <c r="S133" i="6" s="1"/>
  <c r="J168" i="3"/>
  <c r="R149" i="6" s="1"/>
  <c r="S149" i="6" s="1"/>
  <c r="J184" i="3"/>
  <c r="R165" i="6" s="1"/>
  <c r="S165" i="6" s="1"/>
  <c r="J200" i="3"/>
  <c r="R181" i="6" s="1"/>
  <c r="S181" i="6" s="1"/>
  <c r="J216" i="3"/>
  <c r="R197" i="6" s="1"/>
  <c r="S197" i="6" s="1"/>
  <c r="J232" i="3"/>
  <c r="R213" i="6" s="1"/>
  <c r="S213" i="6" s="1"/>
  <c r="D241" i="3"/>
  <c r="G249" i="3"/>
  <c r="E264" i="3"/>
  <c r="E278" i="3"/>
  <c r="I122" i="3"/>
  <c r="B126" i="3"/>
  <c r="B130" i="3"/>
  <c r="B134" i="3"/>
  <c r="AR119" i="6"/>
  <c r="G143" i="3"/>
  <c r="G147" i="3"/>
  <c r="H155" i="3"/>
  <c r="H159" i="3"/>
  <c r="B166" i="3"/>
  <c r="AR153" i="6"/>
  <c r="G179" i="3"/>
  <c r="H191" i="3"/>
  <c r="B198" i="3"/>
  <c r="AR185" i="6"/>
  <c r="G211" i="3"/>
  <c r="H223" i="3"/>
  <c r="B230" i="3"/>
  <c r="AR217" i="6"/>
  <c r="B248" i="3"/>
  <c r="B262" i="3"/>
  <c r="J292" i="3"/>
  <c r="R273" i="6" s="1"/>
  <c r="S273" i="6" s="1"/>
  <c r="I233" i="3"/>
  <c r="T247" i="6"/>
  <c r="X247" i="6" s="1"/>
  <c r="D145" i="3"/>
  <c r="E188" i="3"/>
  <c r="D209" i="3"/>
  <c r="B242" i="3"/>
  <c r="J252" i="3"/>
  <c r="R233" i="6" s="1"/>
  <c r="S233" i="6" s="1"/>
  <c r="G263" i="3"/>
  <c r="T261" i="6"/>
  <c r="X261" i="6" s="1"/>
  <c r="I242" i="3"/>
  <c r="D246" i="3"/>
  <c r="AR241" i="6"/>
  <c r="AR249" i="6"/>
  <c r="G122" i="3"/>
  <c r="J126" i="3"/>
  <c r="R107" i="6" s="1"/>
  <c r="S107" i="6" s="1"/>
  <c r="J142" i="3"/>
  <c r="R123" i="6" s="1"/>
  <c r="S123" i="6" s="1"/>
  <c r="J158" i="3"/>
  <c r="R139" i="6" s="1"/>
  <c r="S139" i="6" s="1"/>
  <c r="J174" i="3"/>
  <c r="R155" i="6" s="1"/>
  <c r="S155" i="6" s="1"/>
  <c r="J190" i="3"/>
  <c r="R171" i="6" s="1"/>
  <c r="S171" i="6" s="1"/>
  <c r="J206" i="3"/>
  <c r="R187" i="6" s="1"/>
  <c r="S187" i="6" s="1"/>
  <c r="J222" i="3"/>
  <c r="R203" i="6" s="1"/>
  <c r="S203" i="6" s="1"/>
  <c r="B240" i="3"/>
  <c r="AR231" i="6"/>
  <c r="H255" i="3"/>
  <c r="AR107" i="6"/>
  <c r="AR111" i="6"/>
  <c r="G135" i="3"/>
  <c r="G139" i="3"/>
  <c r="H147" i="3"/>
  <c r="H151" i="3"/>
  <c r="B156" i="3"/>
  <c r="AR141" i="6"/>
  <c r="G167" i="3"/>
  <c r="H179" i="3"/>
  <c r="B186" i="3"/>
  <c r="AR173" i="6"/>
  <c r="G199" i="3"/>
  <c r="H211" i="3"/>
  <c r="B218" i="3"/>
  <c r="AR205" i="6"/>
  <c r="G231" i="3"/>
  <c r="AR219" i="6"/>
  <c r="D248" i="3"/>
  <c r="H263" i="3"/>
  <c r="I217" i="3"/>
  <c r="E170" i="3"/>
  <c r="D191" i="3"/>
  <c r="E234" i="3"/>
  <c r="H200" i="3"/>
  <c r="G204" i="3"/>
  <c r="B207" i="3"/>
  <c r="AR194" i="6"/>
  <c r="H216" i="3"/>
  <c r="G220" i="3"/>
  <c r="B223" i="3"/>
  <c r="AR210" i="6"/>
  <c r="H232" i="3"/>
  <c r="G236" i="3"/>
  <c r="J239" i="3"/>
  <c r="R220" i="6" s="1"/>
  <c r="S220" i="6" s="1"/>
  <c r="D244" i="3"/>
  <c r="AR237" i="6"/>
  <c r="D263" i="3"/>
  <c r="T255" i="6"/>
  <c r="X255" i="6" s="1"/>
  <c r="E292" i="3"/>
  <c r="T223" i="6"/>
  <c r="E266" i="3"/>
  <c r="E282" i="3"/>
  <c r="D132" i="3"/>
  <c r="D136" i="3"/>
  <c r="AO117" i="6"/>
  <c r="D140" i="3"/>
  <c r="D144" i="3"/>
  <c r="D148" i="3"/>
  <c r="D152" i="3"/>
  <c r="AO133" i="6"/>
  <c r="D156" i="3"/>
  <c r="D160" i="3"/>
  <c r="D164" i="3"/>
  <c r="D168" i="3"/>
  <c r="AO149" i="6"/>
  <c r="D172" i="3"/>
  <c r="D176" i="3"/>
  <c r="D180" i="3"/>
  <c r="D184" i="3"/>
  <c r="AO165" i="6"/>
  <c r="D188" i="3"/>
  <c r="D192" i="3"/>
  <c r="D196" i="3"/>
  <c r="D200" i="3"/>
  <c r="AO181" i="6"/>
  <c r="D204" i="3"/>
  <c r="D208" i="3"/>
  <c r="D212" i="3"/>
  <c r="D216" i="3"/>
  <c r="AO197" i="6"/>
  <c r="D220" i="3"/>
  <c r="D224" i="3"/>
  <c r="D228" i="3"/>
  <c r="D232" i="3"/>
  <c r="AO213" i="6"/>
  <c r="J237" i="3"/>
  <c r="R218" i="6" s="1"/>
  <c r="S218" i="6" s="1"/>
  <c r="D242" i="3"/>
  <c r="H247" i="3"/>
  <c r="B254" i="3"/>
  <c r="T267" i="6"/>
  <c r="X267" i="6" s="1"/>
  <c r="J132" i="3"/>
  <c r="R113" i="6" s="1"/>
  <c r="S113" i="6" s="1"/>
  <c r="J148" i="3"/>
  <c r="R129" i="6" s="1"/>
  <c r="S129" i="6" s="1"/>
  <c r="J164" i="3"/>
  <c r="R145" i="6" s="1"/>
  <c r="S145" i="6" s="1"/>
  <c r="J180" i="3"/>
  <c r="R161" i="6" s="1"/>
  <c r="S161" i="6" s="1"/>
  <c r="J196" i="3"/>
  <c r="R177" i="6" s="1"/>
  <c r="S177" i="6" s="1"/>
  <c r="J212" i="3"/>
  <c r="R193" i="6" s="1"/>
  <c r="S193" i="6" s="1"/>
  <c r="J228" i="3"/>
  <c r="R209" i="6" s="1"/>
  <c r="S209" i="6" s="1"/>
  <c r="T221" i="6"/>
  <c r="E251" i="3"/>
  <c r="B256" i="3"/>
  <c r="T249" i="6"/>
  <c r="X249" i="6" s="1"/>
  <c r="J286" i="3"/>
  <c r="R267" i="6" s="1"/>
  <c r="S267" i="6" s="1"/>
  <c r="E123" i="3"/>
  <c r="G127" i="3"/>
  <c r="G131" i="3"/>
  <c r="H139" i="3"/>
  <c r="H143" i="3"/>
  <c r="B148" i="3"/>
  <c r="AR133" i="6"/>
  <c r="AR137" i="6"/>
  <c r="H167" i="3"/>
  <c r="B174" i="3"/>
  <c r="AR161" i="6"/>
  <c r="G187" i="3"/>
  <c r="H199" i="3"/>
  <c r="B206" i="3"/>
  <c r="AR193" i="6"/>
  <c r="G219" i="3"/>
  <c r="H231" i="3"/>
  <c r="E240" i="3"/>
  <c r="T231" i="6"/>
  <c r="AL231" i="6" s="1"/>
  <c r="AR247" i="6"/>
  <c r="T219" i="6"/>
  <c r="E172" i="3"/>
  <c r="D193" i="3"/>
  <c r="E236" i="3"/>
  <c r="B128" i="3"/>
  <c r="AR115" i="6"/>
  <c r="H137" i="3"/>
  <c r="G141" i="3"/>
  <c r="B144" i="3"/>
  <c r="AR131" i="6"/>
  <c r="H153" i="3"/>
  <c r="G157" i="3"/>
  <c r="B160" i="3"/>
  <c r="AR147" i="6"/>
  <c r="H169" i="3"/>
  <c r="G173" i="3"/>
  <c r="B176" i="3"/>
  <c r="AR163" i="6"/>
  <c r="H185" i="3"/>
  <c r="G189" i="3"/>
  <c r="B192" i="3"/>
  <c r="AR179" i="6"/>
  <c r="H201" i="3"/>
  <c r="G205" i="3"/>
  <c r="B208" i="3"/>
  <c r="AR195" i="6"/>
  <c r="H217" i="3"/>
  <c r="G221" i="3"/>
  <c r="B224" i="3"/>
  <c r="AR211" i="6"/>
  <c r="H233" i="3"/>
  <c r="AR218" i="6"/>
  <c r="J276" i="3"/>
  <c r="R257" i="6" s="1"/>
  <c r="S257" i="6" s="1"/>
  <c r="I227" i="3"/>
  <c r="B238" i="3"/>
  <c r="D285" i="3"/>
  <c r="E134" i="3"/>
  <c r="D139" i="3"/>
  <c r="AO120" i="6"/>
  <c r="E150" i="3"/>
  <c r="D155" i="3"/>
  <c r="AO136" i="6"/>
  <c r="E166" i="3"/>
  <c r="D171" i="3"/>
  <c r="AO152" i="6"/>
  <c r="E182" i="3"/>
  <c r="D187" i="3"/>
  <c r="AO168" i="6"/>
  <c r="E198" i="3"/>
  <c r="D203" i="3"/>
  <c r="AO184" i="6"/>
  <c r="E214" i="3"/>
  <c r="D219" i="3"/>
  <c r="AO200" i="6"/>
  <c r="E230" i="3"/>
  <c r="D235" i="3"/>
  <c r="AO216" i="6"/>
  <c r="B260" i="3"/>
  <c r="J259" i="3"/>
  <c r="R240" i="6" s="1"/>
  <c r="S240" i="6" s="1"/>
  <c r="J273" i="3"/>
  <c r="R254" i="6" s="1"/>
  <c r="S254" i="6" s="1"/>
  <c r="J287" i="3"/>
  <c r="R268" i="6" s="1"/>
  <c r="S268" i="6" s="1"/>
  <c r="AR323" i="6"/>
  <c r="I348" i="3"/>
  <c r="B359" i="3"/>
  <c r="H399" i="3"/>
  <c r="G250" i="3"/>
  <c r="B255" i="3"/>
  <c r="B261" i="3"/>
  <c r="B269" i="3"/>
  <c r="AR258" i="6"/>
  <c r="H294" i="3"/>
  <c r="B303" i="3"/>
  <c r="G312" i="3"/>
  <c r="H328" i="3"/>
  <c r="AR322" i="6"/>
  <c r="G349" i="3"/>
  <c r="J364" i="3"/>
  <c r="R345" i="6" s="1"/>
  <c r="S345" i="6" s="1"/>
  <c r="E384" i="3"/>
  <c r="AR388" i="6"/>
  <c r="I270" i="3"/>
  <c r="H343" i="3"/>
  <c r="J241" i="3"/>
  <c r="R222" i="6" s="1"/>
  <c r="S222" i="6" s="1"/>
  <c r="D275" i="3"/>
  <c r="J267" i="3"/>
  <c r="R248" i="6" s="1"/>
  <c r="S248" i="6" s="1"/>
  <c r="J281" i="3"/>
  <c r="R262" i="6" s="1"/>
  <c r="S262" i="6" s="1"/>
  <c r="J295" i="3"/>
  <c r="R276" i="6" s="1"/>
  <c r="S276" i="6" s="1"/>
  <c r="J321" i="3"/>
  <c r="R302" i="6" s="1"/>
  <c r="S302" i="6" s="1"/>
  <c r="J331" i="3"/>
  <c r="R312" i="6" s="1"/>
  <c r="S312" i="6" s="1"/>
  <c r="B344" i="3"/>
  <c r="D348" i="3"/>
  <c r="AR340" i="6"/>
  <c r="T349" i="6"/>
  <c r="H375" i="3"/>
  <c r="J400" i="3"/>
  <c r="R381" i="6" s="1"/>
  <c r="S381" i="6" s="1"/>
  <c r="H244" i="3"/>
  <c r="H250" i="3"/>
  <c r="AR242" i="6"/>
  <c r="G270" i="3"/>
  <c r="H286" i="3"/>
  <c r="AR276" i="6"/>
  <c r="G304" i="3"/>
  <c r="B321" i="3"/>
  <c r="AR310" i="6"/>
  <c r="B342" i="3"/>
  <c r="T346" i="6"/>
  <c r="Y346" i="6" s="1"/>
  <c r="P365" i="3" s="1"/>
  <c r="H384" i="3"/>
  <c r="AR389" i="6"/>
  <c r="I300" i="3"/>
  <c r="I314" i="3"/>
  <c r="I328" i="3"/>
  <c r="G161" i="3"/>
  <c r="B164" i="3"/>
  <c r="AR151" i="6"/>
  <c r="H173" i="3"/>
  <c r="G177" i="3"/>
  <c r="B180" i="3"/>
  <c r="AR167" i="6"/>
  <c r="H189" i="3"/>
  <c r="G193" i="3"/>
  <c r="B196" i="3"/>
  <c r="AR183" i="6"/>
  <c r="H205" i="3"/>
  <c r="G209" i="3"/>
  <c r="B212" i="3"/>
  <c r="AR199" i="6"/>
  <c r="H221" i="3"/>
  <c r="G225" i="3"/>
  <c r="B228" i="3"/>
  <c r="AR215" i="6"/>
  <c r="T220" i="6"/>
  <c r="Y220" i="6" s="1"/>
  <c r="P239" i="3" s="1"/>
  <c r="H249" i="3"/>
  <c r="D279" i="3"/>
  <c r="I131" i="3"/>
  <c r="I135" i="3"/>
  <c r="I139" i="3"/>
  <c r="I143" i="3"/>
  <c r="I147" i="3"/>
  <c r="I151" i="3"/>
  <c r="I155" i="3"/>
  <c r="I159" i="3"/>
  <c r="I163" i="3"/>
  <c r="I167" i="3"/>
  <c r="I171" i="3"/>
  <c r="I175" i="3"/>
  <c r="I179" i="3"/>
  <c r="I183" i="3"/>
  <c r="I187" i="3"/>
  <c r="I191" i="3"/>
  <c r="I195" i="3"/>
  <c r="I199" i="3"/>
  <c r="I203" i="3"/>
  <c r="I207" i="3"/>
  <c r="I211" i="3"/>
  <c r="I215" i="3"/>
  <c r="I219" i="3"/>
  <c r="I223" i="3"/>
  <c r="AR233" i="6"/>
  <c r="T269" i="6"/>
  <c r="X269" i="6" s="1"/>
  <c r="D135" i="3"/>
  <c r="E146" i="3"/>
  <c r="D151" i="3"/>
  <c r="E162" i="3"/>
  <c r="D167" i="3"/>
  <c r="E178" i="3"/>
  <c r="D183" i="3"/>
  <c r="E194" i="3"/>
  <c r="D199" i="3"/>
  <c r="E210" i="3"/>
  <c r="D215" i="3"/>
  <c r="E226" i="3"/>
  <c r="D231" i="3"/>
  <c r="T218" i="6"/>
  <c r="X218" i="6" s="1"/>
  <c r="J242" i="3"/>
  <c r="R223" i="6" s="1"/>
  <c r="S223" i="6" s="1"/>
  <c r="D250" i="3"/>
  <c r="J275" i="3"/>
  <c r="R256" i="6" s="1"/>
  <c r="S256" i="6" s="1"/>
  <c r="J289" i="3"/>
  <c r="R270" i="6" s="1"/>
  <c r="S270" i="6" s="1"/>
  <c r="J303" i="3"/>
  <c r="R284" i="6" s="1"/>
  <c r="S284" i="6" s="1"/>
  <c r="J313" i="3"/>
  <c r="R294" i="6" s="1"/>
  <c r="S294" i="6" s="1"/>
  <c r="I349" i="3"/>
  <c r="B360" i="3"/>
  <c r="G378" i="3"/>
  <c r="T369" i="6"/>
  <c r="AR226" i="6"/>
  <c r="B251" i="3"/>
  <c r="B257" i="3"/>
  <c r="H262" i="3"/>
  <c r="B271" i="3"/>
  <c r="G280" i="3"/>
  <c r="H296" i="3"/>
  <c r="AR286" i="6"/>
  <c r="G314" i="3"/>
  <c r="B331" i="3"/>
  <c r="H344" i="3"/>
  <c r="J386" i="3"/>
  <c r="R367" i="6" s="1"/>
  <c r="S367" i="6" s="1"/>
  <c r="I274" i="3"/>
  <c r="I288" i="3"/>
  <c r="I302" i="3"/>
  <c r="I229" i="3"/>
  <c r="E239" i="3"/>
  <c r="AR225" i="6"/>
  <c r="E253" i="3"/>
  <c r="D269" i="3"/>
  <c r="E136" i="3"/>
  <c r="D141" i="3"/>
  <c r="E152" i="3"/>
  <c r="D157" i="3"/>
  <c r="E168" i="3"/>
  <c r="D173" i="3"/>
  <c r="E184" i="3"/>
  <c r="D189" i="3"/>
  <c r="E200" i="3"/>
  <c r="D205" i="3"/>
  <c r="E216" i="3"/>
  <c r="D221" i="3"/>
  <c r="E232" i="3"/>
  <c r="E238" i="3"/>
  <c r="T225" i="6"/>
  <c r="H251" i="3"/>
  <c r="AR245" i="6"/>
  <c r="E280" i="3"/>
  <c r="J247" i="3"/>
  <c r="R228" i="6" s="1"/>
  <c r="S228" i="6" s="1"/>
  <c r="J283" i="3"/>
  <c r="R264" i="6" s="1"/>
  <c r="S264" i="6" s="1"/>
  <c r="J297" i="3"/>
  <c r="R278" i="6" s="1"/>
  <c r="S278" i="6" s="1"/>
  <c r="J305" i="3"/>
  <c r="R286" i="6" s="1"/>
  <c r="S286" i="6" s="1"/>
  <c r="J333" i="3"/>
  <c r="R314" i="6" s="1"/>
  <c r="S314" i="6" s="1"/>
  <c r="T327" i="6"/>
  <c r="G350" i="3"/>
  <c r="G370" i="3"/>
  <c r="G380" i="3"/>
  <c r="AR371" i="6"/>
  <c r="G252" i="3"/>
  <c r="AR238" i="6"/>
  <c r="AR244" i="6"/>
  <c r="G272" i="3"/>
  <c r="B289" i="3"/>
  <c r="AR278" i="6"/>
  <c r="G306" i="3"/>
  <c r="H314" i="3"/>
  <c r="B323" i="3"/>
  <c r="AR312" i="6"/>
  <c r="E345" i="3"/>
  <c r="B357" i="3"/>
  <c r="I332" i="3"/>
  <c r="G346" i="3"/>
  <c r="H129" i="3"/>
  <c r="G133" i="3"/>
  <c r="B136" i="3"/>
  <c r="AR123" i="6"/>
  <c r="H145" i="3"/>
  <c r="G149" i="3"/>
  <c r="B152" i="3"/>
  <c r="AR139" i="6"/>
  <c r="H161" i="3"/>
  <c r="G165" i="3"/>
  <c r="B168" i="3"/>
  <c r="AR155" i="6"/>
  <c r="H177" i="3"/>
  <c r="G181" i="3"/>
  <c r="B184" i="3"/>
  <c r="AR171" i="6"/>
  <c r="H193" i="3"/>
  <c r="G197" i="3"/>
  <c r="B200" i="3"/>
  <c r="AR187" i="6"/>
  <c r="H209" i="3"/>
  <c r="G213" i="3"/>
  <c r="B216" i="3"/>
  <c r="AR203" i="6"/>
  <c r="H225" i="3"/>
  <c r="G229" i="3"/>
  <c r="B232" i="3"/>
  <c r="T263" i="6"/>
  <c r="X263" i="6" s="1"/>
  <c r="I235" i="3"/>
  <c r="E245" i="3"/>
  <c r="G255" i="3"/>
  <c r="D131" i="3"/>
  <c r="E142" i="3"/>
  <c r="D147" i="3"/>
  <c r="E158" i="3"/>
  <c r="D163" i="3"/>
  <c r="E174" i="3"/>
  <c r="D179" i="3"/>
  <c r="E190" i="3"/>
  <c r="D195" i="3"/>
  <c r="E206" i="3"/>
  <c r="D211" i="3"/>
  <c r="E222" i="3"/>
  <c r="D227" i="3"/>
  <c r="J255" i="3"/>
  <c r="R236" i="6" s="1"/>
  <c r="S236" i="6" s="1"/>
  <c r="J291" i="3"/>
  <c r="R272" i="6" s="1"/>
  <c r="S272" i="6" s="1"/>
  <c r="H362" i="3"/>
  <c r="T352" i="6"/>
  <c r="X352" i="6" s="1"/>
  <c r="G395" i="3"/>
  <c r="D405" i="3"/>
  <c r="H246" i="3"/>
  <c r="H252" i="3"/>
  <c r="H264" i="3"/>
  <c r="AR254" i="6"/>
  <c r="G282" i="3"/>
  <c r="B299" i="3"/>
  <c r="AR288" i="6"/>
  <c r="G316" i="3"/>
  <c r="H324" i="3"/>
  <c r="B333" i="3"/>
  <c r="AR373" i="6"/>
  <c r="I306" i="3"/>
  <c r="I320" i="3"/>
  <c r="I334" i="3"/>
  <c r="B162" i="3"/>
  <c r="AR149" i="6"/>
  <c r="H171" i="3"/>
  <c r="G175" i="3"/>
  <c r="B178" i="3"/>
  <c r="AR165" i="6"/>
  <c r="H187" i="3"/>
  <c r="G191" i="3"/>
  <c r="B194" i="3"/>
  <c r="AR181" i="6"/>
  <c r="H203" i="3"/>
  <c r="G207" i="3"/>
  <c r="B210" i="3"/>
  <c r="AR197" i="6"/>
  <c r="H219" i="3"/>
  <c r="G223" i="3"/>
  <c r="B226" i="3"/>
  <c r="AR213" i="6"/>
  <c r="H235" i="3"/>
  <c r="I240" i="3"/>
  <c r="I246" i="3"/>
  <c r="D259" i="3"/>
  <c r="D267" i="3"/>
  <c r="E284" i="3"/>
  <c r="I225" i="3"/>
  <c r="D239" i="3"/>
  <c r="G257" i="3"/>
  <c r="E274" i="3"/>
  <c r="E132" i="3"/>
  <c r="D137" i="3"/>
  <c r="E148" i="3"/>
  <c r="D153" i="3"/>
  <c r="E164" i="3"/>
  <c r="D169" i="3"/>
  <c r="E180" i="3"/>
  <c r="D185" i="3"/>
  <c r="E196" i="3"/>
  <c r="D201" i="3"/>
  <c r="E212" i="3"/>
  <c r="D217" i="3"/>
  <c r="E228" i="3"/>
  <c r="D233" i="3"/>
  <c r="D238" i="3"/>
  <c r="J266" i="3"/>
  <c r="R247" i="6" s="1"/>
  <c r="S247" i="6" s="1"/>
  <c r="J288" i="3"/>
  <c r="R269" i="6" s="1"/>
  <c r="S269" i="6" s="1"/>
  <c r="J249" i="3"/>
  <c r="R230" i="6" s="1"/>
  <c r="S230" i="6" s="1"/>
  <c r="J263" i="3"/>
  <c r="R244" i="6" s="1"/>
  <c r="S244" i="6" s="1"/>
  <c r="J299" i="3"/>
  <c r="R280" i="6" s="1"/>
  <c r="S280" i="6" s="1"/>
  <c r="J335" i="3"/>
  <c r="R316" i="6" s="1"/>
  <c r="S316" i="6" s="1"/>
  <c r="T328" i="6"/>
  <c r="D372" i="3"/>
  <c r="B383" i="3"/>
  <c r="G396" i="3"/>
  <c r="AR387" i="6"/>
  <c r="G248" i="3"/>
  <c r="B253" i="3"/>
  <c r="B259" i="3"/>
  <c r="AR246" i="6"/>
  <c r="G274" i="3"/>
  <c r="H282" i="3"/>
  <c r="B291" i="3"/>
  <c r="AR280" i="6"/>
  <c r="H316" i="3"/>
  <c r="B325" i="3"/>
  <c r="G334" i="3"/>
  <c r="T341" i="6"/>
  <c r="X341" i="6" s="1"/>
  <c r="H372" i="3"/>
  <c r="I264" i="3"/>
  <c r="AR319" i="6"/>
  <c r="J350" i="3"/>
  <c r="R331" i="6" s="1"/>
  <c r="S331" i="6" s="1"/>
  <c r="D253" i="3"/>
  <c r="B268" i="3"/>
  <c r="D291" i="3"/>
  <c r="J257" i="3"/>
  <c r="R238" i="6" s="1"/>
  <c r="S238" i="6" s="1"/>
  <c r="J271" i="3"/>
  <c r="R252" i="6" s="1"/>
  <c r="S252" i="6" s="1"/>
  <c r="J317" i="3"/>
  <c r="R298" i="6" s="1"/>
  <c r="S298" i="6" s="1"/>
  <c r="J327" i="3"/>
  <c r="R308" i="6" s="1"/>
  <c r="S308" i="6" s="1"/>
  <c r="J338" i="3"/>
  <c r="R319" i="6" s="1"/>
  <c r="S319" i="6" s="1"/>
  <c r="H347" i="3"/>
  <c r="G373" i="3"/>
  <c r="H383" i="3"/>
  <c r="H398" i="3"/>
  <c r="G411" i="3"/>
  <c r="AR240" i="6"/>
  <c r="B267" i="3"/>
  <c r="AR256" i="6"/>
  <c r="G284" i="3"/>
  <c r="H292" i="3"/>
  <c r="B301" i="3"/>
  <c r="AR290" i="6"/>
  <c r="H326" i="3"/>
  <c r="B335" i="3"/>
  <c r="I375" i="3"/>
  <c r="H401" i="3"/>
  <c r="J248" i="3"/>
  <c r="R229" i="6" s="1"/>
  <c r="S229" i="6" s="1"/>
  <c r="E262" i="3"/>
  <c r="J282" i="3"/>
  <c r="R263" i="6" s="1"/>
  <c r="S263" i="6" s="1"/>
  <c r="D133" i="3"/>
  <c r="E144" i="3"/>
  <c r="D149" i="3"/>
  <c r="E160" i="3"/>
  <c r="D165" i="3"/>
  <c r="E176" i="3"/>
  <c r="D181" i="3"/>
  <c r="E192" i="3"/>
  <c r="D197" i="3"/>
  <c r="E208" i="3"/>
  <c r="D213" i="3"/>
  <c r="E224" i="3"/>
  <c r="D229" i="3"/>
  <c r="I248" i="3"/>
  <c r="J258" i="3"/>
  <c r="R239" i="6" s="1"/>
  <c r="S239" i="6" s="1"/>
  <c r="J251" i="3"/>
  <c r="R232" i="6" s="1"/>
  <c r="S232" i="6" s="1"/>
  <c r="J265" i="3"/>
  <c r="R246" i="6" s="1"/>
  <c r="S246" i="6" s="1"/>
  <c r="J279" i="3"/>
  <c r="R260" i="6" s="1"/>
  <c r="S260" i="6" s="1"/>
  <c r="J319" i="3"/>
  <c r="R300" i="6" s="1"/>
  <c r="S300" i="6" s="1"/>
  <c r="J354" i="3"/>
  <c r="R335" i="6" s="1"/>
  <c r="S335" i="6" s="1"/>
  <c r="I365" i="3"/>
  <c r="B384" i="3"/>
  <c r="AR224" i="6"/>
  <c r="H248" i="3"/>
  <c r="H254" i="3"/>
  <c r="H260" i="3"/>
  <c r="AR248" i="6"/>
  <c r="H284" i="3"/>
  <c r="B293" i="3"/>
  <c r="G302" i="3"/>
  <c r="H318" i="3"/>
  <c r="AR308" i="6"/>
  <c r="J336" i="3"/>
  <c r="R317" i="6" s="1"/>
  <c r="S317" i="6" s="1"/>
  <c r="I347" i="3"/>
  <c r="T343" i="6"/>
  <c r="B402" i="3"/>
  <c r="I268" i="3"/>
  <c r="I282" i="3"/>
  <c r="I296" i="3"/>
  <c r="T323" i="6"/>
  <c r="K342" i="3" s="1"/>
  <c r="T339" i="6"/>
  <c r="B237" i="3"/>
  <c r="H239" i="3"/>
  <c r="H243" i="3"/>
  <c r="G259" i="3"/>
  <c r="T253" i="6"/>
  <c r="X253" i="6" s="1"/>
  <c r="E290" i="3"/>
  <c r="T115" i="6"/>
  <c r="Y115" i="6" s="1"/>
  <c r="P134" i="3" s="1"/>
  <c r="T119" i="6"/>
  <c r="Y119" i="6" s="1"/>
  <c r="P138" i="3" s="1"/>
  <c r="T123" i="6"/>
  <c r="Y123" i="6" s="1"/>
  <c r="P142" i="3" s="1"/>
  <c r="T127" i="6"/>
  <c r="Y127" i="6" s="1"/>
  <c r="P146" i="3" s="1"/>
  <c r="T131" i="6"/>
  <c r="Y131" i="6" s="1"/>
  <c r="P150" i="3" s="1"/>
  <c r="T135" i="6"/>
  <c r="Y135" i="6" s="1"/>
  <c r="P154" i="3" s="1"/>
  <c r="T139" i="6"/>
  <c r="Y139" i="6" s="1"/>
  <c r="P158" i="3" s="1"/>
  <c r="T143" i="6"/>
  <c r="Y143" i="6" s="1"/>
  <c r="P162" i="3" s="1"/>
  <c r="T147" i="6"/>
  <c r="Y147" i="6" s="1"/>
  <c r="P166" i="3" s="1"/>
  <c r="T151" i="6"/>
  <c r="Y151" i="6" s="1"/>
  <c r="P170" i="3" s="1"/>
  <c r="T155" i="6"/>
  <c r="Y155" i="6" s="1"/>
  <c r="P174" i="3" s="1"/>
  <c r="T159" i="6"/>
  <c r="Y159" i="6" s="1"/>
  <c r="P178" i="3" s="1"/>
  <c r="T163" i="6"/>
  <c r="Y163" i="6" s="1"/>
  <c r="P182" i="3" s="1"/>
  <c r="T167" i="6"/>
  <c r="Y167" i="6" s="1"/>
  <c r="P186" i="3" s="1"/>
  <c r="T171" i="6"/>
  <c r="Y171" i="6" s="1"/>
  <c r="P190" i="3" s="1"/>
  <c r="T175" i="6"/>
  <c r="Y175" i="6" s="1"/>
  <c r="P194" i="3" s="1"/>
  <c r="T179" i="6"/>
  <c r="Y179" i="6" s="1"/>
  <c r="P198" i="3" s="1"/>
  <c r="T183" i="6"/>
  <c r="Y183" i="6" s="1"/>
  <c r="P202" i="3" s="1"/>
  <c r="T187" i="6"/>
  <c r="Y187" i="6" s="1"/>
  <c r="P206" i="3" s="1"/>
  <c r="T191" i="6"/>
  <c r="Y191" i="6" s="1"/>
  <c r="P210" i="3" s="1"/>
  <c r="T195" i="6"/>
  <c r="Y195" i="6" s="1"/>
  <c r="P214" i="3" s="1"/>
  <c r="T199" i="6"/>
  <c r="Y199" i="6" s="1"/>
  <c r="P218" i="3" s="1"/>
  <c r="T203" i="6"/>
  <c r="Y203" i="6" s="1"/>
  <c r="P222" i="3" s="1"/>
  <c r="T207" i="6"/>
  <c r="Y207" i="6" s="1"/>
  <c r="P226" i="3" s="1"/>
  <c r="T211" i="6"/>
  <c r="Y211" i="6" s="1"/>
  <c r="P230" i="3" s="1"/>
  <c r="T215" i="6"/>
  <c r="Y215" i="6" s="1"/>
  <c r="P234" i="3" s="1"/>
  <c r="I238" i="3"/>
  <c r="T224" i="6"/>
  <c r="B250" i="3"/>
  <c r="D257" i="3"/>
  <c r="D265" i="3"/>
  <c r="AO246" i="6"/>
  <c r="T259" i="6"/>
  <c r="J245" i="3"/>
  <c r="R226" i="6" s="1"/>
  <c r="S226" i="6" s="1"/>
  <c r="J261" i="3"/>
  <c r="R242" i="6" s="1"/>
  <c r="S242" i="6" s="1"/>
  <c r="J277" i="3"/>
  <c r="R258" i="6" s="1"/>
  <c r="S258" i="6" s="1"/>
  <c r="J293" i="3"/>
  <c r="R274" i="6" s="1"/>
  <c r="S274" i="6" s="1"/>
  <c r="J311" i="3"/>
  <c r="R292" i="6" s="1"/>
  <c r="S292" i="6" s="1"/>
  <c r="AR324" i="6"/>
  <c r="E348" i="3"/>
  <c r="G351" i="3"/>
  <c r="E361" i="3"/>
  <c r="B368" i="3"/>
  <c r="H382" i="3"/>
  <c r="D389" i="3"/>
  <c r="B400" i="3"/>
  <c r="B243" i="3"/>
  <c r="AR228" i="6"/>
  <c r="AR232" i="6"/>
  <c r="G256" i="3"/>
  <c r="H268" i="3"/>
  <c r="B273" i="3"/>
  <c r="B277" i="3"/>
  <c r="AR262" i="6"/>
  <c r="G286" i="3"/>
  <c r="G290" i="3"/>
  <c r="H298" i="3"/>
  <c r="H302" i="3"/>
  <c r="B307" i="3"/>
  <c r="AR292" i="6"/>
  <c r="AR296" i="6"/>
  <c r="G320" i="3"/>
  <c r="H332" i="3"/>
  <c r="B341" i="3"/>
  <c r="H345" i="3"/>
  <c r="G364" i="3"/>
  <c r="E371" i="3"/>
  <c r="G382" i="3"/>
  <c r="D391" i="3"/>
  <c r="T387" i="6"/>
  <c r="I284" i="3"/>
  <c r="I298" i="3"/>
  <c r="I312" i="3"/>
  <c r="T324" i="6"/>
  <c r="E359" i="3"/>
  <c r="T357" i="6"/>
  <c r="B388" i="3"/>
  <c r="D262" i="3"/>
  <c r="T258" i="6"/>
  <c r="Y258" i="6" s="1"/>
  <c r="P277" i="3" s="1"/>
  <c r="T272" i="6"/>
  <c r="Y272" i="6" s="1"/>
  <c r="P291" i="3" s="1"/>
  <c r="D298" i="3"/>
  <c r="T286" i="6"/>
  <c r="E313" i="3"/>
  <c r="D326" i="3"/>
  <c r="H359" i="3"/>
  <c r="H366" i="3"/>
  <c r="J388" i="3"/>
  <c r="R369" i="6" s="1"/>
  <c r="S369" i="6" s="1"/>
  <c r="H403" i="3"/>
  <c r="E257" i="3"/>
  <c r="T244" i="6"/>
  <c r="Y244" i="6" s="1"/>
  <c r="P263" i="3" s="1"/>
  <c r="D270" i="3"/>
  <c r="E285" i="3"/>
  <c r="T280" i="6"/>
  <c r="T294" i="6"/>
  <c r="E321" i="3"/>
  <c r="T308" i="6"/>
  <c r="X308" i="6" s="1"/>
  <c r="E360" i="3"/>
  <c r="D377" i="3"/>
  <c r="J404" i="3"/>
  <c r="R385" i="6" s="1"/>
  <c r="S385" i="6" s="1"/>
  <c r="T238" i="6"/>
  <c r="E265" i="3"/>
  <c r="D278" i="3"/>
  <c r="T274" i="6"/>
  <c r="Y274" i="6" s="1"/>
  <c r="P293" i="3" s="1"/>
  <c r="T288" i="6"/>
  <c r="Y288" i="6" s="1"/>
  <c r="P307" i="3" s="1"/>
  <c r="D314" i="3"/>
  <c r="T302" i="6"/>
  <c r="E329" i="3"/>
  <c r="G266" i="3"/>
  <c r="H278" i="3"/>
  <c r="B283" i="3"/>
  <c r="B287" i="3"/>
  <c r="AR272" i="6"/>
  <c r="G296" i="3"/>
  <c r="G300" i="3"/>
  <c r="H308" i="3"/>
  <c r="H312" i="3"/>
  <c r="B317" i="3"/>
  <c r="AR302" i="6"/>
  <c r="AR306" i="6"/>
  <c r="G330" i="3"/>
  <c r="I346" i="3"/>
  <c r="H360" i="3"/>
  <c r="AR347" i="6"/>
  <c r="E400" i="3"/>
  <c r="I258" i="3"/>
  <c r="I272" i="3"/>
  <c r="I286" i="3"/>
  <c r="I322" i="3"/>
  <c r="B339" i="3"/>
  <c r="D344" i="3"/>
  <c r="AR335" i="6"/>
  <c r="AR350" i="6"/>
  <c r="AR360" i="6"/>
  <c r="T373" i="6"/>
  <c r="T246" i="6"/>
  <c r="E273" i="3"/>
  <c r="T260" i="6"/>
  <c r="D286" i="3"/>
  <c r="E301" i="3"/>
  <c r="T296" i="6"/>
  <c r="T310" i="6"/>
  <c r="H238" i="3"/>
  <c r="G241" i="3"/>
  <c r="T228" i="6"/>
  <c r="Y228" i="6" s="1"/>
  <c r="P247" i="3" s="1"/>
  <c r="G267" i="3"/>
  <c r="T113" i="6"/>
  <c r="Y113" i="6" s="1"/>
  <c r="P132" i="3" s="1"/>
  <c r="T117" i="6"/>
  <c r="X117" i="6" s="1"/>
  <c r="T121" i="6"/>
  <c r="Y121" i="6" s="1"/>
  <c r="P140" i="3" s="1"/>
  <c r="T125" i="6"/>
  <c r="Y125" i="6" s="1"/>
  <c r="P144" i="3" s="1"/>
  <c r="T129" i="6"/>
  <c r="Y129" i="6" s="1"/>
  <c r="P148" i="3" s="1"/>
  <c r="T133" i="6"/>
  <c r="Y133" i="6" s="1"/>
  <c r="P152" i="3" s="1"/>
  <c r="T137" i="6"/>
  <c r="Y137" i="6" s="1"/>
  <c r="P156" i="3" s="1"/>
  <c r="T141" i="6"/>
  <c r="Y141" i="6" s="1"/>
  <c r="P160" i="3" s="1"/>
  <c r="T145" i="6"/>
  <c r="Y145" i="6" s="1"/>
  <c r="P164" i="3" s="1"/>
  <c r="T149" i="6"/>
  <c r="AB149" i="6" s="1"/>
  <c r="T153" i="6"/>
  <c r="Y153" i="6" s="1"/>
  <c r="P172" i="3" s="1"/>
  <c r="T157" i="6"/>
  <c r="Y157" i="6" s="1"/>
  <c r="P176" i="3" s="1"/>
  <c r="T161" i="6"/>
  <c r="Y161" i="6" s="1"/>
  <c r="P180" i="3" s="1"/>
  <c r="T165" i="6"/>
  <c r="T169" i="6"/>
  <c r="Y169" i="6" s="1"/>
  <c r="P188" i="3" s="1"/>
  <c r="T173" i="6"/>
  <c r="Y173" i="6" s="1"/>
  <c r="P192" i="3" s="1"/>
  <c r="T177" i="6"/>
  <c r="Y177" i="6" s="1"/>
  <c r="P196" i="3" s="1"/>
  <c r="T181" i="6"/>
  <c r="Y181" i="6" s="1"/>
  <c r="P200" i="3" s="1"/>
  <c r="T185" i="6"/>
  <c r="Y185" i="6" s="1"/>
  <c r="P204" i="3" s="1"/>
  <c r="T189" i="6"/>
  <c r="Y189" i="6" s="1"/>
  <c r="P208" i="3" s="1"/>
  <c r="T193" i="6"/>
  <c r="Y193" i="6" s="1"/>
  <c r="P212" i="3" s="1"/>
  <c r="T197" i="6"/>
  <c r="Y197" i="6" s="1"/>
  <c r="P216" i="3" s="1"/>
  <c r="T201" i="6"/>
  <c r="Y201" i="6" s="1"/>
  <c r="P220" i="3" s="1"/>
  <c r="T205" i="6"/>
  <c r="Y205" i="6" s="1"/>
  <c r="P224" i="3" s="1"/>
  <c r="T209" i="6"/>
  <c r="Y209" i="6" s="1"/>
  <c r="P228" i="3" s="1"/>
  <c r="T213" i="6"/>
  <c r="U213" i="6" s="1"/>
  <c r="L232" i="3" s="1"/>
  <c r="T217" i="6"/>
  <c r="Y217" i="6" s="1"/>
  <c r="P236" i="3" s="1"/>
  <c r="G240" i="3"/>
  <c r="D245" i="3"/>
  <c r="T233" i="6"/>
  <c r="H261" i="3"/>
  <c r="J272" i="3"/>
  <c r="R253" i="6" s="1"/>
  <c r="S253" i="6" s="1"/>
  <c r="J253" i="3"/>
  <c r="R234" i="6" s="1"/>
  <c r="S234" i="6" s="1"/>
  <c r="J269" i="3"/>
  <c r="R250" i="6" s="1"/>
  <c r="S250" i="6" s="1"/>
  <c r="J285" i="3"/>
  <c r="R266" i="6" s="1"/>
  <c r="S266" i="6" s="1"/>
  <c r="J301" i="3"/>
  <c r="R282" i="6" s="1"/>
  <c r="S282" i="6" s="1"/>
  <c r="J315" i="3"/>
  <c r="R296" i="6" s="1"/>
  <c r="S296" i="6" s="1"/>
  <c r="J329" i="3"/>
  <c r="R310" i="6" s="1"/>
  <c r="S310" i="6" s="1"/>
  <c r="H346" i="3"/>
  <c r="AR339" i="6"/>
  <c r="E364" i="3"/>
  <c r="B371" i="3"/>
  <c r="J384" i="3"/>
  <c r="R365" i="6" s="1"/>
  <c r="S365" i="6" s="1"/>
  <c r="E398" i="3"/>
  <c r="AR386" i="6"/>
  <c r="B245" i="3"/>
  <c r="AR230" i="6"/>
  <c r="G254" i="3"/>
  <c r="G258" i="3"/>
  <c r="H266" i="3"/>
  <c r="H270" i="3"/>
  <c r="B275" i="3"/>
  <c r="AR260" i="6"/>
  <c r="AR264" i="6"/>
  <c r="G288" i="3"/>
  <c r="H300" i="3"/>
  <c r="B305" i="3"/>
  <c r="B309" i="3"/>
  <c r="AR294" i="6"/>
  <c r="G318" i="3"/>
  <c r="G322" i="3"/>
  <c r="H330" i="3"/>
  <c r="H334" i="3"/>
  <c r="T325" i="6"/>
  <c r="X325" i="6" s="1"/>
  <c r="J352" i="3"/>
  <c r="R333" i="6" s="1"/>
  <c r="S333" i="6" s="1"/>
  <c r="G367" i="3"/>
  <c r="E374" i="3"/>
  <c r="B386" i="3"/>
  <c r="I266" i="3"/>
  <c r="I280" i="3"/>
  <c r="I316" i="3"/>
  <c r="I330" i="3"/>
  <c r="B340" i="3"/>
  <c r="B356" i="3"/>
  <c r="G361" i="3"/>
  <c r="I369" i="3"/>
  <c r="G384" i="3"/>
  <c r="AR375" i="6"/>
  <c r="T240" i="6"/>
  <c r="Y240" i="6" s="1"/>
  <c r="P259" i="3" s="1"/>
  <c r="D266" i="3"/>
  <c r="T254" i="6"/>
  <c r="Y254" i="6" s="1"/>
  <c r="P273" i="3" s="1"/>
  <c r="E281" i="3"/>
  <c r="D294" i="3"/>
  <c r="T290" i="6"/>
  <c r="T304" i="6"/>
  <c r="Y304" i="6" s="1"/>
  <c r="P323" i="3" s="1"/>
  <c r="D330" i="3"/>
  <c r="G399" i="3"/>
  <c r="AR390" i="6"/>
  <c r="T248" i="6"/>
  <c r="T262" i="6"/>
  <c r="Y262" i="6" s="1"/>
  <c r="P281" i="3" s="1"/>
  <c r="E289" i="3"/>
  <c r="T276" i="6"/>
  <c r="X276" i="6" s="1"/>
  <c r="D302" i="3"/>
  <c r="E317" i="3"/>
  <c r="T312" i="6"/>
  <c r="H363" i="3"/>
  <c r="B387" i="3"/>
  <c r="G400" i="3"/>
  <c r="AR391" i="6"/>
  <c r="T242" i="6"/>
  <c r="T256" i="6"/>
  <c r="Y256" i="6" s="1"/>
  <c r="P275" i="3" s="1"/>
  <c r="D282" i="3"/>
  <c r="T270" i="6"/>
  <c r="Y270" i="6" s="1"/>
  <c r="P289" i="3" s="1"/>
  <c r="E297" i="3"/>
  <c r="D310" i="3"/>
  <c r="T306" i="6"/>
  <c r="AL306" i="6" s="1"/>
  <c r="G264" i="3"/>
  <c r="G268" i="3"/>
  <c r="H276" i="3"/>
  <c r="H280" i="3"/>
  <c r="B285" i="3"/>
  <c r="AR270" i="6"/>
  <c r="AR274" i="6"/>
  <c r="G298" i="3"/>
  <c r="H310" i="3"/>
  <c r="B315" i="3"/>
  <c r="B319" i="3"/>
  <c r="AR304" i="6"/>
  <c r="G328" i="3"/>
  <c r="G332" i="3"/>
  <c r="T326" i="6"/>
  <c r="Y326" i="6" s="1"/>
  <c r="P345" i="3" s="1"/>
  <c r="D347" i="3"/>
  <c r="AR338" i="6"/>
  <c r="H369" i="3"/>
  <c r="AR372" i="6"/>
  <c r="I290" i="3"/>
  <c r="I304" i="3"/>
  <c r="I318" i="3"/>
  <c r="D363" i="3"/>
  <c r="G374" i="3"/>
  <c r="H387" i="3"/>
  <c r="E402" i="3"/>
  <c r="D254" i="3"/>
  <c r="E269" i="3"/>
  <c r="T264" i="6"/>
  <c r="Y264" i="6" s="1"/>
  <c r="P283" i="3" s="1"/>
  <c r="T278" i="6"/>
  <c r="E305" i="3"/>
  <c r="T292" i="6"/>
  <c r="X292" i="6" s="1"/>
  <c r="D318" i="3"/>
  <c r="E333" i="3"/>
  <c r="J307" i="3"/>
  <c r="R288" i="6" s="1"/>
  <c r="S288" i="6" s="1"/>
  <c r="J323" i="3"/>
  <c r="R304" i="6" s="1"/>
  <c r="S304" i="6" s="1"/>
  <c r="B343" i="3"/>
  <c r="E347" i="3"/>
  <c r="AR346" i="6"/>
  <c r="J370" i="3"/>
  <c r="R351" i="6" s="1"/>
  <c r="S351" i="6" s="1"/>
  <c r="G375" i="3"/>
  <c r="E382" i="3"/>
  <c r="G412" i="3"/>
  <c r="G246" i="3"/>
  <c r="B249" i="3"/>
  <c r="AR236" i="6"/>
  <c r="H258" i="3"/>
  <c r="G262" i="3"/>
  <c r="B265" i="3"/>
  <c r="AR252" i="6"/>
  <c r="H274" i="3"/>
  <c r="G278" i="3"/>
  <c r="B281" i="3"/>
  <c r="AR268" i="6"/>
  <c r="H290" i="3"/>
  <c r="G294" i="3"/>
  <c r="B297" i="3"/>
  <c r="AR284" i="6"/>
  <c r="H306" i="3"/>
  <c r="G310" i="3"/>
  <c r="B313" i="3"/>
  <c r="AR300" i="6"/>
  <c r="H322" i="3"/>
  <c r="G326" i="3"/>
  <c r="B329" i="3"/>
  <c r="AR316" i="6"/>
  <c r="E346" i="3"/>
  <c r="G348" i="3"/>
  <c r="AR337" i="6"/>
  <c r="B365" i="3"/>
  <c r="D369" i="3"/>
  <c r="H385" i="3"/>
  <c r="G397" i="3"/>
  <c r="I260" i="3"/>
  <c r="I276" i="3"/>
  <c r="I292" i="3"/>
  <c r="I308" i="3"/>
  <c r="I324" i="3"/>
  <c r="E343" i="3"/>
  <c r="I345" i="3"/>
  <c r="B355" i="3"/>
  <c r="E365" i="3"/>
  <c r="B372" i="3"/>
  <c r="G383" i="3"/>
  <c r="H402" i="3"/>
  <c r="D409" i="3"/>
  <c r="D258" i="3"/>
  <c r="T250" i="6"/>
  <c r="D274" i="3"/>
  <c r="T266" i="6"/>
  <c r="D290" i="3"/>
  <c r="T282" i="6"/>
  <c r="D306" i="3"/>
  <c r="AO287" i="6"/>
  <c r="T298" i="6"/>
  <c r="AO303" i="6"/>
  <c r="D322" i="3"/>
  <c r="T314" i="6"/>
  <c r="D342" i="3"/>
  <c r="J348" i="3"/>
  <c r="R329" i="6" s="1"/>
  <c r="S329" i="6" s="1"/>
  <c r="I359" i="3"/>
  <c r="B366" i="3"/>
  <c r="AR361" i="6"/>
  <c r="E404" i="3"/>
  <c r="AR392" i="6"/>
  <c r="J298" i="3"/>
  <c r="R279" i="6" s="1"/>
  <c r="S279" i="6" s="1"/>
  <c r="J312" i="3"/>
  <c r="R293" i="6" s="1"/>
  <c r="S293" i="6" s="1"/>
  <c r="J326" i="3"/>
  <c r="R307" i="6" s="1"/>
  <c r="S307" i="6" s="1"/>
  <c r="T320" i="6"/>
  <c r="Y320" i="6" s="1"/>
  <c r="P339" i="3" s="1"/>
  <c r="D341" i="3"/>
  <c r="AO322" i="6"/>
  <c r="AR332" i="6"/>
  <c r="E356" i="3"/>
  <c r="G359" i="3"/>
  <c r="AR354" i="6"/>
  <c r="D381" i="3"/>
  <c r="AR378" i="6"/>
  <c r="T393" i="6"/>
  <c r="AB393" i="6" s="1"/>
  <c r="G275" i="3"/>
  <c r="H340" i="3"/>
  <c r="T338" i="6"/>
  <c r="Y338" i="6" s="1"/>
  <c r="P357" i="3" s="1"/>
  <c r="G360" i="3"/>
  <c r="T347" i="6"/>
  <c r="H373" i="3"/>
  <c r="G386" i="3"/>
  <c r="B405" i="3"/>
  <c r="AR393" i="6"/>
  <c r="J306" i="3"/>
  <c r="R287" i="6" s="1"/>
  <c r="S287" i="6" s="1"/>
  <c r="J320" i="3"/>
  <c r="R301" i="6" s="1"/>
  <c r="S301" i="6" s="1"/>
  <c r="H339" i="3"/>
  <c r="H367" i="3"/>
  <c r="I373" i="3"/>
  <c r="G388" i="3"/>
  <c r="G403" i="3"/>
  <c r="H269" i="3"/>
  <c r="B276" i="3"/>
  <c r="D334" i="3"/>
  <c r="I343" i="3"/>
  <c r="AR333" i="6"/>
  <c r="H357" i="3"/>
  <c r="D373" i="3"/>
  <c r="J314" i="3"/>
  <c r="R295" i="6" s="1"/>
  <c r="S295" i="6" s="1"/>
  <c r="J328" i="3"/>
  <c r="R309" i="6" s="1"/>
  <c r="S309" i="6" s="1"/>
  <c r="G343" i="3"/>
  <c r="I356" i="3"/>
  <c r="D367" i="3"/>
  <c r="H374" i="3"/>
  <c r="G404" i="3"/>
  <c r="B270" i="3"/>
  <c r="AR257" i="6"/>
  <c r="J309" i="3"/>
  <c r="R290" i="6" s="1"/>
  <c r="S290" i="6" s="1"/>
  <c r="J325" i="3"/>
  <c r="R306" i="6" s="1"/>
  <c r="S306" i="6" s="1"/>
  <c r="D349" i="3"/>
  <c r="AR353" i="6"/>
  <c r="AR357" i="6"/>
  <c r="AR370" i="6"/>
  <c r="B399" i="3"/>
  <c r="T385" i="6"/>
  <c r="G244" i="3"/>
  <c r="B247" i="3"/>
  <c r="AR234" i="6"/>
  <c r="H256" i="3"/>
  <c r="G260" i="3"/>
  <c r="B263" i="3"/>
  <c r="AR250" i="6"/>
  <c r="H272" i="3"/>
  <c r="G276" i="3"/>
  <c r="B279" i="3"/>
  <c r="AR266" i="6"/>
  <c r="H288" i="3"/>
  <c r="G292" i="3"/>
  <c r="B295" i="3"/>
  <c r="AR282" i="6"/>
  <c r="H304" i="3"/>
  <c r="G308" i="3"/>
  <c r="B311" i="3"/>
  <c r="AR298" i="6"/>
  <c r="H320" i="3"/>
  <c r="G324" i="3"/>
  <c r="B327" i="3"/>
  <c r="AR314" i="6"/>
  <c r="AR321" i="6"/>
  <c r="D346" i="3"/>
  <c r="AO327" i="6"/>
  <c r="B358" i="3"/>
  <c r="B362" i="3"/>
  <c r="D366" i="3"/>
  <c r="G381" i="3"/>
  <c r="B401" i="3"/>
  <c r="D407" i="3"/>
  <c r="AO388" i="6"/>
  <c r="I262" i="3"/>
  <c r="I278" i="3"/>
  <c r="I294" i="3"/>
  <c r="I310" i="3"/>
  <c r="I326" i="3"/>
  <c r="AR320" i="6"/>
  <c r="E344" i="3"/>
  <c r="D360" i="3"/>
  <c r="E368" i="3"/>
  <c r="B376" i="3"/>
  <c r="H386" i="3"/>
  <c r="D393" i="3"/>
  <c r="B404" i="3"/>
  <c r="T236" i="6"/>
  <c r="E261" i="3"/>
  <c r="T252" i="6"/>
  <c r="E277" i="3"/>
  <c r="T268" i="6"/>
  <c r="E293" i="3"/>
  <c r="T284" i="6"/>
  <c r="E309" i="3"/>
  <c r="T300" i="6"/>
  <c r="E325" i="3"/>
  <c r="T316" i="6"/>
  <c r="T322" i="6"/>
  <c r="V322" i="6" s="1"/>
  <c r="M341" i="3" s="1"/>
  <c r="D343" i="3"/>
  <c r="AR334" i="6"/>
  <c r="E358" i="3"/>
  <c r="J368" i="3"/>
  <c r="R349" i="6" s="1"/>
  <c r="S349" i="6" s="1"/>
  <c r="G377" i="3"/>
  <c r="E388" i="3"/>
  <c r="AR376" i="6"/>
  <c r="B406" i="3"/>
  <c r="J308" i="3"/>
  <c r="R289" i="6" s="1"/>
  <c r="S289" i="6" s="1"/>
  <c r="J322" i="3"/>
  <c r="R303" i="6" s="1"/>
  <c r="S303" i="6" s="1"/>
  <c r="B336" i="3"/>
  <c r="T335" i="6"/>
  <c r="X335" i="6" s="1"/>
  <c r="J362" i="3"/>
  <c r="R343" i="6" s="1"/>
  <c r="S343" i="6" s="1"/>
  <c r="E369" i="3"/>
  <c r="E376" i="3"/>
  <c r="E390" i="3"/>
  <c r="AR251" i="6"/>
  <c r="G277" i="3"/>
  <c r="AR317" i="6"/>
  <c r="H341" i="3"/>
  <c r="G344" i="3"/>
  <c r="B354" i="3"/>
  <c r="E362" i="3"/>
  <c r="B369" i="3"/>
  <c r="H388" i="3"/>
  <c r="D395" i="3"/>
  <c r="J406" i="3"/>
  <c r="R387" i="6" s="1"/>
  <c r="S387" i="6" s="1"/>
  <c r="J294" i="3"/>
  <c r="R275" i="6" s="1"/>
  <c r="S275" i="6" s="1"/>
  <c r="J330" i="3"/>
  <c r="R311" i="6" s="1"/>
  <c r="S311" i="6" s="1"/>
  <c r="I340" i="3"/>
  <c r="H354" i="3"/>
  <c r="B363" i="3"/>
  <c r="J376" i="3"/>
  <c r="R357" i="6" s="1"/>
  <c r="S357" i="6" s="1"/>
  <c r="B407" i="3"/>
  <c r="H271" i="3"/>
  <c r="AR318" i="6"/>
  <c r="G345" i="3"/>
  <c r="I358" i="3"/>
  <c r="AR344" i="6"/>
  <c r="AR351" i="6"/>
  <c r="H377" i="3"/>
  <c r="G401" i="3"/>
  <c r="J324" i="3"/>
  <c r="R305" i="6" s="1"/>
  <c r="S305" i="6" s="1"/>
  <c r="T319" i="6"/>
  <c r="X319" i="6" s="1"/>
  <c r="J346" i="3"/>
  <c r="R327" i="6" s="1"/>
  <c r="S327" i="6" s="1"/>
  <c r="E355" i="3"/>
  <c r="D357" i="3"/>
  <c r="T344" i="6"/>
  <c r="V344" i="6" s="1"/>
  <c r="M363" i="3" s="1"/>
  <c r="H370" i="3"/>
  <c r="J392" i="3"/>
  <c r="R373" i="6" s="1"/>
  <c r="S373" i="6" s="1"/>
  <c r="B408" i="3"/>
  <c r="G273" i="3"/>
  <c r="B280" i="3"/>
  <c r="B338" i="3"/>
  <c r="E342" i="3"/>
  <c r="T337" i="6"/>
  <c r="X337" i="6" s="1"/>
  <c r="Z337" i="6" s="1"/>
  <c r="D358" i="3"/>
  <c r="I363" i="3"/>
  <c r="D370" i="3"/>
  <c r="AR359" i="6"/>
  <c r="H389" i="3"/>
  <c r="G402" i="3"/>
  <c r="J296" i="3"/>
  <c r="R277" i="6" s="1"/>
  <c r="S277" i="6" s="1"/>
  <c r="J310" i="3"/>
  <c r="R291" i="6" s="1"/>
  <c r="S291" i="6" s="1"/>
  <c r="H338" i="3"/>
  <c r="T336" i="6"/>
  <c r="Y336" i="6" s="1"/>
  <c r="P355" i="3" s="1"/>
  <c r="G358" i="3"/>
  <c r="AR345" i="6"/>
  <c r="B379" i="3"/>
  <c r="J408" i="3"/>
  <c r="R389" i="6" s="1"/>
  <c r="S389" i="6" s="1"/>
  <c r="AR263" i="6"/>
  <c r="I342" i="3"/>
  <c r="H356" i="3"/>
  <c r="G371" i="3"/>
  <c r="D379" i="3"/>
  <c r="J390" i="3"/>
  <c r="R371" i="6" s="1"/>
  <c r="S371" i="6" s="1"/>
  <c r="T391" i="6"/>
  <c r="J304" i="3"/>
  <c r="R285" i="6" s="1"/>
  <c r="S285" i="6" s="1"/>
  <c r="E339" i="3"/>
  <c r="I341" i="3"/>
  <c r="B351" i="3"/>
  <c r="G365" i="3"/>
  <c r="H273" i="3"/>
  <c r="J374" i="3"/>
  <c r="R355" i="6" s="1"/>
  <c r="S355" i="6" s="1"/>
  <c r="G398" i="3"/>
  <c r="J402" i="3"/>
  <c r="R383" i="6" s="1"/>
  <c r="S383" i="6" s="1"/>
  <c r="D345" i="3"/>
  <c r="H358" i="3"/>
  <c r="I360" i="3"/>
  <c r="E386" i="3"/>
  <c r="E255" i="3"/>
  <c r="E259" i="3"/>
  <c r="E263" i="3"/>
  <c r="E267" i="3"/>
  <c r="E271" i="3"/>
  <c r="E275" i="3"/>
  <c r="E279" i="3"/>
  <c r="E283" i="3"/>
  <c r="E287" i="3"/>
  <c r="E291" i="3"/>
  <c r="E295" i="3"/>
  <c r="E299" i="3"/>
  <c r="E303" i="3"/>
  <c r="E307" i="3"/>
  <c r="E311" i="3"/>
  <c r="E315" i="3"/>
  <c r="E319" i="3"/>
  <c r="E323" i="3"/>
  <c r="E327" i="3"/>
  <c r="E331" i="3"/>
  <c r="E335" i="3"/>
  <c r="T321" i="6"/>
  <c r="U321" i="6" s="1"/>
  <c r="L340" i="3" s="1"/>
  <c r="B353" i="3"/>
  <c r="E357" i="3"/>
  <c r="G368" i="3"/>
  <c r="B389" i="3"/>
  <c r="T375" i="6"/>
  <c r="H404" i="3"/>
  <c r="J300" i="3"/>
  <c r="R281" i="6" s="1"/>
  <c r="S281" i="6" s="1"/>
  <c r="J316" i="3"/>
  <c r="R297" i="6" s="1"/>
  <c r="S297" i="6" s="1"/>
  <c r="J332" i="3"/>
  <c r="R313" i="6" s="1"/>
  <c r="S313" i="6" s="1"/>
  <c r="E340" i="3"/>
  <c r="G342" i="3"/>
  <c r="AR331" i="6"/>
  <c r="D356" i="3"/>
  <c r="D364" i="3"/>
  <c r="AR356" i="6"/>
  <c r="AR362" i="6"/>
  <c r="B391" i="3"/>
  <c r="T377" i="6"/>
  <c r="H406" i="3"/>
  <c r="AR255" i="6"/>
  <c r="H277" i="3"/>
  <c r="G281" i="3"/>
  <c r="B284" i="3"/>
  <c r="AR271" i="6"/>
  <c r="H293" i="3"/>
  <c r="G297" i="3"/>
  <c r="B300" i="3"/>
  <c r="AR287" i="6"/>
  <c r="H309" i="3"/>
  <c r="G313" i="3"/>
  <c r="B316" i="3"/>
  <c r="I255" i="3"/>
  <c r="I287" i="3"/>
  <c r="I319" i="3"/>
  <c r="D317" i="3"/>
  <c r="AO298" i="6"/>
  <c r="I351" i="3"/>
  <c r="B278" i="3"/>
  <c r="AR265" i="6"/>
  <c r="H287" i="3"/>
  <c r="G291" i="3"/>
  <c r="B294" i="3"/>
  <c r="AR281" i="6"/>
  <c r="H303" i="3"/>
  <c r="G307" i="3"/>
  <c r="B310" i="3"/>
  <c r="AR297" i="6"/>
  <c r="AR303" i="6"/>
  <c r="H352" i="3"/>
  <c r="I259" i="3"/>
  <c r="I291" i="3"/>
  <c r="I323" i="3"/>
  <c r="E410" i="3"/>
  <c r="D321" i="3"/>
  <c r="J356" i="3"/>
  <c r="R337" i="6" s="1"/>
  <c r="S337" i="6" s="1"/>
  <c r="G410" i="3"/>
  <c r="AR363" i="6"/>
  <c r="H391" i="3"/>
  <c r="D397" i="3"/>
  <c r="AO378" i="6"/>
  <c r="G269" i="3"/>
  <c r="B272" i="3"/>
  <c r="AR259" i="6"/>
  <c r="H281" i="3"/>
  <c r="G285" i="3"/>
  <c r="B288" i="3"/>
  <c r="AR275" i="6"/>
  <c r="H297" i="3"/>
  <c r="G301" i="3"/>
  <c r="B304" i="3"/>
  <c r="AR291" i="6"/>
  <c r="H313" i="3"/>
  <c r="G317" i="3"/>
  <c r="H325" i="3"/>
  <c r="I354" i="3"/>
  <c r="G406" i="3"/>
  <c r="I263" i="3"/>
  <c r="I295" i="3"/>
  <c r="I327" i="3"/>
  <c r="I361" i="3"/>
  <c r="D293" i="3"/>
  <c r="D325" i="3"/>
  <c r="J381" i="3"/>
  <c r="R362" i="6" s="1"/>
  <c r="S362" i="6" s="1"/>
  <c r="B377" i="3"/>
  <c r="B385" i="3"/>
  <c r="T371" i="6"/>
  <c r="H400" i="3"/>
  <c r="H342" i="3"/>
  <c r="I344" i="3"/>
  <c r="G347" i="3"/>
  <c r="AR336" i="6"/>
  <c r="T340" i="6"/>
  <c r="T353" i="6"/>
  <c r="H378" i="3"/>
  <c r="AR374" i="6"/>
  <c r="B403" i="3"/>
  <c r="T389" i="6"/>
  <c r="D256" i="3"/>
  <c r="D260" i="3"/>
  <c r="AO241" i="6"/>
  <c r="D264" i="3"/>
  <c r="D268" i="3"/>
  <c r="D272" i="3"/>
  <c r="D276" i="3"/>
  <c r="D280" i="3"/>
  <c r="D284" i="3"/>
  <c r="D288" i="3"/>
  <c r="AO273" i="6"/>
  <c r="D292" i="3"/>
  <c r="D296" i="3"/>
  <c r="D300" i="3"/>
  <c r="D304" i="3"/>
  <c r="D308" i="3"/>
  <c r="D312" i="3"/>
  <c r="D316" i="3"/>
  <c r="D320" i="3"/>
  <c r="D324" i="3"/>
  <c r="D328" i="3"/>
  <c r="D332" i="3"/>
  <c r="B337" i="3"/>
  <c r="E341" i="3"/>
  <c r="D359" i="3"/>
  <c r="T350" i="6"/>
  <c r="G385" i="3"/>
  <c r="B390" i="3"/>
  <c r="AR377" i="6"/>
  <c r="H405" i="3"/>
  <c r="D411" i="3"/>
  <c r="J302" i="3"/>
  <c r="R283" i="6" s="1"/>
  <c r="S283" i="6" s="1"/>
  <c r="J318" i="3"/>
  <c r="R299" i="6" s="1"/>
  <c r="S299" i="6" s="1"/>
  <c r="J334" i="3"/>
  <c r="R315" i="6" s="1"/>
  <c r="S315" i="6" s="1"/>
  <c r="D340" i="3"/>
  <c r="B352" i="3"/>
  <c r="H355" i="3"/>
  <c r="I357" i="3"/>
  <c r="G362" i="3"/>
  <c r="E372" i="3"/>
  <c r="I377" i="3"/>
  <c r="G387" i="3"/>
  <c r="B392" i="3"/>
  <c r="AR379" i="6"/>
  <c r="H407" i="3"/>
  <c r="AR253" i="6"/>
  <c r="H275" i="3"/>
  <c r="G279" i="3"/>
  <c r="B282" i="3"/>
  <c r="AR269" i="6"/>
  <c r="H291" i="3"/>
  <c r="G295" i="3"/>
  <c r="B298" i="3"/>
  <c r="AR285" i="6"/>
  <c r="H307" i="3"/>
  <c r="G311" i="3"/>
  <c r="B314" i="3"/>
  <c r="G329" i="3"/>
  <c r="G357" i="3"/>
  <c r="J410" i="3"/>
  <c r="R391" i="6" s="1"/>
  <c r="S391" i="6" s="1"/>
  <c r="I267" i="3"/>
  <c r="I299" i="3"/>
  <c r="I331" i="3"/>
  <c r="B367" i="3"/>
  <c r="D297" i="3"/>
  <c r="D329" i="3"/>
  <c r="H285" i="3"/>
  <c r="G289" i="3"/>
  <c r="B292" i="3"/>
  <c r="AR279" i="6"/>
  <c r="H301" i="3"/>
  <c r="G305" i="3"/>
  <c r="B308" i="3"/>
  <c r="AR295" i="6"/>
  <c r="H317" i="3"/>
  <c r="B332" i="3"/>
  <c r="I239" i="3"/>
  <c r="I271" i="3"/>
  <c r="I303" i="3"/>
  <c r="I335" i="3"/>
  <c r="D371" i="3"/>
  <c r="D301" i="3"/>
  <c r="AO282" i="6"/>
  <c r="AO314" i="6"/>
  <c r="D333" i="3"/>
  <c r="T355" i="6"/>
  <c r="J349" i="3"/>
  <c r="R330" i="6" s="1"/>
  <c r="S330" i="6" s="1"/>
  <c r="H279" i="3"/>
  <c r="G283" i="3"/>
  <c r="B286" i="3"/>
  <c r="AR273" i="6"/>
  <c r="H295" i="3"/>
  <c r="G299" i="3"/>
  <c r="B302" i="3"/>
  <c r="AR289" i="6"/>
  <c r="H311" i="3"/>
  <c r="G315" i="3"/>
  <c r="B318" i="3"/>
  <c r="I243" i="3"/>
  <c r="I275" i="3"/>
  <c r="I307" i="3"/>
  <c r="I337" i="3"/>
  <c r="G379" i="3"/>
  <c r="D305" i="3"/>
  <c r="E380" i="3"/>
  <c r="J397" i="3"/>
  <c r="R378" i="6" s="1"/>
  <c r="S378" i="6" s="1"/>
  <c r="AR267" i="6"/>
  <c r="H289" i="3"/>
  <c r="G293" i="3"/>
  <c r="B296" i="3"/>
  <c r="AR283" i="6"/>
  <c r="H305" i="3"/>
  <c r="G309" i="3"/>
  <c r="B312" i="3"/>
  <c r="AR299" i="6"/>
  <c r="T354" i="6"/>
  <c r="Y354" i="6" s="1"/>
  <c r="P373" i="3" s="1"/>
  <c r="I247" i="3"/>
  <c r="I279" i="3"/>
  <c r="I311" i="3"/>
  <c r="J342" i="3"/>
  <c r="R323" i="6" s="1"/>
  <c r="S323" i="6" s="1"/>
  <c r="T365" i="6"/>
  <c r="D309" i="3"/>
  <c r="B346" i="3"/>
  <c r="T361" i="6"/>
  <c r="H390" i="3"/>
  <c r="E406" i="3"/>
  <c r="G271" i="3"/>
  <c r="B274" i="3"/>
  <c r="AR261" i="6"/>
  <c r="H283" i="3"/>
  <c r="G287" i="3"/>
  <c r="B290" i="3"/>
  <c r="AR277" i="6"/>
  <c r="H299" i="3"/>
  <c r="G303" i="3"/>
  <c r="B306" i="3"/>
  <c r="AR293" i="6"/>
  <c r="H315" i="3"/>
  <c r="G319" i="3"/>
  <c r="D339" i="3"/>
  <c r="I251" i="3"/>
  <c r="I283" i="3"/>
  <c r="I315" i="3"/>
  <c r="T331" i="6"/>
  <c r="H394" i="3"/>
  <c r="D313" i="3"/>
  <c r="H349" i="3"/>
  <c r="J365" i="3"/>
  <c r="R346" i="6" s="1"/>
  <c r="S346" i="6" s="1"/>
  <c r="H319" i="3"/>
  <c r="G323" i="3"/>
  <c r="B326" i="3"/>
  <c r="AR313" i="6"/>
  <c r="H335" i="3"/>
  <c r="E338" i="3"/>
  <c r="G340" i="3"/>
  <c r="AR329" i="6"/>
  <c r="D354" i="3"/>
  <c r="AR355" i="6"/>
  <c r="E392" i="3"/>
  <c r="D337" i="3"/>
  <c r="H350" i="3"/>
  <c r="I352" i="3"/>
  <c r="G355" i="3"/>
  <c r="T348" i="6"/>
  <c r="E373" i="3"/>
  <c r="AR366" i="6"/>
  <c r="B395" i="3"/>
  <c r="T381" i="6"/>
  <c r="H410" i="3"/>
  <c r="E294" i="3"/>
  <c r="E298" i="3"/>
  <c r="E302" i="3"/>
  <c r="E306" i="3"/>
  <c r="E310" i="3"/>
  <c r="E314" i="3"/>
  <c r="E318" i="3"/>
  <c r="E322" i="3"/>
  <c r="E326" i="3"/>
  <c r="E330" i="3"/>
  <c r="E334" i="3"/>
  <c r="D351" i="3"/>
  <c r="E370" i="3"/>
  <c r="H380" i="3"/>
  <c r="E396" i="3"/>
  <c r="J339" i="3"/>
  <c r="R320" i="6" s="1"/>
  <c r="S320" i="6" s="1"/>
  <c r="J355" i="3"/>
  <c r="R336" i="6" s="1"/>
  <c r="S336" i="6" s="1"/>
  <c r="J371" i="3"/>
  <c r="R352" i="6" s="1"/>
  <c r="S352" i="6" s="1"/>
  <c r="J387" i="3"/>
  <c r="R368" i="6" s="1"/>
  <c r="S368" i="6" s="1"/>
  <c r="J403" i="3"/>
  <c r="R384" i="6" s="1"/>
  <c r="S384" i="6" s="1"/>
  <c r="D374" i="3"/>
  <c r="D378" i="3"/>
  <c r="D382" i="3"/>
  <c r="D386" i="3"/>
  <c r="D390" i="3"/>
  <c r="AO371" i="6"/>
  <c r="D394" i="3"/>
  <c r="D398" i="3"/>
  <c r="D402" i="3"/>
  <c r="D406" i="3"/>
  <c r="D410" i="3"/>
  <c r="B320" i="3"/>
  <c r="AR307" i="6"/>
  <c r="H329" i="3"/>
  <c r="G333" i="3"/>
  <c r="T317" i="6"/>
  <c r="AB317" i="6" s="1"/>
  <c r="B349" i="3"/>
  <c r="E353" i="3"/>
  <c r="H364" i="3"/>
  <c r="B370" i="3"/>
  <c r="T363" i="6"/>
  <c r="H392" i="3"/>
  <c r="E408" i="3"/>
  <c r="E336" i="3"/>
  <c r="G338" i="3"/>
  <c r="AR327" i="6"/>
  <c r="D352" i="3"/>
  <c r="AR349" i="6"/>
  <c r="H379" i="3"/>
  <c r="D385" i="3"/>
  <c r="AR382" i="6"/>
  <c r="B411" i="3"/>
  <c r="T275" i="6"/>
  <c r="T279" i="6"/>
  <c r="X279" i="6" s="1"/>
  <c r="Z279" i="6" s="1"/>
  <c r="T283" i="6"/>
  <c r="X283" i="6" s="1"/>
  <c r="T287" i="6"/>
  <c r="X287" i="6" s="1"/>
  <c r="T291" i="6"/>
  <c r="T295" i="6"/>
  <c r="X295" i="6" s="1"/>
  <c r="T299" i="6"/>
  <c r="X299" i="6" s="1"/>
  <c r="T303" i="6"/>
  <c r="X303" i="6" s="1"/>
  <c r="T307" i="6"/>
  <c r="T311" i="6"/>
  <c r="X311" i="6" s="1"/>
  <c r="Z311" i="6" s="1"/>
  <c r="T315" i="6"/>
  <c r="X315" i="6" s="1"/>
  <c r="E350" i="3"/>
  <c r="G352" i="3"/>
  <c r="AR341" i="6"/>
  <c r="H365" i="3"/>
  <c r="B381" i="3"/>
  <c r="T367" i="6"/>
  <c r="H396" i="3"/>
  <c r="E412" i="3"/>
  <c r="J345" i="3"/>
  <c r="R326" i="6" s="1"/>
  <c r="S326" i="6" s="1"/>
  <c r="J361" i="3"/>
  <c r="R342" i="6" s="1"/>
  <c r="S342" i="6" s="1"/>
  <c r="J377" i="3"/>
  <c r="R358" i="6" s="1"/>
  <c r="S358" i="6" s="1"/>
  <c r="J393" i="3"/>
  <c r="R374" i="6" s="1"/>
  <c r="S374" i="6" s="1"/>
  <c r="J409" i="3"/>
  <c r="R390" i="6" s="1"/>
  <c r="S390" i="6" s="1"/>
  <c r="I362" i="3"/>
  <c r="I366" i="3"/>
  <c r="I370" i="3"/>
  <c r="I374" i="3"/>
  <c r="I378" i="3"/>
  <c r="I382" i="3"/>
  <c r="I386" i="3"/>
  <c r="I390" i="3"/>
  <c r="I394" i="3"/>
  <c r="I398" i="3"/>
  <c r="I402" i="3"/>
  <c r="I406" i="3"/>
  <c r="I410" i="3"/>
  <c r="E375" i="3"/>
  <c r="E379" i="3"/>
  <c r="E383" i="3"/>
  <c r="E387" i="3"/>
  <c r="E391" i="3"/>
  <c r="E395" i="3"/>
  <c r="E399" i="3"/>
  <c r="E403" i="3"/>
  <c r="E407" i="3"/>
  <c r="E411" i="3"/>
  <c r="I381" i="3"/>
  <c r="I385" i="3"/>
  <c r="I389" i="3"/>
  <c r="I393" i="3"/>
  <c r="I397" i="3"/>
  <c r="I401" i="3"/>
  <c r="I405" i="3"/>
  <c r="I409" i="3"/>
  <c r="AR301" i="6"/>
  <c r="H323" i="3"/>
  <c r="G327" i="3"/>
  <c r="B330" i="3"/>
  <c r="H336" i="3"/>
  <c r="I338" i="3"/>
  <c r="G341" i="3"/>
  <c r="AR330" i="6"/>
  <c r="T334" i="6"/>
  <c r="Y334" i="6" s="1"/>
  <c r="P353" i="3" s="1"/>
  <c r="T351" i="6"/>
  <c r="G376" i="3"/>
  <c r="AR364" i="6"/>
  <c r="B393" i="3"/>
  <c r="T379" i="6"/>
  <c r="H408" i="3"/>
  <c r="B347" i="3"/>
  <c r="E351" i="3"/>
  <c r="B364" i="3"/>
  <c r="D368" i="3"/>
  <c r="B380" i="3"/>
  <c r="AR367" i="6"/>
  <c r="H395" i="3"/>
  <c r="D401" i="3"/>
  <c r="J340" i="3"/>
  <c r="R321" i="6" s="1"/>
  <c r="S321" i="6" s="1"/>
  <c r="T329" i="6"/>
  <c r="X329" i="6" s="1"/>
  <c r="B361" i="3"/>
  <c r="D365" i="3"/>
  <c r="AR352" i="6"/>
  <c r="D375" i="3"/>
  <c r="AR368" i="6"/>
  <c r="B397" i="3"/>
  <c r="T383" i="6"/>
  <c r="H412" i="3"/>
  <c r="J351" i="3"/>
  <c r="R332" i="6" s="1"/>
  <c r="S332" i="6" s="1"/>
  <c r="J367" i="3"/>
  <c r="R348" i="6" s="1"/>
  <c r="S348" i="6" s="1"/>
  <c r="J383" i="3"/>
  <c r="R364" i="6" s="1"/>
  <c r="S364" i="6" s="1"/>
  <c r="J399" i="3"/>
  <c r="R380" i="6" s="1"/>
  <c r="S380" i="6" s="1"/>
  <c r="T356" i="6"/>
  <c r="T360" i="6"/>
  <c r="T364" i="6"/>
  <c r="T368" i="6"/>
  <c r="Y368" i="6" s="1"/>
  <c r="P387" i="3" s="1"/>
  <c r="T372" i="6"/>
  <c r="T376" i="6"/>
  <c r="V376" i="6" s="1"/>
  <c r="M395" i="3" s="1"/>
  <c r="T380" i="6"/>
  <c r="T384" i="6"/>
  <c r="Y384" i="6" s="1"/>
  <c r="P403" i="3" s="1"/>
  <c r="T388" i="6"/>
  <c r="T392" i="6"/>
  <c r="Y392" i="6" s="1"/>
  <c r="P411" i="3" s="1"/>
  <c r="G321" i="3"/>
  <c r="B324" i="3"/>
  <c r="AR311" i="6"/>
  <c r="H333" i="3"/>
  <c r="D338" i="3"/>
  <c r="B350" i="3"/>
  <c r="H353" i="3"/>
  <c r="I355" i="3"/>
  <c r="J360" i="3"/>
  <c r="R341" i="6" s="1"/>
  <c r="S341" i="6" s="1"/>
  <c r="E366" i="3"/>
  <c r="B378" i="3"/>
  <c r="D383" i="3"/>
  <c r="AR380" i="6"/>
  <c r="B409" i="3"/>
  <c r="I237" i="3"/>
  <c r="I241" i="3"/>
  <c r="I245" i="3"/>
  <c r="I249" i="3"/>
  <c r="I253" i="3"/>
  <c r="I257" i="3"/>
  <c r="I261" i="3"/>
  <c r="I265" i="3"/>
  <c r="I269" i="3"/>
  <c r="I273" i="3"/>
  <c r="I277" i="3"/>
  <c r="I281" i="3"/>
  <c r="I285" i="3"/>
  <c r="I289" i="3"/>
  <c r="I293" i="3"/>
  <c r="I297" i="3"/>
  <c r="I301" i="3"/>
  <c r="I305" i="3"/>
  <c r="I309" i="3"/>
  <c r="I313" i="3"/>
  <c r="I317" i="3"/>
  <c r="I321" i="3"/>
  <c r="I325" i="3"/>
  <c r="I329" i="3"/>
  <c r="I333" i="3"/>
  <c r="I336" i="3"/>
  <c r="G339" i="3"/>
  <c r="AR328" i="6"/>
  <c r="T332" i="6"/>
  <c r="Y332" i="6" s="1"/>
  <c r="P351" i="3" s="1"/>
  <c r="T345" i="6"/>
  <c r="Y345" i="6" s="1"/>
  <c r="P364" i="3" s="1"/>
  <c r="G369" i="3"/>
  <c r="B375" i="3"/>
  <c r="J380" i="3"/>
  <c r="R361" i="6" s="1"/>
  <c r="S361" i="6" s="1"/>
  <c r="G391" i="3"/>
  <c r="B396" i="3"/>
  <c r="AR383" i="6"/>
  <c r="H411" i="3"/>
  <c r="D295" i="3"/>
  <c r="D299" i="3"/>
  <c r="D303" i="3"/>
  <c r="D307" i="3"/>
  <c r="D311" i="3"/>
  <c r="D315" i="3"/>
  <c r="D319" i="3"/>
  <c r="D323" i="3"/>
  <c r="D327" i="3"/>
  <c r="D331" i="3"/>
  <c r="D335" i="3"/>
  <c r="H348" i="3"/>
  <c r="I350" i="3"/>
  <c r="G353" i="3"/>
  <c r="T342" i="6"/>
  <c r="U342" i="6" s="1"/>
  <c r="L361" i="3" s="1"/>
  <c r="E367" i="3"/>
  <c r="I371" i="3"/>
  <c r="H376" i="3"/>
  <c r="H381" i="3"/>
  <c r="D387" i="3"/>
  <c r="AR384" i="6"/>
  <c r="J341" i="3"/>
  <c r="R322" i="6" s="1"/>
  <c r="S322" i="6" s="1"/>
  <c r="J357" i="3"/>
  <c r="R338" i="6" s="1"/>
  <c r="S338" i="6" s="1"/>
  <c r="J373" i="3"/>
  <c r="R354" i="6" s="1"/>
  <c r="S354" i="6" s="1"/>
  <c r="J389" i="3"/>
  <c r="R370" i="6" s="1"/>
  <c r="S370" i="6" s="1"/>
  <c r="J405" i="3"/>
  <c r="R386" i="6" s="1"/>
  <c r="S386" i="6" s="1"/>
  <c r="AR305" i="6"/>
  <c r="H327" i="3"/>
  <c r="G331" i="3"/>
  <c r="B334" i="3"/>
  <c r="E337" i="3"/>
  <c r="D355" i="3"/>
  <c r="H361" i="3"/>
  <c r="G372" i="3"/>
  <c r="T359" i="6"/>
  <c r="AR365" i="6"/>
  <c r="H393" i="3"/>
  <c r="D399" i="3"/>
  <c r="D336" i="3"/>
  <c r="B348" i="3"/>
  <c r="H351" i="3"/>
  <c r="I353" i="3"/>
  <c r="J358" i="3"/>
  <c r="R339" i="6" s="1"/>
  <c r="S339" i="6" s="1"/>
  <c r="G392" i="3"/>
  <c r="J396" i="3"/>
  <c r="R377" i="6" s="1"/>
  <c r="S377" i="6" s="1"/>
  <c r="G407" i="3"/>
  <c r="B412" i="3"/>
  <c r="E296" i="3"/>
  <c r="E300" i="3"/>
  <c r="E304" i="3"/>
  <c r="E308" i="3"/>
  <c r="E312" i="3"/>
  <c r="E316" i="3"/>
  <c r="E320" i="3"/>
  <c r="E324" i="3"/>
  <c r="E328" i="3"/>
  <c r="E332" i="3"/>
  <c r="G336" i="3"/>
  <c r="AR325" i="6"/>
  <c r="D350" i="3"/>
  <c r="AR343" i="6"/>
  <c r="AR358" i="6"/>
  <c r="B382" i="3"/>
  <c r="AR369" i="6"/>
  <c r="H397" i="3"/>
  <c r="D403" i="3"/>
  <c r="J347" i="3"/>
  <c r="R328" i="6" s="1"/>
  <c r="S328" i="6" s="1"/>
  <c r="J363" i="3"/>
  <c r="R344" i="6" s="1"/>
  <c r="S344" i="6" s="1"/>
  <c r="J379" i="3"/>
  <c r="R360" i="6" s="1"/>
  <c r="S360" i="6" s="1"/>
  <c r="J395" i="3"/>
  <c r="R376" i="6" s="1"/>
  <c r="S376" i="6" s="1"/>
  <c r="J411" i="3"/>
  <c r="R392" i="6" s="1"/>
  <c r="S392" i="6" s="1"/>
  <c r="D376" i="3"/>
  <c r="D380" i="3"/>
  <c r="D384" i="3"/>
  <c r="D388" i="3"/>
  <c r="D392" i="3"/>
  <c r="D396" i="3"/>
  <c r="D400" i="3"/>
  <c r="D404" i="3"/>
  <c r="D408" i="3"/>
  <c r="D412" i="3"/>
  <c r="H321" i="3"/>
  <c r="G325" i="3"/>
  <c r="B328" i="3"/>
  <c r="AR315" i="6"/>
  <c r="T318" i="6"/>
  <c r="E354" i="3"/>
  <c r="G356" i="3"/>
  <c r="D361" i="3"/>
  <c r="AR348" i="6"/>
  <c r="J372" i="3"/>
  <c r="R353" i="6" s="1"/>
  <c r="S353" i="6" s="1"/>
  <c r="G389" i="3"/>
  <c r="B394" i="3"/>
  <c r="AR381" i="6"/>
  <c r="H409" i="3"/>
  <c r="D353" i="3"/>
  <c r="G366" i="3"/>
  <c r="G408" i="3"/>
  <c r="J412" i="3"/>
  <c r="R393" i="6" s="1"/>
  <c r="S393" i="6" s="1"/>
  <c r="T277" i="6"/>
  <c r="X277" i="6" s="1"/>
  <c r="T281" i="6"/>
  <c r="X281" i="6" s="1"/>
  <c r="T285" i="6"/>
  <c r="X285" i="6" s="1"/>
  <c r="AA285" i="6" s="1"/>
  <c r="T289" i="6"/>
  <c r="X289" i="6" s="1"/>
  <c r="T293" i="6"/>
  <c r="X293" i="6" s="1"/>
  <c r="T297" i="6"/>
  <c r="X297" i="6" s="1"/>
  <c r="AA297" i="6" s="1"/>
  <c r="T301" i="6"/>
  <c r="X301" i="6" s="1"/>
  <c r="T305" i="6"/>
  <c r="X305" i="6" s="1"/>
  <c r="T309" i="6"/>
  <c r="X309" i="6" s="1"/>
  <c r="T313" i="6"/>
  <c r="X313" i="6" s="1"/>
  <c r="B345" i="3"/>
  <c r="E349" i="3"/>
  <c r="D362" i="3"/>
  <c r="E378" i="3"/>
  <c r="J382" i="3"/>
  <c r="R363" i="6" s="1"/>
  <c r="S363" i="6" s="1"/>
  <c r="G393" i="3"/>
  <c r="B398" i="3"/>
  <c r="AR385" i="6"/>
  <c r="J337" i="3"/>
  <c r="R318" i="6" s="1"/>
  <c r="S318" i="6" s="1"/>
  <c r="J353" i="3"/>
  <c r="R334" i="6" s="1"/>
  <c r="S334" i="6" s="1"/>
  <c r="J369" i="3"/>
  <c r="R350" i="6" s="1"/>
  <c r="S350" i="6" s="1"/>
  <c r="J385" i="3"/>
  <c r="R366" i="6" s="1"/>
  <c r="S366" i="6" s="1"/>
  <c r="J401" i="3"/>
  <c r="R382" i="6" s="1"/>
  <c r="S382" i="6" s="1"/>
  <c r="I364" i="3"/>
  <c r="I368" i="3"/>
  <c r="I372" i="3"/>
  <c r="I376" i="3"/>
  <c r="I380" i="3"/>
  <c r="I384" i="3"/>
  <c r="I388" i="3"/>
  <c r="I392" i="3"/>
  <c r="I396" i="3"/>
  <c r="I400" i="3"/>
  <c r="I404" i="3"/>
  <c r="I408" i="3"/>
  <c r="I412" i="3"/>
  <c r="E377" i="3"/>
  <c r="E381" i="3"/>
  <c r="E385" i="3"/>
  <c r="E389" i="3"/>
  <c r="E393" i="3"/>
  <c r="E397" i="3"/>
  <c r="E401" i="3"/>
  <c r="E405" i="3"/>
  <c r="E409" i="3"/>
  <c r="I379" i="3"/>
  <c r="I383" i="3"/>
  <c r="I387" i="3"/>
  <c r="I391" i="3"/>
  <c r="I395" i="3"/>
  <c r="I399" i="3"/>
  <c r="I403" i="3"/>
  <c r="I407" i="3"/>
  <c r="I411" i="3"/>
  <c r="B322" i="3"/>
  <c r="AR309" i="6"/>
  <c r="H331" i="3"/>
  <c r="G335" i="3"/>
  <c r="H337" i="3"/>
  <c r="I339" i="3"/>
  <c r="J344" i="3"/>
  <c r="R325" i="6" s="1"/>
  <c r="S325" i="6" s="1"/>
  <c r="T333" i="6"/>
  <c r="X333" i="6" s="1"/>
  <c r="E363" i="3"/>
  <c r="I367" i="3"/>
  <c r="B373" i="3"/>
  <c r="G390" i="3"/>
  <c r="J394" i="3"/>
  <c r="R375" i="6" s="1"/>
  <c r="S375" i="6" s="1"/>
  <c r="G405" i="3"/>
  <c r="B410" i="3"/>
  <c r="E352" i="3"/>
  <c r="G354" i="3"/>
  <c r="AR342" i="6"/>
  <c r="J366" i="3"/>
  <c r="R347" i="6" s="1"/>
  <c r="S347" i="6" s="1"/>
  <c r="H371" i="3"/>
  <c r="E394" i="3"/>
  <c r="G337" i="3"/>
  <c r="AR326" i="6"/>
  <c r="T330" i="6"/>
  <c r="Y330" i="6" s="1"/>
  <c r="P349" i="3" s="1"/>
  <c r="G363" i="3"/>
  <c r="H368" i="3"/>
  <c r="B374" i="3"/>
  <c r="J378" i="3"/>
  <c r="R359" i="6" s="1"/>
  <c r="S359" i="6" s="1"/>
  <c r="G394" i="3"/>
  <c r="J398" i="3"/>
  <c r="R379" i="6" s="1"/>
  <c r="S379" i="6" s="1"/>
  <c r="G409" i="3"/>
  <c r="J343" i="3"/>
  <c r="R324" i="6" s="1"/>
  <c r="S324" i="6" s="1"/>
  <c r="J359" i="3"/>
  <c r="R340" i="6" s="1"/>
  <c r="S340" i="6" s="1"/>
  <c r="J375" i="3"/>
  <c r="R356" i="6" s="1"/>
  <c r="S356" i="6" s="1"/>
  <c r="J391" i="3"/>
  <c r="R372" i="6" s="1"/>
  <c r="S372" i="6" s="1"/>
  <c r="J407" i="3"/>
  <c r="R388" i="6" s="1"/>
  <c r="S388" i="6" s="1"/>
  <c r="T358" i="6"/>
  <c r="X358" i="6" s="1"/>
  <c r="T362" i="6"/>
  <c r="Y362" i="6" s="1"/>
  <c r="P381" i="3" s="1"/>
  <c r="T366" i="6"/>
  <c r="T370" i="6"/>
  <c r="V370" i="6" s="1"/>
  <c r="M389" i="3" s="1"/>
  <c r="T374" i="6"/>
  <c r="Y374" i="6" s="1"/>
  <c r="P393" i="3" s="1"/>
  <c r="T378" i="6"/>
  <c r="Y378" i="6" s="1"/>
  <c r="P397" i="3" s="1"/>
  <c r="T382" i="6"/>
  <c r="T386" i="6"/>
  <c r="T390" i="6"/>
  <c r="X390" i="6" s="1"/>
  <c r="AO383" i="6"/>
  <c r="AO389" i="6"/>
  <c r="AO126" i="6"/>
  <c r="AO341" i="6"/>
  <c r="AO382" i="6"/>
  <c r="X338" i="6"/>
  <c r="Y206" i="6"/>
  <c r="P225" i="3" s="1"/>
  <c r="Y156" i="6"/>
  <c r="P175" i="3" s="1"/>
  <c r="X204" i="6"/>
  <c r="AA204" i="6" s="1"/>
  <c r="X188" i="6"/>
  <c r="AA188" i="6" s="1"/>
  <c r="X172" i="6"/>
  <c r="AA172" i="6" s="1"/>
  <c r="X140" i="6"/>
  <c r="AA140" i="6" s="1"/>
  <c r="X124" i="6"/>
  <c r="X274" i="6"/>
  <c r="Y34" i="6"/>
  <c r="P53" i="3" s="1"/>
  <c r="Y190" i="6"/>
  <c r="P209" i="3" s="1"/>
  <c r="Y142" i="6"/>
  <c r="P161" i="3" s="1"/>
  <c r="Y158" i="6"/>
  <c r="P177" i="3" s="1"/>
  <c r="Y352" i="6"/>
  <c r="P371" i="3" s="1"/>
  <c r="X346" i="6"/>
  <c r="X288" i="6"/>
  <c r="Y390" i="6"/>
  <c r="P409" i="3" s="1"/>
  <c r="X304" i="6"/>
  <c r="AA304" i="6" s="1"/>
  <c r="Y226" i="6"/>
  <c r="P245" i="3" s="1"/>
  <c r="X334" i="6"/>
  <c r="AA334" i="6" s="1"/>
  <c r="Z232" i="6"/>
  <c r="AA232" i="6"/>
  <c r="O251" i="3"/>
  <c r="AA308" i="6"/>
  <c r="Z308" i="6"/>
  <c r="O327" i="3"/>
  <c r="AA276" i="6"/>
  <c r="Z276" i="6"/>
  <c r="O295" i="3"/>
  <c r="AL64" i="6"/>
  <c r="V64" i="6"/>
  <c r="M83" i="3" s="1"/>
  <c r="U64" i="6"/>
  <c r="L83" i="3" s="1"/>
  <c r="AB64" i="6"/>
  <c r="K83" i="3"/>
  <c r="AL45" i="6"/>
  <c r="V45" i="6"/>
  <c r="M64" i="3" s="1"/>
  <c r="U45" i="6"/>
  <c r="L64" i="3" s="1"/>
  <c r="AB45" i="6"/>
  <c r="X45" i="6"/>
  <c r="K64" i="3"/>
  <c r="AL66" i="6"/>
  <c r="V66" i="6"/>
  <c r="M85" i="3" s="1"/>
  <c r="U66" i="6"/>
  <c r="L85" i="3" s="1"/>
  <c r="AB66" i="6"/>
  <c r="K85" i="3"/>
  <c r="X71" i="6"/>
  <c r="AL71" i="6"/>
  <c r="V71" i="6"/>
  <c r="M90" i="3" s="1"/>
  <c r="U71" i="6"/>
  <c r="L90" i="3" s="1"/>
  <c r="AB71" i="6"/>
  <c r="K90" i="3"/>
  <c r="AL76" i="6"/>
  <c r="X97" i="6"/>
  <c r="AL97" i="6"/>
  <c r="V97" i="6"/>
  <c r="M116" i="3" s="1"/>
  <c r="U97" i="6"/>
  <c r="L116" i="3" s="1"/>
  <c r="AB97" i="6"/>
  <c r="K116" i="3"/>
  <c r="X33" i="6"/>
  <c r="AL33" i="6"/>
  <c r="V33" i="6"/>
  <c r="M52" i="3" s="1"/>
  <c r="U33" i="6"/>
  <c r="L52" i="3" s="1"/>
  <c r="AB33" i="6"/>
  <c r="K52" i="3"/>
  <c r="X15" i="6"/>
  <c r="AL15" i="6"/>
  <c r="V15" i="6"/>
  <c r="M34" i="3" s="1"/>
  <c r="U15" i="6"/>
  <c r="L34" i="3" s="1"/>
  <c r="AB15" i="6"/>
  <c r="K34" i="3"/>
  <c r="AO50" i="6"/>
  <c r="A69" i="3"/>
  <c r="AO317" i="6"/>
  <c r="AB248" i="6"/>
  <c r="X248" i="6"/>
  <c r="V248" i="6"/>
  <c r="M267" i="3" s="1"/>
  <c r="AL248" i="6"/>
  <c r="U248" i="6"/>
  <c r="L267" i="3" s="1"/>
  <c r="K267" i="3"/>
  <c r="AB165" i="6"/>
  <c r="X165" i="6"/>
  <c r="AL165" i="6"/>
  <c r="V165" i="6"/>
  <c r="M184" i="3" s="1"/>
  <c r="U165" i="6"/>
  <c r="L184" i="3" s="1"/>
  <c r="K184" i="3"/>
  <c r="AL144" i="6"/>
  <c r="V144" i="6"/>
  <c r="M163" i="3" s="1"/>
  <c r="U144" i="6"/>
  <c r="L163" i="3" s="1"/>
  <c r="AB144" i="6"/>
  <c r="K163" i="3"/>
  <c r="X112" i="6"/>
  <c r="AL112" i="6"/>
  <c r="V112" i="6"/>
  <c r="M131" i="3" s="1"/>
  <c r="U112" i="6"/>
  <c r="L131" i="3" s="1"/>
  <c r="AB112" i="6"/>
  <c r="K131" i="3"/>
  <c r="Y223" i="6"/>
  <c r="P242" i="3" s="1"/>
  <c r="V223" i="6"/>
  <c r="M242" i="3" s="1"/>
  <c r="U223" i="6"/>
  <c r="L242" i="3" s="1"/>
  <c r="AL223" i="6"/>
  <c r="AB223" i="6"/>
  <c r="K242" i="3"/>
  <c r="AL227" i="6"/>
  <c r="V227" i="6"/>
  <c r="M246" i="3" s="1"/>
  <c r="U227" i="6"/>
  <c r="L246" i="3" s="1"/>
  <c r="AB227" i="6"/>
  <c r="K246" i="3"/>
  <c r="AO368" i="6"/>
  <c r="AO326" i="6"/>
  <c r="AO342" i="6"/>
  <c r="AO364" i="6"/>
  <c r="AO392" i="6"/>
  <c r="AO334" i="6"/>
  <c r="AO360" i="6"/>
  <c r="AO262" i="6"/>
  <c r="AO256" i="6"/>
  <c r="AA319" i="6"/>
  <c r="Z319" i="6"/>
  <c r="O338" i="3"/>
  <c r="AA301" i="6"/>
  <c r="Z301" i="6"/>
  <c r="O320" i="3"/>
  <c r="Z285" i="6"/>
  <c r="O304" i="3"/>
  <c r="AA261" i="6"/>
  <c r="Z261" i="6"/>
  <c r="O280" i="3"/>
  <c r="AO365" i="6"/>
  <c r="AO319" i="6"/>
  <c r="AO301" i="6"/>
  <c r="AO285" i="6"/>
  <c r="AO260" i="6"/>
  <c r="AO228" i="6"/>
  <c r="AO312" i="6"/>
  <c r="AO296" i="6"/>
  <c r="AO280" i="6"/>
  <c r="AA249" i="6"/>
  <c r="Z249" i="6"/>
  <c r="O268" i="3"/>
  <c r="Y165" i="6"/>
  <c r="P184" i="3" s="1"/>
  <c r="AO267" i="6"/>
  <c r="AO237" i="6"/>
  <c r="AO211" i="6"/>
  <c r="AO195" i="6"/>
  <c r="AO179" i="6"/>
  <c r="AO163" i="6"/>
  <c r="AO147" i="6"/>
  <c r="AO131" i="6"/>
  <c r="AO115" i="6"/>
  <c r="AA206" i="6"/>
  <c r="Z206" i="6"/>
  <c r="O225" i="3"/>
  <c r="AA190" i="6"/>
  <c r="Z190" i="6"/>
  <c r="O209" i="3"/>
  <c r="AA158" i="6"/>
  <c r="Z158" i="6"/>
  <c r="O177" i="3"/>
  <c r="AA142" i="6"/>
  <c r="Z142" i="6"/>
  <c r="O161" i="3"/>
  <c r="AO106" i="6"/>
  <c r="AO214" i="6"/>
  <c r="AO198" i="6"/>
  <c r="AO182" i="6"/>
  <c r="AO166" i="6"/>
  <c r="AO150" i="6"/>
  <c r="AO134" i="6"/>
  <c r="AO118" i="6"/>
  <c r="AA78" i="6"/>
  <c r="Z78" i="6"/>
  <c r="O97" i="3"/>
  <c r="AA46" i="6"/>
  <c r="Z46" i="6"/>
  <c r="O65" i="3"/>
  <c r="AO103" i="6"/>
  <c r="A122" i="3"/>
  <c r="AO87" i="6"/>
  <c r="A106" i="3"/>
  <c r="AO71" i="6"/>
  <c r="A90" i="3"/>
  <c r="AO55" i="6"/>
  <c r="A74" i="3"/>
  <c r="AO39" i="6"/>
  <c r="A58" i="3"/>
  <c r="AO23" i="6"/>
  <c r="A42" i="3"/>
  <c r="AO88" i="6"/>
  <c r="A107" i="3"/>
  <c r="AO72" i="6"/>
  <c r="A91" i="3"/>
  <c r="AO56" i="6"/>
  <c r="A75" i="3"/>
  <c r="AO40" i="6"/>
  <c r="A59" i="3"/>
  <c r="AO24" i="6"/>
  <c r="A43" i="3"/>
  <c r="AO21" i="6"/>
  <c r="A40" i="3"/>
  <c r="AO93" i="6"/>
  <c r="A112" i="3"/>
  <c r="AO77" i="6"/>
  <c r="A96" i="3"/>
  <c r="AO61" i="6"/>
  <c r="A80" i="3"/>
  <c r="AO45" i="6"/>
  <c r="A64" i="3"/>
  <c r="AO29" i="6"/>
  <c r="A48" i="3"/>
  <c r="AO393" i="6"/>
  <c r="AB384" i="6"/>
  <c r="X384" i="6"/>
  <c r="AL384" i="6"/>
  <c r="V384" i="6"/>
  <c r="M403" i="3" s="1"/>
  <c r="U384" i="6"/>
  <c r="L403" i="3" s="1"/>
  <c r="K403" i="3"/>
  <c r="AO363" i="6"/>
  <c r="AB358" i="6"/>
  <c r="V358" i="6"/>
  <c r="M377" i="3" s="1"/>
  <c r="U358" i="6"/>
  <c r="L377" i="3" s="1"/>
  <c r="AL358" i="6"/>
  <c r="K377" i="3"/>
  <c r="V342" i="6"/>
  <c r="M361" i="3" s="1"/>
  <c r="AB301" i="6"/>
  <c r="Y301" i="6"/>
  <c r="P320" i="3" s="1"/>
  <c r="AL301" i="6"/>
  <c r="V301" i="6"/>
  <c r="M320" i="3" s="1"/>
  <c r="U301" i="6"/>
  <c r="L320" i="3" s="1"/>
  <c r="K320" i="3"/>
  <c r="AB285" i="6"/>
  <c r="Y285" i="6"/>
  <c r="P304" i="3" s="1"/>
  <c r="AL285" i="6"/>
  <c r="V285" i="6"/>
  <c r="M304" i="3" s="1"/>
  <c r="U285" i="6"/>
  <c r="L304" i="3" s="1"/>
  <c r="K304" i="3"/>
  <c r="V348" i="6"/>
  <c r="M367" i="3" s="1"/>
  <c r="U348" i="6"/>
  <c r="L367" i="3" s="1"/>
  <c r="AL348" i="6"/>
  <c r="AB348" i="6"/>
  <c r="K367" i="3"/>
  <c r="X363" i="6"/>
  <c r="U363" i="6"/>
  <c r="L382" i="3" s="1"/>
  <c r="AB363" i="6"/>
  <c r="AL363" i="6"/>
  <c r="Y363" i="6"/>
  <c r="P382" i="3" s="1"/>
  <c r="V363" i="6"/>
  <c r="M382" i="3" s="1"/>
  <c r="K382" i="3"/>
  <c r="U393" i="6"/>
  <c r="L412" i="3" s="1"/>
  <c r="AL393" i="6"/>
  <c r="AL350" i="6"/>
  <c r="AB350" i="6"/>
  <c r="V350" i="6"/>
  <c r="M369" i="3" s="1"/>
  <c r="U350" i="6"/>
  <c r="L369" i="3" s="1"/>
  <c r="K369" i="3"/>
  <c r="AL302" i="6"/>
  <c r="V302" i="6"/>
  <c r="M321" i="3" s="1"/>
  <c r="U302" i="6"/>
  <c r="L321" i="3" s="1"/>
  <c r="AB302" i="6"/>
  <c r="K321" i="3"/>
  <c r="AL286" i="6"/>
  <c r="V286" i="6"/>
  <c r="M305" i="3" s="1"/>
  <c r="U286" i="6"/>
  <c r="L305" i="3" s="1"/>
  <c r="AB286" i="6"/>
  <c r="K305" i="3"/>
  <c r="AO271" i="6"/>
  <c r="AL266" i="6"/>
  <c r="V266" i="6"/>
  <c r="M285" i="3" s="1"/>
  <c r="AB266" i="6"/>
  <c r="U266" i="6"/>
  <c r="L285" i="3" s="1"/>
  <c r="K285" i="3"/>
  <c r="AO253" i="6"/>
  <c r="AO239" i="6"/>
  <c r="U353" i="6"/>
  <c r="L372" i="3" s="1"/>
  <c r="AL353" i="6"/>
  <c r="AB353" i="6"/>
  <c r="Y353" i="6"/>
  <c r="P372" i="3" s="1"/>
  <c r="X353" i="6"/>
  <c r="V353" i="6"/>
  <c r="M372" i="3" s="1"/>
  <c r="K372" i="3"/>
  <c r="X387" i="6"/>
  <c r="U387" i="6"/>
  <c r="L406" i="3" s="1"/>
  <c r="V387" i="6"/>
  <c r="M406" i="3" s="1"/>
  <c r="AB387" i="6"/>
  <c r="AL387" i="6"/>
  <c r="Y387" i="6"/>
  <c r="P406" i="3" s="1"/>
  <c r="K406" i="3"/>
  <c r="U343" i="6"/>
  <c r="L362" i="3" s="1"/>
  <c r="AL343" i="6"/>
  <c r="AB343" i="6"/>
  <c r="Y343" i="6"/>
  <c r="P362" i="3" s="1"/>
  <c r="X343" i="6"/>
  <c r="V343" i="6"/>
  <c r="M362" i="3" s="1"/>
  <c r="K362" i="3"/>
  <c r="U325" i="6"/>
  <c r="L344" i="3" s="1"/>
  <c r="AL218" i="6"/>
  <c r="U218" i="6"/>
  <c r="L237" i="3" s="1"/>
  <c r="AB218" i="6"/>
  <c r="Y218" i="6"/>
  <c r="P237" i="3" s="1"/>
  <c r="V218" i="6"/>
  <c r="M237" i="3" s="1"/>
  <c r="K237" i="3"/>
  <c r="AB207" i="6"/>
  <c r="X207" i="6"/>
  <c r="AL207" i="6"/>
  <c r="V207" i="6"/>
  <c r="M226" i="3" s="1"/>
  <c r="U207" i="6"/>
  <c r="L226" i="3" s="1"/>
  <c r="K226" i="3"/>
  <c r="AB191" i="6"/>
  <c r="X191" i="6"/>
  <c r="AL191" i="6"/>
  <c r="V191" i="6"/>
  <c r="M210" i="3" s="1"/>
  <c r="U191" i="6"/>
  <c r="L210" i="3" s="1"/>
  <c r="K210" i="3"/>
  <c r="AB175" i="6"/>
  <c r="X175" i="6"/>
  <c r="AL175" i="6"/>
  <c r="V175" i="6"/>
  <c r="M194" i="3" s="1"/>
  <c r="U175" i="6"/>
  <c r="L194" i="3" s="1"/>
  <c r="K194" i="3"/>
  <c r="AB159" i="6"/>
  <c r="X159" i="6"/>
  <c r="AL159" i="6"/>
  <c r="V159" i="6"/>
  <c r="M178" i="3" s="1"/>
  <c r="U159" i="6"/>
  <c r="L178" i="3" s="1"/>
  <c r="K178" i="3"/>
  <c r="AB143" i="6"/>
  <c r="X143" i="6"/>
  <c r="AL143" i="6"/>
  <c r="V143" i="6"/>
  <c r="M162" i="3" s="1"/>
  <c r="U143" i="6"/>
  <c r="L162" i="3" s="1"/>
  <c r="K162" i="3"/>
  <c r="AB127" i="6"/>
  <c r="X127" i="6"/>
  <c r="AL127" i="6"/>
  <c r="V127" i="6"/>
  <c r="M146" i="3" s="1"/>
  <c r="U127" i="6"/>
  <c r="L146" i="3" s="1"/>
  <c r="K146" i="3"/>
  <c r="V220" i="6"/>
  <c r="M239" i="3" s="1"/>
  <c r="AL220" i="6"/>
  <c r="U220" i="6"/>
  <c r="L239" i="3" s="1"/>
  <c r="AB220" i="6"/>
  <c r="X220" i="6"/>
  <c r="K239" i="3"/>
  <c r="AL273" i="6"/>
  <c r="V273" i="6"/>
  <c r="M292" i="3" s="1"/>
  <c r="U273" i="6"/>
  <c r="L292" i="3" s="1"/>
  <c r="AB273" i="6"/>
  <c r="Y273" i="6"/>
  <c r="P292" i="3" s="1"/>
  <c r="K292" i="3"/>
  <c r="U202" i="6"/>
  <c r="L221" i="3" s="1"/>
  <c r="K221" i="3"/>
  <c r="AL186" i="6"/>
  <c r="V186" i="6"/>
  <c r="M205" i="3" s="1"/>
  <c r="U186" i="6"/>
  <c r="L205" i="3" s="1"/>
  <c r="AB186" i="6"/>
  <c r="K205" i="3"/>
  <c r="AL170" i="6"/>
  <c r="U170" i="6"/>
  <c r="L189" i="3" s="1"/>
  <c r="AL154" i="6"/>
  <c r="V154" i="6"/>
  <c r="M173" i="3" s="1"/>
  <c r="U154" i="6"/>
  <c r="L173" i="3" s="1"/>
  <c r="AB154" i="6"/>
  <c r="K173" i="3"/>
  <c r="AL138" i="6"/>
  <c r="AL122" i="6"/>
  <c r="V122" i="6"/>
  <c r="M141" i="3" s="1"/>
  <c r="U122" i="6"/>
  <c r="L141" i="3" s="1"/>
  <c r="AB122" i="6"/>
  <c r="K141" i="3"/>
  <c r="AL245" i="6"/>
  <c r="V245" i="6"/>
  <c r="M264" i="3" s="1"/>
  <c r="U245" i="6"/>
  <c r="L264" i="3" s="1"/>
  <c r="AB245" i="6"/>
  <c r="Y245" i="6"/>
  <c r="P264" i="3" s="1"/>
  <c r="K264" i="3"/>
  <c r="AL105" i="6"/>
  <c r="V105" i="6"/>
  <c r="M124" i="3" s="1"/>
  <c r="U105" i="6"/>
  <c r="L124" i="3" s="1"/>
  <c r="AB105" i="6"/>
  <c r="K124" i="3"/>
  <c r="AB78" i="6"/>
  <c r="Y78" i="6"/>
  <c r="P97" i="3" s="1"/>
  <c r="AL78" i="6"/>
  <c r="V78" i="6"/>
  <c r="M97" i="3" s="1"/>
  <c r="U78" i="6"/>
  <c r="L97" i="3" s="1"/>
  <c r="K97" i="3"/>
  <c r="AL67" i="6"/>
  <c r="K86" i="3"/>
  <c r="AL40" i="6"/>
  <c r="V40" i="6"/>
  <c r="M59" i="3" s="1"/>
  <c r="U40" i="6"/>
  <c r="L59" i="3" s="1"/>
  <c r="AB40" i="6"/>
  <c r="K59" i="3"/>
  <c r="AL12" i="6"/>
  <c r="V12" i="6"/>
  <c r="M31" i="3" s="1"/>
  <c r="U12" i="6"/>
  <c r="L31" i="3" s="1"/>
  <c r="AB12" i="6"/>
  <c r="K31" i="3"/>
  <c r="AL85" i="6"/>
  <c r="V85" i="6"/>
  <c r="M104" i="3" s="1"/>
  <c r="U85" i="6"/>
  <c r="L104" i="3" s="1"/>
  <c r="AB85" i="6"/>
  <c r="X85" i="6"/>
  <c r="K104" i="3"/>
  <c r="AL21" i="6"/>
  <c r="V21" i="6"/>
  <c r="M40" i="3" s="1"/>
  <c r="U21" i="6"/>
  <c r="L40" i="3" s="1"/>
  <c r="AB21" i="6"/>
  <c r="X21" i="6"/>
  <c r="K40" i="3"/>
  <c r="AL42" i="6"/>
  <c r="V42" i="6"/>
  <c r="M61" i="3" s="1"/>
  <c r="U42" i="6"/>
  <c r="L61" i="3" s="1"/>
  <c r="AB42" i="6"/>
  <c r="K61" i="3"/>
  <c r="X47" i="6"/>
  <c r="AL47" i="6"/>
  <c r="V47" i="6"/>
  <c r="M66" i="3" s="1"/>
  <c r="U47" i="6"/>
  <c r="L66" i="3" s="1"/>
  <c r="AB47" i="6"/>
  <c r="K66" i="3"/>
  <c r="AL52" i="6"/>
  <c r="V52" i="6"/>
  <c r="M71" i="3" s="1"/>
  <c r="U52" i="6"/>
  <c r="L71" i="3" s="1"/>
  <c r="AB52" i="6"/>
  <c r="K71" i="3"/>
  <c r="AL13" i="6"/>
  <c r="X73" i="6"/>
  <c r="AL73" i="6"/>
  <c r="V73" i="6"/>
  <c r="M92" i="3" s="1"/>
  <c r="U73" i="6"/>
  <c r="L92" i="3" s="1"/>
  <c r="AB73" i="6"/>
  <c r="K92" i="3"/>
  <c r="AO66" i="6"/>
  <c r="A85" i="3"/>
  <c r="AO385" i="6"/>
  <c r="AB307" i="6"/>
  <c r="Y307" i="6"/>
  <c r="P326" i="3" s="1"/>
  <c r="AL307" i="6"/>
  <c r="V307" i="6"/>
  <c r="M326" i="3" s="1"/>
  <c r="U307" i="6"/>
  <c r="L326" i="3" s="1"/>
  <c r="K326" i="3"/>
  <c r="V324" i="6"/>
  <c r="M343" i="3" s="1"/>
  <c r="U324" i="6"/>
  <c r="L343" i="3" s="1"/>
  <c r="AL324" i="6"/>
  <c r="AB324" i="6"/>
  <c r="K343" i="3"/>
  <c r="V219" i="6"/>
  <c r="M238" i="3" s="1"/>
  <c r="U219" i="6"/>
  <c r="L238" i="3" s="1"/>
  <c r="AL219" i="6"/>
  <c r="AB219" i="6"/>
  <c r="Y219" i="6"/>
  <c r="P238" i="3" s="1"/>
  <c r="K238" i="3"/>
  <c r="AL208" i="6"/>
  <c r="V208" i="6"/>
  <c r="M227" i="3" s="1"/>
  <c r="U208" i="6"/>
  <c r="L227" i="3" s="1"/>
  <c r="AB208" i="6"/>
  <c r="K227" i="3"/>
  <c r="U91" i="6"/>
  <c r="L110" i="3" s="1"/>
  <c r="AB91" i="6"/>
  <c r="X91" i="6"/>
  <c r="AL91" i="6"/>
  <c r="V91" i="6"/>
  <c r="M110" i="3" s="1"/>
  <c r="K110" i="3"/>
  <c r="AO346" i="6"/>
  <c r="AO348" i="6"/>
  <c r="AO362" i="6"/>
  <c r="AO350" i="6"/>
  <c r="AO372" i="6"/>
  <c r="AO316" i="6"/>
  <c r="AA341" i="6"/>
  <c r="Z341" i="6"/>
  <c r="O360" i="3"/>
  <c r="AA315" i="6"/>
  <c r="Z315" i="6"/>
  <c r="O334" i="3"/>
  <c r="AA299" i="6"/>
  <c r="Z299" i="6"/>
  <c r="O318" i="3"/>
  <c r="AA283" i="6"/>
  <c r="Z283" i="6"/>
  <c r="O302" i="3"/>
  <c r="AO250" i="6"/>
  <c r="AO359" i="6"/>
  <c r="AO315" i="6"/>
  <c r="AO299" i="6"/>
  <c r="AO283" i="6"/>
  <c r="AA390" i="6"/>
  <c r="Z390" i="6"/>
  <c r="O409" i="3"/>
  <c r="X332" i="6"/>
  <c r="AA274" i="6"/>
  <c r="Z274" i="6"/>
  <c r="O293" i="3"/>
  <c r="X324" i="6"/>
  <c r="AO310" i="6"/>
  <c r="AO294" i="6"/>
  <c r="AO278" i="6"/>
  <c r="Y248" i="6"/>
  <c r="P267" i="3" s="1"/>
  <c r="AO232" i="6"/>
  <c r="AO111" i="6"/>
  <c r="X223" i="6"/>
  <c r="AO110" i="6"/>
  <c r="AO265" i="6"/>
  <c r="AO235" i="6"/>
  <c r="AO209" i="6"/>
  <c r="AO193" i="6"/>
  <c r="AO177" i="6"/>
  <c r="AO161" i="6"/>
  <c r="AO145" i="6"/>
  <c r="AO129" i="6"/>
  <c r="AO113" i="6"/>
  <c r="AO107" i="6"/>
  <c r="AA156" i="6"/>
  <c r="Z156" i="6"/>
  <c r="O175" i="3"/>
  <c r="O159" i="3"/>
  <c r="AA124" i="6"/>
  <c r="Z124" i="6"/>
  <c r="O143" i="3"/>
  <c r="AO212" i="6"/>
  <c r="AO196" i="6"/>
  <c r="AO180" i="6"/>
  <c r="AO164" i="6"/>
  <c r="AO148" i="6"/>
  <c r="AO132" i="6"/>
  <c r="AO116" i="6"/>
  <c r="AP394" i="6"/>
  <c r="AB392" i="6"/>
  <c r="AL392" i="6"/>
  <c r="V392" i="6"/>
  <c r="M411" i="3" s="1"/>
  <c r="U392" i="6"/>
  <c r="L411" i="3" s="1"/>
  <c r="K411" i="3"/>
  <c r="AB388" i="6"/>
  <c r="V388" i="6"/>
  <c r="M407" i="3" s="1"/>
  <c r="U388" i="6"/>
  <c r="L407" i="3" s="1"/>
  <c r="AL388" i="6"/>
  <c r="K407" i="3"/>
  <c r="AO367" i="6"/>
  <c r="AB362" i="6"/>
  <c r="X355" i="6"/>
  <c r="U355" i="6"/>
  <c r="L374" i="3" s="1"/>
  <c r="Y355" i="6"/>
  <c r="P374" i="3" s="1"/>
  <c r="V355" i="6"/>
  <c r="M374" i="3" s="1"/>
  <c r="AB355" i="6"/>
  <c r="AL355" i="6"/>
  <c r="K374" i="3"/>
  <c r="AB295" i="6"/>
  <c r="Y295" i="6"/>
  <c r="P314" i="3" s="1"/>
  <c r="AL295" i="6"/>
  <c r="V295" i="6"/>
  <c r="M314" i="3" s="1"/>
  <c r="U295" i="6"/>
  <c r="L314" i="3" s="1"/>
  <c r="K314" i="3"/>
  <c r="AL317" i="6"/>
  <c r="Y317" i="6"/>
  <c r="P336" i="3" s="1"/>
  <c r="AO337" i="6"/>
  <c r="U335" i="6"/>
  <c r="L354" i="3" s="1"/>
  <c r="Y335" i="6"/>
  <c r="P354" i="3" s="1"/>
  <c r="V335" i="6"/>
  <c r="M354" i="3" s="1"/>
  <c r="AL335" i="6"/>
  <c r="AB335" i="6"/>
  <c r="K354" i="3"/>
  <c r="AO339" i="6"/>
  <c r="AL312" i="6"/>
  <c r="V312" i="6"/>
  <c r="M331" i="3" s="1"/>
  <c r="U312" i="6"/>
  <c r="L331" i="3" s="1"/>
  <c r="AB312" i="6"/>
  <c r="K331" i="3"/>
  <c r="AL296" i="6"/>
  <c r="V296" i="6"/>
  <c r="M315" i="3" s="1"/>
  <c r="U296" i="6"/>
  <c r="L315" i="3" s="1"/>
  <c r="AB296" i="6"/>
  <c r="K315" i="3"/>
  <c r="AL280" i="6"/>
  <c r="V280" i="6"/>
  <c r="M299" i="3" s="1"/>
  <c r="U280" i="6"/>
  <c r="L299" i="3" s="1"/>
  <c r="AB280" i="6"/>
  <c r="K299" i="3"/>
  <c r="AL270" i="6"/>
  <c r="V270" i="6"/>
  <c r="M289" i="3" s="1"/>
  <c r="AB270" i="6"/>
  <c r="U270" i="6"/>
  <c r="L289" i="3" s="1"/>
  <c r="X270" i="6"/>
  <c r="K289" i="3"/>
  <c r="AL256" i="6"/>
  <c r="V256" i="6"/>
  <c r="M275" i="3" s="1"/>
  <c r="AB256" i="6"/>
  <c r="X256" i="6"/>
  <c r="U256" i="6"/>
  <c r="L275" i="3" s="1"/>
  <c r="K275" i="3"/>
  <c r="AL252" i="6"/>
  <c r="V252" i="6"/>
  <c r="M271" i="3" s="1"/>
  <c r="AB252" i="6"/>
  <c r="U252" i="6"/>
  <c r="L271" i="3" s="1"/>
  <c r="K271" i="3"/>
  <c r="AO243" i="6"/>
  <c r="AB238" i="6"/>
  <c r="V238" i="6"/>
  <c r="M257" i="3" s="1"/>
  <c r="AL238" i="6"/>
  <c r="U238" i="6"/>
  <c r="L257" i="3" s="1"/>
  <c r="K257" i="3"/>
  <c r="AL217" i="6"/>
  <c r="AB217" i="6"/>
  <c r="X217" i="6"/>
  <c r="V217" i="6"/>
  <c r="M236" i="3" s="1"/>
  <c r="U217" i="6"/>
  <c r="L236" i="3" s="1"/>
  <c r="K236" i="3"/>
  <c r="AB201" i="6"/>
  <c r="X201" i="6"/>
  <c r="AL201" i="6"/>
  <c r="V201" i="6"/>
  <c r="M220" i="3" s="1"/>
  <c r="U201" i="6"/>
  <c r="L220" i="3" s="1"/>
  <c r="K220" i="3"/>
  <c r="AB185" i="6"/>
  <c r="X185" i="6"/>
  <c r="AL185" i="6"/>
  <c r="V185" i="6"/>
  <c r="M204" i="3" s="1"/>
  <c r="U185" i="6"/>
  <c r="L204" i="3" s="1"/>
  <c r="K204" i="3"/>
  <c r="AB169" i="6"/>
  <c r="X169" i="6"/>
  <c r="AL169" i="6"/>
  <c r="V169" i="6"/>
  <c r="M188" i="3" s="1"/>
  <c r="U169" i="6"/>
  <c r="L188" i="3" s="1"/>
  <c r="K188" i="3"/>
  <c r="AB153" i="6"/>
  <c r="X153" i="6"/>
  <c r="AL153" i="6"/>
  <c r="V153" i="6"/>
  <c r="M172" i="3" s="1"/>
  <c r="U153" i="6"/>
  <c r="L172" i="3" s="1"/>
  <c r="K172" i="3"/>
  <c r="AB137" i="6"/>
  <c r="X137" i="6"/>
  <c r="AL137" i="6"/>
  <c r="V137" i="6"/>
  <c r="M156" i="3" s="1"/>
  <c r="U137" i="6"/>
  <c r="L156" i="3" s="1"/>
  <c r="K156" i="3"/>
  <c r="AB121" i="6"/>
  <c r="X121" i="6"/>
  <c r="AL121" i="6"/>
  <c r="V121" i="6"/>
  <c r="M140" i="3" s="1"/>
  <c r="U121" i="6"/>
  <c r="L140" i="3" s="1"/>
  <c r="K140" i="3"/>
  <c r="AL269" i="6"/>
  <c r="V269" i="6"/>
  <c r="M288" i="3" s="1"/>
  <c r="U269" i="6"/>
  <c r="L288" i="3" s="1"/>
  <c r="AB269" i="6"/>
  <c r="Y269" i="6"/>
  <c r="P288" i="3" s="1"/>
  <c r="K288" i="3"/>
  <c r="AL249" i="6"/>
  <c r="V249" i="6"/>
  <c r="M268" i="3" s="1"/>
  <c r="U249" i="6"/>
  <c r="L268" i="3" s="1"/>
  <c r="AB249" i="6"/>
  <c r="Y249" i="6"/>
  <c r="P268" i="3" s="1"/>
  <c r="K268" i="3"/>
  <c r="AB101" i="6"/>
  <c r="AL101" i="6"/>
  <c r="V101" i="6"/>
  <c r="M120" i="3" s="1"/>
  <c r="AL212" i="6"/>
  <c r="V212" i="6"/>
  <c r="M231" i="3" s="1"/>
  <c r="U212" i="6"/>
  <c r="L231" i="3" s="1"/>
  <c r="AB212" i="6"/>
  <c r="K231" i="3"/>
  <c r="AL196" i="6"/>
  <c r="V196" i="6"/>
  <c r="M215" i="3" s="1"/>
  <c r="U196" i="6"/>
  <c r="L215" i="3" s="1"/>
  <c r="AB196" i="6"/>
  <c r="K215" i="3"/>
  <c r="AL180" i="6"/>
  <c r="V180" i="6"/>
  <c r="M199" i="3" s="1"/>
  <c r="U180" i="6"/>
  <c r="L199" i="3" s="1"/>
  <c r="AB180" i="6"/>
  <c r="K199" i="3"/>
  <c r="AL164" i="6"/>
  <c r="V164" i="6"/>
  <c r="M183" i="3" s="1"/>
  <c r="U164" i="6"/>
  <c r="L183" i="3" s="1"/>
  <c r="AB164" i="6"/>
  <c r="K183" i="3"/>
  <c r="AL148" i="6"/>
  <c r="V148" i="6"/>
  <c r="M167" i="3" s="1"/>
  <c r="U148" i="6"/>
  <c r="L167" i="3" s="1"/>
  <c r="AB148" i="6"/>
  <c r="K167" i="3"/>
  <c r="AL132" i="6"/>
  <c r="V132" i="6"/>
  <c r="M151" i="3" s="1"/>
  <c r="U132" i="6"/>
  <c r="L151" i="3" s="1"/>
  <c r="AB132" i="6"/>
  <c r="K151" i="3"/>
  <c r="AL116" i="6"/>
  <c r="V116" i="6"/>
  <c r="M135" i="3" s="1"/>
  <c r="U116" i="6"/>
  <c r="L135" i="3" s="1"/>
  <c r="AB116" i="6"/>
  <c r="K135" i="3"/>
  <c r="AL255" i="6"/>
  <c r="V255" i="6"/>
  <c r="M274" i="3" s="1"/>
  <c r="U255" i="6"/>
  <c r="L274" i="3" s="1"/>
  <c r="AB255" i="6"/>
  <c r="Y255" i="6"/>
  <c r="P274" i="3" s="1"/>
  <c r="K274" i="3"/>
  <c r="AO233" i="6"/>
  <c r="AL265" i="6"/>
  <c r="V265" i="6"/>
  <c r="M284" i="3" s="1"/>
  <c r="U265" i="6"/>
  <c r="L284" i="3" s="1"/>
  <c r="AB265" i="6"/>
  <c r="Y265" i="6"/>
  <c r="P284" i="3" s="1"/>
  <c r="K284" i="3"/>
  <c r="AB54" i="6"/>
  <c r="Y54" i="6"/>
  <c r="P73" i="3" s="1"/>
  <c r="AL54" i="6"/>
  <c r="V54" i="6"/>
  <c r="M73" i="3" s="1"/>
  <c r="U54" i="6"/>
  <c r="L73" i="3" s="1"/>
  <c r="K73" i="3"/>
  <c r="U43" i="6"/>
  <c r="L62" i="3" s="1"/>
  <c r="AB43" i="6"/>
  <c r="X43" i="6"/>
  <c r="AL43" i="6"/>
  <c r="V43" i="6"/>
  <c r="M62" i="3" s="1"/>
  <c r="K62" i="3"/>
  <c r="AL107" i="6"/>
  <c r="V107" i="6"/>
  <c r="M126" i="3" s="1"/>
  <c r="U107" i="6"/>
  <c r="L126" i="3" s="1"/>
  <c r="AB107" i="6"/>
  <c r="X107" i="6"/>
  <c r="K126" i="3"/>
  <c r="AL80" i="6"/>
  <c r="V80" i="6"/>
  <c r="M99" i="3" s="1"/>
  <c r="U80" i="6"/>
  <c r="L99" i="3" s="1"/>
  <c r="AB80" i="6"/>
  <c r="K99" i="3"/>
  <c r="AL61" i="6"/>
  <c r="V61" i="6"/>
  <c r="M80" i="3" s="1"/>
  <c r="U61" i="6"/>
  <c r="L80" i="3" s="1"/>
  <c r="AB61" i="6"/>
  <c r="X61" i="6"/>
  <c r="K80" i="3"/>
  <c r="AL82" i="6"/>
  <c r="V82" i="6"/>
  <c r="M101" i="3" s="1"/>
  <c r="U82" i="6"/>
  <c r="L101" i="3" s="1"/>
  <c r="AB82" i="6"/>
  <c r="K101" i="3"/>
  <c r="AL18" i="6"/>
  <c r="U18" i="6"/>
  <c r="L37" i="3" s="1"/>
  <c r="AB18" i="6"/>
  <c r="K37" i="3"/>
  <c r="X87" i="6"/>
  <c r="AL87" i="6"/>
  <c r="V87" i="6"/>
  <c r="M106" i="3" s="1"/>
  <c r="U87" i="6"/>
  <c r="L106" i="3" s="1"/>
  <c r="AB87" i="6"/>
  <c r="K106" i="3"/>
  <c r="X23" i="6"/>
  <c r="AL23" i="6"/>
  <c r="V23" i="6"/>
  <c r="M42" i="3" s="1"/>
  <c r="U23" i="6"/>
  <c r="L42" i="3" s="1"/>
  <c r="AB23" i="6"/>
  <c r="K42" i="3"/>
  <c r="AL92" i="6"/>
  <c r="V92" i="6"/>
  <c r="M111" i="3" s="1"/>
  <c r="U92" i="6"/>
  <c r="L111" i="3" s="1"/>
  <c r="AB92" i="6"/>
  <c r="K111" i="3"/>
  <c r="AL28" i="6"/>
  <c r="V28" i="6"/>
  <c r="M47" i="3" s="1"/>
  <c r="U28" i="6"/>
  <c r="L47" i="3" s="1"/>
  <c r="AB28" i="6"/>
  <c r="K47" i="3"/>
  <c r="AL108" i="6"/>
  <c r="V108" i="6"/>
  <c r="M127" i="3" s="1"/>
  <c r="U108" i="6"/>
  <c r="L127" i="3" s="1"/>
  <c r="AB108" i="6"/>
  <c r="K127" i="3"/>
  <c r="X49" i="6"/>
  <c r="AL49" i="6"/>
  <c r="V49" i="6"/>
  <c r="M68" i="3" s="1"/>
  <c r="U49" i="6"/>
  <c r="L68" i="3" s="1"/>
  <c r="AB49" i="6"/>
  <c r="K68" i="3"/>
  <c r="AO98" i="6"/>
  <c r="A117" i="3"/>
  <c r="AO34" i="6"/>
  <c r="A53" i="3"/>
  <c r="X373" i="6"/>
  <c r="U373" i="6"/>
  <c r="L392" i="3" s="1"/>
  <c r="V373" i="6"/>
  <c r="M392" i="3" s="1"/>
  <c r="AB373" i="6"/>
  <c r="AL373" i="6"/>
  <c r="Y373" i="6"/>
  <c r="P392" i="3" s="1"/>
  <c r="K392" i="3"/>
  <c r="AL328" i="6"/>
  <c r="AB328" i="6"/>
  <c r="V328" i="6"/>
  <c r="M347" i="3" s="1"/>
  <c r="U328" i="6"/>
  <c r="L347" i="3" s="1"/>
  <c r="K347" i="3"/>
  <c r="AB133" i="6"/>
  <c r="X133" i="6"/>
  <c r="AL133" i="6"/>
  <c r="V133" i="6"/>
  <c r="M152" i="3" s="1"/>
  <c r="U133" i="6"/>
  <c r="L152" i="3" s="1"/>
  <c r="K152" i="3"/>
  <c r="AL192" i="6"/>
  <c r="AB192" i="6"/>
  <c r="K211" i="3"/>
  <c r="U27" i="6"/>
  <c r="L46" i="3" s="1"/>
  <c r="AB27" i="6"/>
  <c r="X27" i="6"/>
  <c r="AL27" i="6"/>
  <c r="V27" i="6"/>
  <c r="M46" i="3" s="1"/>
  <c r="K46" i="3"/>
  <c r="AO340" i="6"/>
  <c r="AO356" i="6"/>
  <c r="AO376" i="6"/>
  <c r="AO318" i="6"/>
  <c r="AA257" i="6"/>
  <c r="Z257" i="6"/>
  <c r="O276" i="3"/>
  <c r="AA251" i="6"/>
  <c r="Z251" i="6"/>
  <c r="O270" i="3"/>
  <c r="AA313" i="6"/>
  <c r="Z313" i="6"/>
  <c r="O332" i="3"/>
  <c r="AA281" i="6"/>
  <c r="Z281" i="6"/>
  <c r="O300" i="3"/>
  <c r="AO357" i="6"/>
  <c r="AO313" i="6"/>
  <c r="AO297" i="6"/>
  <c r="AO281" i="6"/>
  <c r="AA255" i="6"/>
  <c r="Z255" i="6"/>
  <c r="O274" i="3"/>
  <c r="AO270" i="6"/>
  <c r="X328" i="6"/>
  <c r="AA288" i="6"/>
  <c r="Z288" i="6"/>
  <c r="O307" i="3"/>
  <c r="AO264" i="6"/>
  <c r="AO234" i="6"/>
  <c r="AO308" i="6"/>
  <c r="AO292" i="6"/>
  <c r="AO276" i="6"/>
  <c r="AO248" i="6"/>
  <c r="X227" i="6"/>
  <c r="AO259" i="6"/>
  <c r="AO231" i="6"/>
  <c r="AO207" i="6"/>
  <c r="AO191" i="6"/>
  <c r="AO175" i="6"/>
  <c r="AO159" i="6"/>
  <c r="AO143" i="6"/>
  <c r="AO127" i="6"/>
  <c r="AO105" i="6"/>
  <c r="Y144" i="6"/>
  <c r="P163" i="3" s="1"/>
  <c r="AO210" i="6"/>
  <c r="AO194" i="6"/>
  <c r="AO178" i="6"/>
  <c r="AO162" i="6"/>
  <c r="AO146" i="6"/>
  <c r="AO130" i="6"/>
  <c r="AO114" i="6"/>
  <c r="Z11" i="6"/>
  <c r="AA11" i="6"/>
  <c r="O30" i="3"/>
  <c r="AA70" i="6"/>
  <c r="Z70" i="6"/>
  <c r="O89" i="3"/>
  <c r="AO99" i="6"/>
  <c r="A118" i="3"/>
  <c r="AO83" i="6"/>
  <c r="A102" i="3"/>
  <c r="AO67" i="6"/>
  <c r="A86" i="3"/>
  <c r="AO51" i="6"/>
  <c r="A70" i="3"/>
  <c r="AO35" i="6"/>
  <c r="A54" i="3"/>
  <c r="AO19" i="6"/>
  <c r="A38" i="3"/>
  <c r="AO100" i="6"/>
  <c r="A119" i="3"/>
  <c r="AO84" i="6"/>
  <c r="A103" i="3"/>
  <c r="AO68" i="6"/>
  <c r="A87" i="3"/>
  <c r="AO52" i="6"/>
  <c r="A71" i="3"/>
  <c r="AO36" i="6"/>
  <c r="A55" i="3"/>
  <c r="AO20" i="6"/>
  <c r="A39" i="3"/>
  <c r="AO17" i="6"/>
  <c r="A36" i="3"/>
  <c r="AO89" i="6"/>
  <c r="A108" i="3"/>
  <c r="AO73" i="6"/>
  <c r="A92" i="3"/>
  <c r="AO57" i="6"/>
  <c r="A76" i="3"/>
  <c r="AO41" i="6"/>
  <c r="A60" i="3"/>
  <c r="AO25" i="6"/>
  <c r="A44" i="3"/>
  <c r="AO94" i="6"/>
  <c r="A113" i="3"/>
  <c r="AO78" i="6"/>
  <c r="A97" i="3"/>
  <c r="AO62" i="6"/>
  <c r="A81" i="3"/>
  <c r="AO46" i="6"/>
  <c r="A65" i="3"/>
  <c r="AO30" i="6"/>
  <c r="A49" i="3"/>
  <c r="AO14" i="6"/>
  <c r="A33" i="3"/>
  <c r="AO379" i="6"/>
  <c r="AO375" i="6"/>
  <c r="AB366" i="6"/>
  <c r="AL366" i="6"/>
  <c r="V366" i="6"/>
  <c r="M385" i="3" s="1"/>
  <c r="U366" i="6"/>
  <c r="L385" i="3" s="1"/>
  <c r="K385" i="3"/>
  <c r="U329" i="6"/>
  <c r="L348" i="3" s="1"/>
  <c r="AL329" i="6"/>
  <c r="AB329" i="6"/>
  <c r="AB305" i="6"/>
  <c r="Y305" i="6"/>
  <c r="P324" i="3" s="1"/>
  <c r="AL305" i="6"/>
  <c r="V305" i="6"/>
  <c r="M324" i="3" s="1"/>
  <c r="U305" i="6"/>
  <c r="L324" i="3" s="1"/>
  <c r="K324" i="3"/>
  <c r="V289" i="6"/>
  <c r="M308" i="3" s="1"/>
  <c r="U289" i="6"/>
  <c r="L308" i="3" s="1"/>
  <c r="AO333" i="6"/>
  <c r="U331" i="6"/>
  <c r="L350" i="3" s="1"/>
  <c r="V331" i="6"/>
  <c r="M350" i="3" s="1"/>
  <c r="AL331" i="6"/>
  <c r="AB331" i="6"/>
  <c r="K350" i="3"/>
  <c r="X359" i="6"/>
  <c r="U359" i="6"/>
  <c r="L378" i="3" s="1"/>
  <c r="AL359" i="6"/>
  <c r="Y359" i="6"/>
  <c r="P378" i="3" s="1"/>
  <c r="V359" i="6"/>
  <c r="M378" i="3" s="1"/>
  <c r="AB359" i="6"/>
  <c r="K378" i="3"/>
  <c r="U351" i="6"/>
  <c r="L370" i="3" s="1"/>
  <c r="Y351" i="6"/>
  <c r="P370" i="3" s="1"/>
  <c r="X351" i="6"/>
  <c r="V351" i="6"/>
  <c r="M370" i="3" s="1"/>
  <c r="AL351" i="6"/>
  <c r="AB351" i="6"/>
  <c r="K370" i="3"/>
  <c r="U334" i="6"/>
  <c r="L353" i="3" s="1"/>
  <c r="AL334" i="6"/>
  <c r="K353" i="3"/>
  <c r="X361" i="6"/>
  <c r="U361" i="6"/>
  <c r="L380" i="3" s="1"/>
  <c r="AB361" i="6"/>
  <c r="AL361" i="6"/>
  <c r="Y361" i="6"/>
  <c r="P380" i="3" s="1"/>
  <c r="V361" i="6"/>
  <c r="M380" i="3" s="1"/>
  <c r="K380" i="3"/>
  <c r="AL290" i="6"/>
  <c r="V290" i="6"/>
  <c r="M309" i="3" s="1"/>
  <c r="U290" i="6"/>
  <c r="L309" i="3" s="1"/>
  <c r="AB290" i="6"/>
  <c r="K309" i="3"/>
  <c r="AL274" i="6"/>
  <c r="V274" i="6"/>
  <c r="M293" i="3" s="1"/>
  <c r="U274" i="6"/>
  <c r="L293" i="3" s="1"/>
  <c r="AB274" i="6"/>
  <c r="K293" i="3"/>
  <c r="AO261" i="6"/>
  <c r="AO247" i="6"/>
  <c r="AB242" i="6"/>
  <c r="V242" i="6"/>
  <c r="M261" i="3" s="1"/>
  <c r="AL242" i="6"/>
  <c r="U242" i="6"/>
  <c r="L261" i="3" s="1"/>
  <c r="K261" i="3"/>
  <c r="X389" i="6"/>
  <c r="U389" i="6"/>
  <c r="L408" i="3" s="1"/>
  <c r="V389" i="6"/>
  <c r="M408" i="3" s="1"/>
  <c r="AB389" i="6"/>
  <c r="AL389" i="6"/>
  <c r="Y389" i="6"/>
  <c r="P408" i="3" s="1"/>
  <c r="K408" i="3"/>
  <c r="V340" i="6"/>
  <c r="M359" i="3" s="1"/>
  <c r="U340" i="6"/>
  <c r="L359" i="3" s="1"/>
  <c r="AL340" i="6"/>
  <c r="AB340" i="6"/>
  <c r="K359" i="3"/>
  <c r="AO325" i="6"/>
  <c r="U323" i="6"/>
  <c r="L342" i="3" s="1"/>
  <c r="Y323" i="6"/>
  <c r="P342" i="3" s="1"/>
  <c r="X323" i="6"/>
  <c r="V323" i="6"/>
  <c r="M342" i="3" s="1"/>
  <c r="AL323" i="6"/>
  <c r="AB323" i="6"/>
  <c r="AO347" i="6"/>
  <c r="X369" i="6"/>
  <c r="U369" i="6"/>
  <c r="L388" i="3" s="1"/>
  <c r="AL369" i="6"/>
  <c r="Y369" i="6"/>
  <c r="P388" i="3" s="1"/>
  <c r="V369" i="6"/>
  <c r="M388" i="3" s="1"/>
  <c r="AB369" i="6"/>
  <c r="K388" i="3"/>
  <c r="U352" i="6"/>
  <c r="L371" i="3" s="1"/>
  <c r="AL352" i="6"/>
  <c r="AB352" i="6"/>
  <c r="V352" i="6"/>
  <c r="M371" i="3" s="1"/>
  <c r="K371" i="3"/>
  <c r="U327" i="6"/>
  <c r="L346" i="3" s="1"/>
  <c r="AL327" i="6"/>
  <c r="AB327" i="6"/>
  <c r="Y327" i="6"/>
  <c r="P346" i="3" s="1"/>
  <c r="X327" i="6"/>
  <c r="V327" i="6"/>
  <c r="M346" i="3" s="1"/>
  <c r="K346" i="3"/>
  <c r="AB211" i="6"/>
  <c r="X211" i="6"/>
  <c r="AL211" i="6"/>
  <c r="U211" i="6"/>
  <c r="L230" i="3" s="1"/>
  <c r="K230" i="3"/>
  <c r="AB195" i="6"/>
  <c r="X195" i="6"/>
  <c r="AL195" i="6"/>
  <c r="V195" i="6"/>
  <c r="M214" i="3" s="1"/>
  <c r="U195" i="6"/>
  <c r="L214" i="3" s="1"/>
  <c r="K214" i="3"/>
  <c r="AB179" i="6"/>
  <c r="X179" i="6"/>
  <c r="AL179" i="6"/>
  <c r="V179" i="6"/>
  <c r="M198" i="3" s="1"/>
  <c r="U179" i="6"/>
  <c r="L198" i="3" s="1"/>
  <c r="K198" i="3"/>
  <c r="AB163" i="6"/>
  <c r="X163" i="6"/>
  <c r="AL163" i="6"/>
  <c r="V163" i="6"/>
  <c r="M182" i="3" s="1"/>
  <c r="U163" i="6"/>
  <c r="L182" i="3" s="1"/>
  <c r="K182" i="3"/>
  <c r="AB147" i="6"/>
  <c r="X147" i="6"/>
  <c r="AL147" i="6"/>
  <c r="U147" i="6"/>
  <c r="L166" i="3" s="1"/>
  <c r="K166" i="3"/>
  <c r="AB131" i="6"/>
  <c r="X131" i="6"/>
  <c r="AL131" i="6"/>
  <c r="V131" i="6"/>
  <c r="M150" i="3" s="1"/>
  <c r="U131" i="6"/>
  <c r="L150" i="3" s="1"/>
  <c r="K150" i="3"/>
  <c r="AB115" i="6"/>
  <c r="X115" i="6"/>
  <c r="AL115" i="6"/>
  <c r="V115" i="6"/>
  <c r="M134" i="3" s="1"/>
  <c r="U115" i="6"/>
  <c r="L134" i="3" s="1"/>
  <c r="K134" i="3"/>
  <c r="AL247" i="6"/>
  <c r="V247" i="6"/>
  <c r="M266" i="3" s="1"/>
  <c r="U247" i="6"/>
  <c r="L266" i="3" s="1"/>
  <c r="AB247" i="6"/>
  <c r="Y247" i="6"/>
  <c r="P266" i="3" s="1"/>
  <c r="K266" i="3"/>
  <c r="V221" i="6"/>
  <c r="M240" i="3" s="1"/>
  <c r="U221" i="6"/>
  <c r="L240" i="3" s="1"/>
  <c r="AL221" i="6"/>
  <c r="AB221" i="6"/>
  <c r="K240" i="3"/>
  <c r="AL206" i="6"/>
  <c r="V206" i="6"/>
  <c r="M225" i="3" s="1"/>
  <c r="U206" i="6"/>
  <c r="L225" i="3" s="1"/>
  <c r="AB206" i="6"/>
  <c r="K225" i="3"/>
  <c r="AL190" i="6"/>
  <c r="V190" i="6"/>
  <c r="M209" i="3" s="1"/>
  <c r="U190" i="6"/>
  <c r="L209" i="3" s="1"/>
  <c r="AB190" i="6"/>
  <c r="K209" i="3"/>
  <c r="AL174" i="6"/>
  <c r="V174" i="6"/>
  <c r="M193" i="3" s="1"/>
  <c r="U174" i="6"/>
  <c r="L193" i="3" s="1"/>
  <c r="AB174" i="6"/>
  <c r="K193" i="3"/>
  <c r="AL158" i="6"/>
  <c r="V158" i="6"/>
  <c r="M177" i="3" s="1"/>
  <c r="U158" i="6"/>
  <c r="L177" i="3" s="1"/>
  <c r="AB158" i="6"/>
  <c r="K177" i="3"/>
  <c r="AL142" i="6"/>
  <c r="V142" i="6"/>
  <c r="M161" i="3" s="1"/>
  <c r="U142" i="6"/>
  <c r="L161" i="3" s="1"/>
  <c r="AB142" i="6"/>
  <c r="K161" i="3"/>
  <c r="AL126" i="6"/>
  <c r="V126" i="6"/>
  <c r="M145" i="3" s="1"/>
  <c r="U126" i="6"/>
  <c r="L145" i="3" s="1"/>
  <c r="AB126" i="6"/>
  <c r="K145" i="3"/>
  <c r="AL243" i="6"/>
  <c r="V243" i="6"/>
  <c r="M262" i="3" s="1"/>
  <c r="U243" i="6"/>
  <c r="L262" i="3" s="1"/>
  <c r="Y243" i="6"/>
  <c r="P262" i="3" s="1"/>
  <c r="AB243" i="6"/>
  <c r="K262" i="3"/>
  <c r="AO225" i="6"/>
  <c r="AB94" i="6"/>
  <c r="Y94" i="6"/>
  <c r="P113" i="3" s="1"/>
  <c r="AL94" i="6"/>
  <c r="V94" i="6"/>
  <c r="M113" i="3" s="1"/>
  <c r="U94" i="6"/>
  <c r="L113" i="3" s="1"/>
  <c r="K113" i="3"/>
  <c r="AB30" i="6"/>
  <c r="Y30" i="6"/>
  <c r="P49" i="3" s="1"/>
  <c r="AL30" i="6"/>
  <c r="V30" i="6"/>
  <c r="M49" i="3" s="1"/>
  <c r="U30" i="6"/>
  <c r="L49" i="3" s="1"/>
  <c r="K49" i="3"/>
  <c r="AL56" i="6"/>
  <c r="V56" i="6"/>
  <c r="M75" i="3" s="1"/>
  <c r="U56" i="6"/>
  <c r="L75" i="3" s="1"/>
  <c r="AB56" i="6"/>
  <c r="K75" i="3"/>
  <c r="AL37" i="6"/>
  <c r="V37" i="6"/>
  <c r="M56" i="3" s="1"/>
  <c r="U37" i="6"/>
  <c r="L56" i="3" s="1"/>
  <c r="AB37" i="6"/>
  <c r="X37" i="6"/>
  <c r="K56" i="3"/>
  <c r="AL58" i="6"/>
  <c r="V58" i="6"/>
  <c r="M77" i="3" s="1"/>
  <c r="U58" i="6"/>
  <c r="L77" i="3" s="1"/>
  <c r="AB58" i="6"/>
  <c r="K77" i="3"/>
  <c r="X63" i="6"/>
  <c r="AL63" i="6"/>
  <c r="V63" i="6"/>
  <c r="M82" i="3" s="1"/>
  <c r="U63" i="6"/>
  <c r="L82" i="3" s="1"/>
  <c r="AB63" i="6"/>
  <c r="K82" i="3"/>
  <c r="AL68" i="6"/>
  <c r="V68" i="6"/>
  <c r="M87" i="3" s="1"/>
  <c r="U68" i="6"/>
  <c r="L87" i="3" s="1"/>
  <c r="AB68" i="6"/>
  <c r="K87" i="3"/>
  <c r="X89" i="6"/>
  <c r="AL89" i="6"/>
  <c r="V89" i="6"/>
  <c r="M108" i="3" s="1"/>
  <c r="U89" i="6"/>
  <c r="L108" i="3" s="1"/>
  <c r="AB89" i="6"/>
  <c r="K108" i="3"/>
  <c r="X25" i="6"/>
  <c r="AL25" i="6"/>
  <c r="V25" i="6"/>
  <c r="M44" i="3" s="1"/>
  <c r="U25" i="6"/>
  <c r="L44" i="3" s="1"/>
  <c r="AB25" i="6"/>
  <c r="K44" i="3"/>
  <c r="AO104" i="6"/>
  <c r="A123" i="3"/>
  <c r="AO82" i="6"/>
  <c r="A101" i="3"/>
  <c r="AB372" i="6"/>
  <c r="V372" i="6"/>
  <c r="M391" i="3" s="1"/>
  <c r="U372" i="6"/>
  <c r="L391" i="3" s="1"/>
  <c r="AL372" i="6"/>
  <c r="K391" i="3"/>
  <c r="AB291" i="6"/>
  <c r="Y291" i="6"/>
  <c r="P310" i="3" s="1"/>
  <c r="AL291" i="6"/>
  <c r="V291" i="6"/>
  <c r="M310" i="3" s="1"/>
  <c r="U291" i="6"/>
  <c r="L310" i="3" s="1"/>
  <c r="K310" i="3"/>
  <c r="AB275" i="6"/>
  <c r="Y275" i="6"/>
  <c r="P294" i="3" s="1"/>
  <c r="AL275" i="6"/>
  <c r="V275" i="6"/>
  <c r="M294" i="3" s="1"/>
  <c r="U275" i="6"/>
  <c r="L294" i="3" s="1"/>
  <c r="K294" i="3"/>
  <c r="V332" i="6"/>
  <c r="M351" i="3" s="1"/>
  <c r="U332" i="6"/>
  <c r="L351" i="3" s="1"/>
  <c r="AL332" i="6"/>
  <c r="AB332" i="6"/>
  <c r="K351" i="3"/>
  <c r="AL308" i="6"/>
  <c r="V308" i="6"/>
  <c r="M327" i="3" s="1"/>
  <c r="U308" i="6"/>
  <c r="L327" i="3" s="1"/>
  <c r="AB308" i="6"/>
  <c r="K327" i="3"/>
  <c r="AL259" i="6"/>
  <c r="V259" i="6"/>
  <c r="M278" i="3" s="1"/>
  <c r="U259" i="6"/>
  <c r="L278" i="3" s="1"/>
  <c r="AB259" i="6"/>
  <c r="Y259" i="6"/>
  <c r="P278" i="3" s="1"/>
  <c r="K278" i="3"/>
  <c r="AB197" i="6"/>
  <c r="X197" i="6"/>
  <c r="AL197" i="6"/>
  <c r="V197" i="6"/>
  <c r="M216" i="3" s="1"/>
  <c r="U197" i="6"/>
  <c r="L216" i="3" s="1"/>
  <c r="K216" i="3"/>
  <c r="AL176" i="6"/>
  <c r="V176" i="6"/>
  <c r="M195" i="3" s="1"/>
  <c r="U176" i="6"/>
  <c r="L195" i="3" s="1"/>
  <c r="AB176" i="6"/>
  <c r="K195" i="3"/>
  <c r="AL128" i="6"/>
  <c r="V128" i="6"/>
  <c r="M147" i="3" s="1"/>
  <c r="U128" i="6"/>
  <c r="L147" i="3" s="1"/>
  <c r="AB128" i="6"/>
  <c r="K147" i="3"/>
  <c r="AB232" i="6"/>
  <c r="AL232" i="6"/>
  <c r="V232" i="6"/>
  <c r="M251" i="3" s="1"/>
  <c r="U232" i="6"/>
  <c r="L251" i="3" s="1"/>
  <c r="K251" i="3"/>
  <c r="Y328" i="6"/>
  <c r="P347" i="3" s="1"/>
  <c r="AA243" i="6"/>
  <c r="Z243" i="6"/>
  <c r="O262" i="3"/>
  <c r="AA335" i="6"/>
  <c r="Z335" i="6"/>
  <c r="O354" i="3"/>
  <c r="AA295" i="6"/>
  <c r="Z295" i="6"/>
  <c r="O314" i="3"/>
  <c r="Z226" i="6"/>
  <c r="AA226" i="6"/>
  <c r="O245" i="3"/>
  <c r="AO355" i="6"/>
  <c r="AO311" i="6"/>
  <c r="AO295" i="6"/>
  <c r="AO279" i="6"/>
  <c r="AA245" i="6"/>
  <c r="Z245" i="6"/>
  <c r="O264" i="3"/>
  <c r="AA358" i="6"/>
  <c r="Z358" i="6"/>
  <c r="O377" i="3"/>
  <c r="AA269" i="6"/>
  <c r="Z269" i="6"/>
  <c r="O288" i="3"/>
  <c r="AO306" i="6"/>
  <c r="AO290" i="6"/>
  <c r="AO274" i="6"/>
  <c r="AA241" i="6"/>
  <c r="Z241" i="6"/>
  <c r="O260" i="3"/>
  <c r="AO108" i="6"/>
  <c r="X219" i="6"/>
  <c r="AA101" i="6"/>
  <c r="Z101" i="6"/>
  <c r="O120" i="3"/>
  <c r="AO257" i="6"/>
  <c r="AO227" i="6"/>
  <c r="AO205" i="6"/>
  <c r="AO189" i="6"/>
  <c r="AO173" i="6"/>
  <c r="AO157" i="6"/>
  <c r="AO141" i="6"/>
  <c r="AO125" i="6"/>
  <c r="AO208" i="6"/>
  <c r="AO192" i="6"/>
  <c r="AO176" i="6"/>
  <c r="AO160" i="6"/>
  <c r="AO144" i="6"/>
  <c r="AO128" i="6"/>
  <c r="AO112" i="6"/>
  <c r="AA34" i="6"/>
  <c r="Z34" i="6"/>
  <c r="O53" i="3"/>
  <c r="AO101" i="6"/>
  <c r="A120" i="3"/>
  <c r="AO90" i="6"/>
  <c r="A109" i="3"/>
  <c r="AO74" i="6"/>
  <c r="A93" i="3"/>
  <c r="AO58" i="6"/>
  <c r="A77" i="3"/>
  <c r="AO42" i="6"/>
  <c r="A61" i="3"/>
  <c r="AO26" i="6"/>
  <c r="A45" i="3"/>
  <c r="AB378" i="6"/>
  <c r="X378" i="6"/>
  <c r="AL378" i="6"/>
  <c r="V378" i="6"/>
  <c r="M397" i="3" s="1"/>
  <c r="U378" i="6"/>
  <c r="L397" i="3" s="1"/>
  <c r="K397" i="3"/>
  <c r="AB374" i="6"/>
  <c r="U374" i="6"/>
  <c r="L393" i="3" s="1"/>
  <c r="AL374" i="6"/>
  <c r="V374" i="6"/>
  <c r="M393" i="3" s="1"/>
  <c r="K393" i="3"/>
  <c r="AB356" i="6"/>
  <c r="AL356" i="6"/>
  <c r="V356" i="6"/>
  <c r="M375" i="3" s="1"/>
  <c r="U356" i="6"/>
  <c r="L375" i="3" s="1"/>
  <c r="K375" i="3"/>
  <c r="AB315" i="6"/>
  <c r="Y315" i="6"/>
  <c r="P334" i="3" s="1"/>
  <c r="AL315" i="6"/>
  <c r="V315" i="6"/>
  <c r="M334" i="3" s="1"/>
  <c r="U315" i="6"/>
  <c r="L334" i="3" s="1"/>
  <c r="K334" i="3"/>
  <c r="AB299" i="6"/>
  <c r="Y299" i="6"/>
  <c r="P318" i="3" s="1"/>
  <c r="AL299" i="6"/>
  <c r="V299" i="6"/>
  <c r="M318" i="3" s="1"/>
  <c r="U299" i="6"/>
  <c r="L318" i="3" s="1"/>
  <c r="K318" i="3"/>
  <c r="AB283" i="6"/>
  <c r="Y283" i="6"/>
  <c r="P302" i="3" s="1"/>
  <c r="AL283" i="6"/>
  <c r="V283" i="6"/>
  <c r="M302" i="3" s="1"/>
  <c r="U283" i="6"/>
  <c r="L302" i="3" s="1"/>
  <c r="K302" i="3"/>
  <c r="X365" i="6"/>
  <c r="U365" i="6"/>
  <c r="L384" i="3" s="1"/>
  <c r="AB365" i="6"/>
  <c r="AL365" i="6"/>
  <c r="Y365" i="6"/>
  <c r="P384" i="3" s="1"/>
  <c r="V365" i="6"/>
  <c r="M384" i="3" s="1"/>
  <c r="K384" i="3"/>
  <c r="X379" i="6"/>
  <c r="U379" i="6"/>
  <c r="L398" i="3" s="1"/>
  <c r="AB379" i="6"/>
  <c r="AL379" i="6"/>
  <c r="Y379" i="6"/>
  <c r="P398" i="3" s="1"/>
  <c r="V379" i="6"/>
  <c r="M398" i="3" s="1"/>
  <c r="K398" i="3"/>
  <c r="X320" i="6"/>
  <c r="V320" i="6"/>
  <c r="M339" i="3" s="1"/>
  <c r="U320" i="6"/>
  <c r="L339" i="3" s="1"/>
  <c r="AL320" i="6"/>
  <c r="AB320" i="6"/>
  <c r="K339" i="3"/>
  <c r="X375" i="6"/>
  <c r="U375" i="6"/>
  <c r="L394" i="3" s="1"/>
  <c r="AB375" i="6"/>
  <c r="AL375" i="6"/>
  <c r="Y375" i="6"/>
  <c r="P394" i="3" s="1"/>
  <c r="V375" i="6"/>
  <c r="M394" i="3" s="1"/>
  <c r="K394" i="3"/>
  <c r="AL316" i="6"/>
  <c r="V316" i="6"/>
  <c r="M335" i="3" s="1"/>
  <c r="U316" i="6"/>
  <c r="L335" i="3" s="1"/>
  <c r="AB316" i="6"/>
  <c r="K335" i="3"/>
  <c r="AL300" i="6"/>
  <c r="V300" i="6"/>
  <c r="M319" i="3" s="1"/>
  <c r="U300" i="6"/>
  <c r="L319" i="3" s="1"/>
  <c r="AB300" i="6"/>
  <c r="K319" i="3"/>
  <c r="AL284" i="6"/>
  <c r="V284" i="6"/>
  <c r="M303" i="3" s="1"/>
  <c r="U284" i="6"/>
  <c r="L303" i="3" s="1"/>
  <c r="AB284" i="6"/>
  <c r="K303" i="3"/>
  <c r="AL264" i="6"/>
  <c r="V264" i="6"/>
  <c r="M283" i="3" s="1"/>
  <c r="AB264" i="6"/>
  <c r="X264" i="6"/>
  <c r="U264" i="6"/>
  <c r="L283" i="3" s="1"/>
  <c r="K283" i="3"/>
  <c r="AL260" i="6"/>
  <c r="V260" i="6"/>
  <c r="M279" i="3" s="1"/>
  <c r="AB260" i="6"/>
  <c r="U260" i="6"/>
  <c r="L279" i="3" s="1"/>
  <c r="K279" i="3"/>
  <c r="AB246" i="6"/>
  <c r="V246" i="6"/>
  <c r="M265" i="3" s="1"/>
  <c r="AL246" i="6"/>
  <c r="U246" i="6"/>
  <c r="L265" i="3" s="1"/>
  <c r="K265" i="3"/>
  <c r="AB205" i="6"/>
  <c r="X205" i="6"/>
  <c r="AL205" i="6"/>
  <c r="V205" i="6"/>
  <c r="M224" i="3" s="1"/>
  <c r="U205" i="6"/>
  <c r="L224" i="3" s="1"/>
  <c r="AB189" i="6"/>
  <c r="X189" i="6"/>
  <c r="AL189" i="6"/>
  <c r="V189" i="6"/>
  <c r="M208" i="3" s="1"/>
  <c r="U189" i="6"/>
  <c r="L208" i="3" s="1"/>
  <c r="K208" i="3"/>
  <c r="AB173" i="6"/>
  <c r="AL173" i="6"/>
  <c r="V173" i="6"/>
  <c r="M192" i="3" s="1"/>
  <c r="U173" i="6"/>
  <c r="L192" i="3" s="1"/>
  <c r="K192" i="3"/>
  <c r="AB157" i="6"/>
  <c r="X157" i="6"/>
  <c r="AL157" i="6"/>
  <c r="V157" i="6"/>
  <c r="M176" i="3" s="1"/>
  <c r="U157" i="6"/>
  <c r="L176" i="3" s="1"/>
  <c r="K176" i="3"/>
  <c r="AB141" i="6"/>
  <c r="X141" i="6"/>
  <c r="AL141" i="6"/>
  <c r="V141" i="6"/>
  <c r="M160" i="3" s="1"/>
  <c r="U141" i="6"/>
  <c r="L160" i="3" s="1"/>
  <c r="AB125" i="6"/>
  <c r="X125" i="6"/>
  <c r="AL125" i="6"/>
  <c r="V125" i="6"/>
  <c r="M144" i="3" s="1"/>
  <c r="U125" i="6"/>
  <c r="L144" i="3" s="1"/>
  <c r="K144" i="3"/>
  <c r="AL251" i="6"/>
  <c r="V251" i="6"/>
  <c r="M270" i="3" s="1"/>
  <c r="U251" i="6"/>
  <c r="L270" i="3" s="1"/>
  <c r="Y251" i="6"/>
  <c r="P270" i="3" s="1"/>
  <c r="AB251" i="6"/>
  <c r="K270" i="3"/>
  <c r="AL216" i="6"/>
  <c r="V216" i="6"/>
  <c r="M235" i="3" s="1"/>
  <c r="U216" i="6"/>
  <c r="L235" i="3" s="1"/>
  <c r="AB216" i="6"/>
  <c r="K235" i="3"/>
  <c r="AL184" i="6"/>
  <c r="V184" i="6"/>
  <c r="M203" i="3" s="1"/>
  <c r="U184" i="6"/>
  <c r="L203" i="3" s="1"/>
  <c r="AB184" i="6"/>
  <c r="K203" i="3"/>
  <c r="AL152" i="6"/>
  <c r="V152" i="6"/>
  <c r="M171" i="3" s="1"/>
  <c r="U152" i="6"/>
  <c r="L171" i="3" s="1"/>
  <c r="AB152" i="6"/>
  <c r="K171" i="3"/>
  <c r="AL120" i="6"/>
  <c r="V120" i="6"/>
  <c r="M139" i="3" s="1"/>
  <c r="U120" i="6"/>
  <c r="L139" i="3" s="1"/>
  <c r="AB120" i="6"/>
  <c r="K139" i="3"/>
  <c r="AB70" i="6"/>
  <c r="Y70" i="6"/>
  <c r="P89" i="3" s="1"/>
  <c r="AL70" i="6"/>
  <c r="V70" i="6"/>
  <c r="M89" i="3" s="1"/>
  <c r="U70" i="6"/>
  <c r="L89" i="3" s="1"/>
  <c r="K89" i="3"/>
  <c r="U59" i="6"/>
  <c r="L78" i="3" s="1"/>
  <c r="AB59" i="6"/>
  <c r="X59" i="6"/>
  <c r="AL59" i="6"/>
  <c r="V59" i="6"/>
  <c r="M78" i="3" s="1"/>
  <c r="K78" i="3"/>
  <c r="AL96" i="6"/>
  <c r="V96" i="6"/>
  <c r="M115" i="3" s="1"/>
  <c r="U96" i="6"/>
  <c r="L115" i="3" s="1"/>
  <c r="AB96" i="6"/>
  <c r="K115" i="3"/>
  <c r="AL32" i="6"/>
  <c r="V32" i="6"/>
  <c r="M51" i="3" s="1"/>
  <c r="U32" i="6"/>
  <c r="L51" i="3" s="1"/>
  <c r="AB32" i="6"/>
  <c r="K51" i="3"/>
  <c r="AL77" i="6"/>
  <c r="V77" i="6"/>
  <c r="M96" i="3" s="1"/>
  <c r="U77" i="6"/>
  <c r="L96" i="3" s="1"/>
  <c r="AB77" i="6"/>
  <c r="X77" i="6"/>
  <c r="K96" i="3"/>
  <c r="AL98" i="6"/>
  <c r="V98" i="6"/>
  <c r="M117" i="3" s="1"/>
  <c r="U98" i="6"/>
  <c r="L117" i="3" s="1"/>
  <c r="AB98" i="6"/>
  <c r="K117" i="3"/>
  <c r="AL34" i="6"/>
  <c r="V34" i="6"/>
  <c r="M53" i="3" s="1"/>
  <c r="U34" i="6"/>
  <c r="L53" i="3" s="1"/>
  <c r="AB34" i="6"/>
  <c r="K53" i="3"/>
  <c r="X39" i="6"/>
  <c r="AL39" i="6"/>
  <c r="V39" i="6"/>
  <c r="M58" i="3" s="1"/>
  <c r="U39" i="6"/>
  <c r="L58" i="3" s="1"/>
  <c r="AB39" i="6"/>
  <c r="K58" i="3"/>
  <c r="AL44" i="6"/>
  <c r="V44" i="6"/>
  <c r="M63" i="3" s="1"/>
  <c r="U44" i="6"/>
  <c r="L63" i="3" s="1"/>
  <c r="AB44" i="6"/>
  <c r="K63" i="3"/>
  <c r="Y11" i="6"/>
  <c r="P30" i="3" s="1"/>
  <c r="AL11" i="6"/>
  <c r="V11" i="6"/>
  <c r="M30" i="3" s="1"/>
  <c r="U11" i="6"/>
  <c r="L30" i="3" s="1"/>
  <c r="AB11" i="6"/>
  <c r="K30" i="3"/>
  <c r="AL100" i="6"/>
  <c r="AB100" i="6"/>
  <c r="Y100" i="6"/>
  <c r="P119" i="3" s="1"/>
  <c r="V100" i="6"/>
  <c r="M119" i="3" s="1"/>
  <c r="U100" i="6"/>
  <c r="L119" i="3" s="1"/>
  <c r="K119" i="3"/>
  <c r="X65" i="6"/>
  <c r="AL65" i="6"/>
  <c r="V65" i="6"/>
  <c r="M84" i="3" s="1"/>
  <c r="U65" i="6"/>
  <c r="L84" i="3" s="1"/>
  <c r="AB65" i="6"/>
  <c r="K84" i="3"/>
  <c r="AA273" i="6"/>
  <c r="Z273" i="6"/>
  <c r="O292" i="3"/>
  <c r="AA267" i="6"/>
  <c r="Z267" i="6"/>
  <c r="O286" i="3"/>
  <c r="AA287" i="6"/>
  <c r="Z287" i="6"/>
  <c r="O306" i="3"/>
  <c r="AA271" i="6"/>
  <c r="Z271" i="6"/>
  <c r="O290" i="3"/>
  <c r="AA192" i="6"/>
  <c r="Z192" i="6"/>
  <c r="O211" i="3"/>
  <c r="AO18" i="6"/>
  <c r="A37" i="3"/>
  <c r="AB380" i="6"/>
  <c r="AL380" i="6"/>
  <c r="V380" i="6"/>
  <c r="M399" i="3" s="1"/>
  <c r="U380" i="6"/>
  <c r="L399" i="3" s="1"/>
  <c r="K399" i="3"/>
  <c r="X383" i="6"/>
  <c r="U383" i="6"/>
  <c r="L402" i="3" s="1"/>
  <c r="AL383" i="6"/>
  <c r="Y383" i="6"/>
  <c r="P402" i="3" s="1"/>
  <c r="V383" i="6"/>
  <c r="M402" i="3" s="1"/>
  <c r="AB383" i="6"/>
  <c r="K402" i="3"/>
  <c r="AL276" i="6"/>
  <c r="V276" i="6"/>
  <c r="M295" i="3" s="1"/>
  <c r="U276" i="6"/>
  <c r="L295" i="3" s="1"/>
  <c r="AB276" i="6"/>
  <c r="K295" i="3"/>
  <c r="V224" i="6"/>
  <c r="M243" i="3" s="1"/>
  <c r="U224" i="6"/>
  <c r="L243" i="3" s="1"/>
  <c r="AL224" i="6"/>
  <c r="AB224" i="6"/>
  <c r="Y224" i="6"/>
  <c r="P243" i="3" s="1"/>
  <c r="X224" i="6"/>
  <c r="K243" i="3"/>
  <c r="AL160" i="6"/>
  <c r="V160" i="6"/>
  <c r="M179" i="3" s="1"/>
  <c r="U160" i="6"/>
  <c r="L179" i="3" s="1"/>
  <c r="AB160" i="6"/>
  <c r="K179" i="3"/>
  <c r="AS394" i="6"/>
  <c r="AO358" i="6"/>
  <c r="AO328" i="6"/>
  <c r="AO354" i="6"/>
  <c r="AO386" i="6"/>
  <c r="AO324" i="6"/>
  <c r="AO352" i="6"/>
  <c r="AO330" i="6"/>
  <c r="AO390" i="6"/>
  <c r="AO336" i="6"/>
  <c r="AO338" i="6"/>
  <c r="AA309" i="6"/>
  <c r="Z309" i="6"/>
  <c r="O328" i="3"/>
  <c r="AA293" i="6"/>
  <c r="Z293" i="6"/>
  <c r="O312" i="3"/>
  <c r="AA277" i="6"/>
  <c r="Z277" i="6"/>
  <c r="O296" i="3"/>
  <c r="AO224" i="6"/>
  <c r="AO353" i="6"/>
  <c r="AO309" i="6"/>
  <c r="AO293" i="6"/>
  <c r="AO277" i="6"/>
  <c r="AA265" i="6"/>
  <c r="Z265" i="6"/>
  <c r="O284" i="3"/>
  <c r="X380" i="6"/>
  <c r="X259" i="6"/>
  <c r="AO226" i="6"/>
  <c r="AO258" i="6"/>
  <c r="AO304" i="6"/>
  <c r="AO288" i="6"/>
  <c r="AO268" i="6"/>
  <c r="AO251" i="6"/>
  <c r="AO223" i="6"/>
  <c r="AO203" i="6"/>
  <c r="AO187" i="6"/>
  <c r="AO171" i="6"/>
  <c r="AO155" i="6"/>
  <c r="AO139" i="6"/>
  <c r="AO123" i="6"/>
  <c r="Y192" i="6"/>
  <c r="P211" i="3" s="1"/>
  <c r="AO222" i="6"/>
  <c r="AO206" i="6"/>
  <c r="AO190" i="6"/>
  <c r="AO174" i="6"/>
  <c r="AO158" i="6"/>
  <c r="AO142" i="6"/>
  <c r="AA94" i="6"/>
  <c r="Z94" i="6"/>
  <c r="O113" i="3"/>
  <c r="AA62" i="6"/>
  <c r="Z62" i="6"/>
  <c r="O81" i="3"/>
  <c r="AA30" i="6"/>
  <c r="Z30" i="6"/>
  <c r="O49" i="3"/>
  <c r="AA17" i="6"/>
  <c r="Z17" i="6"/>
  <c r="O36" i="3"/>
  <c r="Y27" i="6"/>
  <c r="P46" i="3" s="1"/>
  <c r="AO95" i="6"/>
  <c r="A114" i="3"/>
  <c r="AO79" i="6"/>
  <c r="A98" i="3"/>
  <c r="AO63" i="6"/>
  <c r="A82" i="3"/>
  <c r="AO47" i="6"/>
  <c r="A66" i="3"/>
  <c r="AO31" i="6"/>
  <c r="A50" i="3"/>
  <c r="AO15" i="6"/>
  <c r="A34" i="3"/>
  <c r="AO96" i="6"/>
  <c r="A115" i="3"/>
  <c r="AO80" i="6"/>
  <c r="A99" i="3"/>
  <c r="AO64" i="6"/>
  <c r="A83" i="3"/>
  <c r="AO48" i="6"/>
  <c r="A67" i="3"/>
  <c r="AO32" i="6"/>
  <c r="A51" i="3"/>
  <c r="AO12" i="6"/>
  <c r="A31" i="3"/>
  <c r="AO85" i="6"/>
  <c r="A104" i="3"/>
  <c r="AO69" i="6"/>
  <c r="A88" i="3"/>
  <c r="AO53" i="6"/>
  <c r="A72" i="3"/>
  <c r="AO37" i="6"/>
  <c r="A56" i="3"/>
  <c r="AO13" i="6"/>
  <c r="A32" i="3"/>
  <c r="AO11" i="6"/>
  <c r="A30" i="3"/>
  <c r="AO391" i="6"/>
  <c r="AB386" i="6"/>
  <c r="AL386" i="6"/>
  <c r="V386" i="6"/>
  <c r="M405" i="3" s="1"/>
  <c r="U386" i="6"/>
  <c r="L405" i="3" s="1"/>
  <c r="K405" i="3"/>
  <c r="AB382" i="6"/>
  <c r="AL382" i="6"/>
  <c r="V382" i="6"/>
  <c r="M401" i="3" s="1"/>
  <c r="U382" i="6"/>
  <c r="L401" i="3" s="1"/>
  <c r="K401" i="3"/>
  <c r="AO361" i="6"/>
  <c r="X367" i="6"/>
  <c r="U367" i="6"/>
  <c r="L386" i="3" s="1"/>
  <c r="AL367" i="6"/>
  <c r="Y367" i="6"/>
  <c r="P386" i="3" s="1"/>
  <c r="V367" i="6"/>
  <c r="M386" i="3" s="1"/>
  <c r="AB367" i="6"/>
  <c r="K386" i="3"/>
  <c r="AB309" i="6"/>
  <c r="Y309" i="6"/>
  <c r="P328" i="3" s="1"/>
  <c r="AL309" i="6"/>
  <c r="V309" i="6"/>
  <c r="M328" i="3" s="1"/>
  <c r="U309" i="6"/>
  <c r="L328" i="3" s="1"/>
  <c r="K328" i="3"/>
  <c r="AB293" i="6"/>
  <c r="Y293" i="6"/>
  <c r="P312" i="3" s="1"/>
  <c r="AL293" i="6"/>
  <c r="V293" i="6"/>
  <c r="M312" i="3" s="1"/>
  <c r="U293" i="6"/>
  <c r="L312" i="3" s="1"/>
  <c r="K312" i="3"/>
  <c r="AB277" i="6"/>
  <c r="Y277" i="6"/>
  <c r="P296" i="3" s="1"/>
  <c r="AL277" i="6"/>
  <c r="V277" i="6"/>
  <c r="M296" i="3" s="1"/>
  <c r="U277" i="6"/>
  <c r="L296" i="3" s="1"/>
  <c r="K296" i="3"/>
  <c r="AO345" i="6"/>
  <c r="U347" i="6"/>
  <c r="L366" i="3" s="1"/>
  <c r="Y347" i="6"/>
  <c r="P366" i="3" s="1"/>
  <c r="X347" i="6"/>
  <c r="V347" i="6"/>
  <c r="M366" i="3" s="1"/>
  <c r="AL347" i="6"/>
  <c r="AB347" i="6"/>
  <c r="K366" i="3"/>
  <c r="AL310" i="6"/>
  <c r="V310" i="6"/>
  <c r="M329" i="3" s="1"/>
  <c r="U310" i="6"/>
  <c r="L329" i="3" s="1"/>
  <c r="AB310" i="6"/>
  <c r="K329" i="3"/>
  <c r="AL294" i="6"/>
  <c r="V294" i="6"/>
  <c r="M313" i="3" s="1"/>
  <c r="U294" i="6"/>
  <c r="L313" i="3" s="1"/>
  <c r="AB294" i="6"/>
  <c r="K313" i="3"/>
  <c r="AL278" i="6"/>
  <c r="V278" i="6"/>
  <c r="M297" i="3" s="1"/>
  <c r="U278" i="6"/>
  <c r="L297" i="3" s="1"/>
  <c r="AB278" i="6"/>
  <c r="K297" i="3"/>
  <c r="AO269" i="6"/>
  <c r="AO255" i="6"/>
  <c r="AB236" i="6"/>
  <c r="V236" i="6"/>
  <c r="M255" i="3" s="1"/>
  <c r="U236" i="6"/>
  <c r="L255" i="3" s="1"/>
  <c r="AL236" i="6"/>
  <c r="K255" i="3"/>
  <c r="AL346" i="6"/>
  <c r="AB346" i="6"/>
  <c r="V346" i="6"/>
  <c r="M365" i="3" s="1"/>
  <c r="U346" i="6"/>
  <c r="L365" i="3" s="1"/>
  <c r="K365" i="3"/>
  <c r="U341" i="6"/>
  <c r="L360" i="3" s="1"/>
  <c r="AB341" i="6"/>
  <c r="Y341" i="6"/>
  <c r="P360" i="3" s="1"/>
  <c r="V341" i="6"/>
  <c r="M360" i="3" s="1"/>
  <c r="AL341" i="6"/>
  <c r="K360" i="3"/>
  <c r="AB215" i="6"/>
  <c r="X215" i="6"/>
  <c r="AL215" i="6"/>
  <c r="V215" i="6"/>
  <c r="M234" i="3" s="1"/>
  <c r="U215" i="6"/>
  <c r="L234" i="3" s="1"/>
  <c r="K234" i="3"/>
  <c r="AB199" i="6"/>
  <c r="X199" i="6"/>
  <c r="AL199" i="6"/>
  <c r="V199" i="6"/>
  <c r="M218" i="3" s="1"/>
  <c r="U199" i="6"/>
  <c r="L218" i="3" s="1"/>
  <c r="K218" i="3"/>
  <c r="AB183" i="6"/>
  <c r="X183" i="6"/>
  <c r="AL183" i="6"/>
  <c r="V183" i="6"/>
  <c r="M202" i="3" s="1"/>
  <c r="U183" i="6"/>
  <c r="L202" i="3" s="1"/>
  <c r="K202" i="3"/>
  <c r="AB167" i="6"/>
  <c r="X167" i="6"/>
  <c r="AL167" i="6"/>
  <c r="V167" i="6"/>
  <c r="M186" i="3" s="1"/>
  <c r="U167" i="6"/>
  <c r="L186" i="3" s="1"/>
  <c r="K186" i="3"/>
  <c r="AB151" i="6"/>
  <c r="X151" i="6"/>
  <c r="AL151" i="6"/>
  <c r="V151" i="6"/>
  <c r="M170" i="3" s="1"/>
  <c r="U151" i="6"/>
  <c r="L170" i="3" s="1"/>
  <c r="K170" i="3"/>
  <c r="AB135" i="6"/>
  <c r="X135" i="6"/>
  <c r="AL135" i="6"/>
  <c r="V135" i="6"/>
  <c r="M154" i="3" s="1"/>
  <c r="U135" i="6"/>
  <c r="L154" i="3" s="1"/>
  <c r="K154" i="3"/>
  <c r="AB119" i="6"/>
  <c r="X119" i="6"/>
  <c r="AL119" i="6"/>
  <c r="V119" i="6"/>
  <c r="M138" i="3" s="1"/>
  <c r="U119" i="6"/>
  <c r="L138" i="3" s="1"/>
  <c r="K138" i="3"/>
  <c r="AO229" i="6"/>
  <c r="AO221" i="6"/>
  <c r="AL241" i="6"/>
  <c r="V241" i="6"/>
  <c r="M260" i="3" s="1"/>
  <c r="U241" i="6"/>
  <c r="L260" i="3" s="1"/>
  <c r="AB241" i="6"/>
  <c r="Y241" i="6"/>
  <c r="P260" i="3" s="1"/>
  <c r="K260" i="3"/>
  <c r="AB226" i="6"/>
  <c r="AL226" i="6"/>
  <c r="V226" i="6"/>
  <c r="M245" i="3" s="1"/>
  <c r="U226" i="6"/>
  <c r="L245" i="3" s="1"/>
  <c r="K245" i="3"/>
  <c r="AL194" i="6"/>
  <c r="V194" i="6"/>
  <c r="M213" i="3" s="1"/>
  <c r="U194" i="6"/>
  <c r="L213" i="3" s="1"/>
  <c r="AB194" i="6"/>
  <c r="K213" i="3"/>
  <c r="AL162" i="6"/>
  <c r="V162" i="6"/>
  <c r="M181" i="3" s="1"/>
  <c r="U162" i="6"/>
  <c r="L181" i="3" s="1"/>
  <c r="AB162" i="6"/>
  <c r="K181" i="3"/>
  <c r="AL130" i="6"/>
  <c r="V130" i="6"/>
  <c r="M149" i="3" s="1"/>
  <c r="U130" i="6"/>
  <c r="L149" i="3" s="1"/>
  <c r="AB130" i="6"/>
  <c r="K149" i="3"/>
  <c r="AL261" i="6"/>
  <c r="V261" i="6"/>
  <c r="M280" i="3" s="1"/>
  <c r="U261" i="6"/>
  <c r="L280" i="3" s="1"/>
  <c r="AB261" i="6"/>
  <c r="Y261" i="6"/>
  <c r="P280" i="3" s="1"/>
  <c r="K280" i="3"/>
  <c r="AL237" i="6"/>
  <c r="V237" i="6"/>
  <c r="M256" i="3" s="1"/>
  <c r="U237" i="6"/>
  <c r="L256" i="3" s="1"/>
  <c r="AB237" i="6"/>
  <c r="K256" i="3"/>
  <c r="AL271" i="6"/>
  <c r="V271" i="6"/>
  <c r="M290" i="3" s="1"/>
  <c r="U271" i="6"/>
  <c r="L290" i="3" s="1"/>
  <c r="AB271" i="6"/>
  <c r="Y271" i="6"/>
  <c r="P290" i="3" s="1"/>
  <c r="K290" i="3"/>
  <c r="AO217" i="6"/>
  <c r="AL103" i="6"/>
  <c r="V103" i="6"/>
  <c r="M122" i="3" s="1"/>
  <c r="X103" i="6"/>
  <c r="U103" i="6"/>
  <c r="L122" i="3" s="1"/>
  <c r="AB103" i="6"/>
  <c r="K122" i="3"/>
  <c r="AB46" i="6"/>
  <c r="Y46" i="6"/>
  <c r="P65" i="3" s="1"/>
  <c r="AL46" i="6"/>
  <c r="V46" i="6"/>
  <c r="M65" i="3" s="1"/>
  <c r="U46" i="6"/>
  <c r="L65" i="3" s="1"/>
  <c r="K65" i="3"/>
  <c r="AL110" i="6"/>
  <c r="V110" i="6"/>
  <c r="M129" i="3" s="1"/>
  <c r="U110" i="6"/>
  <c r="L129" i="3" s="1"/>
  <c r="AB110" i="6"/>
  <c r="K129" i="3"/>
  <c r="U99" i="6"/>
  <c r="L118" i="3" s="1"/>
  <c r="AB99" i="6"/>
  <c r="X99" i="6"/>
  <c r="AL99" i="6"/>
  <c r="V99" i="6"/>
  <c r="M118" i="3" s="1"/>
  <c r="K118" i="3"/>
  <c r="U35" i="6"/>
  <c r="L54" i="3" s="1"/>
  <c r="AB35" i="6"/>
  <c r="X35" i="6"/>
  <c r="AL35" i="6"/>
  <c r="V35" i="6"/>
  <c r="M54" i="3" s="1"/>
  <c r="K54" i="3"/>
  <c r="AL72" i="6"/>
  <c r="V72" i="6"/>
  <c r="M91" i="3" s="1"/>
  <c r="U72" i="6"/>
  <c r="L91" i="3" s="1"/>
  <c r="AB72" i="6"/>
  <c r="K91" i="3"/>
  <c r="AL53" i="6"/>
  <c r="V53" i="6"/>
  <c r="M72" i="3" s="1"/>
  <c r="U53" i="6"/>
  <c r="L72" i="3" s="1"/>
  <c r="AB53" i="6"/>
  <c r="X53" i="6"/>
  <c r="K72" i="3"/>
  <c r="AL74" i="6"/>
  <c r="V74" i="6"/>
  <c r="M93" i="3" s="1"/>
  <c r="U74" i="6"/>
  <c r="L93" i="3" s="1"/>
  <c r="AB74" i="6"/>
  <c r="K93" i="3"/>
  <c r="AL16" i="6"/>
  <c r="V16" i="6"/>
  <c r="M35" i="3" s="1"/>
  <c r="U16" i="6"/>
  <c r="L35" i="3" s="1"/>
  <c r="AB16" i="6"/>
  <c r="K35" i="3"/>
  <c r="X79" i="6"/>
  <c r="AL79" i="6"/>
  <c r="V79" i="6"/>
  <c r="M98" i="3" s="1"/>
  <c r="U79" i="6"/>
  <c r="L98" i="3" s="1"/>
  <c r="AB79" i="6"/>
  <c r="K98" i="3"/>
  <c r="AL84" i="6"/>
  <c r="V84" i="6"/>
  <c r="M103" i="3" s="1"/>
  <c r="U84" i="6"/>
  <c r="L103" i="3" s="1"/>
  <c r="AB84" i="6"/>
  <c r="K103" i="3"/>
  <c r="AL20" i="6"/>
  <c r="V20" i="6"/>
  <c r="M39" i="3" s="1"/>
  <c r="U20" i="6"/>
  <c r="L39" i="3" s="1"/>
  <c r="AB20" i="6"/>
  <c r="K39" i="3"/>
  <c r="X41" i="6"/>
  <c r="AL41" i="6"/>
  <c r="V41" i="6"/>
  <c r="M60" i="3" s="1"/>
  <c r="U41" i="6"/>
  <c r="L60" i="3" s="1"/>
  <c r="AB41" i="6"/>
  <c r="K60" i="3"/>
  <c r="AA303" i="6"/>
  <c r="Z303" i="6"/>
  <c r="O322" i="3"/>
  <c r="Y324" i="6"/>
  <c r="P343" i="3" s="1"/>
  <c r="Y308" i="6"/>
  <c r="P327" i="3" s="1"/>
  <c r="Y276" i="6"/>
  <c r="P295" i="3" s="1"/>
  <c r="AA329" i="6"/>
  <c r="Z329" i="6"/>
  <c r="O348" i="3"/>
  <c r="X291" i="6"/>
  <c r="AO387" i="6"/>
  <c r="AO307" i="6"/>
  <c r="AO275" i="6"/>
  <c r="AO254" i="6"/>
  <c r="AO249" i="6"/>
  <c r="AO201" i="6"/>
  <c r="AO169" i="6"/>
  <c r="AO137" i="6"/>
  <c r="AO204" i="6"/>
  <c r="AO172" i="6"/>
  <c r="AO140" i="6"/>
  <c r="H6" i="6"/>
  <c r="AB390" i="6"/>
  <c r="U390" i="6"/>
  <c r="L409" i="3" s="1"/>
  <c r="AL390" i="6"/>
  <c r="V390" i="6"/>
  <c r="M409" i="3" s="1"/>
  <c r="K409" i="3"/>
  <c r="AO369" i="6"/>
  <c r="AB364" i="6"/>
  <c r="AL364" i="6"/>
  <c r="V364" i="6"/>
  <c r="M383" i="3" s="1"/>
  <c r="U364" i="6"/>
  <c r="L383" i="3" s="1"/>
  <c r="K383" i="3"/>
  <c r="AB360" i="6"/>
  <c r="AL360" i="6"/>
  <c r="V360" i="6"/>
  <c r="M379" i="3" s="1"/>
  <c r="U360" i="6"/>
  <c r="L379" i="3" s="1"/>
  <c r="K379" i="3"/>
  <c r="AB303" i="6"/>
  <c r="Y303" i="6"/>
  <c r="P322" i="3" s="1"/>
  <c r="AL303" i="6"/>
  <c r="V303" i="6"/>
  <c r="M322" i="3" s="1"/>
  <c r="U303" i="6"/>
  <c r="L322" i="3" s="1"/>
  <c r="K322" i="3"/>
  <c r="AB287" i="6"/>
  <c r="Y287" i="6"/>
  <c r="P306" i="3" s="1"/>
  <c r="AL287" i="6"/>
  <c r="V287" i="6"/>
  <c r="M306" i="3" s="1"/>
  <c r="U287" i="6"/>
  <c r="L306" i="3" s="1"/>
  <c r="K306" i="3"/>
  <c r="AO335" i="6"/>
  <c r="X377" i="6"/>
  <c r="U377" i="6"/>
  <c r="L396" i="3" s="1"/>
  <c r="AB377" i="6"/>
  <c r="AL377" i="6"/>
  <c r="Y377" i="6"/>
  <c r="P396" i="3" s="1"/>
  <c r="V377" i="6"/>
  <c r="M396" i="3" s="1"/>
  <c r="K396" i="3"/>
  <c r="AL304" i="6"/>
  <c r="V304" i="6"/>
  <c r="M323" i="3" s="1"/>
  <c r="U304" i="6"/>
  <c r="L323" i="3" s="1"/>
  <c r="AB304" i="6"/>
  <c r="K323" i="3"/>
  <c r="AL288" i="6"/>
  <c r="V288" i="6"/>
  <c r="M307" i="3" s="1"/>
  <c r="U288" i="6"/>
  <c r="L307" i="3" s="1"/>
  <c r="AB288" i="6"/>
  <c r="K307" i="3"/>
  <c r="AL272" i="6"/>
  <c r="V272" i="6"/>
  <c r="M291" i="3" s="1"/>
  <c r="AB272" i="6"/>
  <c r="X272" i="6"/>
  <c r="U272" i="6"/>
  <c r="L291" i="3" s="1"/>
  <c r="K291" i="3"/>
  <c r="AL268" i="6"/>
  <c r="V268" i="6"/>
  <c r="M287" i="3" s="1"/>
  <c r="AB268" i="6"/>
  <c r="U268" i="6"/>
  <c r="L287" i="3" s="1"/>
  <c r="K287" i="3"/>
  <c r="AL254" i="6"/>
  <c r="V254" i="6"/>
  <c r="M273" i="3" s="1"/>
  <c r="AB254" i="6"/>
  <c r="U254" i="6"/>
  <c r="L273" i="3" s="1"/>
  <c r="X254" i="6"/>
  <c r="K273" i="3"/>
  <c r="AB240" i="6"/>
  <c r="X240" i="6"/>
  <c r="V240" i="6"/>
  <c r="M259" i="3" s="1"/>
  <c r="AL240" i="6"/>
  <c r="U240" i="6"/>
  <c r="L259" i="3" s="1"/>
  <c r="K259" i="3"/>
  <c r="X357" i="6"/>
  <c r="U357" i="6"/>
  <c r="L376" i="3" s="1"/>
  <c r="AB357" i="6"/>
  <c r="AL357" i="6"/>
  <c r="Y357" i="6"/>
  <c r="P376" i="3" s="1"/>
  <c r="V357" i="6"/>
  <c r="M376" i="3" s="1"/>
  <c r="K376" i="3"/>
  <c r="U339" i="6"/>
  <c r="L358" i="3" s="1"/>
  <c r="Y339" i="6"/>
  <c r="P358" i="3" s="1"/>
  <c r="X339" i="6"/>
  <c r="V339" i="6"/>
  <c r="M358" i="3" s="1"/>
  <c r="AL339" i="6"/>
  <c r="AB339" i="6"/>
  <c r="K358" i="3"/>
  <c r="X371" i="6"/>
  <c r="U371" i="6"/>
  <c r="L390" i="3" s="1"/>
  <c r="V371" i="6"/>
  <c r="M390" i="3" s="1"/>
  <c r="AB371" i="6"/>
  <c r="AL371" i="6"/>
  <c r="Y371" i="6"/>
  <c r="P390" i="3" s="1"/>
  <c r="K390" i="3"/>
  <c r="AB326" i="6"/>
  <c r="X326" i="6"/>
  <c r="V326" i="6"/>
  <c r="M345" i="3" s="1"/>
  <c r="U326" i="6"/>
  <c r="L345" i="3" s="1"/>
  <c r="AL326" i="6"/>
  <c r="K345" i="3"/>
  <c r="X385" i="6"/>
  <c r="U385" i="6"/>
  <c r="L404" i="3" s="1"/>
  <c r="AL385" i="6"/>
  <c r="Y385" i="6"/>
  <c r="P404" i="3" s="1"/>
  <c r="V385" i="6"/>
  <c r="M404" i="3" s="1"/>
  <c r="AB385" i="6"/>
  <c r="K404" i="3"/>
  <c r="AB209" i="6"/>
  <c r="X209" i="6"/>
  <c r="AL209" i="6"/>
  <c r="V209" i="6"/>
  <c r="M228" i="3" s="1"/>
  <c r="U209" i="6"/>
  <c r="L228" i="3" s="1"/>
  <c r="K228" i="3"/>
  <c r="AB193" i="6"/>
  <c r="X193" i="6"/>
  <c r="AL193" i="6"/>
  <c r="V193" i="6"/>
  <c r="M212" i="3" s="1"/>
  <c r="U193" i="6"/>
  <c r="L212" i="3" s="1"/>
  <c r="K212" i="3"/>
  <c r="AB177" i="6"/>
  <c r="X177" i="6"/>
  <c r="AL177" i="6"/>
  <c r="V177" i="6"/>
  <c r="M196" i="3" s="1"/>
  <c r="U177" i="6"/>
  <c r="L196" i="3" s="1"/>
  <c r="K196" i="3"/>
  <c r="AB161" i="6"/>
  <c r="X161" i="6"/>
  <c r="AL161" i="6"/>
  <c r="V161" i="6"/>
  <c r="M180" i="3" s="1"/>
  <c r="U161" i="6"/>
  <c r="L180" i="3" s="1"/>
  <c r="K180" i="3"/>
  <c r="AB145" i="6"/>
  <c r="X145" i="6"/>
  <c r="AL145" i="6"/>
  <c r="V145" i="6"/>
  <c r="M164" i="3" s="1"/>
  <c r="U145" i="6"/>
  <c r="L164" i="3" s="1"/>
  <c r="K164" i="3"/>
  <c r="AB129" i="6"/>
  <c r="X129" i="6"/>
  <c r="AL129" i="6"/>
  <c r="V129" i="6"/>
  <c r="M148" i="3" s="1"/>
  <c r="U129" i="6"/>
  <c r="L148" i="3" s="1"/>
  <c r="K148" i="3"/>
  <c r="AB113" i="6"/>
  <c r="X113" i="6"/>
  <c r="AL113" i="6"/>
  <c r="V113" i="6"/>
  <c r="M132" i="3" s="1"/>
  <c r="U113" i="6"/>
  <c r="L132" i="3" s="1"/>
  <c r="K132" i="3"/>
  <c r="X228" i="6"/>
  <c r="V228" i="6"/>
  <c r="M247" i="3" s="1"/>
  <c r="U228" i="6"/>
  <c r="L247" i="3" s="1"/>
  <c r="AB228" i="6"/>
  <c r="AL228" i="6"/>
  <c r="K247" i="3"/>
  <c r="AL257" i="6"/>
  <c r="V257" i="6"/>
  <c r="M276" i="3" s="1"/>
  <c r="U257" i="6"/>
  <c r="L276" i="3" s="1"/>
  <c r="AB257" i="6"/>
  <c r="Y257" i="6"/>
  <c r="P276" i="3" s="1"/>
  <c r="K276" i="3"/>
  <c r="AL204" i="6"/>
  <c r="V204" i="6"/>
  <c r="M223" i="3" s="1"/>
  <c r="U204" i="6"/>
  <c r="L223" i="3" s="1"/>
  <c r="AB204" i="6"/>
  <c r="K223" i="3"/>
  <c r="AL188" i="6"/>
  <c r="V188" i="6"/>
  <c r="M207" i="3" s="1"/>
  <c r="U188" i="6"/>
  <c r="L207" i="3" s="1"/>
  <c r="AB188" i="6"/>
  <c r="K207" i="3"/>
  <c r="AL172" i="6"/>
  <c r="V172" i="6"/>
  <c r="M191" i="3" s="1"/>
  <c r="U172" i="6"/>
  <c r="L191" i="3" s="1"/>
  <c r="AB172" i="6"/>
  <c r="K191" i="3"/>
  <c r="AL156" i="6"/>
  <c r="V156" i="6"/>
  <c r="M175" i="3" s="1"/>
  <c r="U156" i="6"/>
  <c r="L175" i="3" s="1"/>
  <c r="AB156" i="6"/>
  <c r="K175" i="3"/>
  <c r="AL140" i="6"/>
  <c r="V140" i="6"/>
  <c r="M159" i="3" s="1"/>
  <c r="U140" i="6"/>
  <c r="L159" i="3" s="1"/>
  <c r="AB140" i="6"/>
  <c r="K159" i="3"/>
  <c r="AL124" i="6"/>
  <c r="V124" i="6"/>
  <c r="M143" i="3" s="1"/>
  <c r="U124" i="6"/>
  <c r="L143" i="3" s="1"/>
  <c r="AB124" i="6"/>
  <c r="K143" i="3"/>
  <c r="AB86" i="6"/>
  <c r="Y86" i="6"/>
  <c r="P105" i="3" s="1"/>
  <c r="AL86" i="6"/>
  <c r="V86" i="6"/>
  <c r="M105" i="3" s="1"/>
  <c r="U86" i="6"/>
  <c r="L105" i="3" s="1"/>
  <c r="K105" i="3"/>
  <c r="AB22" i="6"/>
  <c r="Y22" i="6"/>
  <c r="P41" i="3" s="1"/>
  <c r="AL22" i="6"/>
  <c r="V22" i="6"/>
  <c r="M41" i="3" s="1"/>
  <c r="U22" i="6"/>
  <c r="L41" i="3" s="1"/>
  <c r="K41" i="3"/>
  <c r="AB17" i="6"/>
  <c r="Y17" i="6"/>
  <c r="P36" i="3" s="1"/>
  <c r="AL17" i="6"/>
  <c r="V17" i="6"/>
  <c r="M36" i="3" s="1"/>
  <c r="U17" i="6"/>
  <c r="L36" i="3" s="1"/>
  <c r="K36" i="3"/>
  <c r="U75" i="6"/>
  <c r="L94" i="3" s="1"/>
  <c r="AB75" i="6"/>
  <c r="X75" i="6"/>
  <c r="AL75" i="6"/>
  <c r="V75" i="6"/>
  <c r="M94" i="3" s="1"/>
  <c r="K94" i="3"/>
  <c r="AL48" i="6"/>
  <c r="V48" i="6"/>
  <c r="M67" i="3" s="1"/>
  <c r="U48" i="6"/>
  <c r="L67" i="3" s="1"/>
  <c r="AB48" i="6"/>
  <c r="K67" i="3"/>
  <c r="AL14" i="6"/>
  <c r="V14" i="6"/>
  <c r="M33" i="3" s="1"/>
  <c r="U14" i="6"/>
  <c r="L33" i="3" s="1"/>
  <c r="AB14" i="6"/>
  <c r="K33" i="3"/>
  <c r="AL93" i="6"/>
  <c r="V93" i="6"/>
  <c r="M112" i="3" s="1"/>
  <c r="U93" i="6"/>
  <c r="L112" i="3" s="1"/>
  <c r="AB93" i="6"/>
  <c r="X93" i="6"/>
  <c r="K112" i="3"/>
  <c r="AL29" i="6"/>
  <c r="V29" i="6"/>
  <c r="M48" i="3" s="1"/>
  <c r="U29" i="6"/>
  <c r="L48" i="3" s="1"/>
  <c r="AB29" i="6"/>
  <c r="X29" i="6"/>
  <c r="K48" i="3"/>
  <c r="AL50" i="6"/>
  <c r="V50" i="6"/>
  <c r="M69" i="3" s="1"/>
  <c r="U50" i="6"/>
  <c r="L69" i="3" s="1"/>
  <c r="AB50" i="6"/>
  <c r="K69" i="3"/>
  <c r="X55" i="6"/>
  <c r="AL55" i="6"/>
  <c r="V55" i="6"/>
  <c r="M74" i="3" s="1"/>
  <c r="U55" i="6"/>
  <c r="L74" i="3" s="1"/>
  <c r="AB55" i="6"/>
  <c r="K74" i="3"/>
  <c r="AL60" i="6"/>
  <c r="V60" i="6"/>
  <c r="M79" i="3" s="1"/>
  <c r="U60" i="6"/>
  <c r="L79" i="3" s="1"/>
  <c r="AB60" i="6"/>
  <c r="K79" i="3"/>
  <c r="Y81" i="6"/>
  <c r="P100" i="3" s="1"/>
  <c r="X81" i="6"/>
  <c r="AL81" i="6"/>
  <c r="V81" i="6"/>
  <c r="M100" i="3" s="1"/>
  <c r="U81" i="6"/>
  <c r="L100" i="3" s="1"/>
  <c r="AB81" i="6"/>
  <c r="K100" i="3"/>
  <c r="AA144" i="6"/>
  <c r="Z144" i="6"/>
  <c r="O163" i="3"/>
  <c r="Y380" i="6"/>
  <c r="P399" i="3" s="1"/>
  <c r="AO384" i="6"/>
  <c r="AO366" i="6"/>
  <c r="AO272" i="6"/>
  <c r="AO242" i="6"/>
  <c r="X307" i="6"/>
  <c r="X275" i="6"/>
  <c r="AO331" i="6"/>
  <c r="AO291" i="6"/>
  <c r="AO244" i="6"/>
  <c r="AA352" i="6"/>
  <c r="Z352" i="6"/>
  <c r="O371" i="3"/>
  <c r="AA247" i="6"/>
  <c r="Z247" i="6"/>
  <c r="O266" i="3"/>
  <c r="AO302" i="6"/>
  <c r="AO286" i="6"/>
  <c r="AO240" i="6"/>
  <c r="AO219" i="6"/>
  <c r="AO185" i="6"/>
  <c r="AO153" i="6"/>
  <c r="AO121" i="6"/>
  <c r="AO220" i="6"/>
  <c r="AO188" i="6"/>
  <c r="AO156" i="6"/>
  <c r="AO124" i="6"/>
  <c r="AA110" i="6"/>
  <c r="Z110" i="6"/>
  <c r="O129" i="3"/>
  <c r="AO16" i="6"/>
  <c r="A35" i="3"/>
  <c r="AO370" i="6"/>
  <c r="Z338" i="6"/>
  <c r="AA338" i="6"/>
  <c r="O357" i="3"/>
  <c r="AO380" i="6"/>
  <c r="AO332" i="6"/>
  <c r="AO344" i="6"/>
  <c r="AO374" i="6"/>
  <c r="AO320" i="6"/>
  <c r="Y232" i="6"/>
  <c r="P251" i="3" s="1"/>
  <c r="AA325" i="6"/>
  <c r="Z325" i="6"/>
  <c r="O344" i="3"/>
  <c r="AA305" i="6"/>
  <c r="Z305" i="6"/>
  <c r="O324" i="3"/>
  <c r="AA289" i="6"/>
  <c r="Z289" i="6"/>
  <c r="O308" i="3"/>
  <c r="AO266" i="6"/>
  <c r="AO381" i="6"/>
  <c r="AO329" i="6"/>
  <c r="AO305" i="6"/>
  <c r="AO289" i="6"/>
  <c r="AA346" i="6"/>
  <c r="Z346" i="6"/>
  <c r="O365" i="3"/>
  <c r="AA253" i="6"/>
  <c r="Z253" i="6"/>
  <c r="O272" i="3"/>
  <c r="AO300" i="6"/>
  <c r="AO284" i="6"/>
  <c r="AA263" i="6"/>
  <c r="Z263" i="6"/>
  <c r="O282" i="3"/>
  <c r="AO238" i="6"/>
  <c r="AO245" i="6"/>
  <c r="AO215" i="6"/>
  <c r="AO199" i="6"/>
  <c r="AO183" i="6"/>
  <c r="AO167" i="6"/>
  <c r="AO151" i="6"/>
  <c r="AO135" i="6"/>
  <c r="AO119" i="6"/>
  <c r="AA218" i="6"/>
  <c r="Z218" i="6"/>
  <c r="O237" i="3"/>
  <c r="AO109" i="6"/>
  <c r="AO218" i="6"/>
  <c r="AO202" i="6"/>
  <c r="AO186" i="6"/>
  <c r="AO170" i="6"/>
  <c r="AO154" i="6"/>
  <c r="AO138" i="6"/>
  <c r="AO122" i="6"/>
  <c r="AA86" i="6"/>
  <c r="Z86" i="6"/>
  <c r="O105" i="3"/>
  <c r="AA54" i="6"/>
  <c r="Z54" i="6"/>
  <c r="O73" i="3"/>
  <c r="AA22" i="6"/>
  <c r="Z22" i="6"/>
  <c r="O41" i="3"/>
  <c r="AA100" i="6"/>
  <c r="Z100" i="6"/>
  <c r="O119" i="3"/>
  <c r="AO91" i="6"/>
  <c r="A110" i="3"/>
  <c r="AO75" i="6"/>
  <c r="A94" i="3"/>
  <c r="AO59" i="6"/>
  <c r="A78" i="3"/>
  <c r="AO43" i="6"/>
  <c r="A62" i="3"/>
  <c r="AO27" i="6"/>
  <c r="A46" i="3"/>
  <c r="AO92" i="6"/>
  <c r="A111" i="3"/>
  <c r="AO76" i="6"/>
  <c r="A95" i="3"/>
  <c r="AO60" i="6"/>
  <c r="A79" i="3"/>
  <c r="AO44" i="6"/>
  <c r="A63" i="3"/>
  <c r="AO28" i="6"/>
  <c r="A47" i="3"/>
  <c r="A15" i="7"/>
  <c r="AO10" i="6"/>
  <c r="A29" i="3"/>
  <c r="AO97" i="6"/>
  <c r="A116" i="3"/>
  <c r="AO81" i="6"/>
  <c r="A100" i="3"/>
  <c r="AO65" i="6"/>
  <c r="A84" i="3"/>
  <c r="AO49" i="6"/>
  <c r="A68" i="3"/>
  <c r="AO33" i="6"/>
  <c r="A52" i="3"/>
  <c r="AO102" i="6"/>
  <c r="A121" i="3"/>
  <c r="AO86" i="6"/>
  <c r="A105" i="3"/>
  <c r="AO70" i="6"/>
  <c r="A89" i="3"/>
  <c r="AO54" i="6"/>
  <c r="A73" i="3"/>
  <c r="AO38" i="6"/>
  <c r="A57" i="3"/>
  <c r="AO22" i="6"/>
  <c r="A41" i="3"/>
  <c r="AO377" i="6"/>
  <c r="AO373" i="6"/>
  <c r="AB368" i="6"/>
  <c r="X368" i="6"/>
  <c r="AL368" i="6"/>
  <c r="V368" i="6"/>
  <c r="M387" i="3" s="1"/>
  <c r="U368" i="6"/>
  <c r="L387" i="3" s="1"/>
  <c r="K387" i="3"/>
  <c r="AO343" i="6"/>
  <c r="AB313" i="6"/>
  <c r="Y313" i="6"/>
  <c r="P332" i="3" s="1"/>
  <c r="AL313" i="6"/>
  <c r="V313" i="6"/>
  <c r="M332" i="3" s="1"/>
  <c r="U313" i="6"/>
  <c r="L332" i="3" s="1"/>
  <c r="K332" i="3"/>
  <c r="AB281" i="6"/>
  <c r="Y281" i="6"/>
  <c r="P300" i="3" s="1"/>
  <c r="AL281" i="6"/>
  <c r="V281" i="6"/>
  <c r="M300" i="3" s="1"/>
  <c r="U281" i="6"/>
  <c r="L300" i="3" s="1"/>
  <c r="K300" i="3"/>
  <c r="X381" i="6"/>
  <c r="U381" i="6"/>
  <c r="L400" i="3" s="1"/>
  <c r="AB381" i="6"/>
  <c r="AL381" i="6"/>
  <c r="Y381" i="6"/>
  <c r="P400" i="3" s="1"/>
  <c r="V381" i="6"/>
  <c r="M400" i="3" s="1"/>
  <c r="K400" i="3"/>
  <c r="AO349" i="6"/>
  <c r="X354" i="6"/>
  <c r="V354" i="6"/>
  <c r="M373" i="3" s="1"/>
  <c r="U354" i="6"/>
  <c r="L373" i="3" s="1"/>
  <c r="AL354" i="6"/>
  <c r="AB354" i="6"/>
  <c r="K373" i="3"/>
  <c r="V318" i="6"/>
  <c r="M337" i="3" s="1"/>
  <c r="U318" i="6"/>
  <c r="L337" i="3" s="1"/>
  <c r="AL318" i="6"/>
  <c r="AB318" i="6"/>
  <c r="K337" i="3"/>
  <c r="X336" i="6"/>
  <c r="V336" i="6"/>
  <c r="M355" i="3" s="1"/>
  <c r="U336" i="6"/>
  <c r="L355" i="3" s="1"/>
  <c r="AL336" i="6"/>
  <c r="AB336" i="6"/>
  <c r="K355" i="3"/>
  <c r="AO321" i="6"/>
  <c r="U319" i="6"/>
  <c r="L338" i="3" s="1"/>
  <c r="Y319" i="6"/>
  <c r="P338" i="3" s="1"/>
  <c r="V319" i="6"/>
  <c r="M338" i="3" s="1"/>
  <c r="AL319" i="6"/>
  <c r="AB319" i="6"/>
  <c r="K338" i="3"/>
  <c r="X391" i="6"/>
  <c r="U391" i="6"/>
  <c r="L410" i="3" s="1"/>
  <c r="AB391" i="6"/>
  <c r="AL391" i="6"/>
  <c r="Y391" i="6"/>
  <c r="P410" i="3" s="1"/>
  <c r="V391" i="6"/>
  <c r="M410" i="3" s="1"/>
  <c r="K410" i="3"/>
  <c r="AO351" i="6"/>
  <c r="V338" i="6"/>
  <c r="M357" i="3" s="1"/>
  <c r="U338" i="6"/>
  <c r="L357" i="3" s="1"/>
  <c r="AL338" i="6"/>
  <c r="AB338" i="6"/>
  <c r="K357" i="3"/>
  <c r="AO323" i="6"/>
  <c r="AL314" i="6"/>
  <c r="V314" i="6"/>
  <c r="M333" i="3" s="1"/>
  <c r="U314" i="6"/>
  <c r="L333" i="3" s="1"/>
  <c r="AB314" i="6"/>
  <c r="K333" i="3"/>
  <c r="AL298" i="6"/>
  <c r="V298" i="6"/>
  <c r="M317" i="3" s="1"/>
  <c r="U298" i="6"/>
  <c r="L317" i="3" s="1"/>
  <c r="AB298" i="6"/>
  <c r="K317" i="3"/>
  <c r="AL282" i="6"/>
  <c r="V282" i="6"/>
  <c r="M301" i="3" s="1"/>
  <c r="U282" i="6"/>
  <c r="L301" i="3" s="1"/>
  <c r="AB282" i="6"/>
  <c r="K301" i="3"/>
  <c r="AO263" i="6"/>
  <c r="AL258" i="6"/>
  <c r="V258" i="6"/>
  <c r="M277" i="3" s="1"/>
  <c r="AB258" i="6"/>
  <c r="X258" i="6"/>
  <c r="U258" i="6"/>
  <c r="L277" i="3" s="1"/>
  <c r="K277" i="3"/>
  <c r="AB244" i="6"/>
  <c r="X244" i="6"/>
  <c r="V244" i="6"/>
  <c r="M263" i="3" s="1"/>
  <c r="AL244" i="6"/>
  <c r="U244" i="6"/>
  <c r="L263" i="3" s="1"/>
  <c r="K263" i="3"/>
  <c r="U349" i="6"/>
  <c r="L368" i="3" s="1"/>
  <c r="V349" i="6"/>
  <c r="M368" i="3" s="1"/>
  <c r="AL349" i="6"/>
  <c r="AB349" i="6"/>
  <c r="Y349" i="6"/>
  <c r="P368" i="3" s="1"/>
  <c r="X349" i="6"/>
  <c r="K368" i="3"/>
  <c r="AL233" i="6"/>
  <c r="V233" i="6"/>
  <c r="M252" i="3" s="1"/>
  <c r="U233" i="6"/>
  <c r="L252" i="3" s="1"/>
  <c r="Y233" i="6"/>
  <c r="P252" i="3" s="1"/>
  <c r="X233" i="6"/>
  <c r="AB233" i="6"/>
  <c r="K252" i="3"/>
  <c r="AL225" i="6"/>
  <c r="V225" i="6"/>
  <c r="M244" i="3" s="1"/>
  <c r="U225" i="6"/>
  <c r="L244" i="3" s="1"/>
  <c r="Y225" i="6"/>
  <c r="P244" i="3" s="1"/>
  <c r="X225" i="6"/>
  <c r="AB225" i="6"/>
  <c r="K244" i="3"/>
  <c r="AB203" i="6"/>
  <c r="X203" i="6"/>
  <c r="AL203" i="6"/>
  <c r="V203" i="6"/>
  <c r="M222" i="3" s="1"/>
  <c r="U203" i="6"/>
  <c r="L222" i="3" s="1"/>
  <c r="K222" i="3"/>
  <c r="AB171" i="6"/>
  <c r="X171" i="6"/>
  <c r="AL171" i="6"/>
  <c r="V171" i="6"/>
  <c r="M190" i="3" s="1"/>
  <c r="U171" i="6"/>
  <c r="L190" i="3" s="1"/>
  <c r="K190" i="3"/>
  <c r="AB139" i="6"/>
  <c r="X139" i="6"/>
  <c r="AL139" i="6"/>
  <c r="V139" i="6"/>
  <c r="M158" i="3" s="1"/>
  <c r="U139" i="6"/>
  <c r="L158" i="3" s="1"/>
  <c r="K158" i="3"/>
  <c r="AL253" i="6"/>
  <c r="V253" i="6"/>
  <c r="M272" i="3" s="1"/>
  <c r="U253" i="6"/>
  <c r="L272" i="3" s="1"/>
  <c r="AB253" i="6"/>
  <c r="Y253" i="6"/>
  <c r="P272" i="3" s="1"/>
  <c r="K272" i="3"/>
  <c r="AL263" i="6"/>
  <c r="V263" i="6"/>
  <c r="M282" i="3" s="1"/>
  <c r="U263" i="6"/>
  <c r="L282" i="3" s="1"/>
  <c r="AB263" i="6"/>
  <c r="Y263" i="6"/>
  <c r="P282" i="3" s="1"/>
  <c r="K282" i="3"/>
  <c r="AB234" i="6"/>
  <c r="AL234" i="6"/>
  <c r="V234" i="6"/>
  <c r="M253" i="3" s="1"/>
  <c r="U234" i="6"/>
  <c r="L253" i="3" s="1"/>
  <c r="K253" i="3"/>
  <c r="AL267" i="6"/>
  <c r="V267" i="6"/>
  <c r="M286" i="3" s="1"/>
  <c r="U267" i="6"/>
  <c r="L286" i="3" s="1"/>
  <c r="Y267" i="6"/>
  <c r="P286" i="3" s="1"/>
  <c r="AB267" i="6"/>
  <c r="K286" i="3"/>
  <c r="AL214" i="6"/>
  <c r="V214" i="6"/>
  <c r="M233" i="3" s="1"/>
  <c r="U214" i="6"/>
  <c r="L233" i="3" s="1"/>
  <c r="AB214" i="6"/>
  <c r="K233" i="3"/>
  <c r="AL198" i="6"/>
  <c r="V198" i="6"/>
  <c r="M217" i="3" s="1"/>
  <c r="U198" i="6"/>
  <c r="L217" i="3" s="1"/>
  <c r="AB198" i="6"/>
  <c r="K217" i="3"/>
  <c r="AL182" i="6"/>
  <c r="V182" i="6"/>
  <c r="M201" i="3" s="1"/>
  <c r="U182" i="6"/>
  <c r="L201" i="3" s="1"/>
  <c r="AB182" i="6"/>
  <c r="K201" i="3"/>
  <c r="AL166" i="6"/>
  <c r="V166" i="6"/>
  <c r="M185" i="3" s="1"/>
  <c r="U166" i="6"/>
  <c r="L185" i="3" s="1"/>
  <c r="AB166" i="6"/>
  <c r="K185" i="3"/>
  <c r="AL150" i="6"/>
  <c r="V150" i="6"/>
  <c r="M169" i="3" s="1"/>
  <c r="U150" i="6"/>
  <c r="L169" i="3" s="1"/>
  <c r="AB150" i="6"/>
  <c r="K169" i="3"/>
  <c r="AL134" i="6"/>
  <c r="V134" i="6"/>
  <c r="M153" i="3" s="1"/>
  <c r="U134" i="6"/>
  <c r="L153" i="3" s="1"/>
  <c r="AB134" i="6"/>
  <c r="K153" i="3"/>
  <c r="AL118" i="6"/>
  <c r="V118" i="6"/>
  <c r="M137" i="3" s="1"/>
  <c r="U118" i="6"/>
  <c r="L137" i="3" s="1"/>
  <c r="AB118" i="6"/>
  <c r="K137" i="3"/>
  <c r="AL235" i="6"/>
  <c r="V235" i="6"/>
  <c r="M254" i="3" s="1"/>
  <c r="U235" i="6"/>
  <c r="L254" i="3" s="1"/>
  <c r="AB235" i="6"/>
  <c r="K254" i="3"/>
  <c r="V230" i="6"/>
  <c r="M249" i="3" s="1"/>
  <c r="U230" i="6"/>
  <c r="L249" i="3" s="1"/>
  <c r="AB230" i="6"/>
  <c r="AL230" i="6"/>
  <c r="K249" i="3"/>
  <c r="AB62" i="6"/>
  <c r="Y62" i="6"/>
  <c r="P81" i="3" s="1"/>
  <c r="AL62" i="6"/>
  <c r="V62" i="6"/>
  <c r="M81" i="3" s="1"/>
  <c r="U62" i="6"/>
  <c r="L81" i="3" s="1"/>
  <c r="K81" i="3"/>
  <c r="U51" i="6"/>
  <c r="L70" i="3" s="1"/>
  <c r="AB51" i="6"/>
  <c r="X51" i="6"/>
  <c r="AL51" i="6"/>
  <c r="V51" i="6"/>
  <c r="M70" i="3" s="1"/>
  <c r="K70" i="3"/>
  <c r="AL88" i="6"/>
  <c r="V88" i="6"/>
  <c r="M107" i="3" s="1"/>
  <c r="U88" i="6"/>
  <c r="L107" i="3" s="1"/>
  <c r="AB88" i="6"/>
  <c r="K107" i="3"/>
  <c r="AL24" i="6"/>
  <c r="V24" i="6"/>
  <c r="M43" i="3" s="1"/>
  <c r="U24" i="6"/>
  <c r="L43" i="3" s="1"/>
  <c r="AB24" i="6"/>
  <c r="K43" i="3"/>
  <c r="AL69" i="6"/>
  <c r="V69" i="6"/>
  <c r="M88" i="3" s="1"/>
  <c r="U69" i="6"/>
  <c r="L88" i="3" s="1"/>
  <c r="AB69" i="6"/>
  <c r="X69" i="6"/>
  <c r="K88" i="3"/>
  <c r="AL109" i="6"/>
  <c r="V109" i="6"/>
  <c r="M128" i="3" s="1"/>
  <c r="U109" i="6"/>
  <c r="L128" i="3" s="1"/>
  <c r="AB109" i="6"/>
  <c r="X109" i="6"/>
  <c r="K128" i="3"/>
  <c r="AL90" i="6"/>
  <c r="V90" i="6"/>
  <c r="M109" i="3" s="1"/>
  <c r="U90" i="6"/>
  <c r="L109" i="3" s="1"/>
  <c r="AB90" i="6"/>
  <c r="K109" i="3"/>
  <c r="AL26" i="6"/>
  <c r="V26" i="6"/>
  <c r="M45" i="3" s="1"/>
  <c r="U26" i="6"/>
  <c r="L45" i="3" s="1"/>
  <c r="AB26" i="6"/>
  <c r="K45" i="3"/>
  <c r="AL106" i="6"/>
  <c r="V106" i="6"/>
  <c r="M125" i="3" s="1"/>
  <c r="U106" i="6"/>
  <c r="L125" i="3" s="1"/>
  <c r="AB106" i="6"/>
  <c r="K125" i="3"/>
  <c r="X95" i="6"/>
  <c r="AL95" i="6"/>
  <c r="V95" i="6"/>
  <c r="M114" i="3" s="1"/>
  <c r="U95" i="6"/>
  <c r="L114" i="3" s="1"/>
  <c r="AB95" i="6"/>
  <c r="K114" i="3"/>
  <c r="X31" i="6"/>
  <c r="AL31" i="6"/>
  <c r="V31" i="6"/>
  <c r="M50" i="3" s="1"/>
  <c r="U31" i="6"/>
  <c r="L50" i="3" s="1"/>
  <c r="AB31" i="6"/>
  <c r="K50" i="3"/>
  <c r="AL36" i="6"/>
  <c r="V36" i="6"/>
  <c r="M55" i="3" s="1"/>
  <c r="U36" i="6"/>
  <c r="L55" i="3" s="1"/>
  <c r="AB36" i="6"/>
  <c r="K55" i="3"/>
  <c r="X111" i="6"/>
  <c r="AL111" i="6"/>
  <c r="V111" i="6"/>
  <c r="M130" i="3" s="1"/>
  <c r="U111" i="6"/>
  <c r="L130" i="3" s="1"/>
  <c r="AB111" i="6"/>
  <c r="K130" i="3"/>
  <c r="Y57" i="6"/>
  <c r="P76" i="3" s="1"/>
  <c r="X57" i="6"/>
  <c r="AL57" i="6"/>
  <c r="V57" i="6"/>
  <c r="M76" i="3" s="1"/>
  <c r="U57" i="6"/>
  <c r="L76" i="3" s="1"/>
  <c r="AB57" i="6"/>
  <c r="K76" i="3"/>
  <c r="V317" i="6" l="1"/>
  <c r="M336" i="3" s="1"/>
  <c r="K381" i="3"/>
  <c r="O223" i="3"/>
  <c r="X67" i="6"/>
  <c r="V202" i="6"/>
  <c r="M221" i="3" s="1"/>
  <c r="K344" i="3"/>
  <c r="X393" i="6"/>
  <c r="Y110" i="6"/>
  <c r="P129" i="3" s="1"/>
  <c r="K160" i="3"/>
  <c r="X173" i="6"/>
  <c r="K224" i="3"/>
  <c r="V147" i="6"/>
  <c r="M166" i="3" s="1"/>
  <c r="V211" i="6"/>
  <c r="M230" i="3" s="1"/>
  <c r="V334" i="6"/>
  <c r="M353" i="3" s="1"/>
  <c r="AL289" i="6"/>
  <c r="U192" i="6"/>
  <c r="L211" i="3" s="1"/>
  <c r="X317" i="6"/>
  <c r="U362" i="6"/>
  <c r="L381" i="3" s="1"/>
  <c r="Z204" i="6"/>
  <c r="K32" i="3"/>
  <c r="AB67" i="6"/>
  <c r="K157" i="3"/>
  <c r="AL202" i="6"/>
  <c r="AL325" i="6"/>
  <c r="K361" i="3"/>
  <c r="K95" i="3"/>
  <c r="Y289" i="6"/>
  <c r="P308" i="3" s="1"/>
  <c r="K348" i="3"/>
  <c r="V192" i="6"/>
  <c r="M211" i="3" s="1"/>
  <c r="K120" i="3"/>
  <c r="U317" i="6"/>
  <c r="L336" i="3" s="1"/>
  <c r="V362" i="6"/>
  <c r="M381" i="3" s="1"/>
  <c r="AB13" i="6"/>
  <c r="U67" i="6"/>
  <c r="L86" i="3" s="1"/>
  <c r="AB138" i="6"/>
  <c r="V325" i="6"/>
  <c r="M344" i="3" s="1"/>
  <c r="K412" i="3"/>
  <c r="AB342" i="6"/>
  <c r="AB76" i="6"/>
  <c r="X374" i="6"/>
  <c r="AB289" i="6"/>
  <c r="Y329" i="6"/>
  <c r="P348" i="3" s="1"/>
  <c r="AL362" i="6"/>
  <c r="U13" i="6"/>
  <c r="L32" i="3" s="1"/>
  <c r="U138" i="6"/>
  <c r="L157" i="3" s="1"/>
  <c r="K189" i="3"/>
  <c r="Y325" i="6"/>
  <c r="P344" i="3" s="1"/>
  <c r="V393" i="6"/>
  <c r="M412" i="3" s="1"/>
  <c r="AL342" i="6"/>
  <c r="U76" i="6"/>
  <c r="L95" i="3" s="1"/>
  <c r="Y101" i="6"/>
  <c r="P120" i="3" s="1"/>
  <c r="K336" i="3"/>
  <c r="X362" i="6"/>
  <c r="AB170" i="6"/>
  <c r="AB325" i="6"/>
  <c r="Y393" i="6"/>
  <c r="P412" i="3" s="1"/>
  <c r="AB334" i="6"/>
  <c r="K308" i="3"/>
  <c r="V329" i="6"/>
  <c r="M348" i="3" s="1"/>
  <c r="U101" i="6"/>
  <c r="L120" i="3" s="1"/>
  <c r="V67" i="6"/>
  <c r="M86" i="3" s="1"/>
  <c r="AB200" i="6"/>
  <c r="V187" i="6"/>
  <c r="M206" i="3" s="1"/>
  <c r="AL187" i="6"/>
  <c r="V123" i="6"/>
  <c r="M142" i="3" s="1"/>
  <c r="K229" i="3"/>
  <c r="V181" i="6"/>
  <c r="M200" i="3" s="1"/>
  <c r="AA104" i="6"/>
  <c r="AA311" i="6"/>
  <c r="AB117" i="6"/>
  <c r="AL123" i="6"/>
  <c r="X19" i="6"/>
  <c r="K258" i="3"/>
  <c r="U178" i="6"/>
  <c r="L197" i="3" s="1"/>
  <c r="K364" i="3"/>
  <c r="U83" i="6"/>
  <c r="L102" i="3" s="1"/>
  <c r="AB311" i="6"/>
  <c r="O191" i="3"/>
  <c r="K316" i="3"/>
  <c r="AB306" i="6"/>
  <c r="U279" i="6"/>
  <c r="L298" i="3" s="1"/>
  <c r="AA239" i="6"/>
  <c r="V262" i="6"/>
  <c r="M281" i="3" s="1"/>
  <c r="K123" i="3"/>
  <c r="O298" i="3"/>
  <c r="AL229" i="6"/>
  <c r="U376" i="6"/>
  <c r="L395" i="3" s="1"/>
  <c r="K232" i="3"/>
  <c r="X376" i="6"/>
  <c r="K349" i="3"/>
  <c r="K250" i="3"/>
  <c r="X149" i="6"/>
  <c r="Y358" i="6"/>
  <c r="P377" i="3" s="1"/>
  <c r="Y117" i="6"/>
  <c r="P136" i="3" s="1"/>
  <c r="K121" i="3"/>
  <c r="U333" i="6"/>
  <c r="L352" i="3" s="1"/>
  <c r="X250" i="6"/>
  <c r="Y250" i="6"/>
  <c r="P269" i="3" s="1"/>
  <c r="Y213" i="6"/>
  <c r="P232" i="3" s="1"/>
  <c r="AB222" i="6"/>
  <c r="AB123" i="6"/>
  <c r="U155" i="6"/>
  <c r="L174" i="3" s="1"/>
  <c r="AB187" i="6"/>
  <c r="K340" i="3"/>
  <c r="K363" i="3"/>
  <c r="V297" i="6"/>
  <c r="M316" i="3" s="1"/>
  <c r="AB102" i="6"/>
  <c r="AB239" i="6"/>
  <c r="K352" i="3"/>
  <c r="AB114" i="6"/>
  <c r="U210" i="6"/>
  <c r="L229" i="3" s="1"/>
  <c r="Y104" i="6"/>
  <c r="P123" i="3" s="1"/>
  <c r="K269" i="3"/>
  <c r="AB345" i="6"/>
  <c r="X181" i="6"/>
  <c r="X330" i="6"/>
  <c r="K341" i="3"/>
  <c r="AA279" i="6"/>
  <c r="U19" i="6"/>
  <c r="L38" i="3" s="1"/>
  <c r="K248" i="3"/>
  <c r="V306" i="6"/>
  <c r="M325" i="3" s="1"/>
  <c r="O323" i="3"/>
  <c r="O316" i="3"/>
  <c r="AL376" i="6"/>
  <c r="U231" i="6"/>
  <c r="L250" i="3" s="1"/>
  <c r="AL279" i="6"/>
  <c r="O207" i="3"/>
  <c r="O356" i="3"/>
  <c r="K57" i="3"/>
  <c r="V213" i="6"/>
  <c r="M232" i="3" s="1"/>
  <c r="K311" i="3"/>
  <c r="J4" i="3"/>
  <c r="Y342" i="6"/>
  <c r="P361" i="3" s="1"/>
  <c r="X342" i="6"/>
  <c r="Y278" i="6"/>
  <c r="P297" i="3" s="1"/>
  <c r="X278" i="6"/>
  <c r="X260" i="6"/>
  <c r="Y260" i="6"/>
  <c r="P279" i="3" s="1"/>
  <c r="Y160" i="6"/>
  <c r="P179" i="3" s="1"/>
  <c r="X160" i="6"/>
  <c r="Y128" i="6"/>
  <c r="P147" i="3" s="1"/>
  <c r="X128" i="6"/>
  <c r="X202" i="6"/>
  <c r="Y202" i="6"/>
  <c r="P221" i="3" s="1"/>
  <c r="Y170" i="6"/>
  <c r="P189" i="3" s="1"/>
  <c r="X170" i="6"/>
  <c r="X138" i="6"/>
  <c r="Y138" i="6"/>
  <c r="P157" i="3" s="1"/>
  <c r="X96" i="6"/>
  <c r="Y96" i="6"/>
  <c r="P115" i="3" s="1"/>
  <c r="Y32" i="6"/>
  <c r="P51" i="3" s="1"/>
  <c r="X32" i="6"/>
  <c r="X74" i="6"/>
  <c r="Y74" i="6"/>
  <c r="P93" i="3" s="1"/>
  <c r="X13" i="6"/>
  <c r="Y13" i="6"/>
  <c r="P32" i="3" s="1"/>
  <c r="Y44" i="6"/>
  <c r="P63" i="3" s="1"/>
  <c r="X44" i="6"/>
  <c r="Y18" i="6"/>
  <c r="P37" i="3" s="1"/>
  <c r="X18" i="6"/>
  <c r="X76" i="6"/>
  <c r="Y76" i="6"/>
  <c r="P95" i="3" s="1"/>
  <c r="Y200" i="6"/>
  <c r="P219" i="3" s="1"/>
  <c r="X200" i="6"/>
  <c r="K241" i="3"/>
  <c r="V102" i="6"/>
  <c r="M121" i="3" s="1"/>
  <c r="U239" i="6"/>
  <c r="L258" i="3" s="1"/>
  <c r="Y333" i="6"/>
  <c r="P352" i="3" s="1"/>
  <c r="U114" i="6"/>
  <c r="L133" i="3" s="1"/>
  <c r="V210" i="6"/>
  <c r="M229" i="3" s="1"/>
  <c r="U104" i="6"/>
  <c r="L123" i="3" s="1"/>
  <c r="U250" i="6"/>
  <c r="L269" i="3" s="1"/>
  <c r="AL345" i="6"/>
  <c r="AB181" i="6"/>
  <c r="AB330" i="6"/>
  <c r="K29" i="3"/>
  <c r="K155" i="3"/>
  <c r="AL200" i="6"/>
  <c r="AB322" i="6"/>
  <c r="K102" i="3"/>
  <c r="X229" i="6"/>
  <c r="K389" i="3"/>
  <c r="Z304" i="6"/>
  <c r="Z297" i="6"/>
  <c r="AB376" i="6"/>
  <c r="V231" i="6"/>
  <c r="M250" i="3" s="1"/>
  <c r="K356" i="3"/>
  <c r="Y279" i="6"/>
  <c r="P298" i="3" s="1"/>
  <c r="K330" i="3"/>
  <c r="Z188" i="6"/>
  <c r="AA337" i="6"/>
  <c r="U38" i="6"/>
  <c r="L57" i="3" s="1"/>
  <c r="K136" i="3"/>
  <c r="AL213" i="6"/>
  <c r="AB292" i="6"/>
  <c r="Y318" i="6"/>
  <c r="P337" i="3" s="1"/>
  <c r="X318" i="6"/>
  <c r="X364" i="6"/>
  <c r="Y364" i="6"/>
  <c r="P383" i="3" s="1"/>
  <c r="Y348" i="6"/>
  <c r="P367" i="3" s="1"/>
  <c r="X348" i="6"/>
  <c r="X300" i="6"/>
  <c r="Y300" i="6"/>
  <c r="P319" i="3" s="1"/>
  <c r="Y236" i="6"/>
  <c r="P255" i="3" s="1"/>
  <c r="X236" i="6"/>
  <c r="X312" i="6"/>
  <c r="Y312" i="6"/>
  <c r="P331" i="3" s="1"/>
  <c r="Y198" i="6"/>
  <c r="P217" i="3" s="1"/>
  <c r="X198" i="6"/>
  <c r="X166" i="6"/>
  <c r="Y166" i="6"/>
  <c r="P185" i="3" s="1"/>
  <c r="X134" i="6"/>
  <c r="Y134" i="6"/>
  <c r="P153" i="3" s="1"/>
  <c r="X116" i="6"/>
  <c r="Y116" i="6"/>
  <c r="P135" i="3" s="1"/>
  <c r="X88" i="6"/>
  <c r="Y88" i="6"/>
  <c r="P107" i="3" s="1"/>
  <c r="X24" i="6"/>
  <c r="Y24" i="6"/>
  <c r="P43" i="3" s="1"/>
  <c r="Y230" i="6"/>
  <c r="P249" i="3" s="1"/>
  <c r="X230" i="6"/>
  <c r="Y66" i="6"/>
  <c r="P85" i="3" s="1"/>
  <c r="X66" i="6"/>
  <c r="Y105" i="6"/>
  <c r="P124" i="3" s="1"/>
  <c r="X105" i="6"/>
  <c r="X68" i="6"/>
  <c r="Y68" i="6"/>
  <c r="P87" i="3" s="1"/>
  <c r="X16" i="6"/>
  <c r="Y16" i="6"/>
  <c r="P35" i="3" s="1"/>
  <c r="Y168" i="6"/>
  <c r="P187" i="3" s="1"/>
  <c r="X168" i="6"/>
  <c r="X146" i="6"/>
  <c r="Y146" i="6"/>
  <c r="P165" i="3" s="1"/>
  <c r="AB344" i="6"/>
  <c r="AL297" i="6"/>
  <c r="AL155" i="6"/>
  <c r="AL321" i="6"/>
  <c r="AL344" i="6"/>
  <c r="Y297" i="6"/>
  <c r="P316" i="3" s="1"/>
  <c r="U102" i="6"/>
  <c r="L121" i="3" s="1"/>
  <c r="V239" i="6"/>
  <c r="M258" i="3" s="1"/>
  <c r="AB333" i="6"/>
  <c r="V114" i="6"/>
  <c r="M133" i="3" s="1"/>
  <c r="K165" i="3"/>
  <c r="V104" i="6"/>
  <c r="M123" i="3" s="1"/>
  <c r="AB250" i="6"/>
  <c r="V345" i="6"/>
  <c r="M364" i="3" s="1"/>
  <c r="AL330" i="6"/>
  <c r="AB10" i="6"/>
  <c r="AB136" i="6"/>
  <c r="AL322" i="6"/>
  <c r="V83" i="6"/>
  <c r="M102" i="3" s="1"/>
  <c r="Y229" i="6"/>
  <c r="P248" i="3" s="1"/>
  <c r="U370" i="6"/>
  <c r="L389" i="3" s="1"/>
  <c r="Y149" i="6"/>
  <c r="P168" i="3" s="1"/>
  <c r="AB337" i="6"/>
  <c r="AB279" i="6"/>
  <c r="U311" i="6"/>
  <c r="L330" i="3" s="1"/>
  <c r="V38" i="6"/>
  <c r="M57" i="3" s="1"/>
  <c r="U117" i="6"/>
  <c r="L136" i="3" s="1"/>
  <c r="K168" i="3"/>
  <c r="X213" i="6"/>
  <c r="K281" i="3"/>
  <c r="U292" i="6"/>
  <c r="L311" i="3" s="1"/>
  <c r="X386" i="6"/>
  <c r="Y386" i="6"/>
  <c r="P405" i="3" s="1"/>
  <c r="X360" i="6"/>
  <c r="Y360" i="6"/>
  <c r="P379" i="3" s="1"/>
  <c r="Y340" i="6"/>
  <c r="P359" i="3" s="1"/>
  <c r="X340" i="6"/>
  <c r="Y282" i="6"/>
  <c r="P301" i="3" s="1"/>
  <c r="X282" i="6"/>
  <c r="X246" i="6"/>
  <c r="Y246" i="6"/>
  <c r="P265" i="3" s="1"/>
  <c r="X216" i="6"/>
  <c r="Y216" i="6"/>
  <c r="P235" i="3" s="1"/>
  <c r="Y184" i="6"/>
  <c r="P203" i="3" s="1"/>
  <c r="X184" i="6"/>
  <c r="Y152" i="6"/>
  <c r="P171" i="3" s="1"/>
  <c r="X152" i="6"/>
  <c r="Y120" i="6"/>
  <c r="P139" i="3" s="1"/>
  <c r="X120" i="6"/>
  <c r="X194" i="6"/>
  <c r="Y194" i="6"/>
  <c r="P213" i="3" s="1"/>
  <c r="Y162" i="6"/>
  <c r="P181" i="3" s="1"/>
  <c r="X162" i="6"/>
  <c r="Y130" i="6"/>
  <c r="P149" i="3" s="1"/>
  <c r="X130" i="6"/>
  <c r="Y80" i="6"/>
  <c r="P99" i="3" s="1"/>
  <c r="X80" i="6"/>
  <c r="X12" i="6"/>
  <c r="Y12" i="6"/>
  <c r="P31" i="3" s="1"/>
  <c r="X60" i="6"/>
  <c r="Y60" i="6"/>
  <c r="P79" i="3" s="1"/>
  <c r="X106" i="6"/>
  <c r="Y106" i="6"/>
  <c r="P125" i="3" s="1"/>
  <c r="X306" i="6"/>
  <c r="Y306" i="6"/>
  <c r="P325" i="3" s="1"/>
  <c r="X222" i="6"/>
  <c r="Y222" i="6"/>
  <c r="P241" i="3" s="1"/>
  <c r="X123" i="6"/>
  <c r="K174" i="3"/>
  <c r="X187" i="6"/>
  <c r="U297" i="6"/>
  <c r="L316" i="3" s="1"/>
  <c r="V155" i="6"/>
  <c r="M174" i="3" s="1"/>
  <c r="AB321" i="6"/>
  <c r="AL222" i="6"/>
  <c r="U344" i="6"/>
  <c r="L363" i="3" s="1"/>
  <c r="AB297" i="6"/>
  <c r="AL102" i="6"/>
  <c r="AL239" i="6"/>
  <c r="AL333" i="6"/>
  <c r="AL114" i="6"/>
  <c r="AB146" i="6"/>
  <c r="AB104" i="6"/>
  <c r="V250" i="6"/>
  <c r="M269" i="3" s="1"/>
  <c r="X345" i="6"/>
  <c r="U330" i="6"/>
  <c r="L349" i="3" s="1"/>
  <c r="U10" i="6"/>
  <c r="K187" i="3"/>
  <c r="U322" i="6"/>
  <c r="L341" i="3" s="1"/>
  <c r="K38" i="3"/>
  <c r="AL83" i="6"/>
  <c r="AB229" i="6"/>
  <c r="AL337" i="6"/>
  <c r="V311" i="6"/>
  <c r="M330" i="3" s="1"/>
  <c r="AL38" i="6"/>
  <c r="V117" i="6"/>
  <c r="M136" i="3" s="1"/>
  <c r="U149" i="6"/>
  <c r="L168" i="3" s="1"/>
  <c r="AB213" i="6"/>
  <c r="U262" i="6"/>
  <c r="L281" i="3" s="1"/>
  <c r="V292" i="6"/>
  <c r="M311" i="3" s="1"/>
  <c r="Y337" i="6"/>
  <c r="P356" i="3" s="1"/>
  <c r="X392" i="6"/>
  <c r="X382" i="6"/>
  <c r="Y382" i="6"/>
  <c r="P401" i="3" s="1"/>
  <c r="Y388" i="6"/>
  <c r="P407" i="3" s="1"/>
  <c r="X388" i="6"/>
  <c r="Y356" i="6"/>
  <c r="P375" i="3" s="1"/>
  <c r="X356" i="6"/>
  <c r="X350" i="6"/>
  <c r="Y350" i="6"/>
  <c r="P369" i="3" s="1"/>
  <c r="X284" i="6"/>
  <c r="Y284" i="6"/>
  <c r="P303" i="3" s="1"/>
  <c r="X294" i="6"/>
  <c r="Y294" i="6"/>
  <c r="P313" i="3" s="1"/>
  <c r="X212" i="6"/>
  <c r="Y212" i="6"/>
  <c r="P231" i="3" s="1"/>
  <c r="Y180" i="6"/>
  <c r="P199" i="3" s="1"/>
  <c r="X180" i="6"/>
  <c r="Y148" i="6"/>
  <c r="P167" i="3" s="1"/>
  <c r="X148" i="6"/>
  <c r="X126" i="6"/>
  <c r="Y126" i="6"/>
  <c r="P145" i="3" s="1"/>
  <c r="X72" i="6"/>
  <c r="Y72" i="6"/>
  <c r="P91" i="3" s="1"/>
  <c r="X36" i="6"/>
  <c r="Y36" i="6"/>
  <c r="P55" i="3" s="1"/>
  <c r="Y58" i="6"/>
  <c r="P77" i="3" s="1"/>
  <c r="X58" i="6"/>
  <c r="X370" i="6"/>
  <c r="Y370" i="6"/>
  <c r="P389" i="3" s="1"/>
  <c r="X136" i="6"/>
  <c r="Y136" i="6"/>
  <c r="P155" i="3" s="1"/>
  <c r="Y178" i="6"/>
  <c r="P197" i="3" s="1"/>
  <c r="X178" i="6"/>
  <c r="V222" i="6"/>
  <c r="M241" i="3" s="1"/>
  <c r="K142" i="3"/>
  <c r="X155" i="6"/>
  <c r="K206" i="3"/>
  <c r="V321" i="6"/>
  <c r="M340" i="3" s="1"/>
  <c r="U123" i="6"/>
  <c r="L142" i="3" s="1"/>
  <c r="AB155" i="6"/>
  <c r="U187" i="6"/>
  <c r="L206" i="3" s="1"/>
  <c r="Y292" i="6"/>
  <c r="P311" i="3" s="1"/>
  <c r="V333" i="6"/>
  <c r="M352" i="3" s="1"/>
  <c r="X114" i="6"/>
  <c r="U146" i="6"/>
  <c r="L165" i="3" s="1"/>
  <c r="K197" i="3"/>
  <c r="AL250" i="6"/>
  <c r="U345" i="6"/>
  <c r="L364" i="3" s="1"/>
  <c r="K200" i="3"/>
  <c r="V10" i="6"/>
  <c r="M29" i="3" s="1"/>
  <c r="V136" i="6"/>
  <c r="M155" i="3" s="1"/>
  <c r="AB168" i="6"/>
  <c r="O123" i="3"/>
  <c r="O330" i="3"/>
  <c r="V19" i="6"/>
  <c r="M38" i="3" s="1"/>
  <c r="X83" i="6"/>
  <c r="U229" i="6"/>
  <c r="L248" i="3" s="1"/>
  <c r="AL370" i="6"/>
  <c r="X38" i="6"/>
  <c r="V337" i="6"/>
  <c r="M356" i="3" s="1"/>
  <c r="AL311" i="6"/>
  <c r="Y38" i="6"/>
  <c r="P57" i="3" s="1"/>
  <c r="AL117" i="6"/>
  <c r="O258" i="3"/>
  <c r="V149" i="6"/>
  <c r="M168" i="3" s="1"/>
  <c r="X262" i="6"/>
  <c r="AL292" i="6"/>
  <c r="Y314" i="6"/>
  <c r="P333" i="3" s="1"/>
  <c r="X314" i="6"/>
  <c r="Y266" i="6"/>
  <c r="P285" i="3" s="1"/>
  <c r="X266" i="6"/>
  <c r="X242" i="6"/>
  <c r="Y242" i="6"/>
  <c r="P261" i="3" s="1"/>
  <c r="Y290" i="6"/>
  <c r="P309" i="3" s="1"/>
  <c r="X290" i="6"/>
  <c r="X310" i="6"/>
  <c r="Y310" i="6"/>
  <c r="P329" i="3" s="1"/>
  <c r="X280" i="6"/>
  <c r="Y280" i="6"/>
  <c r="P299" i="3" s="1"/>
  <c r="X208" i="6"/>
  <c r="Y208" i="6"/>
  <c r="P227" i="3" s="1"/>
  <c r="Y176" i="6"/>
  <c r="P195" i="3" s="1"/>
  <c r="X176" i="6"/>
  <c r="X186" i="6"/>
  <c r="Y186" i="6"/>
  <c r="P205" i="3" s="1"/>
  <c r="Y154" i="6"/>
  <c r="P173" i="3" s="1"/>
  <c r="X154" i="6"/>
  <c r="X122" i="6"/>
  <c r="Y122" i="6"/>
  <c r="P141" i="3" s="1"/>
  <c r="X118" i="6"/>
  <c r="Y118" i="6"/>
  <c r="P137" i="3" s="1"/>
  <c r="X64" i="6"/>
  <c r="Y64" i="6"/>
  <c r="P83" i="3" s="1"/>
  <c r="Y50" i="6"/>
  <c r="P69" i="3" s="1"/>
  <c r="X50" i="6"/>
  <c r="V146" i="6"/>
  <c r="M165" i="3" s="1"/>
  <c r="AB178" i="6"/>
  <c r="U181" i="6"/>
  <c r="L200" i="3" s="1"/>
  <c r="AL136" i="6"/>
  <c r="U168" i="6"/>
  <c r="L187" i="3" s="1"/>
  <c r="K219" i="3"/>
  <c r="AL19" i="6"/>
  <c r="AB83" i="6"/>
  <c r="K325" i="3"/>
  <c r="AB370" i="6"/>
  <c r="K395" i="3"/>
  <c r="U337" i="6"/>
  <c r="L356" i="3" s="1"/>
  <c r="K298" i="3"/>
  <c r="Y311" i="6"/>
  <c r="P330" i="3" s="1"/>
  <c r="AL149" i="6"/>
  <c r="AB262" i="6"/>
  <c r="Y331" i="6"/>
  <c r="P350" i="3" s="1"/>
  <c r="X331" i="6"/>
  <c r="X268" i="6"/>
  <c r="Y268" i="6"/>
  <c r="P287" i="3" s="1"/>
  <c r="X296" i="6"/>
  <c r="Y296" i="6"/>
  <c r="P315" i="3" s="1"/>
  <c r="Y238" i="6"/>
  <c r="P257" i="3" s="1"/>
  <c r="X238" i="6"/>
  <c r="Y221" i="6"/>
  <c r="P240" i="3" s="1"/>
  <c r="X221" i="6"/>
  <c r="Y235" i="6"/>
  <c r="P254" i="3" s="1"/>
  <c r="X235" i="6"/>
  <c r="X214" i="6"/>
  <c r="Y214" i="6"/>
  <c r="P233" i="3" s="1"/>
  <c r="Y182" i="6"/>
  <c r="P201" i="3" s="1"/>
  <c r="X182" i="6"/>
  <c r="Y150" i="6"/>
  <c r="P169" i="3" s="1"/>
  <c r="X150" i="6"/>
  <c r="Y237" i="6"/>
  <c r="P256" i="3" s="1"/>
  <c r="X237" i="6"/>
  <c r="X14" i="6"/>
  <c r="Y14" i="6"/>
  <c r="P33" i="3" s="1"/>
  <c r="Y56" i="6"/>
  <c r="P75" i="3" s="1"/>
  <c r="X56" i="6"/>
  <c r="Y98" i="6"/>
  <c r="P117" i="3" s="1"/>
  <c r="X98" i="6"/>
  <c r="X108" i="6"/>
  <c r="Y108" i="6"/>
  <c r="P127" i="3" s="1"/>
  <c r="Y42" i="6"/>
  <c r="P61" i="3" s="1"/>
  <c r="X42" i="6"/>
  <c r="Y52" i="6"/>
  <c r="P71" i="3" s="1"/>
  <c r="X52" i="6"/>
  <c r="Y48" i="6"/>
  <c r="P67" i="3" s="1"/>
  <c r="X48" i="6"/>
  <c r="X90" i="6"/>
  <c r="Y90" i="6"/>
  <c r="P109" i="3" s="1"/>
  <c r="Y92" i="6"/>
  <c r="P111" i="3" s="1"/>
  <c r="X92" i="6"/>
  <c r="Y20" i="6"/>
  <c r="P39" i="3" s="1"/>
  <c r="X20" i="6"/>
  <c r="X321" i="6"/>
  <c r="Y321" i="6"/>
  <c r="P340" i="3" s="1"/>
  <c r="Y344" i="6"/>
  <c r="P363" i="3" s="1"/>
  <c r="X344" i="6"/>
  <c r="Y322" i="6"/>
  <c r="P341" i="3" s="1"/>
  <c r="X322" i="6"/>
  <c r="Y231" i="6"/>
  <c r="P250" i="3" s="1"/>
  <c r="X231" i="6"/>
  <c r="X210" i="6"/>
  <c r="Y210" i="6"/>
  <c r="P229" i="3" s="1"/>
  <c r="X10" i="6"/>
  <c r="Y10" i="6"/>
  <c r="P29" i="3" s="1"/>
  <c r="X102" i="6"/>
  <c r="Y239" i="6"/>
  <c r="P258" i="3" s="1"/>
  <c r="K133" i="3"/>
  <c r="V178" i="6"/>
  <c r="M197" i="3" s="1"/>
  <c r="AB210" i="6"/>
  <c r="AL104" i="6"/>
  <c r="Y376" i="6"/>
  <c r="P395" i="3" s="1"/>
  <c r="AL181" i="6"/>
  <c r="V330" i="6"/>
  <c r="M349" i="3" s="1"/>
  <c r="AL168" i="6"/>
  <c r="U200" i="6"/>
  <c r="L219" i="3" s="1"/>
  <c r="AB19" i="6"/>
  <c r="U306" i="6"/>
  <c r="L325" i="3" s="1"/>
  <c r="AB231" i="6"/>
  <c r="V279" i="6"/>
  <c r="M298" i="3" s="1"/>
  <c r="AL262" i="6"/>
  <c r="Y366" i="6"/>
  <c r="P385" i="3" s="1"/>
  <c r="X366" i="6"/>
  <c r="Y372" i="6"/>
  <c r="P391" i="3" s="1"/>
  <c r="X372" i="6"/>
  <c r="X316" i="6"/>
  <c r="Y316" i="6"/>
  <c r="P335" i="3" s="1"/>
  <c r="Y252" i="6"/>
  <c r="P271" i="3" s="1"/>
  <c r="X252" i="6"/>
  <c r="X298" i="6"/>
  <c r="Y298" i="6"/>
  <c r="P317" i="3" s="1"/>
  <c r="X302" i="6"/>
  <c r="Y302" i="6"/>
  <c r="P321" i="3" s="1"/>
  <c r="X286" i="6"/>
  <c r="Y286" i="6"/>
  <c r="P305" i="3" s="1"/>
  <c r="X196" i="6"/>
  <c r="Y196" i="6"/>
  <c r="P215" i="3" s="1"/>
  <c r="X164" i="6"/>
  <c r="Y164" i="6"/>
  <c r="P183" i="3" s="1"/>
  <c r="X132" i="6"/>
  <c r="Y132" i="6"/>
  <c r="P151" i="3" s="1"/>
  <c r="Y234" i="6"/>
  <c r="P253" i="3" s="1"/>
  <c r="X234" i="6"/>
  <c r="X174" i="6"/>
  <c r="Y174" i="6"/>
  <c r="P193" i="3" s="1"/>
  <c r="Y40" i="6"/>
  <c r="P59" i="3" s="1"/>
  <c r="X40" i="6"/>
  <c r="X82" i="6"/>
  <c r="AF51" i="7" s="1" a="1"/>
  <c r="AF51" i="7" s="1"/>
  <c r="Y82" i="6"/>
  <c r="P101" i="3" s="1"/>
  <c r="X28" i="6"/>
  <c r="Y28" i="6"/>
  <c r="P47" i="3" s="1"/>
  <c r="Y84" i="6"/>
  <c r="P103" i="3" s="1"/>
  <c r="X84" i="6"/>
  <c r="X26" i="6"/>
  <c r="Y26" i="6"/>
  <c r="P45" i="3" s="1"/>
  <c r="Z172" i="6"/>
  <c r="Z140" i="6"/>
  <c r="O353" i="3"/>
  <c r="Z334" i="6"/>
  <c r="AA371" i="6"/>
  <c r="Z371" i="6"/>
  <c r="O390" i="3"/>
  <c r="AF357" i="6"/>
  <c r="AI357" i="6"/>
  <c r="V376" i="3" s="1"/>
  <c r="AG357" i="6"/>
  <c r="AA69" i="6"/>
  <c r="Z69" i="6"/>
  <c r="O88" i="3"/>
  <c r="X43" i="3"/>
  <c r="X70" i="3"/>
  <c r="AF118" i="6"/>
  <c r="AI118" i="6"/>
  <c r="AG118" i="6"/>
  <c r="X169" i="3"/>
  <c r="AI263" i="6"/>
  <c r="AF263" i="6"/>
  <c r="AG263" i="6"/>
  <c r="AA139" i="6"/>
  <c r="Z139" i="6"/>
  <c r="O158" i="3"/>
  <c r="AA203" i="6"/>
  <c r="Z203" i="6"/>
  <c r="O222" i="3"/>
  <c r="AI225" i="6"/>
  <c r="AG225" i="6"/>
  <c r="AF225" i="6"/>
  <c r="X277" i="3"/>
  <c r="X301" i="3"/>
  <c r="AA307" i="6"/>
  <c r="Z307" i="6"/>
  <c r="O326" i="3"/>
  <c r="AG55" i="6"/>
  <c r="AF55" i="6"/>
  <c r="AI55" i="6"/>
  <c r="X69" i="3"/>
  <c r="AA29" i="6"/>
  <c r="Z29" i="6"/>
  <c r="O48" i="3"/>
  <c r="AF124" i="6"/>
  <c r="AI124" i="6"/>
  <c r="AG124" i="6"/>
  <c r="X175" i="3"/>
  <c r="AA113" i="6"/>
  <c r="Z113" i="6"/>
  <c r="O132" i="3"/>
  <c r="AA177" i="6"/>
  <c r="Z177" i="6"/>
  <c r="O196" i="3"/>
  <c r="AA339" i="6"/>
  <c r="Z339" i="6"/>
  <c r="O358" i="3"/>
  <c r="X287" i="3"/>
  <c r="AI364" i="6"/>
  <c r="AG364" i="6"/>
  <c r="AF364" i="6"/>
  <c r="X103" i="3"/>
  <c r="AA53" i="6"/>
  <c r="Z53" i="6"/>
  <c r="O72" i="3"/>
  <c r="AF194" i="6"/>
  <c r="AI194" i="6"/>
  <c r="AG194" i="6"/>
  <c r="AI241" i="6"/>
  <c r="AF241" i="6"/>
  <c r="AG241" i="6"/>
  <c r="AA151" i="6"/>
  <c r="Z151" i="6"/>
  <c r="O170" i="3"/>
  <c r="AA215" i="6"/>
  <c r="Z215" i="6"/>
  <c r="O234" i="3"/>
  <c r="AI346" i="6"/>
  <c r="AG346" i="6"/>
  <c r="AF346" i="6"/>
  <c r="AI277" i="6"/>
  <c r="AG277" i="6"/>
  <c r="AF277" i="6"/>
  <c r="X386" i="3"/>
  <c r="AF224" i="6"/>
  <c r="AI224" i="6"/>
  <c r="AG224" i="6"/>
  <c r="U243" i="3" s="1"/>
  <c r="X402" i="3"/>
  <c r="AG39" i="6"/>
  <c r="AF39" i="6"/>
  <c r="AI39" i="6"/>
  <c r="X53" i="3"/>
  <c r="L29" i="3"/>
  <c r="AI96" i="6"/>
  <c r="AG96" i="6"/>
  <c r="AF96" i="6"/>
  <c r="AA59" i="6"/>
  <c r="Z59" i="6"/>
  <c r="O78" i="3"/>
  <c r="AF120" i="6"/>
  <c r="AI120" i="6"/>
  <c r="AG120" i="6"/>
  <c r="X171" i="3"/>
  <c r="AI251" i="6"/>
  <c r="AF251" i="6"/>
  <c r="AG251" i="6"/>
  <c r="X160" i="3"/>
  <c r="AI157" i="6"/>
  <c r="AG157" i="6"/>
  <c r="AF157" i="6"/>
  <c r="X224" i="3"/>
  <c r="AI246" i="6"/>
  <c r="AG246" i="6"/>
  <c r="AF246" i="6"/>
  <c r="X303" i="3"/>
  <c r="X341" i="3"/>
  <c r="X394" i="3"/>
  <c r="AA320" i="6"/>
  <c r="Z320" i="6"/>
  <c r="O339" i="3"/>
  <c r="AA379" i="6"/>
  <c r="Z379" i="6"/>
  <c r="O398" i="3"/>
  <c r="AE78" i="7" a="1"/>
  <c r="AE78" i="7" s="1"/>
  <c r="AA98" i="7" a="1"/>
  <c r="AA98" i="7" s="1"/>
  <c r="AC85" i="7" a="1"/>
  <c r="AC85" i="7" s="1"/>
  <c r="C83" i="9" s="1"/>
  <c r="AG89" i="7" a="1"/>
  <c r="AG89" i="7" s="1"/>
  <c r="AB94" i="7" a="1"/>
  <c r="AB94" i="7" s="1"/>
  <c r="AF98" i="7" a="1"/>
  <c r="AF98" i="7" s="1"/>
  <c r="AF91" i="7" a="1"/>
  <c r="AF91" i="7" s="1"/>
  <c r="AA96" i="7" a="1"/>
  <c r="AA96" i="7" s="1"/>
  <c r="AA85" i="7" a="1"/>
  <c r="AA85" i="7" s="1"/>
  <c r="AE89" i="7" a="1"/>
  <c r="AE89" i="7" s="1"/>
  <c r="AD94" i="7" a="1"/>
  <c r="AD94" i="7" s="1"/>
  <c r="F92" i="9" s="1"/>
  <c r="AS363" i="6"/>
  <c r="AI275" i="6"/>
  <c r="AG275" i="6"/>
  <c r="AF275" i="6"/>
  <c r="X44" i="3"/>
  <c r="AG63" i="6"/>
  <c r="AF63" i="6"/>
  <c r="AI63" i="6"/>
  <c r="AI37" i="6"/>
  <c r="AG37" i="6"/>
  <c r="AF37" i="6"/>
  <c r="AS49" i="6"/>
  <c r="AI243" i="6"/>
  <c r="AF243" i="6"/>
  <c r="AG243" i="6"/>
  <c r="X161" i="3"/>
  <c r="AA229" i="6"/>
  <c r="Z229" i="6"/>
  <c r="O248" i="3"/>
  <c r="AI221" i="6"/>
  <c r="AG221" i="6"/>
  <c r="U240" i="3" s="1"/>
  <c r="AF221" i="6"/>
  <c r="X134" i="3"/>
  <c r="AI131" i="6"/>
  <c r="AG131" i="6"/>
  <c r="AF131" i="6"/>
  <c r="X198" i="3"/>
  <c r="AI195" i="6"/>
  <c r="AG195" i="6"/>
  <c r="AF195" i="6"/>
  <c r="X371" i="3"/>
  <c r="AS387" i="6"/>
  <c r="X261" i="3"/>
  <c r="X293" i="3"/>
  <c r="AG351" i="6"/>
  <c r="AF351" i="6"/>
  <c r="AI351" i="6"/>
  <c r="AA328" i="6"/>
  <c r="Z328" i="6"/>
  <c r="O347" i="3"/>
  <c r="AA27" i="6"/>
  <c r="Z27" i="6"/>
  <c r="O46" i="3"/>
  <c r="AI133" i="6"/>
  <c r="AG133" i="6"/>
  <c r="AF133" i="6"/>
  <c r="AI49" i="6"/>
  <c r="AG49" i="6"/>
  <c r="AF49" i="6"/>
  <c r="X127" i="3"/>
  <c r="AG92" i="6"/>
  <c r="AF92" i="6"/>
  <c r="AI92" i="6"/>
  <c r="AG23" i="6"/>
  <c r="AF23" i="6"/>
  <c r="AI23" i="6"/>
  <c r="X106" i="3"/>
  <c r="AF18" i="6"/>
  <c r="AI18" i="6"/>
  <c r="AG18" i="6"/>
  <c r="X135" i="3"/>
  <c r="AF212" i="6"/>
  <c r="AI212" i="6"/>
  <c r="AG212" i="6"/>
  <c r="X250" i="3"/>
  <c r="AA169" i="6"/>
  <c r="Z169" i="6"/>
  <c r="O188" i="3"/>
  <c r="X289" i="3"/>
  <c r="AF280" i="6"/>
  <c r="AI280" i="6"/>
  <c r="AG280" i="6"/>
  <c r="X331" i="3"/>
  <c r="X336" i="3"/>
  <c r="AA362" i="6"/>
  <c r="Z362" i="6"/>
  <c r="O381" i="3"/>
  <c r="X57" i="3"/>
  <c r="X238" i="3"/>
  <c r="AS18" i="6"/>
  <c r="AG52" i="6"/>
  <c r="AF52" i="6"/>
  <c r="AI52" i="6"/>
  <c r="AS124" i="6"/>
  <c r="AF186" i="6"/>
  <c r="AI186" i="6"/>
  <c r="AG186" i="6"/>
  <c r="X178" i="3"/>
  <c r="AI175" i="6"/>
  <c r="AG175" i="6"/>
  <c r="AF175" i="6"/>
  <c r="AA353" i="6"/>
  <c r="Z353" i="6"/>
  <c r="O372" i="3"/>
  <c r="X285" i="3"/>
  <c r="X304" i="3"/>
  <c r="AI301" i="6"/>
  <c r="AG301" i="6"/>
  <c r="AF301" i="6"/>
  <c r="AI223" i="6"/>
  <c r="AG223" i="6"/>
  <c r="U242" i="3" s="1"/>
  <c r="AF223" i="6"/>
  <c r="AF112" i="6"/>
  <c r="AI112" i="6"/>
  <c r="AG112" i="6"/>
  <c r="AS131" i="6"/>
  <c r="AA165" i="6"/>
  <c r="Z165" i="6"/>
  <c r="O184" i="3"/>
  <c r="AI262" i="6"/>
  <c r="AG262" i="6"/>
  <c r="AF262" i="6"/>
  <c r="X34" i="3"/>
  <c r="AI33" i="6"/>
  <c r="AG33" i="6"/>
  <c r="AF33" i="6"/>
  <c r="X116" i="3"/>
  <c r="AS37" i="6"/>
  <c r="AG71" i="6"/>
  <c r="AF71" i="6"/>
  <c r="AI71" i="6"/>
  <c r="X85" i="3"/>
  <c r="AA45" i="6"/>
  <c r="Z45" i="6"/>
  <c r="O64" i="3"/>
  <c r="X83" i="3"/>
  <c r="AS247" i="6"/>
  <c r="X180" i="3"/>
  <c r="AA385" i="6"/>
  <c r="Z385" i="6"/>
  <c r="O404" i="3"/>
  <c r="AA240" i="6"/>
  <c r="Z240" i="6"/>
  <c r="O259" i="3"/>
  <c r="X55" i="3"/>
  <c r="X128" i="3"/>
  <c r="X363" i="3"/>
  <c r="X373" i="3"/>
  <c r="X300" i="3"/>
  <c r="AI297" i="6"/>
  <c r="AG297" i="6"/>
  <c r="AF297" i="6"/>
  <c r="AS23" i="6"/>
  <c r="AI57" i="6"/>
  <c r="AG57" i="6"/>
  <c r="AF57" i="6"/>
  <c r="AI111" i="6"/>
  <c r="AG111" i="6"/>
  <c r="AF111" i="6"/>
  <c r="X50" i="3"/>
  <c r="X125" i="3"/>
  <c r="X45" i="3"/>
  <c r="X107" i="3"/>
  <c r="AS81" i="6"/>
  <c r="X254" i="3"/>
  <c r="AF198" i="6"/>
  <c r="AI198" i="6"/>
  <c r="AG198" i="6"/>
  <c r="X241" i="3"/>
  <c r="X253" i="3"/>
  <c r="AI123" i="6"/>
  <c r="AG123" i="6"/>
  <c r="AF123" i="6"/>
  <c r="X190" i="3"/>
  <c r="AI187" i="6"/>
  <c r="AG187" i="6"/>
  <c r="AF187" i="6"/>
  <c r="AS228" i="6"/>
  <c r="AS260" i="6"/>
  <c r="AS292" i="6"/>
  <c r="AA258" i="6"/>
  <c r="Z258" i="6"/>
  <c r="O277" i="3"/>
  <c r="X340" i="3"/>
  <c r="AG336" i="6"/>
  <c r="AF336" i="6"/>
  <c r="AI336" i="6"/>
  <c r="AS325" i="6"/>
  <c r="X100" i="3"/>
  <c r="AA55" i="6"/>
  <c r="Z55" i="6"/>
  <c r="O74" i="3"/>
  <c r="X33" i="3"/>
  <c r="X67" i="3"/>
  <c r="X94" i="3"/>
  <c r="X41" i="3"/>
  <c r="AA102" i="6"/>
  <c r="Z102" i="6"/>
  <c r="O121" i="3"/>
  <c r="AS223" i="6"/>
  <c r="AF204" i="6"/>
  <c r="AI204" i="6"/>
  <c r="AG204" i="6"/>
  <c r="X276" i="3"/>
  <c r="AG228" i="6"/>
  <c r="AI228" i="6"/>
  <c r="AF228" i="6"/>
  <c r="S247" i="3" s="1"/>
  <c r="X258" i="3"/>
  <c r="X164" i="3"/>
  <c r="AI161" i="6"/>
  <c r="V180" i="3" s="1"/>
  <c r="AG161" i="6"/>
  <c r="U180" i="3" s="1"/>
  <c r="AF161" i="6"/>
  <c r="S180" i="3" s="1"/>
  <c r="X228" i="3"/>
  <c r="AG326" i="6"/>
  <c r="AI326" i="6"/>
  <c r="V345" i="3" s="1"/>
  <c r="AF326" i="6"/>
  <c r="S376" i="3"/>
  <c r="X376" i="3"/>
  <c r="U376" i="3"/>
  <c r="AI272" i="6"/>
  <c r="AG272" i="6"/>
  <c r="AF272" i="6"/>
  <c r="X323" i="3"/>
  <c r="AS392" i="6"/>
  <c r="AF333" i="6"/>
  <c r="AI333" i="6"/>
  <c r="AG333" i="6"/>
  <c r="AS355" i="6"/>
  <c r="X379" i="3"/>
  <c r="AA376" i="6"/>
  <c r="Z376" i="6"/>
  <c r="O395" i="3"/>
  <c r="AG20" i="6"/>
  <c r="AF20" i="6"/>
  <c r="AI20" i="6"/>
  <c r="X118" i="3"/>
  <c r="AI103" i="6"/>
  <c r="AG103" i="6"/>
  <c r="AF103" i="6"/>
  <c r="AS194" i="6"/>
  <c r="X256" i="3"/>
  <c r="AI261" i="6"/>
  <c r="AF261" i="6"/>
  <c r="AG261" i="6"/>
  <c r="AF146" i="6"/>
  <c r="AI146" i="6"/>
  <c r="AG146" i="6"/>
  <c r="X197" i="3"/>
  <c r="AG226" i="6"/>
  <c r="AI226" i="6"/>
  <c r="AF226" i="6"/>
  <c r="X138" i="3"/>
  <c r="AI135" i="6"/>
  <c r="AG135" i="6"/>
  <c r="AF135" i="6"/>
  <c r="X202" i="3"/>
  <c r="AI199" i="6"/>
  <c r="AG199" i="6"/>
  <c r="AF199" i="6"/>
  <c r="AS372" i="6"/>
  <c r="AF294" i="6"/>
  <c r="AI294" i="6"/>
  <c r="AG294" i="6"/>
  <c r="AI347" i="6"/>
  <c r="AG347" i="6"/>
  <c r="AF347" i="6"/>
  <c r="AG345" i="6"/>
  <c r="AF345" i="6"/>
  <c r="AI345" i="6"/>
  <c r="AA367" i="6"/>
  <c r="Z367" i="6"/>
  <c r="O386" i="3"/>
  <c r="AI382" i="6"/>
  <c r="AG382" i="6"/>
  <c r="AF382" i="6"/>
  <c r="AS139" i="6"/>
  <c r="AI181" i="6"/>
  <c r="AG181" i="6"/>
  <c r="AF181" i="6"/>
  <c r="S243" i="3"/>
  <c r="X243" i="3"/>
  <c r="V243" i="3"/>
  <c r="AG330" i="6"/>
  <c r="AI330" i="6"/>
  <c r="AF330" i="6"/>
  <c r="S349" i="3" s="1"/>
  <c r="AA383" i="6"/>
  <c r="Z383" i="6"/>
  <c r="O402" i="3"/>
  <c r="X30" i="3"/>
  <c r="AA39" i="6"/>
  <c r="Z39" i="6"/>
  <c r="O58" i="3"/>
  <c r="X117" i="3"/>
  <c r="AA77" i="6"/>
  <c r="Z77" i="6"/>
  <c r="O96" i="3"/>
  <c r="AS25" i="6"/>
  <c r="X89" i="3"/>
  <c r="AF200" i="6"/>
  <c r="AI200" i="6"/>
  <c r="AG200" i="6"/>
  <c r="AS161" i="6"/>
  <c r="AA157" i="6"/>
  <c r="Z157" i="6"/>
  <c r="O176" i="3"/>
  <c r="AS347" i="6"/>
  <c r="X283" i="3"/>
  <c r="AA375" i="6"/>
  <c r="Z375" i="6"/>
  <c r="O394" i="3"/>
  <c r="AS332" i="6"/>
  <c r="AI365" i="6"/>
  <c r="AF365" i="6"/>
  <c r="AG365" i="6"/>
  <c r="AI283" i="6"/>
  <c r="AG283" i="6"/>
  <c r="AF283" i="6"/>
  <c r="AI378" i="6"/>
  <c r="AG378" i="6"/>
  <c r="AF378" i="6"/>
  <c r="AB2" i="7"/>
  <c r="AE7" i="7" a="1"/>
  <c r="AE7" i="7" s="1"/>
  <c r="AE11" i="7" a="1"/>
  <c r="AE11" i="7" s="1"/>
  <c r="AF21" i="7" a="1"/>
  <c r="AF21" i="7" s="1"/>
  <c r="AE28" i="7" a="1"/>
  <c r="AE28" i="7" s="1"/>
  <c r="AD37" i="7" a="1"/>
  <c r="AD37" i="7" s="1"/>
  <c r="F35" i="9" s="1"/>
  <c r="AD15" i="7" a="1"/>
  <c r="AD15" i="7" s="1"/>
  <c r="F13" i="9" s="1"/>
  <c r="AB20" i="7" a="1"/>
  <c r="AB20" i="7" s="1"/>
  <c r="AF28" i="7" a="1"/>
  <c r="AF28" i="7" s="1"/>
  <c r="AE37" i="7" a="1"/>
  <c r="AE37" i="7" s="1"/>
  <c r="AB7" i="7" a="1"/>
  <c r="AB7" i="7" s="1"/>
  <c r="AD12" i="7" a="1"/>
  <c r="AD12" i="7" s="1"/>
  <c r="F10" i="9" s="1"/>
  <c r="AG22" i="7" a="1"/>
  <c r="AG22" i="7" s="1"/>
  <c r="AC32" i="7" a="1"/>
  <c r="AC32" i="7" s="1"/>
  <c r="C30" i="9" s="1"/>
  <c r="AB41" i="7" a="1"/>
  <c r="AB41" i="7" s="1"/>
  <c r="AG17" i="7" a="1"/>
  <c r="AG17" i="7" s="1"/>
  <c r="AA25" i="7" a="1"/>
  <c r="AA25" i="7" s="1"/>
  <c r="AB34" i="7" a="1"/>
  <c r="AB34" i="7" s="1"/>
  <c r="AA43" i="7" a="1"/>
  <c r="AA43" i="7" s="1"/>
  <c r="AE8" i="7" a="1"/>
  <c r="AE8" i="7" s="1"/>
  <c r="AE12" i="7" a="1"/>
  <c r="AE12" i="7" s="1"/>
  <c r="AC26" i="7" a="1"/>
  <c r="AC26" i="7" s="1"/>
  <c r="C24" i="9" s="1"/>
  <c r="AB35" i="7" a="1"/>
  <c r="AB35" i="7" s="1"/>
  <c r="AB15" i="7" a="1"/>
  <c r="AB15" i="7" s="1"/>
  <c r="AF19" i="7" a="1"/>
  <c r="AF19" i="7" s="1"/>
  <c r="AD26" i="7" a="1"/>
  <c r="AD26" i="7" s="1"/>
  <c r="F24" i="9" s="1"/>
  <c r="AC35" i="7" a="1"/>
  <c r="AC35" i="7" s="1"/>
  <c r="C33" i="9" s="1"/>
  <c r="AD5" i="7" a="1"/>
  <c r="AD5" i="7" s="1"/>
  <c r="F3" i="9" s="1"/>
  <c r="AF10" i="7" a="1"/>
  <c r="AF10" i="7" s="1"/>
  <c r="AD25" i="7" a="1"/>
  <c r="AD25" i="7" s="1"/>
  <c r="F23" i="9" s="1"/>
  <c r="AE34" i="7" a="1"/>
  <c r="AE34" i="7" s="1"/>
  <c r="AD43" i="7" a="1"/>
  <c r="AD43" i="7" s="1"/>
  <c r="F41" i="9" s="1"/>
  <c r="AA17" i="7" a="1"/>
  <c r="AA17" i="7" s="1"/>
  <c r="AD22" i="7" a="1"/>
  <c r="AD22" i="7" s="1"/>
  <c r="F20" i="9" s="1"/>
  <c r="AG33" i="7" a="1"/>
  <c r="AG33" i="7" s="1"/>
  <c r="AF42" i="7" a="1"/>
  <c r="AF42" i="7" s="1"/>
  <c r="AB48" i="7" a="1"/>
  <c r="AB48" i="7" s="1"/>
  <c r="AF52" i="7" a="1"/>
  <c r="AF52" i="7" s="1"/>
  <c r="AC65" i="7" a="1"/>
  <c r="AC65" i="7" s="1"/>
  <c r="C63" i="9" s="1"/>
  <c r="AE72" i="7" a="1"/>
  <c r="AE72" i="7" s="1"/>
  <c r="AD81" i="7" a="1"/>
  <c r="AD81" i="7" s="1"/>
  <c r="F79" i="9" s="1"/>
  <c r="AE57" i="7" a="1"/>
  <c r="AE57" i="7" s="1"/>
  <c r="AF66" i="7" a="1"/>
  <c r="AF66" i="7" s="1"/>
  <c r="AC75" i="7" a="1"/>
  <c r="AC75" i="7" s="1"/>
  <c r="C73" i="9" s="1"/>
  <c r="AF85" i="7" a="1"/>
  <c r="AF85" i="7" s="1"/>
  <c r="AC48" i="7" a="1"/>
  <c r="AC48" i="7" s="1"/>
  <c r="C46" i="9" s="1"/>
  <c r="AG52" i="7" a="1"/>
  <c r="AG52" i="7" s="1"/>
  <c r="AE60" i="7" a="1"/>
  <c r="AE60" i="7" s="1"/>
  <c r="AA70" i="7" a="1"/>
  <c r="AA70" i="7" s="1"/>
  <c r="AG80" i="7" a="1"/>
  <c r="AG80" i="7" s="1"/>
  <c r="AF53" i="7" a="1"/>
  <c r="AF53" i="7" s="1"/>
  <c r="AE65" i="7" a="1"/>
  <c r="AE65" i="7" s="1"/>
  <c r="AE75" i="7" a="1"/>
  <c r="AE75" i="7" s="1"/>
  <c r="AF93" i="7" a="1"/>
  <c r="AF93" i="7" s="1"/>
  <c r="AA47" i="7" a="1"/>
  <c r="AA47" i="7" s="1"/>
  <c r="AE51" i="7" a="1"/>
  <c r="AE51" i="7" s="1"/>
  <c r="AB61" i="7" a="1"/>
  <c r="AB61" i="7" s="1"/>
  <c r="AD67" i="7" a="1"/>
  <c r="AD67" i="7" s="1"/>
  <c r="F65" i="9" s="1"/>
  <c r="AE76" i="7" a="1"/>
  <c r="AE76" i="7" s="1"/>
  <c r="AA86" i="7" a="1"/>
  <c r="AA86" i="7" s="1"/>
  <c r="AB60" i="7" a="1"/>
  <c r="AB60" i="7" s="1"/>
  <c r="AA68" i="7" a="1"/>
  <c r="AA68" i="7" s="1"/>
  <c r="AF76" i="7" a="1"/>
  <c r="AF76" i="7" s="1"/>
  <c r="AC88" i="7" a="1"/>
  <c r="AC88" i="7" s="1"/>
  <c r="C86" i="9" s="1"/>
  <c r="AF47" i="7" a="1"/>
  <c r="AF47" i="7" s="1"/>
  <c r="AA52" i="7" a="1"/>
  <c r="AA52" i="7" s="1"/>
  <c r="AF59" i="7" a="1"/>
  <c r="AF59" i="7" s="1"/>
  <c r="AE70" i="7" a="1"/>
  <c r="AE70" i="7" s="1"/>
  <c r="AD79" i="7" a="1"/>
  <c r="AD79" i="7" s="1"/>
  <c r="F77" i="9" s="1"/>
  <c r="AE54" i="7" a="1"/>
  <c r="AE54" i="7" s="1"/>
  <c r="AB63" i="7" a="1"/>
  <c r="AB63" i="7" s="1"/>
  <c r="AE71" i="7" a="1"/>
  <c r="AE71" i="7" s="1"/>
  <c r="AD80" i="7" a="1"/>
  <c r="AD80" i="7" s="1"/>
  <c r="F78" i="9" s="1"/>
  <c r="AA99" i="7" a="1"/>
  <c r="AA99" i="7" s="1"/>
  <c r="AG85" i="7" a="1"/>
  <c r="AG85" i="7" s="1"/>
  <c r="AB90" i="7" a="1"/>
  <c r="AB90" i="7" s="1"/>
  <c r="AF94" i="7" a="1"/>
  <c r="AF94" i="7" s="1"/>
  <c r="AC99" i="7" a="1"/>
  <c r="AC99" i="7" s="1"/>
  <c r="C97" i="9" s="1"/>
  <c r="AF87" i="7" a="1"/>
  <c r="AF87" i="7" s="1"/>
  <c r="AA92" i="7" a="1"/>
  <c r="AA92" i="7" s="1"/>
  <c r="AE96" i="7" a="1"/>
  <c r="AE96" i="7" s="1"/>
  <c r="AE85" i="7" a="1"/>
  <c r="AE85" i="7" s="1"/>
  <c r="AD90" i="7" a="1"/>
  <c r="AD90" i="7" s="1"/>
  <c r="F88" i="9" s="1"/>
  <c r="AC95" i="7" a="1"/>
  <c r="AC95" i="7" s="1"/>
  <c r="C93" i="9" s="1"/>
  <c r="AA219" i="6"/>
  <c r="Z219" i="6"/>
  <c r="O238" i="3"/>
  <c r="AF176" i="6"/>
  <c r="AI176" i="6"/>
  <c r="AG176" i="6"/>
  <c r="AI197" i="6"/>
  <c r="AG197" i="6"/>
  <c r="AF197" i="6"/>
  <c r="AI259" i="6"/>
  <c r="AF259" i="6"/>
  <c r="AG259" i="6"/>
  <c r="AS364" i="6"/>
  <c r="AA63" i="6"/>
  <c r="Z63" i="6"/>
  <c r="O82" i="3"/>
  <c r="X77" i="3"/>
  <c r="AS67" i="6"/>
  <c r="X102" i="3"/>
  <c r="AI30" i="6"/>
  <c r="AG30" i="6"/>
  <c r="AF30" i="6"/>
  <c r="X113" i="3"/>
  <c r="AF190" i="6"/>
  <c r="AI190" i="6"/>
  <c r="AG190" i="6"/>
  <c r="S240" i="3"/>
  <c r="X240" i="3"/>
  <c r="V240" i="3"/>
  <c r="AA131" i="6"/>
  <c r="Z131" i="6"/>
  <c r="O150" i="3"/>
  <c r="AA195" i="6"/>
  <c r="Z195" i="6"/>
  <c r="O214" i="3"/>
  <c r="AI327" i="6"/>
  <c r="AG327" i="6"/>
  <c r="AF327" i="6"/>
  <c r="AS226" i="6"/>
  <c r="AS290" i="6"/>
  <c r="X342" i="3"/>
  <c r="AI242" i="6"/>
  <c r="V261" i="3" s="1"/>
  <c r="AG242" i="6"/>
  <c r="AF242" i="6"/>
  <c r="S261" i="3" s="1"/>
  <c r="AI361" i="6"/>
  <c r="AF361" i="6"/>
  <c r="AG361" i="6"/>
  <c r="AF359" i="6"/>
  <c r="AI359" i="6"/>
  <c r="AG359" i="6"/>
  <c r="X350" i="3"/>
  <c r="AI370" i="6"/>
  <c r="AG370" i="6"/>
  <c r="AF370" i="6"/>
  <c r="AA38" i="6"/>
  <c r="Z38" i="6"/>
  <c r="O57" i="3"/>
  <c r="AA133" i="6"/>
  <c r="Z133" i="6"/>
  <c r="O152" i="3"/>
  <c r="X392" i="3"/>
  <c r="AI376" i="6"/>
  <c r="AG376" i="6"/>
  <c r="AF376" i="6"/>
  <c r="AA49" i="6"/>
  <c r="Z49" i="6"/>
  <c r="O68" i="3"/>
  <c r="AA23" i="6"/>
  <c r="Z23" i="6"/>
  <c r="O42" i="3"/>
  <c r="AF82" i="6"/>
  <c r="AI82" i="6"/>
  <c r="AG82" i="6"/>
  <c r="X80" i="3"/>
  <c r="X126" i="3"/>
  <c r="AI43" i="6"/>
  <c r="AG43" i="6"/>
  <c r="AF43" i="6"/>
  <c r="X73" i="3"/>
  <c r="AF164" i="6"/>
  <c r="AI164" i="6"/>
  <c r="AG164" i="6"/>
  <c r="X215" i="3"/>
  <c r="AI269" i="6"/>
  <c r="AF269" i="6"/>
  <c r="AG269" i="6"/>
  <c r="X156" i="3"/>
  <c r="AI153" i="6"/>
  <c r="AG153" i="6"/>
  <c r="AF153" i="6"/>
  <c r="X220" i="3"/>
  <c r="AA217" i="6"/>
  <c r="Z217" i="6"/>
  <c r="O236" i="3"/>
  <c r="X275" i="3"/>
  <c r="AS362" i="6"/>
  <c r="AS342" i="6"/>
  <c r="X314" i="3"/>
  <c r="AI311" i="6"/>
  <c r="AG311" i="6"/>
  <c r="AF311" i="6"/>
  <c r="X374" i="3"/>
  <c r="X411" i="3"/>
  <c r="AS39" i="6"/>
  <c r="AI73" i="6"/>
  <c r="AG73" i="6"/>
  <c r="AF73" i="6"/>
  <c r="AS82" i="6"/>
  <c r="X61" i="3"/>
  <c r="AA21" i="6"/>
  <c r="Z21" i="6"/>
  <c r="O40" i="3"/>
  <c r="AI67" i="6"/>
  <c r="AG67" i="6"/>
  <c r="AF67" i="6"/>
  <c r="X264" i="3"/>
  <c r="AF138" i="6"/>
  <c r="AI138" i="6"/>
  <c r="AG138" i="6"/>
  <c r="X189" i="3"/>
  <c r="X239" i="3"/>
  <c r="AA175" i="6"/>
  <c r="Z175" i="6"/>
  <c r="O194" i="3"/>
  <c r="AI387" i="6"/>
  <c r="AF387" i="6"/>
  <c r="AG387" i="6"/>
  <c r="AF286" i="6"/>
  <c r="AI286" i="6"/>
  <c r="AG286" i="6"/>
  <c r="X369" i="3"/>
  <c r="AS297" i="6"/>
  <c r="AI363" i="6"/>
  <c r="AF363" i="6"/>
  <c r="AG363" i="6"/>
  <c r="X242" i="3"/>
  <c r="V242" i="3"/>
  <c r="S242" i="3"/>
  <c r="AA112" i="6"/>
  <c r="Z112" i="6"/>
  <c r="O131" i="3"/>
  <c r="AI149" i="6"/>
  <c r="AG149" i="6"/>
  <c r="AF149" i="6"/>
  <c r="AA248" i="6"/>
  <c r="Z248" i="6"/>
  <c r="O267" i="3"/>
  <c r="AA33" i="6"/>
  <c r="Z33" i="6"/>
  <c r="O52" i="3"/>
  <c r="AA71" i="6"/>
  <c r="Z71" i="6"/>
  <c r="O90" i="3"/>
  <c r="V76" i="3"/>
  <c r="U76" i="3"/>
  <c r="S76" i="3"/>
  <c r="X76" i="3"/>
  <c r="AS252" i="6"/>
  <c r="AF298" i="6"/>
  <c r="S317" i="3" s="1"/>
  <c r="AI298" i="6"/>
  <c r="AG298" i="6"/>
  <c r="AA391" i="6"/>
  <c r="Z391" i="6"/>
  <c r="O410" i="3"/>
  <c r="AI344" i="6"/>
  <c r="V363" i="3" s="1"/>
  <c r="AG344" i="6"/>
  <c r="AF344" i="6"/>
  <c r="S363" i="3" s="1"/>
  <c r="AI354" i="6"/>
  <c r="V373" i="3" s="1"/>
  <c r="AG354" i="6"/>
  <c r="AF354" i="6"/>
  <c r="S373" i="3" s="1"/>
  <c r="AA275" i="6"/>
  <c r="Z275" i="6"/>
  <c r="O294" i="3"/>
  <c r="AS358" i="6"/>
  <c r="AA111" i="6"/>
  <c r="Z111" i="6"/>
  <c r="O130" i="3"/>
  <c r="AF50" i="6"/>
  <c r="S69" i="3" s="1"/>
  <c r="AI50" i="6"/>
  <c r="V69" i="3" s="1"/>
  <c r="AG50" i="6"/>
  <c r="AA93" i="6"/>
  <c r="Z93" i="6"/>
  <c r="O112" i="3"/>
  <c r="AS249" i="6"/>
  <c r="AS50" i="6"/>
  <c r="AG84" i="6"/>
  <c r="AF84" i="6"/>
  <c r="S103" i="3" s="1"/>
  <c r="AI84" i="6"/>
  <c r="V103" i="3" s="1"/>
  <c r="X98" i="3"/>
  <c r="X72" i="3"/>
  <c r="AS103" i="6"/>
  <c r="AS198" i="6"/>
  <c r="X149" i="3"/>
  <c r="AI104" i="6"/>
  <c r="AF104" i="6"/>
  <c r="AG104" i="6"/>
  <c r="AA135" i="6"/>
  <c r="Z135" i="6"/>
  <c r="O154" i="3"/>
  <c r="AA199" i="6"/>
  <c r="Z199" i="6"/>
  <c r="O218" i="3"/>
  <c r="AS324" i="6"/>
  <c r="AS320" i="6"/>
  <c r="X269" i="3"/>
  <c r="X297" i="3"/>
  <c r="AS275" i="6"/>
  <c r="AS307" i="6"/>
  <c r="X328" i="3"/>
  <c r="AS385" i="6"/>
  <c r="AA380" i="6"/>
  <c r="Z380" i="6"/>
  <c r="O399" i="3"/>
  <c r="AA181" i="6"/>
  <c r="Z181" i="6"/>
  <c r="O200" i="3"/>
  <c r="X295" i="3"/>
  <c r="X349" i="3"/>
  <c r="V349" i="3"/>
  <c r="U349" i="3"/>
  <c r="X119" i="3"/>
  <c r="X63" i="3"/>
  <c r="AF34" i="6"/>
  <c r="AI34" i="6"/>
  <c r="V53" i="3" s="1"/>
  <c r="AG34" i="6"/>
  <c r="AX2" i="7"/>
  <c r="AI10" i="6"/>
  <c r="AG10" i="6"/>
  <c r="AF10" i="6"/>
  <c r="X78" i="3"/>
  <c r="AF152" i="6"/>
  <c r="S171" i="3" s="1"/>
  <c r="AI152" i="6"/>
  <c r="V171" i="3" s="1"/>
  <c r="AG152" i="6"/>
  <c r="U171" i="3" s="1"/>
  <c r="X203" i="3"/>
  <c r="AS241" i="6"/>
  <c r="AS133" i="6"/>
  <c r="AS165" i="6"/>
  <c r="AS197" i="6"/>
  <c r="X144" i="3"/>
  <c r="AI141" i="6"/>
  <c r="V160" i="3" s="1"/>
  <c r="AG141" i="6"/>
  <c r="U160" i="3" s="1"/>
  <c r="AF141" i="6"/>
  <c r="S160" i="3" s="1"/>
  <c r="X208" i="3"/>
  <c r="AI205" i="6"/>
  <c r="V224" i="3" s="1"/>
  <c r="AG205" i="6"/>
  <c r="AF205" i="6"/>
  <c r="S224" i="3" s="1"/>
  <c r="AA264" i="6"/>
  <c r="Z264" i="6"/>
  <c r="O283" i="3"/>
  <c r="AF284" i="6"/>
  <c r="AI284" i="6"/>
  <c r="V303" i="3" s="1"/>
  <c r="AG284" i="6"/>
  <c r="X335" i="3"/>
  <c r="AS334" i="6"/>
  <c r="AS393" i="6"/>
  <c r="AA378" i="6"/>
  <c r="Z378" i="6"/>
  <c r="O397" i="3"/>
  <c r="AB5" i="7" a="1"/>
  <c r="AB5" i="7" s="1"/>
  <c r="AC8" i="7" a="1"/>
  <c r="AC8" i="7" s="1"/>
  <c r="C6" i="9" s="1"/>
  <c r="AC12" i="7" a="1"/>
  <c r="AC12" i="7" s="1"/>
  <c r="C10" i="9" s="1"/>
  <c r="AE22" i="7" a="1"/>
  <c r="AE22" i="7" s="1"/>
  <c r="AD29" i="7" a="1"/>
  <c r="AD29" i="7" s="1"/>
  <c r="F27" i="9" s="1"/>
  <c r="AC38" i="7" a="1"/>
  <c r="AC38" i="7" s="1"/>
  <c r="C36" i="9" s="1"/>
  <c r="AC16" i="7" a="1"/>
  <c r="AC16" i="7" s="1"/>
  <c r="C14" i="9" s="1"/>
  <c r="AA21" i="7" a="1"/>
  <c r="AA21" i="7" s="1"/>
  <c r="AE29" i="7" a="1"/>
  <c r="AE29" i="7" s="1"/>
  <c r="AD38" i="7" a="1"/>
  <c r="AD38" i="7" s="1"/>
  <c r="F36" i="9" s="1"/>
  <c r="AF7" i="7" a="1"/>
  <c r="AF7" i="7" s="1"/>
  <c r="AC13" i="7" a="1"/>
  <c r="AC13" i="7" s="1"/>
  <c r="C11" i="9" s="1"/>
  <c r="AE24" i="7" a="1"/>
  <c r="AE24" i="7" s="1"/>
  <c r="AB33" i="7" a="1"/>
  <c r="AB33" i="7" s="1"/>
  <c r="AA42" i="7" a="1"/>
  <c r="AA42" i="7" s="1"/>
  <c r="AB18" i="7" a="1"/>
  <c r="AB18" i="7" s="1"/>
  <c r="AB26" i="7" a="1"/>
  <c r="AB26" i="7" s="1"/>
  <c r="AA35" i="7" a="1"/>
  <c r="AA35" i="7" s="1"/>
  <c r="AC5" i="7" a="1"/>
  <c r="AC5" i="7" s="1"/>
  <c r="C3" i="9" s="1"/>
  <c r="AC9" i="7" a="1"/>
  <c r="AC9" i="7" s="1"/>
  <c r="C7" i="9" s="1"/>
  <c r="AD13" i="7" a="1"/>
  <c r="AD13" i="7" s="1"/>
  <c r="F11" i="9" s="1"/>
  <c r="AB27" i="7" a="1"/>
  <c r="AB27" i="7" s="1"/>
  <c r="AA36" i="7" a="1"/>
  <c r="AA36" i="7" s="1"/>
  <c r="AF15" i="7" a="1"/>
  <c r="AF15" i="7" s="1"/>
  <c r="AE20" i="7" a="1"/>
  <c r="AE20" i="7" s="1"/>
  <c r="AC27" i="7" a="1"/>
  <c r="AC27" i="7" s="1"/>
  <c r="C25" i="9" s="1"/>
  <c r="AB36" i="7" a="1"/>
  <c r="AB36" i="7" s="1"/>
  <c r="AB6" i="7" a="1"/>
  <c r="AB6" i="7" s="1"/>
  <c r="AD11" i="7" a="1"/>
  <c r="AD11" i="7" s="1"/>
  <c r="F9" i="9" s="1"/>
  <c r="AE26" i="7" a="1"/>
  <c r="AE26" i="7" s="1"/>
  <c r="AD35" i="7" a="1"/>
  <c r="AD35" i="7" s="1"/>
  <c r="F33" i="9" s="1"/>
  <c r="AB44" i="7" a="1"/>
  <c r="AB44" i="7" s="1"/>
  <c r="AE17" i="7" a="1"/>
  <c r="AE17" i="7" s="1"/>
  <c r="AB24" i="7" a="1"/>
  <c r="AB24" i="7" s="1"/>
  <c r="AF34" i="7" a="1"/>
  <c r="AF34" i="7" s="1"/>
  <c r="AE43" i="7" a="1"/>
  <c r="AE43" i="7" s="1"/>
  <c r="AF48" i="7" a="1"/>
  <c r="AF48" i="7" s="1"/>
  <c r="AD53" i="7" a="1"/>
  <c r="AD53" i="7" s="1"/>
  <c r="F51" i="9" s="1"/>
  <c r="AE66" i="7" a="1"/>
  <c r="AE66" i="7" s="1"/>
  <c r="AD73" i="7" a="1"/>
  <c r="AD73" i="7" s="1"/>
  <c r="F71" i="9" s="1"/>
  <c r="AC82" i="7" a="1"/>
  <c r="AC82" i="7" s="1"/>
  <c r="C80" i="9" s="1"/>
  <c r="AB58" i="7" a="1"/>
  <c r="AB58" i="7" s="1"/>
  <c r="AB67" i="7" a="1"/>
  <c r="AB67" i="7" s="1"/>
  <c r="AB76" i="7" a="1"/>
  <c r="AB76" i="7" s="1"/>
  <c r="AD87" i="7" a="1"/>
  <c r="AD87" i="7" s="1"/>
  <c r="F85" i="9" s="1"/>
  <c r="AG48" i="7" a="1"/>
  <c r="AG48" i="7" s="1"/>
  <c r="AE53" i="7" a="1"/>
  <c r="AE53" i="7" s="1"/>
  <c r="AF61" i="7" a="1"/>
  <c r="AF61" i="7" s="1"/>
  <c r="AG72" i="7" a="1"/>
  <c r="AG72" i="7" s="1"/>
  <c r="AF81" i="7" a="1"/>
  <c r="AF81" i="7" s="1"/>
  <c r="AG54" i="7" a="1"/>
  <c r="AG54" i="7" s="1"/>
  <c r="AA66" i="7" a="1"/>
  <c r="AA66" i="7" s="1"/>
  <c r="AD76" i="7" a="1"/>
  <c r="AD76" i="7" s="1"/>
  <c r="F74" i="9" s="1"/>
  <c r="AD95" i="7" a="1"/>
  <c r="AD95" i="7" s="1"/>
  <c r="F93" i="9" s="1"/>
  <c r="AE47" i="7" a="1"/>
  <c r="AE47" i="7" s="1"/>
  <c r="AD52" i="7" a="1"/>
  <c r="AD52" i="7" s="1"/>
  <c r="F50" i="9" s="1"/>
  <c r="AG61" i="7" a="1"/>
  <c r="AG61" i="7" s="1"/>
  <c r="AF68" i="7" a="1"/>
  <c r="AF68" i="7" s="1"/>
  <c r="AD77" i="7" a="1"/>
  <c r="AD77" i="7" s="1"/>
  <c r="F75" i="9" s="1"/>
  <c r="AF97" i="7" a="1"/>
  <c r="AF97" i="7" s="1"/>
  <c r="AG60" i="7" a="1"/>
  <c r="AG60" i="7" s="1"/>
  <c r="AG68" i="7" a="1"/>
  <c r="AG68" i="7" s="1"/>
  <c r="AE77" i="7" a="1"/>
  <c r="AE77" i="7" s="1"/>
  <c r="AA90" i="7" a="1"/>
  <c r="AA90" i="7" s="1"/>
  <c r="AA48" i="7" a="1"/>
  <c r="AA48" i="7" s="1"/>
  <c r="AE52" i="7" a="1"/>
  <c r="AE52" i="7" s="1"/>
  <c r="AC60" i="7" a="1"/>
  <c r="AC60" i="7" s="1"/>
  <c r="C58" i="9" s="1"/>
  <c r="AD71" i="7" a="1"/>
  <c r="AD71" i="7" s="1"/>
  <c r="F69" i="9" s="1"/>
  <c r="AC80" i="7" a="1"/>
  <c r="AC80" i="7" s="1"/>
  <c r="C78" i="9" s="1"/>
  <c r="AF55" i="7" a="1"/>
  <c r="AF55" i="7" s="1"/>
  <c r="AG63" i="7" a="1"/>
  <c r="AG63" i="7" s="1"/>
  <c r="AD72" i="7" a="1"/>
  <c r="AD72" i="7" s="1"/>
  <c r="F70" i="9" s="1"/>
  <c r="AC81" i="7" a="1"/>
  <c r="AC81" i="7" s="1"/>
  <c r="C79" i="9" s="1"/>
  <c r="AE99" i="7" a="1"/>
  <c r="AE99" i="7" s="1"/>
  <c r="AB86" i="7" a="1"/>
  <c r="AB86" i="7" s="1"/>
  <c r="AF90" i="7" a="1"/>
  <c r="AF90" i="7" s="1"/>
  <c r="AA95" i="7" a="1"/>
  <c r="AA95" i="7" s="1"/>
  <c r="AG99" i="7" a="1"/>
  <c r="AG99" i="7" s="1"/>
  <c r="AA88" i="7" a="1"/>
  <c r="AA88" i="7" s="1"/>
  <c r="AE92" i="7" a="1"/>
  <c r="AE92" i="7" s="1"/>
  <c r="AD97" i="7" a="1"/>
  <c r="AD97" i="7" s="1"/>
  <c r="F95" i="9" s="1"/>
  <c r="AD86" i="7" a="1"/>
  <c r="AD86" i="7" s="1"/>
  <c r="F84" i="9" s="1"/>
  <c r="AC91" i="7" a="1"/>
  <c r="AC91" i="7" s="1"/>
  <c r="C89" i="9" s="1"/>
  <c r="AG95" i="7" a="1"/>
  <c r="AG95" i="7" s="1"/>
  <c r="X147" i="3"/>
  <c r="AS111" i="6"/>
  <c r="AA197" i="6"/>
  <c r="Z197" i="6"/>
  <c r="O216" i="3"/>
  <c r="X327" i="3"/>
  <c r="AG332" i="6"/>
  <c r="AI332" i="6"/>
  <c r="V351" i="3" s="1"/>
  <c r="AF332" i="6"/>
  <c r="AI372" i="6"/>
  <c r="AG372" i="6"/>
  <c r="AF372" i="6"/>
  <c r="AI25" i="6"/>
  <c r="V44" i="3" s="1"/>
  <c r="AG25" i="6"/>
  <c r="U44" i="3" s="1"/>
  <c r="AF25" i="6"/>
  <c r="X108" i="3"/>
  <c r="AF142" i="6"/>
  <c r="S161" i="3" s="1"/>
  <c r="AI142" i="6"/>
  <c r="V161" i="3" s="1"/>
  <c r="AG142" i="6"/>
  <c r="X193" i="3"/>
  <c r="AI115" i="6"/>
  <c r="V134" i="3" s="1"/>
  <c r="AG115" i="6"/>
  <c r="AF115" i="6"/>
  <c r="S134" i="3" s="1"/>
  <c r="X182" i="3"/>
  <c r="AI179" i="6"/>
  <c r="V198" i="3" s="1"/>
  <c r="AG179" i="6"/>
  <c r="U198" i="3" s="1"/>
  <c r="AF179" i="6"/>
  <c r="X346" i="3"/>
  <c r="V346" i="3"/>
  <c r="U346" i="3"/>
  <c r="S346" i="3"/>
  <c r="AS262" i="6"/>
  <c r="AS294" i="6"/>
  <c r="AS373" i="6"/>
  <c r="AI389" i="6"/>
  <c r="AF389" i="6"/>
  <c r="AG389" i="6"/>
  <c r="AF274" i="6"/>
  <c r="S293" i="3" s="1"/>
  <c r="AI274" i="6"/>
  <c r="V293" i="3" s="1"/>
  <c r="AG274" i="6"/>
  <c r="X325" i="3"/>
  <c r="AA351" i="6"/>
  <c r="Z351" i="6"/>
  <c r="O370" i="3"/>
  <c r="X378" i="3"/>
  <c r="V378" i="3"/>
  <c r="U378" i="3"/>
  <c r="S378" i="3"/>
  <c r="X385" i="3"/>
  <c r="X46" i="3"/>
  <c r="AS187" i="6"/>
  <c r="AA373" i="6"/>
  <c r="Z373" i="6"/>
  <c r="O392" i="3"/>
  <c r="AI108" i="6"/>
  <c r="V127" i="3" s="1"/>
  <c r="AG108" i="6"/>
  <c r="AF108" i="6"/>
  <c r="S127" i="3" s="1"/>
  <c r="AG87" i="6"/>
  <c r="U106" i="3" s="1"/>
  <c r="AF87" i="6"/>
  <c r="S106" i="3" s="1"/>
  <c r="AI87" i="6"/>
  <c r="V106" i="3" s="1"/>
  <c r="AS27" i="6"/>
  <c r="AA43" i="6"/>
  <c r="Z43" i="6"/>
  <c r="O62" i="3"/>
  <c r="AF116" i="6"/>
  <c r="S135" i="3" s="1"/>
  <c r="AI116" i="6"/>
  <c r="V135" i="3" s="1"/>
  <c r="AG116" i="6"/>
  <c r="U135" i="3" s="1"/>
  <c r="X167" i="3"/>
  <c r="X268" i="3"/>
  <c r="AI231" i="6"/>
  <c r="V250" i="3" s="1"/>
  <c r="AG231" i="6"/>
  <c r="AF231" i="6"/>
  <c r="S250" i="3" s="1"/>
  <c r="AA153" i="6"/>
  <c r="Z153" i="6"/>
  <c r="O172" i="3"/>
  <c r="AS335" i="6"/>
  <c r="AA256" i="6"/>
  <c r="Z256" i="6"/>
  <c r="O275" i="3"/>
  <c r="AF312" i="6"/>
  <c r="S331" i="3" s="1"/>
  <c r="AI312" i="6"/>
  <c r="V331" i="3" s="1"/>
  <c r="AG312" i="6"/>
  <c r="U331" i="3" s="1"/>
  <c r="AA355" i="6"/>
  <c r="Z355" i="6"/>
  <c r="O374" i="3"/>
  <c r="AI38" i="6"/>
  <c r="V57" i="3" s="1"/>
  <c r="AG38" i="6"/>
  <c r="AF38" i="6"/>
  <c r="S57" i="3" s="1"/>
  <c r="AS343" i="6"/>
  <c r="AA73" i="6"/>
  <c r="Z73" i="6"/>
  <c r="O92" i="3"/>
  <c r="X66" i="3"/>
  <c r="AS10" i="6"/>
  <c r="X31" i="3"/>
  <c r="AA67" i="6"/>
  <c r="Z67" i="6"/>
  <c r="O86" i="3"/>
  <c r="X124" i="3"/>
  <c r="AS164" i="6"/>
  <c r="X141" i="3"/>
  <c r="AF220" i="6"/>
  <c r="S239" i="3" s="1"/>
  <c r="AI220" i="6"/>
  <c r="V239" i="3" s="1"/>
  <c r="AG220" i="6"/>
  <c r="X162" i="3"/>
  <c r="AI159" i="6"/>
  <c r="V178" i="3" s="1"/>
  <c r="AG159" i="6"/>
  <c r="U178" i="3" s="1"/>
  <c r="AF159" i="6"/>
  <c r="S178" i="3" s="1"/>
  <c r="X226" i="3"/>
  <c r="AI343" i="6"/>
  <c r="AG343" i="6"/>
  <c r="AF343" i="6"/>
  <c r="S362" i="3" s="1"/>
  <c r="AI393" i="6"/>
  <c r="AF393" i="6"/>
  <c r="AG393" i="6"/>
  <c r="AS269" i="6"/>
  <c r="AS301" i="6"/>
  <c r="AI285" i="6"/>
  <c r="V304" i="3" s="1"/>
  <c r="AG285" i="6"/>
  <c r="AF285" i="6"/>
  <c r="S304" i="3" s="1"/>
  <c r="AA149" i="6"/>
  <c r="Z149" i="6"/>
  <c r="O168" i="3"/>
  <c r="AI15" i="6"/>
  <c r="V34" i="3" s="1"/>
  <c r="AG15" i="6"/>
  <c r="U34" i="3" s="1"/>
  <c r="AF15" i="6"/>
  <c r="S34" i="3" s="1"/>
  <c r="AS63" i="6"/>
  <c r="AI97" i="6"/>
  <c r="V116" i="3" s="1"/>
  <c r="AG97" i="6"/>
  <c r="U116" i="3" s="1"/>
  <c r="AF97" i="6"/>
  <c r="S116" i="3" s="1"/>
  <c r="AF66" i="6"/>
  <c r="S85" i="3" s="1"/>
  <c r="AI66" i="6"/>
  <c r="V85" i="3" s="1"/>
  <c r="AG66" i="6"/>
  <c r="U85" i="3" s="1"/>
  <c r="X64" i="3"/>
  <c r="AS30" i="6"/>
  <c r="AI64" i="6"/>
  <c r="V83" i="3" s="1"/>
  <c r="AG64" i="6"/>
  <c r="AF64" i="6"/>
  <c r="S83" i="3" s="1"/>
  <c r="E3" i="7" a="1"/>
  <c r="E3" i="7" s="1"/>
  <c r="AS85" i="6"/>
  <c r="X48" i="3"/>
  <c r="AF156" i="6"/>
  <c r="AI156" i="6"/>
  <c r="V175" i="3" s="1"/>
  <c r="AG156" i="6"/>
  <c r="X207" i="3"/>
  <c r="AA161" i="6"/>
  <c r="Z161" i="6"/>
  <c r="O180" i="3"/>
  <c r="U345" i="3"/>
  <c r="S345" i="3"/>
  <c r="X345" i="3"/>
  <c r="X358" i="3"/>
  <c r="AA357" i="6"/>
  <c r="Z357" i="6"/>
  <c r="O376" i="3"/>
  <c r="AA254" i="6"/>
  <c r="Z254" i="6"/>
  <c r="O273" i="3"/>
  <c r="AS331" i="6"/>
  <c r="AI377" i="6"/>
  <c r="AF377" i="6"/>
  <c r="AG377" i="6"/>
  <c r="AS365" i="6"/>
  <c r="AS382" i="6"/>
  <c r="X322" i="3"/>
  <c r="AS66" i="6"/>
  <c r="AG31" i="6"/>
  <c r="U50" i="3" s="1"/>
  <c r="AF31" i="6"/>
  <c r="AI31" i="6"/>
  <c r="V50" i="3" s="1"/>
  <c r="X114" i="3"/>
  <c r="AI106" i="6"/>
  <c r="V125" i="3" s="1"/>
  <c r="AG106" i="6"/>
  <c r="U125" i="3" s="1"/>
  <c r="AF106" i="6"/>
  <c r="S125" i="3" s="1"/>
  <c r="AF26" i="6"/>
  <c r="S45" i="3" s="1"/>
  <c r="AI26" i="6"/>
  <c r="V45" i="3" s="1"/>
  <c r="AG26" i="6"/>
  <c r="AS35" i="6"/>
  <c r="AS54" i="6"/>
  <c r="AI88" i="6"/>
  <c r="V107" i="3" s="1"/>
  <c r="AG88" i="6"/>
  <c r="AF88" i="6"/>
  <c r="S107" i="3" s="1"/>
  <c r="X81" i="3"/>
  <c r="AI235" i="6"/>
  <c r="V254" i="3" s="1"/>
  <c r="AF235" i="6"/>
  <c r="AG235" i="6"/>
  <c r="X153" i="3"/>
  <c r="AG234" i="6"/>
  <c r="AI234" i="6"/>
  <c r="V253" i="3" s="1"/>
  <c r="AF234" i="6"/>
  <c r="X272" i="3"/>
  <c r="X174" i="3"/>
  <c r="AI171" i="6"/>
  <c r="V190" i="3" s="1"/>
  <c r="AG171" i="6"/>
  <c r="AF171" i="6"/>
  <c r="S190" i="3" s="1"/>
  <c r="AA233" i="6"/>
  <c r="Z233" i="6"/>
  <c r="O252" i="3"/>
  <c r="AS236" i="6"/>
  <c r="AS268" i="6"/>
  <c r="AS300" i="6"/>
  <c r="AI244" i="6"/>
  <c r="AG244" i="6"/>
  <c r="AF244" i="6"/>
  <c r="AS327" i="6"/>
  <c r="AI381" i="6"/>
  <c r="AF381" i="6"/>
  <c r="AG381" i="6"/>
  <c r="U400" i="3" s="1"/>
  <c r="AS352" i="6"/>
  <c r="X387" i="3"/>
  <c r="AS47" i="6"/>
  <c r="AI81" i="6"/>
  <c r="V100" i="3" s="1"/>
  <c r="AG81" i="6"/>
  <c r="U100" i="3" s="1"/>
  <c r="AF81" i="6"/>
  <c r="S100" i="3" s="1"/>
  <c r="AS80" i="6"/>
  <c r="AI14" i="6"/>
  <c r="V33" i="3" s="1"/>
  <c r="AG14" i="6"/>
  <c r="AF14" i="6"/>
  <c r="S33" i="3" s="1"/>
  <c r="AI48" i="6"/>
  <c r="V67" i="3" s="1"/>
  <c r="AG48" i="6"/>
  <c r="AF48" i="6"/>
  <c r="S67" i="3" s="1"/>
  <c r="X36" i="3"/>
  <c r="AI22" i="6"/>
  <c r="V41" i="3" s="1"/>
  <c r="AG22" i="6"/>
  <c r="AF22" i="6"/>
  <c r="S41" i="3" s="1"/>
  <c r="X105" i="3"/>
  <c r="X159" i="3"/>
  <c r="AI257" i="6"/>
  <c r="V276" i="3" s="1"/>
  <c r="AF257" i="6"/>
  <c r="S276" i="3" s="1"/>
  <c r="AG257" i="6"/>
  <c r="U276" i="3" s="1"/>
  <c r="X247" i="3"/>
  <c r="V247" i="3"/>
  <c r="U247" i="3"/>
  <c r="AI239" i="6"/>
  <c r="V258" i="3" s="1"/>
  <c r="AF239" i="6"/>
  <c r="S258" i="3" s="1"/>
  <c r="AG239" i="6"/>
  <c r="X148" i="3"/>
  <c r="AI145" i="6"/>
  <c r="V164" i="3" s="1"/>
  <c r="AG145" i="6"/>
  <c r="AF145" i="6"/>
  <c r="S164" i="3" s="1"/>
  <c r="X212" i="3"/>
  <c r="AI209" i="6"/>
  <c r="V228" i="3" s="1"/>
  <c r="AG209" i="6"/>
  <c r="U228" i="3" s="1"/>
  <c r="AF209" i="6"/>
  <c r="S228" i="3" s="1"/>
  <c r="AI371" i="6"/>
  <c r="AF371" i="6"/>
  <c r="AG371" i="6"/>
  <c r="U390" i="3" s="1"/>
  <c r="AS350" i="6"/>
  <c r="X273" i="3"/>
  <c r="AI268" i="6"/>
  <c r="V287" i="3" s="1"/>
  <c r="AG268" i="6"/>
  <c r="U287" i="3" s="1"/>
  <c r="AF268" i="6"/>
  <c r="S287" i="3" s="1"/>
  <c r="AF304" i="6"/>
  <c r="S323" i="3" s="1"/>
  <c r="AI304" i="6"/>
  <c r="V323" i="3" s="1"/>
  <c r="AG304" i="6"/>
  <c r="U323" i="3" s="1"/>
  <c r="AA333" i="6"/>
  <c r="Z333" i="6"/>
  <c r="O352" i="3"/>
  <c r="AI360" i="6"/>
  <c r="V379" i="3" s="1"/>
  <c r="AG360" i="6"/>
  <c r="U379" i="3" s="1"/>
  <c r="AF360" i="6"/>
  <c r="S379" i="3" s="1"/>
  <c r="AS104" i="6"/>
  <c r="AS19" i="6"/>
  <c r="X65" i="3"/>
  <c r="AS106" i="6"/>
  <c r="AS138" i="6"/>
  <c r="AS170" i="6"/>
  <c r="AS202" i="6"/>
  <c r="AI237" i="6"/>
  <c r="V256" i="3" s="1"/>
  <c r="AF237" i="6"/>
  <c r="S256" i="3" s="1"/>
  <c r="AG237" i="6"/>
  <c r="AF178" i="6"/>
  <c r="S197" i="3" s="1"/>
  <c r="AI178" i="6"/>
  <c r="V197" i="3" s="1"/>
  <c r="AG178" i="6"/>
  <c r="X229" i="3"/>
  <c r="AI119" i="6"/>
  <c r="V138" i="3" s="1"/>
  <c r="AG119" i="6"/>
  <c r="AF119" i="6"/>
  <c r="S138" i="3" s="1"/>
  <c r="X186" i="3"/>
  <c r="AI183" i="6"/>
  <c r="V202" i="3" s="1"/>
  <c r="AG183" i="6"/>
  <c r="AF183" i="6"/>
  <c r="S202" i="3" s="1"/>
  <c r="AS357" i="6"/>
  <c r="X360" i="3"/>
  <c r="AS375" i="6"/>
  <c r="AA347" i="6"/>
  <c r="Z347" i="6"/>
  <c r="O366" i="3"/>
  <c r="AS378" i="6"/>
  <c r="AS279" i="6"/>
  <c r="AS311" i="6"/>
  <c r="AA345" i="6"/>
  <c r="Z345" i="6"/>
  <c r="O364" i="3"/>
  <c r="X179" i="3"/>
  <c r="AS175" i="6"/>
  <c r="X399" i="3"/>
  <c r="AG11" i="6"/>
  <c r="AF11" i="6"/>
  <c r="S30" i="3" s="1"/>
  <c r="AI11" i="6"/>
  <c r="V30" i="3" s="1"/>
  <c r="AS64" i="6"/>
  <c r="AF98" i="6"/>
  <c r="S117" i="3" s="1"/>
  <c r="AI98" i="6"/>
  <c r="V117" i="3" s="1"/>
  <c r="AG98" i="6"/>
  <c r="X96" i="3"/>
  <c r="AS89" i="6"/>
  <c r="AI70" i="6"/>
  <c r="V89" i="3" s="1"/>
  <c r="AG70" i="6"/>
  <c r="AF70" i="6"/>
  <c r="S89" i="3" s="1"/>
  <c r="X155" i="3"/>
  <c r="AS137" i="6"/>
  <c r="AS169" i="6"/>
  <c r="AS201" i="6"/>
  <c r="AA141" i="6"/>
  <c r="Z141" i="6"/>
  <c r="O160" i="3"/>
  <c r="AA205" i="6"/>
  <c r="Z205" i="6"/>
  <c r="O224" i="3"/>
  <c r="S384" i="3"/>
  <c r="X384" i="3"/>
  <c r="V384" i="3"/>
  <c r="U384" i="3"/>
  <c r="X334" i="3"/>
  <c r="AI374" i="6"/>
  <c r="AG374" i="6"/>
  <c r="AF374" i="6"/>
  <c r="S393" i="3" s="1"/>
  <c r="AB4" i="7" a="1"/>
  <c r="AB4" i="7" s="1"/>
  <c r="AG8" i="7" a="1"/>
  <c r="AG8" i="7" s="1"/>
  <c r="AG12" i="7" a="1"/>
  <c r="AG12" i="7" s="1"/>
  <c r="AA23" i="7" a="1"/>
  <c r="AA23" i="7" s="1"/>
  <c r="AC30" i="7" a="1"/>
  <c r="AC30" i="7" s="1"/>
  <c r="C28" i="9" s="1"/>
  <c r="AB39" i="7" a="1"/>
  <c r="AB39" i="7" s="1"/>
  <c r="AG16" i="7" a="1"/>
  <c r="AG16" i="7" s="1"/>
  <c r="AG21" i="7" a="1"/>
  <c r="AG21" i="7" s="1"/>
  <c r="AD30" i="7" a="1"/>
  <c r="AD30" i="7" s="1"/>
  <c r="F28" i="9" s="1"/>
  <c r="AC39" i="7" a="1"/>
  <c r="AC39" i="7" s="1"/>
  <c r="C37" i="9" s="1"/>
  <c r="AD8" i="7" a="1"/>
  <c r="AD8" i="7" s="1"/>
  <c r="F6" i="9" s="1"/>
  <c r="AG13" i="7" a="1"/>
  <c r="AG13" i="7" s="1"/>
  <c r="AG25" i="7" a="1"/>
  <c r="AG25" i="7" s="1"/>
  <c r="AA34" i="7" a="1"/>
  <c r="AA34" i="7" s="1"/>
  <c r="AA4" i="7" a="1"/>
  <c r="AA4" i="7" s="1"/>
  <c r="AF18" i="7" a="1"/>
  <c r="AF18" i="7" s="1"/>
  <c r="AA27" i="7" a="1"/>
  <c r="AA27" i="7" s="1"/>
  <c r="AG37" i="7" a="1"/>
  <c r="AG37" i="7" s="1"/>
  <c r="AG5" i="7" a="1"/>
  <c r="AG5" i="7" s="1"/>
  <c r="AG9" i="7" a="1"/>
  <c r="AG9" i="7" s="1"/>
  <c r="AC14" i="7" a="1"/>
  <c r="AC14" i="7" s="1"/>
  <c r="C12" i="9" s="1"/>
  <c r="AA28" i="7" a="1"/>
  <c r="AA28" i="7" s="1"/>
  <c r="AG38" i="7" a="1"/>
  <c r="AG38" i="7" s="1"/>
  <c r="AA16" i="7" a="1"/>
  <c r="AA16" i="7" s="1"/>
  <c r="AD21" i="7" a="1"/>
  <c r="AD21" i="7" s="1"/>
  <c r="F19" i="9" s="1"/>
  <c r="AB28" i="7" a="1"/>
  <c r="AB28" i="7" s="1"/>
  <c r="AA37" i="7" a="1"/>
  <c r="AA37" i="7" s="1"/>
  <c r="AF6" i="7" a="1"/>
  <c r="AF6" i="7" s="1"/>
  <c r="AB12" i="7" a="1"/>
  <c r="AB12" i="7" s="1"/>
  <c r="AD27" i="7" a="1"/>
  <c r="AD27" i="7" s="1"/>
  <c r="F25" i="9" s="1"/>
  <c r="AC36" i="7" a="1"/>
  <c r="AC36" i="7" s="1"/>
  <c r="C34" i="9" s="1"/>
  <c r="AC4" i="7" a="1"/>
  <c r="AC4" i="7" s="1"/>
  <c r="C2" i="9" s="1"/>
  <c r="AD18" i="7" a="1"/>
  <c r="AD18" i="7" s="1"/>
  <c r="F16" i="9" s="1"/>
  <c r="AF26" i="7" a="1"/>
  <c r="AF26" i="7" s="1"/>
  <c r="AE35" i="7" a="1"/>
  <c r="AE35" i="7" s="1"/>
  <c r="AC44" i="7" a="1"/>
  <c r="AC44" i="7" s="1"/>
  <c r="C42" i="9" s="1"/>
  <c r="AA49" i="7" a="1"/>
  <c r="AA49" i="7" s="1"/>
  <c r="AA54" i="7" a="1"/>
  <c r="AA54" i="7" s="1"/>
  <c r="AA67" i="7" a="1"/>
  <c r="AA67" i="7" s="1"/>
  <c r="AC74" i="7" a="1"/>
  <c r="AC74" i="7" s="1"/>
  <c r="C72" i="9" s="1"/>
  <c r="AB83" i="7" a="1"/>
  <c r="AB83" i="7" s="1"/>
  <c r="AC59" i="7" a="1"/>
  <c r="AC59" i="7" s="1"/>
  <c r="C57" i="9" s="1"/>
  <c r="AD68" i="7" a="1"/>
  <c r="AD68" i="7" s="1"/>
  <c r="F66" i="9" s="1"/>
  <c r="AA77" i="7" a="1"/>
  <c r="AA77" i="7" s="1"/>
  <c r="AB89" i="7" a="1"/>
  <c r="AB89" i="7" s="1"/>
  <c r="AB49" i="7" a="1"/>
  <c r="AB49" i="7" s="1"/>
  <c r="AB54" i="7" a="1"/>
  <c r="AB54" i="7" s="1"/>
  <c r="AE62" i="7" a="1"/>
  <c r="AE62" i="7" s="1"/>
  <c r="AF73" i="7" a="1"/>
  <c r="AF73" i="7" s="1"/>
  <c r="AE82" i="7" a="1"/>
  <c r="AE82" i="7" s="1"/>
  <c r="AD55" i="7" a="1"/>
  <c r="AD55" i="7" s="1"/>
  <c r="F53" i="9" s="1"/>
  <c r="AC67" i="7" a="1"/>
  <c r="AC67" i="7" s="1"/>
  <c r="C65" i="9" s="1"/>
  <c r="AC77" i="7" a="1"/>
  <c r="AC77" i="7" s="1"/>
  <c r="C75" i="9" s="1"/>
  <c r="AB97" i="7" a="1"/>
  <c r="AB97" i="7" s="1"/>
  <c r="AD48" i="7" a="1"/>
  <c r="AD48" i="7" s="1"/>
  <c r="F46" i="9" s="1"/>
  <c r="AB53" i="7" a="1"/>
  <c r="AB53" i="7" s="1"/>
  <c r="AA62" i="7" a="1"/>
  <c r="AA62" i="7" s="1"/>
  <c r="AB69" i="7" a="1"/>
  <c r="AB69" i="7" s="1"/>
  <c r="AC78" i="7" a="1"/>
  <c r="AC78" i="7" s="1"/>
  <c r="C76" i="9" s="1"/>
  <c r="AG53" i="7" a="1"/>
  <c r="AG53" i="7" s="1"/>
  <c r="AG62" i="7" a="1"/>
  <c r="AG62" i="7" s="1"/>
  <c r="AC69" i="7" a="1"/>
  <c r="AC69" i="7" s="1"/>
  <c r="C67" i="9" s="1"/>
  <c r="AD78" i="7" a="1"/>
  <c r="AD78" i="7" s="1"/>
  <c r="F76" i="9" s="1"/>
  <c r="AA44" i="7" a="1"/>
  <c r="AA44" i="7" s="1"/>
  <c r="AE48" i="7" a="1"/>
  <c r="AE48" i="7" s="1"/>
  <c r="AC53" i="7" a="1"/>
  <c r="AC53" i="7" s="1"/>
  <c r="C51" i="9" s="1"/>
  <c r="AC61" i="7" a="1"/>
  <c r="AC61" i="7" s="1"/>
  <c r="C59" i="9" s="1"/>
  <c r="AC72" i="7" a="1"/>
  <c r="AC72" i="7" s="1"/>
  <c r="C70" i="9" s="1"/>
  <c r="AB81" i="7" a="1"/>
  <c r="AB81" i="7" s="1"/>
  <c r="AC56" i="7" a="1"/>
  <c r="AC56" i="7" s="1"/>
  <c r="C54" i="9" s="1"/>
  <c r="AA64" i="7" a="1"/>
  <c r="AA64" i="7" s="1"/>
  <c r="AC73" i="7" a="1"/>
  <c r="AC73" i="7" s="1"/>
  <c r="C71" i="9" s="1"/>
  <c r="AB82" i="7" a="1"/>
  <c r="AB82" i="7" s="1"/>
  <c r="AE98" i="7" a="1"/>
  <c r="AE98" i="7" s="1"/>
  <c r="AF86" i="7" a="1"/>
  <c r="AF86" i="7" s="1"/>
  <c r="AA91" i="7" a="1"/>
  <c r="AA91" i="7" s="1"/>
  <c r="AE95" i="7" a="1"/>
  <c r="AE95" i="7" s="1"/>
  <c r="AA84" i="7" a="1"/>
  <c r="AA84" i="7" s="1"/>
  <c r="AE88" i="7" a="1"/>
  <c r="AE88" i="7" s="1"/>
  <c r="AD93" i="7" a="1"/>
  <c r="AD93" i="7" s="1"/>
  <c r="F91" i="9" s="1"/>
  <c r="AC98" i="7" a="1"/>
  <c r="AC98" i="7" s="1"/>
  <c r="C96" i="9" s="1"/>
  <c r="AC87" i="7" a="1"/>
  <c r="AC87" i="7" s="1"/>
  <c r="C85" i="9" s="1"/>
  <c r="AG91" i="7" a="1"/>
  <c r="AG91" i="7" s="1"/>
  <c r="AB96" i="7" a="1"/>
  <c r="AB96" i="7" s="1"/>
  <c r="AS159" i="6"/>
  <c r="X351" i="3"/>
  <c r="U351" i="3"/>
  <c r="S351" i="3"/>
  <c r="X391" i="3"/>
  <c r="V391" i="3"/>
  <c r="U391" i="3"/>
  <c r="S391" i="3"/>
  <c r="AA25" i="6"/>
  <c r="Z25" i="6"/>
  <c r="O44" i="3"/>
  <c r="AS24" i="6"/>
  <c r="AF58" i="6"/>
  <c r="AI58" i="6"/>
  <c r="V77" i="3" s="1"/>
  <c r="AG58" i="6"/>
  <c r="X75" i="3"/>
  <c r="AI94" i="6"/>
  <c r="V113" i="3" s="1"/>
  <c r="AG94" i="6"/>
  <c r="U113" i="3" s="1"/>
  <c r="AF94" i="6"/>
  <c r="S113" i="3" s="1"/>
  <c r="X145" i="3"/>
  <c r="X248" i="3"/>
  <c r="AA115" i="6"/>
  <c r="Z115" i="6"/>
  <c r="O134" i="3"/>
  <c r="AA179" i="6"/>
  <c r="Z179" i="6"/>
  <c r="O198" i="3"/>
  <c r="AS234" i="6"/>
  <c r="AS266" i="6"/>
  <c r="AS298" i="6"/>
  <c r="V380" i="3"/>
  <c r="U380" i="3"/>
  <c r="S380" i="3"/>
  <c r="X380" i="3"/>
  <c r="AG334" i="6"/>
  <c r="U353" i="3" s="1"/>
  <c r="AF334" i="6"/>
  <c r="AI334" i="6"/>
  <c r="AA359" i="6"/>
  <c r="Z359" i="6"/>
  <c r="O378" i="3"/>
  <c r="X324" i="3"/>
  <c r="AI329" i="6"/>
  <c r="AG329" i="6"/>
  <c r="U348" i="3" s="1"/>
  <c r="AF329" i="6"/>
  <c r="AA227" i="6"/>
  <c r="Z227" i="6"/>
  <c r="O246" i="3"/>
  <c r="X211" i="3"/>
  <c r="AS207" i="6"/>
  <c r="AA87" i="6"/>
  <c r="Z87" i="6"/>
  <c r="O106" i="3"/>
  <c r="AI61" i="6"/>
  <c r="V80" i="3" s="1"/>
  <c r="AG61" i="6"/>
  <c r="U80" i="3" s="1"/>
  <c r="AF61" i="6"/>
  <c r="S80" i="3" s="1"/>
  <c r="X99" i="3"/>
  <c r="AG107" i="6"/>
  <c r="AI107" i="6"/>
  <c r="V126" i="3" s="1"/>
  <c r="AF107" i="6"/>
  <c r="S126" i="3" s="1"/>
  <c r="AI54" i="6"/>
  <c r="V73" i="3" s="1"/>
  <c r="AG54" i="6"/>
  <c r="U73" i="3" s="1"/>
  <c r="AF54" i="6"/>
  <c r="S73" i="3" s="1"/>
  <c r="X284" i="3"/>
  <c r="X274" i="3"/>
  <c r="AF196" i="6"/>
  <c r="S215" i="3" s="1"/>
  <c r="AI196" i="6"/>
  <c r="V215" i="3" s="1"/>
  <c r="AG196" i="6"/>
  <c r="U215" i="3" s="1"/>
  <c r="X140" i="3"/>
  <c r="AI137" i="6"/>
  <c r="V156" i="3" s="1"/>
  <c r="AG137" i="6"/>
  <c r="AF137" i="6"/>
  <c r="S156" i="3" s="1"/>
  <c r="X204" i="3"/>
  <c r="AI201" i="6"/>
  <c r="V220" i="3" s="1"/>
  <c r="AG201" i="6"/>
  <c r="AF201" i="6"/>
  <c r="S220" i="3" s="1"/>
  <c r="AI217" i="6"/>
  <c r="AG217" i="6"/>
  <c r="AF217" i="6"/>
  <c r="AS360" i="6"/>
  <c r="AI270" i="6"/>
  <c r="V289" i="3" s="1"/>
  <c r="AG270" i="6"/>
  <c r="AF270" i="6"/>
  <c r="S289" i="3" s="1"/>
  <c r="X315" i="3"/>
  <c r="X298" i="3"/>
  <c r="AI295" i="6"/>
  <c r="V314" i="3" s="1"/>
  <c r="AG295" i="6"/>
  <c r="U314" i="3" s="1"/>
  <c r="AF295" i="6"/>
  <c r="S314" i="3" s="1"/>
  <c r="AI392" i="6"/>
  <c r="V411" i="3" s="1"/>
  <c r="AG392" i="6"/>
  <c r="AF392" i="6"/>
  <c r="S411" i="3" s="1"/>
  <c r="AI91" i="6"/>
  <c r="V110" i="3" s="1"/>
  <c r="AG91" i="6"/>
  <c r="AF91" i="6"/>
  <c r="AS199" i="6"/>
  <c r="X136" i="3"/>
  <c r="AG324" i="6"/>
  <c r="AI324" i="6"/>
  <c r="AF324" i="6"/>
  <c r="AS14" i="6"/>
  <c r="AF42" i="6"/>
  <c r="S61" i="3" s="1"/>
  <c r="AI42" i="6"/>
  <c r="V61" i="3" s="1"/>
  <c r="AG42" i="6"/>
  <c r="U61" i="3" s="1"/>
  <c r="X40" i="3"/>
  <c r="AA85" i="6"/>
  <c r="Z85" i="6"/>
  <c r="O104" i="3"/>
  <c r="X59" i="3"/>
  <c r="AS33" i="6"/>
  <c r="X97" i="3"/>
  <c r="AI245" i="6"/>
  <c r="V264" i="3" s="1"/>
  <c r="AF245" i="6"/>
  <c r="AG245" i="6"/>
  <c r="U264" i="3" s="1"/>
  <c r="AS200" i="6"/>
  <c r="AF170" i="6"/>
  <c r="S189" i="3" s="1"/>
  <c r="AI170" i="6"/>
  <c r="V189" i="3" s="1"/>
  <c r="AG170" i="6"/>
  <c r="X221" i="3"/>
  <c r="X292" i="3"/>
  <c r="AA159" i="6"/>
  <c r="Z159" i="6"/>
  <c r="O178" i="3"/>
  <c r="X237" i="3"/>
  <c r="X344" i="3"/>
  <c r="X362" i="3"/>
  <c r="V362" i="3"/>
  <c r="U362" i="3"/>
  <c r="AI353" i="6"/>
  <c r="AG353" i="6"/>
  <c r="U372" i="3" s="1"/>
  <c r="AF353" i="6"/>
  <c r="AI266" i="6"/>
  <c r="V285" i="3" s="1"/>
  <c r="AG266" i="6"/>
  <c r="AF266" i="6"/>
  <c r="S285" i="3" s="1"/>
  <c r="U382" i="3"/>
  <c r="S382" i="3"/>
  <c r="X382" i="3"/>
  <c r="V382" i="3"/>
  <c r="AI348" i="6"/>
  <c r="AG348" i="6"/>
  <c r="U367" i="3" s="1"/>
  <c r="AF348" i="6"/>
  <c r="AS179" i="6"/>
  <c r="X232" i="3"/>
  <c r="X311" i="3"/>
  <c r="AA15" i="6"/>
  <c r="Z15" i="6"/>
  <c r="O34" i="3"/>
  <c r="AA97" i="6"/>
  <c r="Z97" i="6"/>
  <c r="O116" i="3"/>
  <c r="AS96" i="6"/>
  <c r="AS94" i="6"/>
  <c r="AG321" i="6"/>
  <c r="AF321" i="6"/>
  <c r="S340" i="3" s="1"/>
  <c r="AI321" i="6"/>
  <c r="V340" i="3" s="1"/>
  <c r="AF172" i="6"/>
  <c r="S191" i="3" s="1"/>
  <c r="AI172" i="6"/>
  <c r="AG172" i="6"/>
  <c r="X223" i="3"/>
  <c r="V223" i="3"/>
  <c r="U223" i="3"/>
  <c r="S223" i="3"/>
  <c r="AI113" i="6"/>
  <c r="AG113" i="6"/>
  <c r="U132" i="3" s="1"/>
  <c r="AF113" i="6"/>
  <c r="AI177" i="6"/>
  <c r="V196" i="3" s="1"/>
  <c r="AG177" i="6"/>
  <c r="AF177" i="6"/>
  <c r="X109" i="3"/>
  <c r="S355" i="3"/>
  <c r="X355" i="3"/>
  <c r="V355" i="3"/>
  <c r="U355" i="3"/>
  <c r="AA354" i="6"/>
  <c r="Z354" i="6"/>
  <c r="O373" i="3"/>
  <c r="AI281" i="6"/>
  <c r="V300" i="3" s="1"/>
  <c r="AG281" i="6"/>
  <c r="U300" i="3" s="1"/>
  <c r="AF281" i="6"/>
  <c r="S300" i="3" s="1"/>
  <c r="AA31" i="6"/>
  <c r="Z31" i="6"/>
  <c r="O50" i="3"/>
  <c r="AS56" i="6"/>
  <c r="AS102" i="6"/>
  <c r="X233" i="3"/>
  <c r="AA171" i="6"/>
  <c r="Z171" i="6"/>
  <c r="O190" i="3"/>
  <c r="AA225" i="6"/>
  <c r="Z225" i="6"/>
  <c r="O244" i="3"/>
  <c r="AS272" i="6"/>
  <c r="AS304" i="6"/>
  <c r="AI258" i="6"/>
  <c r="V277" i="3" s="1"/>
  <c r="AG258" i="6"/>
  <c r="U277" i="3" s="1"/>
  <c r="AF258" i="6"/>
  <c r="S277" i="3" s="1"/>
  <c r="AF314" i="6"/>
  <c r="AI314" i="6"/>
  <c r="AG314" i="6"/>
  <c r="AI391" i="6"/>
  <c r="AF391" i="6"/>
  <c r="AG391" i="6"/>
  <c r="AA336" i="6"/>
  <c r="Z336" i="6"/>
  <c r="O355" i="3"/>
  <c r="AG318" i="6"/>
  <c r="U337" i="3" s="1"/>
  <c r="AF318" i="6"/>
  <c r="S337" i="3" s="1"/>
  <c r="AI318" i="6"/>
  <c r="V337" i="3" s="1"/>
  <c r="X332" i="3"/>
  <c r="AS384" i="6"/>
  <c r="AA81" i="6"/>
  <c r="Z81" i="6"/>
  <c r="O100" i="3"/>
  <c r="X79" i="3"/>
  <c r="AI29" i="6"/>
  <c r="V48" i="3" s="1"/>
  <c r="AG29" i="6"/>
  <c r="AF29" i="6"/>
  <c r="S48" i="3" s="1"/>
  <c r="X112" i="3"/>
  <c r="AS78" i="6"/>
  <c r="X121" i="3"/>
  <c r="AF188" i="6"/>
  <c r="AI188" i="6"/>
  <c r="V207" i="3" s="1"/>
  <c r="AG188" i="6"/>
  <c r="AA145" i="6"/>
  <c r="Z145" i="6"/>
  <c r="O164" i="3"/>
  <c r="AA209" i="6"/>
  <c r="Z209" i="6"/>
  <c r="O228" i="3"/>
  <c r="AA326" i="6"/>
  <c r="Z326" i="6"/>
  <c r="O345" i="3"/>
  <c r="X259" i="3"/>
  <c r="X307" i="3"/>
  <c r="AS333" i="6"/>
  <c r="X396" i="3"/>
  <c r="V396" i="3"/>
  <c r="U396" i="3"/>
  <c r="S396" i="3"/>
  <c r="S352" i="3"/>
  <c r="X352" i="3"/>
  <c r="V352" i="3"/>
  <c r="U352" i="3"/>
  <c r="X306" i="3"/>
  <c r="AI303" i="6"/>
  <c r="V322" i="3" s="1"/>
  <c r="AG303" i="6"/>
  <c r="U322" i="3" s="1"/>
  <c r="AF303" i="6"/>
  <c r="S322" i="3" s="1"/>
  <c r="X60" i="3"/>
  <c r="AS45" i="6"/>
  <c r="AG79" i="6"/>
  <c r="AF79" i="6"/>
  <c r="S98" i="3" s="1"/>
  <c r="AI79" i="6"/>
  <c r="V98" i="3" s="1"/>
  <c r="X35" i="3"/>
  <c r="AI53" i="6"/>
  <c r="V72" i="3" s="1"/>
  <c r="AG53" i="6"/>
  <c r="U72" i="3" s="1"/>
  <c r="AF53" i="6"/>
  <c r="S72" i="3" s="1"/>
  <c r="X91" i="3"/>
  <c r="AI35" i="6"/>
  <c r="AG35" i="6"/>
  <c r="AF35" i="6"/>
  <c r="S54" i="3" s="1"/>
  <c r="X129" i="3"/>
  <c r="AS142" i="6"/>
  <c r="AS174" i="6"/>
  <c r="AS206" i="6"/>
  <c r="X290" i="3"/>
  <c r="X133" i="3"/>
  <c r="AF130" i="6"/>
  <c r="S149" i="3" s="1"/>
  <c r="AI130" i="6"/>
  <c r="V149" i="3" s="1"/>
  <c r="AG130" i="6"/>
  <c r="X181" i="3"/>
  <c r="S123" i="3"/>
  <c r="X123" i="3"/>
  <c r="V123" i="3"/>
  <c r="U123" i="3"/>
  <c r="AA119" i="6"/>
  <c r="Z119" i="6"/>
  <c r="O138" i="3"/>
  <c r="AA183" i="6"/>
  <c r="Z183" i="6"/>
  <c r="O202" i="3"/>
  <c r="AS386" i="6"/>
  <c r="AF278" i="6"/>
  <c r="S297" i="3" s="1"/>
  <c r="AI278" i="6"/>
  <c r="V297" i="3" s="1"/>
  <c r="AG278" i="6"/>
  <c r="X329" i="3"/>
  <c r="AS251" i="6"/>
  <c r="AS283" i="6"/>
  <c r="V364" i="3"/>
  <c r="U364" i="3"/>
  <c r="S364" i="3"/>
  <c r="X364" i="3"/>
  <c r="X312" i="3"/>
  <c r="AI309" i="6"/>
  <c r="V328" i="3" s="1"/>
  <c r="AG309" i="6"/>
  <c r="AF309" i="6"/>
  <c r="S328" i="3" s="1"/>
  <c r="X405" i="3"/>
  <c r="AS195" i="6"/>
  <c r="AF276" i="6"/>
  <c r="AI276" i="6"/>
  <c r="V295" i="3" s="1"/>
  <c r="AG276" i="6"/>
  <c r="U295" i="3" s="1"/>
  <c r="X84" i="3"/>
  <c r="AG44" i="6"/>
  <c r="AF44" i="6"/>
  <c r="S63" i="3" s="1"/>
  <c r="AI44" i="6"/>
  <c r="V63" i="3" s="1"/>
  <c r="AS43" i="6"/>
  <c r="AF184" i="6"/>
  <c r="S203" i="3" s="1"/>
  <c r="AI184" i="6"/>
  <c r="V203" i="3" s="1"/>
  <c r="AG184" i="6"/>
  <c r="X235" i="3"/>
  <c r="AS141" i="6"/>
  <c r="AS205" i="6"/>
  <c r="AI125" i="6"/>
  <c r="V144" i="3" s="1"/>
  <c r="AG125" i="6"/>
  <c r="AF125" i="6"/>
  <c r="S144" i="3" s="1"/>
  <c r="X192" i="3"/>
  <c r="AI189" i="6"/>
  <c r="V208" i="3" s="1"/>
  <c r="AG189" i="6"/>
  <c r="AF189" i="6"/>
  <c r="S208" i="3" s="1"/>
  <c r="X279" i="3"/>
  <c r="AF316" i="6"/>
  <c r="S335" i="3" s="1"/>
  <c r="AI316" i="6"/>
  <c r="V335" i="3" s="1"/>
  <c r="AG316" i="6"/>
  <c r="U335" i="3" s="1"/>
  <c r="AA365" i="6"/>
  <c r="Z365" i="6"/>
  <c r="O384" i="3"/>
  <c r="V393" i="3"/>
  <c r="U393" i="3"/>
  <c r="X393" i="3"/>
  <c r="AE5" i="7" a="1"/>
  <c r="AE5" i="7" s="1"/>
  <c r="AA9" i="7" a="1"/>
  <c r="AA9" i="7" s="1"/>
  <c r="AB13" i="7" a="1"/>
  <c r="AB13" i="7" s="1"/>
  <c r="AG23" i="7" a="1"/>
  <c r="AG23" i="7" s="1"/>
  <c r="AB31" i="7" a="1"/>
  <c r="AB31" i="7" s="1"/>
  <c r="AA40" i="7" a="1"/>
  <c r="AA40" i="7" s="1"/>
  <c r="AB17" i="7" a="1"/>
  <c r="AB17" i="7" s="1"/>
  <c r="AF22" i="7" a="1"/>
  <c r="AF22" i="7" s="1"/>
  <c r="AC31" i="7" a="1"/>
  <c r="AC31" i="7" s="1"/>
  <c r="C29" i="9" s="1"/>
  <c r="AB40" i="7" a="1"/>
  <c r="AB40" i="7" s="1"/>
  <c r="AB9" i="7" a="1"/>
  <c r="AB9" i="7" s="1"/>
  <c r="AB14" i="7" a="1"/>
  <c r="AB14" i="7" s="1"/>
  <c r="AA26" i="7" a="1"/>
  <c r="AA26" i="7" s="1"/>
  <c r="AG36" i="7" a="1"/>
  <c r="AG36" i="7" s="1"/>
  <c r="AE4" i="7" a="1"/>
  <c r="AE4" i="7" s="1"/>
  <c r="AE19" i="7" a="1"/>
  <c r="AE19" i="7" s="1"/>
  <c r="AG29" i="7" a="1"/>
  <c r="AG29" i="7" s="1"/>
  <c r="AF38" i="7" a="1"/>
  <c r="AF38" i="7" s="1"/>
  <c r="AA6" i="7" a="1"/>
  <c r="AA6" i="7" s="1"/>
  <c r="AA10" i="7" a="1"/>
  <c r="AA10" i="7" s="1"/>
  <c r="AG14" i="7" a="1"/>
  <c r="AG14" i="7" s="1"/>
  <c r="AG30" i="7" a="1"/>
  <c r="AG30" i="7" s="1"/>
  <c r="AF39" i="7" a="1"/>
  <c r="AF39" i="7" s="1"/>
  <c r="AE16" i="7" a="1"/>
  <c r="AE16" i="7" s="1"/>
  <c r="AC22" i="7" a="1"/>
  <c r="AC22" i="7" s="1"/>
  <c r="C20" i="9" s="1"/>
  <c r="AA29" i="7" a="1"/>
  <c r="AA29" i="7" s="1"/>
  <c r="AG39" i="7" a="1"/>
  <c r="AG39" i="7" s="1"/>
  <c r="AD7" i="7" a="1"/>
  <c r="AD7" i="7" s="1"/>
  <c r="F5" i="9" s="1"/>
  <c r="AF12" i="7" a="1"/>
  <c r="AF12" i="7" s="1"/>
  <c r="AC28" i="7" a="1"/>
  <c r="AC28" i="7" s="1"/>
  <c r="C26" i="9" s="1"/>
  <c r="AB37" i="7" a="1"/>
  <c r="AB37" i="7" s="1"/>
  <c r="AG4" i="7" a="1"/>
  <c r="AG4" i="7" s="1"/>
  <c r="AB19" i="7" a="1"/>
  <c r="AB19" i="7" s="1"/>
  <c r="AE27" i="7" a="1"/>
  <c r="AE27" i="7" s="1"/>
  <c r="AD36" i="7" a="1"/>
  <c r="AD36" i="7" s="1"/>
  <c r="F34" i="9" s="1"/>
  <c r="AA45" i="7" a="1"/>
  <c r="AA45" i="7" s="1"/>
  <c r="AE49" i="7" a="1"/>
  <c r="AE49" i="7" s="1"/>
  <c r="AB55" i="7" a="1"/>
  <c r="AB55" i="7" s="1"/>
  <c r="AG67" i="7" a="1"/>
  <c r="AG67" i="7" s="1"/>
  <c r="AB75" i="7" a="1"/>
  <c r="AB75" i="7" s="1"/>
  <c r="AB85" i="7" a="1"/>
  <c r="AB85" i="7" s="1"/>
  <c r="AE61" i="7" a="1"/>
  <c r="AE61" i="7" s="1"/>
  <c r="AF69" i="7" a="1"/>
  <c r="AF69" i="7" s="1"/>
  <c r="AG79" i="7" a="1"/>
  <c r="AG79" i="7" s="1"/>
  <c r="AB45" i="7" a="1"/>
  <c r="AB45" i="7" s="1"/>
  <c r="AF49" i="7" a="1"/>
  <c r="AF49" i="7" s="1"/>
  <c r="AC55" i="7" a="1"/>
  <c r="AC55" i="7" s="1"/>
  <c r="C53" i="9" s="1"/>
  <c r="AD63" i="7" a="1"/>
  <c r="AD63" i="7" s="1"/>
  <c r="F61" i="9" s="1"/>
  <c r="AE74" i="7" a="1"/>
  <c r="AE74" i="7" s="1"/>
  <c r="AD83" i="7" a="1"/>
  <c r="AD83" i="7" s="1"/>
  <c r="F81" i="9" s="1"/>
  <c r="AE56" i="7" a="1"/>
  <c r="AE56" i="7" s="1"/>
  <c r="AA69" i="7" a="1"/>
  <c r="AA69" i="7" s="1"/>
  <c r="AB78" i="7" a="1"/>
  <c r="AB78" i="7" s="1"/>
  <c r="AD44" i="7" a="1"/>
  <c r="AD44" i="7" s="1"/>
  <c r="F42" i="9" s="1"/>
  <c r="AC49" i="7" a="1"/>
  <c r="AC49" i="7" s="1"/>
  <c r="C47" i="9" s="1"/>
  <c r="AC54" i="7" a="1"/>
  <c r="AC54" i="7" s="1"/>
  <c r="C52" i="9" s="1"/>
  <c r="AF62" i="7" a="1"/>
  <c r="AF62" i="7" s="1"/>
  <c r="AC70" i="7" a="1"/>
  <c r="AC70" i="7" s="1"/>
  <c r="C68" i="9" s="1"/>
  <c r="AB79" i="7" a="1"/>
  <c r="AB79" i="7" s="1"/>
  <c r="AE55" i="7" a="1"/>
  <c r="AE55" i="7" s="1"/>
  <c r="AF63" i="7" a="1"/>
  <c r="AF63" i="7" s="1"/>
  <c r="AD70" i="7" a="1"/>
  <c r="AD70" i="7" s="1"/>
  <c r="F68" i="9" s="1"/>
  <c r="AC79" i="7" a="1"/>
  <c r="AC79" i="7" s="1"/>
  <c r="C77" i="9" s="1"/>
  <c r="AE44" i="7" a="1"/>
  <c r="AE44" i="7" s="1"/>
  <c r="AD49" i="7" a="1"/>
  <c r="AD49" i="7" s="1"/>
  <c r="F47" i="9" s="1"/>
  <c r="AD54" i="7" a="1"/>
  <c r="AD54" i="7" s="1"/>
  <c r="F52" i="9" s="1"/>
  <c r="AB62" i="7" a="1"/>
  <c r="AB62" i="7" s="1"/>
  <c r="AB73" i="7" a="1"/>
  <c r="AB73" i="7" s="1"/>
  <c r="AA82" i="7" a="1"/>
  <c r="AA82" i="7" s="1"/>
  <c r="AD57" i="7" a="1"/>
  <c r="AD57" i="7" s="1"/>
  <c r="F55" i="9" s="1"/>
  <c r="AF64" i="7" a="1"/>
  <c r="AF64" i="7" s="1"/>
  <c r="AB74" i="7" a="1"/>
  <c r="AB74" i="7" s="1"/>
  <c r="AA83" i="7" a="1"/>
  <c r="AA83" i="7" s="1"/>
  <c r="AB99" i="7" a="1"/>
  <c r="AB99" i="7" s="1"/>
  <c r="AA87" i="7" a="1"/>
  <c r="AA87" i="7" s="1"/>
  <c r="AE91" i="7" a="1"/>
  <c r="AE91" i="7" s="1"/>
  <c r="AD96" i="7" a="1"/>
  <c r="AD96" i="7" s="1"/>
  <c r="F94" i="9" s="1"/>
  <c r="AE84" i="7" a="1"/>
  <c r="AE84" i="7" s="1"/>
  <c r="AD89" i="7" a="1"/>
  <c r="AD89" i="7" s="1"/>
  <c r="F87" i="9" s="1"/>
  <c r="AC94" i="7" a="1"/>
  <c r="AC94" i="7" s="1"/>
  <c r="C92" i="9" s="1"/>
  <c r="AG98" i="7" a="1"/>
  <c r="AG98" i="7" s="1"/>
  <c r="AG87" i="7" a="1"/>
  <c r="AG87" i="7" s="1"/>
  <c r="AB92" i="7" a="1"/>
  <c r="AB92" i="7" s="1"/>
  <c r="AF96" i="7" a="1"/>
  <c r="AF96" i="7" s="1"/>
  <c r="X251" i="3"/>
  <c r="AF128" i="6"/>
  <c r="S147" i="3" s="1"/>
  <c r="AI128" i="6"/>
  <c r="V147" i="3" s="1"/>
  <c r="AG128" i="6"/>
  <c r="U147" i="3" s="1"/>
  <c r="AS183" i="6"/>
  <c r="AF308" i="6"/>
  <c r="S327" i="3" s="1"/>
  <c r="AI308" i="6"/>
  <c r="V327" i="3" s="1"/>
  <c r="AG308" i="6"/>
  <c r="X310" i="3"/>
  <c r="AS55" i="6"/>
  <c r="AI89" i="6"/>
  <c r="V108" i="3" s="1"/>
  <c r="AG89" i="6"/>
  <c r="AF89" i="6"/>
  <c r="S108" i="3" s="1"/>
  <c r="X87" i="3"/>
  <c r="AS88" i="6"/>
  <c r="AA37" i="6"/>
  <c r="Z37" i="6"/>
  <c r="O56" i="3"/>
  <c r="AI19" i="6"/>
  <c r="AG19" i="6"/>
  <c r="AF19" i="6"/>
  <c r="AF174" i="6"/>
  <c r="S193" i="3" s="1"/>
  <c r="AI174" i="6"/>
  <c r="V193" i="3" s="1"/>
  <c r="AG174" i="6"/>
  <c r="X225" i="3"/>
  <c r="X266" i="3"/>
  <c r="X166" i="3"/>
  <c r="AI163" i="6"/>
  <c r="V182" i="3" s="1"/>
  <c r="AG163" i="6"/>
  <c r="U182" i="3" s="1"/>
  <c r="AF163" i="6"/>
  <c r="S182" i="3" s="1"/>
  <c r="X230" i="3"/>
  <c r="AS238" i="6"/>
  <c r="AS270" i="6"/>
  <c r="AS302" i="6"/>
  <c r="AF306" i="6"/>
  <c r="S325" i="3" s="1"/>
  <c r="AI306" i="6"/>
  <c r="V325" i="3" s="1"/>
  <c r="AG306" i="6"/>
  <c r="U325" i="3" s="1"/>
  <c r="AS376" i="6"/>
  <c r="AA361" i="6"/>
  <c r="Z361" i="6"/>
  <c r="O380" i="3"/>
  <c r="V353" i="3"/>
  <c r="S353" i="3"/>
  <c r="X353" i="3"/>
  <c r="X370" i="3"/>
  <c r="V370" i="3"/>
  <c r="U370" i="3"/>
  <c r="S370" i="3"/>
  <c r="AI366" i="6"/>
  <c r="V385" i="3" s="1"/>
  <c r="AG366" i="6"/>
  <c r="U385" i="3" s="1"/>
  <c r="AF366" i="6"/>
  <c r="S385" i="3" s="1"/>
  <c r="AS225" i="6"/>
  <c r="X347" i="3"/>
  <c r="AS91" i="6"/>
  <c r="S62" i="3"/>
  <c r="X62" i="3"/>
  <c r="V62" i="3"/>
  <c r="U62" i="3"/>
  <c r="AS20" i="6"/>
  <c r="AF148" i="6"/>
  <c r="AI148" i="6"/>
  <c r="V167" i="3" s="1"/>
  <c r="AG148" i="6"/>
  <c r="X199" i="3"/>
  <c r="AF101" i="6"/>
  <c r="AI101" i="6"/>
  <c r="AG101" i="6"/>
  <c r="AI249" i="6"/>
  <c r="V268" i="3" s="1"/>
  <c r="AF249" i="6"/>
  <c r="S268" i="3" s="1"/>
  <c r="AG249" i="6"/>
  <c r="AA137" i="6"/>
  <c r="Z137" i="6"/>
  <c r="O156" i="3"/>
  <c r="AA201" i="6"/>
  <c r="Z201" i="6"/>
  <c r="O220" i="3"/>
  <c r="X271" i="3"/>
  <c r="AG335" i="6"/>
  <c r="AF335" i="6"/>
  <c r="S354" i="3" s="1"/>
  <c r="AI335" i="6"/>
  <c r="AI388" i="6"/>
  <c r="AG388" i="6"/>
  <c r="AF388" i="6"/>
  <c r="AA324" i="6"/>
  <c r="Z324" i="6"/>
  <c r="O343" i="3"/>
  <c r="AA91" i="6"/>
  <c r="Z91" i="6"/>
  <c r="O110" i="3"/>
  <c r="X343" i="3"/>
  <c r="V343" i="3"/>
  <c r="U343" i="3"/>
  <c r="S343" i="3"/>
  <c r="AG47" i="6"/>
  <c r="AF47" i="6"/>
  <c r="S66" i="3" s="1"/>
  <c r="AI47" i="6"/>
  <c r="V66" i="3" s="1"/>
  <c r="AI12" i="6"/>
  <c r="V31" i="3" s="1"/>
  <c r="AG12" i="6"/>
  <c r="AF12" i="6"/>
  <c r="S31" i="3" s="1"/>
  <c r="S86" i="3"/>
  <c r="X86" i="3"/>
  <c r="V86" i="3"/>
  <c r="U86" i="3"/>
  <c r="AG105" i="6"/>
  <c r="U124" i="3" s="1"/>
  <c r="AF105" i="6"/>
  <c r="AI105" i="6"/>
  <c r="V124" i="3" s="1"/>
  <c r="AS108" i="6"/>
  <c r="AS172" i="6"/>
  <c r="AS204" i="6"/>
  <c r="AF122" i="6"/>
  <c r="AI122" i="6"/>
  <c r="V141" i="3" s="1"/>
  <c r="AG122" i="6"/>
  <c r="X173" i="3"/>
  <c r="X146" i="3"/>
  <c r="AI143" i="6"/>
  <c r="V162" i="3" s="1"/>
  <c r="AG143" i="6"/>
  <c r="AF143" i="6"/>
  <c r="X210" i="3"/>
  <c r="AI207" i="6"/>
  <c r="V226" i="3" s="1"/>
  <c r="AG207" i="6"/>
  <c r="AF207" i="6"/>
  <c r="S226" i="3" s="1"/>
  <c r="AI218" i="6"/>
  <c r="V237" i="3" s="1"/>
  <c r="AG218" i="6"/>
  <c r="U237" i="3" s="1"/>
  <c r="AF218" i="6"/>
  <c r="S237" i="3" s="1"/>
  <c r="V406" i="3"/>
  <c r="U406" i="3"/>
  <c r="S406" i="3"/>
  <c r="X406" i="3"/>
  <c r="V372" i="3"/>
  <c r="S372" i="3"/>
  <c r="X372" i="3"/>
  <c r="X321" i="3"/>
  <c r="AI350" i="6"/>
  <c r="V369" i="3" s="1"/>
  <c r="AG350" i="6"/>
  <c r="AF350" i="6"/>
  <c r="S369" i="3" s="1"/>
  <c r="X412" i="3"/>
  <c r="V412" i="3"/>
  <c r="U412" i="3"/>
  <c r="S412" i="3"/>
  <c r="AS277" i="6"/>
  <c r="AS309" i="6"/>
  <c r="AA363" i="6"/>
  <c r="Z363" i="6"/>
  <c r="O382" i="3"/>
  <c r="X367" i="3"/>
  <c r="V367" i="3"/>
  <c r="S367" i="3"/>
  <c r="X403" i="3"/>
  <c r="AA292" i="6"/>
  <c r="Z292" i="6"/>
  <c r="O311" i="3"/>
  <c r="X246" i="3"/>
  <c r="X163" i="3"/>
  <c r="V281" i="3"/>
  <c r="U281" i="3"/>
  <c r="S281" i="3"/>
  <c r="X281" i="3"/>
  <c r="AI45" i="6"/>
  <c r="V64" i="3" s="1"/>
  <c r="AG45" i="6"/>
  <c r="U64" i="3" s="1"/>
  <c r="AF45" i="6"/>
  <c r="S64" i="3" s="1"/>
  <c r="AA75" i="6"/>
  <c r="Z75" i="6"/>
  <c r="O94" i="3"/>
  <c r="AA57" i="6"/>
  <c r="Z57" i="6"/>
  <c r="O76" i="3"/>
  <c r="AG36" i="6"/>
  <c r="AF36" i="6"/>
  <c r="S55" i="3" s="1"/>
  <c r="AI36" i="6"/>
  <c r="V55" i="3" s="1"/>
  <c r="AG109" i="6"/>
  <c r="AI109" i="6"/>
  <c r="V128" i="3" s="1"/>
  <c r="AF109" i="6"/>
  <c r="S128" i="3" s="1"/>
  <c r="X88" i="3"/>
  <c r="AI24" i="6"/>
  <c r="V43" i="3" s="1"/>
  <c r="AG24" i="6"/>
  <c r="U43" i="3" s="1"/>
  <c r="AF24" i="6"/>
  <c r="S43" i="3" s="1"/>
  <c r="AG230" i="6"/>
  <c r="U249" i="3" s="1"/>
  <c r="AI230" i="6"/>
  <c r="V249" i="3" s="1"/>
  <c r="AF230" i="6"/>
  <c r="AF150" i="6"/>
  <c r="AI150" i="6"/>
  <c r="V169" i="3" s="1"/>
  <c r="AG150" i="6"/>
  <c r="X201" i="3"/>
  <c r="AG222" i="6"/>
  <c r="AF222" i="6"/>
  <c r="S241" i="3" s="1"/>
  <c r="AI222" i="6"/>
  <c r="V241" i="3" s="1"/>
  <c r="AA123" i="6"/>
  <c r="Z123" i="6"/>
  <c r="O142" i="3"/>
  <c r="AA187" i="6"/>
  <c r="Z187" i="6"/>
  <c r="O206" i="3"/>
  <c r="AA349" i="6"/>
  <c r="Z349" i="6"/>
  <c r="O368" i="3"/>
  <c r="AS232" i="6"/>
  <c r="AS264" i="6"/>
  <c r="AS296" i="6"/>
  <c r="X263" i="3"/>
  <c r="V263" i="3"/>
  <c r="U263" i="3"/>
  <c r="S263" i="3"/>
  <c r="AF282" i="6"/>
  <c r="S301" i="3" s="1"/>
  <c r="AI282" i="6"/>
  <c r="V301" i="3" s="1"/>
  <c r="AG282" i="6"/>
  <c r="U301" i="3" s="1"/>
  <c r="X333" i="3"/>
  <c r="V333" i="3"/>
  <c r="U333" i="3"/>
  <c r="S333" i="3"/>
  <c r="AG319" i="6"/>
  <c r="U338" i="3" s="1"/>
  <c r="AF319" i="6"/>
  <c r="S338" i="3" s="1"/>
  <c r="AI319" i="6"/>
  <c r="V338" i="3" s="1"/>
  <c r="AS87" i="6"/>
  <c r="AF90" i="6"/>
  <c r="S109" i="3" s="1"/>
  <c r="AI90" i="6"/>
  <c r="V109" i="3" s="1"/>
  <c r="AG90" i="6"/>
  <c r="U109" i="3" s="1"/>
  <c r="AI69" i="6"/>
  <c r="V88" i="3" s="1"/>
  <c r="AG69" i="6"/>
  <c r="U88" i="3" s="1"/>
  <c r="AF69" i="6"/>
  <c r="S88" i="3" s="1"/>
  <c r="X249" i="3"/>
  <c r="AF182" i="6"/>
  <c r="S201" i="3" s="1"/>
  <c r="AI182" i="6"/>
  <c r="V201" i="3" s="1"/>
  <c r="AG182" i="6"/>
  <c r="U201" i="3" s="1"/>
  <c r="AS240" i="6"/>
  <c r="AS61" i="6"/>
  <c r="AG95" i="6"/>
  <c r="AF95" i="6"/>
  <c r="S114" i="3" s="1"/>
  <c r="AI95" i="6"/>
  <c r="V114" i="3" s="1"/>
  <c r="AS99" i="6"/>
  <c r="AI51" i="6"/>
  <c r="V70" i="3" s="1"/>
  <c r="AG51" i="6"/>
  <c r="AF51" i="6"/>
  <c r="S70" i="3" s="1"/>
  <c r="AI62" i="6"/>
  <c r="V81" i="3" s="1"/>
  <c r="AG62" i="6"/>
  <c r="AF62" i="6"/>
  <c r="S81" i="3" s="1"/>
  <c r="AF134" i="6"/>
  <c r="AI134" i="6"/>
  <c r="V153" i="3" s="1"/>
  <c r="AG134" i="6"/>
  <c r="X185" i="3"/>
  <c r="X286" i="3"/>
  <c r="AI253" i="6"/>
  <c r="V272" i="3" s="1"/>
  <c r="AF253" i="6"/>
  <c r="S272" i="3" s="1"/>
  <c r="AG253" i="6"/>
  <c r="X158" i="3"/>
  <c r="AI155" i="6"/>
  <c r="V174" i="3" s="1"/>
  <c r="AG155" i="6"/>
  <c r="AF155" i="6"/>
  <c r="S174" i="3" s="1"/>
  <c r="X222" i="3"/>
  <c r="X252" i="3"/>
  <c r="AI349" i="6"/>
  <c r="V368" i="3" s="1"/>
  <c r="AG349" i="6"/>
  <c r="AF349" i="6"/>
  <c r="AS244" i="6"/>
  <c r="AS276" i="6"/>
  <c r="AS308" i="6"/>
  <c r="AA244" i="6"/>
  <c r="Z244" i="6"/>
  <c r="O263" i="3"/>
  <c r="X317" i="3"/>
  <c r="V317" i="3"/>
  <c r="U317" i="3"/>
  <c r="AG338" i="6"/>
  <c r="U357" i="3" s="1"/>
  <c r="AI338" i="6"/>
  <c r="V357" i="3" s="1"/>
  <c r="AF338" i="6"/>
  <c r="X338" i="3"/>
  <c r="X337" i="3"/>
  <c r="S400" i="3"/>
  <c r="X400" i="3"/>
  <c r="V400" i="3"/>
  <c r="AI368" i="6"/>
  <c r="V387" i="3" s="1"/>
  <c r="AG368" i="6"/>
  <c r="AF368" i="6"/>
  <c r="S387" i="3" s="1"/>
  <c r="AS59" i="6"/>
  <c r="AI17" i="6"/>
  <c r="V36" i="3" s="1"/>
  <c r="AG17" i="6"/>
  <c r="U36" i="3" s="1"/>
  <c r="AF17" i="6"/>
  <c r="S36" i="3" s="1"/>
  <c r="AI86" i="6"/>
  <c r="V105" i="3" s="1"/>
  <c r="AG86" i="6"/>
  <c r="AF86" i="6"/>
  <c r="S105" i="3" s="1"/>
  <c r="AG102" i="6"/>
  <c r="AF102" i="6"/>
  <c r="S121" i="3" s="1"/>
  <c r="AI102" i="6"/>
  <c r="V121" i="3" s="1"/>
  <c r="AF140" i="6"/>
  <c r="S159" i="3" s="1"/>
  <c r="AI140" i="6"/>
  <c r="V159" i="3" s="1"/>
  <c r="AG140" i="6"/>
  <c r="V191" i="3"/>
  <c r="U191" i="3"/>
  <c r="X191" i="3"/>
  <c r="Z228" i="6"/>
  <c r="AA228" i="6"/>
  <c r="O247" i="3"/>
  <c r="V132" i="3"/>
  <c r="S132" i="3"/>
  <c r="X132" i="3"/>
  <c r="AI129" i="6"/>
  <c r="V148" i="3" s="1"/>
  <c r="AG129" i="6"/>
  <c r="U148" i="3" s="1"/>
  <c r="AF129" i="6"/>
  <c r="S148" i="3" s="1"/>
  <c r="U196" i="3"/>
  <c r="S196" i="3"/>
  <c r="X196" i="3"/>
  <c r="AI193" i="6"/>
  <c r="V212" i="3" s="1"/>
  <c r="AG193" i="6"/>
  <c r="AF193" i="6"/>
  <c r="S212" i="3" s="1"/>
  <c r="AI385" i="6"/>
  <c r="V404" i="3" s="1"/>
  <c r="AF385" i="6"/>
  <c r="AG385" i="6"/>
  <c r="AI240" i="6"/>
  <c r="V259" i="3" s="1"/>
  <c r="AG240" i="6"/>
  <c r="U259" i="3" s="1"/>
  <c r="AF240" i="6"/>
  <c r="S259" i="3" s="1"/>
  <c r="S291" i="3"/>
  <c r="X291" i="3"/>
  <c r="V291" i="3"/>
  <c r="U291" i="3"/>
  <c r="AA377" i="6"/>
  <c r="Z377" i="6"/>
  <c r="O396" i="3"/>
  <c r="AI390" i="6"/>
  <c r="V409" i="3" s="1"/>
  <c r="AG390" i="6"/>
  <c r="U409" i="3" s="1"/>
  <c r="AF390" i="6"/>
  <c r="AA79" i="6"/>
  <c r="Z79" i="6"/>
  <c r="O98" i="3"/>
  <c r="X93" i="3"/>
  <c r="AS83" i="6"/>
  <c r="AA35" i="6"/>
  <c r="Z35" i="6"/>
  <c r="O54" i="3"/>
  <c r="AI46" i="6"/>
  <c r="V65" i="3" s="1"/>
  <c r="AG46" i="6"/>
  <c r="U65" i="3" s="1"/>
  <c r="AF46" i="6"/>
  <c r="S65" i="3" s="1"/>
  <c r="AS146" i="6"/>
  <c r="AS178" i="6"/>
  <c r="AS210" i="6"/>
  <c r="AF210" i="6"/>
  <c r="S229" i="3" s="1"/>
  <c r="AI210" i="6"/>
  <c r="V229" i="3" s="1"/>
  <c r="AG210" i="6"/>
  <c r="X170" i="3"/>
  <c r="AI167" i="6"/>
  <c r="V186" i="3" s="1"/>
  <c r="AG167" i="6"/>
  <c r="U186" i="3" s="1"/>
  <c r="AF167" i="6"/>
  <c r="S186" i="3" s="1"/>
  <c r="X234" i="3"/>
  <c r="AS321" i="6"/>
  <c r="X365" i="3"/>
  <c r="V365" i="3"/>
  <c r="U365" i="3"/>
  <c r="S365" i="3"/>
  <c r="AG236" i="6"/>
  <c r="U255" i="3" s="1"/>
  <c r="AI236" i="6"/>
  <c r="V255" i="3" s="1"/>
  <c r="AF236" i="6"/>
  <c r="S255" i="3" s="1"/>
  <c r="AI250" i="6"/>
  <c r="V269" i="3" s="1"/>
  <c r="AG250" i="6"/>
  <c r="U269" i="3" s="1"/>
  <c r="AF250" i="6"/>
  <c r="S269" i="3" s="1"/>
  <c r="U366" i="3"/>
  <c r="S366" i="3"/>
  <c r="X366" i="3"/>
  <c r="V366" i="3"/>
  <c r="AS255" i="6"/>
  <c r="AS328" i="6"/>
  <c r="AA259" i="6"/>
  <c r="Z259" i="6"/>
  <c r="O278" i="3"/>
  <c r="AF160" i="6"/>
  <c r="S179" i="3" s="1"/>
  <c r="AI160" i="6"/>
  <c r="V179" i="3" s="1"/>
  <c r="AG160" i="6"/>
  <c r="Z224" i="6"/>
  <c r="AA224" i="6"/>
  <c r="O243" i="3"/>
  <c r="AS351" i="6"/>
  <c r="AI380" i="6"/>
  <c r="V399" i="3" s="1"/>
  <c r="AG380" i="6"/>
  <c r="AF380" i="6"/>
  <c r="AI77" i="6"/>
  <c r="V96" i="3" s="1"/>
  <c r="AG77" i="6"/>
  <c r="AF77" i="6"/>
  <c r="S96" i="3" s="1"/>
  <c r="X51" i="3"/>
  <c r="AF136" i="6"/>
  <c r="S155" i="3" s="1"/>
  <c r="AI136" i="6"/>
  <c r="V155" i="3" s="1"/>
  <c r="AG136" i="6"/>
  <c r="X187" i="3"/>
  <c r="AS113" i="6"/>
  <c r="AS145" i="6"/>
  <c r="AS177" i="6"/>
  <c r="AS209" i="6"/>
  <c r="AA125" i="6"/>
  <c r="Z125" i="6"/>
  <c r="O144" i="3"/>
  <c r="AA189" i="6"/>
  <c r="Z189" i="6"/>
  <c r="O208" i="3"/>
  <c r="AI264" i="6"/>
  <c r="V283" i="3" s="1"/>
  <c r="AG264" i="6"/>
  <c r="U283" i="3" s="1"/>
  <c r="AF264" i="6"/>
  <c r="S283" i="3" s="1"/>
  <c r="X319" i="3"/>
  <c r="AG320" i="6"/>
  <c r="U339" i="3" s="1"/>
  <c r="AF320" i="6"/>
  <c r="S339" i="3" s="1"/>
  <c r="AI320" i="6"/>
  <c r="V339" i="3" s="1"/>
  <c r="AI379" i="6"/>
  <c r="AF379" i="6"/>
  <c r="AG379" i="6"/>
  <c r="AS383" i="6"/>
  <c r="X318" i="3"/>
  <c r="AI315" i="6"/>
  <c r="V334" i="3" s="1"/>
  <c r="AG315" i="6"/>
  <c r="U334" i="3" s="1"/>
  <c r="AF315" i="6"/>
  <c r="S334" i="3" s="1"/>
  <c r="X375" i="3"/>
  <c r="AC6" i="7" a="1"/>
  <c r="AC6" i="7" s="1"/>
  <c r="C4" i="9" s="1"/>
  <c r="AE9" i="7" a="1"/>
  <c r="AE9" i="7" s="1"/>
  <c r="AF13" i="7" a="1"/>
  <c r="AF13" i="7" s="1"/>
  <c r="AC24" i="7" a="1"/>
  <c r="AC24" i="7" s="1"/>
  <c r="C22" i="9" s="1"/>
  <c r="AA32" i="7" a="1"/>
  <c r="AA32" i="7" s="1"/>
  <c r="AG42" i="7" a="1"/>
  <c r="AG42" i="7" s="1"/>
  <c r="AF17" i="7" a="1"/>
  <c r="AF17" i="7" s="1"/>
  <c r="AB23" i="7" a="1"/>
  <c r="AB23" i="7" s="1"/>
  <c r="AB32" i="7" a="1"/>
  <c r="AB32" i="7" s="1"/>
  <c r="AA41" i="7" a="1"/>
  <c r="AA41" i="7" s="1"/>
  <c r="AF9" i="7" a="1"/>
  <c r="AF9" i="7" s="1"/>
  <c r="AF14" i="7" a="1"/>
  <c r="AF14" i="7" s="1"/>
  <c r="AG28" i="7" a="1"/>
  <c r="AG28" i="7" s="1"/>
  <c r="AF37" i="7" a="1"/>
  <c r="AF37" i="7" s="1"/>
  <c r="AA15" i="7" a="1"/>
  <c r="AA15" i="7" s="1"/>
  <c r="AD20" i="7" a="1"/>
  <c r="AD20" i="7" s="1"/>
  <c r="F18" i="9" s="1"/>
  <c r="AF30" i="7" a="1"/>
  <c r="AF30" i="7" s="1"/>
  <c r="AE39" i="7" a="1"/>
  <c r="AE39" i="7" s="1"/>
  <c r="AE6" i="7" a="1"/>
  <c r="AE6" i="7" s="1"/>
  <c r="AE10" i="7" a="1"/>
  <c r="AE10" i="7" s="1"/>
  <c r="AB22" i="7" a="1"/>
  <c r="AB22" i="7" s="1"/>
  <c r="AF31" i="7" a="1"/>
  <c r="AF31" i="7" s="1"/>
  <c r="AE40" i="7" a="1"/>
  <c r="AE40" i="7" s="1"/>
  <c r="AD17" i="7" a="1"/>
  <c r="AD17" i="7" s="1"/>
  <c r="F15" i="9" s="1"/>
  <c r="AE23" i="7" a="1"/>
  <c r="AE23" i="7" s="1"/>
  <c r="AG31" i="7" a="1"/>
  <c r="AG31" i="7" s="1"/>
  <c r="AF40" i="7" a="1"/>
  <c r="AF40" i="7" s="1"/>
  <c r="AB8" i="7" a="1"/>
  <c r="AB8" i="7" s="1"/>
  <c r="AA13" i="7" a="1"/>
  <c r="AA13" i="7" s="1"/>
  <c r="AB29" i="7" a="1"/>
  <c r="AB29" i="7" s="1"/>
  <c r="AA38" i="7" a="1"/>
  <c r="AA38" i="7" s="1"/>
  <c r="AC15" i="7" a="1"/>
  <c r="AC15" i="7" s="1"/>
  <c r="C13" i="9" s="1"/>
  <c r="AG19" i="7" a="1"/>
  <c r="AG19" i="7" s="1"/>
  <c r="AD28" i="7" a="1"/>
  <c r="AD28" i="7" s="1"/>
  <c r="F26" i="9" s="1"/>
  <c r="AC37" i="7" a="1"/>
  <c r="AC37" i="7" s="1"/>
  <c r="C35" i="9" s="1"/>
  <c r="AE45" i="7" a="1"/>
  <c r="AE45" i="7" s="1"/>
  <c r="AD50" i="7" a="1"/>
  <c r="AD50" i="7" s="1"/>
  <c r="F48" i="9" s="1"/>
  <c r="AF58" i="7" a="1"/>
  <c r="AF58" i="7" s="1"/>
  <c r="AC68" i="7" a="1"/>
  <c r="AC68" i="7" s="1"/>
  <c r="C66" i="9" s="1"/>
  <c r="AA76" i="7" a="1"/>
  <c r="AA76" i="7" s="1"/>
  <c r="AG96" i="7" a="1"/>
  <c r="AG96" i="7" s="1"/>
  <c r="AD62" i="7" a="1"/>
  <c r="AD62" i="7" s="1"/>
  <c r="F60" i="9" s="1"/>
  <c r="AG71" i="7" a="1"/>
  <c r="AG71" i="7" s="1"/>
  <c r="AF80" i="7" a="1"/>
  <c r="AF80" i="7" s="1"/>
  <c r="AF45" i="7" a="1"/>
  <c r="AF45" i="7" s="1"/>
  <c r="AA50" i="7" a="1"/>
  <c r="AA50" i="7" s="1"/>
  <c r="AA57" i="7" a="1"/>
  <c r="AA57" i="7" s="1"/>
  <c r="AC64" i="7" a="1"/>
  <c r="AC64" i="7" s="1"/>
  <c r="C62" i="9" s="1"/>
  <c r="AD75" i="7" a="1"/>
  <c r="AD75" i="7" s="1"/>
  <c r="F73" i="9" s="1"/>
  <c r="AF89" i="7" a="1"/>
  <c r="AF89" i="7" s="1"/>
  <c r="AB57" i="7" a="1"/>
  <c r="AB57" i="7" s="1"/>
  <c r="AB70" i="7" a="1"/>
  <c r="AB70" i="7" s="1"/>
  <c r="AA79" i="7" a="1"/>
  <c r="AA79" i="7" s="1"/>
  <c r="AC45" i="7" a="1"/>
  <c r="AC45" i="7" s="1"/>
  <c r="C43" i="9" s="1"/>
  <c r="AG49" i="7" a="1"/>
  <c r="AG49" i="7" s="1"/>
  <c r="AA56" i="7" a="1"/>
  <c r="AA56" i="7" s="1"/>
  <c r="AE63" i="7" a="1"/>
  <c r="AE63" i="7" s="1"/>
  <c r="AB71" i="7" a="1"/>
  <c r="AB71" i="7" s="1"/>
  <c r="AA80" i="7" a="1"/>
  <c r="AA80" i="7" s="1"/>
  <c r="AF56" i="7" a="1"/>
  <c r="AF56" i="7" s="1"/>
  <c r="AE64" i="7" a="1"/>
  <c r="AE64" i="7" s="1"/>
  <c r="AC71" i="7" a="1"/>
  <c r="AC71" i="7" s="1"/>
  <c r="C69" i="9" s="1"/>
  <c r="AB80" i="7" a="1"/>
  <c r="AB80" i="7" s="1"/>
  <c r="AD45" i="7" a="1"/>
  <c r="AD45" i="7" s="1"/>
  <c r="F43" i="9" s="1"/>
  <c r="AC50" i="7" a="1"/>
  <c r="AC50" i="7" s="1"/>
  <c r="C48" i="9" s="1"/>
  <c r="AA55" i="7" a="1"/>
  <c r="AA55" i="7" s="1"/>
  <c r="AA63" i="7" a="1"/>
  <c r="AA63" i="7" s="1"/>
  <c r="AA74" i="7" a="1"/>
  <c r="AA74" i="7" s="1"/>
  <c r="AG88" i="7" a="1"/>
  <c r="AG88" i="7" s="1"/>
  <c r="AA58" i="7" a="1"/>
  <c r="AA58" i="7" s="1"/>
  <c r="AB65" i="7" a="1"/>
  <c r="AB65" i="7" s="1"/>
  <c r="AA75" i="7" a="1"/>
  <c r="AA75" i="7" s="1"/>
  <c r="AG92" i="7" a="1"/>
  <c r="AG92" i="7" s="1"/>
  <c r="AF99" i="7" a="1"/>
  <c r="AF99" i="7" s="1"/>
  <c r="AE87" i="7" a="1"/>
  <c r="AE87" i="7" s="1"/>
  <c r="AD92" i="7" a="1"/>
  <c r="AD92" i="7" s="1"/>
  <c r="F90" i="9" s="1"/>
  <c r="AC97" i="7" a="1"/>
  <c r="AC97" i="7" s="1"/>
  <c r="C95" i="9" s="1"/>
  <c r="AD85" i="7" a="1"/>
  <c r="AD85" i="7" s="1"/>
  <c r="F83" i="9" s="1"/>
  <c r="AC90" i="7" a="1"/>
  <c r="AC90" i="7" s="1"/>
  <c r="C88" i="9" s="1"/>
  <c r="AG94" i="7" a="1"/>
  <c r="AG94" i="7" s="1"/>
  <c r="AD99" i="7" a="1"/>
  <c r="AD99" i="7" s="1"/>
  <c r="F97" i="9" s="1"/>
  <c r="AB88" i="7" a="1"/>
  <c r="AB88" i="7" s="1"/>
  <c r="AF92" i="7" a="1"/>
  <c r="AF92" i="7" s="1"/>
  <c r="AA97" i="7" a="1"/>
  <c r="AA97" i="7" s="1"/>
  <c r="AA89" i="6"/>
  <c r="Z89" i="6"/>
  <c r="O108" i="3"/>
  <c r="AS22" i="6"/>
  <c r="AI56" i="6"/>
  <c r="V75" i="3" s="1"/>
  <c r="AG56" i="6"/>
  <c r="AF56" i="6"/>
  <c r="AA19" i="6"/>
  <c r="Z19" i="6"/>
  <c r="O38" i="3"/>
  <c r="AF126" i="6"/>
  <c r="AI126" i="6"/>
  <c r="V145" i="3" s="1"/>
  <c r="AG126" i="6"/>
  <c r="X177" i="3"/>
  <c r="AI229" i="6"/>
  <c r="V248" i="3" s="1"/>
  <c r="AG229" i="6"/>
  <c r="AF229" i="6"/>
  <c r="S248" i="3" s="1"/>
  <c r="AA163" i="6"/>
  <c r="Z163" i="6"/>
  <c r="O182" i="3"/>
  <c r="AI369" i="6"/>
  <c r="AF369" i="6"/>
  <c r="AG369" i="6"/>
  <c r="U388" i="3" s="1"/>
  <c r="AS242" i="6"/>
  <c r="AS274" i="6"/>
  <c r="AS306" i="6"/>
  <c r="AI323" i="6"/>
  <c r="V342" i="3" s="1"/>
  <c r="AG323" i="6"/>
  <c r="AF323" i="6"/>
  <c r="S342" i="3" s="1"/>
  <c r="AG340" i="6"/>
  <c r="AI340" i="6"/>
  <c r="V359" i="3" s="1"/>
  <c r="AF340" i="6"/>
  <c r="S408" i="3"/>
  <c r="X408" i="3"/>
  <c r="V408" i="3"/>
  <c r="U408" i="3"/>
  <c r="X309" i="3"/>
  <c r="AS317" i="6"/>
  <c r="AS379" i="6"/>
  <c r="X308" i="3"/>
  <c r="AI305" i="6"/>
  <c r="V324" i="3" s="1"/>
  <c r="AG305" i="6"/>
  <c r="AF305" i="6"/>
  <c r="S324" i="3" s="1"/>
  <c r="V348" i="3"/>
  <c r="S348" i="3"/>
  <c r="X348" i="3"/>
  <c r="AF192" i="6"/>
  <c r="AI192" i="6"/>
  <c r="V211" i="3" s="1"/>
  <c r="AG192" i="6"/>
  <c r="AS349" i="6"/>
  <c r="X47" i="3"/>
  <c r="AS46" i="6"/>
  <c r="AI80" i="6"/>
  <c r="V99" i="3" s="1"/>
  <c r="AG80" i="6"/>
  <c r="U99" i="3" s="1"/>
  <c r="AF80" i="6"/>
  <c r="S99" i="3" s="1"/>
  <c r="AS73" i="6"/>
  <c r="AI265" i="6"/>
  <c r="V284" i="3" s="1"/>
  <c r="AF265" i="6"/>
  <c r="S284" i="3" s="1"/>
  <c r="AG265" i="6"/>
  <c r="U284" i="3" s="1"/>
  <c r="AI255" i="6"/>
  <c r="V274" i="3" s="1"/>
  <c r="AF255" i="6"/>
  <c r="S274" i="3" s="1"/>
  <c r="AG255" i="6"/>
  <c r="AS229" i="6"/>
  <c r="X151" i="3"/>
  <c r="X120" i="3"/>
  <c r="V120" i="3"/>
  <c r="U120" i="3"/>
  <c r="S120" i="3"/>
  <c r="AS219" i="6"/>
  <c r="AI121" i="6"/>
  <c r="V140" i="3" s="1"/>
  <c r="AG121" i="6"/>
  <c r="U140" i="3" s="1"/>
  <c r="AF121" i="6"/>
  <c r="S140" i="3" s="1"/>
  <c r="X188" i="3"/>
  <c r="AI185" i="6"/>
  <c r="V204" i="3" s="1"/>
  <c r="AG185" i="6"/>
  <c r="U204" i="3" s="1"/>
  <c r="AF185" i="6"/>
  <c r="S204" i="3" s="1"/>
  <c r="AI256" i="6"/>
  <c r="V275" i="3" s="1"/>
  <c r="AG256" i="6"/>
  <c r="AF256" i="6"/>
  <c r="S275" i="3" s="1"/>
  <c r="AF296" i="6"/>
  <c r="S315" i="3" s="1"/>
  <c r="AI296" i="6"/>
  <c r="V315" i="3" s="1"/>
  <c r="AG296" i="6"/>
  <c r="AG337" i="6"/>
  <c r="AF337" i="6"/>
  <c r="AI337" i="6"/>
  <c r="AF317" i="6"/>
  <c r="AI317" i="6"/>
  <c r="V336" i="3" s="1"/>
  <c r="AG317" i="6"/>
  <c r="AI279" i="6"/>
  <c r="V298" i="3" s="1"/>
  <c r="AG279" i="6"/>
  <c r="U298" i="3" s="1"/>
  <c r="AF279" i="6"/>
  <c r="S298" i="3" s="1"/>
  <c r="AF355" i="6"/>
  <c r="S374" i="3" s="1"/>
  <c r="AI355" i="6"/>
  <c r="V374" i="3" s="1"/>
  <c r="AG355" i="6"/>
  <c r="X381" i="3"/>
  <c r="X407" i="3"/>
  <c r="V407" i="3"/>
  <c r="U407" i="3"/>
  <c r="S407" i="3"/>
  <c r="AA223" i="6"/>
  <c r="Z223" i="6"/>
  <c r="O242" i="3"/>
  <c r="X227" i="3"/>
  <c r="AI117" i="6"/>
  <c r="V136" i="3" s="1"/>
  <c r="AG117" i="6"/>
  <c r="AF117" i="6"/>
  <c r="S136" i="3" s="1"/>
  <c r="X326" i="3"/>
  <c r="X32" i="3"/>
  <c r="AA47" i="6"/>
  <c r="Z47" i="6"/>
  <c r="O66" i="3"/>
  <c r="AI21" i="6"/>
  <c r="V40" i="3" s="1"/>
  <c r="AG21" i="6"/>
  <c r="AF21" i="6"/>
  <c r="S40" i="3" s="1"/>
  <c r="X104" i="3"/>
  <c r="AS17" i="6"/>
  <c r="AI40" i="6"/>
  <c r="V59" i="3" s="1"/>
  <c r="AG40" i="6"/>
  <c r="AF40" i="6"/>
  <c r="AS97" i="6"/>
  <c r="AI78" i="6"/>
  <c r="V97" i="3" s="1"/>
  <c r="AG78" i="6"/>
  <c r="AF78" i="6"/>
  <c r="S97" i="3" s="1"/>
  <c r="AS227" i="6"/>
  <c r="AS112" i="6"/>
  <c r="AS144" i="6"/>
  <c r="AS176" i="6"/>
  <c r="AS208" i="6"/>
  <c r="AF202" i="6"/>
  <c r="S221" i="3" s="1"/>
  <c r="AI202" i="6"/>
  <c r="V221" i="3" s="1"/>
  <c r="AG202" i="6"/>
  <c r="AI273" i="6"/>
  <c r="V292" i="3" s="1"/>
  <c r="AF273" i="6"/>
  <c r="AG273" i="6"/>
  <c r="U292" i="3" s="1"/>
  <c r="AA143" i="6"/>
  <c r="Z143" i="6"/>
  <c r="O162" i="3"/>
  <c r="AA207" i="6"/>
  <c r="Z207" i="6"/>
  <c r="O226" i="3"/>
  <c r="AS340" i="6"/>
  <c r="AA387" i="6"/>
  <c r="Z387" i="6"/>
  <c r="O406" i="3"/>
  <c r="AS377" i="6"/>
  <c r="AA393" i="6"/>
  <c r="Z393" i="6"/>
  <c r="O412" i="3"/>
  <c r="AS281" i="6"/>
  <c r="AS381" i="6"/>
  <c r="AI342" i="6"/>
  <c r="AG342" i="6"/>
  <c r="U361" i="3" s="1"/>
  <c r="AF342" i="6"/>
  <c r="X184" i="3"/>
  <c r="AI213" i="6"/>
  <c r="V232" i="3" s="1"/>
  <c r="AG213" i="6"/>
  <c r="AF213" i="6"/>
  <c r="S232" i="3" s="1"/>
  <c r="AA262" i="6"/>
  <c r="Z262" i="6"/>
  <c r="O281" i="3"/>
  <c r="AF292" i="6"/>
  <c r="S311" i="3" s="1"/>
  <c r="AI292" i="6"/>
  <c r="V311" i="3" s="1"/>
  <c r="AG292" i="6"/>
  <c r="X95" i="3"/>
  <c r="A4" i="7" a="1"/>
  <c r="A4" i="7" s="1"/>
  <c r="C12" i="5" s="1"/>
  <c r="X130" i="3"/>
  <c r="V130" i="3"/>
  <c r="U130" i="3"/>
  <c r="S130" i="3"/>
  <c r="AF166" i="6"/>
  <c r="S185" i="3" s="1"/>
  <c r="AI166" i="6"/>
  <c r="V185" i="3" s="1"/>
  <c r="AG166" i="6"/>
  <c r="V217" i="3"/>
  <c r="U217" i="3"/>
  <c r="S217" i="3"/>
  <c r="X217" i="3"/>
  <c r="AI267" i="6"/>
  <c r="V286" i="3" s="1"/>
  <c r="AF267" i="6"/>
  <c r="S286" i="3" s="1"/>
  <c r="AG267" i="6"/>
  <c r="S142" i="3"/>
  <c r="X142" i="3"/>
  <c r="V142" i="3"/>
  <c r="U142" i="3"/>
  <c r="AI139" i="6"/>
  <c r="V158" i="3" s="1"/>
  <c r="AG139" i="6"/>
  <c r="AF139" i="6"/>
  <c r="S158" i="3" s="1"/>
  <c r="U206" i="3"/>
  <c r="S206" i="3"/>
  <c r="X206" i="3"/>
  <c r="V206" i="3"/>
  <c r="AI203" i="6"/>
  <c r="V222" i="3" s="1"/>
  <c r="AG203" i="6"/>
  <c r="U222" i="3" s="1"/>
  <c r="AF203" i="6"/>
  <c r="S222" i="3" s="1"/>
  <c r="AI233" i="6"/>
  <c r="V252" i="3" s="1"/>
  <c r="AG233" i="6"/>
  <c r="AF233" i="6"/>
  <c r="S368" i="3"/>
  <c r="X368" i="3"/>
  <c r="U368" i="3"/>
  <c r="AA95" i="6"/>
  <c r="Z95" i="6"/>
  <c r="O114" i="3"/>
  <c r="Z109" i="6"/>
  <c r="AA109" i="6"/>
  <c r="O128" i="3"/>
  <c r="AA51" i="6"/>
  <c r="Z51" i="6"/>
  <c r="O70" i="3"/>
  <c r="AS28" i="6"/>
  <c r="AS222" i="6"/>
  <c r="U137" i="3"/>
  <c r="S137" i="3"/>
  <c r="X137" i="3"/>
  <c r="V137" i="3"/>
  <c r="AF214" i="6"/>
  <c r="S233" i="3" s="1"/>
  <c r="AI214" i="6"/>
  <c r="V233" i="3" s="1"/>
  <c r="AG214" i="6"/>
  <c r="X282" i="3"/>
  <c r="V282" i="3"/>
  <c r="U282" i="3"/>
  <c r="S282" i="3"/>
  <c r="AA155" i="6"/>
  <c r="Z155" i="6"/>
  <c r="O174" i="3"/>
  <c r="V244" i="3"/>
  <c r="U244" i="3"/>
  <c r="S244" i="3"/>
  <c r="X244" i="3"/>
  <c r="AS248" i="6"/>
  <c r="AS280" i="6"/>
  <c r="AS312" i="6"/>
  <c r="X357" i="3"/>
  <c r="S357" i="3"/>
  <c r="X410" i="3"/>
  <c r="V410" i="3"/>
  <c r="U410" i="3"/>
  <c r="S410" i="3"/>
  <c r="AA381" i="6"/>
  <c r="Z381" i="6"/>
  <c r="O400" i="3"/>
  <c r="V316" i="3"/>
  <c r="U316" i="3"/>
  <c r="S316" i="3"/>
  <c r="X316" i="3"/>
  <c r="AI313" i="6"/>
  <c r="V332" i="3" s="1"/>
  <c r="AG313" i="6"/>
  <c r="AF313" i="6"/>
  <c r="S332" i="3" s="1"/>
  <c r="AA368" i="6"/>
  <c r="Z368" i="6"/>
  <c r="O387" i="3"/>
  <c r="AS26" i="6"/>
  <c r="AG60" i="6"/>
  <c r="U79" i="3" s="1"/>
  <c r="AF60" i="6"/>
  <c r="S79" i="3" s="1"/>
  <c r="AI60" i="6"/>
  <c r="V79" i="3" s="1"/>
  <c r="X74" i="3"/>
  <c r="V74" i="3"/>
  <c r="U74" i="3"/>
  <c r="S74" i="3"/>
  <c r="AI93" i="6"/>
  <c r="V112" i="3" s="1"/>
  <c r="AG93" i="6"/>
  <c r="U112" i="3" s="1"/>
  <c r="AF93" i="6"/>
  <c r="S112" i="3" s="1"/>
  <c r="AI75" i="6"/>
  <c r="V94" i="3" s="1"/>
  <c r="AG75" i="6"/>
  <c r="AF75" i="6"/>
  <c r="S94" i="3" s="1"/>
  <c r="AS52" i="6"/>
  <c r="V143" i="3"/>
  <c r="U143" i="3"/>
  <c r="S143" i="3"/>
  <c r="X143" i="3"/>
  <c r="AA129" i="6"/>
  <c r="Z129" i="6"/>
  <c r="O148" i="3"/>
  <c r="AA193" i="6"/>
  <c r="Z193" i="6"/>
  <c r="O212" i="3"/>
  <c r="X404" i="3"/>
  <c r="U404" i="3"/>
  <c r="S404" i="3"/>
  <c r="V390" i="3"/>
  <c r="S390" i="3"/>
  <c r="X390" i="3"/>
  <c r="AI339" i="6"/>
  <c r="V358" i="3" s="1"/>
  <c r="AG339" i="6"/>
  <c r="U358" i="3" s="1"/>
  <c r="AF339" i="6"/>
  <c r="AI254" i="6"/>
  <c r="V273" i="3" s="1"/>
  <c r="AG254" i="6"/>
  <c r="U273" i="3" s="1"/>
  <c r="AF254" i="6"/>
  <c r="S273" i="3" s="1"/>
  <c r="AA272" i="6"/>
  <c r="Z272" i="6"/>
  <c r="O291" i="3"/>
  <c r="AF288" i="6"/>
  <c r="S307" i="3" s="1"/>
  <c r="AI288" i="6"/>
  <c r="V307" i="3" s="1"/>
  <c r="AG288" i="6"/>
  <c r="U307" i="3" s="1"/>
  <c r="AS345" i="6"/>
  <c r="AI287" i="6"/>
  <c r="V306" i="3" s="1"/>
  <c r="AG287" i="6"/>
  <c r="AF287" i="6"/>
  <c r="V383" i="3"/>
  <c r="X383" i="3"/>
  <c r="U383" i="3"/>
  <c r="S383" i="3"/>
  <c r="S409" i="3"/>
  <c r="X409" i="3"/>
  <c r="AA291" i="6"/>
  <c r="Z291" i="6"/>
  <c r="O310" i="3"/>
  <c r="AI41" i="6"/>
  <c r="V60" i="3" s="1"/>
  <c r="AG41" i="6"/>
  <c r="U60" i="3" s="1"/>
  <c r="AF41" i="6"/>
  <c r="S60" i="3" s="1"/>
  <c r="AF16" i="6"/>
  <c r="AI16" i="6"/>
  <c r="V35" i="3" s="1"/>
  <c r="AG16" i="6"/>
  <c r="AS38" i="6"/>
  <c r="AI72" i="6"/>
  <c r="V91" i="3" s="1"/>
  <c r="AG72" i="6"/>
  <c r="U91" i="3" s="1"/>
  <c r="AF72" i="6"/>
  <c r="S91" i="3" s="1"/>
  <c r="AI99" i="6"/>
  <c r="V118" i="3" s="1"/>
  <c r="AG99" i="6"/>
  <c r="AF99" i="6"/>
  <c r="AI110" i="6"/>
  <c r="V129" i="3" s="1"/>
  <c r="AG110" i="6"/>
  <c r="U129" i="3" s="1"/>
  <c r="AF110" i="6"/>
  <c r="X122" i="3"/>
  <c r="V122" i="3"/>
  <c r="U122" i="3"/>
  <c r="S122" i="3"/>
  <c r="AS118" i="6"/>
  <c r="AS150" i="6"/>
  <c r="AS182" i="6"/>
  <c r="AS214" i="6"/>
  <c r="AI271" i="6"/>
  <c r="V290" i="3" s="1"/>
  <c r="AF271" i="6"/>
  <c r="AG271" i="6"/>
  <c r="AF114" i="6"/>
  <c r="AI114" i="6"/>
  <c r="V133" i="3" s="1"/>
  <c r="AG114" i="6"/>
  <c r="U133" i="3" s="1"/>
  <c r="AF162" i="6"/>
  <c r="S181" i="3" s="1"/>
  <c r="AI162" i="6"/>
  <c r="V181" i="3" s="1"/>
  <c r="AG162" i="6"/>
  <c r="X213" i="3"/>
  <c r="V213" i="3"/>
  <c r="U213" i="3"/>
  <c r="S213" i="3"/>
  <c r="V260" i="3"/>
  <c r="U260" i="3"/>
  <c r="S260" i="3"/>
  <c r="X260" i="3"/>
  <c r="AA167" i="6"/>
  <c r="Z167" i="6"/>
  <c r="O186" i="3"/>
  <c r="X255" i="3"/>
  <c r="AF310" i="6"/>
  <c r="S329" i="3" s="1"/>
  <c r="AI310" i="6"/>
  <c r="V329" i="3" s="1"/>
  <c r="AG310" i="6"/>
  <c r="AS259" i="6"/>
  <c r="AS291" i="6"/>
  <c r="S296" i="3"/>
  <c r="X296" i="3"/>
  <c r="V296" i="3"/>
  <c r="U296" i="3"/>
  <c r="AI293" i="6"/>
  <c r="V312" i="3" s="1"/>
  <c r="AG293" i="6"/>
  <c r="AF293" i="6"/>
  <c r="S312" i="3" s="1"/>
  <c r="AI386" i="6"/>
  <c r="V405" i="3" s="1"/>
  <c r="AG386" i="6"/>
  <c r="U405" i="3" s="1"/>
  <c r="AF386" i="6"/>
  <c r="S405" i="3" s="1"/>
  <c r="AS221" i="6"/>
  <c r="AS31" i="6"/>
  <c r="AI65" i="6"/>
  <c r="V84" i="3" s="1"/>
  <c r="AG65" i="6"/>
  <c r="U84" i="3" s="1"/>
  <c r="AF65" i="6"/>
  <c r="S84" i="3" s="1"/>
  <c r="AI100" i="6"/>
  <c r="V119" i="3" s="1"/>
  <c r="AG100" i="6"/>
  <c r="AF100" i="6"/>
  <c r="X58" i="3"/>
  <c r="V58" i="3"/>
  <c r="U58" i="3"/>
  <c r="S58" i="3"/>
  <c r="S115" i="3"/>
  <c r="X115" i="3"/>
  <c r="V115" i="3"/>
  <c r="U115" i="3"/>
  <c r="AS100" i="6"/>
  <c r="S139" i="3"/>
  <c r="X139" i="3"/>
  <c r="V139" i="3"/>
  <c r="U139" i="3"/>
  <c r="AF216" i="6"/>
  <c r="S235" i="3" s="1"/>
  <c r="AI216" i="6"/>
  <c r="V235" i="3" s="1"/>
  <c r="AG216" i="6"/>
  <c r="U270" i="3"/>
  <c r="S270" i="3"/>
  <c r="X270" i="3"/>
  <c r="V270" i="3"/>
  <c r="AS117" i="6"/>
  <c r="AS149" i="6"/>
  <c r="AS181" i="6"/>
  <c r="AS213" i="6"/>
  <c r="X176" i="3"/>
  <c r="V176" i="3"/>
  <c r="U176" i="3"/>
  <c r="S176" i="3"/>
  <c r="AI173" i="6"/>
  <c r="V192" i="3" s="1"/>
  <c r="AG173" i="6"/>
  <c r="AF173" i="6"/>
  <c r="AI375" i="6"/>
  <c r="V394" i="3" s="1"/>
  <c r="AF375" i="6"/>
  <c r="S394" i="3" s="1"/>
  <c r="AG375" i="6"/>
  <c r="U394" i="3" s="1"/>
  <c r="X339" i="3"/>
  <c r="AF5" i="7" a="1"/>
  <c r="AF5" i="7" s="1"/>
  <c r="AC10" i="7" a="1"/>
  <c r="AC10" i="7" s="1"/>
  <c r="C8" i="9" s="1"/>
  <c r="AA14" i="7" a="1"/>
  <c r="AA14" i="7" s="1"/>
  <c r="AE25" i="7" a="1"/>
  <c r="AE25" i="7" s="1"/>
  <c r="AG34" i="7" a="1"/>
  <c r="AG34" i="7" s="1"/>
  <c r="AF43" i="7" a="1"/>
  <c r="AF43" i="7" s="1"/>
  <c r="AA18" i="7" a="1"/>
  <c r="AA18" i="7" s="1"/>
  <c r="AD24" i="7" a="1"/>
  <c r="AD24" i="7" s="1"/>
  <c r="F22" i="9" s="1"/>
  <c r="AA33" i="7" a="1"/>
  <c r="AA33" i="7" s="1"/>
  <c r="AG43" i="7" a="1"/>
  <c r="AG43" i="7" s="1"/>
  <c r="AD10" i="7" a="1"/>
  <c r="AD10" i="7" s="1"/>
  <c r="F8" i="9" s="1"/>
  <c r="AD19" i="7" a="1"/>
  <c r="AD19" i="7" s="1"/>
  <c r="F17" i="9" s="1"/>
  <c r="AF29" i="7" a="1"/>
  <c r="AF29" i="7" s="1"/>
  <c r="AE38" i="7" a="1"/>
  <c r="AE38" i="7" s="1"/>
  <c r="AE15" i="7" a="1"/>
  <c r="AE15" i="7" s="1"/>
  <c r="AC21" i="7" a="1"/>
  <c r="AC21" i="7" s="1"/>
  <c r="C19" i="9" s="1"/>
  <c r="AE31" i="7" a="1"/>
  <c r="AE31" i="7" s="1"/>
  <c r="AD40" i="7" a="1"/>
  <c r="AD40" i="7" s="1"/>
  <c r="F38" i="9" s="1"/>
  <c r="AC7" i="7" a="1"/>
  <c r="AC7" i="7" s="1"/>
  <c r="C5" i="9" s="1"/>
  <c r="AC11" i="7" a="1"/>
  <c r="AC11" i="7" s="1"/>
  <c r="C9" i="9" s="1"/>
  <c r="AD23" i="7" a="1"/>
  <c r="AD23" i="7" s="1"/>
  <c r="F21" i="9" s="1"/>
  <c r="AE32" i="7" a="1"/>
  <c r="AE32" i="7" s="1"/>
  <c r="AD41" i="7" a="1"/>
  <c r="AD41" i="7" s="1"/>
  <c r="F39" i="9" s="1"/>
  <c r="AC18" i="7" a="1"/>
  <c r="AC18" i="7" s="1"/>
  <c r="C16" i="9" s="1"/>
  <c r="AA24" i="7" a="1"/>
  <c r="AA24" i="7" s="1"/>
  <c r="AF32" i="7" a="1"/>
  <c r="AF32" i="7" s="1"/>
  <c r="AE41" i="7" a="1"/>
  <c r="AE41" i="7" s="1"/>
  <c r="AF8" i="7" a="1"/>
  <c r="AF8" i="7" s="1"/>
  <c r="AE13" i="7" a="1"/>
  <c r="AE13" i="7" s="1"/>
  <c r="AA30" i="7" a="1"/>
  <c r="AA30" i="7" s="1"/>
  <c r="AG40" i="7" a="1"/>
  <c r="AG40" i="7" s="1"/>
  <c r="AG15" i="7" a="1"/>
  <c r="AG15" i="7" s="1"/>
  <c r="AA20" i="7" a="1"/>
  <c r="AA20" i="7" s="1"/>
  <c r="AC29" i="7" a="1"/>
  <c r="AC29" i="7" s="1"/>
  <c r="C27" i="9" s="1"/>
  <c r="AB38" i="7" a="1"/>
  <c r="AB38" i="7" s="1"/>
  <c r="AD46" i="7" a="1"/>
  <c r="AD46" i="7" s="1"/>
  <c r="F44" i="9" s="1"/>
  <c r="AC51" i="7" a="1"/>
  <c r="AC51" i="7" s="1"/>
  <c r="C49" i="9" s="1"/>
  <c r="AG59" i="7" a="1"/>
  <c r="AG59" i="7" s="1"/>
  <c r="AE69" i="7" a="1"/>
  <c r="AE69" i="7" s="1"/>
  <c r="AG78" i="7" a="1"/>
  <c r="AG78" i="7" s="1"/>
  <c r="AF54" i="7" a="1"/>
  <c r="AF54" i="7" s="1"/>
  <c r="AC63" i="7" a="1"/>
  <c r="AC63" i="7" s="1"/>
  <c r="C61" i="9" s="1"/>
  <c r="AF72" i="7" a="1"/>
  <c r="AF72" i="7" s="1"/>
  <c r="AE81" i="7" a="1"/>
  <c r="AE81" i="7" s="1"/>
  <c r="AA46" i="7" a="1"/>
  <c r="AA46" i="7" s="1"/>
  <c r="AE50" i="7" a="1"/>
  <c r="AE50" i="7" s="1"/>
  <c r="AF57" i="7" a="1"/>
  <c r="AF57" i="7" s="1"/>
  <c r="AG66" i="7" a="1"/>
  <c r="AG66" i="7" s="1"/>
  <c r="AC76" i="7" a="1"/>
  <c r="AC76" i="7" s="1"/>
  <c r="C74" i="9" s="1"/>
  <c r="AD91" i="7" a="1"/>
  <c r="AD91" i="7" s="1"/>
  <c r="F89" i="9" s="1"/>
  <c r="AC58" i="7" a="1"/>
  <c r="AC58" i="7" s="1"/>
  <c r="C56" i="9" s="1"/>
  <c r="AA71" i="7" a="1"/>
  <c r="AA71" i="7" s="1"/>
  <c r="AG81" i="7" a="1"/>
  <c r="AG81" i="7" s="1"/>
  <c r="AG45" i="7" a="1"/>
  <c r="AG45" i="7" s="1"/>
  <c r="AB50" i="7" a="1"/>
  <c r="AB50" i="7" s="1"/>
  <c r="AG57" i="7" a="1"/>
  <c r="AG57" i="7" s="1"/>
  <c r="AD64" i="7" a="1"/>
  <c r="AD64" i="7" s="1"/>
  <c r="F62" i="9" s="1"/>
  <c r="AA72" i="7" a="1"/>
  <c r="AA72" i="7" s="1"/>
  <c r="AG82" i="7" a="1"/>
  <c r="AG82" i="7" s="1"/>
  <c r="AC57" i="7" a="1"/>
  <c r="AC57" i="7" s="1"/>
  <c r="C55" i="9" s="1"/>
  <c r="AG65" i="7" a="1"/>
  <c r="AG65" i="7" s="1"/>
  <c r="AB72" i="7" a="1"/>
  <c r="AB72" i="7" s="1"/>
  <c r="AA81" i="7" a="1"/>
  <c r="AA81" i="7" s="1"/>
  <c r="AC46" i="7" a="1"/>
  <c r="AC46" i="7" s="1"/>
  <c r="C44" i="9" s="1"/>
  <c r="AG50" i="7" a="1"/>
  <c r="AG50" i="7" s="1"/>
  <c r="AB56" i="7" a="1"/>
  <c r="AB56" i="7" s="1"/>
  <c r="AA65" i="7" a="1"/>
  <c r="AA65" i="7" s="1"/>
  <c r="AG76" i="7" a="1"/>
  <c r="AG76" i="7" s="1"/>
  <c r="AE90" i="7" a="1"/>
  <c r="AE90" i="7" s="1"/>
  <c r="AB59" i="7" a="1"/>
  <c r="AB59" i="7" s="1"/>
  <c r="AD66" i="7" a="1"/>
  <c r="AD66" i="7" s="1"/>
  <c r="F64" i="9" s="1"/>
  <c r="AG77" i="7" a="1"/>
  <c r="AG77" i="7" s="1"/>
  <c r="AE94" i="7" a="1"/>
  <c r="AE94" i="7" s="1"/>
  <c r="AE83" i="7" a="1"/>
  <c r="AE83" i="7" s="1"/>
  <c r="AD88" i="7" a="1"/>
  <c r="AD88" i="7" s="1"/>
  <c r="F86" i="9" s="1"/>
  <c r="AC93" i="7" a="1"/>
  <c r="AC93" i="7" s="1"/>
  <c r="C91" i="9" s="1"/>
  <c r="AG97" i="7" a="1"/>
  <c r="AG97" i="7" s="1"/>
  <c r="AC86" i="7" a="1"/>
  <c r="AC86" i="7" s="1"/>
  <c r="C84" i="9" s="1"/>
  <c r="AG90" i="7" a="1"/>
  <c r="AG90" i="7" s="1"/>
  <c r="AB95" i="7" a="1"/>
  <c r="AB95" i="7" s="1"/>
  <c r="AB84" i="7" a="1"/>
  <c r="AB84" i="7" s="1"/>
  <c r="AF88" i="7" a="1"/>
  <c r="AF88" i="7" s="1"/>
  <c r="AA93" i="7" a="1"/>
  <c r="AA93" i="7" s="1"/>
  <c r="AE97" i="7" a="1"/>
  <c r="AE97" i="7" s="1"/>
  <c r="AG232" i="6"/>
  <c r="AI232" i="6"/>
  <c r="V251" i="3" s="1"/>
  <c r="AF232" i="6"/>
  <c r="S251" i="3" s="1"/>
  <c r="U294" i="3"/>
  <c r="S294" i="3"/>
  <c r="X294" i="3"/>
  <c r="V294" i="3"/>
  <c r="AI291" i="6"/>
  <c r="V310" i="3" s="1"/>
  <c r="AG291" i="6"/>
  <c r="U310" i="3" s="1"/>
  <c r="AF291" i="6"/>
  <c r="S310" i="3" s="1"/>
  <c r="AS34" i="6"/>
  <c r="AG68" i="6"/>
  <c r="AF68" i="6"/>
  <c r="S87" i="3" s="1"/>
  <c r="AI68" i="6"/>
  <c r="V87" i="3" s="1"/>
  <c r="X82" i="3"/>
  <c r="V82" i="3"/>
  <c r="U82" i="3"/>
  <c r="S82" i="3"/>
  <c r="X56" i="3"/>
  <c r="V56" i="3"/>
  <c r="U56" i="3"/>
  <c r="S56" i="3"/>
  <c r="AS86" i="6"/>
  <c r="AI83" i="6"/>
  <c r="V102" i="3" s="1"/>
  <c r="AG83" i="6"/>
  <c r="AF83" i="6"/>
  <c r="S102" i="3" s="1"/>
  <c r="U262" i="3"/>
  <c r="S262" i="3"/>
  <c r="X262" i="3"/>
  <c r="V262" i="3"/>
  <c r="AF206" i="6"/>
  <c r="AI206" i="6"/>
  <c r="V225" i="3" s="1"/>
  <c r="AG206" i="6"/>
  <c r="AS218" i="6"/>
  <c r="AI247" i="6"/>
  <c r="V266" i="3" s="1"/>
  <c r="AF247" i="6"/>
  <c r="S266" i="3" s="1"/>
  <c r="AG247" i="6"/>
  <c r="S150" i="3"/>
  <c r="X150" i="3"/>
  <c r="V150" i="3"/>
  <c r="U150" i="3"/>
  <c r="AI147" i="6"/>
  <c r="V166" i="3" s="1"/>
  <c r="AG147" i="6"/>
  <c r="U166" i="3" s="1"/>
  <c r="AF147" i="6"/>
  <c r="S166" i="3" s="1"/>
  <c r="U214" i="3"/>
  <c r="S214" i="3"/>
  <c r="X214" i="3"/>
  <c r="V214" i="3"/>
  <c r="AI211" i="6"/>
  <c r="V230" i="3" s="1"/>
  <c r="AG211" i="6"/>
  <c r="U230" i="3" s="1"/>
  <c r="AF211" i="6"/>
  <c r="S230" i="3" s="1"/>
  <c r="AA327" i="6"/>
  <c r="Z327" i="6"/>
  <c r="O346" i="3"/>
  <c r="X388" i="3"/>
  <c r="V388" i="3"/>
  <c r="S388" i="3"/>
  <c r="AS246" i="6"/>
  <c r="AS278" i="6"/>
  <c r="AS310" i="6"/>
  <c r="X359" i="3"/>
  <c r="U359" i="3"/>
  <c r="S359" i="3"/>
  <c r="AA389" i="6"/>
  <c r="Z389" i="6"/>
  <c r="O408" i="3"/>
  <c r="AS68" i="6"/>
  <c r="AS119" i="6"/>
  <c r="X152" i="3"/>
  <c r="V152" i="3"/>
  <c r="U152" i="3"/>
  <c r="S152" i="3"/>
  <c r="AI373" i="6"/>
  <c r="V392" i="3" s="1"/>
  <c r="AF373" i="6"/>
  <c r="AG373" i="6"/>
  <c r="AS330" i="6"/>
  <c r="V68" i="3"/>
  <c r="U68" i="3"/>
  <c r="S68" i="3"/>
  <c r="X68" i="3"/>
  <c r="V111" i="3"/>
  <c r="U111" i="3"/>
  <c r="S111" i="3"/>
  <c r="X111" i="3"/>
  <c r="X42" i="3"/>
  <c r="V42" i="3"/>
  <c r="U42" i="3"/>
  <c r="S42" i="3"/>
  <c r="X37" i="3"/>
  <c r="V37" i="3"/>
  <c r="U37" i="3"/>
  <c r="S37" i="3"/>
  <c r="AS84" i="6"/>
  <c r="AF180" i="6"/>
  <c r="S199" i="3" s="1"/>
  <c r="AI180" i="6"/>
  <c r="V199" i="3" s="1"/>
  <c r="AG180" i="6"/>
  <c r="X231" i="3"/>
  <c r="V231" i="3"/>
  <c r="U231" i="3"/>
  <c r="S231" i="3"/>
  <c r="AA121" i="6"/>
  <c r="Z121" i="6"/>
  <c r="O140" i="3"/>
  <c r="AA185" i="6"/>
  <c r="Z185" i="6"/>
  <c r="O204" i="3"/>
  <c r="X257" i="3"/>
  <c r="S299" i="3"/>
  <c r="X299" i="3"/>
  <c r="V299" i="3"/>
  <c r="U299" i="3"/>
  <c r="AA332" i="6"/>
  <c r="Z332" i="6"/>
  <c r="O351" i="3"/>
  <c r="S110" i="3"/>
  <c r="X110" i="3"/>
  <c r="U110" i="3"/>
  <c r="AA117" i="6"/>
  <c r="Z117" i="6"/>
  <c r="O136" i="3"/>
  <c r="AS391" i="6"/>
  <c r="V71" i="3"/>
  <c r="U71" i="3"/>
  <c r="S71" i="3"/>
  <c r="X71" i="3"/>
  <c r="AS77" i="6"/>
  <c r="AS51" i="6"/>
  <c r="AS70" i="6"/>
  <c r="AS44" i="6"/>
  <c r="AS116" i="6"/>
  <c r="AS148" i="6"/>
  <c r="AS180" i="6"/>
  <c r="AS212" i="6"/>
  <c r="AF154" i="6"/>
  <c r="S173" i="3" s="1"/>
  <c r="AI154" i="6"/>
  <c r="V173" i="3" s="1"/>
  <c r="AG154" i="6"/>
  <c r="X205" i="3"/>
  <c r="V205" i="3"/>
  <c r="U205" i="3"/>
  <c r="S205" i="3"/>
  <c r="AS220" i="6"/>
  <c r="AI127" i="6"/>
  <c r="V146" i="3" s="1"/>
  <c r="AG127" i="6"/>
  <c r="AF127" i="6"/>
  <c r="S146" i="3" s="1"/>
  <c r="X194" i="3"/>
  <c r="V194" i="3"/>
  <c r="U194" i="3"/>
  <c r="S194" i="3"/>
  <c r="AI191" i="6"/>
  <c r="V210" i="3" s="1"/>
  <c r="AG191" i="6"/>
  <c r="U210" i="3" s="1"/>
  <c r="AF191" i="6"/>
  <c r="S210" i="3" s="1"/>
  <c r="AF302" i="6"/>
  <c r="S321" i="3" s="1"/>
  <c r="AI302" i="6"/>
  <c r="V321" i="3" s="1"/>
  <c r="AG302" i="6"/>
  <c r="U321" i="3" s="1"/>
  <c r="AS253" i="6"/>
  <c r="AS285" i="6"/>
  <c r="S320" i="3"/>
  <c r="X320" i="3"/>
  <c r="V320" i="3"/>
  <c r="U320" i="3"/>
  <c r="V361" i="3"/>
  <c r="S361" i="3"/>
  <c r="X361" i="3"/>
  <c r="AI358" i="6"/>
  <c r="V377" i="3" s="1"/>
  <c r="AG358" i="6"/>
  <c r="U377" i="3" s="1"/>
  <c r="AF358" i="6"/>
  <c r="S377" i="3" s="1"/>
  <c r="AI384" i="6"/>
  <c r="V403" i="3" s="1"/>
  <c r="AG384" i="6"/>
  <c r="AF384" i="6"/>
  <c r="S403" i="3" s="1"/>
  <c r="AI227" i="6"/>
  <c r="V246" i="3" s="1"/>
  <c r="AG227" i="6"/>
  <c r="AF227" i="6"/>
  <c r="S246" i="3" s="1"/>
  <c r="S131" i="3"/>
  <c r="X131" i="3"/>
  <c r="V131" i="3"/>
  <c r="U131" i="3"/>
  <c r="AF144" i="6"/>
  <c r="S163" i="3" s="1"/>
  <c r="AI144" i="6"/>
  <c r="V163" i="3" s="1"/>
  <c r="AG144" i="6"/>
  <c r="U163" i="3" s="1"/>
  <c r="AA213" i="6"/>
  <c r="Z213" i="6"/>
  <c r="O232" i="3"/>
  <c r="X267" i="3"/>
  <c r="AS359" i="6"/>
  <c r="V52" i="3"/>
  <c r="U52" i="3"/>
  <c r="S52" i="3"/>
  <c r="X52" i="3"/>
  <c r="X90" i="3"/>
  <c r="V90" i="3"/>
  <c r="U90" i="3"/>
  <c r="S90" i="3"/>
  <c r="B12" i="5"/>
  <c r="A9" i="14"/>
  <c r="A8" i="14"/>
  <c r="A7" i="14"/>
  <c r="A6" i="14"/>
  <c r="A5" i="14"/>
  <c r="A4" i="14"/>
  <c r="A3" i="14"/>
  <c r="A2" i="14"/>
  <c r="R3" i="7" a="1"/>
  <c r="R3" i="7" s="1"/>
  <c r="D25" i="5"/>
  <c r="B24" i="5"/>
  <c r="C22" i="5"/>
  <c r="F19" i="5"/>
  <c r="C18" i="5"/>
  <c r="C17" i="5"/>
  <c r="C25" i="5"/>
  <c r="A24" i="5"/>
  <c r="B22" i="5"/>
  <c r="E19" i="5"/>
  <c r="B25" i="5"/>
  <c r="D23" i="5"/>
  <c r="A22" i="5"/>
  <c r="D19" i="5"/>
  <c r="A25" i="5"/>
  <c r="C23" i="5"/>
  <c r="C19" i="5"/>
  <c r="B23" i="5"/>
  <c r="F20" i="5"/>
  <c r="C20" i="5"/>
  <c r="D24" i="5"/>
  <c r="F18" i="5"/>
  <c r="C24" i="5"/>
  <c r="E18" i="5"/>
  <c r="A23" i="5"/>
  <c r="D18" i="5"/>
  <c r="F17" i="5"/>
  <c r="D22" i="5"/>
  <c r="E17" i="5"/>
  <c r="E20" i="5"/>
  <c r="D17" i="5"/>
  <c r="D20" i="5"/>
  <c r="BD17" i="6"/>
  <c r="AA41" i="6"/>
  <c r="Z41" i="6"/>
  <c r="O60" i="3"/>
  <c r="V39" i="3"/>
  <c r="U39" i="3"/>
  <c r="S39" i="3"/>
  <c r="X39" i="3"/>
  <c r="AS40" i="6"/>
  <c r="AF74" i="6"/>
  <c r="S93" i="3" s="1"/>
  <c r="AI74" i="6"/>
  <c r="V93" i="3" s="1"/>
  <c r="AG74" i="6"/>
  <c r="U93" i="3" s="1"/>
  <c r="X54" i="3"/>
  <c r="V54" i="3"/>
  <c r="U54" i="3"/>
  <c r="AA99" i="6"/>
  <c r="Z99" i="6"/>
  <c r="O118" i="3"/>
  <c r="AA103" i="6"/>
  <c r="Z103" i="6"/>
  <c r="O122" i="3"/>
  <c r="AS122" i="6"/>
  <c r="AS154" i="6"/>
  <c r="AS186" i="6"/>
  <c r="S280" i="3"/>
  <c r="X280" i="3"/>
  <c r="V280" i="3"/>
  <c r="U280" i="3"/>
  <c r="AA114" i="6"/>
  <c r="Z114" i="6"/>
  <c r="O133" i="3"/>
  <c r="X165" i="3"/>
  <c r="V165" i="3"/>
  <c r="U165" i="3"/>
  <c r="S165" i="3"/>
  <c r="X245" i="3"/>
  <c r="V245" i="3"/>
  <c r="U245" i="3"/>
  <c r="S245" i="3"/>
  <c r="X154" i="3"/>
  <c r="V154" i="3"/>
  <c r="U154" i="3"/>
  <c r="S154" i="3"/>
  <c r="AI151" i="6"/>
  <c r="V170" i="3" s="1"/>
  <c r="AG151" i="6"/>
  <c r="U170" i="3" s="1"/>
  <c r="AF151" i="6"/>
  <c r="S170" i="3" s="1"/>
  <c r="X218" i="3"/>
  <c r="V218" i="3"/>
  <c r="U218" i="3"/>
  <c r="S218" i="3"/>
  <c r="AI215" i="6"/>
  <c r="V234" i="3" s="1"/>
  <c r="AG215" i="6"/>
  <c r="AF215" i="6"/>
  <c r="S234" i="3" s="1"/>
  <c r="AI341" i="6"/>
  <c r="V360" i="3" s="1"/>
  <c r="AG341" i="6"/>
  <c r="U360" i="3" s="1"/>
  <c r="AF341" i="6"/>
  <c r="S360" i="3" s="1"/>
  <c r="V313" i="3"/>
  <c r="U313" i="3"/>
  <c r="S313" i="3"/>
  <c r="X313" i="3"/>
  <c r="AS354" i="6"/>
  <c r="AS263" i="6"/>
  <c r="AS295" i="6"/>
  <c r="AS326" i="6"/>
  <c r="AI367" i="6"/>
  <c r="V386" i="3" s="1"/>
  <c r="AF367" i="6"/>
  <c r="AG367" i="6"/>
  <c r="V401" i="3"/>
  <c r="U401" i="3"/>
  <c r="S401" i="3"/>
  <c r="X401" i="3"/>
  <c r="AS115" i="6"/>
  <c r="X200" i="3"/>
  <c r="V200" i="3"/>
  <c r="U200" i="3"/>
  <c r="S200" i="3"/>
  <c r="AS336" i="6"/>
  <c r="AA330" i="6"/>
  <c r="Z330" i="6"/>
  <c r="O349" i="3"/>
  <c r="AI383" i="6"/>
  <c r="V402" i="3" s="1"/>
  <c r="AF383" i="6"/>
  <c r="S402" i="3" s="1"/>
  <c r="AG383" i="6"/>
  <c r="AA65" i="6"/>
  <c r="Z65" i="6"/>
  <c r="O84" i="3"/>
  <c r="AI32" i="6"/>
  <c r="V51" i="3" s="1"/>
  <c r="AG32" i="6"/>
  <c r="AF32" i="6"/>
  <c r="AI59" i="6"/>
  <c r="V78" i="3" s="1"/>
  <c r="AG59" i="6"/>
  <c r="U78" i="3" s="1"/>
  <c r="AF59" i="6"/>
  <c r="S78" i="3" s="1"/>
  <c r="AF168" i="6"/>
  <c r="S187" i="3" s="1"/>
  <c r="AI168" i="6"/>
  <c r="V187" i="3" s="1"/>
  <c r="AG168" i="6"/>
  <c r="U187" i="3" s="1"/>
  <c r="S219" i="3"/>
  <c r="X219" i="3"/>
  <c r="V219" i="3"/>
  <c r="U219" i="3"/>
  <c r="AS121" i="6"/>
  <c r="AS153" i="6"/>
  <c r="AS185" i="6"/>
  <c r="AS217" i="6"/>
  <c r="AA173" i="6"/>
  <c r="Z173" i="6"/>
  <c r="O192" i="3"/>
  <c r="V265" i="3"/>
  <c r="U265" i="3"/>
  <c r="S265" i="3"/>
  <c r="X265" i="3"/>
  <c r="AI260" i="6"/>
  <c r="V279" i="3" s="1"/>
  <c r="AG260" i="6"/>
  <c r="AF260" i="6"/>
  <c r="S279" i="3" s="1"/>
  <c r="AF300" i="6"/>
  <c r="S319" i="3" s="1"/>
  <c r="AI300" i="6"/>
  <c r="V319" i="3" s="1"/>
  <c r="AG300" i="6"/>
  <c r="U319" i="3" s="1"/>
  <c r="AG322" i="6"/>
  <c r="U341" i="3" s="1"/>
  <c r="AI322" i="6"/>
  <c r="V341" i="3" s="1"/>
  <c r="AF322" i="6"/>
  <c r="S341" i="3" s="1"/>
  <c r="V398" i="3"/>
  <c r="U398" i="3"/>
  <c r="S398" i="3"/>
  <c r="X398" i="3"/>
  <c r="U302" i="3"/>
  <c r="S302" i="3"/>
  <c r="X302" i="3"/>
  <c r="V302" i="3"/>
  <c r="AI299" i="6"/>
  <c r="V318" i="3" s="1"/>
  <c r="AG299" i="6"/>
  <c r="U318" i="3" s="1"/>
  <c r="AF299" i="6"/>
  <c r="S318" i="3" s="1"/>
  <c r="AI356" i="6"/>
  <c r="V375" i="3" s="1"/>
  <c r="AG356" i="6"/>
  <c r="U375" i="3" s="1"/>
  <c r="AF356" i="6"/>
  <c r="S375" i="3" s="1"/>
  <c r="S397" i="3"/>
  <c r="X397" i="3"/>
  <c r="V397" i="3"/>
  <c r="U397" i="3"/>
  <c r="AF4" i="7" a="1"/>
  <c r="AF4" i="7" s="1"/>
  <c r="AG6" i="7" a="1"/>
  <c r="AG6" i="7" s="1"/>
  <c r="AG10" i="7" a="1"/>
  <c r="AG10" i="7" s="1"/>
  <c r="AE14" i="7" a="1"/>
  <c r="AE14" i="7" s="1"/>
  <c r="AG26" i="7" a="1"/>
  <c r="AG26" i="7" s="1"/>
  <c r="AF35" i="7" a="1"/>
  <c r="AF35" i="7" s="1"/>
  <c r="AF44" i="7" a="1"/>
  <c r="AF44" i="7" s="1"/>
  <c r="AE18" i="7" a="1"/>
  <c r="AE18" i="7" s="1"/>
  <c r="AF25" i="7" a="1"/>
  <c r="AF25" i="7" s="1"/>
  <c r="AG35" i="7" a="1"/>
  <c r="AG35" i="7" s="1"/>
  <c r="AG44" i="7" a="1"/>
  <c r="AG44" i="7" s="1"/>
  <c r="AB11" i="7" a="1"/>
  <c r="AB11" i="7" s="1"/>
  <c r="AC20" i="7" a="1"/>
  <c r="AC20" i="7" s="1"/>
  <c r="C18" i="9" s="1"/>
  <c r="AE30" i="7" a="1"/>
  <c r="AE30" i="7" s="1"/>
  <c r="AD39" i="7" a="1"/>
  <c r="AD39" i="7" s="1"/>
  <c r="F37" i="9" s="1"/>
  <c r="AD16" i="7" a="1"/>
  <c r="AD16" i="7" s="1"/>
  <c r="F14" i="9" s="1"/>
  <c r="AA22" i="7" a="1"/>
  <c r="AA22" i="7" s="1"/>
  <c r="AD32" i="7" a="1"/>
  <c r="AD32" i="7" s="1"/>
  <c r="F30" i="9" s="1"/>
  <c r="AC41" i="7" a="1"/>
  <c r="AC41" i="7" s="1"/>
  <c r="C39" i="9" s="1"/>
  <c r="AG7" i="7" a="1"/>
  <c r="AG7" i="7" s="1"/>
  <c r="AG11" i="7" a="1"/>
  <c r="AG11" i="7" s="1"/>
  <c r="AF24" i="7" a="1"/>
  <c r="AF24" i="7" s="1"/>
  <c r="AD33" i="7" a="1"/>
  <c r="AD33" i="7" s="1"/>
  <c r="F31" i="9" s="1"/>
  <c r="AC42" i="7" a="1"/>
  <c r="AC42" i="7" s="1"/>
  <c r="C40" i="9" s="1"/>
  <c r="AG18" i="7" a="1"/>
  <c r="AG18" i="7" s="1"/>
  <c r="AG24" i="7" a="1"/>
  <c r="AG24" i="7" s="1"/>
  <c r="AE33" i="7" a="1"/>
  <c r="AE33" i="7" s="1"/>
  <c r="AD42" i="7" a="1"/>
  <c r="AD42" i="7" s="1"/>
  <c r="F40" i="9" s="1"/>
  <c r="AD9" i="7" a="1"/>
  <c r="AD9" i="7" s="1"/>
  <c r="F7" i="9" s="1"/>
  <c r="AD14" i="7" a="1"/>
  <c r="AD14" i="7" s="1"/>
  <c r="F12" i="9" s="1"/>
  <c r="AG32" i="7" a="1"/>
  <c r="AG32" i="7" s="1"/>
  <c r="AF41" i="7" a="1"/>
  <c r="AF41" i="7" s="1"/>
  <c r="AB16" i="7" a="1"/>
  <c r="AB16" i="7" s="1"/>
  <c r="AF20" i="7" a="1"/>
  <c r="AF20" i="7" s="1"/>
  <c r="AB30" i="7" a="1"/>
  <c r="AB30" i="7" s="1"/>
  <c r="AA39" i="7" a="1"/>
  <c r="AA39" i="7" s="1"/>
  <c r="AC47" i="7" a="1"/>
  <c r="AC47" i="7" s="1"/>
  <c r="C45" i="9" s="1"/>
  <c r="AG51" i="7" a="1"/>
  <c r="AG51" i="7" s="1"/>
  <c r="AD60" i="7" a="1"/>
  <c r="AD60" i="7" s="1"/>
  <c r="F58" i="9" s="1"/>
  <c r="AG70" i="7" a="1"/>
  <c r="AG70" i="7" s="1"/>
  <c r="AF79" i="7" a="1"/>
  <c r="AF79" i="7" s="1"/>
  <c r="AG55" i="7" a="1"/>
  <c r="AG55" i="7" s="1"/>
  <c r="AB64" i="7" a="1"/>
  <c r="AB64" i="7" s="1"/>
  <c r="AE73" i="7" a="1"/>
  <c r="AE73" i="7" s="1"/>
  <c r="AD82" i="7" a="1"/>
  <c r="AD82" i="7" s="1"/>
  <c r="F80" i="9" s="1"/>
  <c r="AE46" i="7" a="1"/>
  <c r="AE46" i="7" s="1"/>
  <c r="AD51" i="7" a="1"/>
  <c r="AD51" i="7" s="1"/>
  <c r="F49" i="9" s="1"/>
  <c r="AG58" i="7" a="1"/>
  <c r="AG58" i="7" s="1"/>
  <c r="AE68" i="7" a="1"/>
  <c r="AE68" i="7" s="1"/>
  <c r="AB77" i="7" a="1"/>
  <c r="AB77" i="7" s="1"/>
  <c r="AB93" i="7" a="1"/>
  <c r="AB93" i="7" s="1"/>
  <c r="AA60" i="7" a="1"/>
  <c r="AA60" i="7" s="1"/>
  <c r="AG73" i="7" a="1"/>
  <c r="AG73" i="7" s="1"/>
  <c r="AF82" i="7" a="1"/>
  <c r="AF82" i="7" s="1"/>
  <c r="AB46" i="7" a="1"/>
  <c r="AB46" i="7" s="1"/>
  <c r="AF50" i="7" a="1"/>
  <c r="AF50" i="7" s="1"/>
  <c r="AE59" i="7" a="1"/>
  <c r="AE59" i="7" s="1"/>
  <c r="AF65" i="7" a="1"/>
  <c r="AF65" i="7" s="1"/>
  <c r="AG74" i="7" a="1"/>
  <c r="AG74" i="7" s="1"/>
  <c r="AG83" i="7" a="1"/>
  <c r="AG83" i="7" s="1"/>
  <c r="AD58" i="7" a="1"/>
  <c r="AD58" i="7" s="1"/>
  <c r="F56" i="9" s="1"/>
  <c r="AC66" i="7" a="1"/>
  <c r="AC66" i="7" s="1"/>
  <c r="C64" i="9" s="1"/>
  <c r="AA73" i="7" a="1"/>
  <c r="AA73" i="7" s="1"/>
  <c r="AG84" i="7" a="1"/>
  <c r="AG84" i="7" s="1"/>
  <c r="AG46" i="7" a="1"/>
  <c r="AG46" i="7" s="1"/>
  <c r="AB51" i="7" a="1"/>
  <c r="AB51" i="7" s="1"/>
  <c r="AG56" i="7" a="1"/>
  <c r="AG56" i="7" s="1"/>
  <c r="AF67" i="7" a="1"/>
  <c r="AF67" i="7" s="1"/>
  <c r="AF77" i="7" a="1"/>
  <c r="AF77" i="7" s="1"/>
  <c r="AC92" i="7" a="1"/>
  <c r="AC92" i="7" s="1"/>
  <c r="C90" i="9" s="1"/>
  <c r="AD61" i="7" a="1"/>
  <c r="AD61" i="7" s="1"/>
  <c r="F59" i="9" s="1"/>
  <c r="AB68" i="7" a="1"/>
  <c r="AB68" i="7" s="1"/>
  <c r="AF78" i="7" a="1"/>
  <c r="AF78" i="7" s="1"/>
  <c r="AC96" i="7" a="1"/>
  <c r="AC96" i="7" s="1"/>
  <c r="C94" i="9" s="1"/>
  <c r="AD84" i="7" a="1"/>
  <c r="AD84" i="7" s="1"/>
  <c r="F82" i="9" s="1"/>
  <c r="AC89" i="7" a="1"/>
  <c r="AC89" i="7" s="1"/>
  <c r="C87" i="9" s="1"/>
  <c r="AG93" i="7" a="1"/>
  <c r="AG93" i="7" s="1"/>
  <c r="AB98" i="7" a="1"/>
  <c r="AB98" i="7" s="1"/>
  <c r="AG86" i="7" a="1"/>
  <c r="AG86" i="7" s="1"/>
  <c r="AB91" i="7" a="1"/>
  <c r="AB91" i="7" s="1"/>
  <c r="AF95" i="7" a="1"/>
  <c r="AF95" i="7" s="1"/>
  <c r="AF84" i="7" a="1"/>
  <c r="AF84" i="7" s="1"/>
  <c r="AA89" i="7" a="1"/>
  <c r="AA89" i="7" s="1"/>
  <c r="AE93" i="7" a="1"/>
  <c r="AE93" i="7" s="1"/>
  <c r="AD98" i="7" a="1"/>
  <c r="AD98" i="7" s="1"/>
  <c r="F96" i="9" s="1"/>
  <c r="S195" i="3"/>
  <c r="X195" i="3"/>
  <c r="V195" i="3"/>
  <c r="U195" i="3"/>
  <c r="S216" i="3"/>
  <c r="X216" i="3"/>
  <c r="V216" i="3"/>
  <c r="U216" i="3"/>
  <c r="U278" i="3"/>
  <c r="S278" i="3"/>
  <c r="X278" i="3"/>
  <c r="V278" i="3"/>
  <c r="AS98" i="6"/>
  <c r="S38" i="3"/>
  <c r="X38" i="3"/>
  <c r="V38" i="3"/>
  <c r="U38" i="3"/>
  <c r="AA83" i="6"/>
  <c r="Z83" i="6"/>
  <c r="O102" i="3"/>
  <c r="U49" i="3"/>
  <c r="S49" i="3"/>
  <c r="X49" i="3"/>
  <c r="V49" i="3"/>
  <c r="AF158" i="6"/>
  <c r="S177" i="3" s="1"/>
  <c r="AI158" i="6"/>
  <c r="V177" i="3" s="1"/>
  <c r="AG158" i="6"/>
  <c r="V209" i="3"/>
  <c r="U209" i="3"/>
  <c r="S209" i="3"/>
  <c r="X209" i="3"/>
  <c r="AA147" i="6"/>
  <c r="Z147" i="6"/>
  <c r="O166" i="3"/>
  <c r="AA211" i="6"/>
  <c r="Z211" i="6"/>
  <c r="O230" i="3"/>
  <c r="AI352" i="6"/>
  <c r="V371" i="3" s="1"/>
  <c r="AG352" i="6"/>
  <c r="AF352" i="6"/>
  <c r="S371" i="3" s="1"/>
  <c r="AA369" i="6"/>
  <c r="Z369" i="6"/>
  <c r="O388" i="3"/>
  <c r="AS250" i="6"/>
  <c r="AS282" i="6"/>
  <c r="AS314" i="6"/>
  <c r="AA323" i="6"/>
  <c r="Z323" i="6"/>
  <c r="O342" i="3"/>
  <c r="AF290" i="6"/>
  <c r="S309" i="3" s="1"/>
  <c r="AI290" i="6"/>
  <c r="V309" i="3" s="1"/>
  <c r="AG290" i="6"/>
  <c r="U309" i="3" s="1"/>
  <c r="AI331" i="6"/>
  <c r="V350" i="3" s="1"/>
  <c r="AG331" i="6"/>
  <c r="U350" i="3" s="1"/>
  <c r="AF331" i="6"/>
  <c r="S350" i="3" s="1"/>
  <c r="AI289" i="6"/>
  <c r="V308" i="3" s="1"/>
  <c r="AG289" i="6"/>
  <c r="AF289" i="6"/>
  <c r="S308" i="3" s="1"/>
  <c r="S389" i="3"/>
  <c r="X389" i="3"/>
  <c r="V389" i="3"/>
  <c r="U389" i="3"/>
  <c r="AI27" i="6"/>
  <c r="V46" i="3" s="1"/>
  <c r="AG27" i="6"/>
  <c r="AF27" i="6"/>
  <c r="S46" i="3" s="1"/>
  <c r="AS135" i="6"/>
  <c r="AG328" i="6"/>
  <c r="U347" i="3" s="1"/>
  <c r="AI328" i="6"/>
  <c r="V347" i="3" s="1"/>
  <c r="AF328" i="6"/>
  <c r="S347" i="3" s="1"/>
  <c r="U395" i="3"/>
  <c r="S395" i="3"/>
  <c r="X395" i="3"/>
  <c r="V395" i="3"/>
  <c r="AG28" i="6"/>
  <c r="AF28" i="6"/>
  <c r="S47" i="3" s="1"/>
  <c r="AI28" i="6"/>
  <c r="V47" i="3" s="1"/>
  <c r="X101" i="3"/>
  <c r="V101" i="3"/>
  <c r="U101" i="3"/>
  <c r="S101" i="3"/>
  <c r="AA61" i="6"/>
  <c r="Z61" i="6"/>
  <c r="O80" i="3"/>
  <c r="Z107" i="6"/>
  <c r="AA107" i="6"/>
  <c r="O126" i="3"/>
  <c r="AS101" i="6"/>
  <c r="AS243" i="6"/>
  <c r="AF132" i="6"/>
  <c r="S151" i="3" s="1"/>
  <c r="AI132" i="6"/>
  <c r="V151" i="3" s="1"/>
  <c r="AG132" i="6"/>
  <c r="V183" i="3"/>
  <c r="U183" i="3"/>
  <c r="S183" i="3"/>
  <c r="X183" i="3"/>
  <c r="S288" i="3"/>
  <c r="X288" i="3"/>
  <c r="V288" i="3"/>
  <c r="U288" i="3"/>
  <c r="V172" i="3"/>
  <c r="U172" i="3"/>
  <c r="S172" i="3"/>
  <c r="X172" i="3"/>
  <c r="AI169" i="6"/>
  <c r="V188" i="3" s="1"/>
  <c r="AG169" i="6"/>
  <c r="AF169" i="6"/>
  <c r="S188" i="3" s="1"/>
  <c r="V236" i="3"/>
  <c r="U236" i="3"/>
  <c r="S236" i="3"/>
  <c r="X236" i="3"/>
  <c r="AS353" i="6"/>
  <c r="AI238" i="6"/>
  <c r="V257" i="3" s="1"/>
  <c r="AG238" i="6"/>
  <c r="AF238" i="6"/>
  <c r="S257" i="3" s="1"/>
  <c r="AI252" i="6"/>
  <c r="V271" i="3" s="1"/>
  <c r="AG252" i="6"/>
  <c r="AF252" i="6"/>
  <c r="S271" i="3" s="1"/>
  <c r="AA270" i="6"/>
  <c r="Z270" i="6"/>
  <c r="O289" i="3"/>
  <c r="V356" i="3"/>
  <c r="U356" i="3"/>
  <c r="S356" i="3"/>
  <c r="X356" i="3"/>
  <c r="X354" i="3"/>
  <c r="V354" i="3"/>
  <c r="U354" i="3"/>
  <c r="AA317" i="6"/>
  <c r="Z317" i="6"/>
  <c r="O336" i="3"/>
  <c r="X330" i="3"/>
  <c r="V330" i="3"/>
  <c r="U330" i="3"/>
  <c r="S330" i="3"/>
  <c r="AI362" i="6"/>
  <c r="V381" i="3" s="1"/>
  <c r="AG362" i="6"/>
  <c r="U381" i="3" s="1"/>
  <c r="AF362" i="6"/>
  <c r="S381" i="3" s="1"/>
  <c r="AF208" i="6"/>
  <c r="S227" i="3" s="1"/>
  <c r="AI208" i="6"/>
  <c r="V227" i="3" s="1"/>
  <c r="AG208" i="6"/>
  <c r="AI219" i="6"/>
  <c r="V238" i="3" s="1"/>
  <c r="AG219" i="6"/>
  <c r="AF219" i="6"/>
  <c r="S238" i="3" s="1"/>
  <c r="AI307" i="6"/>
  <c r="V326" i="3" s="1"/>
  <c r="AG307" i="6"/>
  <c r="AF307" i="6"/>
  <c r="V92" i="3"/>
  <c r="U92" i="3"/>
  <c r="S92" i="3"/>
  <c r="X92" i="3"/>
  <c r="AG13" i="6"/>
  <c r="U32" i="3" s="1"/>
  <c r="AF13" i="6"/>
  <c r="S32" i="3" s="1"/>
  <c r="AI13" i="6"/>
  <c r="V32" i="3" s="1"/>
  <c r="AI85" i="6"/>
  <c r="V104" i="3" s="1"/>
  <c r="AG85" i="6"/>
  <c r="U104" i="3" s="1"/>
  <c r="AF85" i="6"/>
  <c r="S104" i="3" s="1"/>
  <c r="AS120" i="6"/>
  <c r="AS152" i="6"/>
  <c r="AS184" i="6"/>
  <c r="AS216" i="6"/>
  <c r="X157" i="3"/>
  <c r="V157" i="3"/>
  <c r="U157" i="3"/>
  <c r="S157" i="3"/>
  <c r="AS231" i="6"/>
  <c r="AA220" i="6"/>
  <c r="Z220" i="6"/>
  <c r="O239" i="3"/>
  <c r="AA127" i="6"/>
  <c r="Z127" i="6"/>
  <c r="O146" i="3"/>
  <c r="AA191" i="6"/>
  <c r="Z191" i="6"/>
  <c r="O210" i="3"/>
  <c r="AI325" i="6"/>
  <c r="V344" i="3" s="1"/>
  <c r="AG325" i="6"/>
  <c r="AF325" i="6"/>
  <c r="AA343" i="6"/>
  <c r="Z343" i="6"/>
  <c r="O362" i="3"/>
  <c r="V305" i="3"/>
  <c r="U305" i="3"/>
  <c r="S305" i="3"/>
  <c r="X305" i="3"/>
  <c r="AS318" i="6"/>
  <c r="AS257" i="6"/>
  <c r="AS289" i="6"/>
  <c r="X377" i="3"/>
  <c r="AA384" i="6"/>
  <c r="Z384" i="6"/>
  <c r="O403" i="3"/>
  <c r="AS107" i="6"/>
  <c r="X168" i="3"/>
  <c r="V168" i="3"/>
  <c r="U168" i="3"/>
  <c r="S168" i="3"/>
  <c r="AI165" i="6"/>
  <c r="V184" i="3" s="1"/>
  <c r="AG165" i="6"/>
  <c r="U184" i="3" s="1"/>
  <c r="AF165" i="6"/>
  <c r="S184" i="3" s="1"/>
  <c r="AI248" i="6"/>
  <c r="V267" i="3" s="1"/>
  <c r="AG248" i="6"/>
  <c r="U267" i="3" s="1"/>
  <c r="AF248" i="6"/>
  <c r="S267" i="3" s="1"/>
  <c r="AS42" i="6"/>
  <c r="AG76" i="6"/>
  <c r="AF76" i="6"/>
  <c r="S95" i="3" s="1"/>
  <c r="AI76" i="6"/>
  <c r="V95" i="3" s="1"/>
  <c r="A5" i="7" a="1"/>
  <c r="A5" i="7" s="1"/>
  <c r="D12" i="5" s="1"/>
  <c r="AF70" i="7" l="1" a="1"/>
  <c r="AF70" i="7" s="1"/>
  <c r="AB87" i="7" a="1"/>
  <c r="AB87" i="7" s="1"/>
  <c r="AS16" i="6"/>
  <c r="AE86" i="7" a="1"/>
  <c r="AE86" i="7" s="1"/>
  <c r="AS15" i="6"/>
  <c r="AS13" i="6"/>
  <c r="AS11" i="6"/>
  <c r="AS12" i="6"/>
  <c r="AE58" i="7" a="1"/>
  <c r="AE58" i="7" s="1"/>
  <c r="AB47" i="7" a="1"/>
  <c r="AB47" i="7" s="1"/>
  <c r="AF60" i="7" a="1"/>
  <c r="AF60" i="7" s="1"/>
  <c r="AE79" i="7" a="1"/>
  <c r="AE79" i="7" s="1"/>
  <c r="AC62" i="7" a="1"/>
  <c r="AC62" i="7" s="1"/>
  <c r="C60" i="9" s="1"/>
  <c r="AA94" i="7" a="1"/>
  <c r="AA94" i="7" s="1"/>
  <c r="AF74" i="7" a="1"/>
  <c r="AF74" i="7" s="1"/>
  <c r="AA61" i="7" a="1"/>
  <c r="AA61" i="7" s="1"/>
  <c r="AD47" i="7" a="1"/>
  <c r="AD47" i="7" s="1"/>
  <c r="F45" i="9" s="1"/>
  <c r="AA51" i="7" a="1"/>
  <c r="AA51" i="7" s="1"/>
  <c r="AG75" i="7" a="1"/>
  <c r="AG75" i="7" s="1"/>
  <c r="AS224" i="6"/>
  <c r="AF83" i="7" a="1"/>
  <c r="AF83" i="7" s="1"/>
  <c r="AE67" i="7" a="1"/>
  <c r="AE67" i="7" s="1"/>
  <c r="AD56" i="7" a="1"/>
  <c r="AD56" i="7" s="1"/>
  <c r="F54" i="9" s="1"/>
  <c r="AA59" i="7" a="1"/>
  <c r="AA59" i="7" s="1"/>
  <c r="AD69" i="7" a="1"/>
  <c r="AD69" i="7" s="1"/>
  <c r="F67" i="9" s="1"/>
  <c r="AC84" i="7" a="1"/>
  <c r="AC84" i="7" s="1"/>
  <c r="C82" i="9" s="1"/>
  <c r="AC83" i="7" a="1"/>
  <c r="AC83" i="7" s="1"/>
  <c r="C81" i="9" s="1"/>
  <c r="AA78" i="7" a="1"/>
  <c r="AA78" i="7" s="1"/>
  <c r="AA31" i="7" a="1"/>
  <c r="AA31" i="7" s="1"/>
  <c r="AF46" i="7" a="1"/>
  <c r="AF46" i="7" s="1"/>
  <c r="AD65" i="7" a="1"/>
  <c r="AD65" i="7" s="1"/>
  <c r="F63" i="9" s="1"/>
  <c r="AC40" i="7" a="1"/>
  <c r="AC40" i="7" s="1"/>
  <c r="C38" i="9" s="1"/>
  <c r="AS361" i="6"/>
  <c r="AF23" i="7" a="1"/>
  <c r="AF23" i="7" s="1"/>
  <c r="AF75" i="7" a="1"/>
  <c r="AF75" i="7" s="1"/>
  <c r="AA53" i="7" a="1"/>
  <c r="AA53" i="7" s="1"/>
  <c r="AB66" i="7" a="1"/>
  <c r="AB66" i="7" s="1"/>
  <c r="AD34" i="7" a="1"/>
  <c r="AD34" i="7" s="1"/>
  <c r="F32" i="9" s="1"/>
  <c r="AG20" i="7" a="1"/>
  <c r="AG20" i="7" s="1"/>
  <c r="AB10" i="7" a="1"/>
  <c r="AB10" i="7" s="1"/>
  <c r="AG69" i="7" a="1"/>
  <c r="AG69" i="7" s="1"/>
  <c r="AF71" i="7" a="1"/>
  <c r="AF71" i="7" s="1"/>
  <c r="AC43" i="7" a="1"/>
  <c r="AC43" i="7" s="1"/>
  <c r="C41" i="9" s="1"/>
  <c r="AS346" i="6"/>
  <c r="AS299" i="6"/>
  <c r="AS237" i="6"/>
  <c r="AD59" i="7" a="1"/>
  <c r="AD59" i="7" s="1"/>
  <c r="F57" i="9" s="1"/>
  <c r="AB52" i="7" a="1"/>
  <c r="AB52" i="7" s="1"/>
  <c r="AS65" i="6"/>
  <c r="AC52" i="7" a="1"/>
  <c r="AC52" i="7" s="1"/>
  <c r="C50" i="9" s="1"/>
  <c r="AG47" i="7" a="1"/>
  <c r="AG47" i="7" s="1"/>
  <c r="AG41" i="7" a="1"/>
  <c r="AG41" i="7" s="1"/>
  <c r="AA5" i="7" a="1"/>
  <c r="AA5" i="7" s="1"/>
  <c r="AD74" i="7" a="1"/>
  <c r="AD74" i="7" s="1"/>
  <c r="F72" i="9" s="1"/>
  <c r="AE21" i="7" a="1"/>
  <c r="AE21" i="7" s="1"/>
  <c r="AS41" i="6"/>
  <c r="AS21" i="6"/>
  <c r="AC25" i="7" a="1"/>
  <c r="AC25" i="7" s="1"/>
  <c r="C23" i="9" s="1"/>
  <c r="AS109" i="6"/>
  <c r="AE80" i="7" a="1"/>
  <c r="AE80" i="7" s="1"/>
  <c r="AF16" i="7" a="1"/>
  <c r="AF16" i="7" s="1"/>
  <c r="AA19" i="7" a="1"/>
  <c r="AA19" i="7" s="1"/>
  <c r="AE42" i="7" a="1"/>
  <c r="AE42" i="7" s="1"/>
  <c r="AC23" i="7" a="1"/>
  <c r="AC23" i="7" s="1"/>
  <c r="C21" i="9" s="1"/>
  <c r="AG64" i="7" a="1"/>
  <c r="AG64" i="7" s="1"/>
  <c r="AF33" i="7" a="1"/>
  <c r="AF33" i="7" s="1"/>
  <c r="AC17" i="7" a="1"/>
  <c r="AC17" i="7" s="1"/>
  <c r="C15" i="9" s="1"/>
  <c r="AD6" i="7" a="1"/>
  <c r="AD6" i="7" s="1"/>
  <c r="F4" i="9" s="1"/>
  <c r="AF36" i="7" a="1"/>
  <c r="AF36" i="7" s="1"/>
  <c r="AS190" i="6"/>
  <c r="AS158" i="6"/>
  <c r="AS129" i="6"/>
  <c r="AS256" i="6"/>
  <c r="AS338" i="6"/>
  <c r="AS287" i="6"/>
  <c r="AB43" i="7" a="1"/>
  <c r="AB43" i="7" s="1"/>
  <c r="AC34" i="7" a="1"/>
  <c r="AC34" i="7" s="1"/>
  <c r="C32" i="9" s="1"/>
  <c r="AA374" i="6"/>
  <c r="Z374" i="6"/>
  <c r="O393" i="3"/>
  <c r="AB42" i="7" a="1"/>
  <c r="AB42" i="7" s="1"/>
  <c r="AC33" i="7" a="1"/>
  <c r="AC33" i="7" s="1"/>
  <c r="C31" i="9" s="1"/>
  <c r="AA12" i="7" a="1"/>
  <c r="AA12" i="7" s="1"/>
  <c r="AB21" i="7" a="1"/>
  <c r="AB21" i="7" s="1"/>
  <c r="AS157" i="6"/>
  <c r="AA8" i="7" a="1"/>
  <c r="AA8" i="7" s="1"/>
  <c r="AF11" i="7" a="1"/>
  <c r="AF11" i="7" s="1"/>
  <c r="AS192" i="6"/>
  <c r="AA7" i="7" a="1"/>
  <c r="AA7" i="7" s="1"/>
  <c r="AS288" i="6"/>
  <c r="AS254" i="6"/>
  <c r="AB25" i="7" a="1"/>
  <c r="AB25" i="7" s="1"/>
  <c r="AD31" i="7" a="1"/>
  <c r="AD31" i="7" s="1"/>
  <c r="F29" i="9" s="1"/>
  <c r="AS323" i="6"/>
  <c r="AC19" i="7" a="1"/>
  <c r="AC19" i="7" s="1"/>
  <c r="C17" i="9" s="1"/>
  <c r="AS380" i="6"/>
  <c r="AS305" i="6"/>
  <c r="AS32" i="6"/>
  <c r="AG27" i="7" a="1"/>
  <c r="AG27" i="7" s="1"/>
  <c r="AS163" i="6"/>
  <c r="AF27" i="7" a="1"/>
  <c r="AF27" i="7" s="1"/>
  <c r="AS319" i="6"/>
  <c r="AS130" i="6"/>
  <c r="AA11" i="7" a="1"/>
  <c r="AA11" i="7" s="1"/>
  <c r="AS337" i="6"/>
  <c r="AS370" i="6"/>
  <c r="AS193" i="6"/>
  <c r="AE36" i="7" a="1"/>
  <c r="AE36" i="7" s="1"/>
  <c r="AS71" i="6"/>
  <c r="AS92" i="6"/>
  <c r="AS160" i="6"/>
  <c r="AS239" i="6"/>
  <c r="AS245" i="6"/>
  <c r="AS53" i="6"/>
  <c r="AS390" i="6"/>
  <c r="AS189" i="6"/>
  <c r="AS339" i="6"/>
  <c r="AS313" i="6"/>
  <c r="AS293" i="6"/>
  <c r="AS123" i="6"/>
  <c r="AD4" i="7" a="1"/>
  <c r="AD4" i="7" s="1"/>
  <c r="F2" i="9" s="1"/>
  <c r="AN2" i="7"/>
  <c r="AS126" i="6"/>
  <c r="AS389" i="6"/>
  <c r="AS367" i="6"/>
  <c r="AS93" i="6"/>
  <c r="AS329" i="6"/>
  <c r="AS156" i="6"/>
  <c r="AS303" i="6"/>
  <c r="AS125" i="6"/>
  <c r="AS188" i="6"/>
  <c r="AS258" i="6"/>
  <c r="AS261" i="6"/>
  <c r="AS196" i="6"/>
  <c r="AS76" i="6"/>
  <c r="AS374" i="6"/>
  <c r="AS167" i="6"/>
  <c r="AS316" i="6"/>
  <c r="AS211" i="6"/>
  <c r="AS233" i="6"/>
  <c r="AS235" i="6"/>
  <c r="AS110" i="6"/>
  <c r="AS57" i="6"/>
  <c r="AS267" i="6"/>
  <c r="AS286" i="6"/>
  <c r="AS162" i="6"/>
  <c r="AS134" i="6"/>
  <c r="AS147" i="6"/>
  <c r="AS90" i="6"/>
  <c r="AS191" i="6"/>
  <c r="AS79" i="6"/>
  <c r="AS388" i="6"/>
  <c r="AS315" i="6"/>
  <c r="AS368" i="6"/>
  <c r="AS356" i="6"/>
  <c r="AS105" i="6"/>
  <c r="AS114" i="6"/>
  <c r="AS344" i="6"/>
  <c r="AS128" i="6"/>
  <c r="AS348" i="6"/>
  <c r="AS127" i="6"/>
  <c r="AS75" i="6"/>
  <c r="AS58" i="6"/>
  <c r="AS230" i="6"/>
  <c r="AS171" i="6"/>
  <c r="AS151" i="6"/>
  <c r="AS271" i="6"/>
  <c r="AS284" i="6"/>
  <c r="AS322" i="6"/>
  <c r="AS132" i="6"/>
  <c r="AS265" i="6"/>
  <c r="AS155" i="6"/>
  <c r="AS168" i="6"/>
  <c r="AS143" i="6"/>
  <c r="AS371" i="6"/>
  <c r="AS62" i="6"/>
  <c r="AS203" i="6"/>
  <c r="AS173" i="6"/>
  <c r="AS341" i="6"/>
  <c r="AS366" i="6"/>
  <c r="AS69" i="6"/>
  <c r="AS72" i="6"/>
  <c r="AS273" i="6"/>
  <c r="AS74" i="6"/>
  <c r="AS369" i="6"/>
  <c r="AS36" i="6"/>
  <c r="AS140" i="6"/>
  <c r="AS136" i="6"/>
  <c r="AS48" i="6"/>
  <c r="BQ254" i="7" s="1" a="1"/>
  <c r="BQ254" i="7" s="1"/>
  <c r="D252" i="11" s="1"/>
  <c r="AS215" i="6"/>
  <c r="AS29" i="6"/>
  <c r="AS95" i="6"/>
  <c r="AS166" i="6"/>
  <c r="AS60" i="6"/>
  <c r="BQ240" i="7" s="1" a="1"/>
  <c r="BQ240" i="7" s="1"/>
  <c r="D238" i="11" s="1"/>
  <c r="Z84" i="6"/>
  <c r="AA84" i="6"/>
  <c r="O103" i="3"/>
  <c r="Z252" i="6"/>
  <c r="O271" i="3"/>
  <c r="AA252" i="6"/>
  <c r="AA344" i="6"/>
  <c r="O363" i="3"/>
  <c r="Z344" i="6"/>
  <c r="AA237" i="6"/>
  <c r="O256" i="3"/>
  <c r="Z237" i="6"/>
  <c r="AA235" i="6"/>
  <c r="O254" i="3"/>
  <c r="Z235" i="6"/>
  <c r="Z176" i="6"/>
  <c r="O195" i="3"/>
  <c r="AA176" i="6"/>
  <c r="AA290" i="6"/>
  <c r="Z290" i="6"/>
  <c r="O309" i="3"/>
  <c r="Z58" i="6"/>
  <c r="O77" i="3"/>
  <c r="AA58" i="6"/>
  <c r="AA148" i="6"/>
  <c r="Z148" i="6"/>
  <c r="O167" i="3"/>
  <c r="Z130" i="6"/>
  <c r="AA130" i="6"/>
  <c r="O149" i="3"/>
  <c r="O171" i="3"/>
  <c r="AA152" i="6"/>
  <c r="Z152" i="6"/>
  <c r="AA282" i="6"/>
  <c r="Z282" i="6"/>
  <c r="O301" i="3"/>
  <c r="AA146" i="6"/>
  <c r="Z146" i="6"/>
  <c r="O165" i="3"/>
  <c r="AA88" i="6"/>
  <c r="Z88" i="6"/>
  <c r="O107" i="3"/>
  <c r="AA18" i="6"/>
  <c r="Z18" i="6"/>
  <c r="O37" i="3"/>
  <c r="O51" i="3"/>
  <c r="AA32" i="6"/>
  <c r="Z32" i="6"/>
  <c r="AA278" i="6"/>
  <c r="Z278" i="6"/>
  <c r="O297" i="3"/>
  <c r="AA174" i="6"/>
  <c r="O193" i="3"/>
  <c r="Z174" i="6"/>
  <c r="Z196" i="6"/>
  <c r="O215" i="3"/>
  <c r="AA196" i="6"/>
  <c r="Z10" i="6"/>
  <c r="O29" i="3"/>
  <c r="AA10" i="6"/>
  <c r="AA90" i="6"/>
  <c r="Z90" i="6"/>
  <c r="O109" i="3"/>
  <c r="AA108" i="6"/>
  <c r="Z108" i="6"/>
  <c r="O127" i="3"/>
  <c r="AA268" i="6"/>
  <c r="Z268" i="6"/>
  <c r="O287" i="3"/>
  <c r="AA118" i="6"/>
  <c r="Z118" i="6"/>
  <c r="O137" i="3"/>
  <c r="O303" i="3"/>
  <c r="AA284" i="6"/>
  <c r="Z284" i="6"/>
  <c r="O401" i="3"/>
  <c r="Z382" i="6"/>
  <c r="AA382" i="6"/>
  <c r="Z106" i="6"/>
  <c r="O125" i="3"/>
  <c r="AA106" i="6"/>
  <c r="AA168" i="6"/>
  <c r="Z168" i="6"/>
  <c r="O187" i="3"/>
  <c r="AA66" i="6"/>
  <c r="Z66" i="6"/>
  <c r="O85" i="3"/>
  <c r="AA202" i="6"/>
  <c r="Z202" i="6"/>
  <c r="O221" i="3"/>
  <c r="Z234" i="6"/>
  <c r="AA234" i="6"/>
  <c r="O253" i="3"/>
  <c r="AA48" i="6"/>
  <c r="O67" i="3"/>
  <c r="Z48" i="6"/>
  <c r="Z98" i="6"/>
  <c r="AA98" i="6"/>
  <c r="O117" i="3"/>
  <c r="Z150" i="6"/>
  <c r="O169" i="3"/>
  <c r="AA150" i="6"/>
  <c r="AA221" i="6"/>
  <c r="Z221" i="6"/>
  <c r="O240" i="3"/>
  <c r="AA331" i="6"/>
  <c r="O350" i="3"/>
  <c r="Z331" i="6"/>
  <c r="O197" i="3"/>
  <c r="AA178" i="6"/>
  <c r="Z178" i="6"/>
  <c r="Z180" i="6"/>
  <c r="AA180" i="6"/>
  <c r="O199" i="3"/>
  <c r="AA392" i="6"/>
  <c r="Z392" i="6"/>
  <c r="O411" i="3"/>
  <c r="Z162" i="6"/>
  <c r="O181" i="3"/>
  <c r="AA162" i="6"/>
  <c r="AA184" i="6"/>
  <c r="O203" i="3"/>
  <c r="Z184" i="6"/>
  <c r="AA340" i="6"/>
  <c r="Z340" i="6"/>
  <c r="O359" i="3"/>
  <c r="O135" i="3"/>
  <c r="AA116" i="6"/>
  <c r="Z116" i="6"/>
  <c r="AA312" i="6"/>
  <c r="Z312" i="6"/>
  <c r="O331" i="3"/>
  <c r="AA364" i="6"/>
  <c r="Z364" i="6"/>
  <c r="O383" i="3"/>
  <c r="O63" i="3"/>
  <c r="Z44" i="6"/>
  <c r="AA44" i="6"/>
  <c r="AA128" i="6"/>
  <c r="Z128" i="6"/>
  <c r="O147" i="3"/>
  <c r="AA342" i="6"/>
  <c r="Z342" i="6"/>
  <c r="O361" i="3"/>
  <c r="O47" i="3"/>
  <c r="Z28" i="6"/>
  <c r="AA28" i="6"/>
  <c r="AA286" i="6"/>
  <c r="O305" i="3"/>
  <c r="Z286" i="6"/>
  <c r="AA316" i="6"/>
  <c r="O335" i="3"/>
  <c r="Z316" i="6"/>
  <c r="AA210" i="6"/>
  <c r="O229" i="3"/>
  <c r="Z210" i="6"/>
  <c r="AA321" i="6"/>
  <c r="O340" i="3"/>
  <c r="Z321" i="6"/>
  <c r="AA122" i="6"/>
  <c r="Z122" i="6"/>
  <c r="O141" i="3"/>
  <c r="AA208" i="6"/>
  <c r="Z208" i="6"/>
  <c r="O227" i="3"/>
  <c r="AA242" i="6"/>
  <c r="O261" i="3"/>
  <c r="Z242" i="6"/>
  <c r="Z36" i="6"/>
  <c r="AA36" i="6"/>
  <c r="O55" i="3"/>
  <c r="AA350" i="6"/>
  <c r="Z350" i="6"/>
  <c r="O369" i="3"/>
  <c r="Z60" i="6"/>
  <c r="AA60" i="6"/>
  <c r="O79" i="3"/>
  <c r="AA230" i="6"/>
  <c r="O249" i="3"/>
  <c r="Z230" i="6"/>
  <c r="AA236" i="6"/>
  <c r="O255" i="3"/>
  <c r="Z236" i="6"/>
  <c r="AA318" i="6"/>
  <c r="Z318" i="6"/>
  <c r="O337" i="3"/>
  <c r="AA96" i="6"/>
  <c r="O115" i="3"/>
  <c r="Z96" i="6"/>
  <c r="O391" i="3"/>
  <c r="AA372" i="6"/>
  <c r="Z372" i="6"/>
  <c r="AA231" i="6"/>
  <c r="Z231" i="6"/>
  <c r="O250" i="3"/>
  <c r="Z20" i="6"/>
  <c r="AA20" i="6"/>
  <c r="O39" i="3"/>
  <c r="AA52" i="6"/>
  <c r="O71" i="3"/>
  <c r="Z52" i="6"/>
  <c r="O75" i="3"/>
  <c r="AA56" i="6"/>
  <c r="Z56" i="6"/>
  <c r="Z182" i="6"/>
  <c r="O201" i="3"/>
  <c r="AA182" i="6"/>
  <c r="Z238" i="6"/>
  <c r="O257" i="3"/>
  <c r="AA238" i="6"/>
  <c r="AA50" i="6"/>
  <c r="Z50" i="6"/>
  <c r="O69" i="3"/>
  <c r="AA154" i="6"/>
  <c r="Z154" i="6"/>
  <c r="O173" i="3"/>
  <c r="Z266" i="6"/>
  <c r="O285" i="3"/>
  <c r="AA266" i="6"/>
  <c r="AA356" i="6"/>
  <c r="Z356" i="6"/>
  <c r="O375" i="3"/>
  <c r="AA16" i="6"/>
  <c r="Z16" i="6"/>
  <c r="O35" i="3"/>
  <c r="AA134" i="6"/>
  <c r="Z134" i="6"/>
  <c r="O153" i="3"/>
  <c r="AA200" i="6"/>
  <c r="Z200" i="6"/>
  <c r="O219" i="3"/>
  <c r="AA160" i="6"/>
  <c r="Z160" i="6"/>
  <c r="O179" i="3"/>
  <c r="AA82" i="6"/>
  <c r="Z82" i="6"/>
  <c r="O101" i="3"/>
  <c r="AA132" i="6"/>
  <c r="Z132" i="6"/>
  <c r="O151" i="3"/>
  <c r="AA302" i="6"/>
  <c r="Z302" i="6"/>
  <c r="O321" i="3"/>
  <c r="Z280" i="6"/>
  <c r="O299" i="3"/>
  <c r="AA280" i="6"/>
  <c r="Z136" i="6"/>
  <c r="O155" i="3"/>
  <c r="AA136" i="6"/>
  <c r="AA72" i="6"/>
  <c r="Z72" i="6"/>
  <c r="O91" i="3"/>
  <c r="AA212" i="6"/>
  <c r="Z212" i="6"/>
  <c r="O231" i="3"/>
  <c r="AA222" i="6"/>
  <c r="Z222" i="6"/>
  <c r="O241" i="3"/>
  <c r="AA12" i="6"/>
  <c r="Z12" i="6"/>
  <c r="O31" i="3"/>
  <c r="AA194" i="6"/>
  <c r="Z194" i="6"/>
  <c r="O213" i="3"/>
  <c r="AA216" i="6"/>
  <c r="Z216" i="6"/>
  <c r="O235" i="3"/>
  <c r="Z360" i="6"/>
  <c r="O379" i="3"/>
  <c r="AA360" i="6"/>
  <c r="O32" i="3"/>
  <c r="Z13" i="6"/>
  <c r="AA13" i="6"/>
  <c r="Z138" i="6"/>
  <c r="O157" i="3"/>
  <c r="AA138" i="6"/>
  <c r="AA40" i="6"/>
  <c r="O59" i="3"/>
  <c r="Z40" i="6"/>
  <c r="Z366" i="6"/>
  <c r="O385" i="3"/>
  <c r="AA366" i="6"/>
  <c r="Z322" i="6"/>
  <c r="AA322" i="6"/>
  <c r="O341" i="3"/>
  <c r="Z92" i="6"/>
  <c r="O111" i="3"/>
  <c r="AA92" i="6"/>
  <c r="O61" i="3"/>
  <c r="AA42" i="6"/>
  <c r="Z42" i="6"/>
  <c r="AA314" i="6"/>
  <c r="Z314" i="6"/>
  <c r="O333" i="3"/>
  <c r="O407" i="3"/>
  <c r="AA388" i="6"/>
  <c r="Z388" i="6"/>
  <c r="AA80" i="6"/>
  <c r="Z80" i="6"/>
  <c r="O99" i="3"/>
  <c r="AA120" i="6"/>
  <c r="Z120" i="6"/>
  <c r="O139" i="3"/>
  <c r="O87" i="3"/>
  <c r="Z68" i="6"/>
  <c r="AA68" i="6"/>
  <c r="Z24" i="6"/>
  <c r="O43" i="3"/>
  <c r="AA24" i="6"/>
  <c r="AA166" i="6"/>
  <c r="Z166" i="6"/>
  <c r="O185" i="3"/>
  <c r="AA300" i="6"/>
  <c r="Z300" i="6"/>
  <c r="O319" i="3"/>
  <c r="Z170" i="6"/>
  <c r="O189" i="3"/>
  <c r="AA170" i="6"/>
  <c r="AA26" i="6"/>
  <c r="Z26" i="6"/>
  <c r="O45" i="3"/>
  <c r="AA164" i="6"/>
  <c r="Z164" i="6"/>
  <c r="O183" i="3"/>
  <c r="O317" i="3"/>
  <c r="AA298" i="6"/>
  <c r="Z298" i="6"/>
  <c r="AA14" i="6"/>
  <c r="O33" i="3"/>
  <c r="Z14" i="6"/>
  <c r="AA214" i="6"/>
  <c r="Z214" i="6"/>
  <c r="O233" i="3"/>
  <c r="AA296" i="6"/>
  <c r="Z296" i="6"/>
  <c r="O315" i="3"/>
  <c r="AA64" i="6"/>
  <c r="Z64" i="6"/>
  <c r="O83" i="3"/>
  <c r="O205" i="3"/>
  <c r="AA186" i="6"/>
  <c r="Z186" i="6"/>
  <c r="Z310" i="6"/>
  <c r="AA310" i="6"/>
  <c r="O329" i="3"/>
  <c r="AA370" i="6"/>
  <c r="Z370" i="6"/>
  <c r="O389" i="3"/>
  <c r="Z126" i="6"/>
  <c r="O145" i="3"/>
  <c r="AA126" i="6"/>
  <c r="AA294" i="6"/>
  <c r="Z294" i="6"/>
  <c r="O313" i="3"/>
  <c r="AA306" i="6"/>
  <c r="O325" i="3"/>
  <c r="Z306" i="6"/>
  <c r="AA246" i="6"/>
  <c r="Z246" i="6"/>
  <c r="O265" i="3"/>
  <c r="AA386" i="6"/>
  <c r="Z386" i="6"/>
  <c r="O405" i="3"/>
  <c r="O124" i="3"/>
  <c r="AA105" i="6"/>
  <c r="Z105" i="6"/>
  <c r="O217" i="3"/>
  <c r="AA198" i="6"/>
  <c r="Z198" i="6"/>
  <c r="O367" i="3"/>
  <c r="AA348" i="6"/>
  <c r="Z348" i="6"/>
  <c r="Z76" i="6"/>
  <c r="AA76" i="6"/>
  <c r="O95" i="3"/>
  <c r="AA74" i="6"/>
  <c r="Z74" i="6"/>
  <c r="O93" i="3"/>
  <c r="AA260" i="6"/>
  <c r="Z260" i="6"/>
  <c r="O279" i="3"/>
  <c r="AA250" i="6"/>
  <c r="Z250" i="6"/>
  <c r="O269" i="3"/>
  <c r="B96" i="9"/>
  <c r="I96" i="9"/>
  <c r="H96" i="9"/>
  <c r="G96" i="9"/>
  <c r="E96" i="9"/>
  <c r="D96" i="9"/>
  <c r="AD209" i="3"/>
  <c r="AC209" i="3"/>
  <c r="AD398" i="3"/>
  <c r="AC398" i="3"/>
  <c r="AC219" i="3"/>
  <c r="AD219" i="3"/>
  <c r="AD154" i="3"/>
  <c r="AC154" i="3"/>
  <c r="AD280" i="3"/>
  <c r="AC280" i="3"/>
  <c r="AC54" i="3"/>
  <c r="AD54" i="3"/>
  <c r="H3" i="14"/>
  <c r="G3" i="14"/>
  <c r="F3" i="14"/>
  <c r="E3" i="14"/>
  <c r="D3" i="14"/>
  <c r="C3" i="14"/>
  <c r="B3" i="14"/>
  <c r="AD90" i="3"/>
  <c r="AC90" i="3"/>
  <c r="AD71" i="3"/>
  <c r="AC71" i="3"/>
  <c r="AD257" i="3"/>
  <c r="AD388" i="3"/>
  <c r="AC388" i="3"/>
  <c r="A91" i="9"/>
  <c r="Z93" i="7"/>
  <c r="A63" i="9"/>
  <c r="Z65" i="7"/>
  <c r="G36" i="9"/>
  <c r="E36" i="9"/>
  <c r="D36" i="9"/>
  <c r="B36" i="9"/>
  <c r="I36" i="9"/>
  <c r="H36" i="9"/>
  <c r="A12" i="9"/>
  <c r="Z14" i="7"/>
  <c r="AD409" i="3"/>
  <c r="AC409" i="3"/>
  <c r="AD390" i="3"/>
  <c r="AC390" i="3"/>
  <c r="AD326" i="3"/>
  <c r="A77" i="9"/>
  <c r="Z79" i="7"/>
  <c r="A11" i="9"/>
  <c r="Z13" i="7"/>
  <c r="G20" i="9"/>
  <c r="E20" i="9"/>
  <c r="D20" i="9"/>
  <c r="B20" i="9"/>
  <c r="I20" i="9"/>
  <c r="H20" i="9"/>
  <c r="A30" i="9"/>
  <c r="Z32" i="7"/>
  <c r="AD187" i="3"/>
  <c r="AC187" i="3"/>
  <c r="S51" i="3"/>
  <c r="AD365" i="3"/>
  <c r="AC365" i="3"/>
  <c r="AD170" i="3"/>
  <c r="AC170" i="3"/>
  <c r="AD93" i="3"/>
  <c r="AC93" i="3"/>
  <c r="AD291" i="3"/>
  <c r="AC291" i="3"/>
  <c r="AD317" i="3"/>
  <c r="AC317" i="3"/>
  <c r="AC222" i="3"/>
  <c r="AD222" i="3"/>
  <c r="S249" i="3"/>
  <c r="AD263" i="3"/>
  <c r="AC263" i="3"/>
  <c r="AD281" i="3"/>
  <c r="AC281" i="3"/>
  <c r="AD353" i="3"/>
  <c r="AC353" i="3"/>
  <c r="I90" i="9"/>
  <c r="H90" i="9"/>
  <c r="G90" i="9"/>
  <c r="E90" i="9"/>
  <c r="D90" i="9"/>
  <c r="B90" i="9"/>
  <c r="A85" i="9"/>
  <c r="Z87" i="7"/>
  <c r="G60" i="9"/>
  <c r="E60" i="9"/>
  <c r="D60" i="9"/>
  <c r="B60" i="9"/>
  <c r="I60" i="9"/>
  <c r="H60" i="9"/>
  <c r="E77" i="9"/>
  <c r="D77" i="9"/>
  <c r="B77" i="9"/>
  <c r="I77" i="9"/>
  <c r="H77" i="9"/>
  <c r="G77" i="9"/>
  <c r="A4" i="9"/>
  <c r="Z6" i="7"/>
  <c r="D7" i="9"/>
  <c r="B7" i="9"/>
  <c r="I7" i="9"/>
  <c r="H7" i="9"/>
  <c r="G7" i="9"/>
  <c r="E7" i="9"/>
  <c r="H11" i="9"/>
  <c r="G11" i="9"/>
  <c r="E11" i="9"/>
  <c r="D11" i="9"/>
  <c r="B11" i="9"/>
  <c r="I11" i="9"/>
  <c r="S192" i="3"/>
  <c r="AD329" i="3"/>
  <c r="S129" i="3"/>
  <c r="AC355" i="3"/>
  <c r="AD355" i="3"/>
  <c r="AD362" i="3"/>
  <c r="AC362" i="3"/>
  <c r="S292" i="3"/>
  <c r="S59" i="3"/>
  <c r="AD204" i="3"/>
  <c r="AC204" i="3"/>
  <c r="A42" i="9"/>
  <c r="Z44" i="7"/>
  <c r="H51" i="9"/>
  <c r="G51" i="9"/>
  <c r="E51" i="9"/>
  <c r="D51" i="9"/>
  <c r="B51" i="9"/>
  <c r="I51" i="9"/>
  <c r="A14" i="9"/>
  <c r="Z16" i="7"/>
  <c r="AC384" i="3"/>
  <c r="AD384" i="3"/>
  <c r="S399" i="3"/>
  <c r="AD273" i="3"/>
  <c r="AC273" i="3"/>
  <c r="AD148" i="3"/>
  <c r="AC148" i="3"/>
  <c r="U105" i="3"/>
  <c r="S153" i="3"/>
  <c r="AD114" i="3"/>
  <c r="AD226" i="3"/>
  <c r="AD31" i="3"/>
  <c r="BQ242" i="7" a="1"/>
  <c r="BQ242" i="7" s="1"/>
  <c r="D240" i="11" s="1"/>
  <c r="BM247" i="7" a="1"/>
  <c r="BM247" i="7" s="1"/>
  <c r="BQ238" i="7" a="1"/>
  <c r="BQ238" i="7" s="1"/>
  <c r="D236" i="11" s="1"/>
  <c r="BQ257" i="7" a="1"/>
  <c r="BQ257" i="7" s="1"/>
  <c r="D255" i="11" s="1"/>
  <c r="BQ249" i="7" a="1"/>
  <c r="BQ249" i="7" s="1"/>
  <c r="D247" i="11" s="1"/>
  <c r="BM253" i="7" a="1"/>
  <c r="BM253" i="7" s="1"/>
  <c r="BM245" i="7" a="1"/>
  <c r="BM245" i="7" s="1"/>
  <c r="BQ244" i="7" a="1"/>
  <c r="BQ244" i="7" s="1"/>
  <c r="D242" i="11" s="1"/>
  <c r="BM237" i="7" a="1"/>
  <c r="BM237" i="7" s="1"/>
  <c r="BQ236" i="7" a="1"/>
  <c r="BQ236" i="7" s="1"/>
  <c r="D234" i="11" s="1"/>
  <c r="BQ228" i="7" a="1"/>
  <c r="BQ228" i="7" s="1"/>
  <c r="D226" i="11" s="1"/>
  <c r="BM217" i="7" a="1"/>
  <c r="BM217" i="7" s="1"/>
  <c r="BQ216" i="7" a="1"/>
  <c r="BQ216" i="7" s="1"/>
  <c r="D214" i="11" s="1"/>
  <c r="BM209" i="7" a="1"/>
  <c r="BM209" i="7" s="1"/>
  <c r="BQ208" i="7" a="1"/>
  <c r="BQ208" i="7" s="1"/>
  <c r="D206" i="11" s="1"/>
  <c r="BM201" i="7" a="1"/>
  <c r="BM201" i="7" s="1"/>
  <c r="BQ200" i="7" a="1"/>
  <c r="BQ200" i="7" s="1"/>
  <c r="D198" i="11" s="1"/>
  <c r="BM220" i="7" a="1"/>
  <c r="BM220" i="7" s="1"/>
  <c r="BQ219" i="7" a="1"/>
  <c r="BQ219" i="7" s="1"/>
  <c r="D217" i="11" s="1"/>
  <c r="BM212" i="7" a="1"/>
  <c r="BM212" i="7" s="1"/>
  <c r="BQ211" i="7" a="1"/>
  <c r="BQ211" i="7" s="1"/>
  <c r="D209" i="11" s="1"/>
  <c r="BM204" i="7" a="1"/>
  <c r="BM204" i="7" s="1"/>
  <c r="BQ203" i="7" a="1"/>
  <c r="BQ203" i="7" s="1"/>
  <c r="D201" i="11" s="1"/>
  <c r="BQ227" i="7" a="1"/>
  <c r="BQ227" i="7" s="1"/>
  <c r="D225" i="11" s="1"/>
  <c r="BQ223" i="7" a="1"/>
  <c r="BQ223" i="7" s="1"/>
  <c r="D221" i="11" s="1"/>
  <c r="BM222" i="7" a="1"/>
  <c r="BM222" i="7" s="1"/>
  <c r="BM215" i="7" a="1"/>
  <c r="BM215" i="7" s="1"/>
  <c r="BQ214" i="7" a="1"/>
  <c r="BQ214" i="7" s="1"/>
  <c r="D212" i="11" s="1"/>
  <c r="BM207" i="7" a="1"/>
  <c r="BM207" i="7" s="1"/>
  <c r="BQ206" i="7" a="1"/>
  <c r="BQ206" i="7" s="1"/>
  <c r="D204" i="11" s="1"/>
  <c r="BQ230" i="7" a="1"/>
  <c r="BQ230" i="7" s="1"/>
  <c r="D228" i="11" s="1"/>
  <c r="BM224" i="7" a="1"/>
  <c r="BM224" i="7" s="1"/>
  <c r="BM218" i="7" a="1"/>
  <c r="BM218" i="7" s="1"/>
  <c r="BQ217" i="7" a="1"/>
  <c r="BQ217" i="7" s="1"/>
  <c r="D215" i="11" s="1"/>
  <c r="BM210" i="7" a="1"/>
  <c r="BM210" i="7" s="1"/>
  <c r="BQ209" i="7" a="1"/>
  <c r="BQ209" i="7" s="1"/>
  <c r="D207" i="11" s="1"/>
  <c r="BM202" i="7" a="1"/>
  <c r="BM202" i="7" s="1"/>
  <c r="BQ201" i="7" a="1"/>
  <c r="BQ201" i="7" s="1"/>
  <c r="D199" i="11" s="1"/>
  <c r="BQ226" i="7" a="1"/>
  <c r="BQ226" i="7" s="1"/>
  <c r="D224" i="11" s="1"/>
  <c r="BM221" i="7" a="1"/>
  <c r="BM221" i="7" s="1"/>
  <c r="BQ220" i="7" a="1"/>
  <c r="BQ220" i="7" s="1"/>
  <c r="D218" i="11" s="1"/>
  <c r="BM213" i="7" a="1"/>
  <c r="BM213" i="7" s="1"/>
  <c r="BQ212" i="7" a="1"/>
  <c r="BQ212" i="7" s="1"/>
  <c r="D210" i="11" s="1"/>
  <c r="BM205" i="7" a="1"/>
  <c r="BM205" i="7" s="1"/>
  <c r="BQ204" i="7" a="1"/>
  <c r="BQ204" i="7" s="1"/>
  <c r="D202" i="11" s="1"/>
  <c r="BM216" i="7" a="1"/>
  <c r="BM216" i="7" s="1"/>
  <c r="BQ215" i="7" a="1"/>
  <c r="BQ215" i="7" s="1"/>
  <c r="D213" i="11" s="1"/>
  <c r="BM208" i="7" a="1"/>
  <c r="BM208" i="7" s="1"/>
  <c r="BQ207" i="7" a="1"/>
  <c r="BQ207" i="7" s="1"/>
  <c r="D205" i="11" s="1"/>
  <c r="BM200" i="7" a="1"/>
  <c r="BM200" i="7" s="1"/>
  <c r="BQ199" i="7" a="1"/>
  <c r="BQ199" i="7" s="1"/>
  <c r="D197" i="11" s="1"/>
  <c r="BM227" i="7" a="1"/>
  <c r="BM227" i="7" s="1"/>
  <c r="BQ225" i="7" a="1"/>
  <c r="BQ225" i="7" s="1"/>
  <c r="D223" i="11" s="1"/>
  <c r="BQ222" i="7" a="1"/>
  <c r="BQ222" i="7" s="1"/>
  <c r="D220" i="11" s="1"/>
  <c r="BM219" i="7" a="1"/>
  <c r="BM219" i="7" s="1"/>
  <c r="BQ218" i="7" a="1"/>
  <c r="BQ218" i="7" s="1"/>
  <c r="D216" i="11" s="1"/>
  <c r="BM211" i="7" a="1"/>
  <c r="BM211" i="7" s="1"/>
  <c r="BQ210" i="7" a="1"/>
  <c r="BQ210" i="7" s="1"/>
  <c r="D208" i="11" s="1"/>
  <c r="BM223" i="7" a="1"/>
  <c r="BM223" i="7" s="1"/>
  <c r="BQ221" i="7" a="1"/>
  <c r="BQ221" i="7" s="1"/>
  <c r="D219" i="11" s="1"/>
  <c r="BM214" i="7" a="1"/>
  <c r="BM214" i="7" s="1"/>
  <c r="BQ213" i="7" a="1"/>
  <c r="BQ213" i="7" s="1"/>
  <c r="D211" i="11" s="1"/>
  <c r="BM206" i="7" a="1"/>
  <c r="BM206" i="7" s="1"/>
  <c r="BQ205" i="7" a="1"/>
  <c r="BQ205" i="7" s="1"/>
  <c r="D203" i="11" s="1"/>
  <c r="BQ195" i="7" a="1"/>
  <c r="BQ195" i="7" s="1"/>
  <c r="D193" i="11" s="1"/>
  <c r="BM194" i="7" a="1"/>
  <c r="BM194" i="7" s="1"/>
  <c r="BM188" i="7" a="1"/>
  <c r="BM188" i="7" s="1"/>
  <c r="BQ187" i="7" a="1"/>
  <c r="BQ187" i="7" s="1"/>
  <c r="D185" i="11" s="1"/>
  <c r="BM180" i="7" a="1"/>
  <c r="BM180" i="7" s="1"/>
  <c r="BQ179" i="7" a="1"/>
  <c r="BQ179" i="7" s="1"/>
  <c r="D177" i="11" s="1"/>
  <c r="BM172" i="7" a="1"/>
  <c r="BM172" i="7" s="1"/>
  <c r="BQ171" i="7" a="1"/>
  <c r="BQ171" i="7" s="1"/>
  <c r="D169" i="11" s="1"/>
  <c r="BM164" i="7" a="1"/>
  <c r="BM164" i="7" s="1"/>
  <c r="BQ163" i="7" a="1"/>
  <c r="BQ163" i="7" s="1"/>
  <c r="D161" i="11" s="1"/>
  <c r="BM156" i="7" a="1"/>
  <c r="BM156" i="7" s="1"/>
  <c r="BQ155" i="7" a="1"/>
  <c r="BQ155" i="7" s="1"/>
  <c r="D153" i="11" s="1"/>
  <c r="BM148" i="7" a="1"/>
  <c r="BM148" i="7" s="1"/>
  <c r="BQ147" i="7" a="1"/>
  <c r="BQ147" i="7" s="1"/>
  <c r="D145" i="11" s="1"/>
  <c r="BM140" i="7" a="1"/>
  <c r="BM140" i="7" s="1"/>
  <c r="BM199" i="7" a="1"/>
  <c r="BM199" i="7" s="1"/>
  <c r="BQ197" i="7" a="1"/>
  <c r="BQ197" i="7" s="1"/>
  <c r="D195" i="11" s="1"/>
  <c r="BM196" i="7" a="1"/>
  <c r="BM196" i="7" s="1"/>
  <c r="BM191" i="7" a="1"/>
  <c r="BM191" i="7" s="1"/>
  <c r="BQ190" i="7" a="1"/>
  <c r="BQ190" i="7" s="1"/>
  <c r="D188" i="11" s="1"/>
  <c r="BM183" i="7" a="1"/>
  <c r="BM183" i="7" s="1"/>
  <c r="BQ182" i="7" a="1"/>
  <c r="BQ182" i="7" s="1"/>
  <c r="D180" i="11" s="1"/>
  <c r="BM175" i="7" a="1"/>
  <c r="BM175" i="7" s="1"/>
  <c r="BQ174" i="7" a="1"/>
  <c r="BQ174" i="7" s="1"/>
  <c r="D172" i="11" s="1"/>
  <c r="BM167" i="7" a="1"/>
  <c r="BM167" i="7" s="1"/>
  <c r="BQ166" i="7" a="1"/>
  <c r="BQ166" i="7" s="1"/>
  <c r="D164" i="11" s="1"/>
  <c r="BM159" i="7" a="1"/>
  <c r="BM159" i="7" s="1"/>
  <c r="BQ158" i="7" a="1"/>
  <c r="BQ158" i="7" s="1"/>
  <c r="D156" i="11" s="1"/>
  <c r="BM151" i="7" a="1"/>
  <c r="BM151" i="7" s="1"/>
  <c r="BQ150" i="7" a="1"/>
  <c r="BQ150" i="7" s="1"/>
  <c r="D148" i="11" s="1"/>
  <c r="BM143" i="7" a="1"/>
  <c r="BM143" i="7" s="1"/>
  <c r="BQ142" i="7" a="1"/>
  <c r="BQ142" i="7" s="1"/>
  <c r="D140" i="11" s="1"/>
  <c r="BM135" i="7" a="1"/>
  <c r="BM135" i="7" s="1"/>
  <c r="BM198" i="7" a="1"/>
  <c r="BM198" i="7" s="1"/>
  <c r="BQ193" i="7" a="1"/>
  <c r="BQ193" i="7" s="1"/>
  <c r="D191" i="11" s="1"/>
  <c r="BM186" i="7" a="1"/>
  <c r="BM186" i="7" s="1"/>
  <c r="BQ185" i="7" a="1"/>
  <c r="BQ185" i="7" s="1"/>
  <c r="D183" i="11" s="1"/>
  <c r="BM178" i="7" a="1"/>
  <c r="BM178" i="7" s="1"/>
  <c r="BQ177" i="7" a="1"/>
  <c r="BQ177" i="7" s="1"/>
  <c r="D175" i="11" s="1"/>
  <c r="BM170" i="7" a="1"/>
  <c r="BM170" i="7" s="1"/>
  <c r="BQ169" i="7" a="1"/>
  <c r="BQ169" i="7" s="1"/>
  <c r="D167" i="11" s="1"/>
  <c r="BM162" i="7" a="1"/>
  <c r="BM162" i="7" s="1"/>
  <c r="BQ161" i="7" a="1"/>
  <c r="BQ161" i="7" s="1"/>
  <c r="D159" i="11" s="1"/>
  <c r="BM154" i="7" a="1"/>
  <c r="BM154" i="7" s="1"/>
  <c r="BQ153" i="7" a="1"/>
  <c r="BQ153" i="7" s="1"/>
  <c r="D151" i="11" s="1"/>
  <c r="BM146" i="7" a="1"/>
  <c r="BM146" i="7" s="1"/>
  <c r="BQ194" i="7" a="1"/>
  <c r="BQ194" i="7" s="1"/>
  <c r="D192" i="11" s="1"/>
  <c r="BM189" i="7" a="1"/>
  <c r="BM189" i="7" s="1"/>
  <c r="BQ188" i="7" a="1"/>
  <c r="BQ188" i="7" s="1"/>
  <c r="D186" i="11" s="1"/>
  <c r="BM181" i="7" a="1"/>
  <c r="BM181" i="7" s="1"/>
  <c r="BQ180" i="7" a="1"/>
  <c r="BQ180" i="7" s="1"/>
  <c r="D178" i="11" s="1"/>
  <c r="BM173" i="7" a="1"/>
  <c r="BM173" i="7" s="1"/>
  <c r="BQ172" i="7" a="1"/>
  <c r="BQ172" i="7" s="1"/>
  <c r="D170" i="11" s="1"/>
  <c r="BM165" i="7" a="1"/>
  <c r="BM165" i="7" s="1"/>
  <c r="BQ164" i="7" a="1"/>
  <c r="BQ164" i="7" s="1"/>
  <c r="D162" i="11" s="1"/>
  <c r="BM157" i="7" a="1"/>
  <c r="BM157" i="7" s="1"/>
  <c r="BQ156" i="7" a="1"/>
  <c r="BQ156" i="7" s="1"/>
  <c r="D154" i="11" s="1"/>
  <c r="BM149" i="7" a="1"/>
  <c r="BM149" i="7" s="1"/>
  <c r="BQ148" i="7" a="1"/>
  <c r="BQ148" i="7" s="1"/>
  <c r="D146" i="11" s="1"/>
  <c r="BM141" i="7" a="1"/>
  <c r="BM141" i="7" s="1"/>
  <c r="BQ140" i="7" a="1"/>
  <c r="BQ140" i="7" s="1"/>
  <c r="D138" i="11" s="1"/>
  <c r="BM133" i="7" a="1"/>
  <c r="BM133" i="7" s="1"/>
  <c r="BQ132" i="7" a="1"/>
  <c r="BQ132" i="7" s="1"/>
  <c r="D130" i="11" s="1"/>
  <c r="BM203" i="7" a="1"/>
  <c r="BM203" i="7" s="1"/>
  <c r="BM195" i="7" a="1"/>
  <c r="BM195" i="7" s="1"/>
  <c r="BM192" i="7" a="1"/>
  <c r="BM192" i="7" s="1"/>
  <c r="BQ191" i="7" a="1"/>
  <c r="BQ191" i="7" s="1"/>
  <c r="D189" i="11" s="1"/>
  <c r="BM184" i="7" a="1"/>
  <c r="BM184" i="7" s="1"/>
  <c r="BQ183" i="7" a="1"/>
  <c r="BQ183" i="7" s="1"/>
  <c r="D181" i="11" s="1"/>
  <c r="BM176" i="7" a="1"/>
  <c r="BM176" i="7" s="1"/>
  <c r="BQ175" i="7" a="1"/>
  <c r="BQ175" i="7" s="1"/>
  <c r="D173" i="11" s="1"/>
  <c r="BM168" i="7" a="1"/>
  <c r="BM168" i="7" s="1"/>
  <c r="BQ167" i="7" a="1"/>
  <c r="BQ167" i="7" s="1"/>
  <c r="D165" i="11" s="1"/>
  <c r="BM160" i="7" a="1"/>
  <c r="BM160" i="7" s="1"/>
  <c r="BQ159" i="7" a="1"/>
  <c r="BQ159" i="7" s="1"/>
  <c r="D157" i="11" s="1"/>
  <c r="BM152" i="7" a="1"/>
  <c r="BM152" i="7" s="1"/>
  <c r="BQ151" i="7" a="1"/>
  <c r="BQ151" i="7" s="1"/>
  <c r="D149" i="11" s="1"/>
  <c r="BM144" i="7" a="1"/>
  <c r="BM144" i="7" s="1"/>
  <c r="BQ143" i="7" a="1"/>
  <c r="BQ143" i="7" s="1"/>
  <c r="D141" i="11" s="1"/>
  <c r="BM136" i="7" a="1"/>
  <c r="BM136" i="7" s="1"/>
  <c r="BQ196" i="7" a="1"/>
  <c r="BQ196" i="7" s="1"/>
  <c r="D194" i="11" s="1"/>
  <c r="BM187" i="7" a="1"/>
  <c r="BM187" i="7" s="1"/>
  <c r="BQ186" i="7" a="1"/>
  <c r="BQ186" i="7" s="1"/>
  <c r="D184" i="11" s="1"/>
  <c r="BM179" i="7" a="1"/>
  <c r="BM179" i="7" s="1"/>
  <c r="BQ178" i="7" a="1"/>
  <c r="BQ178" i="7" s="1"/>
  <c r="D176" i="11" s="1"/>
  <c r="BM171" i="7" a="1"/>
  <c r="BM171" i="7" s="1"/>
  <c r="BQ170" i="7" a="1"/>
  <c r="BQ170" i="7" s="1"/>
  <c r="D168" i="11" s="1"/>
  <c r="BM163" i="7" a="1"/>
  <c r="BM163" i="7" s="1"/>
  <c r="BQ162" i="7" a="1"/>
  <c r="BQ162" i="7" s="1"/>
  <c r="D160" i="11" s="1"/>
  <c r="BM155" i="7" a="1"/>
  <c r="BM155" i="7" s="1"/>
  <c r="BQ154" i="7" a="1"/>
  <c r="BQ154" i="7" s="1"/>
  <c r="D152" i="11" s="1"/>
  <c r="BM147" i="7" a="1"/>
  <c r="BM147" i="7" s="1"/>
  <c r="BQ146" i="7" a="1"/>
  <c r="BQ146" i="7" s="1"/>
  <c r="D144" i="11" s="1"/>
  <c r="BM139" i="7" a="1"/>
  <c r="BM139" i="7" s="1"/>
  <c r="BQ138" i="7" a="1"/>
  <c r="BQ138" i="7" s="1"/>
  <c r="D136" i="11" s="1"/>
  <c r="BM131" i="7" a="1"/>
  <c r="BM131" i="7" s="1"/>
  <c r="BM197" i="7" a="1"/>
  <c r="BM197" i="7" s="1"/>
  <c r="BM190" i="7" a="1"/>
  <c r="BM190" i="7" s="1"/>
  <c r="BQ202" i="7" a="1"/>
  <c r="BQ202" i="7" s="1"/>
  <c r="D200" i="11" s="1"/>
  <c r="BQ198" i="7" a="1"/>
  <c r="BQ198" i="7" s="1"/>
  <c r="D196" i="11" s="1"/>
  <c r="BM193" i="7" a="1"/>
  <c r="BM193" i="7" s="1"/>
  <c r="BQ192" i="7" a="1"/>
  <c r="BQ192" i="7" s="1"/>
  <c r="D190" i="11" s="1"/>
  <c r="BM185" i="7" a="1"/>
  <c r="BM185" i="7" s="1"/>
  <c r="BQ184" i="7" a="1"/>
  <c r="BQ184" i="7" s="1"/>
  <c r="D182" i="11" s="1"/>
  <c r="BM177" i="7" a="1"/>
  <c r="BM177" i="7" s="1"/>
  <c r="BQ176" i="7" a="1"/>
  <c r="BQ176" i="7" s="1"/>
  <c r="D174" i="11" s="1"/>
  <c r="BM169" i="7" a="1"/>
  <c r="BM169" i="7" s="1"/>
  <c r="BQ168" i="7" a="1"/>
  <c r="BQ168" i="7" s="1"/>
  <c r="D166" i="11" s="1"/>
  <c r="BM161" i="7" a="1"/>
  <c r="BM161" i="7" s="1"/>
  <c r="BQ160" i="7" a="1"/>
  <c r="BQ160" i="7" s="1"/>
  <c r="D158" i="11" s="1"/>
  <c r="BM153" i="7" a="1"/>
  <c r="BM153" i="7" s="1"/>
  <c r="BQ152" i="7" a="1"/>
  <c r="BQ152" i="7" s="1"/>
  <c r="D150" i="11" s="1"/>
  <c r="BM145" i="7" a="1"/>
  <c r="BM145" i="7" s="1"/>
  <c r="BQ144" i="7" a="1"/>
  <c r="BQ144" i="7" s="1"/>
  <c r="D142" i="11" s="1"/>
  <c r="BM137" i="7" a="1"/>
  <c r="BM137" i="7" s="1"/>
  <c r="BQ136" i="7" a="1"/>
  <c r="BQ136" i="7" s="1"/>
  <c r="D134" i="11" s="1"/>
  <c r="BQ189" i="7" a="1"/>
  <c r="BQ189" i="7" s="1"/>
  <c r="D187" i="11" s="1"/>
  <c r="BM150" i="7" a="1"/>
  <c r="BM150" i="7" s="1"/>
  <c r="BQ145" i="7" a="1"/>
  <c r="BQ145" i="7" s="1"/>
  <c r="D143" i="11" s="1"/>
  <c r="BQ135" i="7" a="1"/>
  <c r="BQ135" i="7" s="1"/>
  <c r="D133" i="11" s="1"/>
  <c r="BM132" i="7" a="1"/>
  <c r="BM132" i="7" s="1"/>
  <c r="BQ130" i="7" a="1"/>
  <c r="BQ130" i="7" s="1"/>
  <c r="D128" i="11" s="1"/>
  <c r="BM126" i="7" a="1"/>
  <c r="BM126" i="7" s="1"/>
  <c r="BQ125" i="7" a="1"/>
  <c r="BQ125" i="7" s="1"/>
  <c r="D123" i="11" s="1"/>
  <c r="BM118" i="7" a="1"/>
  <c r="BM118" i="7" s="1"/>
  <c r="BQ117" i="7" a="1"/>
  <c r="BQ117" i="7" s="1"/>
  <c r="D115" i="11" s="1"/>
  <c r="BM110" i="7" a="1"/>
  <c r="BM110" i="7" s="1"/>
  <c r="BM174" i="7" a="1"/>
  <c r="BM174" i="7" s="1"/>
  <c r="BQ149" i="7" a="1"/>
  <c r="BQ149" i="7" s="1"/>
  <c r="D147" i="11" s="1"/>
  <c r="BQ134" i="7" a="1"/>
  <c r="BQ134" i="7" s="1"/>
  <c r="D132" i="11" s="1"/>
  <c r="BM129" i="7" a="1"/>
  <c r="BM129" i="7" s="1"/>
  <c r="BQ128" i="7" a="1"/>
  <c r="BQ128" i="7" s="1"/>
  <c r="D126" i="11" s="1"/>
  <c r="BM121" i="7" a="1"/>
  <c r="BM121" i="7" s="1"/>
  <c r="BQ120" i="7" a="1"/>
  <c r="BQ120" i="7" s="1"/>
  <c r="D118" i="11" s="1"/>
  <c r="BM113" i="7" a="1"/>
  <c r="BM113" i="7" s="1"/>
  <c r="BQ112" i="7" a="1"/>
  <c r="BQ112" i="7" s="1"/>
  <c r="D110" i="11" s="1"/>
  <c r="BQ173" i="7" a="1"/>
  <c r="BQ173" i="7" s="1"/>
  <c r="D171" i="11" s="1"/>
  <c r="BQ133" i="7" a="1"/>
  <c r="BQ133" i="7" s="1"/>
  <c r="D131" i="11" s="1"/>
  <c r="BM124" i="7" a="1"/>
  <c r="BM124" i="7" s="1"/>
  <c r="BQ123" i="7" a="1"/>
  <c r="BQ123" i="7" s="1"/>
  <c r="D121" i="11" s="1"/>
  <c r="BM116" i="7" a="1"/>
  <c r="BM116" i="7" s="1"/>
  <c r="BQ115" i="7" a="1"/>
  <c r="BQ115" i="7" s="1"/>
  <c r="D113" i="11" s="1"/>
  <c r="BM108" i="7" a="1"/>
  <c r="BM108" i="7" s="1"/>
  <c r="BQ107" i="7" a="1"/>
  <c r="BQ107" i="7" s="1"/>
  <c r="D105" i="11" s="1"/>
  <c r="BM100" i="7" a="1"/>
  <c r="BM100" i="7" s="1"/>
  <c r="BM158" i="7" a="1"/>
  <c r="BM158" i="7" s="1"/>
  <c r="BM142" i="7" a="1"/>
  <c r="BM142" i="7" s="1"/>
  <c r="BM138" i="7" a="1"/>
  <c r="BM138" i="7" s="1"/>
  <c r="BM127" i="7" a="1"/>
  <c r="BM127" i="7" s="1"/>
  <c r="BQ126" i="7" a="1"/>
  <c r="BQ126" i="7" s="1"/>
  <c r="D124" i="11" s="1"/>
  <c r="BM119" i="7" a="1"/>
  <c r="BM119" i="7" s="1"/>
  <c r="BQ118" i="7" a="1"/>
  <c r="BQ118" i="7" s="1"/>
  <c r="D116" i="11" s="1"/>
  <c r="BM111" i="7" a="1"/>
  <c r="BM111" i="7" s="1"/>
  <c r="BQ110" i="7" a="1"/>
  <c r="BQ110" i="7" s="1"/>
  <c r="D108" i="11" s="1"/>
  <c r="BM103" i="7" a="1"/>
  <c r="BM103" i="7" s="1"/>
  <c r="BQ102" i="7" a="1"/>
  <c r="BQ102" i="7" s="1"/>
  <c r="D100" i="11" s="1"/>
  <c r="BM182" i="7" a="1"/>
  <c r="BM182" i="7" s="1"/>
  <c r="BQ157" i="7" a="1"/>
  <c r="BQ157" i="7" s="1"/>
  <c r="D155" i="11" s="1"/>
  <c r="BQ139" i="7" a="1"/>
  <c r="BQ139" i="7" s="1"/>
  <c r="D137" i="11" s="1"/>
  <c r="BM134" i="7" a="1"/>
  <c r="BM134" i="7" s="1"/>
  <c r="BQ129" i="7" a="1"/>
  <c r="BQ129" i="7" s="1"/>
  <c r="D127" i="11" s="1"/>
  <c r="BM122" i="7" a="1"/>
  <c r="BM122" i="7" s="1"/>
  <c r="BQ121" i="7" a="1"/>
  <c r="BQ121" i="7" s="1"/>
  <c r="D119" i="11" s="1"/>
  <c r="BM114" i="7" a="1"/>
  <c r="BM114" i="7" s="1"/>
  <c r="BQ113" i="7" a="1"/>
  <c r="BQ113" i="7" s="1"/>
  <c r="D111" i="11" s="1"/>
  <c r="BM106" i="7" a="1"/>
  <c r="BM106" i="7" s="1"/>
  <c r="BQ105" i="7" a="1"/>
  <c r="BQ105" i="7" s="1"/>
  <c r="D103" i="11" s="1"/>
  <c r="BQ181" i="7" a="1"/>
  <c r="BQ181" i="7" s="1"/>
  <c r="D179" i="11" s="1"/>
  <c r="BQ141" i="7" a="1"/>
  <c r="BQ141" i="7" s="1"/>
  <c r="D139" i="11" s="1"/>
  <c r="BM130" i="7" a="1"/>
  <c r="BM130" i="7" s="1"/>
  <c r="BM125" i="7" a="1"/>
  <c r="BM125" i="7" s="1"/>
  <c r="BQ124" i="7" a="1"/>
  <c r="BQ124" i="7" s="1"/>
  <c r="D122" i="11" s="1"/>
  <c r="BM117" i="7" a="1"/>
  <c r="BM117" i="7" s="1"/>
  <c r="BQ116" i="7" a="1"/>
  <c r="BQ116" i="7" s="1"/>
  <c r="D114" i="11" s="1"/>
  <c r="BM109" i="7" a="1"/>
  <c r="BM109" i="7" s="1"/>
  <c r="BQ108" i="7" a="1"/>
  <c r="BQ108" i="7" s="1"/>
  <c r="D106" i="11" s="1"/>
  <c r="BM166" i="7" a="1"/>
  <c r="BM166" i="7" s="1"/>
  <c r="BQ137" i="7" a="1"/>
  <c r="BQ137" i="7" s="1"/>
  <c r="D135" i="11" s="1"/>
  <c r="BQ131" i="7" a="1"/>
  <c r="BQ131" i="7" s="1"/>
  <c r="D129" i="11" s="1"/>
  <c r="BM128" i="7" a="1"/>
  <c r="BM128" i="7" s="1"/>
  <c r="BQ127" i="7" a="1"/>
  <c r="BQ127" i="7" s="1"/>
  <c r="D125" i="11" s="1"/>
  <c r="BM120" i="7" a="1"/>
  <c r="BM120" i="7" s="1"/>
  <c r="BQ119" i="7" a="1"/>
  <c r="BQ119" i="7" s="1"/>
  <c r="D117" i="11" s="1"/>
  <c r="BM112" i="7" a="1"/>
  <c r="BM112" i="7" s="1"/>
  <c r="BQ111" i="7" a="1"/>
  <c r="BQ111" i="7" s="1"/>
  <c r="D109" i="11" s="1"/>
  <c r="BQ104" i="7" a="1"/>
  <c r="BQ104" i="7" s="1"/>
  <c r="D102" i="11" s="1"/>
  <c r="BQ96" i="7" a="1"/>
  <c r="BQ96" i="7" s="1"/>
  <c r="D94" i="11" s="1"/>
  <c r="BQ92" i="7" a="1"/>
  <c r="BQ92" i="7" s="1"/>
  <c r="D90" i="11" s="1"/>
  <c r="BQ88" i="7" a="1"/>
  <c r="BQ88" i="7" s="1"/>
  <c r="D86" i="11" s="1"/>
  <c r="BQ84" i="7" a="1"/>
  <c r="BQ84" i="7" s="1"/>
  <c r="D82" i="11" s="1"/>
  <c r="BQ103" i="7" a="1"/>
  <c r="BQ103" i="7" s="1"/>
  <c r="D101" i="11" s="1"/>
  <c r="BQ100" i="7" a="1"/>
  <c r="BQ100" i="7" s="1"/>
  <c r="D98" i="11" s="1"/>
  <c r="BM98" i="7" a="1"/>
  <c r="BM98" i="7" s="1"/>
  <c r="BM94" i="7" a="1"/>
  <c r="BM94" i="7" s="1"/>
  <c r="BM90" i="7" a="1"/>
  <c r="BM90" i="7" s="1"/>
  <c r="BM86" i="7" a="1"/>
  <c r="BM86" i="7" s="1"/>
  <c r="BM82" i="7" a="1"/>
  <c r="BM82" i="7" s="1"/>
  <c r="BM78" i="7" a="1"/>
  <c r="BM78" i="7" s="1"/>
  <c r="BM74" i="7" a="1"/>
  <c r="BM74" i="7" s="1"/>
  <c r="BM70" i="7" a="1"/>
  <c r="BM70" i="7" s="1"/>
  <c r="BM107" i="7" a="1"/>
  <c r="BM107" i="7" s="1"/>
  <c r="BM105" i="7" a="1"/>
  <c r="BM105" i="7" s="1"/>
  <c r="BM101" i="7" a="1"/>
  <c r="BM101" i="7" s="1"/>
  <c r="BM99" i="7" a="1"/>
  <c r="BM99" i="7" s="1"/>
  <c r="BQ95" i="7" a="1"/>
  <c r="BQ95" i="7" s="1"/>
  <c r="D93" i="11" s="1"/>
  <c r="BQ91" i="7" a="1"/>
  <c r="BQ91" i="7" s="1"/>
  <c r="D89" i="11" s="1"/>
  <c r="BQ87" i="7" a="1"/>
  <c r="BQ87" i="7" s="1"/>
  <c r="D85" i="11" s="1"/>
  <c r="BM115" i="7" a="1"/>
  <c r="BM115" i="7" s="1"/>
  <c r="BM104" i="7" a="1"/>
  <c r="BM104" i="7" s="1"/>
  <c r="BM97" i="7" a="1"/>
  <c r="BM97" i="7" s="1"/>
  <c r="BM93" i="7" a="1"/>
  <c r="BM93" i="7" s="1"/>
  <c r="BM89" i="7" a="1"/>
  <c r="BM89" i="7" s="1"/>
  <c r="BM85" i="7" a="1"/>
  <c r="BM85" i="7" s="1"/>
  <c r="BM81" i="7" a="1"/>
  <c r="BM81" i="7" s="1"/>
  <c r="BM77" i="7" a="1"/>
  <c r="BM77" i="7" s="1"/>
  <c r="BM73" i="7" a="1"/>
  <c r="BM73" i="7" s="1"/>
  <c r="BM69" i="7" a="1"/>
  <c r="BM69" i="7" s="1"/>
  <c r="BM65" i="7" a="1"/>
  <c r="BM65" i="7" s="1"/>
  <c r="BM61" i="7" a="1"/>
  <c r="BM61" i="7" s="1"/>
  <c r="BQ114" i="7" a="1"/>
  <c r="BQ114" i="7" s="1"/>
  <c r="D112" i="11" s="1"/>
  <c r="BQ98" i="7" a="1"/>
  <c r="BQ98" i="7" s="1"/>
  <c r="D96" i="11" s="1"/>
  <c r="BQ94" i="7" a="1"/>
  <c r="BQ94" i="7" s="1"/>
  <c r="D92" i="11" s="1"/>
  <c r="BQ90" i="7" a="1"/>
  <c r="BQ90" i="7" s="1"/>
  <c r="D88" i="11" s="1"/>
  <c r="BQ86" i="7" a="1"/>
  <c r="BQ86" i="7" s="1"/>
  <c r="D84" i="11" s="1"/>
  <c r="BQ165" i="7" a="1"/>
  <c r="BQ165" i="7" s="1"/>
  <c r="D163" i="11" s="1"/>
  <c r="BQ109" i="7" a="1"/>
  <c r="BQ109" i="7" s="1"/>
  <c r="D107" i="11" s="1"/>
  <c r="BQ99" i="7" a="1"/>
  <c r="BQ99" i="7" s="1"/>
  <c r="D97" i="11" s="1"/>
  <c r="BM96" i="7" a="1"/>
  <c r="BM96" i="7" s="1"/>
  <c r="BM92" i="7" a="1"/>
  <c r="BM92" i="7" s="1"/>
  <c r="BM88" i="7" a="1"/>
  <c r="BM88" i="7" s="1"/>
  <c r="BM84" i="7" a="1"/>
  <c r="BM84" i="7" s="1"/>
  <c r="BM80" i="7" a="1"/>
  <c r="BM80" i="7" s="1"/>
  <c r="BM76" i="7" a="1"/>
  <c r="BM76" i="7" s="1"/>
  <c r="BM72" i="7" a="1"/>
  <c r="BM72" i="7" s="1"/>
  <c r="BM68" i="7" a="1"/>
  <c r="BM68" i="7" s="1"/>
  <c r="BM64" i="7" a="1"/>
  <c r="BM64" i="7" s="1"/>
  <c r="BM123" i="7" a="1"/>
  <c r="BM123" i="7" s="1"/>
  <c r="BQ106" i="7" a="1"/>
  <c r="BQ106" i="7" s="1"/>
  <c r="D104" i="11" s="1"/>
  <c r="BQ101" i="7" a="1"/>
  <c r="BQ101" i="7" s="1"/>
  <c r="D99" i="11" s="1"/>
  <c r="BQ122" i="7" a="1"/>
  <c r="BQ122" i="7" s="1"/>
  <c r="D120" i="11" s="1"/>
  <c r="BM102" i="7" a="1"/>
  <c r="BM102" i="7" s="1"/>
  <c r="BM95" i="7" a="1"/>
  <c r="BM95" i="7" s="1"/>
  <c r="BM91" i="7" a="1"/>
  <c r="BM91" i="7" s="1"/>
  <c r="BM87" i="7" a="1"/>
  <c r="BM87" i="7" s="1"/>
  <c r="BM83" i="7" a="1"/>
  <c r="BM83" i="7" s="1"/>
  <c r="BM79" i="7" a="1"/>
  <c r="BM79" i="7" s="1"/>
  <c r="BM75" i="7" a="1"/>
  <c r="BM75" i="7" s="1"/>
  <c r="BM71" i="7" a="1"/>
  <c r="BM71" i="7" s="1"/>
  <c r="BM67" i="7" a="1"/>
  <c r="BM67" i="7" s="1"/>
  <c r="BM63" i="7" a="1"/>
  <c r="BM63" i="7" s="1"/>
  <c r="BM59" i="7" a="1"/>
  <c r="BM59" i="7" s="1"/>
  <c r="BM55" i="7" a="1"/>
  <c r="BM55" i="7" s="1"/>
  <c r="BQ89" i="7" a="1"/>
  <c r="BQ89" i="7" s="1"/>
  <c r="D87" i="11" s="1"/>
  <c r="BQ82" i="7" a="1"/>
  <c r="BQ82" i="7" s="1"/>
  <c r="D80" i="11" s="1"/>
  <c r="BQ74" i="7" a="1"/>
  <c r="BQ74" i="7" s="1"/>
  <c r="D72" i="11" s="1"/>
  <c r="BQ67" i="7" a="1"/>
  <c r="BQ67" i="7" s="1"/>
  <c r="D65" i="11" s="1"/>
  <c r="BM66" i="7" a="1"/>
  <c r="BM66" i="7" s="1"/>
  <c r="BQ60" i="7" a="1"/>
  <c r="BQ60" i="7" s="1"/>
  <c r="D58" i="11" s="1"/>
  <c r="BM58" i="7" a="1"/>
  <c r="BM58" i="7" s="1"/>
  <c r="BM50" i="7" a="1"/>
  <c r="BM50" i="7" s="1"/>
  <c r="BM46" i="7" a="1"/>
  <c r="BM46" i="7" s="1"/>
  <c r="BM42" i="7" a="1"/>
  <c r="BM42" i="7" s="1"/>
  <c r="BM38" i="7" a="1"/>
  <c r="BM38" i="7" s="1"/>
  <c r="BM34" i="7" a="1"/>
  <c r="BM34" i="7" s="1"/>
  <c r="BM30" i="7" a="1"/>
  <c r="BM30" i="7" s="1"/>
  <c r="BM26" i="7" a="1"/>
  <c r="BM26" i="7" s="1"/>
  <c r="BQ85" i="7" a="1"/>
  <c r="BQ85" i="7" s="1"/>
  <c r="D83" i="11" s="1"/>
  <c r="BQ81" i="7" a="1"/>
  <c r="BQ81" i="7" s="1"/>
  <c r="D79" i="11" s="1"/>
  <c r="BQ73" i="7" a="1"/>
  <c r="BQ73" i="7" s="1"/>
  <c r="D71" i="11" s="1"/>
  <c r="BM62" i="7" a="1"/>
  <c r="BM62" i="7" s="1"/>
  <c r="BQ53" i="7" a="1"/>
  <c r="BQ53" i="7" s="1"/>
  <c r="D51" i="11" s="1"/>
  <c r="BQ51" i="7" a="1"/>
  <c r="BQ51" i="7" s="1"/>
  <c r="D49" i="11" s="1"/>
  <c r="BQ47" i="7" a="1"/>
  <c r="BQ47" i="7" s="1"/>
  <c r="D45" i="11" s="1"/>
  <c r="BQ43" i="7" a="1"/>
  <c r="BQ43" i="7" s="1"/>
  <c r="D41" i="11" s="1"/>
  <c r="BQ80" i="7" a="1"/>
  <c r="BQ80" i="7" s="1"/>
  <c r="D78" i="11" s="1"/>
  <c r="BQ72" i="7" a="1"/>
  <c r="BQ72" i="7" s="1"/>
  <c r="D70" i="11" s="1"/>
  <c r="BQ68" i="7" a="1"/>
  <c r="BQ68" i="7" s="1"/>
  <c r="D66" i="11" s="1"/>
  <c r="BQ65" i="7" a="1"/>
  <c r="BQ65" i="7" s="1"/>
  <c r="D63" i="11" s="1"/>
  <c r="BQ57" i="7" a="1"/>
  <c r="BQ57" i="7" s="1"/>
  <c r="D55" i="11" s="1"/>
  <c r="BM49" i="7" a="1"/>
  <c r="BM49" i="7" s="1"/>
  <c r="BM45" i="7" a="1"/>
  <c r="BM45" i="7" s="1"/>
  <c r="BM41" i="7" a="1"/>
  <c r="BM41" i="7" s="1"/>
  <c r="BM37" i="7" a="1"/>
  <c r="BM37" i="7" s="1"/>
  <c r="BM33" i="7" a="1"/>
  <c r="BM33" i="7" s="1"/>
  <c r="BM29" i="7" a="1"/>
  <c r="BM29" i="7" s="1"/>
  <c r="BM25" i="7" a="1"/>
  <c r="BM25" i="7" s="1"/>
  <c r="BM21" i="7" a="1"/>
  <c r="BM21" i="7" s="1"/>
  <c r="BQ79" i="7" a="1"/>
  <c r="BQ79" i="7" s="1"/>
  <c r="D77" i="11" s="1"/>
  <c r="BQ71" i="7" a="1"/>
  <c r="BQ71" i="7" s="1"/>
  <c r="D69" i="11" s="1"/>
  <c r="BQ54" i="7" a="1"/>
  <c r="BQ54" i="7" s="1"/>
  <c r="D52" i="11" s="1"/>
  <c r="BQ50" i="7" a="1"/>
  <c r="BQ50" i="7" s="1"/>
  <c r="D48" i="11" s="1"/>
  <c r="BQ46" i="7" a="1"/>
  <c r="BQ46" i="7" s="1"/>
  <c r="D44" i="11" s="1"/>
  <c r="BQ78" i="7" a="1"/>
  <c r="BQ78" i="7" s="1"/>
  <c r="D76" i="11" s="1"/>
  <c r="BQ70" i="7" a="1"/>
  <c r="BQ70" i="7" s="1"/>
  <c r="D68" i="11" s="1"/>
  <c r="BQ63" i="7" a="1"/>
  <c r="BQ63" i="7" s="1"/>
  <c r="D61" i="11" s="1"/>
  <c r="BQ58" i="7" a="1"/>
  <c r="BQ58" i="7" s="1"/>
  <c r="D56" i="11" s="1"/>
  <c r="BM56" i="7" a="1"/>
  <c r="BM56" i="7" s="1"/>
  <c r="BM52" i="7" a="1"/>
  <c r="BM52" i="7" s="1"/>
  <c r="BM48" i="7" a="1"/>
  <c r="BM48" i="7" s="1"/>
  <c r="BM44" i="7" a="1"/>
  <c r="BM44" i="7" s="1"/>
  <c r="BM40" i="7" a="1"/>
  <c r="BM40" i="7" s="1"/>
  <c r="BM36" i="7" a="1"/>
  <c r="BM36" i="7" s="1"/>
  <c r="BM32" i="7" a="1"/>
  <c r="BM32" i="7" s="1"/>
  <c r="BM28" i="7" a="1"/>
  <c r="BM28" i="7" s="1"/>
  <c r="BM24" i="7" a="1"/>
  <c r="BM24" i="7" s="1"/>
  <c r="BM20" i="7" a="1"/>
  <c r="BM20" i="7" s="1"/>
  <c r="BQ83" i="7" a="1"/>
  <c r="BQ83" i="7" s="1"/>
  <c r="D81" i="11" s="1"/>
  <c r="BQ77" i="7" a="1"/>
  <c r="BQ77" i="7" s="1"/>
  <c r="D75" i="11" s="1"/>
  <c r="BQ69" i="7" a="1"/>
  <c r="BQ69" i="7" s="1"/>
  <c r="D67" i="11" s="1"/>
  <c r="BQ66" i="7" a="1"/>
  <c r="BQ66" i="7" s="1"/>
  <c r="D64" i="11" s="1"/>
  <c r="BQ62" i="7" a="1"/>
  <c r="BQ62" i="7" s="1"/>
  <c r="D60" i="11" s="1"/>
  <c r="BM60" i="7" a="1"/>
  <c r="BM60" i="7" s="1"/>
  <c r="BQ55" i="7" a="1"/>
  <c r="BQ55" i="7" s="1"/>
  <c r="D53" i="11" s="1"/>
  <c r="BM53" i="7" a="1"/>
  <c r="BM53" i="7" s="1"/>
  <c r="BQ49" i="7" a="1"/>
  <c r="BQ49" i="7" s="1"/>
  <c r="D47" i="11" s="1"/>
  <c r="BQ45" i="7" a="1"/>
  <c r="BQ45" i="7" s="1"/>
  <c r="D43" i="11" s="1"/>
  <c r="BQ97" i="7" a="1"/>
  <c r="BQ97" i="7" s="1"/>
  <c r="D95" i="11" s="1"/>
  <c r="BQ76" i="7" a="1"/>
  <c r="BQ76" i="7" s="1"/>
  <c r="D74" i="11" s="1"/>
  <c r="BQ59" i="7" a="1"/>
  <c r="BQ59" i="7" s="1"/>
  <c r="D57" i="11" s="1"/>
  <c r="BM57" i="7" a="1"/>
  <c r="BM57" i="7" s="1"/>
  <c r="BM51" i="7" a="1"/>
  <c r="BM51" i="7" s="1"/>
  <c r="BM47" i="7" a="1"/>
  <c r="BM47" i="7" s="1"/>
  <c r="BM43" i="7" a="1"/>
  <c r="BM43" i="7" s="1"/>
  <c r="BM39" i="7" a="1"/>
  <c r="BM39" i="7" s="1"/>
  <c r="BM35" i="7" a="1"/>
  <c r="BM35" i="7" s="1"/>
  <c r="BM31" i="7" a="1"/>
  <c r="BM31" i="7" s="1"/>
  <c r="BM27" i="7" a="1"/>
  <c r="BM27" i="7" s="1"/>
  <c r="BM23" i="7" a="1"/>
  <c r="BM23" i="7" s="1"/>
  <c r="BM19" i="7" a="1"/>
  <c r="BM19" i="7" s="1"/>
  <c r="BQ93" i="7" a="1"/>
  <c r="BQ93" i="7" s="1"/>
  <c r="D91" i="11" s="1"/>
  <c r="BQ75" i="7" a="1"/>
  <c r="BQ75" i="7" s="1"/>
  <c r="D73" i="11" s="1"/>
  <c r="BQ64" i="7" a="1"/>
  <c r="BQ64" i="7" s="1"/>
  <c r="D62" i="11" s="1"/>
  <c r="BQ61" i="7" a="1"/>
  <c r="BQ61" i="7" s="1"/>
  <c r="D59" i="11" s="1"/>
  <c r="BQ56" i="7" a="1"/>
  <c r="BQ56" i="7" s="1"/>
  <c r="D54" i="11" s="1"/>
  <c r="BM54" i="7" a="1"/>
  <c r="BM54" i="7" s="1"/>
  <c r="BQ52" i="7" a="1"/>
  <c r="BQ52" i="7" s="1"/>
  <c r="D50" i="11" s="1"/>
  <c r="BQ48" i="7" a="1"/>
  <c r="BQ48" i="7" s="1"/>
  <c r="D46" i="11" s="1"/>
  <c r="BQ44" i="7" a="1"/>
  <c r="BQ44" i="7" s="1"/>
  <c r="D42" i="11" s="1"/>
  <c r="BQ38" i="7" a="1"/>
  <c r="BQ38" i="7" s="1"/>
  <c r="D36" i="11" s="1"/>
  <c r="BQ30" i="7" a="1"/>
  <c r="BQ30" i="7" s="1"/>
  <c r="D28" i="11" s="1"/>
  <c r="BQ23" i="7" a="1"/>
  <c r="BQ23" i="7" s="1"/>
  <c r="D21" i="11" s="1"/>
  <c r="BM22" i="7" a="1"/>
  <c r="BM22" i="7" s="1"/>
  <c r="BQ16" i="7" a="1"/>
  <c r="BQ16" i="7" s="1"/>
  <c r="D14" i="11" s="1"/>
  <c r="BQ37" i="7" a="1"/>
  <c r="BQ37" i="7" s="1"/>
  <c r="D35" i="11" s="1"/>
  <c r="BQ29" i="7" a="1"/>
  <c r="BQ29" i="7" s="1"/>
  <c r="D27" i="11" s="1"/>
  <c r="BM18" i="7" a="1"/>
  <c r="BM18" i="7" s="1"/>
  <c r="BQ12" i="7" a="1"/>
  <c r="BQ12" i="7" s="1"/>
  <c r="D10" i="11" s="1"/>
  <c r="BQ10" i="7" a="1"/>
  <c r="BQ10" i="7" s="1"/>
  <c r="D8" i="11" s="1"/>
  <c r="BQ8" i="7" a="1"/>
  <c r="BQ8" i="7" s="1"/>
  <c r="D6" i="11" s="1"/>
  <c r="BQ6" i="7" a="1"/>
  <c r="BQ6" i="7" s="1"/>
  <c r="D4" i="11" s="1"/>
  <c r="BQ36" i="7" a="1"/>
  <c r="BQ36" i="7" s="1"/>
  <c r="D34" i="11" s="1"/>
  <c r="BQ28" i="7" a="1"/>
  <c r="BQ28" i="7" s="1"/>
  <c r="D26" i="11" s="1"/>
  <c r="BQ24" i="7" a="1"/>
  <c r="BQ24" i="7" s="1"/>
  <c r="D22" i="11" s="1"/>
  <c r="BQ21" i="7" a="1"/>
  <c r="BQ21" i="7" s="1"/>
  <c r="D19" i="11" s="1"/>
  <c r="BQ20" i="7" a="1"/>
  <c r="BQ20" i="7" s="1"/>
  <c r="D18" i="11" s="1"/>
  <c r="BQ15" i="7" a="1"/>
  <c r="BQ15" i="7" s="1"/>
  <c r="D13" i="11" s="1"/>
  <c r="BM14" i="7" a="1"/>
  <c r="BM14" i="7" s="1"/>
  <c r="BM11" i="7" a="1"/>
  <c r="BM11" i="7" s="1"/>
  <c r="BM9" i="7" a="1"/>
  <c r="BM9" i="7" s="1"/>
  <c r="BM7" i="7" a="1"/>
  <c r="BM7" i="7" s="1"/>
  <c r="BM5" i="7" a="1"/>
  <c r="BM5" i="7" s="1"/>
  <c r="BQ35" i="7" a="1"/>
  <c r="BQ35" i="7" s="1"/>
  <c r="D33" i="11" s="1"/>
  <c r="BQ27" i="7" a="1"/>
  <c r="BQ27" i="7" s="1"/>
  <c r="D25" i="11" s="1"/>
  <c r="BM17" i="7" a="1"/>
  <c r="BM17" i="7" s="1"/>
  <c r="BQ42" i="7" a="1"/>
  <c r="BQ42" i="7" s="1"/>
  <c r="D40" i="11" s="1"/>
  <c r="BQ34" i="7" a="1"/>
  <c r="BQ34" i="7" s="1"/>
  <c r="D32" i="11" s="1"/>
  <c r="BQ26" i="7" a="1"/>
  <c r="BQ26" i="7" s="1"/>
  <c r="D24" i="11" s="1"/>
  <c r="BQ19" i="7" a="1"/>
  <c r="BQ19" i="7" s="1"/>
  <c r="D17" i="11" s="1"/>
  <c r="BQ18" i="7" a="1"/>
  <c r="BQ18" i="7" s="1"/>
  <c r="D16" i="11" s="1"/>
  <c r="BM13" i="7" a="1"/>
  <c r="BM13" i="7" s="1"/>
  <c r="BQ41" i="7" a="1"/>
  <c r="BQ41" i="7" s="1"/>
  <c r="D39" i="11" s="1"/>
  <c r="BQ33" i="7" a="1"/>
  <c r="BQ33" i="7" s="1"/>
  <c r="D31" i="11" s="1"/>
  <c r="BQ25" i="7" a="1"/>
  <c r="BQ25" i="7" s="1"/>
  <c r="D23" i="11" s="1"/>
  <c r="BQ22" i="7" a="1"/>
  <c r="BQ22" i="7" s="1"/>
  <c r="D20" i="11" s="1"/>
  <c r="BM16" i="7" a="1"/>
  <c r="BM16" i="7" s="1"/>
  <c r="BQ14" i="7" a="1"/>
  <c r="BQ14" i="7" s="1"/>
  <c r="D12" i="11" s="1"/>
  <c r="BQ11" i="7" a="1"/>
  <c r="BQ11" i="7" s="1"/>
  <c r="D9" i="11" s="1"/>
  <c r="BQ9" i="7" a="1"/>
  <c r="BQ9" i="7" s="1"/>
  <c r="D7" i="11" s="1"/>
  <c r="BQ7" i="7" a="1"/>
  <c r="BQ7" i="7" s="1"/>
  <c r="D5" i="11" s="1"/>
  <c r="BQ40" i="7" a="1"/>
  <c r="BQ40" i="7" s="1"/>
  <c r="D38" i="11" s="1"/>
  <c r="BQ32" i="7" a="1"/>
  <c r="BQ32" i="7" s="1"/>
  <c r="D30" i="11" s="1"/>
  <c r="BQ17" i="7" a="1"/>
  <c r="BQ17" i="7" s="1"/>
  <c r="D15" i="11" s="1"/>
  <c r="BM12" i="7" a="1"/>
  <c r="BM12" i="7" s="1"/>
  <c r="BM10" i="7" a="1"/>
  <c r="BM10" i="7" s="1"/>
  <c r="BM8" i="7" a="1"/>
  <c r="BM8" i="7" s="1"/>
  <c r="BM6" i="7" a="1"/>
  <c r="BM6" i="7" s="1"/>
  <c r="BM4" i="7" a="1"/>
  <c r="BM4" i="7" s="1"/>
  <c r="BQ39" i="7" a="1"/>
  <c r="BQ39" i="7" s="1"/>
  <c r="D37" i="11" s="1"/>
  <c r="BQ31" i="7" a="1"/>
  <c r="BQ31" i="7" s="1"/>
  <c r="D29" i="11" s="1"/>
  <c r="BM15" i="7" a="1"/>
  <c r="BM15" i="7" s="1"/>
  <c r="BQ13" i="7" a="1"/>
  <c r="BQ13" i="7" s="1"/>
  <c r="D11" i="11" s="1"/>
  <c r="BQ5" i="7" a="1"/>
  <c r="BQ5" i="7" s="1"/>
  <c r="D3" i="11" s="1"/>
  <c r="BQ4" i="7" a="1"/>
  <c r="BQ4" i="7" s="1"/>
  <c r="D2" i="11" s="1"/>
  <c r="AD66" i="3"/>
  <c r="AD46" i="3"/>
  <c r="G84" i="9"/>
  <c r="E84" i="9"/>
  <c r="D84" i="9"/>
  <c r="B84" i="9"/>
  <c r="I84" i="9"/>
  <c r="H84" i="9"/>
  <c r="B65" i="9"/>
  <c r="I65" i="9"/>
  <c r="H65" i="9"/>
  <c r="G65" i="9"/>
  <c r="E65" i="9"/>
  <c r="D65" i="9"/>
  <c r="I34" i="9"/>
  <c r="H34" i="9"/>
  <c r="G34" i="9"/>
  <c r="E34" i="9"/>
  <c r="D34" i="9"/>
  <c r="B34" i="9"/>
  <c r="S295" i="3"/>
  <c r="AD297" i="3"/>
  <c r="AD76" i="3"/>
  <c r="AC76" i="3"/>
  <c r="AD369" i="3"/>
  <c r="U239" i="3"/>
  <c r="S264" i="3"/>
  <c r="AD156" i="3"/>
  <c r="A97" i="9"/>
  <c r="Z99" i="7"/>
  <c r="A50" i="9"/>
  <c r="Z52" i="7"/>
  <c r="B32" i="9"/>
  <c r="I32" i="9"/>
  <c r="H32" i="9"/>
  <c r="G32" i="9"/>
  <c r="E32" i="9"/>
  <c r="D32" i="9"/>
  <c r="AC283" i="3"/>
  <c r="AD283" i="3"/>
  <c r="AD202" i="3"/>
  <c r="U67" i="3"/>
  <c r="AD340" i="3"/>
  <c r="S253" i="3"/>
  <c r="S50" i="3"/>
  <c r="U373" i="3"/>
  <c r="U128" i="3"/>
  <c r="AD116" i="3"/>
  <c r="AC116" i="3"/>
  <c r="AD304" i="3"/>
  <c r="AC135" i="3"/>
  <c r="AD135" i="3"/>
  <c r="AD371" i="3"/>
  <c r="S198" i="3"/>
  <c r="AD44" i="3"/>
  <c r="A94" i="9"/>
  <c r="Z96" i="7"/>
  <c r="E45" i="9"/>
  <c r="D45" i="9"/>
  <c r="B45" i="9"/>
  <c r="I45" i="9"/>
  <c r="H45" i="9"/>
  <c r="G45" i="9"/>
  <c r="A17" i="9"/>
  <c r="Z19" i="7"/>
  <c r="A3" i="9"/>
  <c r="Z5" i="7"/>
  <c r="S53" i="3"/>
  <c r="AD169" i="3"/>
  <c r="AC43" i="3"/>
  <c r="AD43" i="3"/>
  <c r="AD305" i="3"/>
  <c r="AC305" i="3"/>
  <c r="AD49" i="3"/>
  <c r="AC49" i="3"/>
  <c r="AD330" i="3"/>
  <c r="AC330" i="3"/>
  <c r="A58" i="9"/>
  <c r="Z60" i="7"/>
  <c r="A37" i="9"/>
  <c r="Z39" i="7"/>
  <c r="B9" i="9"/>
  <c r="I9" i="9"/>
  <c r="H9" i="9"/>
  <c r="G9" i="9"/>
  <c r="E9" i="9"/>
  <c r="D9" i="9"/>
  <c r="AD397" i="3"/>
  <c r="AC397" i="3"/>
  <c r="AD302" i="3"/>
  <c r="AC302" i="3"/>
  <c r="H4" i="14"/>
  <c r="G4" i="14"/>
  <c r="F4" i="14"/>
  <c r="E4" i="14"/>
  <c r="D4" i="14"/>
  <c r="C4" i="14"/>
  <c r="B4" i="14"/>
  <c r="AD205" i="3"/>
  <c r="AC205" i="3"/>
  <c r="AD37" i="3"/>
  <c r="AC37" i="3"/>
  <c r="AC150" i="3"/>
  <c r="AD150" i="3"/>
  <c r="E54" i="9"/>
  <c r="D54" i="9"/>
  <c r="B54" i="9"/>
  <c r="I54" i="9"/>
  <c r="H54" i="9"/>
  <c r="G54" i="9"/>
  <c r="A70" i="9"/>
  <c r="Z72" i="7"/>
  <c r="AD296" i="3"/>
  <c r="AC296" i="3"/>
  <c r="AC122" i="3"/>
  <c r="AD122" i="3"/>
  <c r="AC142" i="3"/>
  <c r="AD142" i="3"/>
  <c r="AD95" i="3"/>
  <c r="AD47" i="3"/>
  <c r="U308" i="3"/>
  <c r="AD408" i="3"/>
  <c r="AC408" i="3"/>
  <c r="A95" i="9"/>
  <c r="Z97" i="7"/>
  <c r="A72" i="9"/>
  <c r="Z74" i="7"/>
  <c r="G68" i="9"/>
  <c r="E68" i="9"/>
  <c r="D68" i="9"/>
  <c r="B68" i="9"/>
  <c r="I68" i="9"/>
  <c r="H68" i="9"/>
  <c r="E6" i="9"/>
  <c r="D6" i="9"/>
  <c r="B6" i="9"/>
  <c r="I6" i="9"/>
  <c r="H6" i="9"/>
  <c r="G6" i="9"/>
  <c r="AC400" i="3"/>
  <c r="AD400" i="3"/>
  <c r="S252" i="3"/>
  <c r="AD333" i="3"/>
  <c r="AC333" i="3"/>
  <c r="AD246" i="3"/>
  <c r="U403" i="3"/>
  <c r="AC367" i="3"/>
  <c r="AD367" i="3"/>
  <c r="AD173" i="3"/>
  <c r="AC343" i="3"/>
  <c r="AD343" i="3"/>
  <c r="AD271" i="3"/>
  <c r="AD225" i="3"/>
  <c r="B97" i="9"/>
  <c r="I97" i="9"/>
  <c r="H97" i="9"/>
  <c r="G97" i="9"/>
  <c r="E97" i="9"/>
  <c r="D97" i="9"/>
  <c r="A27" i="9"/>
  <c r="Z29" i="7"/>
  <c r="E38" i="9"/>
  <c r="D38" i="9"/>
  <c r="B38" i="9"/>
  <c r="I38" i="9"/>
  <c r="H38" i="9"/>
  <c r="G38" i="9"/>
  <c r="A7" i="9"/>
  <c r="Z9" i="7"/>
  <c r="AD312" i="3"/>
  <c r="AD181" i="3"/>
  <c r="S133" i="3"/>
  <c r="S290" i="3"/>
  <c r="AD35" i="3"/>
  <c r="S306" i="3"/>
  <c r="AD121" i="3"/>
  <c r="AD332" i="3"/>
  <c r="AD233" i="3"/>
  <c r="A6" i="7" a="1"/>
  <c r="A6" i="7" s="1"/>
  <c r="B13" i="5" s="1"/>
  <c r="AD311" i="3"/>
  <c r="S344" i="3"/>
  <c r="AD40" i="3"/>
  <c r="U136" i="3"/>
  <c r="AD284" i="3"/>
  <c r="AC284" i="3"/>
  <c r="U324" i="3"/>
  <c r="AD248" i="3"/>
  <c r="S75" i="3"/>
  <c r="AD391" i="3"/>
  <c r="AC391" i="3"/>
  <c r="A62" i="9"/>
  <c r="Z64" i="7"/>
  <c r="G52" i="9"/>
  <c r="E52" i="9"/>
  <c r="D52" i="9"/>
  <c r="B52" i="9"/>
  <c r="I52" i="9"/>
  <c r="H52" i="9"/>
  <c r="A65" i="9"/>
  <c r="Z67" i="7"/>
  <c r="A2" i="9"/>
  <c r="Z4" i="7"/>
  <c r="AD96" i="3"/>
  <c r="U179" i="3"/>
  <c r="AD159" i="3"/>
  <c r="AD387" i="3"/>
  <c r="AD174" i="3"/>
  <c r="S162" i="3"/>
  <c r="S124" i="3"/>
  <c r="S167" i="3"/>
  <c r="AD193" i="3"/>
  <c r="B56" i="9"/>
  <c r="I56" i="9"/>
  <c r="H56" i="9"/>
  <c r="G56" i="9"/>
  <c r="E56" i="9"/>
  <c r="D56" i="9"/>
  <c r="E22" i="9"/>
  <c r="D22" i="9"/>
  <c r="B22" i="9"/>
  <c r="I22" i="9"/>
  <c r="H22" i="9"/>
  <c r="G22" i="9"/>
  <c r="A33" i="9"/>
  <c r="Z35" i="7"/>
  <c r="AD208" i="3"/>
  <c r="S119" i="3"/>
  <c r="AD328" i="3"/>
  <c r="AD126" i="3"/>
  <c r="AD392" i="3"/>
  <c r="AD240" i="3"/>
  <c r="AC240" i="3"/>
  <c r="S77" i="3"/>
  <c r="H59" i="9"/>
  <c r="G59" i="9"/>
  <c r="E59" i="9"/>
  <c r="D59" i="9"/>
  <c r="B59" i="9"/>
  <c r="I59" i="9"/>
  <c r="A68" i="9"/>
  <c r="Z70" i="7"/>
  <c r="A15" i="9"/>
  <c r="Z17" i="7"/>
  <c r="A23" i="9"/>
  <c r="Z25" i="7"/>
  <c r="BC385" i="7" a="1"/>
  <c r="BC385" i="7" s="1"/>
  <c r="AY385" i="7" a="1"/>
  <c r="AY385" i="7" s="1"/>
  <c r="AQ385" i="7" a="1"/>
  <c r="AQ385" i="7" s="1"/>
  <c r="AM385" i="7" a="1"/>
  <c r="AM385" i="7" s="1"/>
  <c r="AL385" i="7" s="1"/>
  <c r="AZ383" i="7" a="1"/>
  <c r="AZ383" i="7" s="1"/>
  <c r="AN383" i="7" a="1"/>
  <c r="AN383" i="7" s="1"/>
  <c r="BA381" i="7" a="1"/>
  <c r="BA381" i="7" s="1"/>
  <c r="AW381" i="7" a="1"/>
  <c r="AW381" i="7" s="1"/>
  <c r="AV381" i="7" s="1"/>
  <c r="AO381" i="7" a="1"/>
  <c r="AO381" i="7" s="1"/>
  <c r="BB379" i="7" a="1"/>
  <c r="BB379" i="7" s="1"/>
  <c r="AX379" i="7" a="1"/>
  <c r="AX379" i="7" s="1"/>
  <c r="AP379" i="7" a="1"/>
  <c r="AP379" i="7" s="1"/>
  <c r="BC377" i="7" a="1"/>
  <c r="BC377" i="7" s="1"/>
  <c r="AY377" i="7" a="1"/>
  <c r="AY377" i="7" s="1"/>
  <c r="AQ377" i="7" a="1"/>
  <c r="AQ377" i="7" s="1"/>
  <c r="AM377" i="7" a="1"/>
  <c r="AM377" i="7" s="1"/>
  <c r="AL377" i="7" s="1"/>
  <c r="AZ375" i="7" a="1"/>
  <c r="AZ375" i="7" s="1"/>
  <c r="AN375" i="7" a="1"/>
  <c r="AN375" i="7" s="1"/>
  <c r="BA373" i="7" a="1"/>
  <c r="BA373" i="7" s="1"/>
  <c r="AW373" i="7" a="1"/>
  <c r="AW373" i="7" s="1"/>
  <c r="AV373" i="7" s="1"/>
  <c r="AO373" i="7" a="1"/>
  <c r="AO373" i="7" s="1"/>
  <c r="BB371" i="7" a="1"/>
  <c r="BB371" i="7" s="1"/>
  <c r="AX371" i="7" a="1"/>
  <c r="AX371" i="7" s="1"/>
  <c r="AP371" i="7" a="1"/>
  <c r="AP371" i="7" s="1"/>
  <c r="BC369" i="7" a="1"/>
  <c r="BC369" i="7" s="1"/>
  <c r="AY369" i="7" a="1"/>
  <c r="AY369" i="7" s="1"/>
  <c r="AQ369" i="7" a="1"/>
  <c r="AQ369" i="7" s="1"/>
  <c r="AM369" i="7" a="1"/>
  <c r="AM369" i="7" s="1"/>
  <c r="AL369" i="7" s="1"/>
  <c r="AZ367" i="7" a="1"/>
  <c r="AZ367" i="7" s="1"/>
  <c r="AN367" i="7" a="1"/>
  <c r="AN367" i="7" s="1"/>
  <c r="BA365" i="7" a="1"/>
  <c r="BA365" i="7" s="1"/>
  <c r="AW365" i="7" a="1"/>
  <c r="AW365" i="7" s="1"/>
  <c r="AV365" i="7" s="1"/>
  <c r="AO365" i="7" a="1"/>
  <c r="AO365" i="7" s="1"/>
  <c r="BB363" i="7" a="1"/>
  <c r="BB363" i="7" s="1"/>
  <c r="AX363" i="7" a="1"/>
  <c r="AX363" i="7" s="1"/>
  <c r="AP363" i="7" a="1"/>
  <c r="AP363" i="7" s="1"/>
  <c r="BB387" i="7" a="1"/>
  <c r="BB387" i="7" s="1"/>
  <c r="AX387" i="7" a="1"/>
  <c r="AX387" i="7" s="1"/>
  <c r="AP387" i="7" a="1"/>
  <c r="AP387" i="7" s="1"/>
  <c r="AZ386" i="7" a="1"/>
  <c r="AZ386" i="7" s="1"/>
  <c r="AN386" i="7" a="1"/>
  <c r="AN386" i="7" s="1"/>
  <c r="BA384" i="7" a="1"/>
  <c r="BA384" i="7" s="1"/>
  <c r="AW384" i="7" a="1"/>
  <c r="AW384" i="7" s="1"/>
  <c r="AV384" i="7" s="1"/>
  <c r="AO384" i="7" a="1"/>
  <c r="AO384" i="7" s="1"/>
  <c r="BB382" i="7" a="1"/>
  <c r="BB382" i="7" s="1"/>
  <c r="AX382" i="7" a="1"/>
  <c r="AX382" i="7" s="1"/>
  <c r="AP382" i="7" a="1"/>
  <c r="AP382" i="7" s="1"/>
  <c r="BC380" i="7" a="1"/>
  <c r="BC380" i="7" s="1"/>
  <c r="AY380" i="7" a="1"/>
  <c r="AY380" i="7" s="1"/>
  <c r="AQ380" i="7" a="1"/>
  <c r="AQ380" i="7" s="1"/>
  <c r="AM380" i="7" a="1"/>
  <c r="AM380" i="7" s="1"/>
  <c r="AL380" i="7" s="1"/>
  <c r="AZ378" i="7" a="1"/>
  <c r="AZ378" i="7" s="1"/>
  <c r="AN378" i="7" a="1"/>
  <c r="AN378" i="7" s="1"/>
  <c r="BA376" i="7" a="1"/>
  <c r="BA376" i="7" s="1"/>
  <c r="AW376" i="7" a="1"/>
  <c r="AW376" i="7" s="1"/>
  <c r="AV376" i="7" s="1"/>
  <c r="AO376" i="7" a="1"/>
  <c r="AO376" i="7" s="1"/>
  <c r="BB374" i="7" a="1"/>
  <c r="BB374" i="7" s="1"/>
  <c r="AX374" i="7" a="1"/>
  <c r="AX374" i="7" s="1"/>
  <c r="AP374" i="7" a="1"/>
  <c r="AP374" i="7" s="1"/>
  <c r="BC372" i="7" a="1"/>
  <c r="BC372" i="7" s="1"/>
  <c r="AY372" i="7" a="1"/>
  <c r="AY372" i="7" s="1"/>
  <c r="AQ372" i="7" a="1"/>
  <c r="AQ372" i="7" s="1"/>
  <c r="AM372" i="7" a="1"/>
  <c r="AM372" i="7" s="1"/>
  <c r="AL372" i="7" s="1"/>
  <c r="AZ370" i="7" a="1"/>
  <c r="AZ370" i="7" s="1"/>
  <c r="AN370" i="7" a="1"/>
  <c r="AN370" i="7" s="1"/>
  <c r="BA368" i="7" a="1"/>
  <c r="BA368" i="7" s="1"/>
  <c r="AW368" i="7" a="1"/>
  <c r="AW368" i="7" s="1"/>
  <c r="AV368" i="7" s="1"/>
  <c r="AO368" i="7" a="1"/>
  <c r="AO368" i="7" s="1"/>
  <c r="BB366" i="7" a="1"/>
  <c r="BB366" i="7" s="1"/>
  <c r="AX366" i="7" a="1"/>
  <c r="AX366" i="7" s="1"/>
  <c r="AP366" i="7" a="1"/>
  <c r="AP366" i="7" s="1"/>
  <c r="BC364" i="7" a="1"/>
  <c r="BC364" i="7" s="1"/>
  <c r="AY364" i="7" a="1"/>
  <c r="AY364" i="7" s="1"/>
  <c r="AQ364" i="7" a="1"/>
  <c r="AQ364" i="7" s="1"/>
  <c r="AM364" i="7" a="1"/>
  <c r="AM364" i="7" s="1"/>
  <c r="AL364" i="7" s="1"/>
  <c r="AZ362" i="7" a="1"/>
  <c r="AZ362" i="7" s="1"/>
  <c r="AN362" i="7" a="1"/>
  <c r="AN362" i="7" s="1"/>
  <c r="BA360" i="7" a="1"/>
  <c r="BA360" i="7" s="1"/>
  <c r="AW360" i="7" a="1"/>
  <c r="AW360" i="7" s="1"/>
  <c r="AV360" i="7" s="1"/>
  <c r="AO360" i="7" a="1"/>
  <c r="AO360" i="7" s="1"/>
  <c r="BB385" i="7" a="1"/>
  <c r="BB385" i="7" s="1"/>
  <c r="AX385" i="7" a="1"/>
  <c r="AX385" i="7" s="1"/>
  <c r="AP385" i="7" a="1"/>
  <c r="AP385" i="7" s="1"/>
  <c r="BC383" i="7" a="1"/>
  <c r="BC383" i="7" s="1"/>
  <c r="AY383" i="7" a="1"/>
  <c r="AY383" i="7" s="1"/>
  <c r="AQ383" i="7" a="1"/>
  <c r="AQ383" i="7" s="1"/>
  <c r="AM383" i="7" a="1"/>
  <c r="AM383" i="7" s="1"/>
  <c r="AL383" i="7" s="1"/>
  <c r="AZ381" i="7" a="1"/>
  <c r="AZ381" i="7" s="1"/>
  <c r="AN381" i="7" a="1"/>
  <c r="AN381" i="7" s="1"/>
  <c r="BA379" i="7" a="1"/>
  <c r="BA379" i="7" s="1"/>
  <c r="AW379" i="7" a="1"/>
  <c r="AW379" i="7" s="1"/>
  <c r="AV379" i="7" s="1"/>
  <c r="AO379" i="7" a="1"/>
  <c r="AO379" i="7" s="1"/>
  <c r="BB377" i="7" a="1"/>
  <c r="BB377" i="7" s="1"/>
  <c r="AX377" i="7" a="1"/>
  <c r="AX377" i="7" s="1"/>
  <c r="AP377" i="7" a="1"/>
  <c r="AP377" i="7" s="1"/>
  <c r="BC375" i="7" a="1"/>
  <c r="BC375" i="7" s="1"/>
  <c r="AY375" i="7" a="1"/>
  <c r="AY375" i="7" s="1"/>
  <c r="AQ375" i="7" a="1"/>
  <c r="AQ375" i="7" s="1"/>
  <c r="AM375" i="7" a="1"/>
  <c r="AM375" i="7" s="1"/>
  <c r="AL375" i="7" s="1"/>
  <c r="AZ373" i="7" a="1"/>
  <c r="AZ373" i="7" s="1"/>
  <c r="AN373" i="7" a="1"/>
  <c r="AN373" i="7" s="1"/>
  <c r="BA371" i="7" a="1"/>
  <c r="BA371" i="7" s="1"/>
  <c r="AW371" i="7" a="1"/>
  <c r="AW371" i="7" s="1"/>
  <c r="AV371" i="7" s="1"/>
  <c r="AO371" i="7" a="1"/>
  <c r="AO371" i="7" s="1"/>
  <c r="BB369" i="7" a="1"/>
  <c r="BB369" i="7" s="1"/>
  <c r="AX369" i="7" a="1"/>
  <c r="AX369" i="7" s="1"/>
  <c r="AP369" i="7" a="1"/>
  <c r="AP369" i="7" s="1"/>
  <c r="BC367" i="7" a="1"/>
  <c r="BC367" i="7" s="1"/>
  <c r="AY367" i="7" a="1"/>
  <c r="AY367" i="7" s="1"/>
  <c r="AQ367" i="7" a="1"/>
  <c r="AQ367" i="7" s="1"/>
  <c r="AM367" i="7" a="1"/>
  <c r="AM367" i="7" s="1"/>
  <c r="AL367" i="7" s="1"/>
  <c r="BA387" i="7" a="1"/>
  <c r="BA387" i="7" s="1"/>
  <c r="AW387" i="7" a="1"/>
  <c r="AW387" i="7" s="1"/>
  <c r="AV387" i="7" s="1"/>
  <c r="AO387" i="7" a="1"/>
  <c r="AO387" i="7" s="1"/>
  <c r="BC386" i="7" a="1"/>
  <c r="BC386" i="7" s="1"/>
  <c r="AY386" i="7" a="1"/>
  <c r="AY386" i="7" s="1"/>
  <c r="AQ386" i="7" a="1"/>
  <c r="AQ386" i="7" s="1"/>
  <c r="AM386" i="7" a="1"/>
  <c r="AM386" i="7" s="1"/>
  <c r="AL386" i="7" s="1"/>
  <c r="AZ384" i="7" a="1"/>
  <c r="AZ384" i="7" s="1"/>
  <c r="AN384" i="7" a="1"/>
  <c r="AN384" i="7" s="1"/>
  <c r="BA382" i="7" a="1"/>
  <c r="BA382" i="7" s="1"/>
  <c r="AW382" i="7" a="1"/>
  <c r="AW382" i="7" s="1"/>
  <c r="AV382" i="7" s="1"/>
  <c r="AO382" i="7" a="1"/>
  <c r="AO382" i="7" s="1"/>
  <c r="BB380" i="7" a="1"/>
  <c r="BB380" i="7" s="1"/>
  <c r="AX380" i="7" a="1"/>
  <c r="AX380" i="7" s="1"/>
  <c r="AP380" i="7" a="1"/>
  <c r="AP380" i="7" s="1"/>
  <c r="BC378" i="7" a="1"/>
  <c r="BC378" i="7" s="1"/>
  <c r="AY378" i="7" a="1"/>
  <c r="AY378" i="7" s="1"/>
  <c r="AQ378" i="7" a="1"/>
  <c r="AQ378" i="7" s="1"/>
  <c r="AM378" i="7" a="1"/>
  <c r="AM378" i="7" s="1"/>
  <c r="AL378" i="7" s="1"/>
  <c r="AZ376" i="7" a="1"/>
  <c r="AZ376" i="7" s="1"/>
  <c r="AN376" i="7" a="1"/>
  <c r="AN376" i="7" s="1"/>
  <c r="BA374" i="7" a="1"/>
  <c r="BA374" i="7" s="1"/>
  <c r="AW374" i="7" a="1"/>
  <c r="AW374" i="7" s="1"/>
  <c r="AV374" i="7" s="1"/>
  <c r="AO374" i="7" a="1"/>
  <c r="AO374" i="7" s="1"/>
  <c r="BB372" i="7" a="1"/>
  <c r="BB372" i="7" s="1"/>
  <c r="AX372" i="7" a="1"/>
  <c r="AX372" i="7" s="1"/>
  <c r="AP372" i="7" a="1"/>
  <c r="AP372" i="7" s="1"/>
  <c r="BC370" i="7" a="1"/>
  <c r="BC370" i="7" s="1"/>
  <c r="AY370" i="7" a="1"/>
  <c r="AY370" i="7" s="1"/>
  <c r="AQ370" i="7" a="1"/>
  <c r="AQ370" i="7" s="1"/>
  <c r="AM370" i="7" a="1"/>
  <c r="AM370" i="7" s="1"/>
  <c r="AL370" i="7" s="1"/>
  <c r="AZ368" i="7" a="1"/>
  <c r="AZ368" i="7" s="1"/>
  <c r="AN368" i="7" a="1"/>
  <c r="AN368" i="7" s="1"/>
  <c r="BA366" i="7" a="1"/>
  <c r="BA366" i="7" s="1"/>
  <c r="AW366" i="7" a="1"/>
  <c r="AW366" i="7" s="1"/>
  <c r="AV366" i="7" s="1"/>
  <c r="AO366" i="7" a="1"/>
  <c r="AO366" i="7" s="1"/>
  <c r="BB364" i="7" a="1"/>
  <c r="BB364" i="7" s="1"/>
  <c r="AX364" i="7" a="1"/>
  <c r="AX364" i="7" s="1"/>
  <c r="AP364" i="7" a="1"/>
  <c r="AP364" i="7" s="1"/>
  <c r="BA385" i="7" a="1"/>
  <c r="BA385" i="7" s="1"/>
  <c r="AW385" i="7" a="1"/>
  <c r="AW385" i="7" s="1"/>
  <c r="AV385" i="7" s="1"/>
  <c r="AO385" i="7" a="1"/>
  <c r="AO385" i="7" s="1"/>
  <c r="BB383" i="7" a="1"/>
  <c r="BB383" i="7" s="1"/>
  <c r="AX383" i="7" a="1"/>
  <c r="AX383" i="7" s="1"/>
  <c r="AP383" i="7" a="1"/>
  <c r="AP383" i="7" s="1"/>
  <c r="BC381" i="7" a="1"/>
  <c r="BC381" i="7" s="1"/>
  <c r="AY381" i="7" a="1"/>
  <c r="AY381" i="7" s="1"/>
  <c r="AQ381" i="7" a="1"/>
  <c r="AQ381" i="7" s="1"/>
  <c r="AM381" i="7" a="1"/>
  <c r="AM381" i="7" s="1"/>
  <c r="AL381" i="7" s="1"/>
  <c r="AZ379" i="7" a="1"/>
  <c r="AZ379" i="7" s="1"/>
  <c r="AN379" i="7" a="1"/>
  <c r="AN379" i="7" s="1"/>
  <c r="BA377" i="7" a="1"/>
  <c r="BA377" i="7" s="1"/>
  <c r="AW377" i="7" a="1"/>
  <c r="AW377" i="7" s="1"/>
  <c r="AV377" i="7" s="1"/>
  <c r="AO377" i="7" a="1"/>
  <c r="AO377" i="7" s="1"/>
  <c r="BB375" i="7" a="1"/>
  <c r="BB375" i="7" s="1"/>
  <c r="AX375" i="7" a="1"/>
  <c r="AX375" i="7" s="1"/>
  <c r="AP375" i="7" a="1"/>
  <c r="AP375" i="7" s="1"/>
  <c r="BC373" i="7" a="1"/>
  <c r="BC373" i="7" s="1"/>
  <c r="AY373" i="7" a="1"/>
  <c r="AY373" i="7" s="1"/>
  <c r="AQ373" i="7" a="1"/>
  <c r="AQ373" i="7" s="1"/>
  <c r="AM373" i="7" a="1"/>
  <c r="AM373" i="7" s="1"/>
  <c r="AL373" i="7" s="1"/>
  <c r="AZ371" i="7" a="1"/>
  <c r="AZ371" i="7" s="1"/>
  <c r="AN371" i="7" a="1"/>
  <c r="AN371" i="7" s="1"/>
  <c r="BA369" i="7" a="1"/>
  <c r="BA369" i="7" s="1"/>
  <c r="AW369" i="7" a="1"/>
  <c r="AW369" i="7" s="1"/>
  <c r="AV369" i="7" s="1"/>
  <c r="AO369" i="7" a="1"/>
  <c r="AO369" i="7" s="1"/>
  <c r="BB367" i="7" a="1"/>
  <c r="BB367" i="7" s="1"/>
  <c r="AX367" i="7" a="1"/>
  <c r="AX367" i="7" s="1"/>
  <c r="AP367" i="7" a="1"/>
  <c r="AP367" i="7" s="1"/>
  <c r="BC365" i="7" a="1"/>
  <c r="BC365" i="7" s="1"/>
  <c r="AY365" i="7" a="1"/>
  <c r="AY365" i="7" s="1"/>
  <c r="AQ365" i="7" a="1"/>
  <c r="AQ365" i="7" s="1"/>
  <c r="AM365" i="7" a="1"/>
  <c r="AM365" i="7" s="1"/>
  <c r="AL365" i="7" s="1"/>
  <c r="AZ387" i="7" a="1"/>
  <c r="AZ387" i="7" s="1"/>
  <c r="AN387" i="7" a="1"/>
  <c r="AN387" i="7" s="1"/>
  <c r="BB386" i="7" a="1"/>
  <c r="BB386" i="7" s="1"/>
  <c r="AX386" i="7" a="1"/>
  <c r="AX386" i="7" s="1"/>
  <c r="AP386" i="7" a="1"/>
  <c r="AP386" i="7" s="1"/>
  <c r="BC384" i="7" a="1"/>
  <c r="BC384" i="7" s="1"/>
  <c r="AY384" i="7" a="1"/>
  <c r="AY384" i="7" s="1"/>
  <c r="AQ384" i="7" a="1"/>
  <c r="AQ384" i="7" s="1"/>
  <c r="AM384" i="7" a="1"/>
  <c r="AM384" i="7" s="1"/>
  <c r="AL384" i="7" s="1"/>
  <c r="AZ382" i="7" a="1"/>
  <c r="AZ382" i="7" s="1"/>
  <c r="AN382" i="7" a="1"/>
  <c r="AN382" i="7" s="1"/>
  <c r="BA380" i="7" a="1"/>
  <c r="BA380" i="7" s="1"/>
  <c r="AW380" i="7" a="1"/>
  <c r="AW380" i="7" s="1"/>
  <c r="AV380" i="7" s="1"/>
  <c r="AO380" i="7" a="1"/>
  <c r="AO380" i="7" s="1"/>
  <c r="BB378" i="7" a="1"/>
  <c r="BB378" i="7" s="1"/>
  <c r="AX378" i="7" a="1"/>
  <c r="AX378" i="7" s="1"/>
  <c r="AP378" i="7" a="1"/>
  <c r="AP378" i="7" s="1"/>
  <c r="BC376" i="7" a="1"/>
  <c r="BC376" i="7" s="1"/>
  <c r="AY376" i="7" a="1"/>
  <c r="AY376" i="7" s="1"/>
  <c r="AQ376" i="7" a="1"/>
  <c r="AQ376" i="7" s="1"/>
  <c r="AM376" i="7" a="1"/>
  <c r="AM376" i="7" s="1"/>
  <c r="AL376" i="7" s="1"/>
  <c r="AZ374" i="7" a="1"/>
  <c r="AZ374" i="7" s="1"/>
  <c r="AN374" i="7" a="1"/>
  <c r="AN374" i="7" s="1"/>
  <c r="BA372" i="7" a="1"/>
  <c r="BA372" i="7" s="1"/>
  <c r="AW372" i="7" a="1"/>
  <c r="AW372" i="7" s="1"/>
  <c r="AV372" i="7" s="1"/>
  <c r="AO372" i="7" a="1"/>
  <c r="AO372" i="7" s="1"/>
  <c r="BB370" i="7" a="1"/>
  <c r="BB370" i="7" s="1"/>
  <c r="AX370" i="7" a="1"/>
  <c r="AX370" i="7" s="1"/>
  <c r="AP370" i="7" a="1"/>
  <c r="AP370" i="7" s="1"/>
  <c r="BC368" i="7" a="1"/>
  <c r="BC368" i="7" s="1"/>
  <c r="AY368" i="7" a="1"/>
  <c r="AY368" i="7" s="1"/>
  <c r="AQ368" i="7" a="1"/>
  <c r="AQ368" i="7" s="1"/>
  <c r="AM368" i="7" a="1"/>
  <c r="AM368" i="7" s="1"/>
  <c r="AL368" i="7" s="1"/>
  <c r="AZ366" i="7" a="1"/>
  <c r="AZ366" i="7" s="1"/>
  <c r="AN366" i="7" a="1"/>
  <c r="AN366" i="7" s="1"/>
  <c r="BA364" i="7" a="1"/>
  <c r="BA364" i="7" s="1"/>
  <c r="AW364" i="7" a="1"/>
  <c r="AW364" i="7" s="1"/>
  <c r="AV364" i="7" s="1"/>
  <c r="AO364" i="7" a="1"/>
  <c r="AO364" i="7" s="1"/>
  <c r="AZ385" i="7" a="1"/>
  <c r="AZ385" i="7" s="1"/>
  <c r="AN385" i="7" a="1"/>
  <c r="AN385" i="7" s="1"/>
  <c r="BA383" i="7" a="1"/>
  <c r="BA383" i="7" s="1"/>
  <c r="AW383" i="7" a="1"/>
  <c r="AW383" i="7" s="1"/>
  <c r="AV383" i="7" s="1"/>
  <c r="AO383" i="7" a="1"/>
  <c r="AO383" i="7" s="1"/>
  <c r="BB381" i="7" a="1"/>
  <c r="BB381" i="7" s="1"/>
  <c r="AX381" i="7" a="1"/>
  <c r="AX381" i="7" s="1"/>
  <c r="AP381" i="7" a="1"/>
  <c r="AP381" i="7" s="1"/>
  <c r="BC379" i="7" a="1"/>
  <c r="BC379" i="7" s="1"/>
  <c r="AY379" i="7" a="1"/>
  <c r="AY379" i="7" s="1"/>
  <c r="AQ379" i="7" a="1"/>
  <c r="AQ379" i="7" s="1"/>
  <c r="AM379" i="7" a="1"/>
  <c r="AM379" i="7" s="1"/>
  <c r="AL379" i="7" s="1"/>
  <c r="AZ377" i="7" a="1"/>
  <c r="AZ377" i="7" s="1"/>
  <c r="AN377" i="7" a="1"/>
  <c r="AN377" i="7" s="1"/>
  <c r="BA375" i="7" a="1"/>
  <c r="BA375" i="7" s="1"/>
  <c r="AW375" i="7" a="1"/>
  <c r="AW375" i="7" s="1"/>
  <c r="AV375" i="7" s="1"/>
  <c r="AO375" i="7" a="1"/>
  <c r="AO375" i="7" s="1"/>
  <c r="BB373" i="7" a="1"/>
  <c r="BB373" i="7" s="1"/>
  <c r="AX373" i="7" a="1"/>
  <c r="AX373" i="7" s="1"/>
  <c r="AP373" i="7" a="1"/>
  <c r="AP373" i="7" s="1"/>
  <c r="BC371" i="7" a="1"/>
  <c r="BC371" i="7" s="1"/>
  <c r="AY371" i="7" a="1"/>
  <c r="AY371" i="7" s="1"/>
  <c r="AQ371" i="7" a="1"/>
  <c r="AQ371" i="7" s="1"/>
  <c r="AM371" i="7" a="1"/>
  <c r="AM371" i="7" s="1"/>
  <c r="AL371" i="7" s="1"/>
  <c r="AZ369" i="7" a="1"/>
  <c r="AZ369" i="7" s="1"/>
  <c r="AN369" i="7" a="1"/>
  <c r="AN369" i="7" s="1"/>
  <c r="BA367" i="7" a="1"/>
  <c r="BA367" i="7" s="1"/>
  <c r="AW367" i="7" a="1"/>
  <c r="AW367" i="7" s="1"/>
  <c r="AV367" i="7" s="1"/>
  <c r="AO367" i="7" a="1"/>
  <c r="AO367" i="7" s="1"/>
  <c r="BB365" i="7" a="1"/>
  <c r="BB365" i="7" s="1"/>
  <c r="AX365" i="7" a="1"/>
  <c r="AX365" i="7" s="1"/>
  <c r="AP365" i="7" a="1"/>
  <c r="AP365" i="7" s="1"/>
  <c r="BC363" i="7" a="1"/>
  <c r="BC363" i="7" s="1"/>
  <c r="AY363" i="7" a="1"/>
  <c r="AY363" i="7" s="1"/>
  <c r="AQ363" i="7" a="1"/>
  <c r="AQ363" i="7" s="1"/>
  <c r="AM363" i="7" a="1"/>
  <c r="AM363" i="7" s="1"/>
  <c r="AL363" i="7" s="1"/>
  <c r="BC387" i="7" a="1"/>
  <c r="BC387" i="7" s="1"/>
  <c r="AY387" i="7" a="1"/>
  <c r="AY387" i="7" s="1"/>
  <c r="AQ387" i="7" a="1"/>
  <c r="AQ387" i="7" s="1"/>
  <c r="AM387" i="7" a="1"/>
  <c r="AM387" i="7" s="1"/>
  <c r="AL387" i="7" s="1"/>
  <c r="BA386" i="7" a="1"/>
  <c r="BA386" i="7" s="1"/>
  <c r="AW386" i="7" a="1"/>
  <c r="AW386" i="7" s="1"/>
  <c r="AV386" i="7" s="1"/>
  <c r="AO386" i="7" a="1"/>
  <c r="AO386" i="7" s="1"/>
  <c r="BB384" i="7" a="1"/>
  <c r="BB384" i="7" s="1"/>
  <c r="AX384" i="7" a="1"/>
  <c r="AX384" i="7" s="1"/>
  <c r="AP384" i="7" a="1"/>
  <c r="AP384" i="7" s="1"/>
  <c r="BC382" i="7" a="1"/>
  <c r="BC382" i="7" s="1"/>
  <c r="AY382" i="7" a="1"/>
  <c r="AY382" i="7" s="1"/>
  <c r="AQ382" i="7" a="1"/>
  <c r="AQ382" i="7" s="1"/>
  <c r="AM382" i="7" a="1"/>
  <c r="AM382" i="7" s="1"/>
  <c r="AL382" i="7" s="1"/>
  <c r="AZ380" i="7" a="1"/>
  <c r="AZ380" i="7" s="1"/>
  <c r="AN380" i="7" a="1"/>
  <c r="AN380" i="7" s="1"/>
  <c r="BA378" i="7" a="1"/>
  <c r="BA378" i="7" s="1"/>
  <c r="AW378" i="7" a="1"/>
  <c r="AW378" i="7" s="1"/>
  <c r="AV378" i="7" s="1"/>
  <c r="AO378" i="7" a="1"/>
  <c r="AO378" i="7" s="1"/>
  <c r="BB376" i="7" a="1"/>
  <c r="BB376" i="7" s="1"/>
  <c r="AX376" i="7" a="1"/>
  <c r="AX376" i="7" s="1"/>
  <c r="AP376" i="7" a="1"/>
  <c r="AP376" i="7" s="1"/>
  <c r="BC374" i="7" a="1"/>
  <c r="BC374" i="7" s="1"/>
  <c r="AY374" i="7" a="1"/>
  <c r="AY374" i="7" s="1"/>
  <c r="AQ374" i="7" a="1"/>
  <c r="AQ374" i="7" s="1"/>
  <c r="AM374" i="7" a="1"/>
  <c r="AM374" i="7" s="1"/>
  <c r="AL374" i="7" s="1"/>
  <c r="AZ372" i="7" a="1"/>
  <c r="AZ372" i="7" s="1"/>
  <c r="AN372" i="7" a="1"/>
  <c r="AN372" i="7" s="1"/>
  <c r="BA370" i="7" a="1"/>
  <c r="BA370" i="7" s="1"/>
  <c r="AW370" i="7" a="1"/>
  <c r="AW370" i="7" s="1"/>
  <c r="AV370" i="7" s="1"/>
  <c r="AO370" i="7" a="1"/>
  <c r="AO370" i="7" s="1"/>
  <c r="BB368" i="7" a="1"/>
  <c r="BB368" i="7" s="1"/>
  <c r="AX368" i="7" a="1"/>
  <c r="AX368" i="7" s="1"/>
  <c r="AP368" i="7" a="1"/>
  <c r="AP368" i="7" s="1"/>
  <c r="BC366" i="7" a="1"/>
  <c r="BC366" i="7" s="1"/>
  <c r="AY366" i="7" a="1"/>
  <c r="AY366" i="7" s="1"/>
  <c r="AQ366" i="7" a="1"/>
  <c r="AQ366" i="7" s="1"/>
  <c r="AM366" i="7" a="1"/>
  <c r="AM366" i="7" s="1"/>
  <c r="AL366" i="7" s="1"/>
  <c r="AN364" i="7" a="1"/>
  <c r="AN364" i="7" s="1"/>
  <c r="BA362" i="7" a="1"/>
  <c r="BA362" i="7" s="1"/>
  <c r="BC361" i="7" a="1"/>
  <c r="BC361" i="7" s="1"/>
  <c r="AX361" i="7" a="1"/>
  <c r="AX361" i="7" s="1"/>
  <c r="AZ360" i="7" a="1"/>
  <c r="AZ360" i="7" s="1"/>
  <c r="AM360" i="7" a="1"/>
  <c r="AM360" i="7" s="1"/>
  <c r="AL360" i="7" s="1"/>
  <c r="BB359" i="7" a="1"/>
  <c r="BB359" i="7" s="1"/>
  <c r="AZ358" i="7" a="1"/>
  <c r="AZ358" i="7" s="1"/>
  <c r="AN358" i="7" a="1"/>
  <c r="AN358" i="7" s="1"/>
  <c r="BA356" i="7" a="1"/>
  <c r="BA356" i="7" s="1"/>
  <c r="AW356" i="7" a="1"/>
  <c r="AW356" i="7" s="1"/>
  <c r="AV356" i="7" s="1"/>
  <c r="AO356" i="7" a="1"/>
  <c r="AO356" i="7" s="1"/>
  <c r="BB354" i="7" a="1"/>
  <c r="BB354" i="7" s="1"/>
  <c r="AX354" i="7" a="1"/>
  <c r="AX354" i="7" s="1"/>
  <c r="AP354" i="7" a="1"/>
  <c r="AP354" i="7" s="1"/>
  <c r="BC352" i="7" a="1"/>
  <c r="BC352" i="7" s="1"/>
  <c r="AY352" i="7" a="1"/>
  <c r="AY352" i="7" s="1"/>
  <c r="AQ352" i="7" a="1"/>
  <c r="AQ352" i="7" s="1"/>
  <c r="AM352" i="7" a="1"/>
  <c r="AM352" i="7" s="1"/>
  <c r="AL352" i="7" s="1"/>
  <c r="AZ350" i="7" a="1"/>
  <c r="AZ350" i="7" s="1"/>
  <c r="AN350" i="7" a="1"/>
  <c r="AN350" i="7" s="1"/>
  <c r="BA348" i="7" a="1"/>
  <c r="BA348" i="7" s="1"/>
  <c r="AW348" i="7" a="1"/>
  <c r="AW348" i="7" s="1"/>
  <c r="AV348" i="7" s="1"/>
  <c r="AO348" i="7" a="1"/>
  <c r="AO348" i="7" s="1"/>
  <c r="BB346" i="7" a="1"/>
  <c r="BB346" i="7" s="1"/>
  <c r="AX346" i="7" a="1"/>
  <c r="AX346" i="7" s="1"/>
  <c r="AP346" i="7" a="1"/>
  <c r="AP346" i="7" s="1"/>
  <c r="BC344" i="7" a="1"/>
  <c r="BC344" i="7" s="1"/>
  <c r="AY344" i="7" a="1"/>
  <c r="AY344" i="7" s="1"/>
  <c r="AQ344" i="7" a="1"/>
  <c r="AQ344" i="7" s="1"/>
  <c r="AM344" i="7" a="1"/>
  <c r="AM344" i="7" s="1"/>
  <c r="AL344" i="7" s="1"/>
  <c r="AZ342" i="7" a="1"/>
  <c r="AZ342" i="7" s="1"/>
  <c r="AN342" i="7" a="1"/>
  <c r="AN342" i="7" s="1"/>
  <c r="BA340" i="7" a="1"/>
  <c r="BA340" i="7" s="1"/>
  <c r="AW340" i="7" a="1"/>
  <c r="AW340" i="7" s="1"/>
  <c r="AV340" i="7" s="1"/>
  <c r="AO340" i="7" a="1"/>
  <c r="AO340" i="7" s="1"/>
  <c r="BB338" i="7" a="1"/>
  <c r="BB338" i="7" s="1"/>
  <c r="AX338" i="7" a="1"/>
  <c r="AX338" i="7" s="1"/>
  <c r="AP338" i="7" a="1"/>
  <c r="AP338" i="7" s="1"/>
  <c r="BC336" i="7" a="1"/>
  <c r="BC336" i="7" s="1"/>
  <c r="AY336" i="7" a="1"/>
  <c r="AY336" i="7" s="1"/>
  <c r="AQ336" i="7" a="1"/>
  <c r="AQ336" i="7" s="1"/>
  <c r="AM336" i="7" a="1"/>
  <c r="AM336" i="7" s="1"/>
  <c r="AL336" i="7" s="1"/>
  <c r="AZ334" i="7" a="1"/>
  <c r="AZ334" i="7" s="1"/>
  <c r="AN334" i="7" a="1"/>
  <c r="AN334" i="7" s="1"/>
  <c r="BA332" i="7" a="1"/>
  <c r="BA332" i="7" s="1"/>
  <c r="AW332" i="7" a="1"/>
  <c r="AW332" i="7" s="1"/>
  <c r="AV332" i="7" s="1"/>
  <c r="AO332" i="7" a="1"/>
  <c r="AO332" i="7" s="1"/>
  <c r="BB330" i="7" a="1"/>
  <c r="BB330" i="7" s="1"/>
  <c r="AX330" i="7" a="1"/>
  <c r="AX330" i="7" s="1"/>
  <c r="AP330" i="7" a="1"/>
  <c r="AP330" i="7" s="1"/>
  <c r="AN365" i="7" a="1"/>
  <c r="AN365" i="7" s="1"/>
  <c r="AW363" i="7" a="1"/>
  <c r="AW363" i="7" s="1"/>
  <c r="AV363" i="7" s="1"/>
  <c r="AM362" i="7" a="1"/>
  <c r="AM362" i="7" s="1"/>
  <c r="AL362" i="7" s="1"/>
  <c r="BB361" i="7" a="1"/>
  <c r="BB361" i="7" s="1"/>
  <c r="AO361" i="7" a="1"/>
  <c r="AO361" i="7" s="1"/>
  <c r="AQ360" i="7" a="1"/>
  <c r="AQ360" i="7" s="1"/>
  <c r="AW359" i="7" a="1"/>
  <c r="AW359" i="7" s="1"/>
  <c r="AV359" i="7" s="1"/>
  <c r="AO359" i="7" a="1"/>
  <c r="AO359" i="7" s="1"/>
  <c r="BB357" i="7" a="1"/>
  <c r="BB357" i="7" s="1"/>
  <c r="AX357" i="7" a="1"/>
  <c r="AX357" i="7" s="1"/>
  <c r="AP357" i="7" a="1"/>
  <c r="AP357" i="7" s="1"/>
  <c r="BC355" i="7" a="1"/>
  <c r="BC355" i="7" s="1"/>
  <c r="AY355" i="7" a="1"/>
  <c r="AY355" i="7" s="1"/>
  <c r="AQ355" i="7" a="1"/>
  <c r="AQ355" i="7" s="1"/>
  <c r="AM355" i="7" a="1"/>
  <c r="AM355" i="7" s="1"/>
  <c r="AL355" i="7" s="1"/>
  <c r="AZ353" i="7" a="1"/>
  <c r="AZ353" i="7" s="1"/>
  <c r="AN353" i="7" a="1"/>
  <c r="AN353" i="7" s="1"/>
  <c r="BA351" i="7" a="1"/>
  <c r="BA351" i="7" s="1"/>
  <c r="AW351" i="7" a="1"/>
  <c r="AW351" i="7" s="1"/>
  <c r="AV351" i="7" s="1"/>
  <c r="AO351" i="7" a="1"/>
  <c r="AO351" i="7" s="1"/>
  <c r="BB349" i="7" a="1"/>
  <c r="BB349" i="7" s="1"/>
  <c r="AX349" i="7" a="1"/>
  <c r="AX349" i="7" s="1"/>
  <c r="AP349" i="7" a="1"/>
  <c r="AP349" i="7" s="1"/>
  <c r="BC347" i="7" a="1"/>
  <c r="BC347" i="7" s="1"/>
  <c r="AY347" i="7" a="1"/>
  <c r="AY347" i="7" s="1"/>
  <c r="AQ347" i="7" a="1"/>
  <c r="AQ347" i="7" s="1"/>
  <c r="AM347" i="7" a="1"/>
  <c r="AM347" i="7" s="1"/>
  <c r="AL347" i="7" s="1"/>
  <c r="AZ345" i="7" a="1"/>
  <c r="AZ345" i="7" s="1"/>
  <c r="AN345" i="7" a="1"/>
  <c r="AN345" i="7" s="1"/>
  <c r="BA343" i="7" a="1"/>
  <c r="BA343" i="7" s="1"/>
  <c r="AW343" i="7" a="1"/>
  <c r="AW343" i="7" s="1"/>
  <c r="AV343" i="7" s="1"/>
  <c r="AO343" i="7" a="1"/>
  <c r="AO343" i="7" s="1"/>
  <c r="BB341" i="7" a="1"/>
  <c r="BB341" i="7" s="1"/>
  <c r="AX341" i="7" a="1"/>
  <c r="AX341" i="7" s="1"/>
  <c r="AP341" i="7" a="1"/>
  <c r="AP341" i="7" s="1"/>
  <c r="BC339" i="7" a="1"/>
  <c r="BC339" i="7" s="1"/>
  <c r="AY339" i="7" a="1"/>
  <c r="AY339" i="7" s="1"/>
  <c r="AQ339" i="7" a="1"/>
  <c r="AQ339" i="7" s="1"/>
  <c r="AM339" i="7" a="1"/>
  <c r="AM339" i="7" s="1"/>
  <c r="AL339" i="7" s="1"/>
  <c r="AZ337" i="7" a="1"/>
  <c r="AZ337" i="7" s="1"/>
  <c r="AN337" i="7" a="1"/>
  <c r="AN337" i="7" s="1"/>
  <c r="BA335" i="7" a="1"/>
  <c r="BA335" i="7" s="1"/>
  <c r="AW335" i="7" a="1"/>
  <c r="AW335" i="7" s="1"/>
  <c r="AV335" i="7" s="1"/>
  <c r="AO335" i="7" a="1"/>
  <c r="AO335" i="7" s="1"/>
  <c r="BB333" i="7" a="1"/>
  <c r="BB333" i="7" s="1"/>
  <c r="AX333" i="7" a="1"/>
  <c r="AX333" i="7" s="1"/>
  <c r="AP333" i="7" a="1"/>
  <c r="AP333" i="7" s="1"/>
  <c r="AZ364" i="7" a="1"/>
  <c r="AZ364" i="7" s="1"/>
  <c r="AQ362" i="7" a="1"/>
  <c r="AQ362" i="7" s="1"/>
  <c r="AW361" i="7" a="1"/>
  <c r="AW361" i="7" s="1"/>
  <c r="AV361" i="7" s="1"/>
  <c r="AY360" i="7" a="1"/>
  <c r="AY360" i="7" s="1"/>
  <c r="BA359" i="7" a="1"/>
  <c r="BA359" i="7" s="1"/>
  <c r="BC358" i="7" a="1"/>
  <c r="BC358" i="7" s="1"/>
  <c r="AY358" i="7" a="1"/>
  <c r="AY358" i="7" s="1"/>
  <c r="AQ358" i="7" a="1"/>
  <c r="AQ358" i="7" s="1"/>
  <c r="AM358" i="7" a="1"/>
  <c r="AM358" i="7" s="1"/>
  <c r="AL358" i="7" s="1"/>
  <c r="AZ356" i="7" a="1"/>
  <c r="AZ356" i="7" s="1"/>
  <c r="AN356" i="7" a="1"/>
  <c r="AN356" i="7" s="1"/>
  <c r="BA354" i="7" a="1"/>
  <c r="BA354" i="7" s="1"/>
  <c r="AW354" i="7" a="1"/>
  <c r="AW354" i="7" s="1"/>
  <c r="AV354" i="7" s="1"/>
  <c r="AO354" i="7" a="1"/>
  <c r="AO354" i="7" s="1"/>
  <c r="BB352" i="7" a="1"/>
  <c r="BB352" i="7" s="1"/>
  <c r="AX352" i="7" a="1"/>
  <c r="AX352" i="7" s="1"/>
  <c r="AP352" i="7" a="1"/>
  <c r="AP352" i="7" s="1"/>
  <c r="BC350" i="7" a="1"/>
  <c r="BC350" i="7" s="1"/>
  <c r="AY350" i="7" a="1"/>
  <c r="AY350" i="7" s="1"/>
  <c r="AQ350" i="7" a="1"/>
  <c r="AQ350" i="7" s="1"/>
  <c r="AM350" i="7" a="1"/>
  <c r="AM350" i="7" s="1"/>
  <c r="AL350" i="7" s="1"/>
  <c r="AZ348" i="7" a="1"/>
  <c r="AZ348" i="7" s="1"/>
  <c r="AN348" i="7" a="1"/>
  <c r="AN348" i="7" s="1"/>
  <c r="BA346" i="7" a="1"/>
  <c r="BA346" i="7" s="1"/>
  <c r="AW346" i="7" a="1"/>
  <c r="AW346" i="7" s="1"/>
  <c r="AV346" i="7" s="1"/>
  <c r="AO346" i="7" a="1"/>
  <c r="AO346" i="7" s="1"/>
  <c r="BB344" i="7" a="1"/>
  <c r="BB344" i="7" s="1"/>
  <c r="AX344" i="7" a="1"/>
  <c r="AX344" i="7" s="1"/>
  <c r="AP344" i="7" a="1"/>
  <c r="AP344" i="7" s="1"/>
  <c r="BC342" i="7" a="1"/>
  <c r="BC342" i="7" s="1"/>
  <c r="AY342" i="7" a="1"/>
  <c r="AY342" i="7" s="1"/>
  <c r="AQ342" i="7" a="1"/>
  <c r="AQ342" i="7" s="1"/>
  <c r="AM342" i="7" a="1"/>
  <c r="AM342" i="7" s="1"/>
  <c r="AL342" i="7" s="1"/>
  <c r="AZ340" i="7" a="1"/>
  <c r="AZ340" i="7" s="1"/>
  <c r="AN340" i="7" a="1"/>
  <c r="AN340" i="7" s="1"/>
  <c r="BA338" i="7" a="1"/>
  <c r="BA338" i="7" s="1"/>
  <c r="AW338" i="7" a="1"/>
  <c r="AW338" i="7" s="1"/>
  <c r="AV338" i="7" s="1"/>
  <c r="AO338" i="7" a="1"/>
  <c r="AO338" i="7" s="1"/>
  <c r="BB336" i="7" a="1"/>
  <c r="BB336" i="7" s="1"/>
  <c r="AX336" i="7" a="1"/>
  <c r="AX336" i="7" s="1"/>
  <c r="AP336" i="7" a="1"/>
  <c r="AP336" i="7" s="1"/>
  <c r="BC334" i="7" a="1"/>
  <c r="BC334" i="7" s="1"/>
  <c r="AY334" i="7" a="1"/>
  <c r="AY334" i="7" s="1"/>
  <c r="AQ334" i="7" a="1"/>
  <c r="AQ334" i="7" s="1"/>
  <c r="AM334" i="7" a="1"/>
  <c r="AM334" i="7" s="1"/>
  <c r="AL334" i="7" s="1"/>
  <c r="AZ332" i="7" a="1"/>
  <c r="AZ332" i="7" s="1"/>
  <c r="AN332" i="7" a="1"/>
  <c r="AN332" i="7" s="1"/>
  <c r="BA330" i="7" a="1"/>
  <c r="BA330" i="7" s="1"/>
  <c r="AW330" i="7" a="1"/>
  <c r="AW330" i="7" s="1"/>
  <c r="AV330" i="7" s="1"/>
  <c r="AO330" i="7" a="1"/>
  <c r="AO330" i="7" s="1"/>
  <c r="AY362" i="7" a="1"/>
  <c r="AY362" i="7" s="1"/>
  <c r="BA361" i="7" a="1"/>
  <c r="BA361" i="7" s="1"/>
  <c r="AN361" i="7" a="1"/>
  <c r="AN361" i="7" s="1"/>
  <c r="BC360" i="7" a="1"/>
  <c r="BC360" i="7" s="1"/>
  <c r="AP360" i="7" a="1"/>
  <c r="AP360" i="7" s="1"/>
  <c r="AN359" i="7" a="1"/>
  <c r="AN359" i="7" s="1"/>
  <c r="BA357" i="7" a="1"/>
  <c r="BA357" i="7" s="1"/>
  <c r="AW357" i="7" a="1"/>
  <c r="AW357" i="7" s="1"/>
  <c r="AV357" i="7" s="1"/>
  <c r="AO357" i="7" a="1"/>
  <c r="AO357" i="7" s="1"/>
  <c r="BB355" i="7" a="1"/>
  <c r="BB355" i="7" s="1"/>
  <c r="AX355" i="7" a="1"/>
  <c r="AX355" i="7" s="1"/>
  <c r="AP355" i="7" a="1"/>
  <c r="AP355" i="7" s="1"/>
  <c r="BC353" i="7" a="1"/>
  <c r="BC353" i="7" s="1"/>
  <c r="AY353" i="7" a="1"/>
  <c r="AY353" i="7" s="1"/>
  <c r="AQ353" i="7" a="1"/>
  <c r="AQ353" i="7" s="1"/>
  <c r="AM353" i="7" a="1"/>
  <c r="AM353" i="7" s="1"/>
  <c r="AL353" i="7" s="1"/>
  <c r="AZ351" i="7" a="1"/>
  <c r="AZ351" i="7" s="1"/>
  <c r="AN351" i="7" a="1"/>
  <c r="AN351" i="7" s="1"/>
  <c r="BA349" i="7" a="1"/>
  <c r="BA349" i="7" s="1"/>
  <c r="AW349" i="7" a="1"/>
  <c r="AW349" i="7" s="1"/>
  <c r="AV349" i="7" s="1"/>
  <c r="AO349" i="7" a="1"/>
  <c r="AO349" i="7" s="1"/>
  <c r="BB347" i="7" a="1"/>
  <c r="BB347" i="7" s="1"/>
  <c r="AX347" i="7" a="1"/>
  <c r="AX347" i="7" s="1"/>
  <c r="AP347" i="7" a="1"/>
  <c r="AP347" i="7" s="1"/>
  <c r="BC345" i="7" a="1"/>
  <c r="BC345" i="7" s="1"/>
  <c r="AY345" i="7" a="1"/>
  <c r="AY345" i="7" s="1"/>
  <c r="AQ345" i="7" a="1"/>
  <c r="AQ345" i="7" s="1"/>
  <c r="AM345" i="7" a="1"/>
  <c r="AM345" i="7" s="1"/>
  <c r="AL345" i="7" s="1"/>
  <c r="AZ343" i="7" a="1"/>
  <c r="AZ343" i="7" s="1"/>
  <c r="AN343" i="7" a="1"/>
  <c r="AN343" i="7" s="1"/>
  <c r="BA341" i="7" a="1"/>
  <c r="BA341" i="7" s="1"/>
  <c r="AW341" i="7" a="1"/>
  <c r="AW341" i="7" s="1"/>
  <c r="AV341" i="7" s="1"/>
  <c r="AO341" i="7" a="1"/>
  <c r="AO341" i="7" s="1"/>
  <c r="BB339" i="7" a="1"/>
  <c r="BB339" i="7" s="1"/>
  <c r="AX339" i="7" a="1"/>
  <c r="AX339" i="7" s="1"/>
  <c r="AP339" i="7" a="1"/>
  <c r="AP339" i="7" s="1"/>
  <c r="BC337" i="7" a="1"/>
  <c r="BC337" i="7" s="1"/>
  <c r="AY337" i="7" a="1"/>
  <c r="AY337" i="7" s="1"/>
  <c r="AQ337" i="7" a="1"/>
  <c r="AQ337" i="7" s="1"/>
  <c r="AM337" i="7" a="1"/>
  <c r="AM337" i="7" s="1"/>
  <c r="AL337" i="7" s="1"/>
  <c r="AZ335" i="7" a="1"/>
  <c r="AZ335" i="7" s="1"/>
  <c r="AN335" i="7" a="1"/>
  <c r="AN335" i="7" s="1"/>
  <c r="BA333" i="7" a="1"/>
  <c r="BA333" i="7" s="1"/>
  <c r="AW333" i="7" a="1"/>
  <c r="AW333" i="7" s="1"/>
  <c r="AV333" i="7" s="1"/>
  <c r="AO333" i="7" a="1"/>
  <c r="AO333" i="7" s="1"/>
  <c r="BB331" i="7" a="1"/>
  <c r="BB331" i="7" s="1"/>
  <c r="AX331" i="7" a="1"/>
  <c r="AX331" i="7" s="1"/>
  <c r="AP331" i="7" a="1"/>
  <c r="AP331" i="7" s="1"/>
  <c r="BC329" i="7" a="1"/>
  <c r="BC329" i="7" s="1"/>
  <c r="AY329" i="7" a="1"/>
  <c r="AY329" i="7" s="1"/>
  <c r="AQ329" i="7" a="1"/>
  <c r="AQ329" i="7" s="1"/>
  <c r="AM329" i="7" a="1"/>
  <c r="AM329" i="7" s="1"/>
  <c r="AL329" i="7" s="1"/>
  <c r="AO363" i="7" a="1"/>
  <c r="AO363" i="7" s="1"/>
  <c r="BC362" i="7" a="1"/>
  <c r="BC362" i="7" s="1"/>
  <c r="AP362" i="7" a="1"/>
  <c r="AP362" i="7" s="1"/>
  <c r="AX360" i="7" a="1"/>
  <c r="AX360" i="7" s="1"/>
  <c r="AZ359" i="7" a="1"/>
  <c r="AZ359" i="7" s="1"/>
  <c r="BB358" i="7" a="1"/>
  <c r="BB358" i="7" s="1"/>
  <c r="AX358" i="7" a="1"/>
  <c r="AX358" i="7" s="1"/>
  <c r="AP358" i="7" a="1"/>
  <c r="AP358" i="7" s="1"/>
  <c r="BC356" i="7" a="1"/>
  <c r="BC356" i="7" s="1"/>
  <c r="AY356" i="7" a="1"/>
  <c r="AY356" i="7" s="1"/>
  <c r="AQ356" i="7" a="1"/>
  <c r="AQ356" i="7" s="1"/>
  <c r="AM356" i="7" a="1"/>
  <c r="AM356" i="7" s="1"/>
  <c r="AL356" i="7" s="1"/>
  <c r="AZ354" i="7" a="1"/>
  <c r="AZ354" i="7" s="1"/>
  <c r="AN354" i="7" a="1"/>
  <c r="AN354" i="7" s="1"/>
  <c r="BA352" i="7" a="1"/>
  <c r="BA352" i="7" s="1"/>
  <c r="AW352" i="7" a="1"/>
  <c r="AW352" i="7" s="1"/>
  <c r="AV352" i="7" s="1"/>
  <c r="AO352" i="7" a="1"/>
  <c r="AO352" i="7" s="1"/>
  <c r="BB350" i="7" a="1"/>
  <c r="BB350" i="7" s="1"/>
  <c r="AX350" i="7" a="1"/>
  <c r="AX350" i="7" s="1"/>
  <c r="AP350" i="7" a="1"/>
  <c r="AP350" i="7" s="1"/>
  <c r="BC348" i="7" a="1"/>
  <c r="BC348" i="7" s="1"/>
  <c r="AY348" i="7" a="1"/>
  <c r="AY348" i="7" s="1"/>
  <c r="AQ348" i="7" a="1"/>
  <c r="AQ348" i="7" s="1"/>
  <c r="AM348" i="7" a="1"/>
  <c r="AM348" i="7" s="1"/>
  <c r="AL348" i="7" s="1"/>
  <c r="AZ346" i="7" a="1"/>
  <c r="AZ346" i="7" s="1"/>
  <c r="AN346" i="7" a="1"/>
  <c r="AN346" i="7" s="1"/>
  <c r="BA344" i="7" a="1"/>
  <c r="BA344" i="7" s="1"/>
  <c r="AW344" i="7" a="1"/>
  <c r="AW344" i="7" s="1"/>
  <c r="AV344" i="7" s="1"/>
  <c r="AO344" i="7" a="1"/>
  <c r="AO344" i="7" s="1"/>
  <c r="BB342" i="7" a="1"/>
  <c r="BB342" i="7" s="1"/>
  <c r="AX342" i="7" a="1"/>
  <c r="AX342" i="7" s="1"/>
  <c r="AP342" i="7" a="1"/>
  <c r="AP342" i="7" s="1"/>
  <c r="BC340" i="7" a="1"/>
  <c r="BC340" i="7" s="1"/>
  <c r="AY340" i="7" a="1"/>
  <c r="AY340" i="7" s="1"/>
  <c r="AQ340" i="7" a="1"/>
  <c r="AQ340" i="7" s="1"/>
  <c r="AM340" i="7" a="1"/>
  <c r="AM340" i="7" s="1"/>
  <c r="AL340" i="7" s="1"/>
  <c r="AZ338" i="7" a="1"/>
  <c r="AZ338" i="7" s="1"/>
  <c r="AN338" i="7" a="1"/>
  <c r="AN338" i="7" s="1"/>
  <c r="BA336" i="7" a="1"/>
  <c r="BA336" i="7" s="1"/>
  <c r="AW336" i="7" a="1"/>
  <c r="AW336" i="7" s="1"/>
  <c r="AV336" i="7" s="1"/>
  <c r="AO336" i="7" a="1"/>
  <c r="AO336" i="7" s="1"/>
  <c r="AZ365" i="7" a="1"/>
  <c r="AZ365" i="7" s="1"/>
  <c r="AN363" i="7" a="1"/>
  <c r="AN363" i="7" s="1"/>
  <c r="AX362" i="7" a="1"/>
  <c r="AX362" i="7" s="1"/>
  <c r="AZ361" i="7" a="1"/>
  <c r="AZ361" i="7" s="1"/>
  <c r="AM361" i="7" a="1"/>
  <c r="AM361" i="7" s="1"/>
  <c r="AL361" i="7" s="1"/>
  <c r="BB360" i="7" a="1"/>
  <c r="BB360" i="7" s="1"/>
  <c r="AY359" i="7" a="1"/>
  <c r="AY359" i="7" s="1"/>
  <c r="AQ359" i="7" a="1"/>
  <c r="AQ359" i="7" s="1"/>
  <c r="AM359" i="7" a="1"/>
  <c r="AM359" i="7" s="1"/>
  <c r="AL359" i="7" s="1"/>
  <c r="AZ357" i="7" a="1"/>
  <c r="AZ357" i="7" s="1"/>
  <c r="AN357" i="7" a="1"/>
  <c r="AN357" i="7" s="1"/>
  <c r="BA355" i="7" a="1"/>
  <c r="BA355" i="7" s="1"/>
  <c r="AW355" i="7" a="1"/>
  <c r="AW355" i="7" s="1"/>
  <c r="AV355" i="7" s="1"/>
  <c r="AO355" i="7" a="1"/>
  <c r="AO355" i="7" s="1"/>
  <c r="BB353" i="7" a="1"/>
  <c r="BB353" i="7" s="1"/>
  <c r="AX353" i="7" a="1"/>
  <c r="AX353" i="7" s="1"/>
  <c r="AP353" i="7" a="1"/>
  <c r="AP353" i="7" s="1"/>
  <c r="BC351" i="7" a="1"/>
  <c r="BC351" i="7" s="1"/>
  <c r="AY351" i="7" a="1"/>
  <c r="AY351" i="7" s="1"/>
  <c r="AQ351" i="7" a="1"/>
  <c r="AQ351" i="7" s="1"/>
  <c r="AM351" i="7" a="1"/>
  <c r="AM351" i="7" s="1"/>
  <c r="AL351" i="7" s="1"/>
  <c r="AZ349" i="7" a="1"/>
  <c r="AZ349" i="7" s="1"/>
  <c r="AN349" i="7" a="1"/>
  <c r="AN349" i="7" s="1"/>
  <c r="BA347" i="7" a="1"/>
  <c r="BA347" i="7" s="1"/>
  <c r="AW347" i="7" a="1"/>
  <c r="AW347" i="7" s="1"/>
  <c r="AV347" i="7" s="1"/>
  <c r="AO347" i="7" a="1"/>
  <c r="AO347" i="7" s="1"/>
  <c r="BB345" i="7" a="1"/>
  <c r="BB345" i="7" s="1"/>
  <c r="AX345" i="7" a="1"/>
  <c r="AX345" i="7" s="1"/>
  <c r="AP345" i="7" a="1"/>
  <c r="AP345" i="7" s="1"/>
  <c r="BC343" i="7" a="1"/>
  <c r="BC343" i="7" s="1"/>
  <c r="AY343" i="7" a="1"/>
  <c r="AY343" i="7" s="1"/>
  <c r="AQ343" i="7" a="1"/>
  <c r="AQ343" i="7" s="1"/>
  <c r="AM343" i="7" a="1"/>
  <c r="AM343" i="7" s="1"/>
  <c r="AL343" i="7" s="1"/>
  <c r="AZ341" i="7" a="1"/>
  <c r="AZ341" i="7" s="1"/>
  <c r="AN341" i="7" a="1"/>
  <c r="AN341" i="7" s="1"/>
  <c r="BA339" i="7" a="1"/>
  <c r="BA339" i="7" s="1"/>
  <c r="AW339" i="7" a="1"/>
  <c r="AW339" i="7" s="1"/>
  <c r="AV339" i="7" s="1"/>
  <c r="AO339" i="7" a="1"/>
  <c r="AO339" i="7" s="1"/>
  <c r="BB337" i="7" a="1"/>
  <c r="BB337" i="7" s="1"/>
  <c r="AX337" i="7" a="1"/>
  <c r="AX337" i="7" s="1"/>
  <c r="AP337" i="7" a="1"/>
  <c r="AP337" i="7" s="1"/>
  <c r="BC335" i="7" a="1"/>
  <c r="BC335" i="7" s="1"/>
  <c r="AY335" i="7" a="1"/>
  <c r="AY335" i="7" s="1"/>
  <c r="AQ335" i="7" a="1"/>
  <c r="AQ335" i="7" s="1"/>
  <c r="AM335" i="7" a="1"/>
  <c r="AM335" i="7" s="1"/>
  <c r="AL335" i="7" s="1"/>
  <c r="AZ333" i="7" a="1"/>
  <c r="AZ333" i="7" s="1"/>
  <c r="AN333" i="7" a="1"/>
  <c r="AN333" i="7" s="1"/>
  <c r="BA331" i="7" a="1"/>
  <c r="BA331" i="7" s="1"/>
  <c r="AW331" i="7" a="1"/>
  <c r="AW331" i="7" s="1"/>
  <c r="AV331" i="7" s="1"/>
  <c r="AO331" i="7" a="1"/>
  <c r="AO331" i="7" s="1"/>
  <c r="BB329" i="7" a="1"/>
  <c r="BB329" i="7" s="1"/>
  <c r="AX329" i="7" a="1"/>
  <c r="AX329" i="7" s="1"/>
  <c r="AP329" i="7" a="1"/>
  <c r="AP329" i="7" s="1"/>
  <c r="BA363" i="7" a="1"/>
  <c r="BA363" i="7" s="1"/>
  <c r="BB362" i="7" a="1"/>
  <c r="BB362" i="7" s="1"/>
  <c r="AO362" i="7" a="1"/>
  <c r="AO362" i="7" s="1"/>
  <c r="AQ361" i="7" a="1"/>
  <c r="AQ361" i="7" s="1"/>
  <c r="AN360" i="7" a="1"/>
  <c r="AN360" i="7" s="1"/>
  <c r="BC359" i="7" a="1"/>
  <c r="BC359" i="7" s="1"/>
  <c r="BA358" i="7" a="1"/>
  <c r="BA358" i="7" s="1"/>
  <c r="AW358" i="7" a="1"/>
  <c r="AW358" i="7" s="1"/>
  <c r="AV358" i="7" s="1"/>
  <c r="AO358" i="7" a="1"/>
  <c r="AO358" i="7" s="1"/>
  <c r="BB356" i="7" a="1"/>
  <c r="BB356" i="7" s="1"/>
  <c r="AX356" i="7" a="1"/>
  <c r="AX356" i="7" s="1"/>
  <c r="AP356" i="7" a="1"/>
  <c r="AP356" i="7" s="1"/>
  <c r="BC354" i="7" a="1"/>
  <c r="BC354" i="7" s="1"/>
  <c r="AY354" i="7" a="1"/>
  <c r="AY354" i="7" s="1"/>
  <c r="AQ354" i="7" a="1"/>
  <c r="AQ354" i="7" s="1"/>
  <c r="AM354" i="7" a="1"/>
  <c r="AM354" i="7" s="1"/>
  <c r="AL354" i="7" s="1"/>
  <c r="AZ352" i="7" a="1"/>
  <c r="AZ352" i="7" s="1"/>
  <c r="AN352" i="7" a="1"/>
  <c r="AN352" i="7" s="1"/>
  <c r="BA350" i="7" a="1"/>
  <c r="BA350" i="7" s="1"/>
  <c r="AW350" i="7" a="1"/>
  <c r="AW350" i="7" s="1"/>
  <c r="AV350" i="7" s="1"/>
  <c r="AO350" i="7" a="1"/>
  <c r="AO350" i="7" s="1"/>
  <c r="BB348" i="7" a="1"/>
  <c r="BB348" i="7" s="1"/>
  <c r="AX348" i="7" a="1"/>
  <c r="AX348" i="7" s="1"/>
  <c r="AP348" i="7" a="1"/>
  <c r="AP348" i="7" s="1"/>
  <c r="BC346" i="7" a="1"/>
  <c r="BC346" i="7" s="1"/>
  <c r="AY346" i="7" a="1"/>
  <c r="AY346" i="7" s="1"/>
  <c r="AQ346" i="7" a="1"/>
  <c r="AQ346" i="7" s="1"/>
  <c r="AM346" i="7" a="1"/>
  <c r="AM346" i="7" s="1"/>
  <c r="AL346" i="7" s="1"/>
  <c r="AZ344" i="7" a="1"/>
  <c r="AZ344" i="7" s="1"/>
  <c r="AN344" i="7" a="1"/>
  <c r="AN344" i="7" s="1"/>
  <c r="BA342" i="7" a="1"/>
  <c r="BA342" i="7" s="1"/>
  <c r="AW342" i="7" a="1"/>
  <c r="AW342" i="7" s="1"/>
  <c r="AV342" i="7" s="1"/>
  <c r="AO342" i="7" a="1"/>
  <c r="AO342" i="7" s="1"/>
  <c r="BB340" i="7" a="1"/>
  <c r="BB340" i="7" s="1"/>
  <c r="AX340" i="7" a="1"/>
  <c r="AX340" i="7" s="1"/>
  <c r="AP340" i="7" a="1"/>
  <c r="AP340" i="7" s="1"/>
  <c r="BC338" i="7" a="1"/>
  <c r="BC338" i="7" s="1"/>
  <c r="AY338" i="7" a="1"/>
  <c r="AY338" i="7" s="1"/>
  <c r="AQ338" i="7" a="1"/>
  <c r="AQ338" i="7" s="1"/>
  <c r="AM338" i="7" a="1"/>
  <c r="AM338" i="7" s="1"/>
  <c r="AL338" i="7" s="1"/>
  <c r="AZ336" i="7" a="1"/>
  <c r="AZ336" i="7" s="1"/>
  <c r="AN336" i="7" a="1"/>
  <c r="AN336" i="7" s="1"/>
  <c r="BA334" i="7" a="1"/>
  <c r="BA334" i="7" s="1"/>
  <c r="AW334" i="7" a="1"/>
  <c r="AW334" i="7" s="1"/>
  <c r="AV334" i="7" s="1"/>
  <c r="AO334" i="7" a="1"/>
  <c r="AO334" i="7" s="1"/>
  <c r="BB332" i="7" a="1"/>
  <c r="BB332" i="7" s="1"/>
  <c r="AX332" i="7" a="1"/>
  <c r="AX332" i="7" s="1"/>
  <c r="AP332" i="7" a="1"/>
  <c r="AP332" i="7" s="1"/>
  <c r="BC330" i="7" a="1"/>
  <c r="BC330" i="7" s="1"/>
  <c r="AY330" i="7" a="1"/>
  <c r="AY330" i="7" s="1"/>
  <c r="AQ330" i="7" a="1"/>
  <c r="AQ330" i="7" s="1"/>
  <c r="AM330" i="7" a="1"/>
  <c r="AM330" i="7" s="1"/>
  <c r="AL330" i="7" s="1"/>
  <c r="AZ363" i="7" a="1"/>
  <c r="AZ363" i="7" s="1"/>
  <c r="AW362" i="7" a="1"/>
  <c r="AW362" i="7" s="1"/>
  <c r="AV362" i="7" s="1"/>
  <c r="AY361" i="7" a="1"/>
  <c r="AY361" i="7" s="1"/>
  <c r="AP361" i="7" a="1"/>
  <c r="AP361" i="7" s="1"/>
  <c r="AX359" i="7" a="1"/>
  <c r="AX359" i="7" s="1"/>
  <c r="AP359" i="7" a="1"/>
  <c r="AP359" i="7" s="1"/>
  <c r="BC357" i="7" a="1"/>
  <c r="BC357" i="7" s="1"/>
  <c r="AY357" i="7" a="1"/>
  <c r="AY357" i="7" s="1"/>
  <c r="AQ357" i="7" a="1"/>
  <c r="AQ357" i="7" s="1"/>
  <c r="AM357" i="7" a="1"/>
  <c r="AM357" i="7" s="1"/>
  <c r="AL357" i="7" s="1"/>
  <c r="AZ355" i="7" a="1"/>
  <c r="AZ355" i="7" s="1"/>
  <c r="AN355" i="7" a="1"/>
  <c r="AN355" i="7" s="1"/>
  <c r="BA353" i="7" a="1"/>
  <c r="BA353" i="7" s="1"/>
  <c r="AW353" i="7" a="1"/>
  <c r="AW353" i="7" s="1"/>
  <c r="AV353" i="7" s="1"/>
  <c r="AO353" i="7" a="1"/>
  <c r="AO353" i="7" s="1"/>
  <c r="BB351" i="7" a="1"/>
  <c r="BB351" i="7" s="1"/>
  <c r="AX351" i="7" a="1"/>
  <c r="AX351" i="7" s="1"/>
  <c r="AP351" i="7" a="1"/>
  <c r="AP351" i="7" s="1"/>
  <c r="BC349" i="7" a="1"/>
  <c r="BC349" i="7" s="1"/>
  <c r="AY349" i="7" a="1"/>
  <c r="AY349" i="7" s="1"/>
  <c r="AQ349" i="7" a="1"/>
  <c r="AQ349" i="7" s="1"/>
  <c r="AM349" i="7" a="1"/>
  <c r="AM349" i="7" s="1"/>
  <c r="AL349" i="7" s="1"/>
  <c r="AZ347" i="7" a="1"/>
  <c r="AZ347" i="7" s="1"/>
  <c r="AN347" i="7" a="1"/>
  <c r="AN347" i="7" s="1"/>
  <c r="BA345" i="7" a="1"/>
  <c r="BA345" i="7" s="1"/>
  <c r="AW345" i="7" a="1"/>
  <c r="AW345" i="7" s="1"/>
  <c r="AV345" i="7" s="1"/>
  <c r="AO345" i="7" a="1"/>
  <c r="AO345" i="7" s="1"/>
  <c r="BB343" i="7" a="1"/>
  <c r="BB343" i="7" s="1"/>
  <c r="AX343" i="7" a="1"/>
  <c r="AX343" i="7" s="1"/>
  <c r="AP343" i="7" a="1"/>
  <c r="AP343" i="7" s="1"/>
  <c r="BC341" i="7" a="1"/>
  <c r="BC341" i="7" s="1"/>
  <c r="AY341" i="7" a="1"/>
  <c r="AY341" i="7" s="1"/>
  <c r="AQ341" i="7" a="1"/>
  <c r="AQ341" i="7" s="1"/>
  <c r="AM341" i="7" a="1"/>
  <c r="AM341" i="7" s="1"/>
  <c r="AL341" i="7" s="1"/>
  <c r="AZ339" i="7" a="1"/>
  <c r="AZ339" i="7" s="1"/>
  <c r="AN339" i="7" a="1"/>
  <c r="AN339" i="7" s="1"/>
  <c r="BA337" i="7" a="1"/>
  <c r="BA337" i="7" s="1"/>
  <c r="AW337" i="7" a="1"/>
  <c r="AW337" i="7" s="1"/>
  <c r="AV337" i="7" s="1"/>
  <c r="AO337" i="7" a="1"/>
  <c r="AO337" i="7" s="1"/>
  <c r="BB335" i="7" a="1"/>
  <c r="BB335" i="7" s="1"/>
  <c r="AX335" i="7" a="1"/>
  <c r="AX335" i="7" s="1"/>
  <c r="AP335" i="7" a="1"/>
  <c r="AP335" i="7" s="1"/>
  <c r="BC333" i="7" a="1"/>
  <c r="BC333" i="7" s="1"/>
  <c r="AY333" i="7" a="1"/>
  <c r="AY333" i="7" s="1"/>
  <c r="AQ333" i="7" a="1"/>
  <c r="AQ333" i="7" s="1"/>
  <c r="AM333" i="7" a="1"/>
  <c r="AM333" i="7" s="1"/>
  <c r="AL333" i="7" s="1"/>
  <c r="AM332" i="7" a="1"/>
  <c r="AM332" i="7" s="1"/>
  <c r="AL332" i="7" s="1"/>
  <c r="AZ330" i="7" a="1"/>
  <c r="AZ330" i="7" s="1"/>
  <c r="BB328" i="7" a="1"/>
  <c r="BB328" i="7" s="1"/>
  <c r="AW328" i="7" a="1"/>
  <c r="AW328" i="7" s="1"/>
  <c r="AV328" i="7" s="1"/>
  <c r="AZ326" i="7" a="1"/>
  <c r="AZ326" i="7" s="1"/>
  <c r="AN326" i="7" a="1"/>
  <c r="AN326" i="7" s="1"/>
  <c r="BA324" i="7" a="1"/>
  <c r="BA324" i="7" s="1"/>
  <c r="AW324" i="7" a="1"/>
  <c r="AW324" i="7" s="1"/>
  <c r="AV324" i="7" s="1"/>
  <c r="AO324" i="7" a="1"/>
  <c r="AO324" i="7" s="1"/>
  <c r="BB322" i="7" a="1"/>
  <c r="BB322" i="7" s="1"/>
  <c r="AX322" i="7" a="1"/>
  <c r="AX322" i="7" s="1"/>
  <c r="AP322" i="7" a="1"/>
  <c r="AP322" i="7" s="1"/>
  <c r="BC320" i="7" a="1"/>
  <c r="BC320" i="7" s="1"/>
  <c r="AY320" i="7" a="1"/>
  <c r="AY320" i="7" s="1"/>
  <c r="AQ320" i="7" a="1"/>
  <c r="AQ320" i="7" s="1"/>
  <c r="AM320" i="7" a="1"/>
  <c r="AM320" i="7" s="1"/>
  <c r="AL320" i="7" s="1"/>
  <c r="AZ318" i="7" a="1"/>
  <c r="AZ318" i="7" s="1"/>
  <c r="AN318" i="7" a="1"/>
  <c r="AN318" i="7" s="1"/>
  <c r="BA316" i="7" a="1"/>
  <c r="BA316" i="7" s="1"/>
  <c r="AW316" i="7" a="1"/>
  <c r="AW316" i="7" s="1"/>
  <c r="AV316" i="7" s="1"/>
  <c r="AO316" i="7" a="1"/>
  <c r="AO316" i="7" s="1"/>
  <c r="BB314" i="7" a="1"/>
  <c r="BB314" i="7" s="1"/>
  <c r="AX314" i="7" a="1"/>
  <c r="AX314" i="7" s="1"/>
  <c r="AP314" i="7" a="1"/>
  <c r="AP314" i="7" s="1"/>
  <c r="BC312" i="7" a="1"/>
  <c r="BC312" i="7" s="1"/>
  <c r="AY312" i="7" a="1"/>
  <c r="AY312" i="7" s="1"/>
  <c r="AQ312" i="7" a="1"/>
  <c r="AQ312" i="7" s="1"/>
  <c r="AM312" i="7" a="1"/>
  <c r="AM312" i="7" s="1"/>
  <c r="AL312" i="7" s="1"/>
  <c r="AZ310" i="7" a="1"/>
  <c r="AZ310" i="7" s="1"/>
  <c r="AN310" i="7" a="1"/>
  <c r="AN310" i="7" s="1"/>
  <c r="BA308" i="7" a="1"/>
  <c r="BA308" i="7" s="1"/>
  <c r="AW308" i="7" a="1"/>
  <c r="AW308" i="7" s="1"/>
  <c r="AV308" i="7" s="1"/>
  <c r="AO308" i="7" a="1"/>
  <c r="AO308" i="7" s="1"/>
  <c r="BB306" i="7" a="1"/>
  <c r="BB306" i="7" s="1"/>
  <c r="AX306" i="7" a="1"/>
  <c r="AX306" i="7" s="1"/>
  <c r="AP306" i="7" a="1"/>
  <c r="AP306" i="7" s="1"/>
  <c r="BC304" i="7" a="1"/>
  <c r="BC304" i="7" s="1"/>
  <c r="AY304" i="7" a="1"/>
  <c r="AY304" i="7" s="1"/>
  <c r="AQ304" i="7" a="1"/>
  <c r="AQ304" i="7" s="1"/>
  <c r="AM304" i="7" a="1"/>
  <c r="AM304" i="7" s="1"/>
  <c r="AL304" i="7" s="1"/>
  <c r="AZ302" i="7" a="1"/>
  <c r="AZ302" i="7" s="1"/>
  <c r="AN302" i="7" a="1"/>
  <c r="AN302" i="7" s="1"/>
  <c r="BA300" i="7" a="1"/>
  <c r="BA300" i="7" s="1"/>
  <c r="AW300" i="7" a="1"/>
  <c r="AW300" i="7" s="1"/>
  <c r="AV300" i="7" s="1"/>
  <c r="AO300" i="7" a="1"/>
  <c r="AO300" i="7" s="1"/>
  <c r="BB298" i="7" a="1"/>
  <c r="BB298" i="7" s="1"/>
  <c r="AX298" i="7" a="1"/>
  <c r="AX298" i="7" s="1"/>
  <c r="AP298" i="7" a="1"/>
  <c r="AP298" i="7" s="1"/>
  <c r="BC331" i="7" a="1"/>
  <c r="BC331" i="7" s="1"/>
  <c r="AN331" i="7" a="1"/>
  <c r="AN331" i="7" s="1"/>
  <c r="AZ329" i="7" a="1"/>
  <c r="AZ329" i="7" s="1"/>
  <c r="BA328" i="7" a="1"/>
  <c r="BA328" i="7" s="1"/>
  <c r="AN328" i="7" a="1"/>
  <c r="AN328" i="7" s="1"/>
  <c r="BA327" i="7" a="1"/>
  <c r="BA327" i="7" s="1"/>
  <c r="AW327" i="7" a="1"/>
  <c r="AW327" i="7" s="1"/>
  <c r="AV327" i="7" s="1"/>
  <c r="AO327" i="7" a="1"/>
  <c r="AO327" i="7" s="1"/>
  <c r="BB325" i="7" a="1"/>
  <c r="BB325" i="7" s="1"/>
  <c r="AX325" i="7" a="1"/>
  <c r="AX325" i="7" s="1"/>
  <c r="AP325" i="7" a="1"/>
  <c r="AP325" i="7" s="1"/>
  <c r="BC323" i="7" a="1"/>
  <c r="BC323" i="7" s="1"/>
  <c r="AY323" i="7" a="1"/>
  <c r="AY323" i="7" s="1"/>
  <c r="AQ323" i="7" a="1"/>
  <c r="AQ323" i="7" s="1"/>
  <c r="AM323" i="7" a="1"/>
  <c r="AM323" i="7" s="1"/>
  <c r="AL323" i="7" s="1"/>
  <c r="AZ321" i="7" a="1"/>
  <c r="AZ321" i="7" s="1"/>
  <c r="AN321" i="7" a="1"/>
  <c r="AN321" i="7" s="1"/>
  <c r="BA319" i="7" a="1"/>
  <c r="BA319" i="7" s="1"/>
  <c r="AW319" i="7" a="1"/>
  <c r="AW319" i="7" s="1"/>
  <c r="AV319" i="7" s="1"/>
  <c r="AO319" i="7" a="1"/>
  <c r="AO319" i="7" s="1"/>
  <c r="BB317" i="7" a="1"/>
  <c r="BB317" i="7" s="1"/>
  <c r="AX317" i="7" a="1"/>
  <c r="AX317" i="7" s="1"/>
  <c r="AP317" i="7" a="1"/>
  <c r="AP317" i="7" s="1"/>
  <c r="BC315" i="7" a="1"/>
  <c r="BC315" i="7" s="1"/>
  <c r="AY315" i="7" a="1"/>
  <c r="AY315" i="7" s="1"/>
  <c r="AQ315" i="7" a="1"/>
  <c r="AQ315" i="7" s="1"/>
  <c r="AM315" i="7" a="1"/>
  <c r="AM315" i="7" s="1"/>
  <c r="AL315" i="7" s="1"/>
  <c r="AZ313" i="7" a="1"/>
  <c r="AZ313" i="7" s="1"/>
  <c r="AN313" i="7" a="1"/>
  <c r="AN313" i="7" s="1"/>
  <c r="BA311" i="7" a="1"/>
  <c r="BA311" i="7" s="1"/>
  <c r="AW311" i="7" a="1"/>
  <c r="AW311" i="7" s="1"/>
  <c r="AV311" i="7" s="1"/>
  <c r="AO311" i="7" a="1"/>
  <c r="AO311" i="7" s="1"/>
  <c r="BB309" i="7" a="1"/>
  <c r="BB309" i="7" s="1"/>
  <c r="AX309" i="7" a="1"/>
  <c r="AX309" i="7" s="1"/>
  <c r="AP309" i="7" a="1"/>
  <c r="AP309" i="7" s="1"/>
  <c r="BC307" i="7" a="1"/>
  <c r="BC307" i="7" s="1"/>
  <c r="AY307" i="7" a="1"/>
  <c r="AY307" i="7" s="1"/>
  <c r="AQ307" i="7" a="1"/>
  <c r="AQ307" i="7" s="1"/>
  <c r="AM307" i="7" a="1"/>
  <c r="AM307" i="7" s="1"/>
  <c r="AL307" i="7" s="1"/>
  <c r="AZ305" i="7" a="1"/>
  <c r="AZ305" i="7" s="1"/>
  <c r="AN305" i="7" a="1"/>
  <c r="AN305" i="7" s="1"/>
  <c r="BA303" i="7" a="1"/>
  <c r="BA303" i="7" s="1"/>
  <c r="AW303" i="7" a="1"/>
  <c r="AW303" i="7" s="1"/>
  <c r="AV303" i="7" s="1"/>
  <c r="AO303" i="7" a="1"/>
  <c r="AO303" i="7" s="1"/>
  <c r="BB301" i="7" a="1"/>
  <c r="BB301" i="7" s="1"/>
  <c r="AX301" i="7" a="1"/>
  <c r="AX301" i="7" s="1"/>
  <c r="AP301" i="7" a="1"/>
  <c r="AP301" i="7" s="1"/>
  <c r="BB334" i="7" a="1"/>
  <c r="BB334" i="7" s="1"/>
  <c r="AM331" i="7" a="1"/>
  <c r="AM331" i="7" s="1"/>
  <c r="AL331" i="7" s="1"/>
  <c r="BC326" i="7" a="1"/>
  <c r="BC326" i="7" s="1"/>
  <c r="AY326" i="7" a="1"/>
  <c r="AY326" i="7" s="1"/>
  <c r="AQ326" i="7" a="1"/>
  <c r="AQ326" i="7" s="1"/>
  <c r="AM326" i="7" a="1"/>
  <c r="AM326" i="7" s="1"/>
  <c r="AL326" i="7" s="1"/>
  <c r="AZ324" i="7" a="1"/>
  <c r="AZ324" i="7" s="1"/>
  <c r="AN324" i="7" a="1"/>
  <c r="AN324" i="7" s="1"/>
  <c r="BA322" i="7" a="1"/>
  <c r="BA322" i="7" s="1"/>
  <c r="AW322" i="7" a="1"/>
  <c r="AW322" i="7" s="1"/>
  <c r="AV322" i="7" s="1"/>
  <c r="AO322" i="7" a="1"/>
  <c r="AO322" i="7" s="1"/>
  <c r="BB320" i="7" a="1"/>
  <c r="BB320" i="7" s="1"/>
  <c r="AX320" i="7" a="1"/>
  <c r="AX320" i="7" s="1"/>
  <c r="AP320" i="7" a="1"/>
  <c r="AP320" i="7" s="1"/>
  <c r="BC318" i="7" a="1"/>
  <c r="BC318" i="7" s="1"/>
  <c r="AY318" i="7" a="1"/>
  <c r="AY318" i="7" s="1"/>
  <c r="AQ318" i="7" a="1"/>
  <c r="AQ318" i="7" s="1"/>
  <c r="AM318" i="7" a="1"/>
  <c r="AM318" i="7" s="1"/>
  <c r="AL318" i="7" s="1"/>
  <c r="AZ316" i="7" a="1"/>
  <c r="AZ316" i="7" s="1"/>
  <c r="AN316" i="7" a="1"/>
  <c r="AN316" i="7" s="1"/>
  <c r="BA314" i="7" a="1"/>
  <c r="BA314" i="7" s="1"/>
  <c r="AW314" i="7" a="1"/>
  <c r="AW314" i="7" s="1"/>
  <c r="AV314" i="7" s="1"/>
  <c r="AO314" i="7" a="1"/>
  <c r="AO314" i="7" s="1"/>
  <c r="BB312" i="7" a="1"/>
  <c r="BB312" i="7" s="1"/>
  <c r="AX312" i="7" a="1"/>
  <c r="AX312" i="7" s="1"/>
  <c r="AP312" i="7" a="1"/>
  <c r="AP312" i="7" s="1"/>
  <c r="BC310" i="7" a="1"/>
  <c r="BC310" i="7" s="1"/>
  <c r="AY310" i="7" a="1"/>
  <c r="AY310" i="7" s="1"/>
  <c r="AQ310" i="7" a="1"/>
  <c r="AQ310" i="7" s="1"/>
  <c r="AM310" i="7" a="1"/>
  <c r="AM310" i="7" s="1"/>
  <c r="AL310" i="7" s="1"/>
  <c r="AZ308" i="7" a="1"/>
  <c r="AZ308" i="7" s="1"/>
  <c r="AN308" i="7" a="1"/>
  <c r="AN308" i="7" s="1"/>
  <c r="BA306" i="7" a="1"/>
  <c r="BA306" i="7" s="1"/>
  <c r="AW306" i="7" a="1"/>
  <c r="AW306" i="7" s="1"/>
  <c r="AV306" i="7" s="1"/>
  <c r="AO306" i="7" a="1"/>
  <c r="AO306" i="7" s="1"/>
  <c r="BB304" i="7" a="1"/>
  <c r="BB304" i="7" s="1"/>
  <c r="AX304" i="7" a="1"/>
  <c r="AX304" i="7" s="1"/>
  <c r="AP304" i="7" a="1"/>
  <c r="AP304" i="7" s="1"/>
  <c r="BC302" i="7" a="1"/>
  <c r="BC302" i="7" s="1"/>
  <c r="AX334" i="7" a="1"/>
  <c r="AX334" i="7" s="1"/>
  <c r="AZ331" i="7" a="1"/>
  <c r="AZ331" i="7" s="1"/>
  <c r="AO329" i="7" a="1"/>
  <c r="AO329" i="7" s="1"/>
  <c r="AZ328" i="7" a="1"/>
  <c r="AZ328" i="7" s="1"/>
  <c r="AM328" i="7" a="1"/>
  <c r="AM328" i="7" s="1"/>
  <c r="AL328" i="7" s="1"/>
  <c r="AZ327" i="7" a="1"/>
  <c r="AZ327" i="7" s="1"/>
  <c r="AN327" i="7" a="1"/>
  <c r="AN327" i="7" s="1"/>
  <c r="BA325" i="7" a="1"/>
  <c r="BA325" i="7" s="1"/>
  <c r="AW325" i="7" a="1"/>
  <c r="AW325" i="7" s="1"/>
  <c r="AV325" i="7" s="1"/>
  <c r="AO325" i="7" a="1"/>
  <c r="AO325" i="7" s="1"/>
  <c r="BB323" i="7" a="1"/>
  <c r="BB323" i="7" s="1"/>
  <c r="AX323" i="7" a="1"/>
  <c r="AX323" i="7" s="1"/>
  <c r="AP323" i="7" a="1"/>
  <c r="AP323" i="7" s="1"/>
  <c r="BC321" i="7" a="1"/>
  <c r="BC321" i="7" s="1"/>
  <c r="AY321" i="7" a="1"/>
  <c r="AY321" i="7" s="1"/>
  <c r="AQ321" i="7" a="1"/>
  <c r="AQ321" i="7" s="1"/>
  <c r="AM321" i="7" a="1"/>
  <c r="AM321" i="7" s="1"/>
  <c r="AL321" i="7" s="1"/>
  <c r="AZ319" i="7" a="1"/>
  <c r="AZ319" i="7" s="1"/>
  <c r="AN319" i="7" a="1"/>
  <c r="AN319" i="7" s="1"/>
  <c r="BA317" i="7" a="1"/>
  <c r="BA317" i="7" s="1"/>
  <c r="AW317" i="7" a="1"/>
  <c r="AW317" i="7" s="1"/>
  <c r="AV317" i="7" s="1"/>
  <c r="AO317" i="7" a="1"/>
  <c r="AO317" i="7" s="1"/>
  <c r="BB315" i="7" a="1"/>
  <c r="BB315" i="7" s="1"/>
  <c r="AX315" i="7" a="1"/>
  <c r="AX315" i="7" s="1"/>
  <c r="AP315" i="7" a="1"/>
  <c r="AP315" i="7" s="1"/>
  <c r="BC313" i="7" a="1"/>
  <c r="BC313" i="7" s="1"/>
  <c r="AY313" i="7" a="1"/>
  <c r="AY313" i="7" s="1"/>
  <c r="AQ313" i="7" a="1"/>
  <c r="AQ313" i="7" s="1"/>
  <c r="AM313" i="7" a="1"/>
  <c r="AM313" i="7" s="1"/>
  <c r="AL313" i="7" s="1"/>
  <c r="AZ311" i="7" a="1"/>
  <c r="AZ311" i="7" s="1"/>
  <c r="AN311" i="7" a="1"/>
  <c r="AN311" i="7" s="1"/>
  <c r="BA309" i="7" a="1"/>
  <c r="BA309" i="7" s="1"/>
  <c r="AW309" i="7" a="1"/>
  <c r="AW309" i="7" s="1"/>
  <c r="AV309" i="7" s="1"/>
  <c r="AO309" i="7" a="1"/>
  <c r="AO309" i="7" s="1"/>
  <c r="BB307" i="7" a="1"/>
  <c r="BB307" i="7" s="1"/>
  <c r="AX307" i="7" a="1"/>
  <c r="AX307" i="7" s="1"/>
  <c r="AP307" i="7" a="1"/>
  <c r="AP307" i="7" s="1"/>
  <c r="BC305" i="7" a="1"/>
  <c r="BC305" i="7" s="1"/>
  <c r="AY305" i="7" a="1"/>
  <c r="AY305" i="7" s="1"/>
  <c r="AQ305" i="7" a="1"/>
  <c r="AQ305" i="7" s="1"/>
  <c r="AM305" i="7" a="1"/>
  <c r="AM305" i="7" s="1"/>
  <c r="AL305" i="7" s="1"/>
  <c r="AZ303" i="7" a="1"/>
  <c r="AZ303" i="7" s="1"/>
  <c r="AN303" i="7" a="1"/>
  <c r="AN303" i="7" s="1"/>
  <c r="BA301" i="7" a="1"/>
  <c r="BA301" i="7" s="1"/>
  <c r="AW301" i="7" a="1"/>
  <c r="AW301" i="7" s="1"/>
  <c r="AV301" i="7" s="1"/>
  <c r="AO301" i="7" a="1"/>
  <c r="AO301" i="7" s="1"/>
  <c r="BB299" i="7" a="1"/>
  <c r="BB299" i="7" s="1"/>
  <c r="AX299" i="7" a="1"/>
  <c r="AX299" i="7" s="1"/>
  <c r="AP299" i="7" a="1"/>
  <c r="AP299" i="7" s="1"/>
  <c r="BC297" i="7" a="1"/>
  <c r="BC297" i="7" s="1"/>
  <c r="AY297" i="7" a="1"/>
  <c r="AY297" i="7" s="1"/>
  <c r="AQ297" i="7" a="1"/>
  <c r="AQ297" i="7" s="1"/>
  <c r="AM297" i="7" a="1"/>
  <c r="AM297" i="7" s="1"/>
  <c r="AL297" i="7" s="1"/>
  <c r="AP334" i="7" a="1"/>
  <c r="AP334" i="7" s="1"/>
  <c r="AY331" i="7" a="1"/>
  <c r="AY331" i="7" s="1"/>
  <c r="AQ328" i="7" a="1"/>
  <c r="AQ328" i="7" s="1"/>
  <c r="BB326" i="7" a="1"/>
  <c r="BB326" i="7" s="1"/>
  <c r="AX326" i="7" a="1"/>
  <c r="AX326" i="7" s="1"/>
  <c r="AP326" i="7" a="1"/>
  <c r="AP326" i="7" s="1"/>
  <c r="BC324" i="7" a="1"/>
  <c r="BC324" i="7" s="1"/>
  <c r="AY324" i="7" a="1"/>
  <c r="AY324" i="7" s="1"/>
  <c r="AQ324" i="7" a="1"/>
  <c r="AQ324" i="7" s="1"/>
  <c r="AM324" i="7" a="1"/>
  <c r="AM324" i="7" s="1"/>
  <c r="AL324" i="7" s="1"/>
  <c r="AZ322" i="7" a="1"/>
  <c r="AZ322" i="7" s="1"/>
  <c r="AN322" i="7" a="1"/>
  <c r="AN322" i="7" s="1"/>
  <c r="BA320" i="7" a="1"/>
  <c r="BA320" i="7" s="1"/>
  <c r="AW320" i="7" a="1"/>
  <c r="AW320" i="7" s="1"/>
  <c r="AV320" i="7" s="1"/>
  <c r="AO320" i="7" a="1"/>
  <c r="AO320" i="7" s="1"/>
  <c r="BB318" i="7" a="1"/>
  <c r="BB318" i="7" s="1"/>
  <c r="AX318" i="7" a="1"/>
  <c r="AX318" i="7" s="1"/>
  <c r="AP318" i="7" a="1"/>
  <c r="AP318" i="7" s="1"/>
  <c r="BC316" i="7" a="1"/>
  <c r="BC316" i="7" s="1"/>
  <c r="AY316" i="7" a="1"/>
  <c r="AY316" i="7" s="1"/>
  <c r="AQ316" i="7" a="1"/>
  <c r="AQ316" i="7" s="1"/>
  <c r="AM316" i="7" a="1"/>
  <c r="AM316" i="7" s="1"/>
  <c r="AL316" i="7" s="1"/>
  <c r="AZ314" i="7" a="1"/>
  <c r="AZ314" i="7" s="1"/>
  <c r="AN314" i="7" a="1"/>
  <c r="AN314" i="7" s="1"/>
  <c r="BA312" i="7" a="1"/>
  <c r="BA312" i="7" s="1"/>
  <c r="AW312" i="7" a="1"/>
  <c r="AW312" i="7" s="1"/>
  <c r="AV312" i="7" s="1"/>
  <c r="AO312" i="7" a="1"/>
  <c r="AO312" i="7" s="1"/>
  <c r="BB310" i="7" a="1"/>
  <c r="BB310" i="7" s="1"/>
  <c r="AX310" i="7" a="1"/>
  <c r="AX310" i="7" s="1"/>
  <c r="AP310" i="7" a="1"/>
  <c r="AP310" i="7" s="1"/>
  <c r="BC308" i="7" a="1"/>
  <c r="BC308" i="7" s="1"/>
  <c r="AY308" i="7" a="1"/>
  <c r="AY308" i="7" s="1"/>
  <c r="AQ308" i="7" a="1"/>
  <c r="AQ308" i="7" s="1"/>
  <c r="AM308" i="7" a="1"/>
  <c r="AM308" i="7" s="1"/>
  <c r="AL308" i="7" s="1"/>
  <c r="AZ306" i="7" a="1"/>
  <c r="AZ306" i="7" s="1"/>
  <c r="AN306" i="7" a="1"/>
  <c r="AN306" i="7" s="1"/>
  <c r="BA304" i="7" a="1"/>
  <c r="BA304" i="7" s="1"/>
  <c r="AW304" i="7" a="1"/>
  <c r="AW304" i="7" s="1"/>
  <c r="AV304" i="7" s="1"/>
  <c r="AO304" i="7" a="1"/>
  <c r="AO304" i="7" s="1"/>
  <c r="BB302" i="7" a="1"/>
  <c r="BB302" i="7" s="1"/>
  <c r="AX302" i="7" a="1"/>
  <c r="AX302" i="7" s="1"/>
  <c r="AP302" i="7" a="1"/>
  <c r="AP302" i="7" s="1"/>
  <c r="BC332" i="7" a="1"/>
  <c r="BC332" i="7" s="1"/>
  <c r="AW329" i="7" a="1"/>
  <c r="AW329" i="7" s="1"/>
  <c r="AV329" i="7" s="1"/>
  <c r="AN329" i="7" a="1"/>
  <c r="AN329" i="7" s="1"/>
  <c r="AY328" i="7" a="1"/>
  <c r="AY328" i="7" s="1"/>
  <c r="BC327" i="7" a="1"/>
  <c r="BC327" i="7" s="1"/>
  <c r="AY327" i="7" a="1"/>
  <c r="AY327" i="7" s="1"/>
  <c r="AQ327" i="7" a="1"/>
  <c r="AQ327" i="7" s="1"/>
  <c r="AM327" i="7" a="1"/>
  <c r="AM327" i="7" s="1"/>
  <c r="AL327" i="7" s="1"/>
  <c r="AZ325" i="7" a="1"/>
  <c r="AZ325" i="7" s="1"/>
  <c r="AN325" i="7" a="1"/>
  <c r="AN325" i="7" s="1"/>
  <c r="BA323" i="7" a="1"/>
  <c r="BA323" i="7" s="1"/>
  <c r="AW323" i="7" a="1"/>
  <c r="AW323" i="7" s="1"/>
  <c r="AV323" i="7" s="1"/>
  <c r="AO323" i="7" a="1"/>
  <c r="AO323" i="7" s="1"/>
  <c r="BB321" i="7" a="1"/>
  <c r="BB321" i="7" s="1"/>
  <c r="AX321" i="7" a="1"/>
  <c r="AX321" i="7" s="1"/>
  <c r="AP321" i="7" a="1"/>
  <c r="AP321" i="7" s="1"/>
  <c r="BC319" i="7" a="1"/>
  <c r="BC319" i="7" s="1"/>
  <c r="AY319" i="7" a="1"/>
  <c r="AY319" i="7" s="1"/>
  <c r="AQ319" i="7" a="1"/>
  <c r="AQ319" i="7" s="1"/>
  <c r="AM319" i="7" a="1"/>
  <c r="AM319" i="7" s="1"/>
  <c r="AL319" i="7" s="1"/>
  <c r="AZ317" i="7" a="1"/>
  <c r="AZ317" i="7" s="1"/>
  <c r="AN317" i="7" a="1"/>
  <c r="AN317" i="7" s="1"/>
  <c r="BA315" i="7" a="1"/>
  <c r="BA315" i="7" s="1"/>
  <c r="AW315" i="7" a="1"/>
  <c r="AW315" i="7" s="1"/>
  <c r="AV315" i="7" s="1"/>
  <c r="AO315" i="7" a="1"/>
  <c r="AO315" i="7" s="1"/>
  <c r="BB313" i="7" a="1"/>
  <c r="BB313" i="7" s="1"/>
  <c r="AX313" i="7" a="1"/>
  <c r="AX313" i="7" s="1"/>
  <c r="AP313" i="7" a="1"/>
  <c r="AP313" i="7" s="1"/>
  <c r="BC311" i="7" a="1"/>
  <c r="BC311" i="7" s="1"/>
  <c r="AY311" i="7" a="1"/>
  <c r="AY311" i="7" s="1"/>
  <c r="AQ311" i="7" a="1"/>
  <c r="AQ311" i="7" s="1"/>
  <c r="AM311" i="7" a="1"/>
  <c r="AM311" i="7" s="1"/>
  <c r="AL311" i="7" s="1"/>
  <c r="AZ309" i="7" a="1"/>
  <c r="AZ309" i="7" s="1"/>
  <c r="AN309" i="7" a="1"/>
  <c r="AN309" i="7" s="1"/>
  <c r="BA307" i="7" a="1"/>
  <c r="BA307" i="7" s="1"/>
  <c r="AW307" i="7" a="1"/>
  <c r="AW307" i="7" s="1"/>
  <c r="AV307" i="7" s="1"/>
  <c r="AO307" i="7" a="1"/>
  <c r="AO307" i="7" s="1"/>
  <c r="BB305" i="7" a="1"/>
  <c r="BB305" i="7" s="1"/>
  <c r="AX305" i="7" a="1"/>
  <c r="AX305" i="7" s="1"/>
  <c r="AP305" i="7" a="1"/>
  <c r="AP305" i="7" s="1"/>
  <c r="BC303" i="7" a="1"/>
  <c r="BC303" i="7" s="1"/>
  <c r="AY303" i="7" a="1"/>
  <c r="AY303" i="7" s="1"/>
  <c r="AQ303" i="7" a="1"/>
  <c r="AQ303" i="7" s="1"/>
  <c r="AM303" i="7" a="1"/>
  <c r="AM303" i="7" s="1"/>
  <c r="AL303" i="7" s="1"/>
  <c r="AY332" i="7" a="1"/>
  <c r="AY332" i="7" s="1"/>
  <c r="AN330" i="7" a="1"/>
  <c r="AN330" i="7" s="1"/>
  <c r="BC328" i="7" a="1"/>
  <c r="BC328" i="7" s="1"/>
  <c r="AP328" i="7" a="1"/>
  <c r="AP328" i="7" s="1"/>
  <c r="BA326" i="7" a="1"/>
  <c r="BA326" i="7" s="1"/>
  <c r="AW326" i="7" a="1"/>
  <c r="AW326" i="7" s="1"/>
  <c r="AV326" i="7" s="1"/>
  <c r="AO326" i="7" a="1"/>
  <c r="AO326" i="7" s="1"/>
  <c r="BB324" i="7" a="1"/>
  <c r="BB324" i="7" s="1"/>
  <c r="AX324" i="7" a="1"/>
  <c r="AX324" i="7" s="1"/>
  <c r="AP324" i="7" a="1"/>
  <c r="AP324" i="7" s="1"/>
  <c r="BC322" i="7" a="1"/>
  <c r="BC322" i="7" s="1"/>
  <c r="AY322" i="7" a="1"/>
  <c r="AY322" i="7" s="1"/>
  <c r="AQ322" i="7" a="1"/>
  <c r="AQ322" i="7" s="1"/>
  <c r="AM322" i="7" a="1"/>
  <c r="AM322" i="7" s="1"/>
  <c r="AL322" i="7" s="1"/>
  <c r="AZ320" i="7" a="1"/>
  <c r="AZ320" i="7" s="1"/>
  <c r="AN320" i="7" a="1"/>
  <c r="AN320" i="7" s="1"/>
  <c r="BA318" i="7" a="1"/>
  <c r="BA318" i="7" s="1"/>
  <c r="AW318" i="7" a="1"/>
  <c r="AW318" i="7" s="1"/>
  <c r="AV318" i="7" s="1"/>
  <c r="AO318" i="7" a="1"/>
  <c r="AO318" i="7" s="1"/>
  <c r="BB316" i="7" a="1"/>
  <c r="BB316" i="7" s="1"/>
  <c r="AX316" i="7" a="1"/>
  <c r="AX316" i="7" s="1"/>
  <c r="AP316" i="7" a="1"/>
  <c r="AP316" i="7" s="1"/>
  <c r="BC314" i="7" a="1"/>
  <c r="BC314" i="7" s="1"/>
  <c r="AY314" i="7" a="1"/>
  <c r="AY314" i="7" s="1"/>
  <c r="AQ314" i="7" a="1"/>
  <c r="AQ314" i="7" s="1"/>
  <c r="AM314" i="7" a="1"/>
  <c r="AM314" i="7" s="1"/>
  <c r="AL314" i="7" s="1"/>
  <c r="AZ312" i="7" a="1"/>
  <c r="AZ312" i="7" s="1"/>
  <c r="AN312" i="7" a="1"/>
  <c r="AN312" i="7" s="1"/>
  <c r="BA310" i="7" a="1"/>
  <c r="BA310" i="7" s="1"/>
  <c r="AW310" i="7" a="1"/>
  <c r="AW310" i="7" s="1"/>
  <c r="AV310" i="7" s="1"/>
  <c r="AO310" i="7" a="1"/>
  <c r="AO310" i="7" s="1"/>
  <c r="BB308" i="7" a="1"/>
  <c r="BB308" i="7" s="1"/>
  <c r="AX308" i="7" a="1"/>
  <c r="AX308" i="7" s="1"/>
  <c r="AP308" i="7" a="1"/>
  <c r="AP308" i="7" s="1"/>
  <c r="BC306" i="7" a="1"/>
  <c r="BC306" i="7" s="1"/>
  <c r="AY306" i="7" a="1"/>
  <c r="AY306" i="7" s="1"/>
  <c r="AQ306" i="7" a="1"/>
  <c r="AQ306" i="7" s="1"/>
  <c r="AM306" i="7" a="1"/>
  <c r="AM306" i="7" s="1"/>
  <c r="AL306" i="7" s="1"/>
  <c r="AZ304" i="7" a="1"/>
  <c r="AZ304" i="7" s="1"/>
  <c r="AN304" i="7" a="1"/>
  <c r="AN304" i="7" s="1"/>
  <c r="BA302" i="7" a="1"/>
  <c r="BA302" i="7" s="1"/>
  <c r="AW302" i="7" a="1"/>
  <c r="AW302" i="7" s="1"/>
  <c r="AV302" i="7" s="1"/>
  <c r="AO302" i="7" a="1"/>
  <c r="AO302" i="7" s="1"/>
  <c r="BB300" i="7" a="1"/>
  <c r="BB300" i="7" s="1"/>
  <c r="AX300" i="7" a="1"/>
  <c r="AX300" i="7" s="1"/>
  <c r="AP300" i="7" a="1"/>
  <c r="AP300" i="7" s="1"/>
  <c r="BC298" i="7" a="1"/>
  <c r="BC298" i="7" s="1"/>
  <c r="AQ332" i="7" a="1"/>
  <c r="AQ332" i="7" s="1"/>
  <c r="AQ331" i="7" a="1"/>
  <c r="AQ331" i="7" s="1"/>
  <c r="BA329" i="7" a="1"/>
  <c r="BA329" i="7" s="1"/>
  <c r="AX328" i="7" a="1"/>
  <c r="AX328" i="7" s="1"/>
  <c r="AO328" i="7" a="1"/>
  <c r="AO328" i="7" s="1"/>
  <c r="BB327" i="7" a="1"/>
  <c r="BB327" i="7" s="1"/>
  <c r="AX327" i="7" a="1"/>
  <c r="AX327" i="7" s="1"/>
  <c r="AP327" i="7" a="1"/>
  <c r="AP327" i="7" s="1"/>
  <c r="BC325" i="7" a="1"/>
  <c r="BC325" i="7" s="1"/>
  <c r="AY325" i="7" a="1"/>
  <c r="AY325" i="7" s="1"/>
  <c r="AQ325" i="7" a="1"/>
  <c r="AQ325" i="7" s="1"/>
  <c r="AM325" i="7" a="1"/>
  <c r="AM325" i="7" s="1"/>
  <c r="AL325" i="7" s="1"/>
  <c r="AZ323" i="7" a="1"/>
  <c r="AZ323" i="7" s="1"/>
  <c r="AN323" i="7" a="1"/>
  <c r="AN323" i="7" s="1"/>
  <c r="BA321" i="7" a="1"/>
  <c r="BA321" i="7" s="1"/>
  <c r="AW321" i="7" a="1"/>
  <c r="AW321" i="7" s="1"/>
  <c r="AV321" i="7" s="1"/>
  <c r="AO321" i="7" a="1"/>
  <c r="AO321" i="7" s="1"/>
  <c r="BB319" i="7" a="1"/>
  <c r="BB319" i="7" s="1"/>
  <c r="AX319" i="7" a="1"/>
  <c r="AX319" i="7" s="1"/>
  <c r="AP319" i="7" a="1"/>
  <c r="AP319" i="7" s="1"/>
  <c r="BC317" i="7" a="1"/>
  <c r="BC317" i="7" s="1"/>
  <c r="AY317" i="7" a="1"/>
  <c r="AY317" i="7" s="1"/>
  <c r="AQ317" i="7" a="1"/>
  <c r="AQ317" i="7" s="1"/>
  <c r="AM317" i="7" a="1"/>
  <c r="AM317" i="7" s="1"/>
  <c r="AL317" i="7" s="1"/>
  <c r="AZ315" i="7" a="1"/>
  <c r="AZ315" i="7" s="1"/>
  <c r="AN315" i="7" a="1"/>
  <c r="AN315" i="7" s="1"/>
  <c r="BA313" i="7" a="1"/>
  <c r="BA313" i="7" s="1"/>
  <c r="AW313" i="7" a="1"/>
  <c r="AW313" i="7" s="1"/>
  <c r="AV313" i="7" s="1"/>
  <c r="AO313" i="7" a="1"/>
  <c r="AO313" i="7" s="1"/>
  <c r="BB311" i="7" a="1"/>
  <c r="BB311" i="7" s="1"/>
  <c r="AX311" i="7" a="1"/>
  <c r="AX311" i="7" s="1"/>
  <c r="AP311" i="7" a="1"/>
  <c r="AP311" i="7" s="1"/>
  <c r="BC309" i="7" a="1"/>
  <c r="BC309" i="7" s="1"/>
  <c r="AY309" i="7" a="1"/>
  <c r="AY309" i="7" s="1"/>
  <c r="AQ309" i="7" a="1"/>
  <c r="AQ309" i="7" s="1"/>
  <c r="AM309" i="7" a="1"/>
  <c r="AM309" i="7" s="1"/>
  <c r="AL309" i="7" s="1"/>
  <c r="AZ307" i="7" a="1"/>
  <c r="AZ307" i="7" s="1"/>
  <c r="AN307" i="7" a="1"/>
  <c r="AN307" i="7" s="1"/>
  <c r="BA305" i="7" a="1"/>
  <c r="BA305" i="7" s="1"/>
  <c r="AW305" i="7" a="1"/>
  <c r="AW305" i="7" s="1"/>
  <c r="AV305" i="7" s="1"/>
  <c r="AO305" i="7" a="1"/>
  <c r="AO305" i="7" s="1"/>
  <c r="BB303" i="7" a="1"/>
  <c r="BB303" i="7" s="1"/>
  <c r="AX303" i="7" a="1"/>
  <c r="AX303" i="7" s="1"/>
  <c r="AP303" i="7" a="1"/>
  <c r="AP303" i="7" s="1"/>
  <c r="BC301" i="7" a="1"/>
  <c r="BC301" i="7" s="1"/>
  <c r="AY301" i="7" a="1"/>
  <c r="AY301" i="7" s="1"/>
  <c r="AQ301" i="7" a="1"/>
  <c r="AQ301" i="7" s="1"/>
  <c r="AM301" i="7" a="1"/>
  <c r="AM301" i="7" s="1"/>
  <c r="AL301" i="7" s="1"/>
  <c r="AZ299" i="7" a="1"/>
  <c r="AZ299" i="7" s="1"/>
  <c r="AN299" i="7" a="1"/>
  <c r="AN299" i="7" s="1"/>
  <c r="BA297" i="7" a="1"/>
  <c r="BA297" i="7" s="1"/>
  <c r="AW297" i="7" a="1"/>
  <c r="AW297" i="7" s="1"/>
  <c r="AV297" i="7" s="1"/>
  <c r="AO297" i="7" a="1"/>
  <c r="AO297" i="7" s="1"/>
  <c r="BB295" i="7" a="1"/>
  <c r="BB295" i="7" s="1"/>
  <c r="AX295" i="7" a="1"/>
  <c r="AX295" i="7" s="1"/>
  <c r="AP295" i="7" a="1"/>
  <c r="AP295" i="7" s="1"/>
  <c r="AM300" i="7" a="1"/>
  <c r="AM300" i="7" s="1"/>
  <c r="AL300" i="7" s="1"/>
  <c r="AY299" i="7" a="1"/>
  <c r="AY299" i="7" s="1"/>
  <c r="AM299" i="7" a="1"/>
  <c r="AM299" i="7" s="1"/>
  <c r="AL299" i="7" s="1"/>
  <c r="AY298" i="7" a="1"/>
  <c r="AY298" i="7" s="1"/>
  <c r="AN298" i="7" a="1"/>
  <c r="AN298" i="7" s="1"/>
  <c r="AP297" i="7" a="1"/>
  <c r="AP297" i="7" s="1"/>
  <c r="AW296" i="7" a="1"/>
  <c r="AW296" i="7" s="1"/>
  <c r="AV296" i="7" s="1"/>
  <c r="AY295" i="7" a="1"/>
  <c r="AY295" i="7" s="1"/>
  <c r="BC294" i="7" a="1"/>
  <c r="BC294" i="7" s="1"/>
  <c r="AY294" i="7" a="1"/>
  <c r="AY294" i="7" s="1"/>
  <c r="AQ294" i="7" a="1"/>
  <c r="AQ294" i="7" s="1"/>
  <c r="AM294" i="7" a="1"/>
  <c r="AM294" i="7" s="1"/>
  <c r="AL294" i="7" s="1"/>
  <c r="AZ292" i="7" a="1"/>
  <c r="AZ292" i="7" s="1"/>
  <c r="AN292" i="7" a="1"/>
  <c r="AN292" i="7" s="1"/>
  <c r="BA290" i="7" a="1"/>
  <c r="BA290" i="7" s="1"/>
  <c r="AW290" i="7" a="1"/>
  <c r="AW290" i="7" s="1"/>
  <c r="AV290" i="7" s="1"/>
  <c r="AO290" i="7" a="1"/>
  <c r="AO290" i="7" s="1"/>
  <c r="BB288" i="7" a="1"/>
  <c r="BB288" i="7" s="1"/>
  <c r="AX288" i="7" a="1"/>
  <c r="AX288" i="7" s="1"/>
  <c r="AP288" i="7" a="1"/>
  <c r="AP288" i="7" s="1"/>
  <c r="BC286" i="7" a="1"/>
  <c r="BC286" i="7" s="1"/>
  <c r="AY286" i="7" a="1"/>
  <c r="AY286" i="7" s="1"/>
  <c r="AQ286" i="7" a="1"/>
  <c r="AQ286" i="7" s="1"/>
  <c r="AM286" i="7" a="1"/>
  <c r="AM286" i="7" s="1"/>
  <c r="AL286" i="7" s="1"/>
  <c r="AZ284" i="7" a="1"/>
  <c r="AZ284" i="7" s="1"/>
  <c r="AN284" i="7" a="1"/>
  <c r="AN284" i="7" s="1"/>
  <c r="BA282" i="7" a="1"/>
  <c r="BA282" i="7" s="1"/>
  <c r="AW282" i="7" a="1"/>
  <c r="AW282" i="7" s="1"/>
  <c r="AV282" i="7" s="1"/>
  <c r="AO282" i="7" a="1"/>
  <c r="AO282" i="7" s="1"/>
  <c r="BB280" i="7" a="1"/>
  <c r="BB280" i="7" s="1"/>
  <c r="AX280" i="7" a="1"/>
  <c r="AX280" i="7" s="1"/>
  <c r="AP280" i="7" a="1"/>
  <c r="AP280" i="7" s="1"/>
  <c r="BC278" i="7" a="1"/>
  <c r="BC278" i="7" s="1"/>
  <c r="AY278" i="7" a="1"/>
  <c r="AY278" i="7" s="1"/>
  <c r="AQ278" i="7" a="1"/>
  <c r="AQ278" i="7" s="1"/>
  <c r="AM278" i="7" a="1"/>
  <c r="AM278" i="7" s="1"/>
  <c r="AL278" i="7" s="1"/>
  <c r="AZ276" i="7" a="1"/>
  <c r="AZ276" i="7" s="1"/>
  <c r="AN276" i="7" a="1"/>
  <c r="AN276" i="7" s="1"/>
  <c r="BA274" i="7" a="1"/>
  <c r="BA274" i="7" s="1"/>
  <c r="AW274" i="7" a="1"/>
  <c r="AW274" i="7" s="1"/>
  <c r="AV274" i="7" s="1"/>
  <c r="AO274" i="7" a="1"/>
  <c r="AO274" i="7" s="1"/>
  <c r="BB272" i="7" a="1"/>
  <c r="BB272" i="7" s="1"/>
  <c r="AX272" i="7" a="1"/>
  <c r="AX272" i="7" s="1"/>
  <c r="AP272" i="7" a="1"/>
  <c r="AP272" i="7" s="1"/>
  <c r="BC270" i="7" a="1"/>
  <c r="BC270" i="7" s="1"/>
  <c r="AY270" i="7" a="1"/>
  <c r="AY270" i="7" s="1"/>
  <c r="AQ270" i="7" a="1"/>
  <c r="AQ270" i="7" s="1"/>
  <c r="AM270" i="7" a="1"/>
  <c r="AM270" i="7" s="1"/>
  <c r="AL270" i="7" s="1"/>
  <c r="AZ268" i="7" a="1"/>
  <c r="AZ268" i="7" s="1"/>
  <c r="AN268" i="7" a="1"/>
  <c r="AN268" i="7" s="1"/>
  <c r="BA266" i="7" a="1"/>
  <c r="BA266" i="7" s="1"/>
  <c r="AW266" i="7" a="1"/>
  <c r="AW266" i="7" s="1"/>
  <c r="AV266" i="7" s="1"/>
  <c r="AO266" i="7" a="1"/>
  <c r="AO266" i="7" s="1"/>
  <c r="BB264" i="7" a="1"/>
  <c r="BB264" i="7" s="1"/>
  <c r="AX264" i="7" a="1"/>
  <c r="AX264" i="7" s="1"/>
  <c r="AP264" i="7" a="1"/>
  <c r="AP264" i="7" s="1"/>
  <c r="AN301" i="7" a="1"/>
  <c r="AN301" i="7" s="1"/>
  <c r="AZ300" i="7" a="1"/>
  <c r="AZ300" i="7" s="1"/>
  <c r="BA296" i="7" a="1"/>
  <c r="BA296" i="7" s="1"/>
  <c r="AN296" i="7" a="1"/>
  <c r="AN296" i="7" s="1"/>
  <c r="BC295" i="7" a="1"/>
  <c r="BC295" i="7" s="1"/>
  <c r="BA293" i="7" a="1"/>
  <c r="BA293" i="7" s="1"/>
  <c r="AW293" i="7" a="1"/>
  <c r="AW293" i="7" s="1"/>
  <c r="AV293" i="7" s="1"/>
  <c r="AO293" i="7" a="1"/>
  <c r="AO293" i="7" s="1"/>
  <c r="BB291" i="7" a="1"/>
  <c r="BB291" i="7" s="1"/>
  <c r="AX291" i="7" a="1"/>
  <c r="AX291" i="7" s="1"/>
  <c r="AP291" i="7" a="1"/>
  <c r="AP291" i="7" s="1"/>
  <c r="BC289" i="7" a="1"/>
  <c r="BC289" i="7" s="1"/>
  <c r="AY289" i="7" a="1"/>
  <c r="AY289" i="7" s="1"/>
  <c r="AQ289" i="7" a="1"/>
  <c r="AQ289" i="7" s="1"/>
  <c r="AM289" i="7" a="1"/>
  <c r="AM289" i="7" s="1"/>
  <c r="AL289" i="7" s="1"/>
  <c r="AZ287" i="7" a="1"/>
  <c r="AZ287" i="7" s="1"/>
  <c r="AN287" i="7" a="1"/>
  <c r="AN287" i="7" s="1"/>
  <c r="BA285" i="7" a="1"/>
  <c r="BA285" i="7" s="1"/>
  <c r="AW285" i="7" a="1"/>
  <c r="AW285" i="7" s="1"/>
  <c r="AV285" i="7" s="1"/>
  <c r="AO285" i="7" a="1"/>
  <c r="AO285" i="7" s="1"/>
  <c r="BB283" i="7" a="1"/>
  <c r="BB283" i="7" s="1"/>
  <c r="AX283" i="7" a="1"/>
  <c r="AX283" i="7" s="1"/>
  <c r="AP283" i="7" a="1"/>
  <c r="AP283" i="7" s="1"/>
  <c r="BC281" i="7" a="1"/>
  <c r="BC281" i="7" s="1"/>
  <c r="AY281" i="7" a="1"/>
  <c r="AY281" i="7" s="1"/>
  <c r="AQ281" i="7" a="1"/>
  <c r="AQ281" i="7" s="1"/>
  <c r="AM281" i="7" a="1"/>
  <c r="AM281" i="7" s="1"/>
  <c r="AL281" i="7" s="1"/>
  <c r="AZ279" i="7" a="1"/>
  <c r="AZ279" i="7" s="1"/>
  <c r="AN279" i="7" a="1"/>
  <c r="AN279" i="7" s="1"/>
  <c r="BA277" i="7" a="1"/>
  <c r="BA277" i="7" s="1"/>
  <c r="AW277" i="7" a="1"/>
  <c r="AW277" i="7" s="1"/>
  <c r="AV277" i="7" s="1"/>
  <c r="AO277" i="7" a="1"/>
  <c r="AO277" i="7" s="1"/>
  <c r="BB275" i="7" a="1"/>
  <c r="BB275" i="7" s="1"/>
  <c r="AX275" i="7" a="1"/>
  <c r="AX275" i="7" s="1"/>
  <c r="AP275" i="7" a="1"/>
  <c r="AP275" i="7" s="1"/>
  <c r="BC273" i="7" a="1"/>
  <c r="BC273" i="7" s="1"/>
  <c r="AY273" i="7" a="1"/>
  <c r="AY273" i="7" s="1"/>
  <c r="AQ273" i="7" a="1"/>
  <c r="AQ273" i="7" s="1"/>
  <c r="AM273" i="7" a="1"/>
  <c r="AM273" i="7" s="1"/>
  <c r="AL273" i="7" s="1"/>
  <c r="AZ271" i="7" a="1"/>
  <c r="AZ271" i="7" s="1"/>
  <c r="AN271" i="7" a="1"/>
  <c r="AN271" i="7" s="1"/>
  <c r="BA269" i="7" a="1"/>
  <c r="BA269" i="7" s="1"/>
  <c r="AW269" i="7" a="1"/>
  <c r="AW269" i="7" s="1"/>
  <c r="AV269" i="7" s="1"/>
  <c r="AO269" i="7" a="1"/>
  <c r="AO269" i="7" s="1"/>
  <c r="BB267" i="7" a="1"/>
  <c r="BB267" i="7" s="1"/>
  <c r="AX267" i="7" a="1"/>
  <c r="AX267" i="7" s="1"/>
  <c r="AP267" i="7" a="1"/>
  <c r="AP267" i="7" s="1"/>
  <c r="BC265" i="7" a="1"/>
  <c r="BC265" i="7" s="1"/>
  <c r="AY265" i="7" a="1"/>
  <c r="AY265" i="7" s="1"/>
  <c r="AQ265" i="7" a="1"/>
  <c r="AQ265" i="7" s="1"/>
  <c r="AM265" i="7" a="1"/>
  <c r="AM265" i="7" s="1"/>
  <c r="AL265" i="7" s="1"/>
  <c r="AZ263" i="7" a="1"/>
  <c r="AZ263" i="7" s="1"/>
  <c r="AN263" i="7" a="1"/>
  <c r="AN263" i="7" s="1"/>
  <c r="BA261" i="7" a="1"/>
  <c r="BA261" i="7" s="1"/>
  <c r="AW261" i="7" a="1"/>
  <c r="AW261" i="7" s="1"/>
  <c r="AV261" i="7" s="1"/>
  <c r="AO261" i="7" a="1"/>
  <c r="AO261" i="7" s="1"/>
  <c r="AY302" i="7" a="1"/>
  <c r="AY302" i="7" s="1"/>
  <c r="AY300" i="7" a="1"/>
  <c r="AY300" i="7" s="1"/>
  <c r="AW298" i="7" a="1"/>
  <c r="AW298" i="7" s="1"/>
  <c r="AV298" i="7" s="1"/>
  <c r="AM298" i="7" a="1"/>
  <c r="AM298" i="7" s="1"/>
  <c r="AL298" i="7" s="1"/>
  <c r="AX297" i="7" a="1"/>
  <c r="AX297" i="7" s="1"/>
  <c r="AM296" i="7" a="1"/>
  <c r="AM296" i="7" s="1"/>
  <c r="AL296" i="7" s="1"/>
  <c r="AO295" i="7" a="1"/>
  <c r="AO295" i="7" s="1"/>
  <c r="BB294" i="7" a="1"/>
  <c r="BB294" i="7" s="1"/>
  <c r="AX294" i="7" a="1"/>
  <c r="AX294" i="7" s="1"/>
  <c r="AP294" i="7" a="1"/>
  <c r="AP294" i="7" s="1"/>
  <c r="BC292" i="7" a="1"/>
  <c r="BC292" i="7" s="1"/>
  <c r="AY292" i="7" a="1"/>
  <c r="AY292" i="7" s="1"/>
  <c r="AQ292" i="7" a="1"/>
  <c r="AQ292" i="7" s="1"/>
  <c r="AM292" i="7" a="1"/>
  <c r="AM292" i="7" s="1"/>
  <c r="AL292" i="7" s="1"/>
  <c r="AZ290" i="7" a="1"/>
  <c r="AZ290" i="7" s="1"/>
  <c r="AN290" i="7" a="1"/>
  <c r="AN290" i="7" s="1"/>
  <c r="BA288" i="7" a="1"/>
  <c r="BA288" i="7" s="1"/>
  <c r="AW288" i="7" a="1"/>
  <c r="AW288" i="7" s="1"/>
  <c r="AV288" i="7" s="1"/>
  <c r="AO288" i="7" a="1"/>
  <c r="AO288" i="7" s="1"/>
  <c r="BB286" i="7" a="1"/>
  <c r="BB286" i="7" s="1"/>
  <c r="AX286" i="7" a="1"/>
  <c r="AX286" i="7" s="1"/>
  <c r="AP286" i="7" a="1"/>
  <c r="AP286" i="7" s="1"/>
  <c r="BC284" i="7" a="1"/>
  <c r="BC284" i="7" s="1"/>
  <c r="AY284" i="7" a="1"/>
  <c r="AY284" i="7" s="1"/>
  <c r="AQ284" i="7" a="1"/>
  <c r="AQ284" i="7" s="1"/>
  <c r="AM284" i="7" a="1"/>
  <c r="AM284" i="7" s="1"/>
  <c r="AL284" i="7" s="1"/>
  <c r="AZ282" i="7" a="1"/>
  <c r="AZ282" i="7" s="1"/>
  <c r="AN282" i="7" a="1"/>
  <c r="AN282" i="7" s="1"/>
  <c r="BA280" i="7" a="1"/>
  <c r="BA280" i="7" s="1"/>
  <c r="AW280" i="7" a="1"/>
  <c r="AW280" i="7" s="1"/>
  <c r="AV280" i="7" s="1"/>
  <c r="AO280" i="7" a="1"/>
  <c r="AO280" i="7" s="1"/>
  <c r="BB278" i="7" a="1"/>
  <c r="BB278" i="7" s="1"/>
  <c r="AX278" i="7" a="1"/>
  <c r="AX278" i="7" s="1"/>
  <c r="AP278" i="7" a="1"/>
  <c r="AP278" i="7" s="1"/>
  <c r="BC276" i="7" a="1"/>
  <c r="BC276" i="7" s="1"/>
  <c r="AY276" i="7" a="1"/>
  <c r="AY276" i="7" s="1"/>
  <c r="AQ276" i="7" a="1"/>
  <c r="AQ276" i="7" s="1"/>
  <c r="AM276" i="7" a="1"/>
  <c r="AM276" i="7" s="1"/>
  <c r="AL276" i="7" s="1"/>
  <c r="AZ274" i="7" a="1"/>
  <c r="AZ274" i="7" s="1"/>
  <c r="AN274" i="7" a="1"/>
  <c r="AN274" i="7" s="1"/>
  <c r="BA272" i="7" a="1"/>
  <c r="BA272" i="7" s="1"/>
  <c r="AW272" i="7" a="1"/>
  <c r="AW272" i="7" s="1"/>
  <c r="AV272" i="7" s="1"/>
  <c r="AO272" i="7" a="1"/>
  <c r="AO272" i="7" s="1"/>
  <c r="BB270" i="7" a="1"/>
  <c r="BB270" i="7" s="1"/>
  <c r="AX270" i="7" a="1"/>
  <c r="AX270" i="7" s="1"/>
  <c r="AP270" i="7" a="1"/>
  <c r="AP270" i="7" s="1"/>
  <c r="BC268" i="7" a="1"/>
  <c r="BC268" i="7" s="1"/>
  <c r="AY268" i="7" a="1"/>
  <c r="AY268" i="7" s="1"/>
  <c r="AQ268" i="7" a="1"/>
  <c r="AQ268" i="7" s="1"/>
  <c r="AM268" i="7" a="1"/>
  <c r="AM268" i="7" s="1"/>
  <c r="AL268" i="7" s="1"/>
  <c r="AW299" i="7" a="1"/>
  <c r="AW299" i="7" s="1"/>
  <c r="AV299" i="7" s="1"/>
  <c r="AN297" i="7" a="1"/>
  <c r="AN297" i="7" s="1"/>
  <c r="AZ296" i="7" a="1"/>
  <c r="AZ296" i="7" s="1"/>
  <c r="AQ296" i="7" a="1"/>
  <c r="AQ296" i="7" s="1"/>
  <c r="AW295" i="7" a="1"/>
  <c r="AW295" i="7" s="1"/>
  <c r="AV295" i="7" s="1"/>
  <c r="AZ293" i="7" a="1"/>
  <c r="AZ293" i="7" s="1"/>
  <c r="AN293" i="7" a="1"/>
  <c r="AN293" i="7" s="1"/>
  <c r="BA291" i="7" a="1"/>
  <c r="BA291" i="7" s="1"/>
  <c r="AW291" i="7" a="1"/>
  <c r="AW291" i="7" s="1"/>
  <c r="AV291" i="7" s="1"/>
  <c r="AO291" i="7" a="1"/>
  <c r="AO291" i="7" s="1"/>
  <c r="BB289" i="7" a="1"/>
  <c r="BB289" i="7" s="1"/>
  <c r="AX289" i="7" a="1"/>
  <c r="AX289" i="7" s="1"/>
  <c r="AP289" i="7" a="1"/>
  <c r="AP289" i="7" s="1"/>
  <c r="BC287" i="7" a="1"/>
  <c r="BC287" i="7" s="1"/>
  <c r="AY287" i="7" a="1"/>
  <c r="AY287" i="7" s="1"/>
  <c r="AQ287" i="7" a="1"/>
  <c r="AQ287" i="7" s="1"/>
  <c r="AM287" i="7" a="1"/>
  <c r="AM287" i="7" s="1"/>
  <c r="AL287" i="7" s="1"/>
  <c r="AZ285" i="7" a="1"/>
  <c r="AZ285" i="7" s="1"/>
  <c r="AN285" i="7" a="1"/>
  <c r="AN285" i="7" s="1"/>
  <c r="BA283" i="7" a="1"/>
  <c r="BA283" i="7" s="1"/>
  <c r="AW283" i="7" a="1"/>
  <c r="AW283" i="7" s="1"/>
  <c r="AV283" i="7" s="1"/>
  <c r="AO283" i="7" a="1"/>
  <c r="AO283" i="7" s="1"/>
  <c r="BB281" i="7" a="1"/>
  <c r="BB281" i="7" s="1"/>
  <c r="AX281" i="7" a="1"/>
  <c r="AX281" i="7" s="1"/>
  <c r="AP281" i="7" a="1"/>
  <c r="AP281" i="7" s="1"/>
  <c r="BC279" i="7" a="1"/>
  <c r="BC279" i="7" s="1"/>
  <c r="AY279" i="7" a="1"/>
  <c r="AY279" i="7" s="1"/>
  <c r="AQ279" i="7" a="1"/>
  <c r="AQ279" i="7" s="1"/>
  <c r="AM279" i="7" a="1"/>
  <c r="AM279" i="7" s="1"/>
  <c r="AL279" i="7" s="1"/>
  <c r="AZ277" i="7" a="1"/>
  <c r="AZ277" i="7" s="1"/>
  <c r="AN277" i="7" a="1"/>
  <c r="AN277" i="7" s="1"/>
  <c r="BA275" i="7" a="1"/>
  <c r="BA275" i="7" s="1"/>
  <c r="AW275" i="7" a="1"/>
  <c r="AW275" i="7" s="1"/>
  <c r="AV275" i="7" s="1"/>
  <c r="AO275" i="7" a="1"/>
  <c r="AO275" i="7" s="1"/>
  <c r="BB273" i="7" a="1"/>
  <c r="BB273" i="7" s="1"/>
  <c r="AX273" i="7" a="1"/>
  <c r="AX273" i="7" s="1"/>
  <c r="AP273" i="7" a="1"/>
  <c r="AP273" i="7" s="1"/>
  <c r="BC271" i="7" a="1"/>
  <c r="BC271" i="7" s="1"/>
  <c r="AY271" i="7" a="1"/>
  <c r="AY271" i="7" s="1"/>
  <c r="AQ271" i="7" a="1"/>
  <c r="AQ271" i="7" s="1"/>
  <c r="AM271" i="7" a="1"/>
  <c r="AM271" i="7" s="1"/>
  <c r="AL271" i="7" s="1"/>
  <c r="AZ269" i="7" a="1"/>
  <c r="AZ269" i="7" s="1"/>
  <c r="AN269" i="7" a="1"/>
  <c r="AN269" i="7" s="1"/>
  <c r="BA267" i="7" a="1"/>
  <c r="BA267" i="7" s="1"/>
  <c r="AW267" i="7" a="1"/>
  <c r="AW267" i="7" s="1"/>
  <c r="AV267" i="7" s="1"/>
  <c r="AO267" i="7" a="1"/>
  <c r="AO267" i="7" s="1"/>
  <c r="BB265" i="7" a="1"/>
  <c r="BB265" i="7" s="1"/>
  <c r="AX265" i="7" a="1"/>
  <c r="AX265" i="7" s="1"/>
  <c r="AP265" i="7" a="1"/>
  <c r="AP265" i="7" s="1"/>
  <c r="AQ302" i="7" a="1"/>
  <c r="AQ302" i="7" s="1"/>
  <c r="BC299" i="7" a="1"/>
  <c r="BC299" i="7" s="1"/>
  <c r="AQ299" i="7" a="1"/>
  <c r="AQ299" i="7" s="1"/>
  <c r="BB297" i="7" a="1"/>
  <c r="BB297" i="7" s="1"/>
  <c r="AY296" i="7" a="1"/>
  <c r="AY296" i="7" s="1"/>
  <c r="BA295" i="7" a="1"/>
  <c r="BA295" i="7" s="1"/>
  <c r="AN295" i="7" a="1"/>
  <c r="AN295" i="7" s="1"/>
  <c r="BA294" i="7" a="1"/>
  <c r="BA294" i="7" s="1"/>
  <c r="AW294" i="7" a="1"/>
  <c r="AW294" i="7" s="1"/>
  <c r="AV294" i="7" s="1"/>
  <c r="AO294" i="7" a="1"/>
  <c r="AO294" i="7" s="1"/>
  <c r="BB292" i="7" a="1"/>
  <c r="BB292" i="7" s="1"/>
  <c r="AX292" i="7" a="1"/>
  <c r="AX292" i="7" s="1"/>
  <c r="AP292" i="7" a="1"/>
  <c r="AP292" i="7" s="1"/>
  <c r="BC290" i="7" a="1"/>
  <c r="BC290" i="7" s="1"/>
  <c r="AY290" i="7" a="1"/>
  <c r="AY290" i="7" s="1"/>
  <c r="AQ290" i="7" a="1"/>
  <c r="AQ290" i="7" s="1"/>
  <c r="AM290" i="7" a="1"/>
  <c r="AM290" i="7" s="1"/>
  <c r="AL290" i="7" s="1"/>
  <c r="AZ288" i="7" a="1"/>
  <c r="AZ288" i="7" s="1"/>
  <c r="AN288" i="7" a="1"/>
  <c r="AN288" i="7" s="1"/>
  <c r="BA286" i="7" a="1"/>
  <c r="BA286" i="7" s="1"/>
  <c r="AW286" i="7" a="1"/>
  <c r="AW286" i="7" s="1"/>
  <c r="AV286" i="7" s="1"/>
  <c r="AO286" i="7" a="1"/>
  <c r="AO286" i="7" s="1"/>
  <c r="BB284" i="7" a="1"/>
  <c r="BB284" i="7" s="1"/>
  <c r="AX284" i="7" a="1"/>
  <c r="AX284" i="7" s="1"/>
  <c r="AP284" i="7" a="1"/>
  <c r="AP284" i="7" s="1"/>
  <c r="BC282" i="7" a="1"/>
  <c r="BC282" i="7" s="1"/>
  <c r="AY282" i="7" a="1"/>
  <c r="AY282" i="7" s="1"/>
  <c r="AQ282" i="7" a="1"/>
  <c r="AQ282" i="7" s="1"/>
  <c r="AM282" i="7" a="1"/>
  <c r="AM282" i="7" s="1"/>
  <c r="AL282" i="7" s="1"/>
  <c r="AZ280" i="7" a="1"/>
  <c r="AZ280" i="7" s="1"/>
  <c r="AN280" i="7" a="1"/>
  <c r="AN280" i="7" s="1"/>
  <c r="BA278" i="7" a="1"/>
  <c r="BA278" i="7" s="1"/>
  <c r="AW278" i="7" a="1"/>
  <c r="AW278" i="7" s="1"/>
  <c r="AV278" i="7" s="1"/>
  <c r="AO278" i="7" a="1"/>
  <c r="AO278" i="7" s="1"/>
  <c r="BB276" i="7" a="1"/>
  <c r="BB276" i="7" s="1"/>
  <c r="AX276" i="7" a="1"/>
  <c r="AX276" i="7" s="1"/>
  <c r="AP276" i="7" a="1"/>
  <c r="AP276" i="7" s="1"/>
  <c r="BC274" i="7" a="1"/>
  <c r="BC274" i="7" s="1"/>
  <c r="AY274" i="7" a="1"/>
  <c r="AY274" i="7" s="1"/>
  <c r="AQ274" i="7" a="1"/>
  <c r="AQ274" i="7" s="1"/>
  <c r="AM274" i="7" a="1"/>
  <c r="AM274" i="7" s="1"/>
  <c r="AL274" i="7" s="1"/>
  <c r="AZ272" i="7" a="1"/>
  <c r="AZ272" i="7" s="1"/>
  <c r="AN272" i="7" a="1"/>
  <c r="AN272" i="7" s="1"/>
  <c r="BA270" i="7" a="1"/>
  <c r="BA270" i="7" s="1"/>
  <c r="AW270" i="7" a="1"/>
  <c r="AW270" i="7" s="1"/>
  <c r="AV270" i="7" s="1"/>
  <c r="AO270" i="7" a="1"/>
  <c r="AO270" i="7" s="1"/>
  <c r="BB268" i="7" a="1"/>
  <c r="BB268" i="7" s="1"/>
  <c r="AX268" i="7" a="1"/>
  <c r="AX268" i="7" s="1"/>
  <c r="AP268" i="7" a="1"/>
  <c r="AP268" i="7" s="1"/>
  <c r="BC266" i="7" a="1"/>
  <c r="BC266" i="7" s="1"/>
  <c r="AY266" i="7" a="1"/>
  <c r="AY266" i="7" s="1"/>
  <c r="AQ266" i="7" a="1"/>
  <c r="AQ266" i="7" s="1"/>
  <c r="AM266" i="7" a="1"/>
  <c r="AM266" i="7" s="1"/>
  <c r="AL266" i="7" s="1"/>
  <c r="AZ264" i="7" a="1"/>
  <c r="AZ264" i="7" s="1"/>
  <c r="AN264" i="7" a="1"/>
  <c r="AN264" i="7" s="1"/>
  <c r="AZ301" i="7" a="1"/>
  <c r="AZ301" i="7" s="1"/>
  <c r="AQ300" i="7" a="1"/>
  <c r="AQ300" i="7" s="1"/>
  <c r="BA298" i="7" a="1"/>
  <c r="BA298" i="7" s="1"/>
  <c r="AQ298" i="7" a="1"/>
  <c r="AQ298" i="7" s="1"/>
  <c r="BC296" i="7" a="1"/>
  <c r="BC296" i="7" s="1"/>
  <c r="AP296" i="7" a="1"/>
  <c r="AP296" i="7" s="1"/>
  <c r="BC293" i="7" a="1"/>
  <c r="BC293" i="7" s="1"/>
  <c r="AY293" i="7" a="1"/>
  <c r="AY293" i="7" s="1"/>
  <c r="AQ293" i="7" a="1"/>
  <c r="AQ293" i="7" s="1"/>
  <c r="AM293" i="7" a="1"/>
  <c r="AM293" i="7" s="1"/>
  <c r="AL293" i="7" s="1"/>
  <c r="AZ291" i="7" a="1"/>
  <c r="AZ291" i="7" s="1"/>
  <c r="AN291" i="7" a="1"/>
  <c r="AN291" i="7" s="1"/>
  <c r="BA289" i="7" a="1"/>
  <c r="BA289" i="7" s="1"/>
  <c r="AW289" i="7" a="1"/>
  <c r="AW289" i="7" s="1"/>
  <c r="AV289" i="7" s="1"/>
  <c r="AO289" i="7" a="1"/>
  <c r="AO289" i="7" s="1"/>
  <c r="BB287" i="7" a="1"/>
  <c r="BB287" i="7" s="1"/>
  <c r="AX287" i="7" a="1"/>
  <c r="AX287" i="7" s="1"/>
  <c r="AP287" i="7" a="1"/>
  <c r="AP287" i="7" s="1"/>
  <c r="BC285" i="7" a="1"/>
  <c r="BC285" i="7" s="1"/>
  <c r="AY285" i="7" a="1"/>
  <c r="AY285" i="7" s="1"/>
  <c r="AQ285" i="7" a="1"/>
  <c r="AQ285" i="7" s="1"/>
  <c r="AM285" i="7" a="1"/>
  <c r="AM285" i="7" s="1"/>
  <c r="AL285" i="7" s="1"/>
  <c r="AZ283" i="7" a="1"/>
  <c r="AZ283" i="7" s="1"/>
  <c r="AN283" i="7" a="1"/>
  <c r="AN283" i="7" s="1"/>
  <c r="BA281" i="7" a="1"/>
  <c r="BA281" i="7" s="1"/>
  <c r="AW281" i="7" a="1"/>
  <c r="AW281" i="7" s="1"/>
  <c r="AV281" i="7" s="1"/>
  <c r="AO281" i="7" a="1"/>
  <c r="AO281" i="7" s="1"/>
  <c r="BB279" i="7" a="1"/>
  <c r="BB279" i="7" s="1"/>
  <c r="AX279" i="7" a="1"/>
  <c r="AX279" i="7" s="1"/>
  <c r="AP279" i="7" a="1"/>
  <c r="AP279" i="7" s="1"/>
  <c r="BC277" i="7" a="1"/>
  <c r="BC277" i="7" s="1"/>
  <c r="AY277" i="7" a="1"/>
  <c r="AY277" i="7" s="1"/>
  <c r="AQ277" i="7" a="1"/>
  <c r="AQ277" i="7" s="1"/>
  <c r="AM277" i="7" a="1"/>
  <c r="AM277" i="7" s="1"/>
  <c r="AL277" i="7" s="1"/>
  <c r="AZ275" i="7" a="1"/>
  <c r="AZ275" i="7" s="1"/>
  <c r="AN275" i="7" a="1"/>
  <c r="AN275" i="7" s="1"/>
  <c r="BA273" i="7" a="1"/>
  <c r="BA273" i="7" s="1"/>
  <c r="AW273" i="7" a="1"/>
  <c r="AW273" i="7" s="1"/>
  <c r="AV273" i="7" s="1"/>
  <c r="AO273" i="7" a="1"/>
  <c r="AO273" i="7" s="1"/>
  <c r="BB271" i="7" a="1"/>
  <c r="BB271" i="7" s="1"/>
  <c r="AX271" i="7" a="1"/>
  <c r="AX271" i="7" s="1"/>
  <c r="AP271" i="7" a="1"/>
  <c r="AP271" i="7" s="1"/>
  <c r="BC269" i="7" a="1"/>
  <c r="BC269" i="7" s="1"/>
  <c r="AY269" i="7" a="1"/>
  <c r="AY269" i="7" s="1"/>
  <c r="AQ269" i="7" a="1"/>
  <c r="AQ269" i="7" s="1"/>
  <c r="AM269" i="7" a="1"/>
  <c r="AM269" i="7" s="1"/>
  <c r="AL269" i="7" s="1"/>
  <c r="AZ267" i="7" a="1"/>
  <c r="AZ267" i="7" s="1"/>
  <c r="AN267" i="7" a="1"/>
  <c r="AN267" i="7" s="1"/>
  <c r="AM302" i="7" a="1"/>
  <c r="AM302" i="7" s="1"/>
  <c r="AL302" i="7" s="1"/>
  <c r="AZ298" i="7" a="1"/>
  <c r="AZ298" i="7" s="1"/>
  <c r="AX296" i="7" a="1"/>
  <c r="AX296" i="7" s="1"/>
  <c r="AZ295" i="7" a="1"/>
  <c r="AZ295" i="7" s="1"/>
  <c r="AM295" i="7" a="1"/>
  <c r="AM295" i="7" s="1"/>
  <c r="AL295" i="7" s="1"/>
  <c r="AZ294" i="7" a="1"/>
  <c r="AZ294" i="7" s="1"/>
  <c r="AN294" i="7" a="1"/>
  <c r="AN294" i="7" s="1"/>
  <c r="BA292" i="7" a="1"/>
  <c r="BA292" i="7" s="1"/>
  <c r="AW292" i="7" a="1"/>
  <c r="AW292" i="7" s="1"/>
  <c r="AV292" i="7" s="1"/>
  <c r="AO292" i="7" a="1"/>
  <c r="AO292" i="7" s="1"/>
  <c r="BB290" i="7" a="1"/>
  <c r="BB290" i="7" s="1"/>
  <c r="AX290" i="7" a="1"/>
  <c r="AX290" i="7" s="1"/>
  <c r="AP290" i="7" a="1"/>
  <c r="AP290" i="7" s="1"/>
  <c r="BC288" i="7" a="1"/>
  <c r="BC288" i="7" s="1"/>
  <c r="AY288" i="7" a="1"/>
  <c r="AY288" i="7" s="1"/>
  <c r="AQ288" i="7" a="1"/>
  <c r="AQ288" i="7" s="1"/>
  <c r="AM288" i="7" a="1"/>
  <c r="AM288" i="7" s="1"/>
  <c r="AL288" i="7" s="1"/>
  <c r="AZ286" i="7" a="1"/>
  <c r="AZ286" i="7" s="1"/>
  <c r="AN286" i="7" a="1"/>
  <c r="AN286" i="7" s="1"/>
  <c r="BA284" i="7" a="1"/>
  <c r="BA284" i="7" s="1"/>
  <c r="AW284" i="7" a="1"/>
  <c r="AW284" i="7" s="1"/>
  <c r="AV284" i="7" s="1"/>
  <c r="AO284" i="7" a="1"/>
  <c r="AO284" i="7" s="1"/>
  <c r="BB282" i="7" a="1"/>
  <c r="BB282" i="7" s="1"/>
  <c r="AX282" i="7" a="1"/>
  <c r="AX282" i="7" s="1"/>
  <c r="AP282" i="7" a="1"/>
  <c r="AP282" i="7" s="1"/>
  <c r="BC280" i="7" a="1"/>
  <c r="BC280" i="7" s="1"/>
  <c r="AY280" i="7" a="1"/>
  <c r="AY280" i="7" s="1"/>
  <c r="AQ280" i="7" a="1"/>
  <c r="AQ280" i="7" s="1"/>
  <c r="AM280" i="7" a="1"/>
  <c r="AM280" i="7" s="1"/>
  <c r="AL280" i="7" s="1"/>
  <c r="AZ278" i="7" a="1"/>
  <c r="AZ278" i="7" s="1"/>
  <c r="AN278" i="7" a="1"/>
  <c r="AN278" i="7" s="1"/>
  <c r="BA276" i="7" a="1"/>
  <c r="BA276" i="7" s="1"/>
  <c r="AW276" i="7" a="1"/>
  <c r="AW276" i="7" s="1"/>
  <c r="AV276" i="7" s="1"/>
  <c r="AO276" i="7" a="1"/>
  <c r="AO276" i="7" s="1"/>
  <c r="BB274" i="7" a="1"/>
  <c r="BB274" i="7" s="1"/>
  <c r="AX274" i="7" a="1"/>
  <c r="AX274" i="7" s="1"/>
  <c r="AP274" i="7" a="1"/>
  <c r="AP274" i="7" s="1"/>
  <c r="BC272" i="7" a="1"/>
  <c r="BC272" i="7" s="1"/>
  <c r="AY272" i="7" a="1"/>
  <c r="AY272" i="7" s="1"/>
  <c r="AQ272" i="7" a="1"/>
  <c r="AQ272" i="7" s="1"/>
  <c r="AM272" i="7" a="1"/>
  <c r="AM272" i="7" s="1"/>
  <c r="AL272" i="7" s="1"/>
  <c r="AZ270" i="7" a="1"/>
  <c r="AZ270" i="7" s="1"/>
  <c r="AN270" i="7" a="1"/>
  <c r="AN270" i="7" s="1"/>
  <c r="BA268" i="7" a="1"/>
  <c r="BA268" i="7" s="1"/>
  <c r="AW268" i="7" a="1"/>
  <c r="AW268" i="7" s="1"/>
  <c r="AV268" i="7" s="1"/>
  <c r="AO268" i="7" a="1"/>
  <c r="AO268" i="7" s="1"/>
  <c r="BB266" i="7" a="1"/>
  <c r="BB266" i="7" s="1"/>
  <c r="AX266" i="7" a="1"/>
  <c r="AX266" i="7" s="1"/>
  <c r="AP266" i="7" a="1"/>
  <c r="AP266" i="7" s="1"/>
  <c r="BC300" i="7" a="1"/>
  <c r="BC300" i="7" s="1"/>
  <c r="AN300" i="7" a="1"/>
  <c r="AN300" i="7" s="1"/>
  <c r="BA299" i="7" a="1"/>
  <c r="BA299" i="7" s="1"/>
  <c r="AO299" i="7" a="1"/>
  <c r="AO299" i="7" s="1"/>
  <c r="AO298" i="7" a="1"/>
  <c r="AO298" i="7" s="1"/>
  <c r="AZ297" i="7" a="1"/>
  <c r="AZ297" i="7" s="1"/>
  <c r="BB296" i="7" a="1"/>
  <c r="BB296" i="7" s="1"/>
  <c r="AO296" i="7" a="1"/>
  <c r="AO296" i="7" s="1"/>
  <c r="AQ295" i="7" a="1"/>
  <c r="AQ295" i="7" s="1"/>
  <c r="BB293" i="7" a="1"/>
  <c r="BB293" i="7" s="1"/>
  <c r="AX293" i="7" a="1"/>
  <c r="AX293" i="7" s="1"/>
  <c r="AP293" i="7" a="1"/>
  <c r="AP293" i="7" s="1"/>
  <c r="BC291" i="7" a="1"/>
  <c r="BC291" i="7" s="1"/>
  <c r="AY291" i="7" a="1"/>
  <c r="AY291" i="7" s="1"/>
  <c r="AQ291" i="7" a="1"/>
  <c r="AQ291" i="7" s="1"/>
  <c r="AM291" i="7" a="1"/>
  <c r="AM291" i="7" s="1"/>
  <c r="AL291" i="7" s="1"/>
  <c r="AZ289" i="7" a="1"/>
  <c r="AZ289" i="7" s="1"/>
  <c r="AN289" i="7" a="1"/>
  <c r="AN289" i="7" s="1"/>
  <c r="BA287" i="7" a="1"/>
  <c r="BA287" i="7" s="1"/>
  <c r="AW287" i="7" a="1"/>
  <c r="AW287" i="7" s="1"/>
  <c r="AV287" i="7" s="1"/>
  <c r="AO287" i="7" a="1"/>
  <c r="AO287" i="7" s="1"/>
  <c r="BB285" i="7" a="1"/>
  <c r="BB285" i="7" s="1"/>
  <c r="AX285" i="7" a="1"/>
  <c r="AX285" i="7" s="1"/>
  <c r="AP285" i="7" a="1"/>
  <c r="AP285" i="7" s="1"/>
  <c r="BC283" i="7" a="1"/>
  <c r="BC283" i="7" s="1"/>
  <c r="AY283" i="7" a="1"/>
  <c r="AY283" i="7" s="1"/>
  <c r="AQ283" i="7" a="1"/>
  <c r="AQ283" i="7" s="1"/>
  <c r="AM283" i="7" a="1"/>
  <c r="AM283" i="7" s="1"/>
  <c r="AL283" i="7" s="1"/>
  <c r="AZ281" i="7" a="1"/>
  <c r="AZ281" i="7" s="1"/>
  <c r="AN281" i="7" a="1"/>
  <c r="AN281" i="7" s="1"/>
  <c r="BA279" i="7" a="1"/>
  <c r="BA279" i="7" s="1"/>
  <c r="AW279" i="7" a="1"/>
  <c r="AW279" i="7" s="1"/>
  <c r="AV279" i="7" s="1"/>
  <c r="AO279" i="7" a="1"/>
  <c r="AO279" i="7" s="1"/>
  <c r="BB277" i="7" a="1"/>
  <c r="BB277" i="7" s="1"/>
  <c r="AX277" i="7" a="1"/>
  <c r="AX277" i="7" s="1"/>
  <c r="AP277" i="7" a="1"/>
  <c r="AP277" i="7" s="1"/>
  <c r="BC275" i="7" a="1"/>
  <c r="BC275" i="7" s="1"/>
  <c r="AY275" i="7" a="1"/>
  <c r="AY275" i="7" s="1"/>
  <c r="AQ275" i="7" a="1"/>
  <c r="AQ275" i="7" s="1"/>
  <c r="AM275" i="7" a="1"/>
  <c r="AM275" i="7" s="1"/>
  <c r="AL275" i="7" s="1"/>
  <c r="AZ273" i="7" a="1"/>
  <c r="AZ273" i="7" s="1"/>
  <c r="AN273" i="7" a="1"/>
  <c r="AN273" i="7" s="1"/>
  <c r="BA271" i="7" a="1"/>
  <c r="BA271" i="7" s="1"/>
  <c r="AW271" i="7" a="1"/>
  <c r="AW271" i="7" s="1"/>
  <c r="AV271" i="7" s="1"/>
  <c r="AO271" i="7" a="1"/>
  <c r="AO271" i="7" s="1"/>
  <c r="BB269" i="7" a="1"/>
  <c r="BB269" i="7" s="1"/>
  <c r="AX269" i="7" a="1"/>
  <c r="AX269" i="7" s="1"/>
  <c r="AP269" i="7" a="1"/>
  <c r="AP269" i="7" s="1"/>
  <c r="BC267" i="7" a="1"/>
  <c r="BC267" i="7" s="1"/>
  <c r="AY267" i="7" a="1"/>
  <c r="AY267" i="7" s="1"/>
  <c r="AQ267" i="7" a="1"/>
  <c r="AQ267" i="7" s="1"/>
  <c r="AM267" i="7" a="1"/>
  <c r="AM267" i="7" s="1"/>
  <c r="AL267" i="7" s="1"/>
  <c r="AZ265" i="7" a="1"/>
  <c r="AZ265" i="7" s="1"/>
  <c r="AN265" i="7" a="1"/>
  <c r="AN265" i="7" s="1"/>
  <c r="BA263" i="7" a="1"/>
  <c r="BA263" i="7" s="1"/>
  <c r="AW263" i="7" a="1"/>
  <c r="AW263" i="7" s="1"/>
  <c r="AV263" i="7" s="1"/>
  <c r="AO263" i="7" a="1"/>
  <c r="AO263" i="7" s="1"/>
  <c r="AY264" i="7" a="1"/>
  <c r="AY264" i="7" s="1"/>
  <c r="AY262" i="7" a="1"/>
  <c r="AY262" i="7" s="1"/>
  <c r="AP262" i="7" a="1"/>
  <c r="AP262" i="7" s="1"/>
  <c r="BA259" i="7" a="1"/>
  <c r="BA259" i="7" s="1"/>
  <c r="AW259" i="7" a="1"/>
  <c r="AW259" i="7" s="1"/>
  <c r="AV259" i="7" s="1"/>
  <c r="AO259" i="7" a="1"/>
  <c r="AO259" i="7" s="1"/>
  <c r="BB257" i="7" a="1"/>
  <c r="BB257" i="7" s="1"/>
  <c r="AX257" i="7" a="1"/>
  <c r="AX257" i="7" s="1"/>
  <c r="AP257" i="7" a="1"/>
  <c r="AP257" i="7" s="1"/>
  <c r="BC255" i="7" a="1"/>
  <c r="BC255" i="7" s="1"/>
  <c r="AY255" i="7" a="1"/>
  <c r="AY255" i="7" s="1"/>
  <c r="AQ255" i="7" a="1"/>
  <c r="AQ255" i="7" s="1"/>
  <c r="AM255" i="7" a="1"/>
  <c r="AM255" i="7" s="1"/>
  <c r="AL255" i="7" s="1"/>
  <c r="AZ253" i="7" a="1"/>
  <c r="AZ253" i="7" s="1"/>
  <c r="AN253" i="7" a="1"/>
  <c r="AN253" i="7" s="1"/>
  <c r="BA251" i="7" a="1"/>
  <c r="BA251" i="7" s="1"/>
  <c r="AW251" i="7" a="1"/>
  <c r="AW251" i="7" s="1"/>
  <c r="AV251" i="7" s="1"/>
  <c r="AO251" i="7" a="1"/>
  <c r="AO251" i="7" s="1"/>
  <c r="BB249" i="7" a="1"/>
  <c r="BB249" i="7" s="1"/>
  <c r="AX249" i="7" a="1"/>
  <c r="AX249" i="7" s="1"/>
  <c r="AP249" i="7" a="1"/>
  <c r="AP249" i="7" s="1"/>
  <c r="BC247" i="7" a="1"/>
  <c r="BC247" i="7" s="1"/>
  <c r="AY247" i="7" a="1"/>
  <c r="AY247" i="7" s="1"/>
  <c r="AQ247" i="7" a="1"/>
  <c r="AQ247" i="7" s="1"/>
  <c r="AM247" i="7" a="1"/>
  <c r="AM247" i="7" s="1"/>
  <c r="AL247" i="7" s="1"/>
  <c r="AZ245" i="7" a="1"/>
  <c r="AZ245" i="7" s="1"/>
  <c r="AN245" i="7" a="1"/>
  <c r="AN245" i="7" s="1"/>
  <c r="BA243" i="7" a="1"/>
  <c r="BA243" i="7" s="1"/>
  <c r="AW243" i="7" a="1"/>
  <c r="AW243" i="7" s="1"/>
  <c r="AV243" i="7" s="1"/>
  <c r="AO243" i="7" a="1"/>
  <c r="AO243" i="7" s="1"/>
  <c r="BB241" i="7" a="1"/>
  <c r="BB241" i="7" s="1"/>
  <c r="AX241" i="7" a="1"/>
  <c r="AX241" i="7" s="1"/>
  <c r="AP241" i="7" a="1"/>
  <c r="AP241" i="7" s="1"/>
  <c r="BC239" i="7" a="1"/>
  <c r="BC239" i="7" s="1"/>
  <c r="AY239" i="7" a="1"/>
  <c r="AY239" i="7" s="1"/>
  <c r="AQ239" i="7" a="1"/>
  <c r="AQ239" i="7" s="1"/>
  <c r="AM239" i="7" a="1"/>
  <c r="AM239" i="7" s="1"/>
  <c r="AL239" i="7" s="1"/>
  <c r="AZ237" i="7" a="1"/>
  <c r="AZ237" i="7" s="1"/>
  <c r="AN237" i="7" a="1"/>
  <c r="AN237" i="7" s="1"/>
  <c r="BA235" i="7" a="1"/>
  <c r="BA235" i="7" s="1"/>
  <c r="AW235" i="7" a="1"/>
  <c r="AW235" i="7" s="1"/>
  <c r="AV235" i="7" s="1"/>
  <c r="AO235" i="7" a="1"/>
  <c r="AO235" i="7" s="1"/>
  <c r="BB233" i="7" a="1"/>
  <c r="BB233" i="7" s="1"/>
  <c r="AX233" i="7" a="1"/>
  <c r="AX233" i="7" s="1"/>
  <c r="AP233" i="7" a="1"/>
  <c r="AP233" i="7" s="1"/>
  <c r="AW264" i="7" a="1"/>
  <c r="AW264" i="7" s="1"/>
  <c r="AV264" i="7" s="1"/>
  <c r="AQ263" i="7" a="1"/>
  <c r="AQ263" i="7" s="1"/>
  <c r="BC262" i="7" a="1"/>
  <c r="BC262" i="7" s="1"/>
  <c r="AX262" i="7" a="1"/>
  <c r="AX262" i="7" s="1"/>
  <c r="AZ261" i="7" a="1"/>
  <c r="AZ261" i="7" s="1"/>
  <c r="AM261" i="7" a="1"/>
  <c r="AM261" i="7" s="1"/>
  <c r="AL261" i="7" s="1"/>
  <c r="BB260" i="7" a="1"/>
  <c r="BB260" i="7" s="1"/>
  <c r="AX260" i="7" a="1"/>
  <c r="AX260" i="7" s="1"/>
  <c r="AP260" i="7" a="1"/>
  <c r="AP260" i="7" s="1"/>
  <c r="BC258" i="7" a="1"/>
  <c r="BC258" i="7" s="1"/>
  <c r="AY258" i="7" a="1"/>
  <c r="AY258" i="7" s="1"/>
  <c r="AQ258" i="7" a="1"/>
  <c r="AQ258" i="7" s="1"/>
  <c r="AM258" i="7" a="1"/>
  <c r="AM258" i="7" s="1"/>
  <c r="AL258" i="7" s="1"/>
  <c r="AZ256" i="7" a="1"/>
  <c r="AZ256" i="7" s="1"/>
  <c r="AN256" i="7" a="1"/>
  <c r="AN256" i="7" s="1"/>
  <c r="BA254" i="7" a="1"/>
  <c r="BA254" i="7" s="1"/>
  <c r="AW254" i="7" a="1"/>
  <c r="AW254" i="7" s="1"/>
  <c r="AV254" i="7" s="1"/>
  <c r="AO254" i="7" a="1"/>
  <c r="AO254" i="7" s="1"/>
  <c r="BB252" i="7" a="1"/>
  <c r="BB252" i="7" s="1"/>
  <c r="AX252" i="7" a="1"/>
  <c r="AX252" i="7" s="1"/>
  <c r="AP252" i="7" a="1"/>
  <c r="AP252" i="7" s="1"/>
  <c r="BC250" i="7" a="1"/>
  <c r="BC250" i="7" s="1"/>
  <c r="AY250" i="7" a="1"/>
  <c r="AY250" i="7" s="1"/>
  <c r="AQ250" i="7" a="1"/>
  <c r="AQ250" i="7" s="1"/>
  <c r="AM250" i="7" a="1"/>
  <c r="AM250" i="7" s="1"/>
  <c r="AL250" i="7" s="1"/>
  <c r="AZ248" i="7" a="1"/>
  <c r="AZ248" i="7" s="1"/>
  <c r="AN248" i="7" a="1"/>
  <c r="AN248" i="7" s="1"/>
  <c r="BA246" i="7" a="1"/>
  <c r="BA246" i="7" s="1"/>
  <c r="AW246" i="7" a="1"/>
  <c r="AW246" i="7" s="1"/>
  <c r="AV246" i="7" s="1"/>
  <c r="AO246" i="7" a="1"/>
  <c r="AO246" i="7" s="1"/>
  <c r="BB244" i="7" a="1"/>
  <c r="BB244" i="7" s="1"/>
  <c r="AX244" i="7" a="1"/>
  <c r="AX244" i="7" s="1"/>
  <c r="AP244" i="7" a="1"/>
  <c r="AP244" i="7" s="1"/>
  <c r="BC242" i="7" a="1"/>
  <c r="BC242" i="7" s="1"/>
  <c r="AY242" i="7" a="1"/>
  <c r="AY242" i="7" s="1"/>
  <c r="AQ242" i="7" a="1"/>
  <c r="AQ242" i="7" s="1"/>
  <c r="AM242" i="7" a="1"/>
  <c r="AM242" i="7" s="1"/>
  <c r="AL242" i="7" s="1"/>
  <c r="AZ240" i="7" a="1"/>
  <c r="AZ240" i="7" s="1"/>
  <c r="AN240" i="7" a="1"/>
  <c r="AN240" i="7" s="1"/>
  <c r="BA238" i="7" a="1"/>
  <c r="BA238" i="7" s="1"/>
  <c r="AW238" i="7" a="1"/>
  <c r="AW238" i="7" s="1"/>
  <c r="AV238" i="7" s="1"/>
  <c r="AO238" i="7" a="1"/>
  <c r="AO238" i="7" s="1"/>
  <c r="BB236" i="7" a="1"/>
  <c r="BB236" i="7" s="1"/>
  <c r="AX236" i="7" a="1"/>
  <c r="AX236" i="7" s="1"/>
  <c r="AP236" i="7" a="1"/>
  <c r="AP236" i="7" s="1"/>
  <c r="BA265" i="7" a="1"/>
  <c r="BA265" i="7" s="1"/>
  <c r="BB262" i="7" a="1"/>
  <c r="BB262" i="7" s="1"/>
  <c r="AO262" i="7" a="1"/>
  <c r="AO262" i="7" s="1"/>
  <c r="AQ261" i="7" a="1"/>
  <c r="AQ261" i="7" s="1"/>
  <c r="AZ259" i="7" a="1"/>
  <c r="AZ259" i="7" s="1"/>
  <c r="AN259" i="7" a="1"/>
  <c r="AN259" i="7" s="1"/>
  <c r="BA257" i="7" a="1"/>
  <c r="BA257" i="7" s="1"/>
  <c r="AW257" i="7" a="1"/>
  <c r="AW257" i="7" s="1"/>
  <c r="AV257" i="7" s="1"/>
  <c r="AO257" i="7" a="1"/>
  <c r="AO257" i="7" s="1"/>
  <c r="BB255" i="7" a="1"/>
  <c r="BB255" i="7" s="1"/>
  <c r="AX255" i="7" a="1"/>
  <c r="AX255" i="7" s="1"/>
  <c r="AP255" i="7" a="1"/>
  <c r="AP255" i="7" s="1"/>
  <c r="BC253" i="7" a="1"/>
  <c r="BC253" i="7" s="1"/>
  <c r="AY253" i="7" a="1"/>
  <c r="AY253" i="7" s="1"/>
  <c r="AQ253" i="7" a="1"/>
  <c r="AQ253" i="7" s="1"/>
  <c r="AM253" i="7" a="1"/>
  <c r="AM253" i="7" s="1"/>
  <c r="AL253" i="7" s="1"/>
  <c r="AZ251" i="7" a="1"/>
  <c r="AZ251" i="7" s="1"/>
  <c r="AN251" i="7" a="1"/>
  <c r="AN251" i="7" s="1"/>
  <c r="BA249" i="7" a="1"/>
  <c r="BA249" i="7" s="1"/>
  <c r="AW249" i="7" a="1"/>
  <c r="AW249" i="7" s="1"/>
  <c r="AV249" i="7" s="1"/>
  <c r="AO249" i="7" a="1"/>
  <c r="AO249" i="7" s="1"/>
  <c r="BB247" i="7" a="1"/>
  <c r="BB247" i="7" s="1"/>
  <c r="AX247" i="7" a="1"/>
  <c r="AX247" i="7" s="1"/>
  <c r="AP247" i="7" a="1"/>
  <c r="AP247" i="7" s="1"/>
  <c r="BC245" i="7" a="1"/>
  <c r="BC245" i="7" s="1"/>
  <c r="AY245" i="7" a="1"/>
  <c r="AY245" i="7" s="1"/>
  <c r="AQ245" i="7" a="1"/>
  <c r="AQ245" i="7" s="1"/>
  <c r="AM245" i="7" a="1"/>
  <c r="AM245" i="7" s="1"/>
  <c r="AL245" i="7" s="1"/>
  <c r="AZ243" i="7" a="1"/>
  <c r="AZ243" i="7" s="1"/>
  <c r="AN243" i="7" a="1"/>
  <c r="AN243" i="7" s="1"/>
  <c r="BA241" i="7" a="1"/>
  <c r="BA241" i="7" s="1"/>
  <c r="AW241" i="7" a="1"/>
  <c r="AW241" i="7" s="1"/>
  <c r="AV241" i="7" s="1"/>
  <c r="AO241" i="7" a="1"/>
  <c r="AO241" i="7" s="1"/>
  <c r="BB239" i="7" a="1"/>
  <c r="BB239" i="7" s="1"/>
  <c r="AX239" i="7" a="1"/>
  <c r="AX239" i="7" s="1"/>
  <c r="AP239" i="7" a="1"/>
  <c r="AP239" i="7" s="1"/>
  <c r="BC237" i="7" a="1"/>
  <c r="BC237" i="7" s="1"/>
  <c r="AY237" i="7" a="1"/>
  <c r="AY237" i="7" s="1"/>
  <c r="AQ237" i="7" a="1"/>
  <c r="AQ237" i="7" s="1"/>
  <c r="AM237" i="7" a="1"/>
  <c r="AM237" i="7" s="1"/>
  <c r="AL237" i="7" s="1"/>
  <c r="AZ235" i="7" a="1"/>
  <c r="AZ235" i="7" s="1"/>
  <c r="AN235" i="7" a="1"/>
  <c r="AN235" i="7" s="1"/>
  <c r="BA233" i="7" a="1"/>
  <c r="BA233" i="7" s="1"/>
  <c r="AW233" i="7" a="1"/>
  <c r="AW233" i="7" s="1"/>
  <c r="AV233" i="7" s="1"/>
  <c r="AO233" i="7" a="1"/>
  <c r="AO233" i="7" s="1"/>
  <c r="BB231" i="7" a="1"/>
  <c r="BB231" i="7" s="1"/>
  <c r="AX231" i="7" a="1"/>
  <c r="AX231" i="7" s="1"/>
  <c r="AP231" i="7" a="1"/>
  <c r="AP231" i="7" s="1"/>
  <c r="BC229" i="7" a="1"/>
  <c r="BC229" i="7" s="1"/>
  <c r="AY229" i="7" a="1"/>
  <c r="AY229" i="7" s="1"/>
  <c r="AQ229" i="7" a="1"/>
  <c r="AQ229" i="7" s="1"/>
  <c r="AM229" i="7" a="1"/>
  <c r="AM229" i="7" s="1"/>
  <c r="AL229" i="7" s="1"/>
  <c r="AN266" i="7" a="1"/>
  <c r="AN266" i="7" s="1"/>
  <c r="AQ264" i="7" a="1"/>
  <c r="AQ264" i="7" s="1"/>
  <c r="AY263" i="7" a="1"/>
  <c r="AY263" i="7" s="1"/>
  <c r="AP263" i="7" a="1"/>
  <c r="AP263" i="7" s="1"/>
  <c r="AW262" i="7" a="1"/>
  <c r="AW262" i="7" s="1"/>
  <c r="AV262" i="7" s="1"/>
  <c r="AY261" i="7" a="1"/>
  <c r="AY261" i="7" s="1"/>
  <c r="BA260" i="7" a="1"/>
  <c r="BA260" i="7" s="1"/>
  <c r="AW260" i="7" a="1"/>
  <c r="AW260" i="7" s="1"/>
  <c r="AV260" i="7" s="1"/>
  <c r="AO260" i="7" a="1"/>
  <c r="AO260" i="7" s="1"/>
  <c r="BB258" i="7" a="1"/>
  <c r="BB258" i="7" s="1"/>
  <c r="AX258" i="7" a="1"/>
  <c r="AX258" i="7" s="1"/>
  <c r="AP258" i="7" a="1"/>
  <c r="AP258" i="7" s="1"/>
  <c r="BC256" i="7" a="1"/>
  <c r="BC256" i="7" s="1"/>
  <c r="AY256" i="7" a="1"/>
  <c r="AY256" i="7" s="1"/>
  <c r="AQ256" i="7" a="1"/>
  <c r="AQ256" i="7" s="1"/>
  <c r="AM256" i="7" a="1"/>
  <c r="AM256" i="7" s="1"/>
  <c r="AL256" i="7" s="1"/>
  <c r="AZ254" i="7" a="1"/>
  <c r="AZ254" i="7" s="1"/>
  <c r="AN254" i="7" a="1"/>
  <c r="AN254" i="7" s="1"/>
  <c r="BA252" i="7" a="1"/>
  <c r="BA252" i="7" s="1"/>
  <c r="AW252" i="7" a="1"/>
  <c r="AW252" i="7" s="1"/>
  <c r="AV252" i="7" s="1"/>
  <c r="AO252" i="7" a="1"/>
  <c r="AO252" i="7" s="1"/>
  <c r="BB250" i="7" a="1"/>
  <c r="BB250" i="7" s="1"/>
  <c r="AX250" i="7" a="1"/>
  <c r="AX250" i="7" s="1"/>
  <c r="AP250" i="7" a="1"/>
  <c r="AP250" i="7" s="1"/>
  <c r="BC248" i="7" a="1"/>
  <c r="BC248" i="7" s="1"/>
  <c r="AY248" i="7" a="1"/>
  <c r="AY248" i="7" s="1"/>
  <c r="AQ248" i="7" a="1"/>
  <c r="AQ248" i="7" s="1"/>
  <c r="AM248" i="7" a="1"/>
  <c r="AM248" i="7" s="1"/>
  <c r="AL248" i="7" s="1"/>
  <c r="AZ246" i="7" a="1"/>
  <c r="AZ246" i="7" s="1"/>
  <c r="AN246" i="7" a="1"/>
  <c r="AN246" i="7" s="1"/>
  <c r="BA244" i="7" a="1"/>
  <c r="BA244" i="7" s="1"/>
  <c r="AW244" i="7" a="1"/>
  <c r="AW244" i="7" s="1"/>
  <c r="AV244" i="7" s="1"/>
  <c r="AO244" i="7" a="1"/>
  <c r="AO244" i="7" s="1"/>
  <c r="BB242" i="7" a="1"/>
  <c r="BB242" i="7" s="1"/>
  <c r="AX242" i="7" a="1"/>
  <c r="AX242" i="7" s="1"/>
  <c r="AP242" i="7" a="1"/>
  <c r="AP242" i="7" s="1"/>
  <c r="BC240" i="7" a="1"/>
  <c r="BC240" i="7" s="1"/>
  <c r="AY240" i="7" a="1"/>
  <c r="AY240" i="7" s="1"/>
  <c r="AQ240" i="7" a="1"/>
  <c r="AQ240" i="7" s="1"/>
  <c r="AM240" i="7" a="1"/>
  <c r="AM240" i="7" s="1"/>
  <c r="AL240" i="7" s="1"/>
  <c r="AZ238" i="7" a="1"/>
  <c r="AZ238" i="7" s="1"/>
  <c r="AN238" i="7" a="1"/>
  <c r="AN238" i="7" s="1"/>
  <c r="BA236" i="7" a="1"/>
  <c r="BA236" i="7" s="1"/>
  <c r="AW236" i="7" a="1"/>
  <c r="AW236" i="7" s="1"/>
  <c r="AV236" i="7" s="1"/>
  <c r="AO236" i="7" a="1"/>
  <c r="AO236" i="7" s="1"/>
  <c r="BB234" i="7" a="1"/>
  <c r="BB234" i="7" s="1"/>
  <c r="AX234" i="7" a="1"/>
  <c r="AX234" i="7" s="1"/>
  <c r="AP234" i="7" a="1"/>
  <c r="AP234" i="7" s="1"/>
  <c r="BC232" i="7" a="1"/>
  <c r="BC232" i="7" s="1"/>
  <c r="AY232" i="7" a="1"/>
  <c r="AY232" i="7" s="1"/>
  <c r="AQ232" i="7" a="1"/>
  <c r="AQ232" i="7" s="1"/>
  <c r="AM232" i="7" a="1"/>
  <c r="AM232" i="7" s="1"/>
  <c r="AL232" i="7" s="1"/>
  <c r="AZ230" i="7" a="1"/>
  <c r="AZ230" i="7" s="1"/>
  <c r="AN230" i="7" a="1"/>
  <c r="AN230" i="7" s="1"/>
  <c r="BA228" i="7" a="1"/>
  <c r="BA228" i="7" s="1"/>
  <c r="AW228" i="7" a="1"/>
  <c r="AW228" i="7" s="1"/>
  <c r="AV228" i="7" s="1"/>
  <c r="AO228" i="7" a="1"/>
  <c r="AO228" i="7" s="1"/>
  <c r="BB226" i="7" a="1"/>
  <c r="BB226" i="7" s="1"/>
  <c r="AX226" i="7" a="1"/>
  <c r="AX226" i="7" s="1"/>
  <c r="AP226" i="7" a="1"/>
  <c r="AP226" i="7" s="1"/>
  <c r="AW265" i="7" a="1"/>
  <c r="AW265" i="7" s="1"/>
  <c r="AV265" i="7" s="1"/>
  <c r="AO264" i="7" a="1"/>
  <c r="AO264" i="7" s="1"/>
  <c r="BA262" i="7" a="1"/>
  <c r="BA262" i="7" s="1"/>
  <c r="AN262" i="7" a="1"/>
  <c r="AN262" i="7" s="1"/>
  <c r="BC261" i="7" a="1"/>
  <c r="BC261" i="7" s="1"/>
  <c r="AP261" i="7" a="1"/>
  <c r="AP261" i="7" s="1"/>
  <c r="BC259" i="7" a="1"/>
  <c r="BC259" i="7" s="1"/>
  <c r="AY259" i="7" a="1"/>
  <c r="AY259" i="7" s="1"/>
  <c r="AQ259" i="7" a="1"/>
  <c r="AQ259" i="7" s="1"/>
  <c r="AM259" i="7" a="1"/>
  <c r="AM259" i="7" s="1"/>
  <c r="AL259" i="7" s="1"/>
  <c r="AZ257" i="7" a="1"/>
  <c r="AZ257" i="7" s="1"/>
  <c r="AN257" i="7" a="1"/>
  <c r="AN257" i="7" s="1"/>
  <c r="BA255" i="7" a="1"/>
  <c r="BA255" i="7" s="1"/>
  <c r="AW255" i="7" a="1"/>
  <c r="AW255" i="7" s="1"/>
  <c r="AV255" i="7" s="1"/>
  <c r="AO255" i="7" a="1"/>
  <c r="AO255" i="7" s="1"/>
  <c r="BB253" i="7" a="1"/>
  <c r="BB253" i="7" s="1"/>
  <c r="AX253" i="7" a="1"/>
  <c r="AX253" i="7" s="1"/>
  <c r="AP253" i="7" a="1"/>
  <c r="AP253" i="7" s="1"/>
  <c r="BC251" i="7" a="1"/>
  <c r="BC251" i="7" s="1"/>
  <c r="AY251" i="7" a="1"/>
  <c r="AY251" i="7" s="1"/>
  <c r="AQ251" i="7" a="1"/>
  <c r="AQ251" i="7" s="1"/>
  <c r="AM251" i="7" a="1"/>
  <c r="AM251" i="7" s="1"/>
  <c r="AL251" i="7" s="1"/>
  <c r="AZ249" i="7" a="1"/>
  <c r="AZ249" i="7" s="1"/>
  <c r="AN249" i="7" a="1"/>
  <c r="AN249" i="7" s="1"/>
  <c r="BA247" i="7" a="1"/>
  <c r="BA247" i="7" s="1"/>
  <c r="AW247" i="7" a="1"/>
  <c r="AW247" i="7" s="1"/>
  <c r="AV247" i="7" s="1"/>
  <c r="AO247" i="7" a="1"/>
  <c r="AO247" i="7" s="1"/>
  <c r="BB245" i="7" a="1"/>
  <c r="BB245" i="7" s="1"/>
  <c r="AX245" i="7" a="1"/>
  <c r="AX245" i="7" s="1"/>
  <c r="AP245" i="7" a="1"/>
  <c r="AP245" i="7" s="1"/>
  <c r="BC243" i="7" a="1"/>
  <c r="BC243" i="7" s="1"/>
  <c r="AY243" i="7" a="1"/>
  <c r="AY243" i="7" s="1"/>
  <c r="AQ243" i="7" a="1"/>
  <c r="AQ243" i="7" s="1"/>
  <c r="AM243" i="7" a="1"/>
  <c r="AM243" i="7" s="1"/>
  <c r="AL243" i="7" s="1"/>
  <c r="AZ241" i="7" a="1"/>
  <c r="AZ241" i="7" s="1"/>
  <c r="AN241" i="7" a="1"/>
  <c r="AN241" i="7" s="1"/>
  <c r="BA239" i="7" a="1"/>
  <c r="BA239" i="7" s="1"/>
  <c r="AW239" i="7" a="1"/>
  <c r="AW239" i="7" s="1"/>
  <c r="AV239" i="7" s="1"/>
  <c r="AO239" i="7" a="1"/>
  <c r="AO239" i="7" s="1"/>
  <c r="BB237" i="7" a="1"/>
  <c r="BB237" i="7" s="1"/>
  <c r="AX237" i="7" a="1"/>
  <c r="AX237" i="7" s="1"/>
  <c r="AP237" i="7" a="1"/>
  <c r="AP237" i="7" s="1"/>
  <c r="BC235" i="7" a="1"/>
  <c r="BC235" i="7" s="1"/>
  <c r="AY235" i="7" a="1"/>
  <c r="AY235" i="7" s="1"/>
  <c r="AQ235" i="7" a="1"/>
  <c r="AQ235" i="7" s="1"/>
  <c r="AM235" i="7" a="1"/>
  <c r="AM235" i="7" s="1"/>
  <c r="AL235" i="7" s="1"/>
  <c r="AZ233" i="7" a="1"/>
  <c r="AZ233" i="7" s="1"/>
  <c r="AN233" i="7" a="1"/>
  <c r="AN233" i="7" s="1"/>
  <c r="BA231" i="7" a="1"/>
  <c r="BA231" i="7" s="1"/>
  <c r="AW231" i="7" a="1"/>
  <c r="AW231" i="7" s="1"/>
  <c r="AV231" i="7" s="1"/>
  <c r="AO231" i="7" a="1"/>
  <c r="AO231" i="7" s="1"/>
  <c r="BB229" i="7" a="1"/>
  <c r="BB229" i="7" s="1"/>
  <c r="AX229" i="7" a="1"/>
  <c r="AX229" i="7" s="1"/>
  <c r="AP229" i="7" a="1"/>
  <c r="AP229" i="7" s="1"/>
  <c r="BC264" i="7" a="1"/>
  <c r="BC264" i="7" s="1"/>
  <c r="BC263" i="7" a="1"/>
  <c r="BC263" i="7" s="1"/>
  <c r="AX263" i="7" a="1"/>
  <c r="AX263" i="7" s="1"/>
  <c r="AX261" i="7" a="1"/>
  <c r="AX261" i="7" s="1"/>
  <c r="AZ260" i="7" a="1"/>
  <c r="AZ260" i="7" s="1"/>
  <c r="AN260" i="7" a="1"/>
  <c r="AN260" i="7" s="1"/>
  <c r="BA258" i="7" a="1"/>
  <c r="BA258" i="7" s="1"/>
  <c r="AW258" i="7" a="1"/>
  <c r="AW258" i="7" s="1"/>
  <c r="AV258" i="7" s="1"/>
  <c r="AO258" i="7" a="1"/>
  <c r="AO258" i="7" s="1"/>
  <c r="BB256" i="7" a="1"/>
  <c r="BB256" i="7" s="1"/>
  <c r="AX256" i="7" a="1"/>
  <c r="AX256" i="7" s="1"/>
  <c r="AP256" i="7" a="1"/>
  <c r="AP256" i="7" s="1"/>
  <c r="BC254" i="7" a="1"/>
  <c r="BC254" i="7" s="1"/>
  <c r="AY254" i="7" a="1"/>
  <c r="AY254" i="7" s="1"/>
  <c r="AQ254" i="7" a="1"/>
  <c r="AQ254" i="7" s="1"/>
  <c r="AM254" i="7" a="1"/>
  <c r="AM254" i="7" s="1"/>
  <c r="AL254" i="7" s="1"/>
  <c r="AZ252" i="7" a="1"/>
  <c r="AZ252" i="7" s="1"/>
  <c r="AN252" i="7" a="1"/>
  <c r="AN252" i="7" s="1"/>
  <c r="BA250" i="7" a="1"/>
  <c r="BA250" i="7" s="1"/>
  <c r="AW250" i="7" a="1"/>
  <c r="AW250" i="7" s="1"/>
  <c r="AV250" i="7" s="1"/>
  <c r="AO250" i="7" a="1"/>
  <c r="AO250" i="7" s="1"/>
  <c r="BB248" i="7" a="1"/>
  <c r="BB248" i="7" s="1"/>
  <c r="AX248" i="7" a="1"/>
  <c r="AX248" i="7" s="1"/>
  <c r="AP248" i="7" a="1"/>
  <c r="AP248" i="7" s="1"/>
  <c r="BC246" i="7" a="1"/>
  <c r="BC246" i="7" s="1"/>
  <c r="AY246" i="7" a="1"/>
  <c r="AY246" i="7" s="1"/>
  <c r="AQ246" i="7" a="1"/>
  <c r="AQ246" i="7" s="1"/>
  <c r="AM246" i="7" a="1"/>
  <c r="AM246" i="7" s="1"/>
  <c r="AL246" i="7" s="1"/>
  <c r="AZ244" i="7" a="1"/>
  <c r="AZ244" i="7" s="1"/>
  <c r="AN244" i="7" a="1"/>
  <c r="AN244" i="7" s="1"/>
  <c r="BA242" i="7" a="1"/>
  <c r="BA242" i="7" s="1"/>
  <c r="AW242" i="7" a="1"/>
  <c r="AW242" i="7" s="1"/>
  <c r="AV242" i="7" s="1"/>
  <c r="AO242" i="7" a="1"/>
  <c r="AO242" i="7" s="1"/>
  <c r="BB240" i="7" a="1"/>
  <c r="BB240" i="7" s="1"/>
  <c r="AX240" i="7" a="1"/>
  <c r="AX240" i="7" s="1"/>
  <c r="AP240" i="7" a="1"/>
  <c r="AP240" i="7" s="1"/>
  <c r="BC238" i="7" a="1"/>
  <c r="BC238" i="7" s="1"/>
  <c r="AY238" i="7" a="1"/>
  <c r="AY238" i="7" s="1"/>
  <c r="AQ238" i="7" a="1"/>
  <c r="AQ238" i="7" s="1"/>
  <c r="AM238" i="7" a="1"/>
  <c r="AM238" i="7" s="1"/>
  <c r="AL238" i="7" s="1"/>
  <c r="AZ236" i="7" a="1"/>
  <c r="AZ236" i="7" s="1"/>
  <c r="AN236" i="7" a="1"/>
  <c r="AN236" i="7" s="1"/>
  <c r="BA234" i="7" a="1"/>
  <c r="BA234" i="7" s="1"/>
  <c r="AW234" i="7" a="1"/>
  <c r="AW234" i="7" s="1"/>
  <c r="AV234" i="7" s="1"/>
  <c r="AO234" i="7" a="1"/>
  <c r="AO234" i="7" s="1"/>
  <c r="BB232" i="7" a="1"/>
  <c r="BB232" i="7" s="1"/>
  <c r="AX232" i="7" a="1"/>
  <c r="AX232" i="7" s="1"/>
  <c r="AP232" i="7" a="1"/>
  <c r="AP232" i="7" s="1"/>
  <c r="AO265" i="7" a="1"/>
  <c r="AO265" i="7" s="1"/>
  <c r="BA264" i="7" a="1"/>
  <c r="BA264" i="7" s="1"/>
  <c r="AM264" i="7" a="1"/>
  <c r="AM264" i="7" s="1"/>
  <c r="AL264" i="7" s="1"/>
  <c r="AZ262" i="7" a="1"/>
  <c r="AZ262" i="7" s="1"/>
  <c r="AM262" i="7" a="1"/>
  <c r="AM262" i="7" s="1"/>
  <c r="AL262" i="7" s="1"/>
  <c r="BB261" i="7" a="1"/>
  <c r="BB261" i="7" s="1"/>
  <c r="BB259" i="7" a="1"/>
  <c r="BB259" i="7" s="1"/>
  <c r="AX259" i="7" a="1"/>
  <c r="AX259" i="7" s="1"/>
  <c r="AP259" i="7" a="1"/>
  <c r="AP259" i="7" s="1"/>
  <c r="BC257" i="7" a="1"/>
  <c r="BC257" i="7" s="1"/>
  <c r="AY257" i="7" a="1"/>
  <c r="AY257" i="7" s="1"/>
  <c r="AQ257" i="7" a="1"/>
  <c r="AQ257" i="7" s="1"/>
  <c r="AM257" i="7" a="1"/>
  <c r="AM257" i="7" s="1"/>
  <c r="AL257" i="7" s="1"/>
  <c r="AZ255" i="7" a="1"/>
  <c r="AZ255" i="7" s="1"/>
  <c r="AN255" i="7" a="1"/>
  <c r="AN255" i="7" s="1"/>
  <c r="BA253" i="7" a="1"/>
  <c r="BA253" i="7" s="1"/>
  <c r="AW253" i="7" a="1"/>
  <c r="AW253" i="7" s="1"/>
  <c r="AV253" i="7" s="1"/>
  <c r="AO253" i="7" a="1"/>
  <c r="AO253" i="7" s="1"/>
  <c r="BB251" i="7" a="1"/>
  <c r="BB251" i="7" s="1"/>
  <c r="AX251" i="7" a="1"/>
  <c r="AX251" i="7" s="1"/>
  <c r="AP251" i="7" a="1"/>
  <c r="AP251" i="7" s="1"/>
  <c r="BC249" i="7" a="1"/>
  <c r="BC249" i="7" s="1"/>
  <c r="AY249" i="7" a="1"/>
  <c r="AY249" i="7" s="1"/>
  <c r="AQ249" i="7" a="1"/>
  <c r="AQ249" i="7" s="1"/>
  <c r="AM249" i="7" a="1"/>
  <c r="AM249" i="7" s="1"/>
  <c r="AL249" i="7" s="1"/>
  <c r="AZ247" i="7" a="1"/>
  <c r="AZ247" i="7" s="1"/>
  <c r="AN247" i="7" a="1"/>
  <c r="AN247" i="7" s="1"/>
  <c r="BA245" i="7" a="1"/>
  <c r="BA245" i="7" s="1"/>
  <c r="AW245" i="7" a="1"/>
  <c r="AW245" i="7" s="1"/>
  <c r="AV245" i="7" s="1"/>
  <c r="AO245" i="7" a="1"/>
  <c r="AO245" i="7" s="1"/>
  <c r="BB243" i="7" a="1"/>
  <c r="BB243" i="7" s="1"/>
  <c r="AX243" i="7" a="1"/>
  <c r="AX243" i="7" s="1"/>
  <c r="AP243" i="7" a="1"/>
  <c r="AP243" i="7" s="1"/>
  <c r="BC241" i="7" a="1"/>
  <c r="BC241" i="7" s="1"/>
  <c r="AY241" i="7" a="1"/>
  <c r="AY241" i="7" s="1"/>
  <c r="AQ241" i="7" a="1"/>
  <c r="AQ241" i="7" s="1"/>
  <c r="AM241" i="7" a="1"/>
  <c r="AM241" i="7" s="1"/>
  <c r="AL241" i="7" s="1"/>
  <c r="AZ239" i="7" a="1"/>
  <c r="AZ239" i="7" s="1"/>
  <c r="AN239" i="7" a="1"/>
  <c r="AN239" i="7" s="1"/>
  <c r="BA237" i="7" a="1"/>
  <c r="BA237" i="7" s="1"/>
  <c r="AW237" i="7" a="1"/>
  <c r="AW237" i="7" s="1"/>
  <c r="AV237" i="7" s="1"/>
  <c r="AO237" i="7" a="1"/>
  <c r="AO237" i="7" s="1"/>
  <c r="BB235" i="7" a="1"/>
  <c r="BB235" i="7" s="1"/>
  <c r="AX235" i="7" a="1"/>
  <c r="AX235" i="7" s="1"/>
  <c r="AP235" i="7" a="1"/>
  <c r="AP235" i="7" s="1"/>
  <c r="AZ266" i="7" a="1"/>
  <c r="AZ266" i="7" s="1"/>
  <c r="BB263" i="7" a="1"/>
  <c r="BB263" i="7" s="1"/>
  <c r="AM263" i="7" a="1"/>
  <c r="AM263" i="7" s="1"/>
  <c r="AL263" i="7" s="1"/>
  <c r="AQ262" i="7" a="1"/>
  <c r="AQ262" i="7" s="1"/>
  <c r="AN261" i="7" a="1"/>
  <c r="AN261" i="7" s="1"/>
  <c r="BC260" i="7" a="1"/>
  <c r="BC260" i="7" s="1"/>
  <c r="AY260" i="7" a="1"/>
  <c r="AY260" i="7" s="1"/>
  <c r="AQ260" i="7" a="1"/>
  <c r="AQ260" i="7" s="1"/>
  <c r="AM260" i="7" a="1"/>
  <c r="AM260" i="7" s="1"/>
  <c r="AL260" i="7" s="1"/>
  <c r="AZ258" i="7" a="1"/>
  <c r="AZ258" i="7" s="1"/>
  <c r="AN258" i="7" a="1"/>
  <c r="AN258" i="7" s="1"/>
  <c r="BA256" i="7" a="1"/>
  <c r="BA256" i="7" s="1"/>
  <c r="AW256" i="7" a="1"/>
  <c r="AW256" i="7" s="1"/>
  <c r="AV256" i="7" s="1"/>
  <c r="AO256" i="7" a="1"/>
  <c r="AO256" i="7" s="1"/>
  <c r="BB254" i="7" a="1"/>
  <c r="BB254" i="7" s="1"/>
  <c r="AX254" i="7" a="1"/>
  <c r="AX254" i="7" s="1"/>
  <c r="AP254" i="7" a="1"/>
  <c r="AP254" i="7" s="1"/>
  <c r="BC252" i="7" a="1"/>
  <c r="BC252" i="7" s="1"/>
  <c r="AY252" i="7" a="1"/>
  <c r="AY252" i="7" s="1"/>
  <c r="AQ252" i="7" a="1"/>
  <c r="AQ252" i="7" s="1"/>
  <c r="AM252" i="7" a="1"/>
  <c r="AM252" i="7" s="1"/>
  <c r="AL252" i="7" s="1"/>
  <c r="AZ250" i="7" a="1"/>
  <c r="AZ250" i="7" s="1"/>
  <c r="AN250" i="7" a="1"/>
  <c r="AN250" i="7" s="1"/>
  <c r="BA248" i="7" a="1"/>
  <c r="BA248" i="7" s="1"/>
  <c r="AW248" i="7" a="1"/>
  <c r="AW248" i="7" s="1"/>
  <c r="AV248" i="7" s="1"/>
  <c r="AO248" i="7" a="1"/>
  <c r="AO248" i="7" s="1"/>
  <c r="BB246" i="7" a="1"/>
  <c r="BB246" i="7" s="1"/>
  <c r="AX246" i="7" a="1"/>
  <c r="AX246" i="7" s="1"/>
  <c r="AP246" i="7" a="1"/>
  <c r="AP246" i="7" s="1"/>
  <c r="BC244" i="7" a="1"/>
  <c r="BC244" i="7" s="1"/>
  <c r="AY244" i="7" a="1"/>
  <c r="AY244" i="7" s="1"/>
  <c r="AQ244" i="7" a="1"/>
  <c r="AQ244" i="7" s="1"/>
  <c r="AM244" i="7" a="1"/>
  <c r="AM244" i="7" s="1"/>
  <c r="AL244" i="7" s="1"/>
  <c r="AZ242" i="7" a="1"/>
  <c r="AZ242" i="7" s="1"/>
  <c r="AN242" i="7" a="1"/>
  <c r="AN242" i="7" s="1"/>
  <c r="BA240" i="7" a="1"/>
  <c r="BA240" i="7" s="1"/>
  <c r="AW240" i="7" a="1"/>
  <c r="AW240" i="7" s="1"/>
  <c r="AV240" i="7" s="1"/>
  <c r="AO240" i="7" a="1"/>
  <c r="AO240" i="7" s="1"/>
  <c r="BB238" i="7" a="1"/>
  <c r="BB238" i="7" s="1"/>
  <c r="AX238" i="7" a="1"/>
  <c r="AX238" i="7" s="1"/>
  <c r="AP238" i="7" a="1"/>
  <c r="AP238" i="7" s="1"/>
  <c r="BC236" i="7" a="1"/>
  <c r="BC236" i="7" s="1"/>
  <c r="AY236" i="7" a="1"/>
  <c r="AY236" i="7" s="1"/>
  <c r="AQ236" i="7" a="1"/>
  <c r="AQ236" i="7" s="1"/>
  <c r="AM236" i="7" a="1"/>
  <c r="AM236" i="7" s="1"/>
  <c r="AL236" i="7" s="1"/>
  <c r="AZ234" i="7" a="1"/>
  <c r="AZ234" i="7" s="1"/>
  <c r="AN234" i="7" a="1"/>
  <c r="AN234" i="7" s="1"/>
  <c r="BA232" i="7" a="1"/>
  <c r="BA232" i="7" s="1"/>
  <c r="AW232" i="7" a="1"/>
  <c r="AW232" i="7" s="1"/>
  <c r="AV232" i="7" s="1"/>
  <c r="AO232" i="7" a="1"/>
  <c r="AO232" i="7" s="1"/>
  <c r="BB230" i="7" a="1"/>
  <c r="BB230" i="7" s="1"/>
  <c r="AX230" i="7" a="1"/>
  <c r="AX230" i="7" s="1"/>
  <c r="AP230" i="7" a="1"/>
  <c r="AP230" i="7" s="1"/>
  <c r="BC228" i="7" a="1"/>
  <c r="BC228" i="7" s="1"/>
  <c r="AY228" i="7" a="1"/>
  <c r="AY228" i="7" s="1"/>
  <c r="AQ228" i="7" a="1"/>
  <c r="AQ228" i="7" s="1"/>
  <c r="AM228" i="7" a="1"/>
  <c r="AM228" i="7" s="1"/>
  <c r="AL228" i="7" s="1"/>
  <c r="AZ226" i="7" a="1"/>
  <c r="AZ226" i="7" s="1"/>
  <c r="AN226" i="7" a="1"/>
  <c r="AN226" i="7" s="1"/>
  <c r="BA224" i="7" a="1"/>
  <c r="BA224" i="7" s="1"/>
  <c r="AW224" i="7" a="1"/>
  <c r="AW224" i="7" s="1"/>
  <c r="AV224" i="7" s="1"/>
  <c r="AO224" i="7" a="1"/>
  <c r="AO224" i="7" s="1"/>
  <c r="BB222" i="7" a="1"/>
  <c r="BB222" i="7" s="1"/>
  <c r="AX222" i="7" a="1"/>
  <c r="AX222" i="7" s="1"/>
  <c r="AP222" i="7" a="1"/>
  <c r="AP222" i="7" s="1"/>
  <c r="BC234" i="7" a="1"/>
  <c r="BC234" i="7" s="1"/>
  <c r="AM233" i="7" a="1"/>
  <c r="AM233" i="7" s="1"/>
  <c r="AL233" i="7" s="1"/>
  <c r="BA229" i="7" a="1"/>
  <c r="BA229" i="7" s="1"/>
  <c r="AO229" i="7" a="1"/>
  <c r="AO229" i="7" s="1"/>
  <c r="BB228" i="7" a="1"/>
  <c r="BB228" i="7" s="1"/>
  <c r="BC227" i="7" a="1"/>
  <c r="BC227" i="7" s="1"/>
  <c r="AX227" i="7" a="1"/>
  <c r="AX227" i="7" s="1"/>
  <c r="AY226" i="7" a="1"/>
  <c r="AY226" i="7" s="1"/>
  <c r="AZ225" i="7" a="1"/>
  <c r="AZ225" i="7" s="1"/>
  <c r="AQ225" i="7" a="1"/>
  <c r="AQ225" i="7" s="1"/>
  <c r="BB224" i="7" a="1"/>
  <c r="BB224" i="7" s="1"/>
  <c r="AY223" i="7" a="1"/>
  <c r="AY223" i="7" s="1"/>
  <c r="BA222" i="7" a="1"/>
  <c r="BA222" i="7" s="1"/>
  <c r="AN222" i="7" a="1"/>
  <c r="AN222" i="7" s="1"/>
  <c r="BA220" i="7" a="1"/>
  <c r="BA220" i="7" s="1"/>
  <c r="AW220" i="7" a="1"/>
  <c r="AW220" i="7" s="1"/>
  <c r="AV220" i="7" s="1"/>
  <c r="AO220" i="7" a="1"/>
  <c r="AO220" i="7" s="1"/>
  <c r="BB218" i="7" a="1"/>
  <c r="BB218" i="7" s="1"/>
  <c r="AX218" i="7" a="1"/>
  <c r="AX218" i="7" s="1"/>
  <c r="AP218" i="7" a="1"/>
  <c r="AP218" i="7" s="1"/>
  <c r="BC216" i="7" a="1"/>
  <c r="BC216" i="7" s="1"/>
  <c r="AY216" i="7" a="1"/>
  <c r="AY216" i="7" s="1"/>
  <c r="AQ216" i="7" a="1"/>
  <c r="AQ216" i="7" s="1"/>
  <c r="AM216" i="7" a="1"/>
  <c r="AM216" i="7" s="1"/>
  <c r="AL216" i="7" s="1"/>
  <c r="AZ214" i="7" a="1"/>
  <c r="AZ214" i="7" s="1"/>
  <c r="AN214" i="7" a="1"/>
  <c r="AN214" i="7" s="1"/>
  <c r="BA212" i="7" a="1"/>
  <c r="BA212" i="7" s="1"/>
  <c r="AW212" i="7" a="1"/>
  <c r="AW212" i="7" s="1"/>
  <c r="AV212" i="7" s="1"/>
  <c r="AO212" i="7" a="1"/>
  <c r="AO212" i="7" s="1"/>
  <c r="BB210" i="7" a="1"/>
  <c r="BB210" i="7" s="1"/>
  <c r="AX210" i="7" a="1"/>
  <c r="AX210" i="7" s="1"/>
  <c r="AP210" i="7" a="1"/>
  <c r="AP210" i="7" s="1"/>
  <c r="BC208" i="7" a="1"/>
  <c r="BC208" i="7" s="1"/>
  <c r="AY208" i="7" a="1"/>
  <c r="AY208" i="7" s="1"/>
  <c r="AQ208" i="7" a="1"/>
  <c r="AQ208" i="7" s="1"/>
  <c r="AM208" i="7" a="1"/>
  <c r="AM208" i="7" s="1"/>
  <c r="AL208" i="7" s="1"/>
  <c r="AZ206" i="7" a="1"/>
  <c r="AZ206" i="7" s="1"/>
  <c r="AN206" i="7" a="1"/>
  <c r="AN206" i="7" s="1"/>
  <c r="BA204" i="7" a="1"/>
  <c r="BA204" i="7" s="1"/>
  <c r="AW204" i="7" a="1"/>
  <c r="AW204" i="7" s="1"/>
  <c r="AV204" i="7" s="1"/>
  <c r="AO204" i="7" a="1"/>
  <c r="AO204" i="7" s="1"/>
  <c r="BB202" i="7" a="1"/>
  <c r="BB202" i="7" s="1"/>
  <c r="AX202" i="7" a="1"/>
  <c r="AX202" i="7" s="1"/>
  <c r="AP202" i="7" a="1"/>
  <c r="AP202" i="7" s="1"/>
  <c r="BC200" i="7" a="1"/>
  <c r="BC200" i="7" s="1"/>
  <c r="AY200" i="7" a="1"/>
  <c r="AY200" i="7" s="1"/>
  <c r="AQ200" i="7" a="1"/>
  <c r="AQ200" i="7" s="1"/>
  <c r="AM200" i="7" a="1"/>
  <c r="AM200" i="7" s="1"/>
  <c r="AL200" i="7" s="1"/>
  <c r="AY234" i="7" a="1"/>
  <c r="AY234" i="7" s="1"/>
  <c r="BC231" i="7" a="1"/>
  <c r="BC231" i="7" s="1"/>
  <c r="AQ231" i="7" a="1"/>
  <c r="AQ231" i="7" s="1"/>
  <c r="AZ229" i="7" a="1"/>
  <c r="AZ229" i="7" s="1"/>
  <c r="AN229" i="7" a="1"/>
  <c r="AN229" i="7" s="1"/>
  <c r="AW227" i="7" a="1"/>
  <c r="AW227" i="7" s="1"/>
  <c r="AV227" i="7" s="1"/>
  <c r="AN227" i="7" a="1"/>
  <c r="AN227" i="7" s="1"/>
  <c r="AO226" i="7" a="1"/>
  <c r="AO226" i="7" s="1"/>
  <c r="AP225" i="7" a="1"/>
  <c r="AP225" i="7" s="1"/>
  <c r="AN224" i="7" a="1"/>
  <c r="AN224" i="7" s="1"/>
  <c r="BC223" i="7" a="1"/>
  <c r="BC223" i="7" s="1"/>
  <c r="AP223" i="7" a="1"/>
  <c r="AP223" i="7" s="1"/>
  <c r="BB221" i="7" a="1"/>
  <c r="BB221" i="7" s="1"/>
  <c r="AX221" i="7" a="1"/>
  <c r="AX221" i="7" s="1"/>
  <c r="AP221" i="7" a="1"/>
  <c r="AP221" i="7" s="1"/>
  <c r="BC219" i="7" a="1"/>
  <c r="BC219" i="7" s="1"/>
  <c r="AY219" i="7" a="1"/>
  <c r="AY219" i="7" s="1"/>
  <c r="AQ219" i="7" a="1"/>
  <c r="AQ219" i="7" s="1"/>
  <c r="AM219" i="7" a="1"/>
  <c r="AM219" i="7" s="1"/>
  <c r="AL219" i="7" s="1"/>
  <c r="AZ217" i="7" a="1"/>
  <c r="AZ217" i="7" s="1"/>
  <c r="AN217" i="7" a="1"/>
  <c r="AN217" i="7" s="1"/>
  <c r="BA215" i="7" a="1"/>
  <c r="BA215" i="7" s="1"/>
  <c r="AW215" i="7" a="1"/>
  <c r="AW215" i="7" s="1"/>
  <c r="AV215" i="7" s="1"/>
  <c r="AO215" i="7" a="1"/>
  <c r="AO215" i="7" s="1"/>
  <c r="BB213" i="7" a="1"/>
  <c r="BB213" i="7" s="1"/>
  <c r="AX213" i="7" a="1"/>
  <c r="AX213" i="7" s="1"/>
  <c r="AP213" i="7" a="1"/>
  <c r="AP213" i="7" s="1"/>
  <c r="BC211" i="7" a="1"/>
  <c r="BC211" i="7" s="1"/>
  <c r="AY211" i="7" a="1"/>
  <c r="AY211" i="7" s="1"/>
  <c r="AQ211" i="7" a="1"/>
  <c r="AQ211" i="7" s="1"/>
  <c r="AM211" i="7" a="1"/>
  <c r="AM211" i="7" s="1"/>
  <c r="AL211" i="7" s="1"/>
  <c r="AZ209" i="7" a="1"/>
  <c r="AZ209" i="7" s="1"/>
  <c r="AN209" i="7" a="1"/>
  <c r="AN209" i="7" s="1"/>
  <c r="BA207" i="7" a="1"/>
  <c r="BA207" i="7" s="1"/>
  <c r="AW207" i="7" a="1"/>
  <c r="AW207" i="7" s="1"/>
  <c r="AV207" i="7" s="1"/>
  <c r="AO207" i="7" a="1"/>
  <c r="AO207" i="7" s="1"/>
  <c r="BB205" i="7" a="1"/>
  <c r="BB205" i="7" s="1"/>
  <c r="AX205" i="7" a="1"/>
  <c r="AX205" i="7" s="1"/>
  <c r="AP205" i="7" a="1"/>
  <c r="AP205" i="7" s="1"/>
  <c r="BC203" i="7" a="1"/>
  <c r="BC203" i="7" s="1"/>
  <c r="AY203" i="7" a="1"/>
  <c r="AY203" i="7" s="1"/>
  <c r="AQ203" i="7" a="1"/>
  <c r="AQ203" i="7" s="1"/>
  <c r="AM203" i="7" a="1"/>
  <c r="AM203" i="7" s="1"/>
  <c r="AL203" i="7" s="1"/>
  <c r="AQ234" i="7" a="1"/>
  <c r="AQ234" i="7" s="1"/>
  <c r="BC233" i="7" a="1"/>
  <c r="BC233" i="7" s="1"/>
  <c r="BA230" i="7" a="1"/>
  <c r="BA230" i="7" s="1"/>
  <c r="AO230" i="7" a="1"/>
  <c r="AO230" i="7" s="1"/>
  <c r="BB227" i="7" a="1"/>
  <c r="BB227" i="7" s="1"/>
  <c r="AM227" i="7" a="1"/>
  <c r="AM227" i="7" s="1"/>
  <c r="AL227" i="7" s="1"/>
  <c r="BC226" i="7" a="1"/>
  <c r="BC226" i="7" s="1"/>
  <c r="AY225" i="7" a="1"/>
  <c r="AY225" i="7" s="1"/>
  <c r="AX223" i="7" a="1"/>
  <c r="AX223" i="7" s="1"/>
  <c r="AZ222" i="7" a="1"/>
  <c r="AZ222" i="7" s="1"/>
  <c r="AM222" i="7" a="1"/>
  <c r="AM222" i="7" s="1"/>
  <c r="AL222" i="7" s="1"/>
  <c r="AZ220" i="7" a="1"/>
  <c r="AZ220" i="7" s="1"/>
  <c r="AN220" i="7" a="1"/>
  <c r="AN220" i="7" s="1"/>
  <c r="BA218" i="7" a="1"/>
  <c r="BA218" i="7" s="1"/>
  <c r="AW218" i="7" a="1"/>
  <c r="AW218" i="7" s="1"/>
  <c r="AV218" i="7" s="1"/>
  <c r="AO218" i="7" a="1"/>
  <c r="AO218" i="7" s="1"/>
  <c r="BB216" i="7" a="1"/>
  <c r="BB216" i="7" s="1"/>
  <c r="AX216" i="7" a="1"/>
  <c r="AX216" i="7" s="1"/>
  <c r="AP216" i="7" a="1"/>
  <c r="AP216" i="7" s="1"/>
  <c r="BC214" i="7" a="1"/>
  <c r="BC214" i="7" s="1"/>
  <c r="AY214" i="7" a="1"/>
  <c r="AY214" i="7" s="1"/>
  <c r="AQ214" i="7" a="1"/>
  <c r="AQ214" i="7" s="1"/>
  <c r="AM214" i="7" a="1"/>
  <c r="AM214" i="7" s="1"/>
  <c r="AL214" i="7" s="1"/>
  <c r="AZ212" i="7" a="1"/>
  <c r="AZ212" i="7" s="1"/>
  <c r="AN212" i="7" a="1"/>
  <c r="AN212" i="7" s="1"/>
  <c r="BA210" i="7" a="1"/>
  <c r="BA210" i="7" s="1"/>
  <c r="AW210" i="7" a="1"/>
  <c r="AW210" i="7" s="1"/>
  <c r="AV210" i="7" s="1"/>
  <c r="AO210" i="7" a="1"/>
  <c r="AO210" i="7" s="1"/>
  <c r="BB208" i="7" a="1"/>
  <c r="BB208" i="7" s="1"/>
  <c r="AX208" i="7" a="1"/>
  <c r="AX208" i="7" s="1"/>
  <c r="AP208" i="7" a="1"/>
  <c r="AP208" i="7" s="1"/>
  <c r="AM234" i="7" a="1"/>
  <c r="AM234" i="7" s="1"/>
  <c r="AL234" i="7" s="1"/>
  <c r="AN232" i="7" a="1"/>
  <c r="AN232" i="7" s="1"/>
  <c r="AY230" i="7" a="1"/>
  <c r="AY230" i="7" s="1"/>
  <c r="AM230" i="7" a="1"/>
  <c r="AM230" i="7" s="1"/>
  <c r="AL230" i="7" s="1"/>
  <c r="AZ228" i="7" a="1"/>
  <c r="AZ228" i="7" s="1"/>
  <c r="BA227" i="7" a="1"/>
  <c r="BA227" i="7" s="1"/>
  <c r="AW226" i="7" a="1"/>
  <c r="AW226" i="7" s="1"/>
  <c r="AV226" i="7" s="1"/>
  <c r="AX225" i="7" a="1"/>
  <c r="AX225" i="7" s="1"/>
  <c r="AO225" i="7" a="1"/>
  <c r="AO225" i="7" s="1"/>
  <c r="AZ224" i="7" a="1"/>
  <c r="AZ224" i="7" s="1"/>
  <c r="AM224" i="7" a="1"/>
  <c r="AM224" i="7" s="1"/>
  <c r="AL224" i="7" s="1"/>
  <c r="BB223" i="7" a="1"/>
  <c r="BB223" i="7" s="1"/>
  <c r="AO223" i="7" a="1"/>
  <c r="AO223" i="7" s="1"/>
  <c r="AQ222" i="7" a="1"/>
  <c r="AQ222" i="7" s="1"/>
  <c r="BA221" i="7" a="1"/>
  <c r="BA221" i="7" s="1"/>
  <c r="AW221" i="7" a="1"/>
  <c r="AW221" i="7" s="1"/>
  <c r="AV221" i="7" s="1"/>
  <c r="AO221" i="7" a="1"/>
  <c r="AO221" i="7" s="1"/>
  <c r="BB219" i="7" a="1"/>
  <c r="BB219" i="7" s="1"/>
  <c r="AX219" i="7" a="1"/>
  <c r="AX219" i="7" s="1"/>
  <c r="AP219" i="7" a="1"/>
  <c r="AP219" i="7" s="1"/>
  <c r="BC217" i="7" a="1"/>
  <c r="BC217" i="7" s="1"/>
  <c r="AY217" i="7" a="1"/>
  <c r="AY217" i="7" s="1"/>
  <c r="AQ217" i="7" a="1"/>
  <c r="AQ217" i="7" s="1"/>
  <c r="AM217" i="7" a="1"/>
  <c r="AM217" i="7" s="1"/>
  <c r="AL217" i="7" s="1"/>
  <c r="AZ215" i="7" a="1"/>
  <c r="AZ215" i="7" s="1"/>
  <c r="AN215" i="7" a="1"/>
  <c r="AN215" i="7" s="1"/>
  <c r="BA213" i="7" a="1"/>
  <c r="BA213" i="7" s="1"/>
  <c r="AW213" i="7" a="1"/>
  <c r="AW213" i="7" s="1"/>
  <c r="AV213" i="7" s="1"/>
  <c r="AO213" i="7" a="1"/>
  <c r="AO213" i="7" s="1"/>
  <c r="BB211" i="7" a="1"/>
  <c r="BB211" i="7" s="1"/>
  <c r="AX211" i="7" a="1"/>
  <c r="AX211" i="7" s="1"/>
  <c r="AP211" i="7" a="1"/>
  <c r="AP211" i="7" s="1"/>
  <c r="BC209" i="7" a="1"/>
  <c r="BC209" i="7" s="1"/>
  <c r="AY209" i="7" a="1"/>
  <c r="AY209" i="7" s="1"/>
  <c r="AQ209" i="7" a="1"/>
  <c r="AQ209" i="7" s="1"/>
  <c r="AM209" i="7" a="1"/>
  <c r="AM209" i="7" s="1"/>
  <c r="AL209" i="7" s="1"/>
  <c r="AZ207" i="7" a="1"/>
  <c r="AZ207" i="7" s="1"/>
  <c r="AN207" i="7" a="1"/>
  <c r="AN207" i="7" s="1"/>
  <c r="BA205" i="7" a="1"/>
  <c r="BA205" i="7" s="1"/>
  <c r="AW205" i="7" a="1"/>
  <c r="AW205" i="7" s="1"/>
  <c r="AV205" i="7" s="1"/>
  <c r="AO205" i="7" a="1"/>
  <c r="AO205" i="7" s="1"/>
  <c r="BB203" i="7" a="1"/>
  <c r="BB203" i="7" s="1"/>
  <c r="AX203" i="7" a="1"/>
  <c r="AX203" i="7" s="1"/>
  <c r="AP203" i="7" a="1"/>
  <c r="AP203" i="7" s="1"/>
  <c r="BC201" i="7" a="1"/>
  <c r="BC201" i="7" s="1"/>
  <c r="AY201" i="7" a="1"/>
  <c r="AY201" i="7" s="1"/>
  <c r="AQ201" i="7" a="1"/>
  <c r="AQ201" i="7" s="1"/>
  <c r="AM201" i="7" a="1"/>
  <c r="AM201" i="7" s="1"/>
  <c r="AL201" i="7" s="1"/>
  <c r="AY233" i="7" a="1"/>
  <c r="AY233" i="7" s="1"/>
  <c r="AZ231" i="7" a="1"/>
  <c r="AZ231" i="7" s="1"/>
  <c r="AN231" i="7" a="1"/>
  <c r="AN231" i="7" s="1"/>
  <c r="AW229" i="7" a="1"/>
  <c r="AW229" i="7" s="1"/>
  <c r="AV229" i="7" s="1"/>
  <c r="AP228" i="7" a="1"/>
  <c r="AP228" i="7" s="1"/>
  <c r="AQ227" i="7" a="1"/>
  <c r="AQ227" i="7" s="1"/>
  <c r="AM226" i="7" a="1"/>
  <c r="AM226" i="7" s="1"/>
  <c r="AL226" i="7" s="1"/>
  <c r="BC225" i="7" a="1"/>
  <c r="BC225" i="7" s="1"/>
  <c r="AN225" i="7" a="1"/>
  <c r="AN225" i="7" s="1"/>
  <c r="AQ224" i="7" a="1"/>
  <c r="AQ224" i="7" s="1"/>
  <c r="AW223" i="7" a="1"/>
  <c r="AW223" i="7" s="1"/>
  <c r="AV223" i="7" s="1"/>
  <c r="AY222" i="7" a="1"/>
  <c r="AY222" i="7" s="1"/>
  <c r="BC220" i="7" a="1"/>
  <c r="BC220" i="7" s="1"/>
  <c r="AY220" i="7" a="1"/>
  <c r="AY220" i="7" s="1"/>
  <c r="AQ220" i="7" a="1"/>
  <c r="AQ220" i="7" s="1"/>
  <c r="AM220" i="7" a="1"/>
  <c r="AM220" i="7" s="1"/>
  <c r="AL220" i="7" s="1"/>
  <c r="AZ218" i="7" a="1"/>
  <c r="AZ218" i="7" s="1"/>
  <c r="AN218" i="7" a="1"/>
  <c r="AN218" i="7" s="1"/>
  <c r="BA216" i="7" a="1"/>
  <c r="BA216" i="7" s="1"/>
  <c r="AW216" i="7" a="1"/>
  <c r="AW216" i="7" s="1"/>
  <c r="AV216" i="7" s="1"/>
  <c r="AO216" i="7" a="1"/>
  <c r="AO216" i="7" s="1"/>
  <c r="BB214" i="7" a="1"/>
  <c r="BB214" i="7" s="1"/>
  <c r="AX214" i="7" a="1"/>
  <c r="AX214" i="7" s="1"/>
  <c r="AP214" i="7" a="1"/>
  <c r="AP214" i="7" s="1"/>
  <c r="BC212" i="7" a="1"/>
  <c r="BC212" i="7" s="1"/>
  <c r="AY212" i="7" a="1"/>
  <c r="AY212" i="7" s="1"/>
  <c r="AQ212" i="7" a="1"/>
  <c r="AQ212" i="7" s="1"/>
  <c r="AM212" i="7" a="1"/>
  <c r="AM212" i="7" s="1"/>
  <c r="AL212" i="7" s="1"/>
  <c r="AZ210" i="7" a="1"/>
  <c r="AZ210" i="7" s="1"/>
  <c r="AN210" i="7" a="1"/>
  <c r="AN210" i="7" s="1"/>
  <c r="BA208" i="7" a="1"/>
  <c r="BA208" i="7" s="1"/>
  <c r="AW208" i="7" a="1"/>
  <c r="AW208" i="7" s="1"/>
  <c r="AV208" i="7" s="1"/>
  <c r="AO208" i="7" a="1"/>
  <c r="AO208" i="7" s="1"/>
  <c r="BB206" i="7" a="1"/>
  <c r="BB206" i="7" s="1"/>
  <c r="AX206" i="7" a="1"/>
  <c r="AX206" i="7" s="1"/>
  <c r="AP206" i="7" a="1"/>
  <c r="AP206" i="7" s="1"/>
  <c r="BC204" i="7" a="1"/>
  <c r="BC204" i="7" s="1"/>
  <c r="AY204" i="7" a="1"/>
  <c r="AY204" i="7" s="1"/>
  <c r="AQ204" i="7" a="1"/>
  <c r="AQ204" i="7" s="1"/>
  <c r="AM204" i="7" a="1"/>
  <c r="AM204" i="7" s="1"/>
  <c r="AL204" i="7" s="1"/>
  <c r="AZ202" i="7" a="1"/>
  <c r="AZ202" i="7" s="1"/>
  <c r="AN202" i="7" a="1"/>
  <c r="AN202" i="7" s="1"/>
  <c r="BA200" i="7" a="1"/>
  <c r="BA200" i="7" s="1"/>
  <c r="AW200" i="7" a="1"/>
  <c r="AW200" i="7" s="1"/>
  <c r="AV200" i="7" s="1"/>
  <c r="AO200" i="7" a="1"/>
  <c r="AO200" i="7" s="1"/>
  <c r="BB198" i="7" a="1"/>
  <c r="BB198" i="7" s="1"/>
  <c r="AX198" i="7" a="1"/>
  <c r="AX198" i="7" s="1"/>
  <c r="AP198" i="7" a="1"/>
  <c r="AP198" i="7" s="1"/>
  <c r="AY231" i="7" a="1"/>
  <c r="AY231" i="7" s="1"/>
  <c r="AM231" i="7" a="1"/>
  <c r="AM231" i="7" s="1"/>
  <c r="AL231" i="7" s="1"/>
  <c r="AZ227" i="7" a="1"/>
  <c r="AZ227" i="7" s="1"/>
  <c r="BA226" i="7" a="1"/>
  <c r="BA226" i="7" s="1"/>
  <c r="BB225" i="7" a="1"/>
  <c r="BB225" i="7" s="1"/>
  <c r="AW225" i="7" a="1"/>
  <c r="AW225" i="7" s="1"/>
  <c r="AV225" i="7" s="1"/>
  <c r="AY224" i="7" a="1"/>
  <c r="AY224" i="7" s="1"/>
  <c r="BA223" i="7" a="1"/>
  <c r="BA223" i="7" s="1"/>
  <c r="AN223" i="7" a="1"/>
  <c r="AN223" i="7" s="1"/>
  <c r="BC222" i="7" a="1"/>
  <c r="BC222" i="7" s="1"/>
  <c r="AZ221" i="7" a="1"/>
  <c r="AZ221" i="7" s="1"/>
  <c r="AN221" i="7" a="1"/>
  <c r="AN221" i="7" s="1"/>
  <c r="BA219" i="7" a="1"/>
  <c r="BA219" i="7" s="1"/>
  <c r="AW219" i="7" a="1"/>
  <c r="AW219" i="7" s="1"/>
  <c r="AV219" i="7" s="1"/>
  <c r="AO219" i="7" a="1"/>
  <c r="AO219" i="7" s="1"/>
  <c r="BB217" i="7" a="1"/>
  <c r="BB217" i="7" s="1"/>
  <c r="AX217" i="7" a="1"/>
  <c r="AX217" i="7" s="1"/>
  <c r="AP217" i="7" a="1"/>
  <c r="AP217" i="7" s="1"/>
  <c r="BC215" i="7" a="1"/>
  <c r="BC215" i="7" s="1"/>
  <c r="AY215" i="7" a="1"/>
  <c r="AY215" i="7" s="1"/>
  <c r="AQ215" i="7" a="1"/>
  <c r="AQ215" i="7" s="1"/>
  <c r="AM215" i="7" a="1"/>
  <c r="AM215" i="7" s="1"/>
  <c r="AL215" i="7" s="1"/>
  <c r="AZ213" i="7" a="1"/>
  <c r="AZ213" i="7" s="1"/>
  <c r="AN213" i="7" a="1"/>
  <c r="AN213" i="7" s="1"/>
  <c r="BA211" i="7" a="1"/>
  <c r="BA211" i="7" s="1"/>
  <c r="AW211" i="7" a="1"/>
  <c r="AW211" i="7" s="1"/>
  <c r="AV211" i="7" s="1"/>
  <c r="AO211" i="7" a="1"/>
  <c r="AO211" i="7" s="1"/>
  <c r="BB209" i="7" a="1"/>
  <c r="BB209" i="7" s="1"/>
  <c r="AX209" i="7" a="1"/>
  <c r="AX209" i="7" s="1"/>
  <c r="AP209" i="7" a="1"/>
  <c r="AP209" i="7" s="1"/>
  <c r="BC207" i="7" a="1"/>
  <c r="BC207" i="7" s="1"/>
  <c r="AY207" i="7" a="1"/>
  <c r="AY207" i="7" s="1"/>
  <c r="AQ207" i="7" a="1"/>
  <c r="AQ207" i="7" s="1"/>
  <c r="AM207" i="7" a="1"/>
  <c r="AM207" i="7" s="1"/>
  <c r="AL207" i="7" s="1"/>
  <c r="AZ205" i="7" a="1"/>
  <c r="AZ205" i="7" s="1"/>
  <c r="AN205" i="7" a="1"/>
  <c r="AN205" i="7" s="1"/>
  <c r="BA203" i="7" a="1"/>
  <c r="BA203" i="7" s="1"/>
  <c r="AW203" i="7" a="1"/>
  <c r="AW203" i="7" s="1"/>
  <c r="AV203" i="7" s="1"/>
  <c r="AO203" i="7" a="1"/>
  <c r="AO203" i="7" s="1"/>
  <c r="BB201" i="7" a="1"/>
  <c r="BB201" i="7" s="1"/>
  <c r="AX201" i="7" a="1"/>
  <c r="AX201" i="7" s="1"/>
  <c r="AP201" i="7" a="1"/>
  <c r="AP201" i="7" s="1"/>
  <c r="BC199" i="7" a="1"/>
  <c r="BC199" i="7" s="1"/>
  <c r="AY199" i="7" a="1"/>
  <c r="AY199" i="7" s="1"/>
  <c r="AQ199" i="7" a="1"/>
  <c r="AQ199" i="7" s="1"/>
  <c r="AM199" i="7" a="1"/>
  <c r="AM199" i="7" s="1"/>
  <c r="AL199" i="7" s="1"/>
  <c r="AZ197" i="7" a="1"/>
  <c r="AZ197" i="7" s="1"/>
  <c r="AN197" i="7" a="1"/>
  <c r="AN197" i="7" s="1"/>
  <c r="BA195" i="7" a="1"/>
  <c r="BA195" i="7" s="1"/>
  <c r="AW195" i="7" a="1"/>
  <c r="AW195" i="7" s="1"/>
  <c r="AV195" i="7" s="1"/>
  <c r="AO195" i="7" a="1"/>
  <c r="AO195" i="7" s="1"/>
  <c r="AQ233" i="7" a="1"/>
  <c r="AQ233" i="7" s="1"/>
  <c r="AW230" i="7" a="1"/>
  <c r="AW230" i="7" s="1"/>
  <c r="AV230" i="7" s="1"/>
  <c r="AX228" i="7" a="1"/>
  <c r="AX228" i="7" s="1"/>
  <c r="AY227" i="7" a="1"/>
  <c r="AY227" i="7" s="1"/>
  <c r="AP227" i="7" a="1"/>
  <c r="AP227" i="7" s="1"/>
  <c r="AQ226" i="7" a="1"/>
  <c r="AQ226" i="7" s="1"/>
  <c r="AM225" i="7" a="1"/>
  <c r="AM225" i="7" s="1"/>
  <c r="AL225" i="7" s="1"/>
  <c r="BC224" i="7" a="1"/>
  <c r="BC224" i="7" s="1"/>
  <c r="AP224" i="7" a="1"/>
  <c r="AP224" i="7" s="1"/>
  <c r="AM223" i="7" a="1"/>
  <c r="AM223" i="7" s="1"/>
  <c r="AL223" i="7" s="1"/>
  <c r="AO222" i="7" a="1"/>
  <c r="AO222" i="7" s="1"/>
  <c r="BB220" i="7" a="1"/>
  <c r="BB220" i="7" s="1"/>
  <c r="AX220" i="7" a="1"/>
  <c r="AX220" i="7" s="1"/>
  <c r="AP220" i="7" a="1"/>
  <c r="AP220" i="7" s="1"/>
  <c r="BC218" i="7" a="1"/>
  <c r="BC218" i="7" s="1"/>
  <c r="AY218" i="7" a="1"/>
  <c r="AY218" i="7" s="1"/>
  <c r="AQ218" i="7" a="1"/>
  <c r="AQ218" i="7" s="1"/>
  <c r="AM218" i="7" a="1"/>
  <c r="AM218" i="7" s="1"/>
  <c r="AL218" i="7" s="1"/>
  <c r="AZ216" i="7" a="1"/>
  <c r="AZ216" i="7" s="1"/>
  <c r="AN216" i="7" a="1"/>
  <c r="AN216" i="7" s="1"/>
  <c r="BA214" i="7" a="1"/>
  <c r="BA214" i="7" s="1"/>
  <c r="AW214" i="7" a="1"/>
  <c r="AW214" i="7" s="1"/>
  <c r="AV214" i="7" s="1"/>
  <c r="AO214" i="7" a="1"/>
  <c r="AO214" i="7" s="1"/>
  <c r="BB212" i="7" a="1"/>
  <c r="BB212" i="7" s="1"/>
  <c r="AX212" i="7" a="1"/>
  <c r="AX212" i="7" s="1"/>
  <c r="AP212" i="7" a="1"/>
  <c r="AP212" i="7" s="1"/>
  <c r="BC210" i="7" a="1"/>
  <c r="BC210" i="7" s="1"/>
  <c r="AY210" i="7" a="1"/>
  <c r="AY210" i="7" s="1"/>
  <c r="AQ210" i="7" a="1"/>
  <c r="AQ210" i="7" s="1"/>
  <c r="AM210" i="7" a="1"/>
  <c r="AM210" i="7" s="1"/>
  <c r="AL210" i="7" s="1"/>
  <c r="AZ208" i="7" a="1"/>
  <c r="AZ208" i="7" s="1"/>
  <c r="AN208" i="7" a="1"/>
  <c r="AN208" i="7" s="1"/>
  <c r="BA206" i="7" a="1"/>
  <c r="BA206" i="7" s="1"/>
  <c r="AW206" i="7" a="1"/>
  <c r="AW206" i="7" s="1"/>
  <c r="AV206" i="7" s="1"/>
  <c r="AO206" i="7" a="1"/>
  <c r="AO206" i="7" s="1"/>
  <c r="AZ232" i="7" a="1"/>
  <c r="AZ232" i="7" s="1"/>
  <c r="BC230" i="7" a="1"/>
  <c r="BC230" i="7" s="1"/>
  <c r="AQ230" i="7" a="1"/>
  <c r="AQ230" i="7" s="1"/>
  <c r="AN228" i="7" a="1"/>
  <c r="AN228" i="7" s="1"/>
  <c r="AO227" i="7" a="1"/>
  <c r="AO227" i="7" s="1"/>
  <c r="BA225" i="7" a="1"/>
  <c r="BA225" i="7" s="1"/>
  <c r="AX224" i="7" a="1"/>
  <c r="AX224" i="7" s="1"/>
  <c r="AZ223" i="7" a="1"/>
  <c r="AZ223" i="7" s="1"/>
  <c r="AQ223" i="7" a="1"/>
  <c r="AQ223" i="7" s="1"/>
  <c r="AW222" i="7" a="1"/>
  <c r="AW222" i="7" s="1"/>
  <c r="AV222" i="7" s="1"/>
  <c r="BC221" i="7" a="1"/>
  <c r="BC221" i="7" s="1"/>
  <c r="AY221" i="7" a="1"/>
  <c r="AY221" i="7" s="1"/>
  <c r="AQ221" i="7" a="1"/>
  <c r="AQ221" i="7" s="1"/>
  <c r="AM221" i="7" a="1"/>
  <c r="AM221" i="7" s="1"/>
  <c r="AL221" i="7" s="1"/>
  <c r="AZ219" i="7" a="1"/>
  <c r="AZ219" i="7" s="1"/>
  <c r="AN219" i="7" a="1"/>
  <c r="AN219" i="7" s="1"/>
  <c r="BA217" i="7" a="1"/>
  <c r="BA217" i="7" s="1"/>
  <c r="AW217" i="7" a="1"/>
  <c r="AW217" i="7" s="1"/>
  <c r="AV217" i="7" s="1"/>
  <c r="AO217" i="7" a="1"/>
  <c r="AO217" i="7" s="1"/>
  <c r="BB215" i="7" a="1"/>
  <c r="BB215" i="7" s="1"/>
  <c r="AX215" i="7" a="1"/>
  <c r="AX215" i="7" s="1"/>
  <c r="AP215" i="7" a="1"/>
  <c r="AP215" i="7" s="1"/>
  <c r="BC213" i="7" a="1"/>
  <c r="BC213" i="7" s="1"/>
  <c r="AY213" i="7" a="1"/>
  <c r="AY213" i="7" s="1"/>
  <c r="AQ213" i="7" a="1"/>
  <c r="AQ213" i="7" s="1"/>
  <c r="AM213" i="7" a="1"/>
  <c r="AM213" i="7" s="1"/>
  <c r="AL213" i="7" s="1"/>
  <c r="AZ211" i="7" a="1"/>
  <c r="AZ211" i="7" s="1"/>
  <c r="AN211" i="7" a="1"/>
  <c r="AN211" i="7" s="1"/>
  <c r="BA209" i="7" a="1"/>
  <c r="BA209" i="7" s="1"/>
  <c r="AW209" i="7" a="1"/>
  <c r="AW209" i="7" s="1"/>
  <c r="AV209" i="7" s="1"/>
  <c r="AO209" i="7" a="1"/>
  <c r="AO209" i="7" s="1"/>
  <c r="BB207" i="7" a="1"/>
  <c r="BB207" i="7" s="1"/>
  <c r="AX207" i="7" a="1"/>
  <c r="AX207" i="7" s="1"/>
  <c r="AP207" i="7" a="1"/>
  <c r="AP207" i="7" s="1"/>
  <c r="BC205" i="7" a="1"/>
  <c r="BC205" i="7" s="1"/>
  <c r="AY205" i="7" a="1"/>
  <c r="AY205" i="7" s="1"/>
  <c r="AQ205" i="7" a="1"/>
  <c r="AQ205" i="7" s="1"/>
  <c r="AM205" i="7" a="1"/>
  <c r="AM205" i="7" s="1"/>
  <c r="AL205" i="7" s="1"/>
  <c r="BC206" i="7" a="1"/>
  <c r="BC206" i="7" s="1"/>
  <c r="AZ203" i="7" a="1"/>
  <c r="AZ203" i="7" s="1"/>
  <c r="AW201" i="7" a="1"/>
  <c r="AW201" i="7" s="1"/>
  <c r="AV201" i="7" s="1"/>
  <c r="AX200" i="7" a="1"/>
  <c r="AX200" i="7" s="1"/>
  <c r="AZ199" i="7" a="1"/>
  <c r="AZ199" i="7" s="1"/>
  <c r="AP199" i="7" a="1"/>
  <c r="AP199" i="7" s="1"/>
  <c r="BC197" i="7" a="1"/>
  <c r="BC197" i="7" s="1"/>
  <c r="AP197" i="7" a="1"/>
  <c r="AP197" i="7" s="1"/>
  <c r="AX195" i="7" a="1"/>
  <c r="AX195" i="7" s="1"/>
  <c r="AZ194" i="7" a="1"/>
  <c r="AZ194" i="7" s="1"/>
  <c r="AQ194" i="7" a="1"/>
  <c r="AQ194" i="7" s="1"/>
  <c r="AZ193" i="7" a="1"/>
  <c r="AZ193" i="7" s="1"/>
  <c r="AN193" i="7" a="1"/>
  <c r="AN193" i="7" s="1"/>
  <c r="BA191" i="7" a="1"/>
  <c r="BA191" i="7" s="1"/>
  <c r="AW191" i="7" a="1"/>
  <c r="AW191" i="7" s="1"/>
  <c r="AV191" i="7" s="1"/>
  <c r="AO191" i="7" a="1"/>
  <c r="AO191" i="7" s="1"/>
  <c r="BB189" i="7" a="1"/>
  <c r="BB189" i="7" s="1"/>
  <c r="AX189" i="7" a="1"/>
  <c r="AX189" i="7" s="1"/>
  <c r="AP189" i="7" a="1"/>
  <c r="AP189" i="7" s="1"/>
  <c r="BC187" i="7" a="1"/>
  <c r="BC187" i="7" s="1"/>
  <c r="AY187" i="7" a="1"/>
  <c r="AY187" i="7" s="1"/>
  <c r="AQ187" i="7" a="1"/>
  <c r="AQ187" i="7" s="1"/>
  <c r="AM187" i="7" a="1"/>
  <c r="AM187" i="7" s="1"/>
  <c r="AL187" i="7" s="1"/>
  <c r="AZ185" i="7" a="1"/>
  <c r="AZ185" i="7" s="1"/>
  <c r="AN185" i="7" a="1"/>
  <c r="AN185" i="7" s="1"/>
  <c r="BA183" i="7" a="1"/>
  <c r="BA183" i="7" s="1"/>
  <c r="AW183" i="7" a="1"/>
  <c r="AW183" i="7" s="1"/>
  <c r="AV183" i="7" s="1"/>
  <c r="AO183" i="7" a="1"/>
  <c r="AO183" i="7" s="1"/>
  <c r="BB181" i="7" a="1"/>
  <c r="BB181" i="7" s="1"/>
  <c r="AX181" i="7" a="1"/>
  <c r="AX181" i="7" s="1"/>
  <c r="AP181" i="7" a="1"/>
  <c r="AP181" i="7" s="1"/>
  <c r="BC179" i="7" a="1"/>
  <c r="BC179" i="7" s="1"/>
  <c r="AY179" i="7" a="1"/>
  <c r="AY179" i="7" s="1"/>
  <c r="AQ179" i="7" a="1"/>
  <c r="AQ179" i="7" s="1"/>
  <c r="AM179" i="7" a="1"/>
  <c r="AM179" i="7" s="1"/>
  <c r="AL179" i="7" s="1"/>
  <c r="AZ177" i="7" a="1"/>
  <c r="AZ177" i="7" s="1"/>
  <c r="AN177" i="7" a="1"/>
  <c r="AN177" i="7" s="1"/>
  <c r="BA175" i="7" a="1"/>
  <c r="BA175" i="7" s="1"/>
  <c r="AW175" i="7" a="1"/>
  <c r="AW175" i="7" s="1"/>
  <c r="AV175" i="7" s="1"/>
  <c r="AO175" i="7" a="1"/>
  <c r="AO175" i="7" s="1"/>
  <c r="BB173" i="7" a="1"/>
  <c r="BB173" i="7" s="1"/>
  <c r="AX173" i="7" a="1"/>
  <c r="AX173" i="7" s="1"/>
  <c r="AP173" i="7" a="1"/>
  <c r="AP173" i="7" s="1"/>
  <c r="BC171" i="7" a="1"/>
  <c r="BC171" i="7" s="1"/>
  <c r="AY171" i="7" a="1"/>
  <c r="AY171" i="7" s="1"/>
  <c r="AQ171" i="7" a="1"/>
  <c r="AQ171" i="7" s="1"/>
  <c r="AM171" i="7" a="1"/>
  <c r="AM171" i="7" s="1"/>
  <c r="AL171" i="7" s="1"/>
  <c r="AZ169" i="7" a="1"/>
  <c r="AZ169" i="7" s="1"/>
  <c r="AN169" i="7" a="1"/>
  <c r="AN169" i="7" s="1"/>
  <c r="BA167" i="7" a="1"/>
  <c r="BA167" i="7" s="1"/>
  <c r="AW167" i="7" a="1"/>
  <c r="AW167" i="7" s="1"/>
  <c r="AV167" i="7" s="1"/>
  <c r="AO167" i="7" a="1"/>
  <c r="AO167" i="7" s="1"/>
  <c r="BB165" i="7" a="1"/>
  <c r="BB165" i="7" s="1"/>
  <c r="AX165" i="7" a="1"/>
  <c r="AX165" i="7" s="1"/>
  <c r="AP165" i="7" a="1"/>
  <c r="AP165" i="7" s="1"/>
  <c r="BC163" i="7" a="1"/>
  <c r="BC163" i="7" s="1"/>
  <c r="AY163" i="7" a="1"/>
  <c r="AY163" i="7" s="1"/>
  <c r="AQ163" i="7" a="1"/>
  <c r="AQ163" i="7" s="1"/>
  <c r="AM163" i="7" a="1"/>
  <c r="AM163" i="7" s="1"/>
  <c r="AL163" i="7" s="1"/>
  <c r="AZ161" i="7" a="1"/>
  <c r="AZ161" i="7" s="1"/>
  <c r="AN161" i="7" a="1"/>
  <c r="AN161" i="7" s="1"/>
  <c r="BA159" i="7" a="1"/>
  <c r="BA159" i="7" s="1"/>
  <c r="AW159" i="7" a="1"/>
  <c r="AW159" i="7" s="1"/>
  <c r="AV159" i="7" s="1"/>
  <c r="AO159" i="7" a="1"/>
  <c r="AO159" i="7" s="1"/>
  <c r="BB157" i="7" a="1"/>
  <c r="BB157" i="7" s="1"/>
  <c r="AX157" i="7" a="1"/>
  <c r="AX157" i="7" s="1"/>
  <c r="AP157" i="7" a="1"/>
  <c r="AP157" i="7" s="1"/>
  <c r="BC155" i="7" a="1"/>
  <c r="BC155" i="7" s="1"/>
  <c r="AY155" i="7" a="1"/>
  <c r="AY155" i="7" s="1"/>
  <c r="AQ155" i="7" a="1"/>
  <c r="AQ155" i="7" s="1"/>
  <c r="AM155" i="7" a="1"/>
  <c r="AM155" i="7" s="1"/>
  <c r="AL155" i="7" s="1"/>
  <c r="AZ153" i="7" a="1"/>
  <c r="AZ153" i="7" s="1"/>
  <c r="AN153" i="7" a="1"/>
  <c r="AN153" i="7" s="1"/>
  <c r="BA151" i="7" a="1"/>
  <c r="BA151" i="7" s="1"/>
  <c r="AW151" i="7" a="1"/>
  <c r="AW151" i="7" s="1"/>
  <c r="AV151" i="7" s="1"/>
  <c r="AO151" i="7" a="1"/>
  <c r="AO151" i="7" s="1"/>
  <c r="BB149" i="7" a="1"/>
  <c r="BB149" i="7" s="1"/>
  <c r="AX149" i="7" a="1"/>
  <c r="AX149" i="7" s="1"/>
  <c r="AP149" i="7" a="1"/>
  <c r="AP149" i="7" s="1"/>
  <c r="BC147" i="7" a="1"/>
  <c r="BC147" i="7" s="1"/>
  <c r="AY147" i="7" a="1"/>
  <c r="AY147" i="7" s="1"/>
  <c r="AQ147" i="7" a="1"/>
  <c r="AQ147" i="7" s="1"/>
  <c r="AM147" i="7" a="1"/>
  <c r="AM147" i="7" s="1"/>
  <c r="AL147" i="7" s="1"/>
  <c r="AZ145" i="7" a="1"/>
  <c r="AZ145" i="7" s="1"/>
  <c r="AN145" i="7" a="1"/>
  <c r="AN145" i="7" s="1"/>
  <c r="BA143" i="7" a="1"/>
  <c r="BA143" i="7" s="1"/>
  <c r="AW143" i="7" a="1"/>
  <c r="AW143" i="7" s="1"/>
  <c r="AV143" i="7" s="1"/>
  <c r="AO143" i="7" a="1"/>
  <c r="AO143" i="7" s="1"/>
  <c r="BB141" i="7" a="1"/>
  <c r="BB141" i="7" s="1"/>
  <c r="AX141" i="7" a="1"/>
  <c r="AX141" i="7" s="1"/>
  <c r="AP141" i="7" a="1"/>
  <c r="AP141" i="7" s="1"/>
  <c r="AY206" i="7" a="1"/>
  <c r="AY206" i="7" s="1"/>
  <c r="BB204" i="7" a="1"/>
  <c r="BB204" i="7" s="1"/>
  <c r="AN204" i="7" a="1"/>
  <c r="AN204" i="7" s="1"/>
  <c r="AZ198" i="7" a="1"/>
  <c r="AZ198" i="7" s="1"/>
  <c r="AQ198" i="7" a="1"/>
  <c r="AQ198" i="7" s="1"/>
  <c r="AX197" i="7" a="1"/>
  <c r="AX197" i="7" s="1"/>
  <c r="AZ196" i="7" a="1"/>
  <c r="AZ196" i="7" s="1"/>
  <c r="AM196" i="7" a="1"/>
  <c r="AM196" i="7" s="1"/>
  <c r="AL196" i="7" s="1"/>
  <c r="BB195" i="7" a="1"/>
  <c r="BB195" i="7" s="1"/>
  <c r="AY194" i="7" a="1"/>
  <c r="AY194" i="7" s="1"/>
  <c r="BB192" i="7" a="1"/>
  <c r="BB192" i="7" s="1"/>
  <c r="AX192" i="7" a="1"/>
  <c r="AX192" i="7" s="1"/>
  <c r="AP192" i="7" a="1"/>
  <c r="AP192" i="7" s="1"/>
  <c r="BC190" i="7" a="1"/>
  <c r="BC190" i="7" s="1"/>
  <c r="AY190" i="7" a="1"/>
  <c r="AY190" i="7" s="1"/>
  <c r="AQ190" i="7" a="1"/>
  <c r="AQ190" i="7" s="1"/>
  <c r="AM190" i="7" a="1"/>
  <c r="AM190" i="7" s="1"/>
  <c r="AL190" i="7" s="1"/>
  <c r="AZ188" i="7" a="1"/>
  <c r="AZ188" i="7" s="1"/>
  <c r="AN188" i="7" a="1"/>
  <c r="AN188" i="7" s="1"/>
  <c r="BA186" i="7" a="1"/>
  <c r="BA186" i="7" s="1"/>
  <c r="AW186" i="7" a="1"/>
  <c r="AW186" i="7" s="1"/>
  <c r="AV186" i="7" s="1"/>
  <c r="AO186" i="7" a="1"/>
  <c r="AO186" i="7" s="1"/>
  <c r="BB184" i="7" a="1"/>
  <c r="BB184" i="7" s="1"/>
  <c r="AX184" i="7" a="1"/>
  <c r="AX184" i="7" s="1"/>
  <c r="AP184" i="7" a="1"/>
  <c r="AP184" i="7" s="1"/>
  <c r="BC182" i="7" a="1"/>
  <c r="BC182" i="7" s="1"/>
  <c r="AY182" i="7" a="1"/>
  <c r="AY182" i="7" s="1"/>
  <c r="AQ182" i="7" a="1"/>
  <c r="AQ182" i="7" s="1"/>
  <c r="AM182" i="7" a="1"/>
  <c r="AM182" i="7" s="1"/>
  <c r="AL182" i="7" s="1"/>
  <c r="AZ180" i="7" a="1"/>
  <c r="AZ180" i="7" s="1"/>
  <c r="AN180" i="7" a="1"/>
  <c r="AN180" i="7" s="1"/>
  <c r="BA178" i="7" a="1"/>
  <c r="BA178" i="7" s="1"/>
  <c r="AW178" i="7" a="1"/>
  <c r="AW178" i="7" s="1"/>
  <c r="AV178" i="7" s="1"/>
  <c r="AO178" i="7" a="1"/>
  <c r="AO178" i="7" s="1"/>
  <c r="BB176" i="7" a="1"/>
  <c r="BB176" i="7" s="1"/>
  <c r="AX176" i="7" a="1"/>
  <c r="AX176" i="7" s="1"/>
  <c r="AP176" i="7" a="1"/>
  <c r="AP176" i="7" s="1"/>
  <c r="BC174" i="7" a="1"/>
  <c r="BC174" i="7" s="1"/>
  <c r="AY174" i="7" a="1"/>
  <c r="AY174" i="7" s="1"/>
  <c r="AQ174" i="7" a="1"/>
  <c r="AQ174" i="7" s="1"/>
  <c r="AM174" i="7" a="1"/>
  <c r="AM174" i="7" s="1"/>
  <c r="AL174" i="7" s="1"/>
  <c r="AZ172" i="7" a="1"/>
  <c r="AZ172" i="7" s="1"/>
  <c r="AN172" i="7" a="1"/>
  <c r="AN172" i="7" s="1"/>
  <c r="BA170" i="7" a="1"/>
  <c r="BA170" i="7" s="1"/>
  <c r="AW170" i="7" a="1"/>
  <c r="AW170" i="7" s="1"/>
  <c r="AV170" i="7" s="1"/>
  <c r="AO170" i="7" a="1"/>
  <c r="AO170" i="7" s="1"/>
  <c r="BB168" i="7" a="1"/>
  <c r="BB168" i="7" s="1"/>
  <c r="AX168" i="7" a="1"/>
  <c r="AX168" i="7" s="1"/>
  <c r="AP168" i="7" a="1"/>
  <c r="AP168" i="7" s="1"/>
  <c r="BC166" i="7" a="1"/>
  <c r="BC166" i="7" s="1"/>
  <c r="AY166" i="7" a="1"/>
  <c r="AY166" i="7" s="1"/>
  <c r="AQ166" i="7" a="1"/>
  <c r="AQ166" i="7" s="1"/>
  <c r="AM166" i="7" a="1"/>
  <c r="AM166" i="7" s="1"/>
  <c r="AL166" i="7" s="1"/>
  <c r="AZ164" i="7" a="1"/>
  <c r="AZ164" i="7" s="1"/>
  <c r="AN164" i="7" a="1"/>
  <c r="AN164" i="7" s="1"/>
  <c r="BA162" i="7" a="1"/>
  <c r="BA162" i="7" s="1"/>
  <c r="AW162" i="7" a="1"/>
  <c r="AW162" i="7" s="1"/>
  <c r="AV162" i="7" s="1"/>
  <c r="AO162" i="7" a="1"/>
  <c r="AO162" i="7" s="1"/>
  <c r="BB160" i="7" a="1"/>
  <c r="BB160" i="7" s="1"/>
  <c r="AX160" i="7" a="1"/>
  <c r="AX160" i="7" s="1"/>
  <c r="AP160" i="7" a="1"/>
  <c r="AP160" i="7" s="1"/>
  <c r="BC158" i="7" a="1"/>
  <c r="BC158" i="7" s="1"/>
  <c r="AY158" i="7" a="1"/>
  <c r="AY158" i="7" s="1"/>
  <c r="AQ158" i="7" a="1"/>
  <c r="AQ158" i="7" s="1"/>
  <c r="AM158" i="7" a="1"/>
  <c r="AM158" i="7" s="1"/>
  <c r="AL158" i="7" s="1"/>
  <c r="AZ156" i="7" a="1"/>
  <c r="AZ156" i="7" s="1"/>
  <c r="AN156" i="7" a="1"/>
  <c r="AN156" i="7" s="1"/>
  <c r="BA154" i="7" a="1"/>
  <c r="BA154" i="7" s="1"/>
  <c r="AW154" i="7" a="1"/>
  <c r="AW154" i="7" s="1"/>
  <c r="AV154" i="7" s="1"/>
  <c r="AO154" i="7" a="1"/>
  <c r="AO154" i="7" s="1"/>
  <c r="BB152" i="7" a="1"/>
  <c r="BB152" i="7" s="1"/>
  <c r="AX152" i="7" a="1"/>
  <c r="AX152" i="7" s="1"/>
  <c r="AP152" i="7" a="1"/>
  <c r="AP152" i="7" s="1"/>
  <c r="BC150" i="7" a="1"/>
  <c r="BC150" i="7" s="1"/>
  <c r="AY150" i="7" a="1"/>
  <c r="AY150" i="7" s="1"/>
  <c r="AQ150" i="7" a="1"/>
  <c r="AQ150" i="7" s="1"/>
  <c r="AM150" i="7" a="1"/>
  <c r="AM150" i="7" s="1"/>
  <c r="AL150" i="7" s="1"/>
  <c r="AZ148" i="7" a="1"/>
  <c r="AZ148" i="7" s="1"/>
  <c r="AN148" i="7" a="1"/>
  <c r="AN148" i="7" s="1"/>
  <c r="BA146" i="7" a="1"/>
  <c r="BA146" i="7" s="1"/>
  <c r="AW146" i="7" a="1"/>
  <c r="AW146" i="7" s="1"/>
  <c r="AV146" i="7" s="1"/>
  <c r="AO146" i="7" a="1"/>
  <c r="AO146" i="7" s="1"/>
  <c r="BB144" i="7" a="1"/>
  <c r="BB144" i="7" s="1"/>
  <c r="AX144" i="7" a="1"/>
  <c r="AX144" i="7" s="1"/>
  <c r="AP144" i="7" a="1"/>
  <c r="AP144" i="7" s="1"/>
  <c r="BC142" i="7" a="1"/>
  <c r="BC142" i="7" s="1"/>
  <c r="AY142" i="7" a="1"/>
  <c r="AY142" i="7" s="1"/>
  <c r="AQ142" i="7" a="1"/>
  <c r="AQ142" i="7" s="1"/>
  <c r="AM142" i="7" a="1"/>
  <c r="AM142" i="7" s="1"/>
  <c r="AL142" i="7" s="1"/>
  <c r="AZ140" i="7" a="1"/>
  <c r="AZ140" i="7" s="1"/>
  <c r="AN140" i="7" a="1"/>
  <c r="AN140" i="7" s="1"/>
  <c r="BA138" i="7" a="1"/>
  <c r="BA138" i="7" s="1"/>
  <c r="AW138" i="7" a="1"/>
  <c r="AW138" i="7" s="1"/>
  <c r="AV138" i="7" s="1"/>
  <c r="AO138" i="7" a="1"/>
  <c r="AO138" i="7" s="1"/>
  <c r="BB136" i="7" a="1"/>
  <c r="BB136" i="7" s="1"/>
  <c r="AX136" i="7" a="1"/>
  <c r="AX136" i="7" s="1"/>
  <c r="AP136" i="7" a="1"/>
  <c r="AP136" i="7" s="1"/>
  <c r="AQ206" i="7" a="1"/>
  <c r="AQ206" i="7" s="1"/>
  <c r="AW202" i="7" a="1"/>
  <c r="AW202" i="7" s="1"/>
  <c r="AV202" i="7" s="1"/>
  <c r="AX199" i="7" a="1"/>
  <c r="AX199" i="7" s="1"/>
  <c r="AO199" i="7" a="1"/>
  <c r="AO199" i="7" s="1"/>
  <c r="BB197" i="7" a="1"/>
  <c r="BB197" i="7" s="1"/>
  <c r="AO197" i="7" a="1"/>
  <c r="AO197" i="7" s="1"/>
  <c r="AQ196" i="7" a="1"/>
  <c r="AQ196" i="7" s="1"/>
  <c r="AN195" i="7" a="1"/>
  <c r="AN195" i="7" s="1"/>
  <c r="BC194" i="7" a="1"/>
  <c r="BC194" i="7" s="1"/>
  <c r="AP194" i="7" a="1"/>
  <c r="AP194" i="7" s="1"/>
  <c r="BC193" i="7" a="1"/>
  <c r="BC193" i="7" s="1"/>
  <c r="AY193" i="7" a="1"/>
  <c r="AY193" i="7" s="1"/>
  <c r="AQ193" i="7" a="1"/>
  <c r="AQ193" i="7" s="1"/>
  <c r="AM193" i="7" a="1"/>
  <c r="AM193" i="7" s="1"/>
  <c r="AL193" i="7" s="1"/>
  <c r="AZ191" i="7" a="1"/>
  <c r="AZ191" i="7" s="1"/>
  <c r="AN191" i="7" a="1"/>
  <c r="AN191" i="7" s="1"/>
  <c r="BA189" i="7" a="1"/>
  <c r="BA189" i="7" s="1"/>
  <c r="AW189" i="7" a="1"/>
  <c r="AW189" i="7" s="1"/>
  <c r="AV189" i="7" s="1"/>
  <c r="AO189" i="7" a="1"/>
  <c r="AO189" i="7" s="1"/>
  <c r="BB187" i="7" a="1"/>
  <c r="BB187" i="7" s="1"/>
  <c r="AX187" i="7" a="1"/>
  <c r="AX187" i="7" s="1"/>
  <c r="AP187" i="7" a="1"/>
  <c r="AP187" i="7" s="1"/>
  <c r="BC185" i="7" a="1"/>
  <c r="BC185" i="7" s="1"/>
  <c r="AY185" i="7" a="1"/>
  <c r="AY185" i="7" s="1"/>
  <c r="AQ185" i="7" a="1"/>
  <c r="AQ185" i="7" s="1"/>
  <c r="AM185" i="7" a="1"/>
  <c r="AM185" i="7" s="1"/>
  <c r="AL185" i="7" s="1"/>
  <c r="AZ183" i="7" a="1"/>
  <c r="AZ183" i="7" s="1"/>
  <c r="AN183" i="7" a="1"/>
  <c r="AN183" i="7" s="1"/>
  <c r="BA181" i="7" a="1"/>
  <c r="BA181" i="7" s="1"/>
  <c r="AW181" i="7" a="1"/>
  <c r="AW181" i="7" s="1"/>
  <c r="AV181" i="7" s="1"/>
  <c r="AO181" i="7" a="1"/>
  <c r="AO181" i="7" s="1"/>
  <c r="BB179" i="7" a="1"/>
  <c r="BB179" i="7" s="1"/>
  <c r="AX179" i="7" a="1"/>
  <c r="AX179" i="7" s="1"/>
  <c r="AP179" i="7" a="1"/>
  <c r="AP179" i="7" s="1"/>
  <c r="BC177" i="7" a="1"/>
  <c r="BC177" i="7" s="1"/>
  <c r="AY177" i="7" a="1"/>
  <c r="AY177" i="7" s="1"/>
  <c r="AQ177" i="7" a="1"/>
  <c r="AQ177" i="7" s="1"/>
  <c r="AM177" i="7" a="1"/>
  <c r="AM177" i="7" s="1"/>
  <c r="AL177" i="7" s="1"/>
  <c r="AZ175" i="7" a="1"/>
  <c r="AZ175" i="7" s="1"/>
  <c r="AN175" i="7" a="1"/>
  <c r="AN175" i="7" s="1"/>
  <c r="BA173" i="7" a="1"/>
  <c r="BA173" i="7" s="1"/>
  <c r="AW173" i="7" a="1"/>
  <c r="AW173" i="7" s="1"/>
  <c r="AV173" i="7" s="1"/>
  <c r="AO173" i="7" a="1"/>
  <c r="AO173" i="7" s="1"/>
  <c r="BB171" i="7" a="1"/>
  <c r="BB171" i="7" s="1"/>
  <c r="AX171" i="7" a="1"/>
  <c r="AX171" i="7" s="1"/>
  <c r="AP171" i="7" a="1"/>
  <c r="AP171" i="7" s="1"/>
  <c r="BC169" i="7" a="1"/>
  <c r="BC169" i="7" s="1"/>
  <c r="AY169" i="7" a="1"/>
  <c r="AY169" i="7" s="1"/>
  <c r="AQ169" i="7" a="1"/>
  <c r="AQ169" i="7" s="1"/>
  <c r="AM169" i="7" a="1"/>
  <c r="AM169" i="7" s="1"/>
  <c r="AL169" i="7" s="1"/>
  <c r="AZ167" i="7" a="1"/>
  <c r="AZ167" i="7" s="1"/>
  <c r="AN167" i="7" a="1"/>
  <c r="AN167" i="7" s="1"/>
  <c r="BA165" i="7" a="1"/>
  <c r="BA165" i="7" s="1"/>
  <c r="AW165" i="7" a="1"/>
  <c r="AW165" i="7" s="1"/>
  <c r="AV165" i="7" s="1"/>
  <c r="AO165" i="7" a="1"/>
  <c r="AO165" i="7" s="1"/>
  <c r="BB163" i="7" a="1"/>
  <c r="BB163" i="7" s="1"/>
  <c r="AX163" i="7" a="1"/>
  <c r="AX163" i="7" s="1"/>
  <c r="AP163" i="7" a="1"/>
  <c r="AP163" i="7" s="1"/>
  <c r="BC161" i="7" a="1"/>
  <c r="BC161" i="7" s="1"/>
  <c r="AY161" i="7" a="1"/>
  <c r="AY161" i="7" s="1"/>
  <c r="AQ161" i="7" a="1"/>
  <c r="AQ161" i="7" s="1"/>
  <c r="AM161" i="7" a="1"/>
  <c r="AM161" i="7" s="1"/>
  <c r="AL161" i="7" s="1"/>
  <c r="AZ159" i="7" a="1"/>
  <c r="AZ159" i="7" s="1"/>
  <c r="AN159" i="7" a="1"/>
  <c r="AN159" i="7" s="1"/>
  <c r="BA157" i="7" a="1"/>
  <c r="BA157" i="7" s="1"/>
  <c r="AW157" i="7" a="1"/>
  <c r="AW157" i="7" s="1"/>
  <c r="AV157" i="7" s="1"/>
  <c r="AO157" i="7" a="1"/>
  <c r="AO157" i="7" s="1"/>
  <c r="BB155" i="7" a="1"/>
  <c r="BB155" i="7" s="1"/>
  <c r="AX155" i="7" a="1"/>
  <c r="AX155" i="7" s="1"/>
  <c r="AP155" i="7" a="1"/>
  <c r="AP155" i="7" s="1"/>
  <c r="BC153" i="7" a="1"/>
  <c r="BC153" i="7" s="1"/>
  <c r="AY153" i="7" a="1"/>
  <c r="AY153" i="7" s="1"/>
  <c r="AQ153" i="7" a="1"/>
  <c r="AQ153" i="7" s="1"/>
  <c r="AM153" i="7" a="1"/>
  <c r="AM153" i="7" s="1"/>
  <c r="AL153" i="7" s="1"/>
  <c r="AZ151" i="7" a="1"/>
  <c r="AZ151" i="7" s="1"/>
  <c r="AN151" i="7" a="1"/>
  <c r="AN151" i="7" s="1"/>
  <c r="BA149" i="7" a="1"/>
  <c r="BA149" i="7" s="1"/>
  <c r="AW149" i="7" a="1"/>
  <c r="AW149" i="7" s="1"/>
  <c r="AV149" i="7" s="1"/>
  <c r="AO149" i="7" a="1"/>
  <c r="AO149" i="7" s="1"/>
  <c r="BB147" i="7" a="1"/>
  <c r="BB147" i="7" s="1"/>
  <c r="AX147" i="7" a="1"/>
  <c r="AX147" i="7" s="1"/>
  <c r="AP147" i="7" a="1"/>
  <c r="AP147" i="7" s="1"/>
  <c r="AM206" i="7" a="1"/>
  <c r="AM206" i="7" s="1"/>
  <c r="AL206" i="7" s="1"/>
  <c r="AZ204" i="7" a="1"/>
  <c r="AZ204" i="7" s="1"/>
  <c r="BC202" i="7" a="1"/>
  <c r="BC202" i="7" s="1"/>
  <c r="AQ202" i="7" a="1"/>
  <c r="AQ202" i="7" s="1"/>
  <c r="BB200" i="7" a="1"/>
  <c r="BB200" i="7" s="1"/>
  <c r="AY198" i="7" a="1"/>
  <c r="AY198" i="7" s="1"/>
  <c r="AO198" i="7" a="1"/>
  <c r="AO198" i="7" s="1"/>
  <c r="AW197" i="7" a="1"/>
  <c r="AW197" i="7" s="1"/>
  <c r="AV197" i="7" s="1"/>
  <c r="AY196" i="7" a="1"/>
  <c r="AY196" i="7" s="1"/>
  <c r="AP196" i="7" a="1"/>
  <c r="AP196" i="7" s="1"/>
  <c r="AX194" i="7" a="1"/>
  <c r="AX194" i="7" s="1"/>
  <c r="BA192" i="7" a="1"/>
  <c r="BA192" i="7" s="1"/>
  <c r="AW192" i="7" a="1"/>
  <c r="AW192" i="7" s="1"/>
  <c r="AV192" i="7" s="1"/>
  <c r="AO192" i="7" a="1"/>
  <c r="AO192" i="7" s="1"/>
  <c r="BB190" i="7" a="1"/>
  <c r="BB190" i="7" s="1"/>
  <c r="AX190" i="7" a="1"/>
  <c r="AX190" i="7" s="1"/>
  <c r="AP190" i="7" a="1"/>
  <c r="AP190" i="7" s="1"/>
  <c r="BC188" i="7" a="1"/>
  <c r="BC188" i="7" s="1"/>
  <c r="AY188" i="7" a="1"/>
  <c r="AY188" i="7" s="1"/>
  <c r="AQ188" i="7" a="1"/>
  <c r="AQ188" i="7" s="1"/>
  <c r="AM188" i="7" a="1"/>
  <c r="AM188" i="7" s="1"/>
  <c r="AL188" i="7" s="1"/>
  <c r="AZ186" i="7" a="1"/>
  <c r="AZ186" i="7" s="1"/>
  <c r="AN186" i="7" a="1"/>
  <c r="AN186" i="7" s="1"/>
  <c r="BA184" i="7" a="1"/>
  <c r="BA184" i="7" s="1"/>
  <c r="AW184" i="7" a="1"/>
  <c r="AW184" i="7" s="1"/>
  <c r="AV184" i="7" s="1"/>
  <c r="AO184" i="7" a="1"/>
  <c r="AO184" i="7" s="1"/>
  <c r="BB182" i="7" a="1"/>
  <c r="BB182" i="7" s="1"/>
  <c r="AX182" i="7" a="1"/>
  <c r="AX182" i="7" s="1"/>
  <c r="AP182" i="7" a="1"/>
  <c r="AP182" i="7" s="1"/>
  <c r="BC180" i="7" a="1"/>
  <c r="BC180" i="7" s="1"/>
  <c r="AY180" i="7" a="1"/>
  <c r="AY180" i="7" s="1"/>
  <c r="AQ180" i="7" a="1"/>
  <c r="AQ180" i="7" s="1"/>
  <c r="AM180" i="7" a="1"/>
  <c r="AM180" i="7" s="1"/>
  <c r="AL180" i="7" s="1"/>
  <c r="AZ178" i="7" a="1"/>
  <c r="AZ178" i="7" s="1"/>
  <c r="AN178" i="7" a="1"/>
  <c r="AN178" i="7" s="1"/>
  <c r="BA176" i="7" a="1"/>
  <c r="BA176" i="7" s="1"/>
  <c r="AW176" i="7" a="1"/>
  <c r="AW176" i="7" s="1"/>
  <c r="AV176" i="7" s="1"/>
  <c r="AO176" i="7" a="1"/>
  <c r="AO176" i="7" s="1"/>
  <c r="BB174" i="7" a="1"/>
  <c r="BB174" i="7" s="1"/>
  <c r="AX174" i="7" a="1"/>
  <c r="AX174" i="7" s="1"/>
  <c r="AP174" i="7" a="1"/>
  <c r="AP174" i="7" s="1"/>
  <c r="BC172" i="7" a="1"/>
  <c r="BC172" i="7" s="1"/>
  <c r="AY172" i="7" a="1"/>
  <c r="AY172" i="7" s="1"/>
  <c r="AQ172" i="7" a="1"/>
  <c r="AQ172" i="7" s="1"/>
  <c r="AM172" i="7" a="1"/>
  <c r="AM172" i="7" s="1"/>
  <c r="AL172" i="7" s="1"/>
  <c r="AZ170" i="7" a="1"/>
  <c r="AZ170" i="7" s="1"/>
  <c r="AN170" i="7" a="1"/>
  <c r="AN170" i="7" s="1"/>
  <c r="BA168" i="7" a="1"/>
  <c r="BA168" i="7" s="1"/>
  <c r="AW168" i="7" a="1"/>
  <c r="AW168" i="7" s="1"/>
  <c r="AV168" i="7" s="1"/>
  <c r="AO168" i="7" a="1"/>
  <c r="AO168" i="7" s="1"/>
  <c r="BB166" i="7" a="1"/>
  <c r="BB166" i="7" s="1"/>
  <c r="AX166" i="7" a="1"/>
  <c r="AX166" i="7" s="1"/>
  <c r="AP166" i="7" a="1"/>
  <c r="AP166" i="7" s="1"/>
  <c r="BC164" i="7" a="1"/>
  <c r="BC164" i="7" s="1"/>
  <c r="AY164" i="7" a="1"/>
  <c r="AY164" i="7" s="1"/>
  <c r="AQ164" i="7" a="1"/>
  <c r="AQ164" i="7" s="1"/>
  <c r="AM164" i="7" a="1"/>
  <c r="AM164" i="7" s="1"/>
  <c r="AL164" i="7" s="1"/>
  <c r="AZ162" i="7" a="1"/>
  <c r="AZ162" i="7" s="1"/>
  <c r="AN162" i="7" a="1"/>
  <c r="AN162" i="7" s="1"/>
  <c r="BA160" i="7" a="1"/>
  <c r="BA160" i="7" s="1"/>
  <c r="AW160" i="7" a="1"/>
  <c r="AW160" i="7" s="1"/>
  <c r="AV160" i="7" s="1"/>
  <c r="AO160" i="7" a="1"/>
  <c r="AO160" i="7" s="1"/>
  <c r="BB158" i="7" a="1"/>
  <c r="BB158" i="7" s="1"/>
  <c r="AX158" i="7" a="1"/>
  <c r="AX158" i="7" s="1"/>
  <c r="AP158" i="7" a="1"/>
  <c r="AP158" i="7" s="1"/>
  <c r="BC156" i="7" a="1"/>
  <c r="BC156" i="7" s="1"/>
  <c r="AY156" i="7" a="1"/>
  <c r="AY156" i="7" s="1"/>
  <c r="AQ156" i="7" a="1"/>
  <c r="AQ156" i="7" s="1"/>
  <c r="AM156" i="7" a="1"/>
  <c r="AM156" i="7" s="1"/>
  <c r="AL156" i="7" s="1"/>
  <c r="AZ154" i="7" a="1"/>
  <c r="AZ154" i="7" s="1"/>
  <c r="AN154" i="7" a="1"/>
  <c r="AN154" i="7" s="1"/>
  <c r="BA152" i="7" a="1"/>
  <c r="BA152" i="7" s="1"/>
  <c r="AW152" i="7" a="1"/>
  <c r="AW152" i="7" s="1"/>
  <c r="AV152" i="7" s="1"/>
  <c r="AO152" i="7" a="1"/>
  <c r="AO152" i="7" s="1"/>
  <c r="BB150" i="7" a="1"/>
  <c r="BB150" i="7" s="1"/>
  <c r="AX150" i="7" a="1"/>
  <c r="AX150" i="7" s="1"/>
  <c r="AP150" i="7" a="1"/>
  <c r="AP150" i="7" s="1"/>
  <c r="BC148" i="7" a="1"/>
  <c r="BC148" i="7" s="1"/>
  <c r="AY148" i="7" a="1"/>
  <c r="AY148" i="7" s="1"/>
  <c r="AQ148" i="7" a="1"/>
  <c r="AQ148" i="7" s="1"/>
  <c r="AM148" i="7" a="1"/>
  <c r="AM148" i="7" s="1"/>
  <c r="AL148" i="7" s="1"/>
  <c r="AZ146" i="7" a="1"/>
  <c r="AZ146" i="7" s="1"/>
  <c r="AN146" i="7" a="1"/>
  <c r="AN146" i="7" s="1"/>
  <c r="BA144" i="7" a="1"/>
  <c r="BA144" i="7" s="1"/>
  <c r="AW144" i="7" a="1"/>
  <c r="AW144" i="7" s="1"/>
  <c r="AV144" i="7" s="1"/>
  <c r="AO144" i="7" a="1"/>
  <c r="AO144" i="7" s="1"/>
  <c r="BB142" i="7" a="1"/>
  <c r="BB142" i="7" s="1"/>
  <c r="AX142" i="7" a="1"/>
  <c r="AX142" i="7" s="1"/>
  <c r="AP142" i="7" a="1"/>
  <c r="AP142" i="7" s="1"/>
  <c r="BC140" i="7" a="1"/>
  <c r="BC140" i="7" s="1"/>
  <c r="AY140" i="7" a="1"/>
  <c r="AY140" i="7" s="1"/>
  <c r="AQ140" i="7" a="1"/>
  <c r="AQ140" i="7" s="1"/>
  <c r="AM140" i="7" a="1"/>
  <c r="AM140" i="7" s="1"/>
  <c r="AL140" i="7" s="1"/>
  <c r="AZ138" i="7" a="1"/>
  <c r="AZ138" i="7" s="1"/>
  <c r="AN138" i="7" a="1"/>
  <c r="AN138" i="7" s="1"/>
  <c r="BA136" i="7" a="1"/>
  <c r="BA136" i="7" s="1"/>
  <c r="AW136" i="7" a="1"/>
  <c r="AW136" i="7" s="1"/>
  <c r="AV136" i="7" s="1"/>
  <c r="AO136" i="7" a="1"/>
  <c r="AO136" i="7" s="1"/>
  <c r="BB134" i="7" a="1"/>
  <c r="BB134" i="7" s="1"/>
  <c r="AX134" i="7" a="1"/>
  <c r="AX134" i="7" s="1"/>
  <c r="AP134" i="7" a="1"/>
  <c r="AP134" i="7" s="1"/>
  <c r="BC132" i="7" a="1"/>
  <c r="BC132" i="7" s="1"/>
  <c r="AY132" i="7" a="1"/>
  <c r="AY132" i="7" s="1"/>
  <c r="AQ132" i="7" a="1"/>
  <c r="AQ132" i="7" s="1"/>
  <c r="AM132" i="7" a="1"/>
  <c r="AM132" i="7" s="1"/>
  <c r="AL132" i="7" s="1"/>
  <c r="AX204" i="7" a="1"/>
  <c r="AX204" i="7" s="1"/>
  <c r="BA201" i="7" a="1"/>
  <c r="BA201" i="7" s="1"/>
  <c r="AO201" i="7" a="1"/>
  <c r="AO201" i="7" s="1"/>
  <c r="BB199" i="7" a="1"/>
  <c r="BB199" i="7" s="1"/>
  <c r="AW199" i="7" a="1"/>
  <c r="AW199" i="7" s="1"/>
  <c r="AV199" i="7" s="1"/>
  <c r="AN199" i="7" a="1"/>
  <c r="AN199" i="7" s="1"/>
  <c r="BA197" i="7" a="1"/>
  <c r="BA197" i="7" s="1"/>
  <c r="BC196" i="7" a="1"/>
  <c r="BC196" i="7" s="1"/>
  <c r="AX196" i="7" a="1"/>
  <c r="AX196" i="7" s="1"/>
  <c r="AZ195" i="7" a="1"/>
  <c r="AZ195" i="7" s="1"/>
  <c r="AM195" i="7" a="1"/>
  <c r="AM195" i="7" s="1"/>
  <c r="AL195" i="7" s="1"/>
  <c r="BB194" i="7" a="1"/>
  <c r="BB194" i="7" s="1"/>
  <c r="AO194" i="7" a="1"/>
  <c r="AO194" i="7" s="1"/>
  <c r="BB193" i="7" a="1"/>
  <c r="BB193" i="7" s="1"/>
  <c r="AX193" i="7" a="1"/>
  <c r="AX193" i="7" s="1"/>
  <c r="AP193" i="7" a="1"/>
  <c r="AP193" i="7" s="1"/>
  <c r="BC191" i="7" a="1"/>
  <c r="BC191" i="7" s="1"/>
  <c r="AY191" i="7" a="1"/>
  <c r="AY191" i="7" s="1"/>
  <c r="AQ191" i="7" a="1"/>
  <c r="AQ191" i="7" s="1"/>
  <c r="AM191" i="7" a="1"/>
  <c r="AM191" i="7" s="1"/>
  <c r="AL191" i="7" s="1"/>
  <c r="AZ189" i="7" a="1"/>
  <c r="AZ189" i="7" s="1"/>
  <c r="AN189" i="7" a="1"/>
  <c r="AN189" i="7" s="1"/>
  <c r="BA187" i="7" a="1"/>
  <c r="BA187" i="7" s="1"/>
  <c r="AW187" i="7" a="1"/>
  <c r="AW187" i="7" s="1"/>
  <c r="AV187" i="7" s="1"/>
  <c r="AO187" i="7" a="1"/>
  <c r="AO187" i="7" s="1"/>
  <c r="BB185" i="7" a="1"/>
  <c r="BB185" i="7" s="1"/>
  <c r="AX185" i="7" a="1"/>
  <c r="AX185" i="7" s="1"/>
  <c r="AP185" i="7" a="1"/>
  <c r="AP185" i="7" s="1"/>
  <c r="BC183" i="7" a="1"/>
  <c r="BC183" i="7" s="1"/>
  <c r="AY183" i="7" a="1"/>
  <c r="AY183" i="7" s="1"/>
  <c r="AQ183" i="7" a="1"/>
  <c r="AQ183" i="7" s="1"/>
  <c r="AM183" i="7" a="1"/>
  <c r="AM183" i="7" s="1"/>
  <c r="AL183" i="7" s="1"/>
  <c r="AZ181" i="7" a="1"/>
  <c r="AZ181" i="7" s="1"/>
  <c r="AN181" i="7" a="1"/>
  <c r="AN181" i="7" s="1"/>
  <c r="BA179" i="7" a="1"/>
  <c r="BA179" i="7" s="1"/>
  <c r="AW179" i="7" a="1"/>
  <c r="AW179" i="7" s="1"/>
  <c r="AV179" i="7" s="1"/>
  <c r="AO179" i="7" a="1"/>
  <c r="AO179" i="7" s="1"/>
  <c r="BB177" i="7" a="1"/>
  <c r="BB177" i="7" s="1"/>
  <c r="AX177" i="7" a="1"/>
  <c r="AX177" i="7" s="1"/>
  <c r="AP177" i="7" a="1"/>
  <c r="AP177" i="7" s="1"/>
  <c r="BC175" i="7" a="1"/>
  <c r="BC175" i="7" s="1"/>
  <c r="AY175" i="7" a="1"/>
  <c r="AY175" i="7" s="1"/>
  <c r="AQ175" i="7" a="1"/>
  <c r="AQ175" i="7" s="1"/>
  <c r="AM175" i="7" a="1"/>
  <c r="AM175" i="7" s="1"/>
  <c r="AL175" i="7" s="1"/>
  <c r="AZ173" i="7" a="1"/>
  <c r="AZ173" i="7" s="1"/>
  <c r="AN173" i="7" a="1"/>
  <c r="AN173" i="7" s="1"/>
  <c r="BA171" i="7" a="1"/>
  <c r="BA171" i="7" s="1"/>
  <c r="AW171" i="7" a="1"/>
  <c r="AW171" i="7" s="1"/>
  <c r="AV171" i="7" s="1"/>
  <c r="AO171" i="7" a="1"/>
  <c r="AO171" i="7" s="1"/>
  <c r="BB169" i="7" a="1"/>
  <c r="BB169" i="7" s="1"/>
  <c r="AX169" i="7" a="1"/>
  <c r="AX169" i="7" s="1"/>
  <c r="AP169" i="7" a="1"/>
  <c r="AP169" i="7" s="1"/>
  <c r="BC167" i="7" a="1"/>
  <c r="BC167" i="7" s="1"/>
  <c r="AY167" i="7" a="1"/>
  <c r="AY167" i="7" s="1"/>
  <c r="AQ167" i="7" a="1"/>
  <c r="AQ167" i="7" s="1"/>
  <c r="AM167" i="7" a="1"/>
  <c r="AM167" i="7" s="1"/>
  <c r="AL167" i="7" s="1"/>
  <c r="AZ165" i="7" a="1"/>
  <c r="AZ165" i="7" s="1"/>
  <c r="AN165" i="7" a="1"/>
  <c r="AN165" i="7" s="1"/>
  <c r="BA163" i="7" a="1"/>
  <c r="BA163" i="7" s="1"/>
  <c r="AW163" i="7" a="1"/>
  <c r="AW163" i="7" s="1"/>
  <c r="AV163" i="7" s="1"/>
  <c r="AO163" i="7" a="1"/>
  <c r="AO163" i="7" s="1"/>
  <c r="BB161" i="7" a="1"/>
  <c r="BB161" i="7" s="1"/>
  <c r="AX161" i="7" a="1"/>
  <c r="AX161" i="7" s="1"/>
  <c r="AP161" i="7" a="1"/>
  <c r="AP161" i="7" s="1"/>
  <c r="BC159" i="7" a="1"/>
  <c r="BC159" i="7" s="1"/>
  <c r="AY159" i="7" a="1"/>
  <c r="AY159" i="7" s="1"/>
  <c r="AQ159" i="7" a="1"/>
  <c r="AQ159" i="7" s="1"/>
  <c r="AM159" i="7" a="1"/>
  <c r="AM159" i="7" s="1"/>
  <c r="AL159" i="7" s="1"/>
  <c r="AZ157" i="7" a="1"/>
  <c r="AZ157" i="7" s="1"/>
  <c r="AN157" i="7" a="1"/>
  <c r="AN157" i="7" s="1"/>
  <c r="BA155" i="7" a="1"/>
  <c r="BA155" i="7" s="1"/>
  <c r="AW155" i="7" a="1"/>
  <c r="AW155" i="7" s="1"/>
  <c r="AV155" i="7" s="1"/>
  <c r="AO155" i="7" a="1"/>
  <c r="AO155" i="7" s="1"/>
  <c r="BB153" i="7" a="1"/>
  <c r="BB153" i="7" s="1"/>
  <c r="AX153" i="7" a="1"/>
  <c r="AX153" i="7" s="1"/>
  <c r="AP153" i="7" a="1"/>
  <c r="AP153" i="7" s="1"/>
  <c r="BC151" i="7" a="1"/>
  <c r="BC151" i="7" s="1"/>
  <c r="AY151" i="7" a="1"/>
  <c r="AY151" i="7" s="1"/>
  <c r="AQ151" i="7" a="1"/>
  <c r="AQ151" i="7" s="1"/>
  <c r="AM151" i="7" a="1"/>
  <c r="AM151" i="7" s="1"/>
  <c r="AL151" i="7" s="1"/>
  <c r="AZ149" i="7" a="1"/>
  <c r="AZ149" i="7" s="1"/>
  <c r="AN149" i="7" a="1"/>
  <c r="AN149" i="7" s="1"/>
  <c r="BA147" i="7" a="1"/>
  <c r="BA147" i="7" s="1"/>
  <c r="AW147" i="7" a="1"/>
  <c r="AW147" i="7" s="1"/>
  <c r="AV147" i="7" s="1"/>
  <c r="AO147" i="7" a="1"/>
  <c r="AO147" i="7" s="1"/>
  <c r="BB145" i="7" a="1"/>
  <c r="BB145" i="7" s="1"/>
  <c r="AX145" i="7" a="1"/>
  <c r="AX145" i="7" s="1"/>
  <c r="AP145" i="7" a="1"/>
  <c r="AP145" i="7" s="1"/>
  <c r="BC143" i="7" a="1"/>
  <c r="BC143" i="7" s="1"/>
  <c r="AY143" i="7" a="1"/>
  <c r="AY143" i="7" s="1"/>
  <c r="AQ143" i="7" a="1"/>
  <c r="AQ143" i="7" s="1"/>
  <c r="AM143" i="7" a="1"/>
  <c r="AM143" i="7" s="1"/>
  <c r="AL143" i="7" s="1"/>
  <c r="AZ141" i="7" a="1"/>
  <c r="AZ141" i="7" s="1"/>
  <c r="AN141" i="7" a="1"/>
  <c r="AN141" i="7" s="1"/>
  <c r="BA139" i="7" a="1"/>
  <c r="BA139" i="7" s="1"/>
  <c r="AW139" i="7" a="1"/>
  <c r="AW139" i="7" s="1"/>
  <c r="AV139" i="7" s="1"/>
  <c r="AO139" i="7" a="1"/>
  <c r="AO139" i="7" s="1"/>
  <c r="BB137" i="7" a="1"/>
  <c r="BB137" i="7" s="1"/>
  <c r="AX137" i="7" a="1"/>
  <c r="AX137" i="7" s="1"/>
  <c r="AP137" i="7" a="1"/>
  <c r="AP137" i="7" s="1"/>
  <c r="AZ201" i="7" a="1"/>
  <c r="AZ201" i="7" s="1"/>
  <c r="AN201" i="7" a="1"/>
  <c r="AN201" i="7" s="1"/>
  <c r="AZ200" i="7" a="1"/>
  <c r="AZ200" i="7" s="1"/>
  <c r="AP200" i="7" a="1"/>
  <c r="AP200" i="7" s="1"/>
  <c r="BC198" i="7" a="1"/>
  <c r="BC198" i="7" s="1"/>
  <c r="AW198" i="7" a="1"/>
  <c r="AW198" i="7" s="1"/>
  <c r="AV198" i="7" s="1"/>
  <c r="AN198" i="7" a="1"/>
  <c r="AN198" i="7" s="1"/>
  <c r="AM197" i="7" a="1"/>
  <c r="AM197" i="7" s="1"/>
  <c r="AL197" i="7" s="1"/>
  <c r="BB196" i="7" a="1"/>
  <c r="BB196" i="7" s="1"/>
  <c r="AO196" i="7" a="1"/>
  <c r="AO196" i="7" s="1"/>
  <c r="AQ195" i="7" a="1"/>
  <c r="AQ195" i="7" s="1"/>
  <c r="AW194" i="7" a="1"/>
  <c r="AW194" i="7" s="1"/>
  <c r="AV194" i="7" s="1"/>
  <c r="AZ192" i="7" a="1"/>
  <c r="AZ192" i="7" s="1"/>
  <c r="AN192" i="7" a="1"/>
  <c r="AN192" i="7" s="1"/>
  <c r="BA190" i="7" a="1"/>
  <c r="BA190" i="7" s="1"/>
  <c r="AW190" i="7" a="1"/>
  <c r="AW190" i="7" s="1"/>
  <c r="AV190" i="7" s="1"/>
  <c r="AO190" i="7" a="1"/>
  <c r="AO190" i="7" s="1"/>
  <c r="BB188" i="7" a="1"/>
  <c r="BB188" i="7" s="1"/>
  <c r="AX188" i="7" a="1"/>
  <c r="AX188" i="7" s="1"/>
  <c r="AP188" i="7" a="1"/>
  <c r="AP188" i="7" s="1"/>
  <c r="BC186" i="7" a="1"/>
  <c r="BC186" i="7" s="1"/>
  <c r="AY186" i="7" a="1"/>
  <c r="AY186" i="7" s="1"/>
  <c r="AQ186" i="7" a="1"/>
  <c r="AQ186" i="7" s="1"/>
  <c r="AM186" i="7" a="1"/>
  <c r="AM186" i="7" s="1"/>
  <c r="AL186" i="7" s="1"/>
  <c r="AZ184" i="7" a="1"/>
  <c r="AZ184" i="7" s="1"/>
  <c r="AN184" i="7" a="1"/>
  <c r="AN184" i="7" s="1"/>
  <c r="BA182" i="7" a="1"/>
  <c r="BA182" i="7" s="1"/>
  <c r="AW182" i="7" a="1"/>
  <c r="AW182" i="7" s="1"/>
  <c r="AV182" i="7" s="1"/>
  <c r="AO182" i="7" a="1"/>
  <c r="AO182" i="7" s="1"/>
  <c r="BB180" i="7" a="1"/>
  <c r="BB180" i="7" s="1"/>
  <c r="AX180" i="7" a="1"/>
  <c r="AX180" i="7" s="1"/>
  <c r="AP180" i="7" a="1"/>
  <c r="AP180" i="7" s="1"/>
  <c r="BC178" i="7" a="1"/>
  <c r="BC178" i="7" s="1"/>
  <c r="AY178" i="7" a="1"/>
  <c r="AY178" i="7" s="1"/>
  <c r="AQ178" i="7" a="1"/>
  <c r="AQ178" i="7" s="1"/>
  <c r="AM178" i="7" a="1"/>
  <c r="AM178" i="7" s="1"/>
  <c r="AL178" i="7" s="1"/>
  <c r="AZ176" i="7" a="1"/>
  <c r="AZ176" i="7" s="1"/>
  <c r="AN176" i="7" a="1"/>
  <c r="AN176" i="7" s="1"/>
  <c r="BA174" i="7" a="1"/>
  <c r="BA174" i="7" s="1"/>
  <c r="AW174" i="7" a="1"/>
  <c r="AW174" i="7" s="1"/>
  <c r="AV174" i="7" s="1"/>
  <c r="AO174" i="7" a="1"/>
  <c r="AO174" i="7" s="1"/>
  <c r="BB172" i="7" a="1"/>
  <c r="BB172" i="7" s="1"/>
  <c r="AX172" i="7" a="1"/>
  <c r="AX172" i="7" s="1"/>
  <c r="AP172" i="7" a="1"/>
  <c r="AP172" i="7" s="1"/>
  <c r="BC170" i="7" a="1"/>
  <c r="BC170" i="7" s="1"/>
  <c r="AY170" i="7" a="1"/>
  <c r="AY170" i="7" s="1"/>
  <c r="AQ170" i="7" a="1"/>
  <c r="AQ170" i="7" s="1"/>
  <c r="AM170" i="7" a="1"/>
  <c r="AM170" i="7" s="1"/>
  <c r="AL170" i="7" s="1"/>
  <c r="AZ168" i="7" a="1"/>
  <c r="AZ168" i="7" s="1"/>
  <c r="AN168" i="7" a="1"/>
  <c r="AN168" i="7" s="1"/>
  <c r="BA166" i="7" a="1"/>
  <c r="BA166" i="7" s="1"/>
  <c r="AW166" i="7" a="1"/>
  <c r="AW166" i="7" s="1"/>
  <c r="AV166" i="7" s="1"/>
  <c r="AO166" i="7" a="1"/>
  <c r="AO166" i="7" s="1"/>
  <c r="BB164" i="7" a="1"/>
  <c r="BB164" i="7" s="1"/>
  <c r="AX164" i="7" a="1"/>
  <c r="AX164" i="7" s="1"/>
  <c r="AP164" i="7" a="1"/>
  <c r="AP164" i="7" s="1"/>
  <c r="BC162" i="7" a="1"/>
  <c r="BC162" i="7" s="1"/>
  <c r="AY162" i="7" a="1"/>
  <c r="AY162" i="7" s="1"/>
  <c r="AQ162" i="7" a="1"/>
  <c r="AQ162" i="7" s="1"/>
  <c r="AM162" i="7" a="1"/>
  <c r="AM162" i="7" s="1"/>
  <c r="AL162" i="7" s="1"/>
  <c r="AZ160" i="7" a="1"/>
  <c r="AZ160" i="7" s="1"/>
  <c r="AN160" i="7" a="1"/>
  <c r="AN160" i="7" s="1"/>
  <c r="BA158" i="7" a="1"/>
  <c r="BA158" i="7" s="1"/>
  <c r="AW158" i="7" a="1"/>
  <c r="AW158" i="7" s="1"/>
  <c r="AV158" i="7" s="1"/>
  <c r="AO158" i="7" a="1"/>
  <c r="AO158" i="7" s="1"/>
  <c r="BB156" i="7" a="1"/>
  <c r="BB156" i="7" s="1"/>
  <c r="AX156" i="7" a="1"/>
  <c r="AX156" i="7" s="1"/>
  <c r="AP156" i="7" a="1"/>
  <c r="AP156" i="7" s="1"/>
  <c r="BC154" i="7" a="1"/>
  <c r="BC154" i="7" s="1"/>
  <c r="AY154" i="7" a="1"/>
  <c r="AY154" i="7" s="1"/>
  <c r="AQ154" i="7" a="1"/>
  <c r="AQ154" i="7" s="1"/>
  <c r="AM154" i="7" a="1"/>
  <c r="AM154" i="7" s="1"/>
  <c r="AL154" i="7" s="1"/>
  <c r="AZ152" i="7" a="1"/>
  <c r="AZ152" i="7" s="1"/>
  <c r="AN152" i="7" a="1"/>
  <c r="AN152" i="7" s="1"/>
  <c r="BA150" i="7" a="1"/>
  <c r="BA150" i="7" s="1"/>
  <c r="AW150" i="7" a="1"/>
  <c r="AW150" i="7" s="1"/>
  <c r="AV150" i="7" s="1"/>
  <c r="AO150" i="7" a="1"/>
  <c r="AO150" i="7" s="1"/>
  <c r="BB148" i="7" a="1"/>
  <c r="BB148" i="7" s="1"/>
  <c r="AX148" i="7" a="1"/>
  <c r="AX148" i="7" s="1"/>
  <c r="AP148" i="7" a="1"/>
  <c r="AP148" i="7" s="1"/>
  <c r="BC146" i="7" a="1"/>
  <c r="BC146" i="7" s="1"/>
  <c r="AY146" i="7" a="1"/>
  <c r="AY146" i="7" s="1"/>
  <c r="AQ146" i="7" a="1"/>
  <c r="AQ146" i="7" s="1"/>
  <c r="AM146" i="7" a="1"/>
  <c r="AM146" i="7" s="1"/>
  <c r="AL146" i="7" s="1"/>
  <c r="AZ144" i="7" a="1"/>
  <c r="AZ144" i="7" s="1"/>
  <c r="AN144" i="7" a="1"/>
  <c r="AN144" i="7" s="1"/>
  <c r="BA142" i="7" a="1"/>
  <c r="BA142" i="7" s="1"/>
  <c r="AW142" i="7" a="1"/>
  <c r="AW142" i="7" s="1"/>
  <c r="AV142" i="7" s="1"/>
  <c r="AO142" i="7" a="1"/>
  <c r="AO142" i="7" s="1"/>
  <c r="BB140" i="7" a="1"/>
  <c r="BB140" i="7" s="1"/>
  <c r="AX140" i="7" a="1"/>
  <c r="AX140" i="7" s="1"/>
  <c r="AP140" i="7" a="1"/>
  <c r="AP140" i="7" s="1"/>
  <c r="BC138" i="7" a="1"/>
  <c r="BC138" i="7" s="1"/>
  <c r="AY138" i="7" a="1"/>
  <c r="AY138" i="7" s="1"/>
  <c r="AQ138" i="7" a="1"/>
  <c r="AQ138" i="7" s="1"/>
  <c r="AM138" i="7" a="1"/>
  <c r="AM138" i="7" s="1"/>
  <c r="AL138" i="7" s="1"/>
  <c r="AZ136" i="7" a="1"/>
  <c r="AZ136" i="7" s="1"/>
  <c r="AN136" i="7" a="1"/>
  <c r="AN136" i="7" s="1"/>
  <c r="BA134" i="7" a="1"/>
  <c r="BA134" i="7" s="1"/>
  <c r="AW134" i="7" a="1"/>
  <c r="AW134" i="7" s="1"/>
  <c r="AV134" i="7" s="1"/>
  <c r="AO134" i="7" a="1"/>
  <c r="AO134" i="7" s="1"/>
  <c r="BB132" i="7" a="1"/>
  <c r="BB132" i="7" s="1"/>
  <c r="AX132" i="7" a="1"/>
  <c r="AX132" i="7" s="1"/>
  <c r="AP132" i="7" a="1"/>
  <c r="AP132" i="7" s="1"/>
  <c r="AN203" i="7" a="1"/>
  <c r="AN203" i="7" s="1"/>
  <c r="BA202" i="7" a="1"/>
  <c r="BA202" i="7" s="1"/>
  <c r="AO202" i="7" a="1"/>
  <c r="AO202" i="7" s="1"/>
  <c r="BA199" i="7" a="1"/>
  <c r="BA199" i="7" s="1"/>
  <c r="AQ197" i="7" a="1"/>
  <c r="AQ197" i="7" s="1"/>
  <c r="AW196" i="7" a="1"/>
  <c r="AW196" i="7" s="1"/>
  <c r="AV196" i="7" s="1"/>
  <c r="AY195" i="7" a="1"/>
  <c r="AY195" i="7" s="1"/>
  <c r="BA194" i="7" a="1"/>
  <c r="BA194" i="7" s="1"/>
  <c r="AN194" i="7" a="1"/>
  <c r="AN194" i="7" s="1"/>
  <c r="BA193" i="7" a="1"/>
  <c r="BA193" i="7" s="1"/>
  <c r="AW193" i="7" a="1"/>
  <c r="AW193" i="7" s="1"/>
  <c r="AV193" i="7" s="1"/>
  <c r="AO193" i="7" a="1"/>
  <c r="AO193" i="7" s="1"/>
  <c r="BB191" i="7" a="1"/>
  <c r="BB191" i="7" s="1"/>
  <c r="AX191" i="7" a="1"/>
  <c r="AX191" i="7" s="1"/>
  <c r="AP191" i="7" a="1"/>
  <c r="AP191" i="7" s="1"/>
  <c r="AP204" i="7" a="1"/>
  <c r="AP204" i="7" s="1"/>
  <c r="AY202" i="7" a="1"/>
  <c r="AY202" i="7" s="1"/>
  <c r="AM202" i="7" a="1"/>
  <c r="AM202" i="7" s="1"/>
  <c r="AL202" i="7" s="1"/>
  <c r="AN200" i="7" a="1"/>
  <c r="AN200" i="7" s="1"/>
  <c r="BA198" i="7" a="1"/>
  <c r="BA198" i="7" s="1"/>
  <c r="AM198" i="7" a="1"/>
  <c r="AM198" i="7" s="1"/>
  <c r="AL198" i="7" s="1"/>
  <c r="AY197" i="7" a="1"/>
  <c r="AY197" i="7" s="1"/>
  <c r="BA196" i="7" a="1"/>
  <c r="BA196" i="7" s="1"/>
  <c r="AN196" i="7" a="1"/>
  <c r="AN196" i="7" s="1"/>
  <c r="BC195" i="7" a="1"/>
  <c r="BC195" i="7" s="1"/>
  <c r="AP195" i="7" a="1"/>
  <c r="AP195" i="7" s="1"/>
  <c r="AM194" i="7" a="1"/>
  <c r="AM194" i="7" s="1"/>
  <c r="AL194" i="7" s="1"/>
  <c r="BC192" i="7" a="1"/>
  <c r="BC192" i="7" s="1"/>
  <c r="AY192" i="7" a="1"/>
  <c r="AY192" i="7" s="1"/>
  <c r="AQ192" i="7" a="1"/>
  <c r="AQ192" i="7" s="1"/>
  <c r="AM192" i="7" a="1"/>
  <c r="AM192" i="7" s="1"/>
  <c r="AL192" i="7" s="1"/>
  <c r="AZ190" i="7" a="1"/>
  <c r="AZ190" i="7" s="1"/>
  <c r="AN190" i="7" a="1"/>
  <c r="AN190" i="7" s="1"/>
  <c r="BA188" i="7" a="1"/>
  <c r="BA188" i="7" s="1"/>
  <c r="AW188" i="7" a="1"/>
  <c r="AW188" i="7" s="1"/>
  <c r="AV188" i="7" s="1"/>
  <c r="AO188" i="7" a="1"/>
  <c r="AO188" i="7" s="1"/>
  <c r="BB186" i="7" a="1"/>
  <c r="BB186" i="7" s="1"/>
  <c r="AX186" i="7" a="1"/>
  <c r="AX186" i="7" s="1"/>
  <c r="AP186" i="7" a="1"/>
  <c r="AP186" i="7" s="1"/>
  <c r="BC184" i="7" a="1"/>
  <c r="BC184" i="7" s="1"/>
  <c r="AY184" i="7" a="1"/>
  <c r="AY184" i="7" s="1"/>
  <c r="AQ184" i="7" a="1"/>
  <c r="AQ184" i="7" s="1"/>
  <c r="AM184" i="7" a="1"/>
  <c r="AM184" i="7" s="1"/>
  <c r="AL184" i="7" s="1"/>
  <c r="AZ182" i="7" a="1"/>
  <c r="AZ182" i="7" s="1"/>
  <c r="AN182" i="7" a="1"/>
  <c r="AN182" i="7" s="1"/>
  <c r="BA180" i="7" a="1"/>
  <c r="BA180" i="7" s="1"/>
  <c r="AW180" i="7" a="1"/>
  <c r="AW180" i="7" s="1"/>
  <c r="AV180" i="7" s="1"/>
  <c r="AO180" i="7" a="1"/>
  <c r="AO180" i="7" s="1"/>
  <c r="BB178" i="7" a="1"/>
  <c r="BB178" i="7" s="1"/>
  <c r="AX178" i="7" a="1"/>
  <c r="AX178" i="7" s="1"/>
  <c r="AP178" i="7" a="1"/>
  <c r="AP178" i="7" s="1"/>
  <c r="BC176" i="7" a="1"/>
  <c r="BC176" i="7" s="1"/>
  <c r="AY176" i="7" a="1"/>
  <c r="AY176" i="7" s="1"/>
  <c r="AQ176" i="7" a="1"/>
  <c r="AQ176" i="7" s="1"/>
  <c r="AM176" i="7" a="1"/>
  <c r="AM176" i="7" s="1"/>
  <c r="AL176" i="7" s="1"/>
  <c r="AZ174" i="7" a="1"/>
  <c r="AZ174" i="7" s="1"/>
  <c r="AN174" i="7" a="1"/>
  <c r="AN174" i="7" s="1"/>
  <c r="BA172" i="7" a="1"/>
  <c r="BA172" i="7" s="1"/>
  <c r="AW172" i="7" a="1"/>
  <c r="AW172" i="7" s="1"/>
  <c r="AV172" i="7" s="1"/>
  <c r="AO172" i="7" a="1"/>
  <c r="AO172" i="7" s="1"/>
  <c r="BB170" i="7" a="1"/>
  <c r="BB170" i="7" s="1"/>
  <c r="AX170" i="7" a="1"/>
  <c r="AX170" i="7" s="1"/>
  <c r="AP170" i="7" a="1"/>
  <c r="AP170" i="7" s="1"/>
  <c r="BC168" i="7" a="1"/>
  <c r="BC168" i="7" s="1"/>
  <c r="AY168" i="7" a="1"/>
  <c r="AY168" i="7" s="1"/>
  <c r="AQ168" i="7" a="1"/>
  <c r="AQ168" i="7" s="1"/>
  <c r="AM168" i="7" a="1"/>
  <c r="AM168" i="7" s="1"/>
  <c r="AL168" i="7" s="1"/>
  <c r="AZ166" i="7" a="1"/>
  <c r="AZ166" i="7" s="1"/>
  <c r="AN166" i="7" a="1"/>
  <c r="AN166" i="7" s="1"/>
  <c r="BA164" i="7" a="1"/>
  <c r="BA164" i="7" s="1"/>
  <c r="AW164" i="7" a="1"/>
  <c r="AW164" i="7" s="1"/>
  <c r="AV164" i="7" s="1"/>
  <c r="AO164" i="7" a="1"/>
  <c r="AO164" i="7" s="1"/>
  <c r="BB162" i="7" a="1"/>
  <c r="BB162" i="7" s="1"/>
  <c r="AX162" i="7" a="1"/>
  <c r="AX162" i="7" s="1"/>
  <c r="AP162" i="7" a="1"/>
  <c r="AP162" i="7" s="1"/>
  <c r="BC160" i="7" a="1"/>
  <c r="BC160" i="7" s="1"/>
  <c r="AY160" i="7" a="1"/>
  <c r="AY160" i="7" s="1"/>
  <c r="AQ160" i="7" a="1"/>
  <c r="AQ160" i="7" s="1"/>
  <c r="AM160" i="7" a="1"/>
  <c r="AM160" i="7" s="1"/>
  <c r="AL160" i="7" s="1"/>
  <c r="AZ158" i="7" a="1"/>
  <c r="AZ158" i="7" s="1"/>
  <c r="AN158" i="7" a="1"/>
  <c r="AN158" i="7" s="1"/>
  <c r="BA156" i="7" a="1"/>
  <c r="BA156" i="7" s="1"/>
  <c r="AW156" i="7" a="1"/>
  <c r="AW156" i="7" s="1"/>
  <c r="AV156" i="7" s="1"/>
  <c r="AO156" i="7" a="1"/>
  <c r="AO156" i="7" s="1"/>
  <c r="BB154" i="7" a="1"/>
  <c r="BB154" i="7" s="1"/>
  <c r="AX154" i="7" a="1"/>
  <c r="AX154" i="7" s="1"/>
  <c r="AP154" i="7" a="1"/>
  <c r="AP154" i="7" s="1"/>
  <c r="BC152" i="7" a="1"/>
  <c r="BC152" i="7" s="1"/>
  <c r="AY152" i="7" a="1"/>
  <c r="AY152" i="7" s="1"/>
  <c r="AQ152" i="7" a="1"/>
  <c r="AQ152" i="7" s="1"/>
  <c r="AM152" i="7" a="1"/>
  <c r="AM152" i="7" s="1"/>
  <c r="AL152" i="7" s="1"/>
  <c r="AZ150" i="7" a="1"/>
  <c r="AZ150" i="7" s="1"/>
  <c r="AN150" i="7" a="1"/>
  <c r="AN150" i="7" s="1"/>
  <c r="BA148" i="7" a="1"/>
  <c r="BA148" i="7" s="1"/>
  <c r="AW148" i="7" a="1"/>
  <c r="AW148" i="7" s="1"/>
  <c r="AV148" i="7" s="1"/>
  <c r="AO148" i="7" a="1"/>
  <c r="AO148" i="7" s="1"/>
  <c r="BB146" i="7" a="1"/>
  <c r="BB146" i="7" s="1"/>
  <c r="AX146" i="7" a="1"/>
  <c r="AX146" i="7" s="1"/>
  <c r="AP146" i="7" a="1"/>
  <c r="AP146" i="7" s="1"/>
  <c r="BC144" i="7" a="1"/>
  <c r="BC144" i="7" s="1"/>
  <c r="AY144" i="7" a="1"/>
  <c r="AY144" i="7" s="1"/>
  <c r="AQ144" i="7" a="1"/>
  <c r="AQ144" i="7" s="1"/>
  <c r="AM144" i="7" a="1"/>
  <c r="AM144" i="7" s="1"/>
  <c r="AL144" i="7" s="1"/>
  <c r="AZ142" i="7" a="1"/>
  <c r="AZ142" i="7" s="1"/>
  <c r="AN142" i="7" a="1"/>
  <c r="AN142" i="7" s="1"/>
  <c r="BA140" i="7" a="1"/>
  <c r="BA140" i="7" s="1"/>
  <c r="AW140" i="7" a="1"/>
  <c r="AW140" i="7" s="1"/>
  <c r="AV140" i="7" s="1"/>
  <c r="AO140" i="7" a="1"/>
  <c r="AO140" i="7" s="1"/>
  <c r="BB138" i="7" a="1"/>
  <c r="BB138" i="7" s="1"/>
  <c r="AX138" i="7" a="1"/>
  <c r="AX138" i="7" s="1"/>
  <c r="AP138" i="7" a="1"/>
  <c r="AP138" i="7" s="1"/>
  <c r="BC136" i="7" a="1"/>
  <c r="BC136" i="7" s="1"/>
  <c r="AY136" i="7" a="1"/>
  <c r="AY136" i="7" s="1"/>
  <c r="AQ136" i="7" a="1"/>
  <c r="AQ136" i="7" s="1"/>
  <c r="AM136" i="7" a="1"/>
  <c r="AM136" i="7" s="1"/>
  <c r="AL136" i="7" s="1"/>
  <c r="BA185" i="7" a="1"/>
  <c r="BA185" i="7" s="1"/>
  <c r="AQ181" i="7" a="1"/>
  <c r="AQ181" i="7" s="1"/>
  <c r="BB175" i="7" a="1"/>
  <c r="BB175" i="7" s="1"/>
  <c r="BC165" i="7" a="1"/>
  <c r="BC165" i="7" s="1"/>
  <c r="AW161" i="7" a="1"/>
  <c r="AW161" i="7" s="1"/>
  <c r="AV161" i="7" s="1"/>
  <c r="AM157" i="7" a="1"/>
  <c r="AM157" i="7" s="1"/>
  <c r="AL157" i="7" s="1"/>
  <c r="AX151" i="7" a="1"/>
  <c r="AX151" i="7" s="1"/>
  <c r="AN147" i="7" a="1"/>
  <c r="AN147" i="7" s="1"/>
  <c r="AM145" i="7" a="1"/>
  <c r="AM145" i="7" s="1"/>
  <c r="AL145" i="7" s="1"/>
  <c r="BA141" i="7" a="1"/>
  <c r="BA141" i="7" s="1"/>
  <c r="BB139" i="7" a="1"/>
  <c r="BB139" i="7" s="1"/>
  <c r="AM139" i="7" a="1"/>
  <c r="AM139" i="7" s="1"/>
  <c r="AL139" i="7" s="1"/>
  <c r="AO137" i="7" a="1"/>
  <c r="AO137" i="7" s="1"/>
  <c r="BA135" i="7" a="1"/>
  <c r="BA135" i="7" s="1"/>
  <c r="BC133" i="7" a="1"/>
  <c r="BC133" i="7" s="1"/>
  <c r="AX133" i="7" a="1"/>
  <c r="AX133" i="7" s="1"/>
  <c r="AO133" i="7" a="1"/>
  <c r="AO133" i="7" s="1"/>
  <c r="BA129" i="7" a="1"/>
  <c r="BA129" i="7" s="1"/>
  <c r="AW129" i="7" a="1"/>
  <c r="AW129" i="7" s="1"/>
  <c r="AV129" i="7" s="1"/>
  <c r="AO129" i="7" a="1"/>
  <c r="AO129" i="7" s="1"/>
  <c r="BB127" i="7" a="1"/>
  <c r="BB127" i="7" s="1"/>
  <c r="AX127" i="7" a="1"/>
  <c r="AX127" i="7" s="1"/>
  <c r="AP127" i="7" a="1"/>
  <c r="AP127" i="7" s="1"/>
  <c r="BC125" i="7" a="1"/>
  <c r="BC125" i="7" s="1"/>
  <c r="AY125" i="7" a="1"/>
  <c r="AY125" i="7" s="1"/>
  <c r="AQ125" i="7" a="1"/>
  <c r="AQ125" i="7" s="1"/>
  <c r="AM125" i="7" a="1"/>
  <c r="AM125" i="7" s="1"/>
  <c r="AL125" i="7" s="1"/>
  <c r="AZ123" i="7" a="1"/>
  <c r="AZ123" i="7" s="1"/>
  <c r="AN123" i="7" a="1"/>
  <c r="AN123" i="7" s="1"/>
  <c r="BA121" i="7" a="1"/>
  <c r="BA121" i="7" s="1"/>
  <c r="AW121" i="7" a="1"/>
  <c r="AW121" i="7" s="1"/>
  <c r="AV121" i="7" s="1"/>
  <c r="AO121" i="7" a="1"/>
  <c r="AO121" i="7" s="1"/>
  <c r="BB119" i="7" a="1"/>
  <c r="BB119" i="7" s="1"/>
  <c r="AX119" i="7" a="1"/>
  <c r="AX119" i="7" s="1"/>
  <c r="AP119" i="7" a="1"/>
  <c r="AP119" i="7" s="1"/>
  <c r="BC117" i="7" a="1"/>
  <c r="BC117" i="7" s="1"/>
  <c r="AY117" i="7" a="1"/>
  <c r="AY117" i="7" s="1"/>
  <c r="AQ117" i="7" a="1"/>
  <c r="AQ117" i="7" s="1"/>
  <c r="AM117" i="7" a="1"/>
  <c r="AM117" i="7" s="1"/>
  <c r="AL117" i="7" s="1"/>
  <c r="AZ115" i="7" a="1"/>
  <c r="AZ115" i="7" s="1"/>
  <c r="AN115" i="7" a="1"/>
  <c r="AN115" i="7" s="1"/>
  <c r="BA113" i="7" a="1"/>
  <c r="BA113" i="7" s="1"/>
  <c r="AW113" i="7" a="1"/>
  <c r="AW113" i="7" s="1"/>
  <c r="AV113" i="7" s="1"/>
  <c r="AO113" i="7" a="1"/>
  <c r="AO113" i="7" s="1"/>
  <c r="BB111" i="7" a="1"/>
  <c r="BB111" i="7" s="1"/>
  <c r="AX111" i="7" a="1"/>
  <c r="AX111" i="7" s="1"/>
  <c r="AP111" i="7" a="1"/>
  <c r="AP111" i="7" s="1"/>
  <c r="BC189" i="7" a="1"/>
  <c r="BC189" i="7" s="1"/>
  <c r="AW185" i="7" a="1"/>
  <c r="AW185" i="7" s="1"/>
  <c r="AV185" i="7" s="1"/>
  <c r="AM181" i="7" a="1"/>
  <c r="AM181" i="7" s="1"/>
  <c r="AL181" i="7" s="1"/>
  <c r="AX175" i="7" a="1"/>
  <c r="AX175" i="7" s="1"/>
  <c r="AN171" i="7" a="1"/>
  <c r="AN171" i="7" s="1"/>
  <c r="AY165" i="7" a="1"/>
  <c r="AY165" i="7" s="1"/>
  <c r="AO161" i="7" a="1"/>
  <c r="AO161" i="7" s="1"/>
  <c r="AZ155" i="7" a="1"/>
  <c r="AZ155" i="7" s="1"/>
  <c r="AP151" i="7" a="1"/>
  <c r="AP151" i="7" s="1"/>
  <c r="BB143" i="7" a="1"/>
  <c r="BB143" i="7" s="1"/>
  <c r="AY141" i="7" a="1"/>
  <c r="AY141" i="7" s="1"/>
  <c r="AZ139" i="7" a="1"/>
  <c r="AZ139" i="7" s="1"/>
  <c r="BC137" i="7" a="1"/>
  <c r="BC137" i="7" s="1"/>
  <c r="AN137" i="7" a="1"/>
  <c r="AN137" i="7" s="1"/>
  <c r="AQ135" i="7" a="1"/>
  <c r="AQ135" i="7" s="1"/>
  <c r="AM134" i="7" a="1"/>
  <c r="AM134" i="7" s="1"/>
  <c r="AL134" i="7" s="1"/>
  <c r="AN133" i="7" a="1"/>
  <c r="AN133" i="7" s="1"/>
  <c r="AO132" i="7" a="1"/>
  <c r="AO132" i="7" s="1"/>
  <c r="AZ131" i="7" a="1"/>
  <c r="AZ131" i="7" s="1"/>
  <c r="AM131" i="7" a="1"/>
  <c r="AM131" i="7" s="1"/>
  <c r="AL131" i="7" s="1"/>
  <c r="BB130" i="7" a="1"/>
  <c r="BB130" i="7" s="1"/>
  <c r="AX130" i="7" a="1"/>
  <c r="AX130" i="7" s="1"/>
  <c r="AP130" i="7" a="1"/>
  <c r="AP130" i="7" s="1"/>
  <c r="BC128" i="7" a="1"/>
  <c r="BC128" i="7" s="1"/>
  <c r="AY128" i="7" a="1"/>
  <c r="AY128" i="7" s="1"/>
  <c r="AQ128" i="7" a="1"/>
  <c r="AQ128" i="7" s="1"/>
  <c r="AM128" i="7" a="1"/>
  <c r="AM128" i="7" s="1"/>
  <c r="AL128" i="7" s="1"/>
  <c r="AZ126" i="7" a="1"/>
  <c r="AZ126" i="7" s="1"/>
  <c r="AN126" i="7" a="1"/>
  <c r="AN126" i="7" s="1"/>
  <c r="BA124" i="7" a="1"/>
  <c r="BA124" i="7" s="1"/>
  <c r="AW124" i="7" a="1"/>
  <c r="AW124" i="7" s="1"/>
  <c r="AV124" i="7" s="1"/>
  <c r="AO124" i="7" a="1"/>
  <c r="AO124" i="7" s="1"/>
  <c r="BB122" i="7" a="1"/>
  <c r="BB122" i="7" s="1"/>
  <c r="AX122" i="7" a="1"/>
  <c r="AX122" i="7" s="1"/>
  <c r="AP122" i="7" a="1"/>
  <c r="AP122" i="7" s="1"/>
  <c r="BC120" i="7" a="1"/>
  <c r="BC120" i="7" s="1"/>
  <c r="AY120" i="7" a="1"/>
  <c r="AY120" i="7" s="1"/>
  <c r="AQ120" i="7" a="1"/>
  <c r="AQ120" i="7" s="1"/>
  <c r="AM120" i="7" a="1"/>
  <c r="AM120" i="7" s="1"/>
  <c r="AL120" i="7" s="1"/>
  <c r="AZ118" i="7" a="1"/>
  <c r="AZ118" i="7" s="1"/>
  <c r="AN118" i="7" a="1"/>
  <c r="AN118" i="7" s="1"/>
  <c r="BA116" i="7" a="1"/>
  <c r="BA116" i="7" s="1"/>
  <c r="AW116" i="7" a="1"/>
  <c r="AW116" i="7" s="1"/>
  <c r="AV116" i="7" s="1"/>
  <c r="AO116" i="7" a="1"/>
  <c r="AO116" i="7" s="1"/>
  <c r="BB114" i="7" a="1"/>
  <c r="BB114" i="7" s="1"/>
  <c r="AX114" i="7" a="1"/>
  <c r="AX114" i="7" s="1"/>
  <c r="AP114" i="7" a="1"/>
  <c r="AP114" i="7" s="1"/>
  <c r="BC112" i="7" a="1"/>
  <c r="BC112" i="7" s="1"/>
  <c r="AY112" i="7" a="1"/>
  <c r="AY112" i="7" s="1"/>
  <c r="AQ112" i="7" a="1"/>
  <c r="AQ112" i="7" s="1"/>
  <c r="AM112" i="7" a="1"/>
  <c r="AM112" i="7" s="1"/>
  <c r="AL112" i="7" s="1"/>
  <c r="AZ110" i="7" a="1"/>
  <c r="AZ110" i="7" s="1"/>
  <c r="AN110" i="7" a="1"/>
  <c r="AN110" i="7" s="1"/>
  <c r="BA108" i="7" a="1"/>
  <c r="BA108" i="7" s="1"/>
  <c r="AW108" i="7" a="1"/>
  <c r="AW108" i="7" s="1"/>
  <c r="AV108" i="7" s="1"/>
  <c r="AO108" i="7" a="1"/>
  <c r="AO108" i="7" s="1"/>
  <c r="AY189" i="7" a="1"/>
  <c r="AY189" i="7" s="1"/>
  <c r="AO185" i="7" a="1"/>
  <c r="AO185" i="7" s="1"/>
  <c r="AZ179" i="7" a="1"/>
  <c r="AZ179" i="7" s="1"/>
  <c r="AP175" i="7" a="1"/>
  <c r="AP175" i="7" s="1"/>
  <c r="BA169" i="7" a="1"/>
  <c r="BA169" i="7" s="1"/>
  <c r="AQ165" i="7" a="1"/>
  <c r="AQ165" i="7" s="1"/>
  <c r="BB159" i="7" a="1"/>
  <c r="BB159" i="7" s="1"/>
  <c r="BC149" i="7" a="1"/>
  <c r="BC149" i="7" s="1"/>
  <c r="BC145" i="7" a="1"/>
  <c r="BC145" i="7" s="1"/>
  <c r="AZ143" i="7" a="1"/>
  <c r="AZ143" i="7" s="1"/>
  <c r="AW141" i="7" a="1"/>
  <c r="AW141" i="7" s="1"/>
  <c r="AV141" i="7" s="1"/>
  <c r="AY139" i="7" a="1"/>
  <c r="AY139" i="7" s="1"/>
  <c r="BA137" i="7" a="1"/>
  <c r="BA137" i="7" s="1"/>
  <c r="AM137" i="7" a="1"/>
  <c r="AM137" i="7" s="1"/>
  <c r="AL137" i="7" s="1"/>
  <c r="AZ135" i="7" a="1"/>
  <c r="AZ135" i="7" s="1"/>
  <c r="AP135" i="7" a="1"/>
  <c r="AP135" i="7" s="1"/>
  <c r="BB133" i="7" a="1"/>
  <c r="BB133" i="7" s="1"/>
  <c r="AW133" i="7" a="1"/>
  <c r="AW133" i="7" s="1"/>
  <c r="AV133" i="7" s="1"/>
  <c r="AM133" i="7" a="1"/>
  <c r="AM133" i="7" s="1"/>
  <c r="AL133" i="7" s="1"/>
  <c r="AQ131" i="7" a="1"/>
  <c r="AQ131" i="7" s="1"/>
  <c r="AZ129" i="7" a="1"/>
  <c r="AZ129" i="7" s="1"/>
  <c r="AN129" i="7" a="1"/>
  <c r="AN129" i="7" s="1"/>
  <c r="BA127" i="7" a="1"/>
  <c r="BA127" i="7" s="1"/>
  <c r="AW127" i="7" a="1"/>
  <c r="AW127" i="7" s="1"/>
  <c r="AV127" i="7" s="1"/>
  <c r="AO127" i="7" a="1"/>
  <c r="AO127" i="7" s="1"/>
  <c r="BB125" i="7" a="1"/>
  <c r="BB125" i="7" s="1"/>
  <c r="AX125" i="7" a="1"/>
  <c r="AX125" i="7" s="1"/>
  <c r="AP125" i="7" a="1"/>
  <c r="AP125" i="7" s="1"/>
  <c r="BC123" i="7" a="1"/>
  <c r="BC123" i="7" s="1"/>
  <c r="AY123" i="7" a="1"/>
  <c r="AY123" i="7" s="1"/>
  <c r="AQ123" i="7" a="1"/>
  <c r="AQ123" i="7" s="1"/>
  <c r="AM123" i="7" a="1"/>
  <c r="AM123" i="7" s="1"/>
  <c r="AL123" i="7" s="1"/>
  <c r="AZ121" i="7" a="1"/>
  <c r="AZ121" i="7" s="1"/>
  <c r="AN121" i="7" a="1"/>
  <c r="AN121" i="7" s="1"/>
  <c r="BA119" i="7" a="1"/>
  <c r="BA119" i="7" s="1"/>
  <c r="AW119" i="7" a="1"/>
  <c r="AW119" i="7" s="1"/>
  <c r="AV119" i="7" s="1"/>
  <c r="AO119" i="7" a="1"/>
  <c r="AO119" i="7" s="1"/>
  <c r="BB117" i="7" a="1"/>
  <c r="BB117" i="7" s="1"/>
  <c r="AX117" i="7" a="1"/>
  <c r="AX117" i="7" s="1"/>
  <c r="AP117" i="7" a="1"/>
  <c r="AP117" i="7" s="1"/>
  <c r="BC115" i="7" a="1"/>
  <c r="BC115" i="7" s="1"/>
  <c r="AY115" i="7" a="1"/>
  <c r="AY115" i="7" s="1"/>
  <c r="AQ115" i="7" a="1"/>
  <c r="AQ115" i="7" s="1"/>
  <c r="AM115" i="7" a="1"/>
  <c r="AM115" i="7" s="1"/>
  <c r="AL115" i="7" s="1"/>
  <c r="AZ113" i="7" a="1"/>
  <c r="AZ113" i="7" s="1"/>
  <c r="AN113" i="7" a="1"/>
  <c r="AN113" i="7" s="1"/>
  <c r="BA111" i="7" a="1"/>
  <c r="BA111" i="7" s="1"/>
  <c r="AW111" i="7" a="1"/>
  <c r="AW111" i="7" s="1"/>
  <c r="AV111" i="7" s="1"/>
  <c r="AO111" i="7" a="1"/>
  <c r="AO111" i="7" s="1"/>
  <c r="BB109" i="7" a="1"/>
  <c r="BB109" i="7" s="1"/>
  <c r="AX109" i="7" a="1"/>
  <c r="AX109" i="7" s="1"/>
  <c r="AP109" i="7" a="1"/>
  <c r="AP109" i="7" s="1"/>
  <c r="BC107" i="7" a="1"/>
  <c r="BC107" i="7" s="1"/>
  <c r="AY107" i="7" a="1"/>
  <c r="AY107" i="7" s="1"/>
  <c r="AQ107" i="7" a="1"/>
  <c r="AQ107" i="7" s="1"/>
  <c r="AM107" i="7" a="1"/>
  <c r="AM107" i="7" s="1"/>
  <c r="AL107" i="7" s="1"/>
  <c r="AZ105" i="7" a="1"/>
  <c r="AZ105" i="7" s="1"/>
  <c r="AN105" i="7" a="1"/>
  <c r="AN105" i="7" s="1"/>
  <c r="BA103" i="7" a="1"/>
  <c r="BA103" i="7" s="1"/>
  <c r="AW103" i="7" a="1"/>
  <c r="AW103" i="7" s="1"/>
  <c r="AV103" i="7" s="1"/>
  <c r="AO103" i="7" a="1"/>
  <c r="AO103" i="7" s="1"/>
  <c r="BB101" i="7" a="1"/>
  <c r="BB101" i="7" s="1"/>
  <c r="AX101" i="7" a="1"/>
  <c r="AX101" i="7" s="1"/>
  <c r="AP101" i="7" a="1"/>
  <c r="AP101" i="7" s="1"/>
  <c r="AQ189" i="7" a="1"/>
  <c r="AQ189" i="7" s="1"/>
  <c r="BB183" i="7" a="1"/>
  <c r="BB183" i="7" s="1"/>
  <c r="BC173" i="7" a="1"/>
  <c r="BC173" i="7" s="1"/>
  <c r="AW169" i="7" a="1"/>
  <c r="AW169" i="7" s="1"/>
  <c r="AV169" i="7" s="1"/>
  <c r="AM165" i="7" a="1"/>
  <c r="AM165" i="7" s="1"/>
  <c r="AL165" i="7" s="1"/>
  <c r="AX159" i="7" a="1"/>
  <c r="AX159" i="7" s="1"/>
  <c r="AN155" i="7" a="1"/>
  <c r="AN155" i="7" s="1"/>
  <c r="AY149" i="7" a="1"/>
  <c r="AY149" i="7" s="1"/>
  <c r="BA145" i="7" a="1"/>
  <c r="BA145" i="7" s="1"/>
  <c r="AX143" i="7" a="1"/>
  <c r="AX143" i="7" s="1"/>
  <c r="AQ141" i="7" a="1"/>
  <c r="AQ141" i="7" s="1"/>
  <c r="AX139" i="7" a="1"/>
  <c r="AX139" i="7" s="1"/>
  <c r="AZ137" i="7" a="1"/>
  <c r="AZ137" i="7" s="1"/>
  <c r="AY135" i="7" a="1"/>
  <c r="AY135" i="7" s="1"/>
  <c r="AZ134" i="7" a="1"/>
  <c r="AZ134" i="7" s="1"/>
  <c r="AQ134" i="7" a="1"/>
  <c r="AQ134" i="7" s="1"/>
  <c r="AW132" i="7" a="1"/>
  <c r="AW132" i="7" s="1"/>
  <c r="AV132" i="7" s="1"/>
  <c r="AN132" i="7" a="1"/>
  <c r="AN132" i="7" s="1"/>
  <c r="AY131" i="7" a="1"/>
  <c r="AY131" i="7" s="1"/>
  <c r="BA130" i="7" a="1"/>
  <c r="BA130" i="7" s="1"/>
  <c r="AW130" i="7" a="1"/>
  <c r="AW130" i="7" s="1"/>
  <c r="AV130" i="7" s="1"/>
  <c r="AO130" i="7" a="1"/>
  <c r="AO130" i="7" s="1"/>
  <c r="BB128" i="7" a="1"/>
  <c r="BB128" i="7" s="1"/>
  <c r="AX128" i="7" a="1"/>
  <c r="AX128" i="7" s="1"/>
  <c r="AP128" i="7" a="1"/>
  <c r="AP128" i="7" s="1"/>
  <c r="BC126" i="7" a="1"/>
  <c r="BC126" i="7" s="1"/>
  <c r="AY126" i="7" a="1"/>
  <c r="AY126" i="7" s="1"/>
  <c r="AQ126" i="7" a="1"/>
  <c r="AQ126" i="7" s="1"/>
  <c r="AM126" i="7" a="1"/>
  <c r="AM126" i="7" s="1"/>
  <c r="AL126" i="7" s="1"/>
  <c r="AZ124" i="7" a="1"/>
  <c r="AZ124" i="7" s="1"/>
  <c r="AN124" i="7" a="1"/>
  <c r="AN124" i="7" s="1"/>
  <c r="BA122" i="7" a="1"/>
  <c r="BA122" i="7" s="1"/>
  <c r="AW122" i="7" a="1"/>
  <c r="AW122" i="7" s="1"/>
  <c r="AV122" i="7" s="1"/>
  <c r="AO122" i="7" a="1"/>
  <c r="AO122" i="7" s="1"/>
  <c r="BB120" i="7" a="1"/>
  <c r="BB120" i="7" s="1"/>
  <c r="AX120" i="7" a="1"/>
  <c r="AX120" i="7" s="1"/>
  <c r="AP120" i="7" a="1"/>
  <c r="AP120" i="7" s="1"/>
  <c r="BC118" i="7" a="1"/>
  <c r="BC118" i="7" s="1"/>
  <c r="AY118" i="7" a="1"/>
  <c r="AY118" i="7" s="1"/>
  <c r="AQ118" i="7" a="1"/>
  <c r="AQ118" i="7" s="1"/>
  <c r="AM118" i="7" a="1"/>
  <c r="AM118" i="7" s="1"/>
  <c r="AL118" i="7" s="1"/>
  <c r="AZ116" i="7" a="1"/>
  <c r="AZ116" i="7" s="1"/>
  <c r="AN116" i="7" a="1"/>
  <c r="AN116" i="7" s="1"/>
  <c r="BA114" i="7" a="1"/>
  <c r="BA114" i="7" s="1"/>
  <c r="AW114" i="7" a="1"/>
  <c r="AW114" i="7" s="1"/>
  <c r="AV114" i="7" s="1"/>
  <c r="AO114" i="7" a="1"/>
  <c r="AO114" i="7" s="1"/>
  <c r="BB112" i="7" a="1"/>
  <c r="BB112" i="7" s="1"/>
  <c r="AX112" i="7" a="1"/>
  <c r="AX112" i="7" s="1"/>
  <c r="AP112" i="7" a="1"/>
  <c r="AP112" i="7" s="1"/>
  <c r="BC110" i="7" a="1"/>
  <c r="BC110" i="7" s="1"/>
  <c r="AY110" i="7" a="1"/>
  <c r="AY110" i="7" s="1"/>
  <c r="AQ110" i="7" a="1"/>
  <c r="AQ110" i="7" s="1"/>
  <c r="AM110" i="7" a="1"/>
  <c r="AM110" i="7" s="1"/>
  <c r="AL110" i="7" s="1"/>
  <c r="AZ108" i="7" a="1"/>
  <c r="AZ108" i="7" s="1"/>
  <c r="AN108" i="7" a="1"/>
  <c r="AN108" i="7" s="1"/>
  <c r="BA106" i="7" a="1"/>
  <c r="BA106" i="7" s="1"/>
  <c r="AW106" i="7" a="1"/>
  <c r="AW106" i="7" s="1"/>
  <c r="AV106" i="7" s="1"/>
  <c r="AO106" i="7" a="1"/>
  <c r="AO106" i="7" s="1"/>
  <c r="BB104" i="7" a="1"/>
  <c r="BB104" i="7" s="1"/>
  <c r="AX104" i="7" a="1"/>
  <c r="AX104" i="7" s="1"/>
  <c r="AP104" i="7" a="1"/>
  <c r="AP104" i="7" s="1"/>
  <c r="AM189" i="7" a="1"/>
  <c r="AM189" i="7" s="1"/>
  <c r="AL189" i="7" s="1"/>
  <c r="AX183" i="7" a="1"/>
  <c r="AX183" i="7" s="1"/>
  <c r="AN179" i="7" a="1"/>
  <c r="AN179" i="7" s="1"/>
  <c r="AY173" i="7" a="1"/>
  <c r="AY173" i="7" s="1"/>
  <c r="AO169" i="7" a="1"/>
  <c r="AO169" i="7" s="1"/>
  <c r="AZ163" i="7" a="1"/>
  <c r="AZ163" i="7" s="1"/>
  <c r="AP159" i="7" a="1"/>
  <c r="AP159" i="7" s="1"/>
  <c r="BA153" i="7" a="1"/>
  <c r="BA153" i="7" s="1"/>
  <c r="AQ149" i="7" a="1"/>
  <c r="AQ149" i="7" s="1"/>
  <c r="AY145" i="7" a="1"/>
  <c r="AY145" i="7" s="1"/>
  <c r="AO141" i="7" a="1"/>
  <c r="AO141" i="7" s="1"/>
  <c r="AY137" i="7" a="1"/>
  <c r="AY137" i="7" s="1"/>
  <c r="AX135" i="7" a="1"/>
  <c r="AX135" i="7" s="1"/>
  <c r="AO135" i="7" a="1"/>
  <c r="AO135" i="7" s="1"/>
  <c r="BA133" i="7" a="1"/>
  <c r="BA133" i="7" s="1"/>
  <c r="AQ133" i="7" a="1"/>
  <c r="AQ133" i="7" s="1"/>
  <c r="BC131" i="7" a="1"/>
  <c r="BC131" i="7" s="1"/>
  <c r="AP131" i="7" a="1"/>
  <c r="AP131" i="7" s="1"/>
  <c r="BC129" i="7" a="1"/>
  <c r="BC129" i="7" s="1"/>
  <c r="AY129" i="7" a="1"/>
  <c r="AY129" i="7" s="1"/>
  <c r="AQ129" i="7" a="1"/>
  <c r="AQ129" i="7" s="1"/>
  <c r="AM129" i="7" a="1"/>
  <c r="AM129" i="7" s="1"/>
  <c r="AL129" i="7" s="1"/>
  <c r="AZ127" i="7" a="1"/>
  <c r="AZ127" i="7" s="1"/>
  <c r="AN127" i="7" a="1"/>
  <c r="AN127" i="7" s="1"/>
  <c r="BA125" i="7" a="1"/>
  <c r="BA125" i="7" s="1"/>
  <c r="AW125" i="7" a="1"/>
  <c r="AW125" i="7" s="1"/>
  <c r="AV125" i="7" s="1"/>
  <c r="AO125" i="7" a="1"/>
  <c r="AO125" i="7" s="1"/>
  <c r="BB123" i="7" a="1"/>
  <c r="BB123" i="7" s="1"/>
  <c r="AX123" i="7" a="1"/>
  <c r="AX123" i="7" s="1"/>
  <c r="AP123" i="7" a="1"/>
  <c r="AP123" i="7" s="1"/>
  <c r="BC121" i="7" a="1"/>
  <c r="BC121" i="7" s="1"/>
  <c r="AY121" i="7" a="1"/>
  <c r="AY121" i="7" s="1"/>
  <c r="AQ121" i="7" a="1"/>
  <c r="AQ121" i="7" s="1"/>
  <c r="AM121" i="7" a="1"/>
  <c r="AM121" i="7" s="1"/>
  <c r="AL121" i="7" s="1"/>
  <c r="AZ119" i="7" a="1"/>
  <c r="AZ119" i="7" s="1"/>
  <c r="AN119" i="7" a="1"/>
  <c r="AN119" i="7" s="1"/>
  <c r="BA117" i="7" a="1"/>
  <c r="BA117" i="7" s="1"/>
  <c r="AW117" i="7" a="1"/>
  <c r="AW117" i="7" s="1"/>
  <c r="AV117" i="7" s="1"/>
  <c r="AO117" i="7" a="1"/>
  <c r="AO117" i="7" s="1"/>
  <c r="BB115" i="7" a="1"/>
  <c r="BB115" i="7" s="1"/>
  <c r="AX115" i="7" a="1"/>
  <c r="AX115" i="7" s="1"/>
  <c r="AP115" i="7" a="1"/>
  <c r="AP115" i="7" s="1"/>
  <c r="BC113" i="7" a="1"/>
  <c r="BC113" i="7" s="1"/>
  <c r="AY113" i="7" a="1"/>
  <c r="AY113" i="7" s="1"/>
  <c r="AQ113" i="7" a="1"/>
  <c r="AQ113" i="7" s="1"/>
  <c r="AM113" i="7" a="1"/>
  <c r="AM113" i="7" s="1"/>
  <c r="AL113" i="7" s="1"/>
  <c r="AZ111" i="7" a="1"/>
  <c r="AZ111" i="7" s="1"/>
  <c r="AN111" i="7" a="1"/>
  <c r="AN111" i="7" s="1"/>
  <c r="BA109" i="7" a="1"/>
  <c r="BA109" i="7" s="1"/>
  <c r="AW109" i="7" a="1"/>
  <c r="AW109" i="7" s="1"/>
  <c r="AV109" i="7" s="1"/>
  <c r="AO109" i="7" a="1"/>
  <c r="AO109" i="7" s="1"/>
  <c r="BB107" i="7" a="1"/>
  <c r="BB107" i="7" s="1"/>
  <c r="AX107" i="7" a="1"/>
  <c r="AX107" i="7" s="1"/>
  <c r="AP107" i="7" a="1"/>
  <c r="AP107" i="7" s="1"/>
  <c r="AZ187" i="7" a="1"/>
  <c r="AZ187" i="7" s="1"/>
  <c r="AP183" i="7" a="1"/>
  <c r="AP183" i="7" s="1"/>
  <c r="BA177" i="7" a="1"/>
  <c r="BA177" i="7" s="1"/>
  <c r="AQ173" i="7" a="1"/>
  <c r="AQ173" i="7" s="1"/>
  <c r="BB167" i="7" a="1"/>
  <c r="BB167" i="7" s="1"/>
  <c r="BC157" i="7" a="1"/>
  <c r="BC157" i="7" s="1"/>
  <c r="AW153" i="7" a="1"/>
  <c r="AW153" i="7" s="1"/>
  <c r="AV153" i="7" s="1"/>
  <c r="AM149" i="7" a="1"/>
  <c r="AM149" i="7" s="1"/>
  <c r="AL149" i="7" s="1"/>
  <c r="AW145" i="7" a="1"/>
  <c r="AW145" i="7" s="1"/>
  <c r="AV145" i="7" s="1"/>
  <c r="AP143" i="7" a="1"/>
  <c r="AP143" i="7" s="1"/>
  <c r="AM141" i="7" a="1"/>
  <c r="AM141" i="7" s="1"/>
  <c r="AL141" i="7" s="1"/>
  <c r="AQ139" i="7" a="1"/>
  <c r="AQ139" i="7" s="1"/>
  <c r="AW137" i="7" a="1"/>
  <c r="AW137" i="7" s="1"/>
  <c r="AV137" i="7" s="1"/>
  <c r="BC135" i="7" a="1"/>
  <c r="BC135" i="7" s="1"/>
  <c r="AY134" i="7" a="1"/>
  <c r="AY134" i="7" s="1"/>
  <c r="AZ133" i="7" a="1"/>
  <c r="AZ133" i="7" s="1"/>
  <c r="BA132" i="7" a="1"/>
  <c r="BA132" i="7" s="1"/>
  <c r="AX131" i="7" a="1"/>
  <c r="AX131" i="7" s="1"/>
  <c r="AO131" i="7" a="1"/>
  <c r="AO131" i="7" s="1"/>
  <c r="AZ130" i="7" a="1"/>
  <c r="AZ130" i="7" s="1"/>
  <c r="AN130" i="7" a="1"/>
  <c r="AN130" i="7" s="1"/>
  <c r="BA128" i="7" a="1"/>
  <c r="BA128" i="7" s="1"/>
  <c r="AW128" i="7" a="1"/>
  <c r="AW128" i="7" s="1"/>
  <c r="AV128" i="7" s="1"/>
  <c r="AO128" i="7" a="1"/>
  <c r="AO128" i="7" s="1"/>
  <c r="BB126" i="7" a="1"/>
  <c r="BB126" i="7" s="1"/>
  <c r="AX126" i="7" a="1"/>
  <c r="AX126" i="7" s="1"/>
  <c r="AP126" i="7" a="1"/>
  <c r="AP126" i="7" s="1"/>
  <c r="BC124" i="7" a="1"/>
  <c r="BC124" i="7" s="1"/>
  <c r="AY124" i="7" a="1"/>
  <c r="AY124" i="7" s="1"/>
  <c r="AQ124" i="7" a="1"/>
  <c r="AQ124" i="7" s="1"/>
  <c r="AM124" i="7" a="1"/>
  <c r="AM124" i="7" s="1"/>
  <c r="AL124" i="7" s="1"/>
  <c r="AZ122" i="7" a="1"/>
  <c r="AZ122" i="7" s="1"/>
  <c r="AN122" i="7" a="1"/>
  <c r="AN122" i="7" s="1"/>
  <c r="BA120" i="7" a="1"/>
  <c r="BA120" i="7" s="1"/>
  <c r="AW120" i="7" a="1"/>
  <c r="AW120" i="7" s="1"/>
  <c r="AV120" i="7" s="1"/>
  <c r="AO120" i="7" a="1"/>
  <c r="AO120" i="7" s="1"/>
  <c r="BB118" i="7" a="1"/>
  <c r="BB118" i="7" s="1"/>
  <c r="AX118" i="7" a="1"/>
  <c r="AX118" i="7" s="1"/>
  <c r="AP118" i="7" a="1"/>
  <c r="AP118" i="7" s="1"/>
  <c r="BC116" i="7" a="1"/>
  <c r="BC116" i="7" s="1"/>
  <c r="AY116" i="7" a="1"/>
  <c r="AY116" i="7" s="1"/>
  <c r="AQ116" i="7" a="1"/>
  <c r="AQ116" i="7" s="1"/>
  <c r="AM116" i="7" a="1"/>
  <c r="AM116" i="7" s="1"/>
  <c r="AL116" i="7" s="1"/>
  <c r="AZ114" i="7" a="1"/>
  <c r="AZ114" i="7" s="1"/>
  <c r="AN114" i="7" a="1"/>
  <c r="AN114" i="7" s="1"/>
  <c r="BA112" i="7" a="1"/>
  <c r="BA112" i="7" s="1"/>
  <c r="AW112" i="7" a="1"/>
  <c r="AW112" i="7" s="1"/>
  <c r="AV112" i="7" s="1"/>
  <c r="AO112" i="7" a="1"/>
  <c r="AO112" i="7" s="1"/>
  <c r="BB110" i="7" a="1"/>
  <c r="BB110" i="7" s="1"/>
  <c r="AX110" i="7" a="1"/>
  <c r="AX110" i="7" s="1"/>
  <c r="AP110" i="7" a="1"/>
  <c r="AP110" i="7" s="1"/>
  <c r="BC181" i="7" a="1"/>
  <c r="BC181" i="7" s="1"/>
  <c r="AW177" i="7" a="1"/>
  <c r="AW177" i="7" s="1"/>
  <c r="AV177" i="7" s="1"/>
  <c r="AM173" i="7" a="1"/>
  <c r="AM173" i="7" s="1"/>
  <c r="AL173" i="7" s="1"/>
  <c r="AX167" i="7" a="1"/>
  <c r="AX167" i="7" s="1"/>
  <c r="AN163" i="7" a="1"/>
  <c r="AN163" i="7" s="1"/>
  <c r="AY157" i="7" a="1"/>
  <c r="AY157" i="7" s="1"/>
  <c r="AO153" i="7" a="1"/>
  <c r="AO153" i="7" s="1"/>
  <c r="AZ147" i="7" a="1"/>
  <c r="AZ147" i="7" s="1"/>
  <c r="AQ145" i="7" a="1"/>
  <c r="AQ145" i="7" s="1"/>
  <c r="AN143" i="7" a="1"/>
  <c r="AN143" i="7" s="1"/>
  <c r="AP139" i="7" a="1"/>
  <c r="AP139" i="7" s="1"/>
  <c r="BB135" i="7" a="1"/>
  <c r="BB135" i="7" s="1"/>
  <c r="AW135" i="7" a="1"/>
  <c r="AW135" i="7" s="1"/>
  <c r="AV135" i="7" s="1"/>
  <c r="AN135" i="7" a="1"/>
  <c r="AN135" i="7" s="1"/>
  <c r="AY133" i="7" a="1"/>
  <c r="AY133" i="7" s="1"/>
  <c r="AP133" i="7" a="1"/>
  <c r="AP133" i="7" s="1"/>
  <c r="BB131" i="7" a="1"/>
  <c r="BB131" i="7" s="1"/>
  <c r="AW131" i="7" a="1"/>
  <c r="AW131" i="7" s="1"/>
  <c r="AV131" i="7" s="1"/>
  <c r="BB129" i="7" a="1"/>
  <c r="BB129" i="7" s="1"/>
  <c r="AX129" i="7" a="1"/>
  <c r="AX129" i="7" s="1"/>
  <c r="AP129" i="7" a="1"/>
  <c r="AP129" i="7" s="1"/>
  <c r="BC127" i="7" a="1"/>
  <c r="BC127" i="7" s="1"/>
  <c r="AY127" i="7" a="1"/>
  <c r="AY127" i="7" s="1"/>
  <c r="AQ127" i="7" a="1"/>
  <c r="AQ127" i="7" s="1"/>
  <c r="AM127" i="7" a="1"/>
  <c r="AM127" i="7" s="1"/>
  <c r="AL127" i="7" s="1"/>
  <c r="AZ125" i="7" a="1"/>
  <c r="AZ125" i="7" s="1"/>
  <c r="AN125" i="7" a="1"/>
  <c r="AN125" i="7" s="1"/>
  <c r="BA123" i="7" a="1"/>
  <c r="BA123" i="7" s="1"/>
  <c r="AW123" i="7" a="1"/>
  <c r="AW123" i="7" s="1"/>
  <c r="AV123" i="7" s="1"/>
  <c r="AO123" i="7" a="1"/>
  <c r="AO123" i="7" s="1"/>
  <c r="BB121" i="7" a="1"/>
  <c r="BB121" i="7" s="1"/>
  <c r="AX121" i="7" a="1"/>
  <c r="AX121" i="7" s="1"/>
  <c r="AP121" i="7" a="1"/>
  <c r="AP121" i="7" s="1"/>
  <c r="BC119" i="7" a="1"/>
  <c r="BC119" i="7" s="1"/>
  <c r="AY119" i="7" a="1"/>
  <c r="AY119" i="7" s="1"/>
  <c r="AQ119" i="7" a="1"/>
  <c r="AQ119" i="7" s="1"/>
  <c r="AM119" i="7" a="1"/>
  <c r="AM119" i="7" s="1"/>
  <c r="AL119" i="7" s="1"/>
  <c r="AZ117" i="7" a="1"/>
  <c r="AZ117" i="7" s="1"/>
  <c r="AN117" i="7" a="1"/>
  <c r="AN117" i="7" s="1"/>
  <c r="BA115" i="7" a="1"/>
  <c r="BA115" i="7" s="1"/>
  <c r="AW115" i="7" a="1"/>
  <c r="AW115" i="7" s="1"/>
  <c r="AV115" i="7" s="1"/>
  <c r="AO115" i="7" a="1"/>
  <c r="AO115" i="7" s="1"/>
  <c r="BB113" i="7" a="1"/>
  <c r="BB113" i="7" s="1"/>
  <c r="AX113" i="7" a="1"/>
  <c r="AX113" i="7" s="1"/>
  <c r="AP113" i="7" a="1"/>
  <c r="AP113" i="7" s="1"/>
  <c r="BC111" i="7" a="1"/>
  <c r="BC111" i="7" s="1"/>
  <c r="AY111" i="7" a="1"/>
  <c r="AY111" i="7" s="1"/>
  <c r="AQ111" i="7" a="1"/>
  <c r="AQ111" i="7" s="1"/>
  <c r="AM111" i="7" a="1"/>
  <c r="AM111" i="7" s="1"/>
  <c r="AL111" i="7" s="1"/>
  <c r="AZ109" i="7" a="1"/>
  <c r="AZ109" i="7" s="1"/>
  <c r="AN109" i="7" a="1"/>
  <c r="AN109" i="7" s="1"/>
  <c r="BC141" i="7" a="1"/>
  <c r="BC141" i="7" s="1"/>
  <c r="AM135" i="7" a="1"/>
  <c r="AM135" i="7" s="1"/>
  <c r="AL135" i="7" s="1"/>
  <c r="BC122" i="7" a="1"/>
  <c r="BC122" i="7" s="1"/>
  <c r="AW118" i="7" a="1"/>
  <c r="AW118" i="7" s="1"/>
  <c r="AV118" i="7" s="1"/>
  <c r="AM114" i="7" a="1"/>
  <c r="AM114" i="7" s="1"/>
  <c r="AL114" i="7" s="1"/>
  <c r="AO110" i="7" a="1"/>
  <c r="AO110" i="7" s="1"/>
  <c r="AQ108" i="7" a="1"/>
  <c r="AQ108" i="7" s="1"/>
  <c r="AY106" i="7" a="1"/>
  <c r="AY106" i="7" s="1"/>
  <c r="AN106" i="7" a="1"/>
  <c r="AN106" i="7" s="1"/>
  <c r="BA104" i="7" a="1"/>
  <c r="BA104" i="7" s="1"/>
  <c r="AM104" i="7" a="1"/>
  <c r="AM104" i="7" s="1"/>
  <c r="AL104" i="7" s="1"/>
  <c r="AY102" i="7" a="1"/>
  <c r="AY102" i="7" s="1"/>
  <c r="BA101" i="7" a="1"/>
  <c r="BA101" i="7" s="1"/>
  <c r="AN101" i="7" a="1"/>
  <c r="AN101" i="7" s="1"/>
  <c r="BC100" i="7" a="1"/>
  <c r="BC100" i="7" s="1"/>
  <c r="AY100" i="7" a="1"/>
  <c r="AY100" i="7" s="1"/>
  <c r="AQ100" i="7" a="1"/>
  <c r="AQ100" i="7" s="1"/>
  <c r="AM100" i="7" a="1"/>
  <c r="AM100" i="7" s="1"/>
  <c r="AL100" i="7" s="1"/>
  <c r="BC99" i="7" a="1"/>
  <c r="BC99" i="7" s="1"/>
  <c r="AY99" i="7" a="1"/>
  <c r="AY99" i="7" s="1"/>
  <c r="AQ99" i="7" a="1"/>
  <c r="AQ99" i="7" s="1"/>
  <c r="AM99" i="7" a="1"/>
  <c r="AM99" i="7" s="1"/>
  <c r="AL99" i="7" s="1"/>
  <c r="AN128" i="7" a="1"/>
  <c r="AN128" i="7" s="1"/>
  <c r="AY122" i="7" a="1"/>
  <c r="AY122" i="7" s="1"/>
  <c r="AO118" i="7" a="1"/>
  <c r="AO118" i="7" s="1"/>
  <c r="AZ112" i="7" a="1"/>
  <c r="AZ112" i="7" s="1"/>
  <c r="AY109" i="7" a="1"/>
  <c r="AY109" i="7" s="1"/>
  <c r="AP108" i="7" a="1"/>
  <c r="AP108" i="7" s="1"/>
  <c r="AN107" i="7" a="1"/>
  <c r="AN107" i="7" s="1"/>
  <c r="AY105" i="7" a="1"/>
  <c r="AY105" i="7" s="1"/>
  <c r="AP105" i="7" a="1"/>
  <c r="AP105" i="7" s="1"/>
  <c r="BB103" i="7" a="1"/>
  <c r="BB103" i="7" s="1"/>
  <c r="AM103" i="7" a="1"/>
  <c r="AM103" i="7" s="1"/>
  <c r="AL103" i="7" s="1"/>
  <c r="BC102" i="7" a="1"/>
  <c r="BC102" i="7" s="1"/>
  <c r="AP102" i="7" a="1"/>
  <c r="AP102" i="7" s="1"/>
  <c r="BB98" i="7" a="1"/>
  <c r="BB98" i="7" s="1"/>
  <c r="AX98" i="7" a="1"/>
  <c r="AX98" i="7" s="1"/>
  <c r="AP98" i="7" a="1"/>
  <c r="AP98" i="7" s="1"/>
  <c r="BC97" i="7" a="1"/>
  <c r="BC97" i="7" s="1"/>
  <c r="AY97" i="7" a="1"/>
  <c r="AY97" i="7" s="1"/>
  <c r="AQ97" i="7" a="1"/>
  <c r="AQ97" i="7" s="1"/>
  <c r="AM97" i="7" a="1"/>
  <c r="AM97" i="7" s="1"/>
  <c r="AL97" i="7" s="1"/>
  <c r="AZ96" i="7" a="1"/>
  <c r="AZ96" i="7" s="1"/>
  <c r="AN96" i="7" a="1"/>
  <c r="AN96" i="7" s="1"/>
  <c r="BA95" i="7" a="1"/>
  <c r="BA95" i="7" s="1"/>
  <c r="AW95" i="7" a="1"/>
  <c r="AW95" i="7" s="1"/>
  <c r="AV95" i="7" s="1"/>
  <c r="AO95" i="7" a="1"/>
  <c r="AO95" i="7" s="1"/>
  <c r="BB94" i="7" a="1"/>
  <c r="BB94" i="7" s="1"/>
  <c r="AX94" i="7" a="1"/>
  <c r="AX94" i="7" s="1"/>
  <c r="AP94" i="7" a="1"/>
  <c r="AP94" i="7" s="1"/>
  <c r="BC93" i="7" a="1"/>
  <c r="BC93" i="7" s="1"/>
  <c r="AY93" i="7" a="1"/>
  <c r="AY93" i="7" s="1"/>
  <c r="AQ93" i="7" a="1"/>
  <c r="AQ93" i="7" s="1"/>
  <c r="AM93" i="7" a="1"/>
  <c r="AM93" i="7" s="1"/>
  <c r="AL93" i="7" s="1"/>
  <c r="AZ92" i="7" a="1"/>
  <c r="AZ92" i="7" s="1"/>
  <c r="AN92" i="7" a="1"/>
  <c r="AN92" i="7" s="1"/>
  <c r="BA91" i="7" a="1"/>
  <c r="BA91" i="7" s="1"/>
  <c r="AW91" i="7" a="1"/>
  <c r="AW91" i="7" s="1"/>
  <c r="AV91" i="7" s="1"/>
  <c r="AO91" i="7" a="1"/>
  <c r="AO91" i="7" s="1"/>
  <c r="BB90" i="7" a="1"/>
  <c r="BB90" i="7" s="1"/>
  <c r="AX90" i="7" a="1"/>
  <c r="AX90" i="7" s="1"/>
  <c r="AP90" i="7" a="1"/>
  <c r="AP90" i="7" s="1"/>
  <c r="BC89" i="7" a="1"/>
  <c r="BC89" i="7" s="1"/>
  <c r="AY89" i="7" a="1"/>
  <c r="AY89" i="7" s="1"/>
  <c r="AQ89" i="7" a="1"/>
  <c r="AQ89" i="7" s="1"/>
  <c r="AM89" i="7" a="1"/>
  <c r="AM89" i="7" s="1"/>
  <c r="AL89" i="7" s="1"/>
  <c r="AZ88" i="7" a="1"/>
  <c r="AZ88" i="7" s="1"/>
  <c r="AN88" i="7" a="1"/>
  <c r="AN88" i="7" s="1"/>
  <c r="BA87" i="7" a="1"/>
  <c r="BA87" i="7" s="1"/>
  <c r="AW87" i="7" a="1"/>
  <c r="AW87" i="7" s="1"/>
  <c r="AV87" i="7" s="1"/>
  <c r="AO87" i="7" a="1"/>
  <c r="AO87" i="7" s="1"/>
  <c r="BB86" i="7" a="1"/>
  <c r="BB86" i="7" s="1"/>
  <c r="AX86" i="7" a="1"/>
  <c r="AX86" i="7" s="1"/>
  <c r="AP86" i="7" a="1"/>
  <c r="AP86" i="7" s="1"/>
  <c r="BC85" i="7" a="1"/>
  <c r="BC85" i="7" s="1"/>
  <c r="AY85" i="7" a="1"/>
  <c r="AY85" i="7" s="1"/>
  <c r="AQ85" i="7" a="1"/>
  <c r="AQ85" i="7" s="1"/>
  <c r="AM85" i="7" a="1"/>
  <c r="AM85" i="7" s="1"/>
  <c r="AL85" i="7" s="1"/>
  <c r="AZ84" i="7" a="1"/>
  <c r="AZ84" i="7" s="1"/>
  <c r="AN84" i="7" a="1"/>
  <c r="AN84" i="7" s="1"/>
  <c r="BA83" i="7" a="1"/>
  <c r="BA83" i="7" s="1"/>
  <c r="AW83" i="7" a="1"/>
  <c r="AW83" i="7" s="1"/>
  <c r="AV83" i="7" s="1"/>
  <c r="AO83" i="7" a="1"/>
  <c r="AO83" i="7" s="1"/>
  <c r="BB82" i="7" a="1"/>
  <c r="BB82" i="7" s="1"/>
  <c r="AX82" i="7" a="1"/>
  <c r="AX82" i="7" s="1"/>
  <c r="AP82" i="7" a="1"/>
  <c r="AP82" i="7" s="1"/>
  <c r="BC81" i="7" a="1"/>
  <c r="BC81" i="7" s="1"/>
  <c r="AY81" i="7" a="1"/>
  <c r="AY81" i="7" s="1"/>
  <c r="AQ81" i="7" a="1"/>
  <c r="AQ81" i="7" s="1"/>
  <c r="AM81" i="7" a="1"/>
  <c r="AM81" i="7" s="1"/>
  <c r="AL81" i="7" s="1"/>
  <c r="AZ80" i="7" a="1"/>
  <c r="AZ80" i="7" s="1"/>
  <c r="AN80" i="7" a="1"/>
  <c r="AN80" i="7" s="1"/>
  <c r="BA79" i="7" a="1"/>
  <c r="BA79" i="7" s="1"/>
  <c r="AW79" i="7" a="1"/>
  <c r="AW79" i="7" s="1"/>
  <c r="AV79" i="7" s="1"/>
  <c r="AO79" i="7" a="1"/>
  <c r="AO79" i="7" s="1"/>
  <c r="BB78" i="7" a="1"/>
  <c r="BB78" i="7" s="1"/>
  <c r="AX78" i="7" a="1"/>
  <c r="AX78" i="7" s="1"/>
  <c r="AP78" i="7" a="1"/>
  <c r="AP78" i="7" s="1"/>
  <c r="BC77" i="7" a="1"/>
  <c r="BC77" i="7" s="1"/>
  <c r="AY77" i="7" a="1"/>
  <c r="AY77" i="7" s="1"/>
  <c r="AQ77" i="7" a="1"/>
  <c r="AQ77" i="7" s="1"/>
  <c r="AM77" i="7" a="1"/>
  <c r="AM77" i="7" s="1"/>
  <c r="AL77" i="7" s="1"/>
  <c r="AZ76" i="7" a="1"/>
  <c r="AZ76" i="7" s="1"/>
  <c r="AN76" i="7" a="1"/>
  <c r="AN76" i="7" s="1"/>
  <c r="BA75" i="7" a="1"/>
  <c r="BA75" i="7" s="1"/>
  <c r="AW75" i="7" a="1"/>
  <c r="AW75" i="7" s="1"/>
  <c r="AV75" i="7" s="1"/>
  <c r="AO75" i="7" a="1"/>
  <c r="AO75" i="7" s="1"/>
  <c r="BB74" i="7" a="1"/>
  <c r="BB74" i="7" s="1"/>
  <c r="AX74" i="7" a="1"/>
  <c r="AX74" i="7" s="1"/>
  <c r="AP74" i="7" a="1"/>
  <c r="AP74" i="7" s="1"/>
  <c r="BC73" i="7" a="1"/>
  <c r="BC73" i="7" s="1"/>
  <c r="AY73" i="7" a="1"/>
  <c r="AY73" i="7" s="1"/>
  <c r="AQ73" i="7" a="1"/>
  <c r="AQ73" i="7" s="1"/>
  <c r="AM73" i="7" a="1"/>
  <c r="AM73" i="7" s="1"/>
  <c r="AL73" i="7" s="1"/>
  <c r="AZ72" i="7" a="1"/>
  <c r="AZ72" i="7" s="1"/>
  <c r="AN72" i="7" a="1"/>
  <c r="AN72" i="7" s="1"/>
  <c r="BA71" i="7" a="1"/>
  <c r="BA71" i="7" s="1"/>
  <c r="AW71" i="7" a="1"/>
  <c r="AW71" i="7" s="1"/>
  <c r="AV71" i="7" s="1"/>
  <c r="AO71" i="7" a="1"/>
  <c r="AO71" i="7" s="1"/>
  <c r="BB70" i="7" a="1"/>
  <c r="BB70" i="7" s="1"/>
  <c r="AX70" i="7" a="1"/>
  <c r="AX70" i="7" s="1"/>
  <c r="AP70" i="7" a="1"/>
  <c r="AP70" i="7" s="1"/>
  <c r="AY181" i="7" a="1"/>
  <c r="AY181" i="7" s="1"/>
  <c r="BA161" i="7" a="1"/>
  <c r="BA161" i="7" s="1"/>
  <c r="BA126" i="7" a="1"/>
  <c r="BA126" i="7" s="1"/>
  <c r="AQ122" i="7" a="1"/>
  <c r="AQ122" i="7" s="1"/>
  <c r="BB116" i="7" a="1"/>
  <c r="BB116" i="7" s="1"/>
  <c r="BC108" i="7" a="1"/>
  <c r="BC108" i="7" s="1"/>
  <c r="AW107" i="7" a="1"/>
  <c r="AW107" i="7" s="1"/>
  <c r="AV107" i="7" s="1"/>
  <c r="AX106" i="7" a="1"/>
  <c r="AX106" i="7" s="1"/>
  <c r="AM106" i="7" a="1"/>
  <c r="AM106" i="7" s="1"/>
  <c r="AL106" i="7" s="1"/>
  <c r="AZ104" i="7" a="1"/>
  <c r="AZ104" i="7" s="1"/>
  <c r="AQ104" i="7" a="1"/>
  <c r="AQ104" i="7" s="1"/>
  <c r="AX102" i="7" a="1"/>
  <c r="AX102" i="7" s="1"/>
  <c r="AZ101" i="7" a="1"/>
  <c r="AZ101" i="7" s="1"/>
  <c r="AM101" i="7" a="1"/>
  <c r="AM101" i="7" s="1"/>
  <c r="AL101" i="7" s="1"/>
  <c r="BB100" i="7" a="1"/>
  <c r="BB100" i="7" s="1"/>
  <c r="AX100" i="7" a="1"/>
  <c r="AX100" i="7" s="1"/>
  <c r="AP100" i="7" a="1"/>
  <c r="AP100" i="7" s="1"/>
  <c r="BB99" i="7" a="1"/>
  <c r="BB99" i="7" s="1"/>
  <c r="AX99" i="7" a="1"/>
  <c r="AX99" i="7" s="1"/>
  <c r="AP99" i="7" a="1"/>
  <c r="AP99" i="7" s="1"/>
  <c r="AN187" i="7" a="1"/>
  <c r="AN187" i="7" s="1"/>
  <c r="AP167" i="7" a="1"/>
  <c r="AP167" i="7" s="1"/>
  <c r="BA131" i="7" a="1"/>
  <c r="BA131" i="7" s="1"/>
  <c r="BC130" i="7" a="1"/>
  <c r="BC130" i="7" s="1"/>
  <c r="AW126" i="7" a="1"/>
  <c r="AW126" i="7" s="1"/>
  <c r="AV126" i="7" s="1"/>
  <c r="AM122" i="7" a="1"/>
  <c r="AM122" i="7" s="1"/>
  <c r="AL122" i="7" s="1"/>
  <c r="AX116" i="7" a="1"/>
  <c r="AX116" i="7" s="1"/>
  <c r="AN112" i="7" a="1"/>
  <c r="AN112" i="7" s="1"/>
  <c r="AQ109" i="7" a="1"/>
  <c r="AQ109" i="7" s="1"/>
  <c r="BB108" i="7" a="1"/>
  <c r="BB108" i="7" s="1"/>
  <c r="AM108" i="7" a="1"/>
  <c r="AM108" i="7" s="1"/>
  <c r="AL108" i="7" s="1"/>
  <c r="BC106" i="7" a="1"/>
  <c r="BC106" i="7" s="1"/>
  <c r="BC105" i="7" a="1"/>
  <c r="BC105" i="7" s="1"/>
  <c r="AX105" i="7" a="1"/>
  <c r="AX105" i="7" s="1"/>
  <c r="AO105" i="7" a="1"/>
  <c r="AO105" i="7" s="1"/>
  <c r="AZ103" i="7" a="1"/>
  <c r="AZ103" i="7" s="1"/>
  <c r="AQ103" i="7" a="1"/>
  <c r="AQ103" i="7" s="1"/>
  <c r="BB102" i="7" a="1"/>
  <c r="BB102" i="7" s="1"/>
  <c r="AO102" i="7" a="1"/>
  <c r="AO102" i="7" s="1"/>
  <c r="AQ101" i="7" a="1"/>
  <c r="AQ101" i="7" s="1"/>
  <c r="BA98" i="7" a="1"/>
  <c r="BA98" i="7" s="1"/>
  <c r="AW98" i="7" a="1"/>
  <c r="AW98" i="7" s="1"/>
  <c r="AV98" i="7" s="1"/>
  <c r="AO98" i="7" a="1"/>
  <c r="AO98" i="7" s="1"/>
  <c r="BB97" i="7" a="1"/>
  <c r="BB97" i="7" s="1"/>
  <c r="AX97" i="7" a="1"/>
  <c r="AX97" i="7" s="1"/>
  <c r="AP97" i="7" a="1"/>
  <c r="AP97" i="7" s="1"/>
  <c r="BC96" i="7" a="1"/>
  <c r="BC96" i="7" s="1"/>
  <c r="AY96" i="7" a="1"/>
  <c r="AY96" i="7" s="1"/>
  <c r="AQ96" i="7" a="1"/>
  <c r="AQ96" i="7" s="1"/>
  <c r="AM96" i="7" a="1"/>
  <c r="AM96" i="7" s="1"/>
  <c r="AL96" i="7" s="1"/>
  <c r="AZ95" i="7" a="1"/>
  <c r="AZ95" i="7" s="1"/>
  <c r="AN95" i="7" a="1"/>
  <c r="AN95" i="7" s="1"/>
  <c r="BA94" i="7" a="1"/>
  <c r="BA94" i="7" s="1"/>
  <c r="AW94" i="7" a="1"/>
  <c r="AW94" i="7" s="1"/>
  <c r="AV94" i="7" s="1"/>
  <c r="AO94" i="7" a="1"/>
  <c r="AO94" i="7" s="1"/>
  <c r="BB93" i="7" a="1"/>
  <c r="BB93" i="7" s="1"/>
  <c r="AX93" i="7" a="1"/>
  <c r="AX93" i="7" s="1"/>
  <c r="AP93" i="7" a="1"/>
  <c r="AP93" i="7" s="1"/>
  <c r="BC92" i="7" a="1"/>
  <c r="BC92" i="7" s="1"/>
  <c r="AY92" i="7" a="1"/>
  <c r="AY92" i="7" s="1"/>
  <c r="AQ92" i="7" a="1"/>
  <c r="AQ92" i="7" s="1"/>
  <c r="AM92" i="7" a="1"/>
  <c r="AM92" i="7" s="1"/>
  <c r="AL92" i="7" s="1"/>
  <c r="AZ91" i="7" a="1"/>
  <c r="AZ91" i="7" s="1"/>
  <c r="AN91" i="7" a="1"/>
  <c r="AN91" i="7" s="1"/>
  <c r="BA90" i="7" a="1"/>
  <c r="BA90" i="7" s="1"/>
  <c r="AW90" i="7" a="1"/>
  <c r="AW90" i="7" s="1"/>
  <c r="AV90" i="7" s="1"/>
  <c r="AO90" i="7" a="1"/>
  <c r="AO90" i="7" s="1"/>
  <c r="BB89" i="7" a="1"/>
  <c r="BB89" i="7" s="1"/>
  <c r="AX89" i="7" a="1"/>
  <c r="AX89" i="7" s="1"/>
  <c r="AP89" i="7" a="1"/>
  <c r="AP89" i="7" s="1"/>
  <c r="BC88" i="7" a="1"/>
  <c r="BC88" i="7" s="1"/>
  <c r="AY88" i="7" a="1"/>
  <c r="AY88" i="7" s="1"/>
  <c r="AQ88" i="7" a="1"/>
  <c r="AQ88" i="7" s="1"/>
  <c r="AM88" i="7" a="1"/>
  <c r="AM88" i="7" s="1"/>
  <c r="AL88" i="7" s="1"/>
  <c r="AZ87" i="7" a="1"/>
  <c r="AZ87" i="7" s="1"/>
  <c r="AN87" i="7" a="1"/>
  <c r="AN87" i="7" s="1"/>
  <c r="BA86" i="7" a="1"/>
  <c r="BA86" i="7" s="1"/>
  <c r="AW86" i="7" a="1"/>
  <c r="AW86" i="7" s="1"/>
  <c r="AV86" i="7" s="1"/>
  <c r="AO86" i="7" a="1"/>
  <c r="AO86" i="7" s="1"/>
  <c r="BB85" i="7" a="1"/>
  <c r="BB85" i="7" s="1"/>
  <c r="AX85" i="7" a="1"/>
  <c r="AX85" i="7" s="1"/>
  <c r="AP85" i="7" a="1"/>
  <c r="AP85" i="7" s="1"/>
  <c r="BC84" i="7" a="1"/>
  <c r="BC84" i="7" s="1"/>
  <c r="AY84" i="7" a="1"/>
  <c r="AY84" i="7" s="1"/>
  <c r="AQ84" i="7" a="1"/>
  <c r="AQ84" i="7" s="1"/>
  <c r="AM84" i="7" a="1"/>
  <c r="AM84" i="7" s="1"/>
  <c r="AL84" i="7" s="1"/>
  <c r="AZ83" i="7" a="1"/>
  <c r="AZ83" i="7" s="1"/>
  <c r="AN83" i="7" a="1"/>
  <c r="AN83" i="7" s="1"/>
  <c r="BA82" i="7" a="1"/>
  <c r="BA82" i="7" s="1"/>
  <c r="AW82" i="7" a="1"/>
  <c r="AW82" i="7" s="1"/>
  <c r="AV82" i="7" s="1"/>
  <c r="AO82" i="7" a="1"/>
  <c r="AO82" i="7" s="1"/>
  <c r="BB81" i="7" a="1"/>
  <c r="BB81" i="7" s="1"/>
  <c r="AX81" i="7" a="1"/>
  <c r="AX81" i="7" s="1"/>
  <c r="AP81" i="7" a="1"/>
  <c r="AP81" i="7" s="1"/>
  <c r="BC80" i="7" a="1"/>
  <c r="BC80" i="7" s="1"/>
  <c r="AY80" i="7" a="1"/>
  <c r="AY80" i="7" s="1"/>
  <c r="AQ80" i="7" a="1"/>
  <c r="AQ80" i="7" s="1"/>
  <c r="AM80" i="7" a="1"/>
  <c r="AM80" i="7" s="1"/>
  <c r="AL80" i="7" s="1"/>
  <c r="AZ79" i="7" a="1"/>
  <c r="AZ79" i="7" s="1"/>
  <c r="AN79" i="7" a="1"/>
  <c r="AN79" i="7" s="1"/>
  <c r="BA78" i="7" a="1"/>
  <c r="BA78" i="7" s="1"/>
  <c r="AW78" i="7" a="1"/>
  <c r="AW78" i="7" s="1"/>
  <c r="AV78" i="7" s="1"/>
  <c r="AO78" i="7" a="1"/>
  <c r="AO78" i="7" s="1"/>
  <c r="BB77" i="7" a="1"/>
  <c r="BB77" i="7" s="1"/>
  <c r="AX77" i="7" a="1"/>
  <c r="AX77" i="7" s="1"/>
  <c r="AP77" i="7" a="1"/>
  <c r="AP77" i="7" s="1"/>
  <c r="BC76" i="7" a="1"/>
  <c r="BC76" i="7" s="1"/>
  <c r="AY76" i="7" a="1"/>
  <c r="AY76" i="7" s="1"/>
  <c r="AQ76" i="7" a="1"/>
  <c r="AQ76" i="7" s="1"/>
  <c r="AM76" i="7" a="1"/>
  <c r="AM76" i="7" s="1"/>
  <c r="AL76" i="7" s="1"/>
  <c r="AZ75" i="7" a="1"/>
  <c r="AZ75" i="7" s="1"/>
  <c r="AN75" i="7" a="1"/>
  <c r="AN75" i="7" s="1"/>
  <c r="BA74" i="7" a="1"/>
  <c r="BA74" i="7" s="1"/>
  <c r="AW74" i="7" a="1"/>
  <c r="AW74" i="7" s="1"/>
  <c r="AV74" i="7" s="1"/>
  <c r="AO74" i="7" a="1"/>
  <c r="AO74" i="7" s="1"/>
  <c r="BB73" i="7" a="1"/>
  <c r="BB73" i="7" s="1"/>
  <c r="AX73" i="7" a="1"/>
  <c r="AX73" i="7" s="1"/>
  <c r="AP73" i="7" a="1"/>
  <c r="AP73" i="7" s="1"/>
  <c r="BC72" i="7" a="1"/>
  <c r="BC72" i="7" s="1"/>
  <c r="AY72" i="7" a="1"/>
  <c r="AY72" i="7" s="1"/>
  <c r="AQ72" i="7" a="1"/>
  <c r="AQ72" i="7" s="1"/>
  <c r="AM72" i="7" a="1"/>
  <c r="AM72" i="7" s="1"/>
  <c r="AL72" i="7" s="1"/>
  <c r="AZ71" i="7" a="1"/>
  <c r="AZ71" i="7" s="1"/>
  <c r="AN71" i="7" a="1"/>
  <c r="AN71" i="7" s="1"/>
  <c r="BA70" i="7" a="1"/>
  <c r="BA70" i="7" s="1"/>
  <c r="AW70" i="7" a="1"/>
  <c r="AW70" i="7" s="1"/>
  <c r="AV70" i="7" s="1"/>
  <c r="AO70" i="7" a="1"/>
  <c r="AO70" i="7" s="1"/>
  <c r="BB69" i="7" a="1"/>
  <c r="BB69" i="7" s="1"/>
  <c r="AX69" i="7" a="1"/>
  <c r="AX69" i="7" s="1"/>
  <c r="AP69" i="7" a="1"/>
  <c r="AP69" i="7" s="1"/>
  <c r="BC68" i="7" a="1"/>
  <c r="BC68" i="7" s="1"/>
  <c r="AY68" i="7" a="1"/>
  <c r="AY68" i="7" s="1"/>
  <c r="AQ68" i="7" a="1"/>
  <c r="AQ68" i="7" s="1"/>
  <c r="AM68" i="7" a="1"/>
  <c r="AM68" i="7" s="1"/>
  <c r="AL68" i="7" s="1"/>
  <c r="AZ67" i="7" a="1"/>
  <c r="AZ67" i="7" s="1"/>
  <c r="AN67" i="7" a="1"/>
  <c r="AN67" i="7" s="1"/>
  <c r="BA66" i="7" a="1"/>
  <c r="BA66" i="7" s="1"/>
  <c r="AW66" i="7" a="1"/>
  <c r="AW66" i="7" s="1"/>
  <c r="AV66" i="7" s="1"/>
  <c r="AO66" i="7" a="1"/>
  <c r="AO66" i="7" s="1"/>
  <c r="BB65" i="7" a="1"/>
  <c r="BB65" i="7" s="1"/>
  <c r="AX65" i="7" a="1"/>
  <c r="AX65" i="7" s="1"/>
  <c r="AP65" i="7" a="1"/>
  <c r="AP65" i="7" s="1"/>
  <c r="BC64" i="7" a="1"/>
  <c r="BC64" i="7" s="1"/>
  <c r="AY64" i="7" a="1"/>
  <c r="AY64" i="7" s="1"/>
  <c r="AQ64" i="7" a="1"/>
  <c r="AQ64" i="7" s="1"/>
  <c r="AM64" i="7" a="1"/>
  <c r="AM64" i="7" s="1"/>
  <c r="AL64" i="7" s="1"/>
  <c r="AZ63" i="7" a="1"/>
  <c r="AZ63" i="7" s="1"/>
  <c r="AN63" i="7" a="1"/>
  <c r="AN63" i="7" s="1"/>
  <c r="BA62" i="7" a="1"/>
  <c r="BA62" i="7" s="1"/>
  <c r="AW62" i="7" a="1"/>
  <c r="AW62" i="7" s="1"/>
  <c r="AV62" i="7" s="1"/>
  <c r="AO62" i="7" a="1"/>
  <c r="AO62" i="7" s="1"/>
  <c r="BB61" i="7" a="1"/>
  <c r="BB61" i="7" s="1"/>
  <c r="AX61" i="7" a="1"/>
  <c r="AX61" i="7" s="1"/>
  <c r="AP61" i="7" a="1"/>
  <c r="AP61" i="7" s="1"/>
  <c r="AZ132" i="7" a="1"/>
  <c r="AZ132" i="7" s="1"/>
  <c r="AY130" i="7" a="1"/>
  <c r="AY130" i="7" s="1"/>
  <c r="AO126" i="7" a="1"/>
  <c r="AO126" i="7" s="1"/>
  <c r="AZ120" i="7" a="1"/>
  <c r="AZ120" i="7" s="1"/>
  <c r="AP116" i="7" a="1"/>
  <c r="AP116" i="7" s="1"/>
  <c r="BA110" i="7" a="1"/>
  <c r="BA110" i="7" s="1"/>
  <c r="AY104" i="7" a="1"/>
  <c r="AY104" i="7" s="1"/>
  <c r="AO104" i="7" a="1"/>
  <c r="AO104" i="7" s="1"/>
  <c r="AW102" i="7" a="1"/>
  <c r="AW102" i="7" s="1"/>
  <c r="AV102" i="7" s="1"/>
  <c r="AY101" i="7" a="1"/>
  <c r="AY101" i="7" s="1"/>
  <c r="BA100" i="7" a="1"/>
  <c r="BA100" i="7" s="1"/>
  <c r="AW100" i="7" a="1"/>
  <c r="AW100" i="7" s="1"/>
  <c r="AV100" i="7" s="1"/>
  <c r="AO100" i="7" a="1"/>
  <c r="AO100" i="7" s="1"/>
  <c r="BA99" i="7" a="1"/>
  <c r="BA99" i="7" s="1"/>
  <c r="AW99" i="7" a="1"/>
  <c r="AW99" i="7" s="1"/>
  <c r="AV99" i="7" s="1"/>
  <c r="AO99" i="7" a="1"/>
  <c r="AO99" i="7" s="1"/>
  <c r="BC134" i="7" a="1"/>
  <c r="BC134" i="7" s="1"/>
  <c r="AN131" i="7" a="1"/>
  <c r="AN131" i="7" s="1"/>
  <c r="AQ130" i="7" a="1"/>
  <c r="AQ130" i="7" s="1"/>
  <c r="BB124" i="7" a="1"/>
  <c r="BB124" i="7" s="1"/>
  <c r="BC114" i="7" a="1"/>
  <c r="BC114" i="7" s="1"/>
  <c r="AM109" i="7" a="1"/>
  <c r="AM109" i="7" s="1"/>
  <c r="AL109" i="7" s="1"/>
  <c r="AY108" i="7" a="1"/>
  <c r="AY108" i="7" s="1"/>
  <c r="BA107" i="7" a="1"/>
  <c r="BA107" i="7" s="1"/>
  <c r="BB106" i="7" a="1"/>
  <c r="BB106" i="7" s="1"/>
  <c r="AQ106" i="7" a="1"/>
  <c r="AQ106" i="7" s="1"/>
  <c r="BB105" i="7" a="1"/>
  <c r="BB105" i="7" s="1"/>
  <c r="AW105" i="7" a="1"/>
  <c r="AW105" i="7" s="1"/>
  <c r="AV105" i="7" s="1"/>
  <c r="AM105" i="7" a="1"/>
  <c r="AM105" i="7" s="1"/>
  <c r="AL105" i="7" s="1"/>
  <c r="AY103" i="7" a="1"/>
  <c r="AY103" i="7" s="1"/>
  <c r="AP103" i="7" a="1"/>
  <c r="AP103" i="7" s="1"/>
  <c r="BA102" i="7" a="1"/>
  <c r="BA102" i="7" s="1"/>
  <c r="AN102" i="7" a="1"/>
  <c r="AN102" i="7" s="1"/>
  <c r="BC101" i="7" a="1"/>
  <c r="BC101" i="7" s="1"/>
  <c r="AZ98" i="7" a="1"/>
  <c r="AZ98" i="7" s="1"/>
  <c r="AN98" i="7" a="1"/>
  <c r="AN98" i="7" s="1"/>
  <c r="BA97" i="7" a="1"/>
  <c r="BA97" i="7" s="1"/>
  <c r="AW97" i="7" a="1"/>
  <c r="AW97" i="7" s="1"/>
  <c r="AV97" i="7" s="1"/>
  <c r="AO97" i="7" a="1"/>
  <c r="AO97" i="7" s="1"/>
  <c r="BB96" i="7" a="1"/>
  <c r="BB96" i="7" s="1"/>
  <c r="AX96" i="7" a="1"/>
  <c r="AX96" i="7" s="1"/>
  <c r="AP96" i="7" a="1"/>
  <c r="AP96" i="7" s="1"/>
  <c r="BC95" i="7" a="1"/>
  <c r="BC95" i="7" s="1"/>
  <c r="AY95" i="7" a="1"/>
  <c r="AY95" i="7" s="1"/>
  <c r="AQ95" i="7" a="1"/>
  <c r="AQ95" i="7" s="1"/>
  <c r="AM95" i="7" a="1"/>
  <c r="AM95" i="7" s="1"/>
  <c r="AL95" i="7" s="1"/>
  <c r="AZ94" i="7" a="1"/>
  <c r="AZ94" i="7" s="1"/>
  <c r="AN94" i="7" a="1"/>
  <c r="AN94" i="7" s="1"/>
  <c r="BA93" i="7" a="1"/>
  <c r="BA93" i="7" s="1"/>
  <c r="AW93" i="7" a="1"/>
  <c r="AW93" i="7" s="1"/>
  <c r="AV93" i="7" s="1"/>
  <c r="AO93" i="7" a="1"/>
  <c r="AO93" i="7" s="1"/>
  <c r="BB92" i="7" a="1"/>
  <c r="BB92" i="7" s="1"/>
  <c r="AX92" i="7" a="1"/>
  <c r="AX92" i="7" s="1"/>
  <c r="AP92" i="7" a="1"/>
  <c r="AP92" i="7" s="1"/>
  <c r="BC91" i="7" a="1"/>
  <c r="BC91" i="7" s="1"/>
  <c r="AY91" i="7" a="1"/>
  <c r="AY91" i="7" s="1"/>
  <c r="AQ91" i="7" a="1"/>
  <c r="AQ91" i="7" s="1"/>
  <c r="AM91" i="7" a="1"/>
  <c r="AM91" i="7" s="1"/>
  <c r="AL91" i="7" s="1"/>
  <c r="AZ90" i="7" a="1"/>
  <c r="AZ90" i="7" s="1"/>
  <c r="AN90" i="7" a="1"/>
  <c r="AN90" i="7" s="1"/>
  <c r="BA89" i="7" a="1"/>
  <c r="BA89" i="7" s="1"/>
  <c r="AW89" i="7" a="1"/>
  <c r="AW89" i="7" s="1"/>
  <c r="AV89" i="7" s="1"/>
  <c r="AO89" i="7" a="1"/>
  <c r="AO89" i="7" s="1"/>
  <c r="BB88" i="7" a="1"/>
  <c r="BB88" i="7" s="1"/>
  <c r="AX88" i="7" a="1"/>
  <c r="AX88" i="7" s="1"/>
  <c r="AP88" i="7" a="1"/>
  <c r="AP88" i="7" s="1"/>
  <c r="BC87" i="7" a="1"/>
  <c r="BC87" i="7" s="1"/>
  <c r="AY87" i="7" a="1"/>
  <c r="AY87" i="7" s="1"/>
  <c r="AQ87" i="7" a="1"/>
  <c r="AQ87" i="7" s="1"/>
  <c r="AM87" i="7" a="1"/>
  <c r="AM87" i="7" s="1"/>
  <c r="AL87" i="7" s="1"/>
  <c r="AZ86" i="7" a="1"/>
  <c r="AZ86" i="7" s="1"/>
  <c r="AN86" i="7" a="1"/>
  <c r="AN86" i="7" s="1"/>
  <c r="BA85" i="7" a="1"/>
  <c r="BA85" i="7" s="1"/>
  <c r="AW85" i="7" a="1"/>
  <c r="AW85" i="7" s="1"/>
  <c r="AV85" i="7" s="1"/>
  <c r="AO85" i="7" a="1"/>
  <c r="AO85" i="7" s="1"/>
  <c r="BB84" i="7" a="1"/>
  <c r="BB84" i="7" s="1"/>
  <c r="AX84" i="7" a="1"/>
  <c r="AX84" i="7" s="1"/>
  <c r="AP84" i="7" a="1"/>
  <c r="AP84" i="7" s="1"/>
  <c r="BC83" i="7" a="1"/>
  <c r="BC83" i="7" s="1"/>
  <c r="AY83" i="7" a="1"/>
  <c r="AY83" i="7" s="1"/>
  <c r="AQ83" i="7" a="1"/>
  <c r="AQ83" i="7" s="1"/>
  <c r="AM83" i="7" a="1"/>
  <c r="AM83" i="7" s="1"/>
  <c r="AL83" i="7" s="1"/>
  <c r="AZ82" i="7" a="1"/>
  <c r="AZ82" i="7" s="1"/>
  <c r="AN82" i="7" a="1"/>
  <c r="AN82" i="7" s="1"/>
  <c r="BA81" i="7" a="1"/>
  <c r="BA81" i="7" s="1"/>
  <c r="AW81" i="7" a="1"/>
  <c r="AW81" i="7" s="1"/>
  <c r="AV81" i="7" s="1"/>
  <c r="AO81" i="7" a="1"/>
  <c r="AO81" i="7" s="1"/>
  <c r="BB80" i="7" a="1"/>
  <c r="BB80" i="7" s="1"/>
  <c r="AX80" i="7" a="1"/>
  <c r="AX80" i="7" s="1"/>
  <c r="AP80" i="7" a="1"/>
  <c r="AP80" i="7" s="1"/>
  <c r="BC79" i="7" a="1"/>
  <c r="BC79" i="7" s="1"/>
  <c r="AY79" i="7" a="1"/>
  <c r="AY79" i="7" s="1"/>
  <c r="AQ79" i="7" a="1"/>
  <c r="AQ79" i="7" s="1"/>
  <c r="AM79" i="7" a="1"/>
  <c r="AM79" i="7" s="1"/>
  <c r="AL79" i="7" s="1"/>
  <c r="AZ78" i="7" a="1"/>
  <c r="AZ78" i="7" s="1"/>
  <c r="AN78" i="7" a="1"/>
  <c r="AN78" i="7" s="1"/>
  <c r="BA77" i="7" a="1"/>
  <c r="BA77" i="7" s="1"/>
  <c r="AW77" i="7" a="1"/>
  <c r="AW77" i="7" s="1"/>
  <c r="AV77" i="7" s="1"/>
  <c r="AO77" i="7" a="1"/>
  <c r="AO77" i="7" s="1"/>
  <c r="BB76" i="7" a="1"/>
  <c r="BB76" i="7" s="1"/>
  <c r="AX76" i="7" a="1"/>
  <c r="AX76" i="7" s="1"/>
  <c r="AP76" i="7" a="1"/>
  <c r="AP76" i="7" s="1"/>
  <c r="BC75" i="7" a="1"/>
  <c r="BC75" i="7" s="1"/>
  <c r="AY75" i="7" a="1"/>
  <c r="AY75" i="7" s="1"/>
  <c r="AQ75" i="7" a="1"/>
  <c r="AQ75" i="7" s="1"/>
  <c r="AM75" i="7" a="1"/>
  <c r="AM75" i="7" s="1"/>
  <c r="AL75" i="7" s="1"/>
  <c r="AZ74" i="7" a="1"/>
  <c r="AZ74" i="7" s="1"/>
  <c r="AN74" i="7" a="1"/>
  <c r="AN74" i="7" s="1"/>
  <c r="BA73" i="7" a="1"/>
  <c r="BA73" i="7" s="1"/>
  <c r="AW73" i="7" a="1"/>
  <c r="AW73" i="7" s="1"/>
  <c r="AV73" i="7" s="1"/>
  <c r="AO73" i="7" a="1"/>
  <c r="AO73" i="7" s="1"/>
  <c r="BB72" i="7" a="1"/>
  <c r="BB72" i="7" s="1"/>
  <c r="AX72" i="7" a="1"/>
  <c r="AX72" i="7" s="1"/>
  <c r="AP72" i="7" a="1"/>
  <c r="AP72" i="7" s="1"/>
  <c r="BC71" i="7" a="1"/>
  <c r="BC71" i="7" s="1"/>
  <c r="AY71" i="7" a="1"/>
  <c r="AY71" i="7" s="1"/>
  <c r="AQ71" i="7" a="1"/>
  <c r="AQ71" i="7" s="1"/>
  <c r="AM71" i="7" a="1"/>
  <c r="AM71" i="7" s="1"/>
  <c r="AL71" i="7" s="1"/>
  <c r="AZ70" i="7" a="1"/>
  <c r="AZ70" i="7" s="1"/>
  <c r="AN70" i="7" a="1"/>
  <c r="AN70" i="7" s="1"/>
  <c r="BA69" i="7" a="1"/>
  <c r="BA69" i="7" s="1"/>
  <c r="AW69" i="7" a="1"/>
  <c r="AW69" i="7" s="1"/>
  <c r="AV69" i="7" s="1"/>
  <c r="AO69" i="7" a="1"/>
  <c r="AO69" i="7" s="1"/>
  <c r="BB68" i="7" a="1"/>
  <c r="BB68" i="7" s="1"/>
  <c r="AX68" i="7" a="1"/>
  <c r="AX68" i="7" s="1"/>
  <c r="AP68" i="7" a="1"/>
  <c r="AP68" i="7" s="1"/>
  <c r="BC67" i="7" a="1"/>
  <c r="BC67" i="7" s="1"/>
  <c r="AY67" i="7" a="1"/>
  <c r="AY67" i="7" s="1"/>
  <c r="AQ67" i="7" a="1"/>
  <c r="AQ67" i="7" s="1"/>
  <c r="AM67" i="7" a="1"/>
  <c r="AM67" i="7" s="1"/>
  <c r="AL67" i="7" s="1"/>
  <c r="AZ66" i="7" a="1"/>
  <c r="AZ66" i="7" s="1"/>
  <c r="AN66" i="7" a="1"/>
  <c r="AN66" i="7" s="1"/>
  <c r="BA65" i="7" a="1"/>
  <c r="BA65" i="7" s="1"/>
  <c r="AW65" i="7" a="1"/>
  <c r="AW65" i="7" s="1"/>
  <c r="AV65" i="7" s="1"/>
  <c r="AO65" i="7" a="1"/>
  <c r="AO65" i="7" s="1"/>
  <c r="BB64" i="7" a="1"/>
  <c r="BB64" i="7" s="1"/>
  <c r="AX64" i="7" a="1"/>
  <c r="AX64" i="7" s="1"/>
  <c r="AP64" i="7" a="1"/>
  <c r="AP64" i="7" s="1"/>
  <c r="AZ171" i="7" a="1"/>
  <c r="AZ171" i="7" s="1"/>
  <c r="BB151" i="7" a="1"/>
  <c r="BB151" i="7" s="1"/>
  <c r="BC139" i="7" a="1"/>
  <c r="BC139" i="7" s="1"/>
  <c r="AQ137" i="7" a="1"/>
  <c r="AQ137" i="7" s="1"/>
  <c r="AM130" i="7" a="1"/>
  <c r="AM130" i="7" s="1"/>
  <c r="AL130" i="7" s="1"/>
  <c r="AX124" i="7" a="1"/>
  <c r="AX124" i="7" s="1"/>
  <c r="AN120" i="7" a="1"/>
  <c r="AN120" i="7" s="1"/>
  <c r="AY114" i="7" a="1"/>
  <c r="AY114" i="7" s="1"/>
  <c r="AW110" i="7" a="1"/>
  <c r="AW110" i="7" s="1"/>
  <c r="AV110" i="7" s="1"/>
  <c r="AX108" i="7" a="1"/>
  <c r="AX108" i="7" s="1"/>
  <c r="AZ106" i="7" a="1"/>
  <c r="AZ106" i="7" s="1"/>
  <c r="BC104" i="7" a="1"/>
  <c r="BC104" i="7" s="1"/>
  <c r="AW104" i="7" a="1"/>
  <c r="AW104" i="7" s="1"/>
  <c r="AV104" i="7" s="1"/>
  <c r="AN104" i="7" a="1"/>
  <c r="AN104" i="7" s="1"/>
  <c r="AM102" i="7" a="1"/>
  <c r="AM102" i="7" s="1"/>
  <c r="AL102" i="7" s="1"/>
  <c r="AO101" i="7" a="1"/>
  <c r="AO101" i="7" s="1"/>
  <c r="AZ100" i="7" a="1"/>
  <c r="AZ100" i="7" s="1"/>
  <c r="AN100" i="7" a="1"/>
  <c r="AN100" i="7" s="1"/>
  <c r="AZ99" i="7" a="1"/>
  <c r="AZ99" i="7" s="1"/>
  <c r="AN99" i="7" a="1"/>
  <c r="AN99" i="7" s="1"/>
  <c r="AO177" i="7" a="1"/>
  <c r="AO177" i="7" s="1"/>
  <c r="AQ157" i="7" a="1"/>
  <c r="AQ157" i="7" s="1"/>
  <c r="AO145" i="7" a="1"/>
  <c r="AO145" i="7" s="1"/>
  <c r="AN139" i="7" a="1"/>
  <c r="AN139" i="7" s="1"/>
  <c r="AN134" i="7" a="1"/>
  <c r="AN134" i="7" s="1"/>
  <c r="AZ128" i="7" a="1"/>
  <c r="AZ128" i="7" s="1"/>
  <c r="AP124" i="7" a="1"/>
  <c r="AP124" i="7" s="1"/>
  <c r="BA118" i="7" a="1"/>
  <c r="BA118" i="7" s="1"/>
  <c r="AQ114" i="7" a="1"/>
  <c r="AQ114" i="7" s="1"/>
  <c r="BC109" i="7" a="1"/>
  <c r="BC109" i="7" s="1"/>
  <c r="AZ107" i="7" a="1"/>
  <c r="AZ107" i="7" s="1"/>
  <c r="AO107" i="7" a="1"/>
  <c r="AO107" i="7" s="1"/>
  <c r="AP106" i="7" a="1"/>
  <c r="AP106" i="7" s="1"/>
  <c r="BA105" i="7" a="1"/>
  <c r="BA105" i="7" s="1"/>
  <c r="AQ105" i="7" a="1"/>
  <c r="AQ105" i="7" s="1"/>
  <c r="BC103" i="7" a="1"/>
  <c r="BC103" i="7" s="1"/>
  <c r="AX103" i="7" a="1"/>
  <c r="AX103" i="7" s="1"/>
  <c r="AN103" i="7" a="1"/>
  <c r="AN103" i="7" s="1"/>
  <c r="AZ102" i="7" a="1"/>
  <c r="AZ102" i="7" s="1"/>
  <c r="AQ102" i="7" a="1"/>
  <c r="AQ102" i="7" s="1"/>
  <c r="AW101" i="7" a="1"/>
  <c r="AW101" i="7" s="1"/>
  <c r="AV101" i="7" s="1"/>
  <c r="BC98" i="7" a="1"/>
  <c r="BC98" i="7" s="1"/>
  <c r="AY98" i="7" a="1"/>
  <c r="AY98" i="7" s="1"/>
  <c r="AQ98" i="7" a="1"/>
  <c r="AQ98" i="7" s="1"/>
  <c r="AM98" i="7" a="1"/>
  <c r="AM98" i="7" s="1"/>
  <c r="AL98" i="7" s="1"/>
  <c r="AZ97" i="7" a="1"/>
  <c r="AZ97" i="7" s="1"/>
  <c r="AN97" i="7" a="1"/>
  <c r="AN97" i="7" s="1"/>
  <c r="BA96" i="7" a="1"/>
  <c r="BA96" i="7" s="1"/>
  <c r="AW96" i="7" a="1"/>
  <c r="AW96" i="7" s="1"/>
  <c r="AV96" i="7" s="1"/>
  <c r="AO96" i="7" a="1"/>
  <c r="AO96" i="7" s="1"/>
  <c r="BB95" i="7" a="1"/>
  <c r="BB95" i="7" s="1"/>
  <c r="AX95" i="7" a="1"/>
  <c r="AX95" i="7" s="1"/>
  <c r="AP95" i="7" a="1"/>
  <c r="AP95" i="7" s="1"/>
  <c r="BC94" i="7" a="1"/>
  <c r="BC94" i="7" s="1"/>
  <c r="AY94" i="7" a="1"/>
  <c r="AY94" i="7" s="1"/>
  <c r="AQ94" i="7" a="1"/>
  <c r="AQ94" i="7" s="1"/>
  <c r="AM94" i="7" a="1"/>
  <c r="AM94" i="7" s="1"/>
  <c r="AL94" i="7" s="1"/>
  <c r="AZ93" i="7" a="1"/>
  <c r="AZ93" i="7" s="1"/>
  <c r="AN93" i="7" a="1"/>
  <c r="AN93" i="7" s="1"/>
  <c r="BA92" i="7" a="1"/>
  <c r="BA92" i="7" s="1"/>
  <c r="AW92" i="7" a="1"/>
  <c r="AW92" i="7" s="1"/>
  <c r="AV92" i="7" s="1"/>
  <c r="AO92" i="7" a="1"/>
  <c r="AO92" i="7" s="1"/>
  <c r="BB91" i="7" a="1"/>
  <c r="BB91" i="7" s="1"/>
  <c r="AX91" i="7" a="1"/>
  <c r="AX91" i="7" s="1"/>
  <c r="AP91" i="7" a="1"/>
  <c r="AP91" i="7" s="1"/>
  <c r="BC90" i="7" a="1"/>
  <c r="BC90" i="7" s="1"/>
  <c r="AY90" i="7" a="1"/>
  <c r="AY90" i="7" s="1"/>
  <c r="AQ90" i="7" a="1"/>
  <c r="AQ90" i="7" s="1"/>
  <c r="AM90" i="7" a="1"/>
  <c r="AM90" i="7" s="1"/>
  <c r="AL90" i="7" s="1"/>
  <c r="AZ89" i="7" a="1"/>
  <c r="AZ89" i="7" s="1"/>
  <c r="AN89" i="7" a="1"/>
  <c r="AN89" i="7" s="1"/>
  <c r="BA88" i="7" a="1"/>
  <c r="BA88" i="7" s="1"/>
  <c r="AW88" i="7" a="1"/>
  <c r="AW88" i="7" s="1"/>
  <c r="AV88" i="7" s="1"/>
  <c r="AO88" i="7" a="1"/>
  <c r="AO88" i="7" s="1"/>
  <c r="BB87" i="7" a="1"/>
  <c r="BB87" i="7" s="1"/>
  <c r="AX87" i="7" a="1"/>
  <c r="AX87" i="7" s="1"/>
  <c r="AP87" i="7" a="1"/>
  <c r="AP87" i="7" s="1"/>
  <c r="BC86" i="7" a="1"/>
  <c r="BC86" i="7" s="1"/>
  <c r="AY86" i="7" a="1"/>
  <c r="AY86" i="7" s="1"/>
  <c r="AQ86" i="7" a="1"/>
  <c r="AQ86" i="7" s="1"/>
  <c r="AM86" i="7" a="1"/>
  <c r="AM86" i="7" s="1"/>
  <c r="AL86" i="7" s="1"/>
  <c r="AZ85" i="7" a="1"/>
  <c r="AZ85" i="7" s="1"/>
  <c r="AN85" i="7" a="1"/>
  <c r="AN85" i="7" s="1"/>
  <c r="BA84" i="7" a="1"/>
  <c r="BA84" i="7" s="1"/>
  <c r="AW84" i="7" a="1"/>
  <c r="AW84" i="7" s="1"/>
  <c r="AV84" i="7" s="1"/>
  <c r="AO84" i="7" a="1"/>
  <c r="AO84" i="7" s="1"/>
  <c r="BB83" i="7" a="1"/>
  <c r="BB83" i="7" s="1"/>
  <c r="AX83" i="7" a="1"/>
  <c r="AX83" i="7" s="1"/>
  <c r="AP83" i="7" a="1"/>
  <c r="AP83" i="7" s="1"/>
  <c r="BC82" i="7" a="1"/>
  <c r="BC82" i="7" s="1"/>
  <c r="AY82" i="7" a="1"/>
  <c r="AY82" i="7" s="1"/>
  <c r="AQ82" i="7" a="1"/>
  <c r="AQ82" i="7" s="1"/>
  <c r="AM82" i="7" a="1"/>
  <c r="AM82" i="7" s="1"/>
  <c r="AL82" i="7" s="1"/>
  <c r="AZ81" i="7" a="1"/>
  <c r="AZ81" i="7" s="1"/>
  <c r="AN81" i="7" a="1"/>
  <c r="AN81" i="7" s="1"/>
  <c r="BA80" i="7" a="1"/>
  <c r="BA80" i="7" s="1"/>
  <c r="AW80" i="7" a="1"/>
  <c r="AW80" i="7" s="1"/>
  <c r="AV80" i="7" s="1"/>
  <c r="AO80" i="7" a="1"/>
  <c r="AO80" i="7" s="1"/>
  <c r="BB79" i="7" a="1"/>
  <c r="BB79" i="7" s="1"/>
  <c r="AX79" i="7" a="1"/>
  <c r="AX79" i="7" s="1"/>
  <c r="AP79" i="7" a="1"/>
  <c r="AP79" i="7" s="1"/>
  <c r="BC78" i="7" a="1"/>
  <c r="BC78" i="7" s="1"/>
  <c r="AY78" i="7" a="1"/>
  <c r="AY78" i="7" s="1"/>
  <c r="AQ78" i="7" a="1"/>
  <c r="AQ78" i="7" s="1"/>
  <c r="AM78" i="7" a="1"/>
  <c r="AM78" i="7" s="1"/>
  <c r="AL78" i="7" s="1"/>
  <c r="AZ77" i="7" a="1"/>
  <c r="AZ77" i="7" s="1"/>
  <c r="AN77" i="7" a="1"/>
  <c r="AN77" i="7" s="1"/>
  <c r="BA76" i="7" a="1"/>
  <c r="BA76" i="7" s="1"/>
  <c r="AW76" i="7" a="1"/>
  <c r="AW76" i="7" s="1"/>
  <c r="AV76" i="7" s="1"/>
  <c r="AO76" i="7" a="1"/>
  <c r="AO76" i="7" s="1"/>
  <c r="BB75" i="7" a="1"/>
  <c r="BB75" i="7" s="1"/>
  <c r="AX75" i="7" a="1"/>
  <c r="AX75" i="7" s="1"/>
  <c r="AP75" i="7" a="1"/>
  <c r="AP75" i="7" s="1"/>
  <c r="BC74" i="7" a="1"/>
  <c r="BC74" i="7" s="1"/>
  <c r="AY74" i="7" a="1"/>
  <c r="AY74" i="7" s="1"/>
  <c r="AQ74" i="7" a="1"/>
  <c r="AQ74" i="7" s="1"/>
  <c r="AM74" i="7" a="1"/>
  <c r="AM74" i="7" s="1"/>
  <c r="AL74" i="7" s="1"/>
  <c r="AZ73" i="7" a="1"/>
  <c r="AZ73" i="7" s="1"/>
  <c r="AN73" i="7" a="1"/>
  <c r="AN73" i="7" s="1"/>
  <c r="BA72" i="7" a="1"/>
  <c r="BA72" i="7" s="1"/>
  <c r="AW72" i="7" a="1"/>
  <c r="AW72" i="7" s="1"/>
  <c r="AV72" i="7" s="1"/>
  <c r="AO72" i="7" a="1"/>
  <c r="AO72" i="7" s="1"/>
  <c r="BB71" i="7" a="1"/>
  <c r="BB71" i="7" s="1"/>
  <c r="AX71" i="7" a="1"/>
  <c r="AX71" i="7" s="1"/>
  <c r="AP71" i="7" a="1"/>
  <c r="AP71" i="7" s="1"/>
  <c r="BC70" i="7" a="1"/>
  <c r="BC70" i="7" s="1"/>
  <c r="AY70" i="7" a="1"/>
  <c r="AY70" i="7" s="1"/>
  <c r="AQ70" i="7" a="1"/>
  <c r="AQ70" i="7" s="1"/>
  <c r="AM70" i="7" a="1"/>
  <c r="AM70" i="7" s="1"/>
  <c r="AL70" i="7" s="1"/>
  <c r="AZ69" i="7" a="1"/>
  <c r="AZ69" i="7" s="1"/>
  <c r="AN69" i="7" a="1"/>
  <c r="AN69" i="7" s="1"/>
  <c r="BA68" i="7" a="1"/>
  <c r="BA68" i="7" s="1"/>
  <c r="AW68" i="7" a="1"/>
  <c r="AW68" i="7" s="1"/>
  <c r="AV68" i="7" s="1"/>
  <c r="AO68" i="7" a="1"/>
  <c r="AO68" i="7" s="1"/>
  <c r="BB67" i="7" a="1"/>
  <c r="BB67" i="7" s="1"/>
  <c r="AX67" i="7" a="1"/>
  <c r="AX67" i="7" s="1"/>
  <c r="AP67" i="7" a="1"/>
  <c r="AP67" i="7" s="1"/>
  <c r="BC66" i="7" a="1"/>
  <c r="BC66" i="7" s="1"/>
  <c r="AY66" i="7" a="1"/>
  <c r="AY66" i="7" s="1"/>
  <c r="AQ66" i="7" a="1"/>
  <c r="AQ66" i="7" s="1"/>
  <c r="AM66" i="7" a="1"/>
  <c r="AM66" i="7" s="1"/>
  <c r="AL66" i="7" s="1"/>
  <c r="AZ65" i="7" a="1"/>
  <c r="AZ65" i="7" s="1"/>
  <c r="AN65" i="7" a="1"/>
  <c r="AN65" i="7" s="1"/>
  <c r="BA64" i="7" a="1"/>
  <c r="BA64" i="7" s="1"/>
  <c r="AW64" i="7" a="1"/>
  <c r="AW64" i="7" s="1"/>
  <c r="AV64" i="7" s="1"/>
  <c r="AO64" i="7" a="1"/>
  <c r="AO64" i="7" s="1"/>
  <c r="BB63" i="7" a="1"/>
  <c r="BB63" i="7" s="1"/>
  <c r="AX63" i="7" a="1"/>
  <c r="AX63" i="7" s="1"/>
  <c r="AP63" i="7" a="1"/>
  <c r="AP63" i="7" s="1"/>
  <c r="BC62" i="7" a="1"/>
  <c r="BC62" i="7" s="1"/>
  <c r="AY62" i="7" a="1"/>
  <c r="AY62" i="7" s="1"/>
  <c r="AQ62" i="7" a="1"/>
  <c r="AQ62" i="7" s="1"/>
  <c r="AM62" i="7" a="1"/>
  <c r="AM62" i="7" s="1"/>
  <c r="AL62" i="7" s="1"/>
  <c r="AZ61" i="7" a="1"/>
  <c r="AZ61" i="7" s="1"/>
  <c r="AN61" i="7" a="1"/>
  <c r="AN61" i="7" s="1"/>
  <c r="BA60" i="7" a="1"/>
  <c r="BA60" i="7" s="1"/>
  <c r="AW60" i="7" a="1"/>
  <c r="AW60" i="7" s="1"/>
  <c r="AV60" i="7" s="1"/>
  <c r="AO60" i="7" a="1"/>
  <c r="AO60" i="7" s="1"/>
  <c r="BB59" i="7" a="1"/>
  <c r="BB59" i="7" s="1"/>
  <c r="AX59" i="7" a="1"/>
  <c r="AX59" i="7" s="1"/>
  <c r="AP59" i="7" a="1"/>
  <c r="AP59" i="7" s="1"/>
  <c r="BC58" i="7" a="1"/>
  <c r="BC58" i="7" s="1"/>
  <c r="AY58" i="7" a="1"/>
  <c r="AY58" i="7" s="1"/>
  <c r="AQ58" i="7" a="1"/>
  <c r="AQ58" i="7" s="1"/>
  <c r="AM58" i="7" a="1"/>
  <c r="AM58" i="7" s="1"/>
  <c r="AL58" i="7" s="1"/>
  <c r="AZ57" i="7" a="1"/>
  <c r="AZ57" i="7" s="1"/>
  <c r="AN57" i="7" a="1"/>
  <c r="AN57" i="7" s="1"/>
  <c r="BA56" i="7" a="1"/>
  <c r="BA56" i="7" s="1"/>
  <c r="AW56" i="7" a="1"/>
  <c r="AW56" i="7" s="1"/>
  <c r="AV56" i="7" s="1"/>
  <c r="AO56" i="7" a="1"/>
  <c r="AO56" i="7" s="1"/>
  <c r="BB55" i="7" a="1"/>
  <c r="BB55" i="7" s="1"/>
  <c r="AX55" i="7" a="1"/>
  <c r="AX55" i="7" s="1"/>
  <c r="AP55" i="7" a="1"/>
  <c r="AP55" i="7" s="1"/>
  <c r="BC54" i="7" a="1"/>
  <c r="BC54" i="7" s="1"/>
  <c r="AY54" i="7" a="1"/>
  <c r="AY54" i="7" s="1"/>
  <c r="AQ54" i="7" a="1"/>
  <c r="AQ54" i="7" s="1"/>
  <c r="AM54" i="7" a="1"/>
  <c r="AM54" i="7" s="1"/>
  <c r="AL54" i="7" s="1"/>
  <c r="AZ53" i="7" a="1"/>
  <c r="AZ53" i="7" s="1"/>
  <c r="AN53" i="7" a="1"/>
  <c r="AN53" i="7" s="1"/>
  <c r="AM65" i="7" a="1"/>
  <c r="AM65" i="7" s="1"/>
  <c r="AL65" i="7" s="1"/>
  <c r="AQ63" i="7" a="1"/>
  <c r="AQ63" i="7" s="1"/>
  <c r="AW61" i="7" a="1"/>
  <c r="AW61" i="7" s="1"/>
  <c r="AV61" i="7" s="1"/>
  <c r="AQ60" i="7" a="1"/>
  <c r="AQ60" i="7" s="1"/>
  <c r="BC59" i="7" a="1"/>
  <c r="BC59" i="7" s="1"/>
  <c r="AW58" i="7" a="1"/>
  <c r="AW58" i="7" s="1"/>
  <c r="AV58" i="7" s="1"/>
  <c r="AM57" i="7" a="1"/>
  <c r="AM57" i="7" s="1"/>
  <c r="AL57" i="7" s="1"/>
  <c r="AY56" i="7" a="1"/>
  <c r="AY56" i="7" s="1"/>
  <c r="AO55" i="7" a="1"/>
  <c r="AO55" i="7" s="1"/>
  <c r="BA54" i="7" a="1"/>
  <c r="BA54" i="7" s="1"/>
  <c r="AN54" i="7" a="1"/>
  <c r="AN54" i="7" s="1"/>
  <c r="AQ53" i="7" a="1"/>
  <c r="AQ53" i="7" s="1"/>
  <c r="AZ52" i="7" a="1"/>
  <c r="AZ52" i="7" s="1"/>
  <c r="AN52" i="7" a="1"/>
  <c r="AN52" i="7" s="1"/>
  <c r="BA51" i="7" a="1"/>
  <c r="BA51" i="7" s="1"/>
  <c r="AW51" i="7" a="1"/>
  <c r="AW51" i="7" s="1"/>
  <c r="AV51" i="7" s="1"/>
  <c r="AO51" i="7" a="1"/>
  <c r="AO51" i="7" s="1"/>
  <c r="BB50" i="7" a="1"/>
  <c r="BB50" i="7" s="1"/>
  <c r="AX50" i="7" a="1"/>
  <c r="AX50" i="7" s="1"/>
  <c r="AP50" i="7" a="1"/>
  <c r="AP50" i="7" s="1"/>
  <c r="BC49" i="7" a="1"/>
  <c r="BC49" i="7" s="1"/>
  <c r="AY49" i="7" a="1"/>
  <c r="AY49" i="7" s="1"/>
  <c r="AQ49" i="7" a="1"/>
  <c r="AQ49" i="7" s="1"/>
  <c r="AM49" i="7" a="1"/>
  <c r="AM49" i="7" s="1"/>
  <c r="AL49" i="7" s="1"/>
  <c r="AZ48" i="7" a="1"/>
  <c r="AZ48" i="7" s="1"/>
  <c r="AN48" i="7" a="1"/>
  <c r="AN48" i="7" s="1"/>
  <c r="BA47" i="7" a="1"/>
  <c r="BA47" i="7" s="1"/>
  <c r="AW47" i="7" a="1"/>
  <c r="AW47" i="7" s="1"/>
  <c r="AV47" i="7" s="1"/>
  <c r="AO47" i="7" a="1"/>
  <c r="AO47" i="7" s="1"/>
  <c r="BB46" i="7" a="1"/>
  <c r="BB46" i="7" s="1"/>
  <c r="AX46" i="7" a="1"/>
  <c r="AX46" i="7" s="1"/>
  <c r="AP46" i="7" a="1"/>
  <c r="AP46" i="7" s="1"/>
  <c r="BC45" i="7" a="1"/>
  <c r="BC45" i="7" s="1"/>
  <c r="AY45" i="7" a="1"/>
  <c r="AY45" i="7" s="1"/>
  <c r="AQ45" i="7" a="1"/>
  <c r="AQ45" i="7" s="1"/>
  <c r="AM45" i="7" a="1"/>
  <c r="AM45" i="7" s="1"/>
  <c r="AL45" i="7" s="1"/>
  <c r="AZ44" i="7" a="1"/>
  <c r="AZ44" i="7" s="1"/>
  <c r="AN44" i="7" a="1"/>
  <c r="AN44" i="7" s="1"/>
  <c r="BA43" i="7" a="1"/>
  <c r="BA43" i="7" s="1"/>
  <c r="AW43" i="7" a="1"/>
  <c r="AW43" i="7" s="1"/>
  <c r="AV43" i="7" s="1"/>
  <c r="AO43" i="7" a="1"/>
  <c r="AO43" i="7" s="1"/>
  <c r="BB42" i="7" a="1"/>
  <c r="BB42" i="7" s="1"/>
  <c r="AX42" i="7" a="1"/>
  <c r="AX42" i="7" s="1"/>
  <c r="AP42" i="7" a="1"/>
  <c r="AP42" i="7" s="1"/>
  <c r="BC41" i="7" a="1"/>
  <c r="BC41" i="7" s="1"/>
  <c r="AY41" i="7" a="1"/>
  <c r="AY41" i="7" s="1"/>
  <c r="AQ41" i="7" a="1"/>
  <c r="AQ41" i="7" s="1"/>
  <c r="AM41" i="7" a="1"/>
  <c r="AM41" i="7" s="1"/>
  <c r="AL41" i="7" s="1"/>
  <c r="AZ40" i="7" a="1"/>
  <c r="AZ40" i="7" s="1"/>
  <c r="AN40" i="7" a="1"/>
  <c r="AN40" i="7" s="1"/>
  <c r="BA39" i="7" a="1"/>
  <c r="BA39" i="7" s="1"/>
  <c r="AW39" i="7" a="1"/>
  <c r="AW39" i="7" s="1"/>
  <c r="AV39" i="7" s="1"/>
  <c r="AO39" i="7" a="1"/>
  <c r="AO39" i="7" s="1"/>
  <c r="BB38" i="7" a="1"/>
  <c r="BB38" i="7" s="1"/>
  <c r="AX38" i="7" a="1"/>
  <c r="AX38" i="7" s="1"/>
  <c r="AP38" i="7" a="1"/>
  <c r="AP38" i="7" s="1"/>
  <c r="BC37" i="7" a="1"/>
  <c r="BC37" i="7" s="1"/>
  <c r="AY37" i="7" a="1"/>
  <c r="AY37" i="7" s="1"/>
  <c r="AQ37" i="7" a="1"/>
  <c r="AQ37" i="7" s="1"/>
  <c r="AM37" i="7" a="1"/>
  <c r="AM37" i="7" s="1"/>
  <c r="AL37" i="7" s="1"/>
  <c r="AZ36" i="7" a="1"/>
  <c r="AZ36" i="7" s="1"/>
  <c r="AN36" i="7" a="1"/>
  <c r="AN36" i="7" s="1"/>
  <c r="BA35" i="7" a="1"/>
  <c r="BA35" i="7" s="1"/>
  <c r="AW35" i="7" a="1"/>
  <c r="AW35" i="7" s="1"/>
  <c r="AV35" i="7" s="1"/>
  <c r="AO35" i="7" a="1"/>
  <c r="AO35" i="7" s="1"/>
  <c r="BB34" i="7" a="1"/>
  <c r="BB34" i="7" s="1"/>
  <c r="AX34" i="7" a="1"/>
  <c r="AX34" i="7" s="1"/>
  <c r="AP34" i="7" a="1"/>
  <c r="AP34" i="7" s="1"/>
  <c r="BC33" i="7" a="1"/>
  <c r="BC33" i="7" s="1"/>
  <c r="AY33" i="7" a="1"/>
  <c r="AY33" i="7" s="1"/>
  <c r="AQ33" i="7" a="1"/>
  <c r="AQ33" i="7" s="1"/>
  <c r="AM33" i="7" a="1"/>
  <c r="AM33" i="7" s="1"/>
  <c r="AL33" i="7" s="1"/>
  <c r="AZ32" i="7" a="1"/>
  <c r="AZ32" i="7" s="1"/>
  <c r="AN32" i="7" a="1"/>
  <c r="AN32" i="7" s="1"/>
  <c r="BA31" i="7" a="1"/>
  <c r="BA31" i="7" s="1"/>
  <c r="AW31" i="7" a="1"/>
  <c r="AW31" i="7" s="1"/>
  <c r="AV31" i="7" s="1"/>
  <c r="AO31" i="7" a="1"/>
  <c r="AO31" i="7" s="1"/>
  <c r="BB30" i="7" a="1"/>
  <c r="BB30" i="7" s="1"/>
  <c r="AX30" i="7" a="1"/>
  <c r="AX30" i="7" s="1"/>
  <c r="AP30" i="7" a="1"/>
  <c r="AP30" i="7" s="1"/>
  <c r="BC29" i="7" a="1"/>
  <c r="BC29" i="7" s="1"/>
  <c r="AY29" i="7" a="1"/>
  <c r="AY29" i="7" s="1"/>
  <c r="AQ29" i="7" a="1"/>
  <c r="AQ29" i="7" s="1"/>
  <c r="AM29" i="7" a="1"/>
  <c r="AM29" i="7" s="1"/>
  <c r="AL29" i="7" s="1"/>
  <c r="AZ28" i="7" a="1"/>
  <c r="AZ28" i="7" s="1"/>
  <c r="AN28" i="7" a="1"/>
  <c r="AN28" i="7" s="1"/>
  <c r="BA27" i="7" a="1"/>
  <c r="BA27" i="7" s="1"/>
  <c r="AW27" i="7" a="1"/>
  <c r="AW27" i="7" s="1"/>
  <c r="AV27" i="7" s="1"/>
  <c r="AO27" i="7" a="1"/>
  <c r="AO27" i="7" s="1"/>
  <c r="BB26" i="7" a="1"/>
  <c r="BB26" i="7" s="1"/>
  <c r="AX26" i="7" a="1"/>
  <c r="AX26" i="7" s="1"/>
  <c r="AP26" i="7" a="1"/>
  <c r="AP26" i="7" s="1"/>
  <c r="AY69" i="7" a="1"/>
  <c r="AY69" i="7" s="1"/>
  <c r="BA67" i="7" a="1"/>
  <c r="BA67" i="7" s="1"/>
  <c r="BC65" i="7" a="1"/>
  <c r="BC65" i="7" s="1"/>
  <c r="AM61" i="7" a="1"/>
  <c r="AM61" i="7" s="1"/>
  <c r="AL61" i="7" s="1"/>
  <c r="AY60" i="7" a="1"/>
  <c r="AY60" i="7" s="1"/>
  <c r="AO59" i="7" a="1"/>
  <c r="AO59" i="7" s="1"/>
  <c r="BA58" i="7" a="1"/>
  <c r="BA58" i="7" s="1"/>
  <c r="AN58" i="7" a="1"/>
  <c r="AN58" i="7" s="1"/>
  <c r="AQ57" i="7" a="1"/>
  <c r="AQ57" i="7" s="1"/>
  <c r="BC56" i="7" a="1"/>
  <c r="BC56" i="7" s="1"/>
  <c r="AP56" i="7" a="1"/>
  <c r="AP56" i="7" s="1"/>
  <c r="AW55" i="7" a="1"/>
  <c r="AW55" i="7" s="1"/>
  <c r="AV55" i="7" s="1"/>
  <c r="AY53" i="7" a="1"/>
  <c r="AY53" i="7" s="1"/>
  <c r="AX66" i="7" a="1"/>
  <c r="AX66" i="7" s="1"/>
  <c r="AZ64" i="7" a="1"/>
  <c r="AZ64" i="7" s="1"/>
  <c r="AY63" i="7" a="1"/>
  <c r="AY63" i="7" s="1"/>
  <c r="AZ62" i="7" a="1"/>
  <c r="AZ62" i="7" s="1"/>
  <c r="BA61" i="7" a="1"/>
  <c r="BA61" i="7" s="1"/>
  <c r="BC60" i="7" a="1"/>
  <c r="BC60" i="7" s="1"/>
  <c r="AP60" i="7" a="1"/>
  <c r="AP60" i="7" s="1"/>
  <c r="AW59" i="7" a="1"/>
  <c r="AW59" i="7" s="1"/>
  <c r="AV59" i="7" s="1"/>
  <c r="AY57" i="7" a="1"/>
  <c r="AY57" i="7" s="1"/>
  <c r="AX56" i="7" a="1"/>
  <c r="AX56" i="7" s="1"/>
  <c r="BA55" i="7" a="1"/>
  <c r="BA55" i="7" s="1"/>
  <c r="AN55" i="7" a="1"/>
  <c r="AN55" i="7" s="1"/>
  <c r="AZ54" i="7" a="1"/>
  <c r="AZ54" i="7" s="1"/>
  <c r="BC53" i="7" a="1"/>
  <c r="BC53" i="7" s="1"/>
  <c r="AP53" i="7" a="1"/>
  <c r="AP53" i="7" s="1"/>
  <c r="BC52" i="7" a="1"/>
  <c r="BC52" i="7" s="1"/>
  <c r="AY52" i="7" a="1"/>
  <c r="AY52" i="7" s="1"/>
  <c r="AQ52" i="7" a="1"/>
  <c r="AQ52" i="7" s="1"/>
  <c r="AM52" i="7" a="1"/>
  <c r="AM52" i="7" s="1"/>
  <c r="AL52" i="7" s="1"/>
  <c r="AZ51" i="7" a="1"/>
  <c r="AZ51" i="7" s="1"/>
  <c r="AN51" i="7" a="1"/>
  <c r="AN51" i="7" s="1"/>
  <c r="BA50" i="7" a="1"/>
  <c r="BA50" i="7" s="1"/>
  <c r="AW50" i="7" a="1"/>
  <c r="AW50" i="7" s="1"/>
  <c r="AV50" i="7" s="1"/>
  <c r="AO50" i="7" a="1"/>
  <c r="AO50" i="7" s="1"/>
  <c r="BB49" i="7" a="1"/>
  <c r="BB49" i="7" s="1"/>
  <c r="AX49" i="7" a="1"/>
  <c r="AX49" i="7" s="1"/>
  <c r="AP49" i="7" a="1"/>
  <c r="AP49" i="7" s="1"/>
  <c r="BC48" i="7" a="1"/>
  <c r="BC48" i="7" s="1"/>
  <c r="AY48" i="7" a="1"/>
  <c r="AY48" i="7" s="1"/>
  <c r="AQ48" i="7" a="1"/>
  <c r="AQ48" i="7" s="1"/>
  <c r="AM48" i="7" a="1"/>
  <c r="AM48" i="7" s="1"/>
  <c r="AL48" i="7" s="1"/>
  <c r="AZ47" i="7" a="1"/>
  <c r="AZ47" i="7" s="1"/>
  <c r="AN47" i="7" a="1"/>
  <c r="AN47" i="7" s="1"/>
  <c r="BA46" i="7" a="1"/>
  <c r="BA46" i="7" s="1"/>
  <c r="AW46" i="7" a="1"/>
  <c r="AW46" i="7" s="1"/>
  <c r="AV46" i="7" s="1"/>
  <c r="AO46" i="7" a="1"/>
  <c r="AO46" i="7" s="1"/>
  <c r="BB45" i="7" a="1"/>
  <c r="BB45" i="7" s="1"/>
  <c r="AX45" i="7" a="1"/>
  <c r="AX45" i="7" s="1"/>
  <c r="AP45" i="7" a="1"/>
  <c r="AP45" i="7" s="1"/>
  <c r="BC44" i="7" a="1"/>
  <c r="BC44" i="7" s="1"/>
  <c r="AY44" i="7" a="1"/>
  <c r="AY44" i="7" s="1"/>
  <c r="AQ44" i="7" a="1"/>
  <c r="AQ44" i="7" s="1"/>
  <c r="AM44" i="7" a="1"/>
  <c r="AM44" i="7" s="1"/>
  <c r="AL44" i="7" s="1"/>
  <c r="AZ43" i="7" a="1"/>
  <c r="AZ43" i="7" s="1"/>
  <c r="AN43" i="7" a="1"/>
  <c r="AN43" i="7" s="1"/>
  <c r="BA42" i="7" a="1"/>
  <c r="BA42" i="7" s="1"/>
  <c r="AW42" i="7" a="1"/>
  <c r="AW42" i="7" s="1"/>
  <c r="AV42" i="7" s="1"/>
  <c r="AO42" i="7" a="1"/>
  <c r="AO42" i="7" s="1"/>
  <c r="BB41" i="7" a="1"/>
  <c r="BB41" i="7" s="1"/>
  <c r="AX41" i="7" a="1"/>
  <c r="AX41" i="7" s="1"/>
  <c r="AP41" i="7" a="1"/>
  <c r="AP41" i="7" s="1"/>
  <c r="BC40" i="7" a="1"/>
  <c r="BC40" i="7" s="1"/>
  <c r="AY40" i="7" a="1"/>
  <c r="AY40" i="7" s="1"/>
  <c r="AQ40" i="7" a="1"/>
  <c r="AQ40" i="7" s="1"/>
  <c r="AM40" i="7" a="1"/>
  <c r="AM40" i="7" s="1"/>
  <c r="AL40" i="7" s="1"/>
  <c r="AZ39" i="7" a="1"/>
  <c r="AZ39" i="7" s="1"/>
  <c r="AN39" i="7" a="1"/>
  <c r="AN39" i="7" s="1"/>
  <c r="BA38" i="7" a="1"/>
  <c r="BA38" i="7" s="1"/>
  <c r="AW38" i="7" a="1"/>
  <c r="AW38" i="7" s="1"/>
  <c r="AV38" i="7" s="1"/>
  <c r="AO38" i="7" a="1"/>
  <c r="AO38" i="7" s="1"/>
  <c r="BB37" i="7" a="1"/>
  <c r="BB37" i="7" s="1"/>
  <c r="AX37" i="7" a="1"/>
  <c r="AX37" i="7" s="1"/>
  <c r="AP37" i="7" a="1"/>
  <c r="AP37" i="7" s="1"/>
  <c r="BC36" i="7" a="1"/>
  <c r="BC36" i="7" s="1"/>
  <c r="AY36" i="7" a="1"/>
  <c r="AY36" i="7" s="1"/>
  <c r="AQ36" i="7" a="1"/>
  <c r="AQ36" i="7" s="1"/>
  <c r="AM36" i="7" a="1"/>
  <c r="AM36" i="7" s="1"/>
  <c r="AL36" i="7" s="1"/>
  <c r="AZ35" i="7" a="1"/>
  <c r="AZ35" i="7" s="1"/>
  <c r="AN35" i="7" a="1"/>
  <c r="AN35" i="7" s="1"/>
  <c r="BA34" i="7" a="1"/>
  <c r="BA34" i="7" s="1"/>
  <c r="AW34" i="7" a="1"/>
  <c r="AW34" i="7" s="1"/>
  <c r="AV34" i="7" s="1"/>
  <c r="AO34" i="7" a="1"/>
  <c r="AO34" i="7" s="1"/>
  <c r="BB33" i="7" a="1"/>
  <c r="BB33" i="7" s="1"/>
  <c r="AX33" i="7" a="1"/>
  <c r="AX33" i="7" s="1"/>
  <c r="AP33" i="7" a="1"/>
  <c r="AP33" i="7" s="1"/>
  <c r="BC32" i="7" a="1"/>
  <c r="BC32" i="7" s="1"/>
  <c r="AY32" i="7" a="1"/>
  <c r="AY32" i="7" s="1"/>
  <c r="AQ32" i="7" a="1"/>
  <c r="AQ32" i="7" s="1"/>
  <c r="AM32" i="7" a="1"/>
  <c r="AM32" i="7" s="1"/>
  <c r="AL32" i="7" s="1"/>
  <c r="AZ31" i="7" a="1"/>
  <c r="AZ31" i="7" s="1"/>
  <c r="AN31" i="7" a="1"/>
  <c r="AN31" i="7" s="1"/>
  <c r="BA30" i="7" a="1"/>
  <c r="BA30" i="7" s="1"/>
  <c r="AW30" i="7" a="1"/>
  <c r="AW30" i="7" s="1"/>
  <c r="AV30" i="7" s="1"/>
  <c r="AO30" i="7" a="1"/>
  <c r="AO30" i="7" s="1"/>
  <c r="BB29" i="7" a="1"/>
  <c r="BB29" i="7" s="1"/>
  <c r="AX29" i="7" a="1"/>
  <c r="AX29" i="7" s="1"/>
  <c r="AP29" i="7" a="1"/>
  <c r="AP29" i="7" s="1"/>
  <c r="BC28" i="7" a="1"/>
  <c r="BC28" i="7" s="1"/>
  <c r="AY28" i="7" a="1"/>
  <c r="AY28" i="7" s="1"/>
  <c r="AQ28" i="7" a="1"/>
  <c r="AQ28" i="7" s="1"/>
  <c r="AM28" i="7" a="1"/>
  <c r="AM28" i="7" s="1"/>
  <c r="AL28" i="7" s="1"/>
  <c r="AZ27" i="7" a="1"/>
  <c r="AZ27" i="7" s="1"/>
  <c r="AN27" i="7" a="1"/>
  <c r="AN27" i="7" s="1"/>
  <c r="BA26" i="7" a="1"/>
  <c r="BA26" i="7" s="1"/>
  <c r="AW26" i="7" a="1"/>
  <c r="AW26" i="7" s="1"/>
  <c r="AV26" i="7" s="1"/>
  <c r="AO26" i="7" a="1"/>
  <c r="AO26" i="7" s="1"/>
  <c r="BB25" i="7" a="1"/>
  <c r="BB25" i="7" s="1"/>
  <c r="AX25" i="7" a="1"/>
  <c r="AX25" i="7" s="1"/>
  <c r="AP25" i="7" a="1"/>
  <c r="AP25" i="7" s="1"/>
  <c r="BC24" i="7" a="1"/>
  <c r="BC24" i="7" s="1"/>
  <c r="AY24" i="7" a="1"/>
  <c r="AY24" i="7" s="1"/>
  <c r="AQ24" i="7" a="1"/>
  <c r="AQ24" i="7" s="1"/>
  <c r="AM24" i="7" a="1"/>
  <c r="AM24" i="7" s="1"/>
  <c r="AL24" i="7" s="1"/>
  <c r="AZ23" i="7" a="1"/>
  <c r="AZ23" i="7" s="1"/>
  <c r="AN23" i="7" a="1"/>
  <c r="AN23" i="7" s="1"/>
  <c r="BA22" i="7" a="1"/>
  <c r="BA22" i="7" s="1"/>
  <c r="AW22" i="7" a="1"/>
  <c r="AW22" i="7" s="1"/>
  <c r="AV22" i="7" s="1"/>
  <c r="AO22" i="7" a="1"/>
  <c r="AO22" i="7" s="1"/>
  <c r="AM69" i="7" a="1"/>
  <c r="AM69" i="7" s="1"/>
  <c r="AL69" i="7" s="1"/>
  <c r="AO67" i="7" a="1"/>
  <c r="AO67" i="7" s="1"/>
  <c r="AQ65" i="7" a="1"/>
  <c r="AQ65" i="7" s="1"/>
  <c r="AO63" i="7" a="1"/>
  <c r="AO63" i="7" s="1"/>
  <c r="AP62" i="7" a="1"/>
  <c r="AP62" i="7" s="1"/>
  <c r="AQ61" i="7" a="1"/>
  <c r="AQ61" i="7" s="1"/>
  <c r="AX60" i="7" a="1"/>
  <c r="AX60" i="7" s="1"/>
  <c r="BA59" i="7" a="1"/>
  <c r="BA59" i="7" s="1"/>
  <c r="AN59" i="7" a="1"/>
  <c r="AN59" i="7" s="1"/>
  <c r="AZ58" i="7" a="1"/>
  <c r="AZ58" i="7" s="1"/>
  <c r="BC57" i="7" a="1"/>
  <c r="BC57" i="7" s="1"/>
  <c r="AP57" i="7" a="1"/>
  <c r="AP57" i="7" s="1"/>
  <c r="BB56" i="7" a="1"/>
  <c r="BB56" i="7" s="1"/>
  <c r="AX53" i="7" a="1"/>
  <c r="AX53" i="7" s="1"/>
  <c r="BC69" i="7" a="1"/>
  <c r="BC69" i="7" s="1"/>
  <c r="AN64" i="7" a="1"/>
  <c r="AN64" i="7" s="1"/>
  <c r="BC63" i="7" a="1"/>
  <c r="BC63" i="7" s="1"/>
  <c r="BB60" i="7" a="1"/>
  <c r="BB60" i="7" s="1"/>
  <c r="AX57" i="7" a="1"/>
  <c r="AX57" i="7" s="1"/>
  <c r="AN56" i="7" a="1"/>
  <c r="AN56" i="7" s="1"/>
  <c r="AZ55" i="7" a="1"/>
  <c r="AZ55" i="7" s="1"/>
  <c r="AM55" i="7" a="1"/>
  <c r="AM55" i="7" s="1"/>
  <c r="AL55" i="7" s="1"/>
  <c r="AP54" i="7" a="1"/>
  <c r="AP54" i="7" s="1"/>
  <c r="BB53" i="7" a="1"/>
  <c r="BB53" i="7" s="1"/>
  <c r="AO53" i="7" a="1"/>
  <c r="AO53" i="7" s="1"/>
  <c r="BB52" i="7" a="1"/>
  <c r="BB52" i="7" s="1"/>
  <c r="AX52" i="7" a="1"/>
  <c r="AX52" i="7" s="1"/>
  <c r="AP52" i="7" a="1"/>
  <c r="AP52" i="7" s="1"/>
  <c r="BC51" i="7" a="1"/>
  <c r="BC51" i="7" s="1"/>
  <c r="AY51" i="7" a="1"/>
  <c r="AY51" i="7" s="1"/>
  <c r="AQ51" i="7" a="1"/>
  <c r="AQ51" i="7" s="1"/>
  <c r="AM51" i="7" a="1"/>
  <c r="AM51" i="7" s="1"/>
  <c r="AL51" i="7" s="1"/>
  <c r="AZ50" i="7" a="1"/>
  <c r="AZ50" i="7" s="1"/>
  <c r="AN50" i="7" a="1"/>
  <c r="AN50" i="7" s="1"/>
  <c r="BA49" i="7" a="1"/>
  <c r="BA49" i="7" s="1"/>
  <c r="AW49" i="7" a="1"/>
  <c r="AW49" i="7" s="1"/>
  <c r="AV49" i="7" s="1"/>
  <c r="AO49" i="7" a="1"/>
  <c r="AO49" i="7" s="1"/>
  <c r="BB48" i="7" a="1"/>
  <c r="BB48" i="7" s="1"/>
  <c r="AX48" i="7" a="1"/>
  <c r="AX48" i="7" s="1"/>
  <c r="AP48" i="7" a="1"/>
  <c r="AP48" i="7" s="1"/>
  <c r="BC47" i="7" a="1"/>
  <c r="BC47" i="7" s="1"/>
  <c r="AY47" i="7" a="1"/>
  <c r="AY47" i="7" s="1"/>
  <c r="AQ47" i="7" a="1"/>
  <c r="AQ47" i="7" s="1"/>
  <c r="AM47" i="7" a="1"/>
  <c r="AM47" i="7" s="1"/>
  <c r="AL47" i="7" s="1"/>
  <c r="AZ46" i="7" a="1"/>
  <c r="AZ46" i="7" s="1"/>
  <c r="AN46" i="7" a="1"/>
  <c r="AN46" i="7" s="1"/>
  <c r="BA45" i="7" a="1"/>
  <c r="BA45" i="7" s="1"/>
  <c r="AW45" i="7" a="1"/>
  <c r="AW45" i="7" s="1"/>
  <c r="AV45" i="7" s="1"/>
  <c r="AO45" i="7" a="1"/>
  <c r="AO45" i="7" s="1"/>
  <c r="BB44" i="7" a="1"/>
  <c r="BB44" i="7" s="1"/>
  <c r="AX44" i="7" a="1"/>
  <c r="AX44" i="7" s="1"/>
  <c r="AP44" i="7" a="1"/>
  <c r="AP44" i="7" s="1"/>
  <c r="BC43" i="7" a="1"/>
  <c r="BC43" i="7" s="1"/>
  <c r="AY43" i="7" a="1"/>
  <c r="AY43" i="7" s="1"/>
  <c r="AQ43" i="7" a="1"/>
  <c r="AQ43" i="7" s="1"/>
  <c r="AM43" i="7" a="1"/>
  <c r="AM43" i="7" s="1"/>
  <c r="AL43" i="7" s="1"/>
  <c r="AZ42" i="7" a="1"/>
  <c r="AZ42" i="7" s="1"/>
  <c r="AN42" i="7" a="1"/>
  <c r="AN42" i="7" s="1"/>
  <c r="BA41" i="7" a="1"/>
  <c r="BA41" i="7" s="1"/>
  <c r="AW41" i="7" a="1"/>
  <c r="AW41" i="7" s="1"/>
  <c r="AV41" i="7" s="1"/>
  <c r="AO41" i="7" a="1"/>
  <c r="AO41" i="7" s="1"/>
  <c r="BB40" i="7" a="1"/>
  <c r="BB40" i="7" s="1"/>
  <c r="AX40" i="7" a="1"/>
  <c r="AX40" i="7" s="1"/>
  <c r="AP40" i="7" a="1"/>
  <c r="AP40" i="7" s="1"/>
  <c r="BC39" i="7" a="1"/>
  <c r="BC39" i="7" s="1"/>
  <c r="AY39" i="7" a="1"/>
  <c r="AY39" i="7" s="1"/>
  <c r="AQ39" i="7" a="1"/>
  <c r="AQ39" i="7" s="1"/>
  <c r="AM39" i="7" a="1"/>
  <c r="AM39" i="7" s="1"/>
  <c r="AL39" i="7" s="1"/>
  <c r="AZ38" i="7" a="1"/>
  <c r="AZ38" i="7" s="1"/>
  <c r="AN38" i="7" a="1"/>
  <c r="AN38" i="7" s="1"/>
  <c r="BA37" i="7" a="1"/>
  <c r="BA37" i="7" s="1"/>
  <c r="AW37" i="7" a="1"/>
  <c r="AW37" i="7" s="1"/>
  <c r="AV37" i="7" s="1"/>
  <c r="AO37" i="7" a="1"/>
  <c r="AO37" i="7" s="1"/>
  <c r="BB36" i="7" a="1"/>
  <c r="BB36" i="7" s="1"/>
  <c r="AX36" i="7" a="1"/>
  <c r="AX36" i="7" s="1"/>
  <c r="AP36" i="7" a="1"/>
  <c r="AP36" i="7" s="1"/>
  <c r="BC35" i="7" a="1"/>
  <c r="BC35" i="7" s="1"/>
  <c r="AY35" i="7" a="1"/>
  <c r="AY35" i="7" s="1"/>
  <c r="AQ35" i="7" a="1"/>
  <c r="AQ35" i="7" s="1"/>
  <c r="AM35" i="7" a="1"/>
  <c r="AM35" i="7" s="1"/>
  <c r="AL35" i="7" s="1"/>
  <c r="AZ34" i="7" a="1"/>
  <c r="AZ34" i="7" s="1"/>
  <c r="AN34" i="7" a="1"/>
  <c r="AN34" i="7" s="1"/>
  <c r="BA33" i="7" a="1"/>
  <c r="BA33" i="7" s="1"/>
  <c r="AW33" i="7" a="1"/>
  <c r="AW33" i="7" s="1"/>
  <c r="AV33" i="7" s="1"/>
  <c r="AO33" i="7" a="1"/>
  <c r="AO33" i="7" s="1"/>
  <c r="BB32" i="7" a="1"/>
  <c r="BB32" i="7" s="1"/>
  <c r="AX32" i="7" a="1"/>
  <c r="AX32" i="7" s="1"/>
  <c r="AP32" i="7" a="1"/>
  <c r="AP32" i="7" s="1"/>
  <c r="BC31" i="7" a="1"/>
  <c r="BC31" i="7" s="1"/>
  <c r="AY31" i="7" a="1"/>
  <c r="AY31" i="7" s="1"/>
  <c r="AQ31" i="7" a="1"/>
  <c r="AQ31" i="7" s="1"/>
  <c r="AM31" i="7" a="1"/>
  <c r="AM31" i="7" s="1"/>
  <c r="AL31" i="7" s="1"/>
  <c r="AZ30" i="7" a="1"/>
  <c r="AZ30" i="7" s="1"/>
  <c r="AN30" i="7" a="1"/>
  <c r="AN30" i="7" s="1"/>
  <c r="BA29" i="7" a="1"/>
  <c r="BA29" i="7" s="1"/>
  <c r="AW29" i="7" a="1"/>
  <c r="AW29" i="7" s="1"/>
  <c r="AV29" i="7" s="1"/>
  <c r="AO29" i="7" a="1"/>
  <c r="AO29" i="7" s="1"/>
  <c r="BB28" i="7" a="1"/>
  <c r="BB28" i="7" s="1"/>
  <c r="AX28" i="7" a="1"/>
  <c r="AX28" i="7" s="1"/>
  <c r="AP28" i="7" a="1"/>
  <c r="AP28" i="7" s="1"/>
  <c r="BC27" i="7" a="1"/>
  <c r="BC27" i="7" s="1"/>
  <c r="AY27" i="7" a="1"/>
  <c r="AY27" i="7" s="1"/>
  <c r="AQ27" i="7" a="1"/>
  <c r="AQ27" i="7" s="1"/>
  <c r="AM27" i="7" a="1"/>
  <c r="AM27" i="7" s="1"/>
  <c r="AL27" i="7" s="1"/>
  <c r="AZ26" i="7" a="1"/>
  <c r="AZ26" i="7" s="1"/>
  <c r="AN26" i="7" a="1"/>
  <c r="AN26" i="7" s="1"/>
  <c r="BA25" i="7" a="1"/>
  <c r="BA25" i="7" s="1"/>
  <c r="AW25" i="7" a="1"/>
  <c r="AW25" i="7" s="1"/>
  <c r="AV25" i="7" s="1"/>
  <c r="AO25" i="7" a="1"/>
  <c r="AO25" i="7" s="1"/>
  <c r="BB24" i="7" a="1"/>
  <c r="BB24" i="7" s="1"/>
  <c r="AX24" i="7" a="1"/>
  <c r="AX24" i="7" s="1"/>
  <c r="AP24" i="7" a="1"/>
  <c r="AP24" i="7" s="1"/>
  <c r="BC23" i="7" a="1"/>
  <c r="BC23" i="7" s="1"/>
  <c r="AY23" i="7" a="1"/>
  <c r="AY23" i="7" s="1"/>
  <c r="AQ23" i="7" a="1"/>
  <c r="AQ23" i="7" s="1"/>
  <c r="AM23" i="7" a="1"/>
  <c r="AM23" i="7" s="1"/>
  <c r="AL23" i="7" s="1"/>
  <c r="AZ22" i="7" a="1"/>
  <c r="AZ22" i="7" s="1"/>
  <c r="AN22" i="7" a="1"/>
  <c r="AN22" i="7" s="1"/>
  <c r="BA21" i="7" a="1"/>
  <c r="BA21" i="7" s="1"/>
  <c r="AW21" i="7" a="1"/>
  <c r="AW21" i="7" s="1"/>
  <c r="AV21" i="7" s="1"/>
  <c r="AO21" i="7" a="1"/>
  <c r="AO21" i="7" s="1"/>
  <c r="BB20" i="7" a="1"/>
  <c r="BB20" i="7" s="1"/>
  <c r="AX20" i="7" a="1"/>
  <c r="AX20" i="7" s="1"/>
  <c r="AP20" i="7" a="1"/>
  <c r="AP20" i="7" s="1"/>
  <c r="BC19" i="7" a="1"/>
  <c r="BC19" i="7" s="1"/>
  <c r="AY19" i="7" a="1"/>
  <c r="AY19" i="7" s="1"/>
  <c r="AQ19" i="7" a="1"/>
  <c r="AQ19" i="7" s="1"/>
  <c r="AM19" i="7" a="1"/>
  <c r="AM19" i="7" s="1"/>
  <c r="AL19" i="7" s="1"/>
  <c r="AZ68" i="7" a="1"/>
  <c r="AZ68" i="7" s="1"/>
  <c r="BB66" i="7" a="1"/>
  <c r="BB66" i="7" s="1"/>
  <c r="AW63" i="7" a="1"/>
  <c r="AW63" i="7" s="1"/>
  <c r="AV63" i="7" s="1"/>
  <c r="AX62" i="7" a="1"/>
  <c r="AX62" i="7" s="1"/>
  <c r="AY61" i="7" a="1"/>
  <c r="AY61" i="7" s="1"/>
  <c r="AN60" i="7" a="1"/>
  <c r="AN60" i="7" s="1"/>
  <c r="AZ59" i="7" a="1"/>
  <c r="AZ59" i="7" s="1"/>
  <c r="AM59" i="7" a="1"/>
  <c r="AM59" i="7" s="1"/>
  <c r="AL59" i="7" s="1"/>
  <c r="AP58" i="7" a="1"/>
  <c r="AP58" i="7" s="1"/>
  <c r="BB57" i="7" a="1"/>
  <c r="BB57" i="7" s="1"/>
  <c r="AO57" i="7" a="1"/>
  <c r="AO57" i="7" s="1"/>
  <c r="AQ55" i="7" a="1"/>
  <c r="AQ55" i="7" s="1"/>
  <c r="AX54" i="7" a="1"/>
  <c r="AX54" i="7" s="1"/>
  <c r="AW53" i="7" a="1"/>
  <c r="AW53" i="7" s="1"/>
  <c r="AV53" i="7" s="1"/>
  <c r="AQ69" i="7" a="1"/>
  <c r="AQ69" i="7" s="1"/>
  <c r="AW67" i="7" a="1"/>
  <c r="AW67" i="7" s="1"/>
  <c r="AV67" i="7" s="1"/>
  <c r="AY65" i="7" a="1"/>
  <c r="AY65" i="7" s="1"/>
  <c r="AM63" i="7" a="1"/>
  <c r="AM63" i="7" s="1"/>
  <c r="AL63" i="7" s="1"/>
  <c r="AN62" i="7" a="1"/>
  <c r="AN62" i="7" s="1"/>
  <c r="AO61" i="7" a="1"/>
  <c r="AO61" i="7" s="1"/>
  <c r="AQ59" i="7" a="1"/>
  <c r="AQ59" i="7" s="1"/>
  <c r="AX58" i="7" a="1"/>
  <c r="AX58" i="7" s="1"/>
  <c r="AW57" i="7" a="1"/>
  <c r="AW57" i="7" s="1"/>
  <c r="AV57" i="7" s="1"/>
  <c r="AZ56" i="7" a="1"/>
  <c r="AZ56" i="7" s="1"/>
  <c r="AM56" i="7" a="1"/>
  <c r="AM56" i="7" s="1"/>
  <c r="AL56" i="7" s="1"/>
  <c r="AY55" i="7" a="1"/>
  <c r="AY55" i="7" s="1"/>
  <c r="BB54" i="7" a="1"/>
  <c r="BB54" i="7" s="1"/>
  <c r="AO54" i="7" a="1"/>
  <c r="AO54" i="7" s="1"/>
  <c r="BA53" i="7" a="1"/>
  <c r="BA53" i="7" s="1"/>
  <c r="BA52" i="7" a="1"/>
  <c r="BA52" i="7" s="1"/>
  <c r="AW52" i="7" a="1"/>
  <c r="AW52" i="7" s="1"/>
  <c r="AV52" i="7" s="1"/>
  <c r="AO52" i="7" a="1"/>
  <c r="AO52" i="7" s="1"/>
  <c r="BB51" i="7" a="1"/>
  <c r="BB51" i="7" s="1"/>
  <c r="AX51" i="7" a="1"/>
  <c r="AX51" i="7" s="1"/>
  <c r="AP51" i="7" a="1"/>
  <c r="AP51" i="7" s="1"/>
  <c r="BC50" i="7" a="1"/>
  <c r="BC50" i="7" s="1"/>
  <c r="AY50" i="7" a="1"/>
  <c r="AY50" i="7" s="1"/>
  <c r="AQ50" i="7" a="1"/>
  <c r="AQ50" i="7" s="1"/>
  <c r="AM50" i="7" a="1"/>
  <c r="AM50" i="7" s="1"/>
  <c r="AL50" i="7" s="1"/>
  <c r="AZ49" i="7" a="1"/>
  <c r="AZ49" i="7" s="1"/>
  <c r="AN49" i="7" a="1"/>
  <c r="AN49" i="7" s="1"/>
  <c r="BA48" i="7" a="1"/>
  <c r="BA48" i="7" s="1"/>
  <c r="AW48" i="7" a="1"/>
  <c r="AW48" i="7" s="1"/>
  <c r="AV48" i="7" s="1"/>
  <c r="AO48" i="7" a="1"/>
  <c r="AO48" i="7" s="1"/>
  <c r="BB47" i="7" a="1"/>
  <c r="BB47" i="7" s="1"/>
  <c r="AX47" i="7" a="1"/>
  <c r="AX47" i="7" s="1"/>
  <c r="AP47" i="7" a="1"/>
  <c r="AP47" i="7" s="1"/>
  <c r="BC46" i="7" a="1"/>
  <c r="BC46" i="7" s="1"/>
  <c r="AY46" i="7" a="1"/>
  <c r="AY46" i="7" s="1"/>
  <c r="AQ46" i="7" a="1"/>
  <c r="AQ46" i="7" s="1"/>
  <c r="AM46" i="7" a="1"/>
  <c r="AM46" i="7" s="1"/>
  <c r="AL46" i="7" s="1"/>
  <c r="AZ45" i="7" a="1"/>
  <c r="AZ45" i="7" s="1"/>
  <c r="AN45" i="7" a="1"/>
  <c r="AN45" i="7" s="1"/>
  <c r="BA44" i="7" a="1"/>
  <c r="BA44" i="7" s="1"/>
  <c r="AW44" i="7" a="1"/>
  <c r="AW44" i="7" s="1"/>
  <c r="AV44" i="7" s="1"/>
  <c r="AO44" i="7" a="1"/>
  <c r="AO44" i="7" s="1"/>
  <c r="BB43" i="7" a="1"/>
  <c r="BB43" i="7" s="1"/>
  <c r="AX43" i="7" a="1"/>
  <c r="AX43" i="7" s="1"/>
  <c r="AP43" i="7" a="1"/>
  <c r="AP43" i="7" s="1"/>
  <c r="BC42" i="7" a="1"/>
  <c r="BC42" i="7" s="1"/>
  <c r="AY42" i="7" a="1"/>
  <c r="AY42" i="7" s="1"/>
  <c r="AQ42" i="7" a="1"/>
  <c r="AQ42" i="7" s="1"/>
  <c r="AM42" i="7" a="1"/>
  <c r="AM42" i="7" s="1"/>
  <c r="AL42" i="7" s="1"/>
  <c r="AZ41" i="7" a="1"/>
  <c r="AZ41" i="7" s="1"/>
  <c r="AN41" i="7" a="1"/>
  <c r="AN41" i="7" s="1"/>
  <c r="BA40" i="7" a="1"/>
  <c r="BA40" i="7" s="1"/>
  <c r="AW40" i="7" a="1"/>
  <c r="AW40" i="7" s="1"/>
  <c r="AV40" i="7" s="1"/>
  <c r="AO40" i="7" a="1"/>
  <c r="AO40" i="7" s="1"/>
  <c r="BB39" i="7" a="1"/>
  <c r="BB39" i="7" s="1"/>
  <c r="AX39" i="7" a="1"/>
  <c r="AX39" i="7" s="1"/>
  <c r="AP39" i="7" a="1"/>
  <c r="AP39" i="7" s="1"/>
  <c r="BC38" i="7" a="1"/>
  <c r="BC38" i="7" s="1"/>
  <c r="AY38" i="7" a="1"/>
  <c r="AY38" i="7" s="1"/>
  <c r="AQ38" i="7" a="1"/>
  <c r="AQ38" i="7" s="1"/>
  <c r="AM38" i="7" a="1"/>
  <c r="AM38" i="7" s="1"/>
  <c r="AL38" i="7" s="1"/>
  <c r="AZ37" i="7" a="1"/>
  <c r="AZ37" i="7" s="1"/>
  <c r="AN37" i="7" a="1"/>
  <c r="AN37" i="7" s="1"/>
  <c r="BA36" i="7" a="1"/>
  <c r="BA36" i="7" s="1"/>
  <c r="AW36" i="7" a="1"/>
  <c r="AW36" i="7" s="1"/>
  <c r="AV36" i="7" s="1"/>
  <c r="AO36" i="7" a="1"/>
  <c r="AO36" i="7" s="1"/>
  <c r="BB35" i="7" a="1"/>
  <c r="BB35" i="7" s="1"/>
  <c r="AX35" i="7" a="1"/>
  <c r="AX35" i="7" s="1"/>
  <c r="AP35" i="7" a="1"/>
  <c r="AP35" i="7" s="1"/>
  <c r="BC34" i="7" a="1"/>
  <c r="BC34" i="7" s="1"/>
  <c r="AY34" i="7" a="1"/>
  <c r="AY34" i="7" s="1"/>
  <c r="AQ34" i="7" a="1"/>
  <c r="AQ34" i="7" s="1"/>
  <c r="AM34" i="7" a="1"/>
  <c r="AM34" i="7" s="1"/>
  <c r="AL34" i="7" s="1"/>
  <c r="AZ33" i="7" a="1"/>
  <c r="AZ33" i="7" s="1"/>
  <c r="AN33" i="7" a="1"/>
  <c r="AN33" i="7" s="1"/>
  <c r="BA32" i="7" a="1"/>
  <c r="BA32" i="7" s="1"/>
  <c r="AW32" i="7" a="1"/>
  <c r="AW32" i="7" s="1"/>
  <c r="AV32" i="7" s="1"/>
  <c r="AO32" i="7" a="1"/>
  <c r="AO32" i="7" s="1"/>
  <c r="BB31" i="7" a="1"/>
  <c r="BB31" i="7" s="1"/>
  <c r="AX31" i="7" a="1"/>
  <c r="AX31" i="7" s="1"/>
  <c r="AP31" i="7" a="1"/>
  <c r="AP31" i="7" s="1"/>
  <c r="BC30" i="7" a="1"/>
  <c r="BC30" i="7" s="1"/>
  <c r="AY30" i="7" a="1"/>
  <c r="AY30" i="7" s="1"/>
  <c r="AQ30" i="7" a="1"/>
  <c r="AQ30" i="7" s="1"/>
  <c r="AM30" i="7" a="1"/>
  <c r="AM30" i="7" s="1"/>
  <c r="AL30" i="7" s="1"/>
  <c r="AZ29" i="7" a="1"/>
  <c r="AZ29" i="7" s="1"/>
  <c r="AN29" i="7" a="1"/>
  <c r="AN29" i="7" s="1"/>
  <c r="BA28" i="7" a="1"/>
  <c r="BA28" i="7" s="1"/>
  <c r="AW28" i="7" a="1"/>
  <c r="AW28" i="7" s="1"/>
  <c r="AV28" i="7" s="1"/>
  <c r="AO28" i="7" a="1"/>
  <c r="AO28" i="7" s="1"/>
  <c r="BB27" i="7" a="1"/>
  <c r="BB27" i="7" s="1"/>
  <c r="AX27" i="7" a="1"/>
  <c r="AX27" i="7" s="1"/>
  <c r="AP27" i="7" a="1"/>
  <c r="AP27" i="7" s="1"/>
  <c r="BC26" i="7" a="1"/>
  <c r="BC26" i="7" s="1"/>
  <c r="AY26" i="7" a="1"/>
  <c r="AY26" i="7" s="1"/>
  <c r="AQ26" i="7" a="1"/>
  <c r="AQ26" i="7" s="1"/>
  <c r="AM26" i="7" a="1"/>
  <c r="AM26" i="7" s="1"/>
  <c r="AL26" i="7" s="1"/>
  <c r="AZ25" i="7" a="1"/>
  <c r="AZ25" i="7" s="1"/>
  <c r="AN25" i="7" a="1"/>
  <c r="AN25" i="7" s="1"/>
  <c r="BA24" i="7" a="1"/>
  <c r="BA24" i="7" s="1"/>
  <c r="AW24" i="7" a="1"/>
  <c r="AW24" i="7" s="1"/>
  <c r="AV24" i="7" s="1"/>
  <c r="AO24" i="7" a="1"/>
  <c r="AO24" i="7" s="1"/>
  <c r="BB23" i="7" a="1"/>
  <c r="BB23" i="7" s="1"/>
  <c r="AX23" i="7" a="1"/>
  <c r="AX23" i="7" s="1"/>
  <c r="AP23" i="7" a="1"/>
  <c r="AP23" i="7" s="1"/>
  <c r="BC22" i="7" a="1"/>
  <c r="BC22" i="7" s="1"/>
  <c r="AY22" i="7" a="1"/>
  <c r="AY22" i="7" s="1"/>
  <c r="AQ22" i="7" a="1"/>
  <c r="AQ22" i="7" s="1"/>
  <c r="AM22" i="7" a="1"/>
  <c r="AM22" i="7" s="1"/>
  <c r="AL22" i="7" s="1"/>
  <c r="AZ21" i="7" a="1"/>
  <c r="AZ21" i="7" s="1"/>
  <c r="AN21" i="7" a="1"/>
  <c r="AN21" i="7" s="1"/>
  <c r="BA20" i="7" a="1"/>
  <c r="BA20" i="7" s="1"/>
  <c r="AW20" i="7" a="1"/>
  <c r="AW20" i="7" s="1"/>
  <c r="AV20" i="7" s="1"/>
  <c r="AO20" i="7" a="1"/>
  <c r="AO20" i="7" s="1"/>
  <c r="BB19" i="7" a="1"/>
  <c r="BB19" i="7" s="1"/>
  <c r="AX19" i="7" a="1"/>
  <c r="AX19" i="7" s="1"/>
  <c r="AP19" i="7" a="1"/>
  <c r="AP19" i="7" s="1"/>
  <c r="AN68" i="7" a="1"/>
  <c r="AN68" i="7" s="1"/>
  <c r="AP66" i="7" a="1"/>
  <c r="AP66" i="7" s="1"/>
  <c r="BA63" i="7" a="1"/>
  <c r="BA63" i="7" s="1"/>
  <c r="BB62" i="7" a="1"/>
  <c r="BB62" i="7" s="1"/>
  <c r="BC61" i="7" a="1"/>
  <c r="BC61" i="7" s="1"/>
  <c r="AZ60" i="7" a="1"/>
  <c r="AZ60" i="7" s="1"/>
  <c r="AM60" i="7" a="1"/>
  <c r="AM60" i="7" s="1"/>
  <c r="AL60" i="7" s="1"/>
  <c r="AY59" i="7" a="1"/>
  <c r="AY59" i="7" s="1"/>
  <c r="BB58" i="7" a="1"/>
  <c r="BB58" i="7" s="1"/>
  <c r="AO58" i="7" a="1"/>
  <c r="AO58" i="7" s="1"/>
  <c r="BA57" i="7" a="1"/>
  <c r="BA57" i="7" s="1"/>
  <c r="AQ56" i="7" a="1"/>
  <c r="AQ56" i="7" s="1"/>
  <c r="BC55" i="7" a="1"/>
  <c r="BC55" i="7" s="1"/>
  <c r="AW54" i="7" a="1"/>
  <c r="AW54" i="7" s="1"/>
  <c r="AV54" i="7" s="1"/>
  <c r="AM53" i="7" a="1"/>
  <c r="AM53" i="7" s="1"/>
  <c r="AL53" i="7" s="1"/>
  <c r="BC14" i="7" a="1"/>
  <c r="BC14" i="7" s="1"/>
  <c r="AY14" i="7" a="1"/>
  <c r="AY14" i="7" s="1"/>
  <c r="AQ14" i="7" a="1"/>
  <c r="AQ14" i="7" s="1"/>
  <c r="AM14" i="7" a="1"/>
  <c r="AM14" i="7" s="1"/>
  <c r="AL14" i="7" s="1"/>
  <c r="AZ13" i="7" a="1"/>
  <c r="AZ13" i="7" s="1"/>
  <c r="AN13" i="7" a="1"/>
  <c r="AN13" i="7" s="1"/>
  <c r="AW12" i="7" a="1"/>
  <c r="AW12" i="7" s="1"/>
  <c r="AO12" i="7" a="1"/>
  <c r="AO12" i="7" s="1"/>
  <c r="BC11" i="7" a="1"/>
  <c r="BC11" i="7" s="1"/>
  <c r="AY11" i="7" a="1"/>
  <c r="AY11" i="7" s="1"/>
  <c r="AQ11" i="7" a="1"/>
  <c r="AQ11" i="7" s="1"/>
  <c r="AM11" i="7" a="1"/>
  <c r="AM11" i="7" s="1"/>
  <c r="AL11" i="7" s="1"/>
  <c r="AW10" i="7" a="1"/>
  <c r="AW10" i="7" s="1"/>
  <c r="AO10" i="7" a="1"/>
  <c r="AO10" i="7" s="1"/>
  <c r="BC9" i="7" a="1"/>
  <c r="BC9" i="7" s="1"/>
  <c r="AY9" i="7" a="1"/>
  <c r="AY9" i="7" s="1"/>
  <c r="AQ9" i="7" a="1"/>
  <c r="AQ9" i="7" s="1"/>
  <c r="AM9" i="7" a="1"/>
  <c r="AM9" i="7" s="1"/>
  <c r="AL9" i="7" s="1"/>
  <c r="AW8" i="7" a="1"/>
  <c r="AW8" i="7" s="1"/>
  <c r="AO8" i="7" a="1"/>
  <c r="AO8" i="7" s="1"/>
  <c r="BC7" i="7" a="1"/>
  <c r="BC7" i="7" s="1"/>
  <c r="AY7" i="7" a="1"/>
  <c r="AY7" i="7" s="1"/>
  <c r="AQ7" i="7" a="1"/>
  <c r="AQ7" i="7" s="1"/>
  <c r="AM7" i="7" a="1"/>
  <c r="AM7" i="7" s="1"/>
  <c r="AL7" i="7" s="1"/>
  <c r="AW6" i="7" a="1"/>
  <c r="AW6" i="7" s="1"/>
  <c r="AO6" i="7" a="1"/>
  <c r="AO6" i="7" s="1"/>
  <c r="BC5" i="7" a="1"/>
  <c r="BC5" i="7" s="1"/>
  <c r="AY5" i="7" a="1"/>
  <c r="AY5" i="7" s="1"/>
  <c r="AQ5" i="7" a="1"/>
  <c r="AQ5" i="7" s="1"/>
  <c r="AM5" i="7" a="1"/>
  <c r="AM5" i="7" s="1"/>
  <c r="AL5" i="7" s="1"/>
  <c r="AY25" i="7" a="1"/>
  <c r="AY25" i="7" s="1"/>
  <c r="BA23" i="7" a="1"/>
  <c r="BA23" i="7" s="1"/>
  <c r="BC21" i="7" a="1"/>
  <c r="BC21" i="7" s="1"/>
  <c r="AX21" i="7" a="1"/>
  <c r="AX21" i="7" s="1"/>
  <c r="AY20" i="7" a="1"/>
  <c r="AY20" i="7" s="1"/>
  <c r="AZ19" i="7" a="1"/>
  <c r="AZ19" i="7" s="1"/>
  <c r="BB18" i="7" a="1"/>
  <c r="BB18" i="7" s="1"/>
  <c r="AX18" i="7" a="1"/>
  <c r="AX18" i="7" s="1"/>
  <c r="AP18" i="7" a="1"/>
  <c r="AP18" i="7" s="1"/>
  <c r="BC17" i="7" a="1"/>
  <c r="BC17" i="7" s="1"/>
  <c r="AY17" i="7" a="1"/>
  <c r="AY17" i="7" s="1"/>
  <c r="AQ17" i="7" a="1"/>
  <c r="AQ17" i="7" s="1"/>
  <c r="AM17" i="7" a="1"/>
  <c r="AM17" i="7" s="1"/>
  <c r="AL17" i="7" s="1"/>
  <c r="AZ16" i="7" a="1"/>
  <c r="AZ16" i="7" s="1"/>
  <c r="AN16" i="7" a="1"/>
  <c r="AN16" i="7" s="1"/>
  <c r="BA15" i="7" a="1"/>
  <c r="BA15" i="7" s="1"/>
  <c r="AW15" i="7" a="1"/>
  <c r="AW15" i="7" s="1"/>
  <c r="AV15" i="7" s="1"/>
  <c r="AO15" i="7" a="1"/>
  <c r="AO15" i="7" s="1"/>
  <c r="AX22" i="7" a="1"/>
  <c r="AX22" i="7" s="1"/>
  <c r="BB14" i="7" a="1"/>
  <c r="BB14" i="7" s="1"/>
  <c r="AX14" i="7" a="1"/>
  <c r="AX14" i="7" s="1"/>
  <c r="AP14" i="7" a="1"/>
  <c r="AP14" i="7" s="1"/>
  <c r="BC13" i="7" a="1"/>
  <c r="BC13" i="7" s="1"/>
  <c r="AY13" i="7" a="1"/>
  <c r="AY13" i="7" s="1"/>
  <c r="AQ13" i="7" a="1"/>
  <c r="AQ13" i="7" s="1"/>
  <c r="AM13" i="7" a="1"/>
  <c r="AM13" i="7" s="1"/>
  <c r="AL13" i="7" s="1"/>
  <c r="AZ12" i="7" a="1"/>
  <c r="AZ12" i="7" s="1"/>
  <c r="AN12" i="7" a="1"/>
  <c r="AN12" i="7" s="1"/>
  <c r="BB11" i="7" a="1"/>
  <c r="BB11" i="7" s="1"/>
  <c r="AP11" i="7" a="1"/>
  <c r="AP11" i="7" s="1"/>
  <c r="AZ10" i="7" a="1"/>
  <c r="AZ10" i="7" s="1"/>
  <c r="AN10" i="7" a="1"/>
  <c r="AN10" i="7" s="1"/>
  <c r="BB9" i="7" a="1"/>
  <c r="BB9" i="7" s="1"/>
  <c r="AP9" i="7" a="1"/>
  <c r="AP9" i="7" s="1"/>
  <c r="AZ8" i="7" a="1"/>
  <c r="AZ8" i="7" s="1"/>
  <c r="AN8" i="7" a="1"/>
  <c r="AN8" i="7" s="1"/>
  <c r="BB7" i="7" a="1"/>
  <c r="BB7" i="7" s="1"/>
  <c r="AP7" i="7" a="1"/>
  <c r="AP7" i="7" s="1"/>
  <c r="AZ6" i="7" a="1"/>
  <c r="AZ6" i="7" s="1"/>
  <c r="AN6" i="7" a="1"/>
  <c r="AN6" i="7" s="1"/>
  <c r="BB5" i="7" a="1"/>
  <c r="BB5" i="7" s="1"/>
  <c r="AP5" i="7" a="1"/>
  <c r="AP5" i="7" s="1"/>
  <c r="AM25" i="7" a="1"/>
  <c r="AM25" i="7" s="1"/>
  <c r="AL25" i="7" s="1"/>
  <c r="AO23" i="7" a="1"/>
  <c r="AO23" i="7" s="1"/>
  <c r="BB21" i="7" a="1"/>
  <c r="BB21" i="7" s="1"/>
  <c r="AM21" i="7" a="1"/>
  <c r="AM21" i="7" s="1"/>
  <c r="AL21" i="7" s="1"/>
  <c r="BC20" i="7" a="1"/>
  <c r="BC20" i="7" s="1"/>
  <c r="AN20" i="7" a="1"/>
  <c r="AN20" i="7" s="1"/>
  <c r="AO19" i="7" a="1"/>
  <c r="AO19" i="7" s="1"/>
  <c r="BA18" i="7" a="1"/>
  <c r="BA18" i="7" s="1"/>
  <c r="AW18" i="7" a="1"/>
  <c r="AW18" i="7" s="1"/>
  <c r="AV18" i="7" s="1"/>
  <c r="AO18" i="7" a="1"/>
  <c r="AO18" i="7" s="1"/>
  <c r="BB17" i="7" a="1"/>
  <c r="BB17" i="7" s="1"/>
  <c r="AX17" i="7" a="1"/>
  <c r="AX17" i="7" s="1"/>
  <c r="AP17" i="7" a="1"/>
  <c r="AP17" i="7" s="1"/>
  <c r="BC16" i="7" a="1"/>
  <c r="BC16" i="7" s="1"/>
  <c r="AY16" i="7" a="1"/>
  <c r="AY16" i="7" s="1"/>
  <c r="AQ16" i="7" a="1"/>
  <c r="AQ16" i="7" s="1"/>
  <c r="AM16" i="7" a="1"/>
  <c r="AM16" i="7" s="1"/>
  <c r="AL16" i="7" s="1"/>
  <c r="AZ15" i="7" a="1"/>
  <c r="AZ15" i="7" s="1"/>
  <c r="AN15" i="7" a="1"/>
  <c r="AN15" i="7" s="1"/>
  <c r="AZ4" i="7" a="1"/>
  <c r="AZ4" i="7" s="1"/>
  <c r="AN4" i="7" a="1"/>
  <c r="AN4" i="7" s="1"/>
  <c r="BC25" i="7" a="1"/>
  <c r="BC25" i="7" s="1"/>
  <c r="BA14" i="7" a="1"/>
  <c r="BA14" i="7" s="1"/>
  <c r="AW14" i="7" a="1"/>
  <c r="AW14" i="7" s="1"/>
  <c r="AV14" i="7" s="1"/>
  <c r="AO14" i="7" a="1"/>
  <c r="AO14" i="7" s="1"/>
  <c r="BB13" i="7" a="1"/>
  <c r="BB13" i="7" s="1"/>
  <c r="AP13" i="7" a="1"/>
  <c r="AP13" i="7" s="1"/>
  <c r="BC12" i="7" a="1"/>
  <c r="BC12" i="7" s="1"/>
  <c r="AY12" i="7" a="1"/>
  <c r="AY12" i="7" s="1"/>
  <c r="AQ12" i="7" a="1"/>
  <c r="AQ12" i="7" s="1"/>
  <c r="AM12" i="7" a="1"/>
  <c r="AM12" i="7" s="1"/>
  <c r="AL12" i="7" s="1"/>
  <c r="AW11" i="7" a="1"/>
  <c r="AW11" i="7" s="1"/>
  <c r="AO11" i="7" a="1"/>
  <c r="AO11" i="7" s="1"/>
  <c r="BC10" i="7" a="1"/>
  <c r="BC10" i="7" s="1"/>
  <c r="AY10" i="7" a="1"/>
  <c r="AY10" i="7" s="1"/>
  <c r="AQ10" i="7" a="1"/>
  <c r="AQ10" i="7" s="1"/>
  <c r="AM10" i="7" a="1"/>
  <c r="AM10" i="7" s="1"/>
  <c r="AL10" i="7" s="1"/>
  <c r="AW9" i="7" a="1"/>
  <c r="AW9" i="7" s="1"/>
  <c r="AO9" i="7" a="1"/>
  <c r="AO9" i="7" s="1"/>
  <c r="BC8" i="7" a="1"/>
  <c r="BC8" i="7" s="1"/>
  <c r="AY8" i="7" a="1"/>
  <c r="AY8" i="7" s="1"/>
  <c r="AQ8" i="7" a="1"/>
  <c r="AQ8" i="7" s="1"/>
  <c r="AM8" i="7" a="1"/>
  <c r="AM8" i="7" s="1"/>
  <c r="AL8" i="7" s="1"/>
  <c r="AW7" i="7" a="1"/>
  <c r="AW7" i="7" s="1"/>
  <c r="AO7" i="7" a="1"/>
  <c r="AO7" i="7" s="1"/>
  <c r="BC6" i="7" a="1"/>
  <c r="BC6" i="7" s="1"/>
  <c r="AY6" i="7" a="1"/>
  <c r="AY6" i="7" s="1"/>
  <c r="AQ6" i="7" a="1"/>
  <c r="AQ6" i="7" s="1"/>
  <c r="AM6" i="7" a="1"/>
  <c r="AM6" i="7" s="1"/>
  <c r="AL6" i="7" s="1"/>
  <c r="AW5" i="7" a="1"/>
  <c r="AW5" i="7" s="1"/>
  <c r="AO5" i="7" a="1"/>
  <c r="AO5" i="7" s="1"/>
  <c r="AZ24" i="7" a="1"/>
  <c r="AZ24" i="7" s="1"/>
  <c r="BB22" i="7" a="1"/>
  <c r="BB22" i="7" s="1"/>
  <c r="AQ21" i="7" a="1"/>
  <c r="AQ21" i="7" s="1"/>
  <c r="AM20" i="7" a="1"/>
  <c r="AM20" i="7" s="1"/>
  <c r="AL20" i="7" s="1"/>
  <c r="AW19" i="7" a="1"/>
  <c r="AW19" i="7" s="1"/>
  <c r="AV19" i="7" s="1"/>
  <c r="AN19" i="7" a="1"/>
  <c r="AN19" i="7" s="1"/>
  <c r="AZ18" i="7" a="1"/>
  <c r="AZ18" i="7" s="1"/>
  <c r="AN18" i="7" a="1"/>
  <c r="AN18" i="7" s="1"/>
  <c r="BA17" i="7" a="1"/>
  <c r="BA17" i="7" s="1"/>
  <c r="AW17" i="7" a="1"/>
  <c r="AW17" i="7" s="1"/>
  <c r="AV17" i="7" s="1"/>
  <c r="AO17" i="7" a="1"/>
  <c r="AO17" i="7" s="1"/>
  <c r="BB16" i="7" a="1"/>
  <c r="BB16" i="7" s="1"/>
  <c r="AX16" i="7" a="1"/>
  <c r="AX16" i="7" s="1"/>
  <c r="AP16" i="7" a="1"/>
  <c r="AP16" i="7" s="1"/>
  <c r="BC15" i="7" a="1"/>
  <c r="BC15" i="7" s="1"/>
  <c r="AY15" i="7" a="1"/>
  <c r="AY15" i="7" s="1"/>
  <c r="AQ15" i="7" a="1"/>
  <c r="AQ15" i="7" s="1"/>
  <c r="AM15" i="7" a="1"/>
  <c r="AM15" i="7" s="1"/>
  <c r="AL15" i="7" s="1"/>
  <c r="AQ25" i="7" a="1"/>
  <c r="AQ25" i="7" s="1"/>
  <c r="AW23" i="7" a="1"/>
  <c r="AW23" i="7" s="1"/>
  <c r="AV23" i="7" s="1"/>
  <c r="AZ14" i="7" a="1"/>
  <c r="AZ14" i="7" s="1"/>
  <c r="AN14" i="7" a="1"/>
  <c r="AN14" i="7" s="1"/>
  <c r="AW13" i="7" a="1"/>
  <c r="AW13" i="7" s="1"/>
  <c r="AO13" i="7" a="1"/>
  <c r="AO13" i="7" s="1"/>
  <c r="BB12" i="7" a="1"/>
  <c r="BB12" i="7" s="1"/>
  <c r="AP12" i="7" a="1"/>
  <c r="AP12" i="7" s="1"/>
  <c r="AZ11" i="7" a="1"/>
  <c r="AZ11" i="7" s="1"/>
  <c r="AN11" i="7" a="1"/>
  <c r="AN11" i="7" s="1"/>
  <c r="BB10" i="7" a="1"/>
  <c r="BB10" i="7" s="1"/>
  <c r="AP10" i="7" a="1"/>
  <c r="AP10" i="7" s="1"/>
  <c r="AZ9" i="7" a="1"/>
  <c r="AZ9" i="7" s="1"/>
  <c r="AN9" i="7" a="1"/>
  <c r="AN9" i="7" s="1"/>
  <c r="BB8" i="7" a="1"/>
  <c r="BB8" i="7" s="1"/>
  <c r="AP8" i="7" a="1"/>
  <c r="AP8" i="7" s="1"/>
  <c r="AZ7" i="7" a="1"/>
  <c r="AZ7" i="7" s="1"/>
  <c r="AN7" i="7" a="1"/>
  <c r="AN7" i="7" s="1"/>
  <c r="BB6" i="7" a="1"/>
  <c r="BB6" i="7" s="1"/>
  <c r="AP6" i="7" a="1"/>
  <c r="AP6" i="7" s="1"/>
  <c r="AZ5" i="7" a="1"/>
  <c r="AZ5" i="7" s="1"/>
  <c r="AN5" i="7" a="1"/>
  <c r="AN5" i="7" s="1"/>
  <c r="AN24" i="7" a="1"/>
  <c r="AN24" i="7" s="1"/>
  <c r="AP22" i="7" a="1"/>
  <c r="AP22" i="7" s="1"/>
  <c r="AY21" i="7" a="1"/>
  <c r="AY21" i="7" s="1"/>
  <c r="AP21" i="7" a="1"/>
  <c r="AP21" i="7" s="1"/>
  <c r="AZ20" i="7" a="1"/>
  <c r="AZ20" i="7" s="1"/>
  <c r="AQ20" i="7" a="1"/>
  <c r="AQ20" i="7" s="1"/>
  <c r="BA19" i="7" a="1"/>
  <c r="BA19" i="7" s="1"/>
  <c r="BC18" i="7" a="1"/>
  <c r="BC18" i="7" s="1"/>
  <c r="AY18" i="7" a="1"/>
  <c r="AY18" i="7" s="1"/>
  <c r="AQ18" i="7" a="1"/>
  <c r="AQ18" i="7" s="1"/>
  <c r="AM18" i="7" a="1"/>
  <c r="AM18" i="7" s="1"/>
  <c r="AL18" i="7" s="1"/>
  <c r="AZ17" i="7" a="1"/>
  <c r="AZ17" i="7" s="1"/>
  <c r="AN17" i="7" a="1"/>
  <c r="AN17" i="7" s="1"/>
  <c r="BA16" i="7" a="1"/>
  <c r="BA16" i="7" s="1"/>
  <c r="AW16" i="7" a="1"/>
  <c r="AW16" i="7" s="1"/>
  <c r="AV16" i="7" s="1"/>
  <c r="AO16" i="7" a="1"/>
  <c r="AO16" i="7" s="1"/>
  <c r="BB15" i="7" a="1"/>
  <c r="BB15" i="7" s="1"/>
  <c r="AX15" i="7" a="1"/>
  <c r="AX15" i="7" s="1"/>
  <c r="AP15" i="7" a="1"/>
  <c r="AP15" i="7" s="1"/>
  <c r="BC4" i="7" a="1"/>
  <c r="BC4" i="7" s="1"/>
  <c r="AQ4" i="7" a="1"/>
  <c r="AQ4" i="7" s="1"/>
  <c r="BB4" i="7" a="1"/>
  <c r="BB4" i="7" s="1"/>
  <c r="AP4" i="7" a="1"/>
  <c r="AP4" i="7" s="1"/>
  <c r="AO4" i="7" a="1"/>
  <c r="AO4" i="7" s="1"/>
  <c r="AY4" i="7" a="1"/>
  <c r="AY4" i="7" s="1"/>
  <c r="AM4" i="7" a="1"/>
  <c r="AM4" i="7" s="1"/>
  <c r="AL4" i="7" s="1"/>
  <c r="AW4" i="7" a="1"/>
  <c r="AW4" i="7" s="1"/>
  <c r="AD89" i="3"/>
  <c r="AD117" i="3"/>
  <c r="AD30" i="3"/>
  <c r="AD243" i="3"/>
  <c r="AC243" i="3"/>
  <c r="AD197" i="3"/>
  <c r="AD256" i="3"/>
  <c r="S118" i="3"/>
  <c r="AD41" i="3"/>
  <c r="AD33" i="3"/>
  <c r="AD241" i="3"/>
  <c r="U45" i="3"/>
  <c r="AC45" i="3" s="1"/>
  <c r="AD363" i="3"/>
  <c r="AD285" i="3"/>
  <c r="AD289" i="3"/>
  <c r="AD250" i="3"/>
  <c r="AD293" i="3"/>
  <c r="AD261" i="3"/>
  <c r="AD161" i="3"/>
  <c r="A49" i="9"/>
  <c r="Z51" i="7"/>
  <c r="B41" i="9"/>
  <c r="I41" i="9"/>
  <c r="H41" i="9"/>
  <c r="G41" i="9"/>
  <c r="E41" i="9"/>
  <c r="D41" i="9"/>
  <c r="S303" i="3"/>
  <c r="AD224" i="3"/>
  <c r="AD402" i="3"/>
  <c r="S386" i="3"/>
  <c r="S175" i="3"/>
  <c r="AD183" i="3"/>
  <c r="AC183" i="3"/>
  <c r="AD172" i="3"/>
  <c r="AC172" i="3"/>
  <c r="AD354" i="3"/>
  <c r="AC354" i="3"/>
  <c r="AC38" i="3"/>
  <c r="AD38" i="3"/>
  <c r="AC278" i="3"/>
  <c r="AD278" i="3"/>
  <c r="H91" i="9"/>
  <c r="G91" i="9"/>
  <c r="E91" i="9"/>
  <c r="D91" i="9"/>
  <c r="B91" i="9"/>
  <c r="I91" i="9"/>
  <c r="E62" i="9"/>
  <c r="D62" i="9"/>
  <c r="B62" i="9"/>
  <c r="I62" i="9"/>
  <c r="H62" i="9"/>
  <c r="G62" i="9"/>
  <c r="G28" i="9"/>
  <c r="E28" i="9"/>
  <c r="D28" i="9"/>
  <c r="B28" i="9"/>
  <c r="I28" i="9"/>
  <c r="H28" i="9"/>
  <c r="AD218" i="3"/>
  <c r="AC218" i="3"/>
  <c r="H5" i="14"/>
  <c r="G5" i="14"/>
  <c r="F5" i="14"/>
  <c r="E5" i="14"/>
  <c r="D5" i="14"/>
  <c r="C5" i="14"/>
  <c r="B5" i="14"/>
  <c r="AD52" i="3"/>
  <c r="AC52" i="3"/>
  <c r="AD361" i="3"/>
  <c r="AC361" i="3"/>
  <c r="AD299" i="3"/>
  <c r="AC299" i="3"/>
  <c r="AC42" i="3"/>
  <c r="AD42" i="3"/>
  <c r="I82" i="9"/>
  <c r="H82" i="9"/>
  <c r="G82" i="9"/>
  <c r="E82" i="9"/>
  <c r="D82" i="9"/>
  <c r="B82" i="9"/>
  <c r="A18" i="9"/>
  <c r="Z20" i="7"/>
  <c r="A22" i="9"/>
  <c r="Z24" i="7"/>
  <c r="A31" i="9"/>
  <c r="Z33" i="7"/>
  <c r="AD176" i="3"/>
  <c r="AC176" i="3"/>
  <c r="AD139" i="3"/>
  <c r="AC139" i="3"/>
  <c r="AD188" i="3"/>
  <c r="AD177" i="3"/>
  <c r="A61" i="9"/>
  <c r="Z63" i="7"/>
  <c r="A78" i="9"/>
  <c r="Z80" i="7"/>
  <c r="D55" i="9"/>
  <c r="B55" i="9"/>
  <c r="I55" i="9"/>
  <c r="H55" i="9"/>
  <c r="G55" i="9"/>
  <c r="E55" i="9"/>
  <c r="U51" i="3"/>
  <c r="AC51" i="3" s="1"/>
  <c r="AD234" i="3"/>
  <c r="AC132" i="3"/>
  <c r="AD132" i="3"/>
  <c r="AD286" i="3"/>
  <c r="AD185" i="3"/>
  <c r="AD146" i="3"/>
  <c r="AD199" i="3"/>
  <c r="AD251" i="3"/>
  <c r="A81" i="9"/>
  <c r="Z83" i="7"/>
  <c r="H83" i="9"/>
  <c r="G83" i="9"/>
  <c r="E83" i="9"/>
  <c r="D83" i="9"/>
  <c r="B83" i="9"/>
  <c r="I83" i="9"/>
  <c r="B17" i="9"/>
  <c r="I17" i="9"/>
  <c r="H17" i="9"/>
  <c r="G17" i="9"/>
  <c r="E17" i="9"/>
  <c r="D17" i="9"/>
  <c r="AD279" i="3"/>
  <c r="U192" i="3"/>
  <c r="AC192" i="3" s="1"/>
  <c r="AD235" i="3"/>
  <c r="AD382" i="3"/>
  <c r="AC382" i="3"/>
  <c r="AD221" i="3"/>
  <c r="AD97" i="3"/>
  <c r="U59" i="3"/>
  <c r="AC59" i="3" s="1"/>
  <c r="AD315" i="3"/>
  <c r="S211" i="3"/>
  <c r="S145" i="3"/>
  <c r="AD351" i="3"/>
  <c r="AC351" i="3"/>
  <c r="A82" i="9"/>
  <c r="Z84" i="7"/>
  <c r="D95" i="9"/>
  <c r="B95" i="9"/>
  <c r="I95" i="9"/>
  <c r="H95" i="9"/>
  <c r="G95" i="9"/>
  <c r="E95" i="9"/>
  <c r="D47" i="9"/>
  <c r="B47" i="9"/>
  <c r="I47" i="9"/>
  <c r="H47" i="9"/>
  <c r="G47" i="9"/>
  <c r="E47" i="9"/>
  <c r="A52" i="9"/>
  <c r="Z54" i="7"/>
  <c r="A26" i="9"/>
  <c r="Z28" i="7"/>
  <c r="A32" i="9"/>
  <c r="Z34" i="7"/>
  <c r="E37" i="9"/>
  <c r="D37" i="9"/>
  <c r="B37" i="9"/>
  <c r="I37" i="9"/>
  <c r="H37" i="9"/>
  <c r="G37" i="9"/>
  <c r="AD155" i="3"/>
  <c r="U399" i="3"/>
  <c r="AC399" i="3" s="1"/>
  <c r="AD229" i="3"/>
  <c r="AD212" i="3"/>
  <c r="AD272" i="3"/>
  <c r="U153" i="3"/>
  <c r="AC153" i="3" s="1"/>
  <c r="AD81" i="3"/>
  <c r="S358" i="3"/>
  <c r="AC358" i="3" s="1"/>
  <c r="AD48" i="3"/>
  <c r="AD141" i="3"/>
  <c r="U108" i="3"/>
  <c r="AC108" i="3" s="1"/>
  <c r="AD327" i="3"/>
  <c r="A46" i="9"/>
  <c r="Z48" i="7"/>
  <c r="B24" i="9"/>
  <c r="I24" i="9"/>
  <c r="H24" i="9"/>
  <c r="G24" i="9"/>
  <c r="E24" i="9"/>
  <c r="D24" i="9"/>
  <c r="H3" i="9"/>
  <c r="G3" i="9"/>
  <c r="E3" i="9"/>
  <c r="D3" i="9"/>
  <c r="B3" i="9"/>
  <c r="I3" i="9"/>
  <c r="AD203" i="3"/>
  <c r="AD149" i="3"/>
  <c r="U98" i="3"/>
  <c r="AC98" i="3" s="1"/>
  <c r="AD189" i="3"/>
  <c r="AD411" i="3"/>
  <c r="AD374" i="3"/>
  <c r="AD275" i="3"/>
  <c r="AD220" i="3"/>
  <c r="AD342" i="3"/>
  <c r="AD102" i="3"/>
  <c r="A90" i="9"/>
  <c r="Z92" i="7"/>
  <c r="E13" i="9"/>
  <c r="D13" i="9"/>
  <c r="B13" i="9"/>
  <c r="I13" i="9"/>
  <c r="H13" i="9"/>
  <c r="G13" i="9"/>
  <c r="I18" i="9"/>
  <c r="H18" i="9"/>
  <c r="G18" i="9"/>
  <c r="E18" i="9"/>
  <c r="D18" i="9"/>
  <c r="B18" i="9"/>
  <c r="U138" i="3"/>
  <c r="AC138" i="3" s="1"/>
  <c r="AD164" i="3"/>
  <c r="AD94" i="3"/>
  <c r="U253" i="3"/>
  <c r="AC253" i="3" s="1"/>
  <c r="S254" i="3"/>
  <c r="AD107" i="3"/>
  <c r="AD83" i="3"/>
  <c r="AD238" i="3"/>
  <c r="AD57" i="3"/>
  <c r="S336" i="3"/>
  <c r="AD134" i="3"/>
  <c r="E85" i="9"/>
  <c r="D85" i="9"/>
  <c r="B85" i="9"/>
  <c r="I85" i="9"/>
  <c r="H85" i="9"/>
  <c r="G85" i="9"/>
  <c r="U53" i="3"/>
  <c r="AC53" i="3" s="1"/>
  <c r="U103" i="3"/>
  <c r="AC103" i="3" s="1"/>
  <c r="U69" i="3"/>
  <c r="AC69" i="3" s="1"/>
  <c r="AC92" i="3"/>
  <c r="AD92" i="3"/>
  <c r="AC389" i="3"/>
  <c r="AD389" i="3"/>
  <c r="AD236" i="3"/>
  <c r="AC236" i="3"/>
  <c r="AD101" i="3"/>
  <c r="AC101" i="3"/>
  <c r="A87" i="9"/>
  <c r="Z89" i="7"/>
  <c r="AD168" i="3"/>
  <c r="AC168" i="3"/>
  <c r="AD377" i="3"/>
  <c r="AC377" i="3"/>
  <c r="AD288" i="3"/>
  <c r="AC288" i="3"/>
  <c r="AD395" i="3"/>
  <c r="AC395" i="3"/>
  <c r="B49" i="9"/>
  <c r="I49" i="9"/>
  <c r="H49" i="9"/>
  <c r="G49" i="9"/>
  <c r="E49" i="9"/>
  <c r="D49" i="9"/>
  <c r="H75" i="9"/>
  <c r="G75" i="9"/>
  <c r="E75" i="9"/>
  <c r="D75" i="9"/>
  <c r="B75" i="9"/>
  <c r="I75" i="9"/>
  <c r="AC401" i="3"/>
  <c r="AD401" i="3"/>
  <c r="AD313" i="3"/>
  <c r="AC313" i="3"/>
  <c r="AD39" i="3"/>
  <c r="AC39" i="3"/>
  <c r="H6" i="14"/>
  <c r="G6" i="14"/>
  <c r="F6" i="14"/>
  <c r="E6" i="14"/>
  <c r="D6" i="14"/>
  <c r="C6" i="14"/>
  <c r="B6" i="14"/>
  <c r="AC111" i="3"/>
  <c r="AD111" i="3"/>
  <c r="AD214" i="3"/>
  <c r="AC214" i="3"/>
  <c r="AD262" i="3"/>
  <c r="AC262" i="3"/>
  <c r="E93" i="9"/>
  <c r="D93" i="9"/>
  <c r="B93" i="9"/>
  <c r="I93" i="9"/>
  <c r="H93" i="9"/>
  <c r="G93" i="9"/>
  <c r="AD270" i="3"/>
  <c r="AC270" i="3"/>
  <c r="AD115" i="3"/>
  <c r="AC115" i="3"/>
  <c r="AD255" i="3"/>
  <c r="AC255" i="3"/>
  <c r="AC368" i="3"/>
  <c r="AD368" i="3"/>
  <c r="AD184" i="3"/>
  <c r="AC184" i="3"/>
  <c r="AD104" i="3"/>
  <c r="AC104" i="3"/>
  <c r="AD32" i="3"/>
  <c r="AC32" i="3"/>
  <c r="S326" i="3"/>
  <c r="U227" i="3"/>
  <c r="AC227" i="3" s="1"/>
  <c r="AD381" i="3"/>
  <c r="AC381" i="3"/>
  <c r="AD309" i="3"/>
  <c r="AC309" i="3"/>
  <c r="E86" i="9"/>
  <c r="D86" i="9"/>
  <c r="B86" i="9"/>
  <c r="I86" i="9"/>
  <c r="H86" i="9"/>
  <c r="G86" i="9"/>
  <c r="A53" i="9"/>
  <c r="Z55" i="7"/>
  <c r="E69" i="9"/>
  <c r="D69" i="9"/>
  <c r="B69" i="9"/>
  <c r="I69" i="9"/>
  <c r="H69" i="9"/>
  <c r="G69" i="9"/>
  <c r="A39" i="9"/>
  <c r="Z41" i="7"/>
  <c r="AD366" i="3"/>
  <c r="AC366" i="3"/>
  <c r="U252" i="3"/>
  <c r="AC252" i="3" s="1"/>
  <c r="U158" i="3"/>
  <c r="AC158" i="3" s="1"/>
  <c r="AD163" i="3"/>
  <c r="AC163" i="3"/>
  <c r="AC86" i="3"/>
  <c r="AD86" i="3"/>
  <c r="AD62" i="3"/>
  <c r="AC62" i="3"/>
  <c r="AC166" i="3"/>
  <c r="AD166" i="3"/>
  <c r="U266" i="3"/>
  <c r="AC266" i="3" s="1"/>
  <c r="U87" i="3"/>
  <c r="AC87" i="3" s="1"/>
  <c r="B72" i="9"/>
  <c r="I72" i="9"/>
  <c r="H72" i="9"/>
  <c r="G72" i="9"/>
  <c r="E72" i="9"/>
  <c r="D72" i="9"/>
  <c r="B73" i="9"/>
  <c r="I73" i="9"/>
  <c r="H73" i="9"/>
  <c r="G73" i="9"/>
  <c r="E73" i="9"/>
  <c r="D73" i="9"/>
  <c r="AD84" i="3"/>
  <c r="AC84" i="3"/>
  <c r="U290" i="3"/>
  <c r="AC290" i="3" s="1"/>
  <c r="U306" i="3"/>
  <c r="AC306" i="3" s="1"/>
  <c r="AC109" i="3"/>
  <c r="AD109" i="3"/>
  <c r="U232" i="3"/>
  <c r="AC232" i="3" s="1"/>
  <c r="U344" i="3"/>
  <c r="AC344" i="3" s="1"/>
  <c r="U75" i="3"/>
  <c r="AC75" i="3" s="1"/>
  <c r="D79" i="9"/>
  <c r="B79" i="9"/>
  <c r="I79" i="9"/>
  <c r="H79" i="9"/>
  <c r="G79" i="9"/>
  <c r="E79" i="9"/>
  <c r="D87" i="9"/>
  <c r="B87" i="9"/>
  <c r="I87" i="9"/>
  <c r="H87" i="9"/>
  <c r="G87" i="9"/>
  <c r="E87" i="9"/>
  <c r="A47" i="9"/>
  <c r="Z49" i="7"/>
  <c r="I10" i="9"/>
  <c r="H10" i="9"/>
  <c r="G10" i="9"/>
  <c r="E10" i="9"/>
  <c r="D10" i="9"/>
  <c r="B10" i="9"/>
  <c r="AD247" i="3"/>
  <c r="AC247" i="3"/>
  <c r="AD105" i="3"/>
  <c r="AC105" i="3"/>
  <c r="S207" i="3"/>
  <c r="AD64" i="3"/>
  <c r="AC64" i="3"/>
  <c r="U162" i="3"/>
  <c r="AC162" i="3" s="1"/>
  <c r="U268" i="3"/>
  <c r="AC268" i="3" s="1"/>
  <c r="U167" i="3"/>
  <c r="AC167" i="3" s="1"/>
  <c r="AC378" i="3"/>
  <c r="AD378" i="3"/>
  <c r="AD346" i="3"/>
  <c r="AC346" i="3"/>
  <c r="AD147" i="3"/>
  <c r="AC147" i="3"/>
  <c r="A88" i="9"/>
  <c r="Z90" i="7"/>
  <c r="I42" i="9"/>
  <c r="H42" i="9"/>
  <c r="G42" i="9"/>
  <c r="E42" i="9"/>
  <c r="D42" i="9"/>
  <c r="B42" i="9"/>
  <c r="B16" i="9"/>
  <c r="I16" i="9"/>
  <c r="H16" i="9"/>
  <c r="G16" i="9"/>
  <c r="E16" i="9"/>
  <c r="D16" i="9"/>
  <c r="A19" i="9"/>
  <c r="Z21" i="7"/>
  <c r="U63" i="3"/>
  <c r="AC63" i="3" s="1"/>
  <c r="U119" i="3"/>
  <c r="AC119" i="3" s="1"/>
  <c r="AD349" i="3"/>
  <c r="AC349" i="3"/>
  <c r="AD72" i="3"/>
  <c r="AC72" i="3"/>
  <c r="AD239" i="3"/>
  <c r="AC239" i="3"/>
  <c r="AD314" i="3"/>
  <c r="AC314" i="3"/>
  <c r="AD215" i="3"/>
  <c r="AC215" i="3"/>
  <c r="AD73" i="3"/>
  <c r="AC73" i="3"/>
  <c r="AD80" i="3"/>
  <c r="AC80" i="3"/>
  <c r="AD350" i="3"/>
  <c r="AC350" i="3"/>
  <c r="U77" i="3"/>
  <c r="AC77" i="3" s="1"/>
  <c r="E61" i="9"/>
  <c r="D61" i="9"/>
  <c r="B61" i="9"/>
  <c r="I61" i="9"/>
  <c r="H61" i="9"/>
  <c r="G61" i="9"/>
  <c r="A45" i="9"/>
  <c r="Z47" i="7"/>
  <c r="B33" i="9"/>
  <c r="I33" i="9"/>
  <c r="H33" i="9"/>
  <c r="G33" i="9"/>
  <c r="E33" i="9"/>
  <c r="D33" i="9"/>
  <c r="D39" i="9"/>
  <c r="B39" i="9"/>
  <c r="I39" i="9"/>
  <c r="H39" i="9"/>
  <c r="G39" i="9"/>
  <c r="E39" i="9"/>
  <c r="U118" i="3"/>
  <c r="AD376" i="3"/>
  <c r="AC376" i="3"/>
  <c r="AC67" i="3"/>
  <c r="AD67" i="3"/>
  <c r="AD100" i="3"/>
  <c r="AC100" i="3"/>
  <c r="U190" i="3"/>
  <c r="AC190" i="3" s="1"/>
  <c r="AD373" i="3"/>
  <c r="AC373" i="3"/>
  <c r="AD128" i="3"/>
  <c r="AC128" i="3"/>
  <c r="U55" i="3"/>
  <c r="AC55" i="3" s="1"/>
  <c r="AD34" i="3"/>
  <c r="AC34" i="3"/>
  <c r="AD178" i="3"/>
  <c r="AC178" i="3"/>
  <c r="S44" i="3"/>
  <c r="AC44" i="3" s="1"/>
  <c r="AF44" i="3" s="1"/>
  <c r="A92" i="9"/>
  <c r="Z94" i="7"/>
  <c r="I50" i="9"/>
  <c r="H50" i="9"/>
  <c r="G50" i="9"/>
  <c r="E50" i="9"/>
  <c r="D50" i="9"/>
  <c r="B50" i="9"/>
  <c r="D23" i="9"/>
  <c r="B23" i="9"/>
  <c r="I23" i="9"/>
  <c r="H23" i="9"/>
  <c r="G23" i="9"/>
  <c r="E23" i="9"/>
  <c r="U303" i="3"/>
  <c r="U386" i="3"/>
  <c r="AD287" i="3"/>
  <c r="AC287" i="3"/>
  <c r="U175" i="3"/>
  <c r="S169" i="3"/>
  <c r="AD356" i="3"/>
  <c r="AC356" i="3"/>
  <c r="AD216" i="3"/>
  <c r="AC216" i="3"/>
  <c r="AC195" i="3"/>
  <c r="AD195" i="3"/>
  <c r="E14" i="9"/>
  <c r="D14" i="9"/>
  <c r="B14" i="9"/>
  <c r="I14" i="9"/>
  <c r="H14" i="9"/>
  <c r="G14" i="9"/>
  <c r="A20" i="9"/>
  <c r="Z22" i="7"/>
  <c r="H7" i="14"/>
  <c r="G7" i="14"/>
  <c r="F7" i="14"/>
  <c r="E7" i="14"/>
  <c r="D7" i="14"/>
  <c r="C7" i="14"/>
  <c r="B7" i="14"/>
  <c r="AD194" i="3"/>
  <c r="AC194" i="3"/>
  <c r="AC231" i="3"/>
  <c r="AD231" i="3"/>
  <c r="AD68" i="3"/>
  <c r="AC68" i="3"/>
  <c r="AD56" i="3"/>
  <c r="AC56" i="3"/>
  <c r="AD294" i="3"/>
  <c r="AC294" i="3"/>
  <c r="A79" i="9"/>
  <c r="Z81" i="7"/>
  <c r="B48" i="9"/>
  <c r="I48" i="9"/>
  <c r="H48" i="9"/>
  <c r="G48" i="9"/>
  <c r="E48" i="9"/>
  <c r="D48" i="9"/>
  <c r="A16" i="9"/>
  <c r="Z18" i="7"/>
  <c r="AD213" i="3"/>
  <c r="AC213" i="3"/>
  <c r="AD383" i="3"/>
  <c r="AC383" i="3"/>
  <c r="AD244" i="3"/>
  <c r="AC244" i="3"/>
  <c r="AC206" i="3"/>
  <c r="AD206" i="3"/>
  <c r="AD217" i="3"/>
  <c r="AC217" i="3"/>
  <c r="AC407" i="3"/>
  <c r="AD407" i="3"/>
  <c r="AD120" i="3"/>
  <c r="AC120" i="3"/>
  <c r="U151" i="3"/>
  <c r="AC151" i="3" s="1"/>
  <c r="AC308" i="3"/>
  <c r="AD308" i="3"/>
  <c r="E30" i="9"/>
  <c r="D30" i="9"/>
  <c r="B30" i="9"/>
  <c r="I30" i="9"/>
  <c r="H30" i="9"/>
  <c r="G30" i="9"/>
  <c r="AD375" i="3"/>
  <c r="AC375" i="3"/>
  <c r="AD318" i="3"/>
  <c r="AC318" i="3"/>
  <c r="AD319" i="3"/>
  <c r="AC319" i="3"/>
  <c r="AC191" i="3"/>
  <c r="AD191" i="3"/>
  <c r="AC338" i="3"/>
  <c r="AD338" i="3"/>
  <c r="AD201" i="3"/>
  <c r="AC201" i="3"/>
  <c r="AD403" i="3"/>
  <c r="AC403" i="3"/>
  <c r="AD372" i="3"/>
  <c r="AC372" i="3"/>
  <c r="AD210" i="3"/>
  <c r="AC210" i="3"/>
  <c r="AD347" i="3"/>
  <c r="AC347" i="3"/>
  <c r="S225" i="3"/>
  <c r="H35" i="9"/>
  <c r="G35" i="9"/>
  <c r="E35" i="9"/>
  <c r="D35" i="9"/>
  <c r="B35" i="9"/>
  <c r="I35" i="9"/>
  <c r="D15" i="9"/>
  <c r="B15" i="9"/>
  <c r="I15" i="9"/>
  <c r="H15" i="9"/>
  <c r="G15" i="9"/>
  <c r="E15" i="9"/>
  <c r="AD393" i="3"/>
  <c r="AC393" i="3"/>
  <c r="AD405" i="3"/>
  <c r="AC405" i="3"/>
  <c r="AD91" i="3"/>
  <c r="AC91" i="3"/>
  <c r="S35" i="3"/>
  <c r="AD60" i="3"/>
  <c r="AC60" i="3"/>
  <c r="AD352" i="3"/>
  <c r="AC352" i="3"/>
  <c r="AC307" i="3"/>
  <c r="AD307" i="3"/>
  <c r="AC259" i="3"/>
  <c r="AD259" i="3"/>
  <c r="AC136" i="3"/>
  <c r="AD136" i="3"/>
  <c r="U274" i="3"/>
  <c r="AC274" i="3" s="1"/>
  <c r="U211" i="3"/>
  <c r="AD324" i="3"/>
  <c r="AC324" i="3"/>
  <c r="AD380" i="3"/>
  <c r="AC380" i="3"/>
  <c r="U145" i="3"/>
  <c r="E94" i="9"/>
  <c r="D94" i="9"/>
  <c r="B94" i="9"/>
  <c r="I94" i="9"/>
  <c r="H94" i="9"/>
  <c r="G94" i="9"/>
  <c r="A89" i="9"/>
  <c r="Z91" i="7"/>
  <c r="A75" i="9"/>
  <c r="Z77" i="7"/>
  <c r="A21" i="9"/>
  <c r="Z23" i="7"/>
  <c r="AD179" i="3"/>
  <c r="AC179" i="3"/>
  <c r="A86" i="9"/>
  <c r="Z88" i="7"/>
  <c r="A34" i="9"/>
  <c r="Z36" i="7"/>
  <c r="A40" i="9"/>
  <c r="Z42" i="7"/>
  <c r="U144" i="3"/>
  <c r="AC144" i="3" s="1"/>
  <c r="AD269" i="3"/>
  <c r="AC269" i="3"/>
  <c r="S392" i="3"/>
  <c r="AD113" i="3"/>
  <c r="AC113" i="3"/>
  <c r="A66" i="9"/>
  <c r="Z68" i="7"/>
  <c r="AD228" i="3"/>
  <c r="AC228" i="3"/>
  <c r="U258" i="3"/>
  <c r="AC258" i="3" s="1"/>
  <c r="U254" i="3"/>
  <c r="AD45" i="3"/>
  <c r="AC125" i="3"/>
  <c r="AD125" i="3"/>
  <c r="U336" i="3"/>
  <c r="AD106" i="3"/>
  <c r="AC106" i="3"/>
  <c r="U127" i="3"/>
  <c r="AC127" i="3" s="1"/>
  <c r="G92" i="9"/>
  <c r="E92" i="9"/>
  <c r="D92" i="9"/>
  <c r="B92" i="9"/>
  <c r="I92" i="9"/>
  <c r="H92" i="9"/>
  <c r="A57" i="9"/>
  <c r="Z59" i="7"/>
  <c r="B8" i="9"/>
  <c r="I8" i="9"/>
  <c r="H8" i="9"/>
  <c r="G8" i="9"/>
  <c r="E8" i="9"/>
  <c r="D8" i="9"/>
  <c r="A10" i="9"/>
  <c r="Z12" i="7"/>
  <c r="H19" i="9"/>
  <c r="G19" i="9"/>
  <c r="E19" i="9"/>
  <c r="D19" i="9"/>
  <c r="B19" i="9"/>
  <c r="I19" i="9"/>
  <c r="AD394" i="3"/>
  <c r="AC394" i="3"/>
  <c r="AD341" i="3"/>
  <c r="AC341" i="3"/>
  <c r="AD171" i="3"/>
  <c r="AC171" i="3"/>
  <c r="U70" i="3"/>
  <c r="AC70" i="3" s="1"/>
  <c r="AD157" i="3"/>
  <c r="AC157" i="3"/>
  <c r="B89" i="9"/>
  <c r="I89" i="9"/>
  <c r="H89" i="9"/>
  <c r="G89" i="9"/>
  <c r="E89" i="9"/>
  <c r="D89" i="9"/>
  <c r="I66" i="9"/>
  <c r="H66" i="9"/>
  <c r="G66" i="9"/>
  <c r="E66" i="9"/>
  <c r="D66" i="9"/>
  <c r="B66" i="9"/>
  <c r="AC200" i="3"/>
  <c r="AD200" i="3"/>
  <c r="R4" i="7" a="1"/>
  <c r="R4" i="7" s="1"/>
  <c r="R5" i="7" s="1" a="1"/>
  <c r="R5" i="7" s="1"/>
  <c r="H8" i="14"/>
  <c r="G8" i="14"/>
  <c r="F8" i="14"/>
  <c r="E8" i="14"/>
  <c r="D8" i="14"/>
  <c r="C8" i="14"/>
  <c r="B8" i="14"/>
  <c r="AC267" i="3"/>
  <c r="AD267" i="3"/>
  <c r="AC320" i="3"/>
  <c r="AD320" i="3"/>
  <c r="U257" i="3"/>
  <c r="AC257" i="3" s="1"/>
  <c r="AF257" i="3" s="1"/>
  <c r="AC359" i="3"/>
  <c r="AD359" i="3"/>
  <c r="B57" i="9"/>
  <c r="I57" i="9"/>
  <c r="H57" i="9"/>
  <c r="G57" i="9"/>
  <c r="E57" i="9"/>
  <c r="D57" i="9"/>
  <c r="E70" i="9"/>
  <c r="D70" i="9"/>
  <c r="B70" i="9"/>
  <c r="I70" i="9"/>
  <c r="H70" i="9"/>
  <c r="G70" i="9"/>
  <c r="A28" i="9"/>
  <c r="Z30" i="7"/>
  <c r="AD143" i="3"/>
  <c r="AC143" i="3"/>
  <c r="AD282" i="3"/>
  <c r="AC282" i="3"/>
  <c r="U326" i="3"/>
  <c r="A73" i="9"/>
  <c r="Z75" i="7"/>
  <c r="A54" i="9"/>
  <c r="Z56" i="7"/>
  <c r="A74" i="9"/>
  <c r="Z76" i="7"/>
  <c r="E21" i="9"/>
  <c r="D21" i="9"/>
  <c r="B21" i="9"/>
  <c r="I21" i="9"/>
  <c r="H21" i="9"/>
  <c r="G21" i="9"/>
  <c r="AD51" i="3"/>
  <c r="AC196" i="3"/>
  <c r="AD196" i="3"/>
  <c r="AD249" i="3"/>
  <c r="AC249" i="3"/>
  <c r="AD321" i="3"/>
  <c r="AC321" i="3"/>
  <c r="AD406" i="3"/>
  <c r="AC406" i="3"/>
  <c r="AD370" i="3"/>
  <c r="AC370" i="3"/>
  <c r="AD230" i="3"/>
  <c r="AC230" i="3"/>
  <c r="E53" i="9"/>
  <c r="D53" i="9"/>
  <c r="B53" i="9"/>
  <c r="I53" i="9"/>
  <c r="H53" i="9"/>
  <c r="G53" i="9"/>
  <c r="A38" i="9"/>
  <c r="Z40" i="7"/>
  <c r="AD192" i="3"/>
  <c r="AC364" i="3"/>
  <c r="AD364" i="3"/>
  <c r="U329" i="3"/>
  <c r="AC329" i="3" s="1"/>
  <c r="AF329" i="3" s="1"/>
  <c r="AD129" i="3"/>
  <c r="AC129" i="3"/>
  <c r="AD112" i="3"/>
  <c r="AC112" i="3"/>
  <c r="AD79" i="3"/>
  <c r="AC79" i="3"/>
  <c r="AD292" i="3"/>
  <c r="AC292" i="3"/>
  <c r="AD59" i="3"/>
  <c r="AD298" i="3"/>
  <c r="AC298" i="3"/>
  <c r="AD140" i="3"/>
  <c r="AC140" i="3"/>
  <c r="A35" i="9"/>
  <c r="Z37" i="7"/>
  <c r="AD399" i="3"/>
  <c r="AD65" i="3"/>
  <c r="AC65" i="3"/>
  <c r="AD153" i="3"/>
  <c r="U114" i="3"/>
  <c r="AC114" i="3" s="1"/>
  <c r="AF114" i="3" s="1"/>
  <c r="AD322" i="3"/>
  <c r="AC322" i="3"/>
  <c r="U207" i="3"/>
  <c r="E4" i="7" a="1"/>
  <c r="E4" i="7" s="1"/>
  <c r="U226" i="3"/>
  <c r="AC226" i="3" s="1"/>
  <c r="AF226" i="3" s="1"/>
  <c r="S141" i="3"/>
  <c r="U31" i="3"/>
  <c r="AC31" i="3" s="1"/>
  <c r="AF31" i="3" s="1"/>
  <c r="U66" i="3"/>
  <c r="AC66" i="3" s="1"/>
  <c r="AF66" i="3" s="1"/>
  <c r="U46" i="3"/>
  <c r="AC46" i="3" s="1"/>
  <c r="AF46" i="3" s="1"/>
  <c r="AD325" i="3"/>
  <c r="AC325" i="3"/>
  <c r="AC182" i="3"/>
  <c r="AD182" i="3"/>
  <c r="AD108" i="3"/>
  <c r="B25" i="9"/>
  <c r="I25" i="9"/>
  <c r="H25" i="9"/>
  <c r="G25" i="9"/>
  <c r="E25" i="9"/>
  <c r="D25" i="9"/>
  <c r="D31" i="9"/>
  <c r="B31" i="9"/>
  <c r="I31" i="9"/>
  <c r="H31" i="9"/>
  <c r="G31" i="9"/>
  <c r="E31" i="9"/>
  <c r="AC295" i="3"/>
  <c r="AD295" i="3"/>
  <c r="U297" i="3"/>
  <c r="AC297" i="3" s="1"/>
  <c r="AF297" i="3" s="1"/>
  <c r="AD98" i="3"/>
  <c r="U369" i="3"/>
  <c r="AC369" i="3" s="1"/>
  <c r="AF369" i="3" s="1"/>
  <c r="AD264" i="3"/>
  <c r="AC264" i="3"/>
  <c r="U156" i="3"/>
  <c r="AC156" i="3" s="1"/>
  <c r="AF156" i="3" s="1"/>
  <c r="I58" i="9"/>
  <c r="H58" i="9"/>
  <c r="G58" i="9"/>
  <c r="E58" i="9"/>
  <c r="D58" i="9"/>
  <c r="B58" i="9"/>
  <c r="E46" i="9"/>
  <c r="D46" i="9"/>
  <c r="B46" i="9"/>
  <c r="I46" i="9"/>
  <c r="H46" i="9"/>
  <c r="G46" i="9"/>
  <c r="U202" i="3"/>
  <c r="AC202" i="3" s="1"/>
  <c r="AF202" i="3" s="1"/>
  <c r="AD138" i="3"/>
  <c r="AC323" i="3"/>
  <c r="AD323" i="3"/>
  <c r="U340" i="3"/>
  <c r="AC340" i="3" s="1"/>
  <c r="AF340" i="3" s="1"/>
  <c r="AD253" i="3"/>
  <c r="AD50" i="3"/>
  <c r="AC50" i="3"/>
  <c r="AD180" i="3"/>
  <c r="AC180" i="3"/>
  <c r="A7" i="7" a="1"/>
  <c r="A7" i="7" s="1"/>
  <c r="C13" i="5" s="1"/>
  <c r="U304" i="3"/>
  <c r="AC304" i="3" s="1"/>
  <c r="AF304" i="3" s="1"/>
  <c r="U371" i="3"/>
  <c r="AC371" i="3" s="1"/>
  <c r="AF371" i="3" s="1"/>
  <c r="AC198" i="3"/>
  <c r="AD198" i="3"/>
  <c r="A59" i="9"/>
  <c r="Z61" i="7"/>
  <c r="A6" i="9"/>
  <c r="Z8" i="7"/>
  <c r="X29" i="3"/>
  <c r="V29" i="3"/>
  <c r="U29" i="3"/>
  <c r="S29" i="3"/>
  <c r="AD53" i="3"/>
  <c r="AD103" i="3"/>
  <c r="AD69" i="3"/>
  <c r="AD301" i="3"/>
  <c r="AC301" i="3"/>
  <c r="AD277" i="3"/>
  <c r="AC277" i="3"/>
  <c r="U169" i="3"/>
  <c r="A71" i="9"/>
  <c r="Z73" i="7"/>
  <c r="G44" i="9"/>
  <c r="E44" i="9"/>
  <c r="D44" i="9"/>
  <c r="B44" i="9"/>
  <c r="I44" i="9"/>
  <c r="H44" i="9"/>
  <c r="AD245" i="3"/>
  <c r="AC245" i="3"/>
  <c r="H9" i="14"/>
  <c r="G9" i="14"/>
  <c r="F9" i="14"/>
  <c r="E9" i="14"/>
  <c r="D9" i="14"/>
  <c r="C9" i="14"/>
  <c r="B9" i="14"/>
  <c r="AC131" i="3"/>
  <c r="AD131" i="3"/>
  <c r="AD152" i="3"/>
  <c r="AC152" i="3"/>
  <c r="AC82" i="3"/>
  <c r="AD82" i="3"/>
  <c r="A44" i="9"/>
  <c r="Z46" i="7"/>
  <c r="AD339" i="3"/>
  <c r="AC339" i="3"/>
  <c r="AC58" i="3"/>
  <c r="AD58" i="3"/>
  <c r="AD404" i="3"/>
  <c r="AC404" i="3"/>
  <c r="AD316" i="3"/>
  <c r="AC316" i="3"/>
  <c r="AD410" i="3"/>
  <c r="AC410" i="3"/>
  <c r="AD357" i="3"/>
  <c r="AC357" i="3"/>
  <c r="AD137" i="3"/>
  <c r="AC137" i="3"/>
  <c r="U95" i="3"/>
  <c r="AC95" i="3" s="1"/>
  <c r="AF95" i="3" s="1"/>
  <c r="AD227" i="3"/>
  <c r="U47" i="3"/>
  <c r="AC47" i="3" s="1"/>
  <c r="AF47" i="3" s="1"/>
  <c r="D63" i="9"/>
  <c r="B63" i="9"/>
  <c r="I63" i="9"/>
  <c r="H63" i="9"/>
  <c r="G63" i="9"/>
  <c r="E63" i="9"/>
  <c r="E78" i="9"/>
  <c r="D78" i="9"/>
  <c r="B78" i="9"/>
  <c r="I78" i="9"/>
  <c r="H78" i="9"/>
  <c r="G78" i="9"/>
  <c r="A55" i="9"/>
  <c r="Z57" i="7"/>
  <c r="A36" i="9"/>
  <c r="Z38" i="7"/>
  <c r="A13" i="9"/>
  <c r="Z15" i="7"/>
  <c r="AD252" i="3"/>
  <c r="AD158" i="3"/>
  <c r="AD88" i="3"/>
  <c r="AC88" i="3"/>
  <c r="U246" i="3"/>
  <c r="AC246" i="3" s="1"/>
  <c r="AF246" i="3" s="1"/>
  <c r="AD412" i="3"/>
  <c r="AC412" i="3"/>
  <c r="U173" i="3"/>
  <c r="AC173" i="3" s="1"/>
  <c r="AF173" i="3" s="1"/>
  <c r="U271" i="3"/>
  <c r="AC271" i="3" s="1"/>
  <c r="AF271" i="3" s="1"/>
  <c r="AD266" i="3"/>
  <c r="U225" i="3"/>
  <c r="AD87" i="3"/>
  <c r="AD310" i="3"/>
  <c r="AC310" i="3"/>
  <c r="A80" i="9"/>
  <c r="Z82" i="7"/>
  <c r="G76" i="9"/>
  <c r="E76" i="9"/>
  <c r="D76" i="9"/>
  <c r="B76" i="9"/>
  <c r="I76" i="9"/>
  <c r="H76" i="9"/>
  <c r="H43" i="9"/>
  <c r="G43" i="9"/>
  <c r="E43" i="9"/>
  <c r="D43" i="9"/>
  <c r="B43" i="9"/>
  <c r="I43" i="9"/>
  <c r="A24" i="9"/>
  <c r="Z26" i="7"/>
  <c r="E29" i="9"/>
  <c r="D29" i="9"/>
  <c r="B29" i="9"/>
  <c r="I29" i="9"/>
  <c r="H29" i="9"/>
  <c r="G29" i="9"/>
  <c r="U312" i="3"/>
  <c r="AC312" i="3" s="1"/>
  <c r="AF312" i="3" s="1"/>
  <c r="U181" i="3"/>
  <c r="AC181" i="3" s="1"/>
  <c r="AF181" i="3" s="1"/>
  <c r="AD133" i="3"/>
  <c r="AC133" i="3"/>
  <c r="AD290" i="3"/>
  <c r="U35" i="3"/>
  <c r="AD306" i="3"/>
  <c r="U121" i="3"/>
  <c r="AC121" i="3" s="1"/>
  <c r="AF121" i="3" s="1"/>
  <c r="U332" i="3"/>
  <c r="AC332" i="3" s="1"/>
  <c r="AF332" i="3" s="1"/>
  <c r="U233" i="3"/>
  <c r="AC233" i="3" s="1"/>
  <c r="AF233" i="3" s="1"/>
  <c r="AD223" i="3"/>
  <c r="AC223" i="3"/>
  <c r="U311" i="3"/>
  <c r="AC311" i="3" s="1"/>
  <c r="AF311" i="3" s="1"/>
  <c r="AD232" i="3"/>
  <c r="AD344" i="3"/>
  <c r="U40" i="3"/>
  <c r="AC40" i="3" s="1"/>
  <c r="AF40" i="3" s="1"/>
  <c r="U248" i="3"/>
  <c r="AC248" i="3" s="1"/>
  <c r="AF248" i="3" s="1"/>
  <c r="AD75" i="3"/>
  <c r="H67" i="9"/>
  <c r="G67" i="9"/>
  <c r="E67" i="9"/>
  <c r="D67" i="9"/>
  <c r="B67" i="9"/>
  <c r="I67" i="9"/>
  <c r="I26" i="9"/>
  <c r="H26" i="9"/>
  <c r="G26" i="9"/>
  <c r="E26" i="9"/>
  <c r="D26" i="9"/>
  <c r="B26" i="9"/>
  <c r="U96" i="3"/>
  <c r="AC96" i="3" s="1"/>
  <c r="AF96" i="3" s="1"/>
  <c r="AD360" i="3"/>
  <c r="AC360" i="3"/>
  <c r="U159" i="3"/>
  <c r="AC159" i="3" s="1"/>
  <c r="AF159" i="3" s="1"/>
  <c r="U387" i="3"/>
  <c r="AC387" i="3" s="1"/>
  <c r="AF387" i="3" s="1"/>
  <c r="U174" i="3"/>
  <c r="AC174" i="3" s="1"/>
  <c r="AF174" i="3" s="1"/>
  <c r="AD345" i="3"/>
  <c r="AC345" i="3"/>
  <c r="D3" i="7"/>
  <c r="P3" i="7"/>
  <c r="O3" i="7" a="1"/>
  <c r="O3" i="7" s="1"/>
  <c r="N3" i="7"/>
  <c r="AD162" i="3"/>
  <c r="AD124" i="3"/>
  <c r="AC124" i="3"/>
  <c r="AD268" i="3"/>
  <c r="AD167" i="3"/>
  <c r="U193" i="3"/>
  <c r="AC193" i="3" s="1"/>
  <c r="AF193" i="3" s="1"/>
  <c r="A93" i="9"/>
  <c r="Z95" i="7"/>
  <c r="U208" i="3"/>
  <c r="AC208" i="3" s="1"/>
  <c r="AF208" i="3" s="1"/>
  <c r="AC78" i="3"/>
  <c r="AD78" i="3"/>
  <c r="AD63" i="3"/>
  <c r="AD119" i="3"/>
  <c r="U328" i="3"/>
  <c r="AC328" i="3" s="1"/>
  <c r="AF328" i="3" s="1"/>
  <c r="U126" i="3"/>
  <c r="AC126" i="3" s="1"/>
  <c r="AF126" i="3" s="1"/>
  <c r="AD77" i="3"/>
  <c r="B88" i="9"/>
  <c r="I88" i="9"/>
  <c r="H88" i="9"/>
  <c r="G88" i="9"/>
  <c r="E88" i="9"/>
  <c r="D88" i="9"/>
  <c r="A84" i="9"/>
  <c r="Z86" i="7"/>
  <c r="U89" i="3"/>
  <c r="AC89" i="3" s="1"/>
  <c r="U117" i="3"/>
  <c r="AC117" i="3" s="1"/>
  <c r="U30" i="3"/>
  <c r="AC30" i="3" s="1"/>
  <c r="U197" i="3"/>
  <c r="AC197" i="3" s="1"/>
  <c r="U256" i="3"/>
  <c r="AC256" i="3" s="1"/>
  <c r="AD118" i="3"/>
  <c r="AC379" i="3"/>
  <c r="AD379" i="3"/>
  <c r="AD276" i="3"/>
  <c r="AC276" i="3"/>
  <c r="U41" i="3"/>
  <c r="AC41" i="3" s="1"/>
  <c r="U33" i="3"/>
  <c r="AC33" i="3" s="1"/>
  <c r="AD190" i="3"/>
  <c r="U241" i="3"/>
  <c r="AC241" i="3" s="1"/>
  <c r="AD300" i="3"/>
  <c r="AC300" i="3"/>
  <c r="U363" i="3"/>
  <c r="AC363" i="3" s="1"/>
  <c r="AD55" i="3"/>
  <c r="U285" i="3"/>
  <c r="AC285" i="3" s="1"/>
  <c r="AD331" i="3"/>
  <c r="AC331" i="3"/>
  <c r="U289" i="3"/>
  <c r="AC289" i="3" s="1"/>
  <c r="U250" i="3"/>
  <c r="AC250" i="3" s="1"/>
  <c r="U293" i="3"/>
  <c r="AC293" i="3" s="1"/>
  <c r="U261" i="3"/>
  <c r="AC261" i="3" s="1"/>
  <c r="U161" i="3"/>
  <c r="AC161" i="3" s="1"/>
  <c r="A51" i="9"/>
  <c r="Z53" i="7"/>
  <c r="A29" i="9"/>
  <c r="Z31" i="7"/>
  <c r="B40" i="9"/>
  <c r="I40" i="9"/>
  <c r="H40" i="9"/>
  <c r="G40" i="9"/>
  <c r="E40" i="9"/>
  <c r="D40" i="9"/>
  <c r="A9" i="9"/>
  <c r="Z11" i="7"/>
  <c r="AD303" i="3"/>
  <c r="U224" i="3"/>
  <c r="AC224" i="3" s="1"/>
  <c r="U402" i="3"/>
  <c r="AC402" i="3" s="1"/>
  <c r="AD386" i="3"/>
  <c r="AD175" i="3"/>
  <c r="AC265" i="3"/>
  <c r="AD265" i="3"/>
  <c r="AD165" i="3"/>
  <c r="AC165" i="3"/>
  <c r="S9" i="7"/>
  <c r="AW16" i="6" s="1"/>
  <c r="S7" i="7"/>
  <c r="AW14" i="6" s="1"/>
  <c r="S5" i="7"/>
  <c r="AW12" i="6" s="1"/>
  <c r="S3" i="7"/>
  <c r="AW10" i="6" s="1"/>
  <c r="S10" i="7"/>
  <c r="AW17" i="6" s="1"/>
  <c r="S8" i="7"/>
  <c r="AW15" i="6" s="1"/>
  <c r="S6" i="7"/>
  <c r="AW13" i="6" s="1"/>
  <c r="S4" i="7"/>
  <c r="AW11" i="6" s="1"/>
  <c r="A7" i="5"/>
  <c r="H2" i="14"/>
  <c r="G2" i="14"/>
  <c r="F2" i="14"/>
  <c r="E2" i="14"/>
  <c r="D2" i="14"/>
  <c r="C2" i="14"/>
  <c r="B2" i="14"/>
  <c r="AD110" i="3"/>
  <c r="AC110" i="3"/>
  <c r="A69" i="9"/>
  <c r="Z71" i="7"/>
  <c r="AD260" i="3"/>
  <c r="AC260" i="3"/>
  <c r="AD74" i="3"/>
  <c r="AC74" i="3"/>
  <c r="AD130" i="3"/>
  <c r="AC130" i="3"/>
  <c r="U188" i="3"/>
  <c r="AC188" i="3" s="1"/>
  <c r="AD151" i="3"/>
  <c r="AD348" i="3"/>
  <c r="AC348" i="3"/>
  <c r="U177" i="3"/>
  <c r="AC177" i="3" s="1"/>
  <c r="A56" i="9"/>
  <c r="Z58" i="7"/>
  <c r="A48" i="9"/>
  <c r="Z50" i="7"/>
  <c r="H27" i="9"/>
  <c r="G27" i="9"/>
  <c r="E27" i="9"/>
  <c r="D27" i="9"/>
  <c r="B27" i="9"/>
  <c r="I27" i="9"/>
  <c r="U234" i="3"/>
  <c r="AC234" i="3" s="1"/>
  <c r="AD337" i="3"/>
  <c r="AC337" i="3"/>
  <c r="U286" i="3"/>
  <c r="AC286" i="3" s="1"/>
  <c r="U185" i="3"/>
  <c r="AC185" i="3" s="1"/>
  <c r="U146" i="3"/>
  <c r="AC146" i="3" s="1"/>
  <c r="U199" i="3"/>
  <c r="AC199" i="3" s="1"/>
  <c r="U251" i="3"/>
  <c r="AC251" i="3" s="1"/>
  <c r="D71" i="9"/>
  <c r="B71" i="9"/>
  <c r="I71" i="9"/>
  <c r="H71" i="9"/>
  <c r="G71" i="9"/>
  <c r="E71" i="9"/>
  <c r="A67" i="9"/>
  <c r="Z69" i="7"/>
  <c r="A43" i="9"/>
  <c r="Z45" i="7"/>
  <c r="A8" i="9"/>
  <c r="Z10" i="7"/>
  <c r="G12" i="9"/>
  <c r="E12" i="9"/>
  <c r="D12" i="9"/>
  <c r="B12" i="9"/>
  <c r="I12" i="9"/>
  <c r="H12" i="9"/>
  <c r="U279" i="3"/>
  <c r="AC279" i="3" s="1"/>
  <c r="U235" i="3"/>
  <c r="AC235" i="3" s="1"/>
  <c r="AD123" i="3"/>
  <c r="AC123" i="3"/>
  <c r="AD396" i="3"/>
  <c r="AC396" i="3"/>
  <c r="AD237" i="3"/>
  <c r="AC237" i="3"/>
  <c r="U221" i="3"/>
  <c r="AC221" i="3" s="1"/>
  <c r="U97" i="3"/>
  <c r="AC97" i="3" s="1"/>
  <c r="U315" i="3"/>
  <c r="AC315" i="3" s="1"/>
  <c r="AD274" i="3"/>
  <c r="AD99" i="3"/>
  <c r="AC99" i="3"/>
  <c r="AD211" i="3"/>
  <c r="AD145" i="3"/>
  <c r="B80" i="9"/>
  <c r="I80" i="9"/>
  <c r="H80" i="9"/>
  <c r="G80" i="9"/>
  <c r="E80" i="9"/>
  <c r="D80" i="9"/>
  <c r="A60" i="9"/>
  <c r="Z62" i="7"/>
  <c r="B81" i="9"/>
  <c r="I81" i="9"/>
  <c r="H81" i="9"/>
  <c r="G81" i="9"/>
  <c r="E81" i="9"/>
  <c r="D81" i="9"/>
  <c r="A25" i="9"/>
  <c r="Z27" i="7"/>
  <c r="I2" i="9"/>
  <c r="H2" i="9"/>
  <c r="G2" i="9"/>
  <c r="E2" i="9"/>
  <c r="D2" i="9"/>
  <c r="B2" i="9"/>
  <c r="AD334" i="3"/>
  <c r="AC334" i="3"/>
  <c r="U155" i="3"/>
  <c r="AC155" i="3" s="1"/>
  <c r="AD186" i="3"/>
  <c r="AC186" i="3"/>
  <c r="U229" i="3"/>
  <c r="AC229" i="3" s="1"/>
  <c r="U212" i="3"/>
  <c r="AC212" i="3" s="1"/>
  <c r="AD36" i="3"/>
  <c r="AC36" i="3"/>
  <c r="U272" i="3"/>
  <c r="AC272" i="3" s="1"/>
  <c r="U81" i="3"/>
  <c r="AC81" i="3" s="1"/>
  <c r="AD358" i="3"/>
  <c r="AD207" i="3"/>
  <c r="U48" i="3"/>
  <c r="AC48" i="3" s="1"/>
  <c r="U141" i="3"/>
  <c r="AC385" i="3"/>
  <c r="AD385" i="3"/>
  <c r="U327" i="3"/>
  <c r="AC327" i="3" s="1"/>
  <c r="A64" i="9"/>
  <c r="Z66" i="7"/>
  <c r="I74" i="9"/>
  <c r="H74" i="9"/>
  <c r="G74" i="9"/>
  <c r="E74" i="9"/>
  <c r="D74" i="9"/>
  <c r="B74" i="9"/>
  <c r="G4" i="9"/>
  <c r="E4" i="9"/>
  <c r="D4" i="9"/>
  <c r="B4" i="9"/>
  <c r="I4" i="9"/>
  <c r="H4" i="9"/>
  <c r="AD335" i="3"/>
  <c r="AC335" i="3"/>
  <c r="AD144" i="3"/>
  <c r="U203" i="3"/>
  <c r="AC203" i="3" s="1"/>
  <c r="U149" i="3"/>
  <c r="AC149" i="3" s="1"/>
  <c r="AD242" i="3"/>
  <c r="AC242" i="3"/>
  <c r="U189" i="3"/>
  <c r="AC189" i="3" s="1"/>
  <c r="AD61" i="3"/>
  <c r="AC61" i="3"/>
  <c r="U411" i="3"/>
  <c r="AC411" i="3" s="1"/>
  <c r="U374" i="3"/>
  <c r="AC374" i="3" s="1"/>
  <c r="U275" i="3"/>
  <c r="AC275" i="3" s="1"/>
  <c r="U220" i="3"/>
  <c r="AC220" i="3" s="1"/>
  <c r="U392" i="3"/>
  <c r="U342" i="3"/>
  <c r="AC342" i="3" s="1"/>
  <c r="U102" i="3"/>
  <c r="AC102" i="3" s="1"/>
  <c r="A41" i="9"/>
  <c r="Z43" i="7"/>
  <c r="E5" i="9"/>
  <c r="D5" i="9"/>
  <c r="B5" i="9"/>
  <c r="I5" i="9"/>
  <c r="H5" i="9"/>
  <c r="G5" i="9"/>
  <c r="U164" i="3"/>
  <c r="AC164" i="3" s="1"/>
  <c r="AD258" i="3"/>
  <c r="U94" i="3"/>
  <c r="AC94" i="3" s="1"/>
  <c r="AD254" i="3"/>
  <c r="U107" i="3"/>
  <c r="AC107" i="3" s="1"/>
  <c r="U83" i="3"/>
  <c r="AC83" i="3" s="1"/>
  <c r="AD85" i="3"/>
  <c r="AC85" i="3"/>
  <c r="U238" i="3"/>
  <c r="AC238" i="3" s="1"/>
  <c r="U57" i="3"/>
  <c r="AC57" i="3" s="1"/>
  <c r="AD336" i="3"/>
  <c r="AD127" i="3"/>
  <c r="U134" i="3"/>
  <c r="AC134" i="3" s="1"/>
  <c r="A83" i="9"/>
  <c r="Z85" i="7"/>
  <c r="A96" i="9"/>
  <c r="Z98" i="7"/>
  <c r="B64" i="9"/>
  <c r="I64" i="9"/>
  <c r="H64" i="9"/>
  <c r="G64" i="9"/>
  <c r="E64" i="9"/>
  <c r="D64" i="9"/>
  <c r="A76" i="9"/>
  <c r="Z78" i="7"/>
  <c r="A5" i="9"/>
  <c r="Z7" i="7"/>
  <c r="AC160" i="3"/>
  <c r="AD160" i="3"/>
  <c r="AD70" i="3"/>
  <c r="F366" i="10"/>
  <c r="A345" i="10"/>
  <c r="C383" i="10"/>
  <c r="E337" i="10"/>
  <c r="A245" i="10"/>
  <c r="D315" i="10"/>
  <c r="B230" i="10"/>
  <c r="F144" i="10"/>
  <c r="A274" i="10"/>
  <c r="F349" i="10"/>
  <c r="B251" i="10"/>
  <c r="F165" i="10"/>
  <c r="D80" i="10"/>
  <c r="E321" i="10"/>
  <c r="C236" i="10"/>
  <c r="F306" i="10"/>
  <c r="F327" i="10"/>
  <c r="A240" i="10"/>
  <c r="E154" i="10"/>
  <c r="B285" i="10"/>
  <c r="F199" i="10"/>
  <c r="D114" i="10"/>
  <c r="B29" i="10"/>
  <c r="F76" i="10"/>
  <c r="C170" i="10"/>
  <c r="C46" i="10"/>
  <c r="A128" i="10"/>
  <c r="E17" i="10"/>
  <c r="E95" i="10"/>
  <c r="B196" i="10"/>
  <c r="D63" i="10"/>
  <c r="E147" i="10"/>
  <c r="C31" i="10"/>
  <c r="F112" i="10"/>
  <c r="C6" i="10"/>
  <c r="E80" i="10"/>
  <c r="D365" i="10"/>
  <c r="E343" i="10"/>
  <c r="A382" i="10"/>
  <c r="A335" i="10"/>
  <c r="E243" i="10"/>
  <c r="B314" i="10"/>
  <c r="F228" i="10"/>
  <c r="D143" i="10"/>
  <c r="E272" i="10"/>
  <c r="B347" i="10"/>
  <c r="F249" i="10"/>
  <c r="D164" i="10"/>
  <c r="B79" i="10"/>
  <c r="C320" i="10"/>
  <c r="A235" i="10"/>
  <c r="D305" i="10"/>
  <c r="B325" i="10"/>
  <c r="E238" i="10"/>
  <c r="C153" i="10"/>
  <c r="F283" i="10"/>
  <c r="D198" i="10"/>
  <c r="B113" i="10"/>
  <c r="D249" i="10"/>
  <c r="A75" i="10"/>
  <c r="E167" i="10"/>
  <c r="E44" i="10"/>
  <c r="B126" i="10"/>
  <c r="C16" i="10"/>
  <c r="A94" i="10"/>
  <c r="D193" i="10"/>
  <c r="E61" i="10"/>
  <c r="A145" i="10"/>
  <c r="D29" i="10"/>
  <c r="A111" i="10"/>
  <c r="A5" i="10"/>
  <c r="F78" i="10"/>
  <c r="F374" i="10"/>
  <c r="A353" i="10"/>
  <c r="B330" i="10"/>
  <c r="E353" i="10"/>
  <c r="A253" i="10"/>
  <c r="A324" i="10"/>
  <c r="B238" i="10"/>
  <c r="F152" i="10"/>
  <c r="A282" i="10"/>
  <c r="F365" i="10"/>
  <c r="B259" i="10"/>
  <c r="F173" i="10"/>
  <c r="D88" i="10"/>
  <c r="C336" i="10"/>
  <c r="C244" i="10"/>
  <c r="F314" i="10"/>
  <c r="F343" i="10"/>
  <c r="A248" i="10"/>
  <c r="E162" i="10"/>
  <c r="B293" i="10"/>
  <c r="F207" i="10"/>
  <c r="D122" i="10"/>
  <c r="B37" i="10"/>
  <c r="D87" i="10"/>
  <c r="C186" i="10"/>
  <c r="A57" i="10"/>
  <c r="E138" i="10"/>
  <c r="E25" i="10"/>
  <c r="C106" i="10"/>
  <c r="B244" i="10"/>
  <c r="B74" i="10"/>
  <c r="E163" i="10"/>
  <c r="A42" i="10"/>
  <c r="D123" i="10"/>
  <c r="C14" i="10"/>
  <c r="C91" i="10"/>
  <c r="D373" i="10"/>
  <c r="E351" i="10"/>
  <c r="F328" i="10"/>
  <c r="A351" i="10"/>
  <c r="E251" i="10"/>
  <c r="B322" i="10"/>
  <c r="F236" i="10"/>
  <c r="D151" i="10"/>
  <c r="E280" i="10"/>
  <c r="B363" i="10"/>
  <c r="F257" i="10"/>
  <c r="D172" i="10"/>
  <c r="B87" i="10"/>
  <c r="E333" i="10"/>
  <c r="A243" i="10"/>
  <c r="D313" i="10"/>
  <c r="B341" i="10"/>
  <c r="E246" i="10"/>
  <c r="C161" i="10"/>
  <c r="F291" i="10"/>
  <c r="D206" i="10"/>
  <c r="B121" i="10"/>
  <c r="F35" i="10"/>
  <c r="E85" i="10"/>
  <c r="E183" i="10"/>
  <c r="C55" i="10"/>
  <c r="F136" i="10"/>
  <c r="C24" i="10"/>
  <c r="E104" i="10"/>
  <c r="D233" i="10"/>
  <c r="C72" i="10"/>
  <c r="A161" i="10"/>
  <c r="B40" i="10"/>
  <c r="E121" i="10"/>
  <c r="A13" i="10"/>
  <c r="D89" i="10"/>
  <c r="B372" i="10"/>
  <c r="C350" i="10"/>
  <c r="D327" i="10"/>
  <c r="C348" i="10"/>
  <c r="C250" i="10"/>
  <c r="F320" i="10"/>
  <c r="D235" i="10"/>
  <c r="B150" i="10"/>
  <c r="C279" i="10"/>
  <c r="D360" i="10"/>
  <c r="D256" i="10"/>
  <c r="B171" i="10"/>
  <c r="F85" i="10"/>
  <c r="A331" i="10"/>
  <c r="E241" i="10"/>
  <c r="B312" i="10"/>
  <c r="D338" i="10"/>
  <c r="C245" i="10"/>
  <c r="A160" i="10"/>
  <c r="D290" i="10"/>
  <c r="B205" i="10"/>
  <c r="F119" i="10"/>
  <c r="D34" i="10"/>
  <c r="A84" i="10"/>
  <c r="A181" i="10"/>
  <c r="D53" i="10"/>
  <c r="A135" i="10"/>
  <c r="A23" i="10"/>
  <c r="F102" i="10"/>
  <c r="F222" i="10"/>
  <c r="E70" i="10"/>
  <c r="C158" i="10"/>
  <c r="C38" i="10"/>
  <c r="A120" i="10"/>
  <c r="E11" i="10"/>
  <c r="E87" i="10"/>
  <c r="F370" i="10"/>
  <c r="A349" i="10"/>
  <c r="B326" i="10"/>
  <c r="E345" i="10"/>
  <c r="A249" i="10"/>
  <c r="D319" i="10"/>
  <c r="B234" i="10"/>
  <c r="F148" i="10"/>
  <c r="A278" i="10"/>
  <c r="F357" i="10"/>
  <c r="B255" i="10"/>
  <c r="F169" i="10"/>
  <c r="D84" i="10"/>
  <c r="C328" i="10"/>
  <c r="C240" i="10"/>
  <c r="F310" i="10"/>
  <c r="F335" i="10"/>
  <c r="A244" i="10"/>
  <c r="E158" i="10"/>
  <c r="B289" i="10"/>
  <c r="F203" i="10"/>
  <c r="D118" i="10"/>
  <c r="B33" i="10"/>
  <c r="B82" i="10"/>
  <c r="C178" i="10"/>
  <c r="E51" i="10"/>
  <c r="C133" i="10"/>
  <c r="E21" i="10"/>
  <c r="A101" i="10"/>
  <c r="B212" i="10"/>
  <c r="F68" i="10"/>
  <c r="E155" i="10"/>
  <c r="E36" i="10"/>
  <c r="B118" i="10"/>
  <c r="C10" i="10"/>
  <c r="A86" i="10"/>
  <c r="D369" i="10"/>
  <c r="E347" i="10"/>
  <c r="F324" i="10"/>
  <c r="A343" i="10"/>
  <c r="E247" i="10"/>
  <c r="B318" i="10"/>
  <c r="F232" i="10"/>
  <c r="D147" i="10"/>
  <c r="E276" i="10"/>
  <c r="B355" i="10"/>
  <c r="F253" i="10"/>
  <c r="D168" i="10"/>
  <c r="B83" i="10"/>
  <c r="E325" i="10"/>
  <c r="A239" i="10"/>
  <c r="D309" i="10"/>
  <c r="B333" i="10"/>
  <c r="E242" i="10"/>
  <c r="C157" i="10"/>
  <c r="F287" i="10"/>
  <c r="D202" i="10"/>
  <c r="B117" i="10"/>
  <c r="F31" i="10"/>
  <c r="C80" i="10"/>
  <c r="E175" i="10"/>
  <c r="A50" i="10"/>
  <c r="D131" i="10"/>
  <c r="C20" i="10"/>
  <c r="C99" i="10"/>
  <c r="B204" i="10"/>
  <c r="A67" i="10"/>
  <c r="A153" i="10"/>
  <c r="F34" i="10"/>
  <c r="C116" i="10"/>
  <c r="A9" i="10"/>
  <c r="A377" i="10"/>
  <c r="D343" i="10"/>
  <c r="A359" i="10"/>
  <c r="C234" i="10"/>
  <c r="B294" i="10"/>
  <c r="B198" i="10"/>
  <c r="E316" i="10"/>
  <c r="E220" i="10"/>
  <c r="D272" i="10"/>
  <c r="D176" i="10"/>
  <c r="F69" i="10"/>
  <c r="C300" i="10"/>
  <c r="C204" i="10"/>
  <c r="B264" i="10"/>
  <c r="A272" i="10"/>
  <c r="A176" i="10"/>
  <c r="F295" i="10"/>
  <c r="B189" i="10"/>
  <c r="B93" i="10"/>
  <c r="B152" i="10"/>
  <c r="A22" i="10"/>
  <c r="A89" i="10"/>
  <c r="E164" i="10"/>
  <c r="C28" i="10"/>
  <c r="D81" i="10"/>
  <c r="D153" i="10"/>
  <c r="E22" i="10"/>
  <c r="B88" i="10"/>
  <c r="C163" i="10"/>
  <c r="E27" i="10"/>
  <c r="F94" i="10"/>
  <c r="F354" i="10"/>
  <c r="F384" i="10"/>
  <c r="A350" i="10"/>
  <c r="C286" i="10"/>
  <c r="C369" i="10"/>
  <c r="B250" i="10"/>
  <c r="B154" i="10"/>
  <c r="A262" i="10"/>
  <c r="F313" i="10"/>
  <c r="F217" i="10"/>
  <c r="F121" i="10"/>
  <c r="E381" i="10"/>
  <c r="C256" i="10"/>
  <c r="B316" i="10"/>
  <c r="C313" i="10"/>
  <c r="C217" i="10"/>
  <c r="B351" i="10"/>
  <c r="B241" i="10"/>
  <c r="B145" i="10"/>
  <c r="B49" i="10"/>
  <c r="C89" i="10"/>
  <c r="C146" i="10"/>
  <c r="B19" i="10"/>
  <c r="D83" i="10"/>
  <c r="C156" i="10"/>
  <c r="B24" i="10"/>
  <c r="B90" i="10"/>
  <c r="C166" i="10"/>
  <c r="D18" i="10"/>
  <c r="E82" i="10"/>
  <c r="A155" i="10"/>
  <c r="D23" i="10"/>
  <c r="A385" i="10"/>
  <c r="D351" i="10"/>
  <c r="A375" i="10"/>
  <c r="C242" i="10"/>
  <c r="B302" i="10"/>
  <c r="B206" i="10"/>
  <c r="D326" i="10"/>
  <c r="E228" i="10"/>
  <c r="D280" i="10"/>
  <c r="D184" i="10"/>
  <c r="F77" i="10"/>
  <c r="C308" i="10"/>
  <c r="C212" i="10"/>
  <c r="B272" i="10"/>
  <c r="A280" i="10"/>
  <c r="A184" i="10"/>
  <c r="F303" i="10"/>
  <c r="B197" i="10"/>
  <c r="B101" i="10"/>
  <c r="B168" i="10"/>
  <c r="E30" i="10"/>
  <c r="E99" i="10"/>
  <c r="E180" i="10"/>
  <c r="A39" i="10"/>
  <c r="B92" i="10"/>
  <c r="D169" i="10"/>
  <c r="D31" i="10"/>
  <c r="F98" i="10"/>
  <c r="C179" i="10"/>
  <c r="B38" i="10"/>
  <c r="D105" i="10"/>
  <c r="F362" i="10"/>
  <c r="C330" i="10"/>
  <c r="A358" i="10"/>
  <c r="C294" i="10"/>
  <c r="C385" i="10"/>
  <c r="B258" i="10"/>
  <c r="B162" i="10"/>
  <c r="A270" i="10"/>
  <c r="F321" i="10"/>
  <c r="F225" i="10"/>
  <c r="F129" i="10"/>
  <c r="F33" i="10"/>
  <c r="C264" i="10"/>
  <c r="C325" i="10"/>
  <c r="C321" i="10"/>
  <c r="C225" i="10"/>
  <c r="B367" i="10"/>
  <c r="B249" i="10"/>
  <c r="B153" i="10"/>
  <c r="B57" i="10"/>
  <c r="A100" i="10"/>
  <c r="C162" i="10"/>
  <c r="B27" i="10"/>
  <c r="B94" i="10"/>
  <c r="C172" i="10"/>
  <c r="D33" i="10"/>
  <c r="F100" i="10"/>
  <c r="C182" i="10"/>
  <c r="D26" i="10"/>
  <c r="C93" i="10"/>
  <c r="A171" i="10"/>
  <c r="E32" i="10"/>
  <c r="C382" i="10"/>
  <c r="F348" i="10"/>
  <c r="E369" i="10"/>
  <c r="E239" i="10"/>
  <c r="D299" i="10"/>
  <c r="D203" i="10"/>
  <c r="A322" i="10"/>
  <c r="A226" i="10"/>
  <c r="F277" i="10"/>
  <c r="F181" i="10"/>
  <c r="B75" i="10"/>
  <c r="E305" i="10"/>
  <c r="E209" i="10"/>
  <c r="D269" i="10"/>
  <c r="C277" i="10"/>
  <c r="C181" i="10"/>
  <c r="B301" i="10"/>
  <c r="D194" i="10"/>
  <c r="D98" i="10"/>
  <c r="F162" i="10"/>
  <c r="C27" i="10"/>
  <c r="B96" i="10"/>
  <c r="C175" i="10"/>
  <c r="D35" i="10"/>
  <c r="E88" i="10"/>
  <c r="B164" i="10"/>
  <c r="A28" i="10"/>
  <c r="C95" i="10"/>
  <c r="A174" i="10"/>
  <c r="E34" i="10"/>
  <c r="A102" i="10"/>
  <c r="B360" i="10"/>
  <c r="E327" i="10"/>
  <c r="C355" i="10"/>
  <c r="E291" i="10"/>
  <c r="A380" i="10"/>
  <c r="D255" i="10"/>
  <c r="D159" i="10"/>
  <c r="C267" i="10"/>
  <c r="B319" i="10"/>
  <c r="B223" i="10"/>
  <c r="B127" i="10"/>
  <c r="B31" i="10"/>
  <c r="E261" i="10"/>
  <c r="D321" i="10"/>
  <c r="E318" i="10"/>
  <c r="E222" i="10"/>
  <c r="F361" i="10"/>
  <c r="D246" i="10"/>
  <c r="D150" i="10"/>
  <c r="D54" i="10"/>
  <c r="C96" i="10"/>
  <c r="A157" i="10"/>
  <c r="D24" i="10"/>
  <c r="E90" i="10"/>
  <c r="A167" i="10"/>
  <c r="A30" i="10"/>
  <c r="C97" i="10"/>
  <c r="A177" i="10"/>
  <c r="F23" i="10"/>
  <c r="E89" i="10"/>
  <c r="E165" i="10"/>
  <c r="A29" i="10"/>
  <c r="E379" i="10"/>
  <c r="B346" i="10"/>
  <c r="C364" i="10"/>
  <c r="A237" i="10"/>
  <c r="F296" i="10"/>
  <c r="F200" i="10"/>
  <c r="C319" i="10"/>
  <c r="C223" i="10"/>
  <c r="B275" i="10"/>
  <c r="B179" i="10"/>
  <c r="D72" i="10"/>
  <c r="A303" i="10"/>
  <c r="A207" i="10"/>
  <c r="F266" i="10"/>
  <c r="E274" i="10"/>
  <c r="E178" i="10"/>
  <c r="D298" i="10"/>
  <c r="F191" i="10"/>
  <c r="F95" i="10"/>
  <c r="D157" i="10"/>
  <c r="E24" i="10"/>
  <c r="E92" i="10"/>
  <c r="A170" i="10"/>
  <c r="A32" i="10"/>
  <c r="A85" i="10"/>
  <c r="F158" i="10"/>
  <c r="B356" i="10"/>
  <c r="E323" i="10"/>
  <c r="C351" i="10"/>
  <c r="E287" i="10"/>
  <c r="A372" i="10"/>
  <c r="D251" i="10"/>
  <c r="D155" i="10"/>
  <c r="C263" i="10"/>
  <c r="B315" i="10"/>
  <c r="B219" i="10"/>
  <c r="B123" i="10"/>
  <c r="C384" i="10"/>
  <c r="E257" i="10"/>
  <c r="D317" i="10"/>
  <c r="E314" i="10"/>
  <c r="E218" i="10"/>
  <c r="F353" i="10"/>
  <c r="D242" i="10"/>
  <c r="D146" i="10"/>
  <c r="D50" i="10"/>
  <c r="A91" i="10"/>
  <c r="A149" i="10"/>
  <c r="D20" i="10"/>
  <c r="C85" i="10"/>
  <c r="A159" i="10"/>
  <c r="D25" i="10"/>
  <c r="A92" i="10"/>
  <c r="A169" i="10"/>
  <c r="F19" i="10"/>
  <c r="C84" i="10"/>
  <c r="E157" i="10"/>
  <c r="F24" i="10"/>
  <c r="E375" i="10"/>
  <c r="B342" i="10"/>
  <c r="C356" i="10"/>
  <c r="A233" i="10"/>
  <c r="F292" i="10"/>
  <c r="F196" i="10"/>
  <c r="C315" i="10"/>
  <c r="C219" i="10"/>
  <c r="B271" i="10"/>
  <c r="B175" i="10"/>
  <c r="D68" i="10"/>
  <c r="A299" i="10"/>
  <c r="A203" i="10"/>
  <c r="F262" i="10"/>
  <c r="E270" i="10"/>
  <c r="E174" i="10"/>
  <c r="D294" i="10"/>
  <c r="F187" i="10"/>
  <c r="F91" i="10"/>
  <c r="D149" i="10"/>
  <c r="E20" i="10"/>
  <c r="C87" i="10"/>
  <c r="A162" i="10"/>
  <c r="A27" i="10"/>
  <c r="E79" i="10"/>
  <c r="F150" i="10"/>
  <c r="C21" i="10"/>
  <c r="C86" i="10"/>
  <c r="E160" i="10"/>
  <c r="C26" i="10"/>
  <c r="A93" i="10"/>
  <c r="B364" i="10"/>
  <c r="E331" i="10"/>
  <c r="C359" i="10"/>
  <c r="E295" i="10"/>
  <c r="E199" i="10"/>
  <c r="D259" i="10"/>
  <c r="D163" i="10"/>
  <c r="C271" i="10"/>
  <c r="D323" i="10"/>
  <c r="B227" i="10"/>
  <c r="B131" i="10"/>
  <c r="B35" i="10"/>
  <c r="E265" i="10"/>
  <c r="A328" i="10"/>
  <c r="E322" i="10"/>
  <c r="E226" i="10"/>
  <c r="F369" i="10"/>
  <c r="D250" i="10"/>
  <c r="D154" i="10"/>
  <c r="D58" i="10"/>
  <c r="E101" i="10"/>
  <c r="A165" i="10"/>
  <c r="E28" i="10"/>
  <c r="A96" i="10"/>
  <c r="A175" i="10"/>
  <c r="C35" i="10"/>
  <c r="E102" i="10"/>
  <c r="A185" i="10"/>
  <c r="F27" i="10"/>
  <c r="A95" i="10"/>
  <c r="E173" i="10"/>
  <c r="C34" i="10"/>
  <c r="E383" i="10"/>
  <c r="B350" i="10"/>
  <c r="C372" i="10"/>
  <c r="A241" i="10"/>
  <c r="F300" i="10"/>
  <c r="F204" i="10"/>
  <c r="F323" i="10"/>
  <c r="C227" i="10"/>
  <c r="B279" i="10"/>
  <c r="B183" i="10"/>
  <c r="D76" i="10"/>
  <c r="A307" i="10"/>
  <c r="A211" i="10"/>
  <c r="F270" i="10"/>
  <c r="E278" i="10"/>
  <c r="E182" i="10"/>
  <c r="D302" i="10"/>
  <c r="F195" i="10"/>
  <c r="F99" i="10"/>
  <c r="D165" i="10"/>
  <c r="F28" i="10"/>
  <c r="A98" i="10"/>
  <c r="A178" i="10"/>
  <c r="C37" i="10"/>
  <c r="C90" i="10"/>
  <c r="F166" i="10"/>
  <c r="E29" i="10"/>
  <c r="A97" i="10"/>
  <c r="E176" i="10"/>
  <c r="C36" i="10"/>
  <c r="E103" i="10"/>
  <c r="D361" i="10"/>
  <c r="A329" i="10"/>
  <c r="E356" i="10"/>
  <c r="A293" i="10"/>
  <c r="E382" i="10"/>
  <c r="F256" i="10"/>
  <c r="F160" i="10"/>
  <c r="E268" i="10"/>
  <c r="D320" i="10"/>
  <c r="D224" i="10"/>
  <c r="D128" i="10"/>
  <c r="D32" i="10"/>
  <c r="A263" i="10"/>
  <c r="A323" i="10"/>
  <c r="A320" i="10"/>
  <c r="A224" i="10"/>
  <c r="D364" i="10"/>
  <c r="F247" i="10"/>
  <c r="F151" i="10"/>
  <c r="F55" i="10"/>
  <c r="B98" i="10"/>
  <c r="E159" i="10"/>
  <c r="F25" i="10"/>
  <c r="C92" i="10"/>
  <c r="E169" i="10"/>
  <c r="E31" i="10"/>
  <c r="A99" i="10"/>
  <c r="E179" i="10"/>
  <c r="B25" i="10"/>
  <c r="D91" i="10"/>
  <c r="C168" i="10"/>
  <c r="F30" i="10"/>
  <c r="A381" i="10"/>
  <c r="D347" i="10"/>
  <c r="A367" i="10"/>
  <c r="C238" i="10"/>
  <c r="B298" i="10"/>
  <c r="B202" i="10"/>
  <c r="E320" i="10"/>
  <c r="E224" i="10"/>
  <c r="D276" i="10"/>
  <c r="D180" i="10"/>
  <c r="F73" i="10"/>
  <c r="C304" i="10"/>
  <c r="C208" i="10"/>
  <c r="B268" i="10"/>
  <c r="A276" i="10"/>
  <c r="A180" i="10"/>
  <c r="F299" i="10"/>
  <c r="B193" i="10"/>
  <c r="B97" i="10"/>
  <c r="B160" i="10"/>
  <c r="A26" i="10"/>
  <c r="C94" i="10"/>
  <c r="E172" i="10"/>
  <c r="E33" i="10"/>
  <c r="F86" i="10"/>
  <c r="D161" i="10"/>
  <c r="E26" i="10"/>
  <c r="D93" i="10"/>
  <c r="C171" i="10"/>
  <c r="F32" i="10"/>
  <c r="B100" i="10"/>
  <c r="F358" i="10"/>
  <c r="C326" i="10"/>
  <c r="A354" i="10"/>
  <c r="C290" i="10"/>
  <c r="C377" i="10"/>
  <c r="B254" i="10"/>
  <c r="B158" i="10"/>
  <c r="A266" i="10"/>
  <c r="F317" i="10"/>
  <c r="F221" i="10"/>
  <c r="F125" i="10"/>
  <c r="F29" i="10"/>
  <c r="C260" i="10"/>
  <c r="B320" i="10"/>
  <c r="C317" i="10"/>
  <c r="C221" i="10"/>
  <c r="B359" i="10"/>
  <c r="B245" i="10"/>
  <c r="B149" i="10"/>
  <c r="B53" i="10"/>
  <c r="E94" i="10"/>
  <c r="C154" i="10"/>
  <c r="B23" i="10"/>
  <c r="F88" i="10"/>
  <c r="C164" i="10"/>
  <c r="B28" i="10"/>
  <c r="D95" i="10"/>
  <c r="C174" i="10"/>
  <c r="D22" i="10"/>
  <c r="A88" i="10"/>
  <c r="A163" i="10"/>
  <c r="D41" i="10"/>
  <c r="B336" i="10"/>
  <c r="F376" i="10"/>
  <c r="E352" i="10"/>
  <c r="E299" i="10"/>
  <c r="C214" i="10"/>
  <c r="F284" i="10"/>
  <c r="D199" i="10"/>
  <c r="D334" i="10"/>
  <c r="C243" i="10"/>
  <c r="F305" i="10"/>
  <c r="D220" i="10"/>
  <c r="B135" i="10"/>
  <c r="F49" i="10"/>
  <c r="A291" i="10"/>
  <c r="E205" i="10"/>
  <c r="B276" i="10"/>
  <c r="E294" i="10"/>
  <c r="C209" i="10"/>
  <c r="D356" i="10"/>
  <c r="D254" i="10"/>
  <c r="B169" i="10"/>
  <c r="F83" i="10"/>
  <c r="F154" i="10"/>
  <c r="A36" i="10"/>
  <c r="C119" i="10"/>
  <c r="B11" i="10"/>
  <c r="A87" i="10"/>
  <c r="A183" i="10"/>
  <c r="F54" i="10"/>
  <c r="C136" i="10"/>
  <c r="A24" i="10"/>
  <c r="B104" i="10"/>
  <c r="F230" i="10"/>
  <c r="A72" i="10"/>
  <c r="D375" i="10"/>
  <c r="C380" i="10"/>
  <c r="A213" i="10"/>
  <c r="F240" i="10"/>
  <c r="F331" i="10"/>
  <c r="B371" i="10"/>
  <c r="D208" i="10"/>
  <c r="B91" i="10"/>
  <c r="A279" i="10"/>
  <c r="B296" i="10"/>
  <c r="E282" i="10"/>
  <c r="A144" i="10"/>
  <c r="F231" i="10"/>
  <c r="F103" i="10"/>
  <c r="D119" i="10"/>
  <c r="E131" i="10"/>
  <c r="A186" i="10"/>
  <c r="E204" i="10"/>
  <c r="F14" i="10"/>
  <c r="A35" i="10"/>
  <c r="E59" i="10"/>
  <c r="B70" i="10"/>
  <c r="A109" i="10"/>
  <c r="D333" i="10"/>
  <c r="D331" i="10"/>
  <c r="A297" i="10"/>
  <c r="E326" i="10"/>
  <c r="B186" i="10"/>
  <c r="C283" i="10"/>
  <c r="D292" i="10"/>
  <c r="F153" i="10"/>
  <c r="D36" i="10"/>
  <c r="C224" i="10"/>
  <c r="B252" i="10"/>
  <c r="A228" i="10"/>
  <c r="F315" i="10"/>
  <c r="B177" i="10"/>
  <c r="F59" i="10"/>
  <c r="E46" i="10"/>
  <c r="A73" i="10"/>
  <c r="E97" i="10"/>
  <c r="C122" i="10"/>
  <c r="F132" i="10"/>
  <c r="E187" i="10"/>
  <c r="D209" i="10"/>
  <c r="E15" i="10"/>
  <c r="B36" i="10"/>
  <c r="E363" i="10"/>
  <c r="E348" i="10"/>
  <c r="E263" i="10"/>
  <c r="F280" i="10"/>
  <c r="B142" i="10"/>
  <c r="C239" i="10"/>
  <c r="D248" i="10"/>
  <c r="D120" i="10"/>
  <c r="A319" i="10"/>
  <c r="E370" i="10"/>
  <c r="A312" i="10"/>
  <c r="E194" i="10"/>
  <c r="F271" i="10"/>
  <c r="F143" i="10"/>
  <c r="D189" i="10"/>
  <c r="E8" i="10"/>
  <c r="F17" i="10"/>
  <c r="C53" i="10"/>
  <c r="E63" i="10"/>
  <c r="C88" i="10"/>
  <c r="A113" i="10"/>
  <c r="E137" i="10"/>
  <c r="C152" i="10"/>
  <c r="B384" i="10"/>
  <c r="D371" i="10"/>
  <c r="E329" i="10"/>
  <c r="A209" i="10"/>
  <c r="B226" i="10"/>
  <c r="E312" i="10"/>
  <c r="F341" i="10"/>
  <c r="D204" i="10"/>
  <c r="F65" i="10"/>
  <c r="A275" i="10"/>
  <c r="B292" i="10"/>
  <c r="A268" i="10"/>
  <c r="A140" i="10"/>
  <c r="F227" i="10"/>
  <c r="B89" i="10"/>
  <c r="B114" i="10"/>
  <c r="C126" i="10"/>
  <c r="E156" i="10"/>
  <c r="E193" i="10"/>
  <c r="F10" i="10"/>
  <c r="E18" i="10"/>
  <c r="C54" i="10"/>
  <c r="F64" i="10"/>
  <c r="C75" i="10"/>
  <c r="D329" i="10"/>
  <c r="A378" i="10"/>
  <c r="C282" i="10"/>
  <c r="B310" i="10"/>
  <c r="B182" i="10"/>
  <c r="A258" i="10"/>
  <c r="D288" i="10"/>
  <c r="F149" i="10"/>
  <c r="E373" i="10"/>
  <c r="C220" i="10"/>
  <c r="B381" i="10"/>
  <c r="C213" i="10"/>
  <c r="F311" i="10"/>
  <c r="B173" i="10"/>
  <c r="B45" i="10"/>
  <c r="C41" i="10"/>
  <c r="E67" i="10"/>
  <c r="B78" i="10"/>
  <c r="A117" i="10"/>
  <c r="D127" i="10"/>
  <c r="A138" i="10"/>
  <c r="C195" i="10"/>
  <c r="B240" i="10"/>
  <c r="D19" i="10"/>
  <c r="C338" i="10"/>
  <c r="A334" i="10"/>
  <c r="E227" i="10"/>
  <c r="B266" i="10"/>
  <c r="B361" i="10"/>
  <c r="A214" i="10"/>
  <c r="F233" i="10"/>
  <c r="F105" i="10"/>
  <c r="E293" i="10"/>
  <c r="C341" i="10"/>
  <c r="C297" i="10"/>
  <c r="C169" i="10"/>
  <c r="B257" i="10"/>
  <c r="B129" i="10"/>
  <c r="A139" i="10"/>
  <c r="E200" i="10"/>
  <c r="B3" i="10"/>
  <c r="A11" i="10"/>
  <c r="B44" i="10"/>
  <c r="E54" i="10"/>
  <c r="C79" i="10"/>
  <c r="A104" i="10"/>
  <c r="E128" i="10"/>
  <c r="B348" i="10"/>
  <c r="F356" i="10"/>
  <c r="E311" i="10"/>
  <c r="A356" i="10"/>
  <c r="D211" i="10"/>
  <c r="A298" i="10"/>
  <c r="B307" i="10"/>
  <c r="F189" i="10"/>
  <c r="B51" i="10"/>
  <c r="E249" i="10"/>
  <c r="D277" i="10"/>
  <c r="C253" i="10"/>
  <c r="F337" i="10"/>
  <c r="B213" i="10"/>
  <c r="D74" i="10"/>
  <c r="B66" i="10"/>
  <c r="F106" i="10"/>
  <c r="C117" i="10"/>
  <c r="A143" i="10"/>
  <c r="B180" i="10"/>
  <c r="E14" i="10"/>
  <c r="C63" i="10"/>
  <c r="B102" i="10"/>
  <c r="E141" i="10"/>
  <c r="F16" i="10"/>
  <c r="E367" i="10"/>
  <c r="B334" i="10"/>
  <c r="C340" i="10"/>
  <c r="E235" i="10"/>
  <c r="D295" i="10"/>
  <c r="F188" i="10"/>
  <c r="C307" i="10"/>
  <c r="C211" i="10"/>
  <c r="B263" i="10"/>
  <c r="B167" i="10"/>
  <c r="B71" i="10"/>
  <c r="E301" i="10"/>
  <c r="E378" i="10"/>
  <c r="F254" i="10"/>
  <c r="E262" i="10"/>
  <c r="E166" i="10"/>
  <c r="D286" i="10"/>
  <c r="D190" i="10"/>
  <c r="D94" i="10"/>
  <c r="D135" i="10"/>
  <c r="E12" i="10"/>
  <c r="E76" i="10"/>
  <c r="A146" i="10"/>
  <c r="A19" i="10"/>
  <c r="C83" i="10"/>
  <c r="B156" i="10"/>
  <c r="C13" i="10"/>
  <c r="E75" i="10"/>
  <c r="E144" i="10"/>
  <c r="C18" i="10"/>
  <c r="E96" i="10"/>
  <c r="D345" i="10"/>
  <c r="B354" i="10"/>
  <c r="A309" i="10"/>
  <c r="E350" i="10"/>
  <c r="F208" i="10"/>
  <c r="C295" i="10"/>
  <c r="D304" i="10"/>
  <c r="B187" i="10"/>
  <c r="D48" i="10"/>
  <c r="A247" i="10"/>
  <c r="F274" i="10"/>
  <c r="E250" i="10"/>
  <c r="D332" i="10"/>
  <c r="D210" i="10"/>
  <c r="F71" i="10"/>
  <c r="E62" i="10"/>
  <c r="C103" i="10"/>
  <c r="E113" i="10"/>
  <c r="C138" i="10"/>
  <c r="F174" i="10"/>
  <c r="F242" i="10"/>
  <c r="B9" i="10"/>
  <c r="E41" i="10"/>
  <c r="B52" i="10"/>
  <c r="A365" i="10"/>
  <c r="E360" i="10"/>
  <c r="A265" i="10"/>
  <c r="B282" i="10"/>
  <c r="F164" i="10"/>
  <c r="E240" i="10"/>
  <c r="D260" i="10"/>
  <c r="D132" i="10"/>
  <c r="A339" i="10"/>
  <c r="C373" i="10"/>
  <c r="D346" i="10"/>
  <c r="A196" i="10"/>
  <c r="B273" i="10"/>
  <c r="F155" i="10"/>
  <c r="B192" i="10"/>
  <c r="A10" i="10"/>
  <c r="C30" i="10"/>
  <c r="A55" i="10"/>
  <c r="D65" i="10"/>
  <c r="C104" i="10"/>
  <c r="F114" i="10"/>
  <c r="D139" i="10"/>
  <c r="C176" i="10"/>
  <c r="B2" i="10"/>
  <c r="D383" i="10"/>
  <c r="C327" i="10"/>
  <c r="A221" i="10"/>
  <c r="F248" i="10"/>
  <c r="F347" i="10"/>
  <c r="C207" i="10"/>
  <c r="D216" i="10"/>
  <c r="B99" i="10"/>
  <c r="A287" i="10"/>
  <c r="B304" i="10"/>
  <c r="E290" i="10"/>
  <c r="A152" i="10"/>
  <c r="F239" i="10"/>
  <c r="F111" i="10"/>
  <c r="B130" i="10"/>
  <c r="E143" i="10"/>
  <c r="D205" i="10"/>
  <c r="C4" i="10"/>
  <c r="F22" i="10"/>
  <c r="E45" i="10"/>
  <c r="C70" i="10"/>
  <c r="F80" i="10"/>
  <c r="E119" i="10"/>
  <c r="D341" i="10"/>
  <c r="D339" i="10"/>
  <c r="A305" i="10"/>
  <c r="E342" i="10"/>
  <c r="B194" i="10"/>
  <c r="C291" i="10"/>
  <c r="D300" i="10"/>
  <c r="F161" i="10"/>
  <c r="D44" i="10"/>
  <c r="C232" i="10"/>
  <c r="B260" i="10"/>
  <c r="A236" i="10"/>
  <c r="D324" i="10"/>
  <c r="B185" i="10"/>
  <c r="F67" i="10"/>
  <c r="C57" i="10"/>
  <c r="E83" i="10"/>
  <c r="C108" i="10"/>
  <c r="A133" i="10"/>
  <c r="D145" i="10"/>
  <c r="F210" i="10"/>
  <c r="B5" i="10"/>
  <c r="E23" i="10"/>
  <c r="F46" i="10"/>
  <c r="A361" i="10"/>
  <c r="A346" i="10"/>
  <c r="A261" i="10"/>
  <c r="B278" i="10"/>
  <c r="B385" i="10"/>
  <c r="E236" i="10"/>
  <c r="F245" i="10"/>
  <c r="F117" i="10"/>
  <c r="C316" i="10"/>
  <c r="C365" i="10"/>
  <c r="C309" i="10"/>
  <c r="A192" i="10"/>
  <c r="B269" i="10"/>
  <c r="B141" i="10"/>
  <c r="B184" i="10"/>
  <c r="A6" i="10"/>
  <c r="B15" i="10"/>
  <c r="E49" i="10"/>
  <c r="B60" i="10"/>
  <c r="F84" i="10"/>
  <c r="D109" i="10"/>
  <c r="B134" i="10"/>
  <c r="A147" i="10"/>
  <c r="D381" i="10"/>
  <c r="F368" i="10"/>
  <c r="C324" i="10"/>
  <c r="C206" i="10"/>
  <c r="D223" i="10"/>
  <c r="A310" i="10"/>
  <c r="D336" i="10"/>
  <c r="F201" i="10"/>
  <c r="B63" i="10"/>
  <c r="C272" i="10"/>
  <c r="D289" i="10"/>
  <c r="C265" i="10"/>
  <c r="B383" i="10"/>
  <c r="B225" i="10"/>
  <c r="D86" i="10"/>
  <c r="E110" i="10"/>
  <c r="F122" i="10"/>
  <c r="C151" i="10"/>
  <c r="C188" i="10"/>
  <c r="B8" i="10"/>
  <c r="A16" i="10"/>
  <c r="F50" i="10"/>
  <c r="C61" i="10"/>
  <c r="E71" i="10"/>
  <c r="F326" i="10"/>
  <c r="C375" i="10"/>
  <c r="E279" i="10"/>
  <c r="D307" i="10"/>
  <c r="D179" i="10"/>
  <c r="C255" i="10"/>
  <c r="F285" i="10"/>
  <c r="B147" i="10"/>
  <c r="C368" i="10"/>
  <c r="E217" i="10"/>
  <c r="F375" i="10"/>
  <c r="E210" i="10"/>
  <c r="B309" i="10"/>
  <c r="D170" i="10"/>
  <c r="D42" i="10"/>
  <c r="E37" i="10"/>
  <c r="B64" i="10"/>
  <c r="E74" i="10"/>
  <c r="D113" i="10"/>
  <c r="A124" i="10"/>
  <c r="E195" i="10"/>
  <c r="F11" i="10"/>
  <c r="D59" i="10"/>
  <c r="E112" i="10"/>
  <c r="F378" i="10"/>
  <c r="C346" i="10"/>
  <c r="A374" i="10"/>
  <c r="C310" i="10"/>
  <c r="E203" i="10"/>
  <c r="D263" i="10"/>
  <c r="D167" i="10"/>
  <c r="A286" i="10"/>
  <c r="D352" i="10"/>
  <c r="F241" i="10"/>
  <c r="F145" i="10"/>
  <c r="B39" i="10"/>
  <c r="E269" i="10"/>
  <c r="A336" i="10"/>
  <c r="F351" i="10"/>
  <c r="C241" i="10"/>
  <c r="C145" i="10"/>
  <c r="B265" i="10"/>
  <c r="D158" i="10"/>
  <c r="D62" i="10"/>
  <c r="A107" i="10"/>
  <c r="C194" i="10"/>
  <c r="B48" i="10"/>
  <c r="D115" i="10"/>
  <c r="D213" i="10"/>
  <c r="E40" i="10"/>
  <c r="A108" i="10"/>
  <c r="A193" i="10"/>
  <c r="C47" i="10"/>
  <c r="E114" i="10"/>
  <c r="B208" i="10"/>
  <c r="B68" i="10"/>
  <c r="F332" i="10"/>
  <c r="C329" i="10"/>
  <c r="E284" i="10"/>
  <c r="B155" i="10"/>
  <c r="E225" i="10"/>
  <c r="C229" i="10"/>
  <c r="D178" i="10"/>
  <c r="C48" i="10"/>
  <c r="D99" i="10"/>
  <c r="E134" i="10"/>
  <c r="B220" i="10"/>
  <c r="A38" i="10"/>
  <c r="C339" i="10"/>
  <c r="D271" i="10"/>
  <c r="A230" i="10"/>
  <c r="B111" i="10"/>
  <c r="A352" i="10"/>
  <c r="C185" i="10"/>
  <c r="D134" i="10"/>
  <c r="D237" i="10"/>
  <c r="C51" i="10"/>
  <c r="E100" i="10"/>
  <c r="E135" i="10"/>
  <c r="F372" i="10"/>
  <c r="C210" i="10"/>
  <c r="A314" i="10"/>
  <c r="F205" i="10"/>
  <c r="C276" i="10"/>
  <c r="C269" i="10"/>
  <c r="B229" i="10"/>
  <c r="A116" i="10"/>
  <c r="C159" i="10"/>
  <c r="B12" i="10"/>
  <c r="B56" i="10"/>
  <c r="A77" i="10"/>
  <c r="C379" i="10"/>
  <c r="D311" i="10"/>
  <c r="C259" i="10"/>
  <c r="B151" i="10"/>
  <c r="E221" i="10"/>
  <c r="E214" i="10"/>
  <c r="D174" i="10"/>
  <c r="A43" i="10"/>
  <c r="A80" i="10"/>
  <c r="C129" i="10"/>
  <c r="A198" i="10"/>
  <c r="F20" i="10"/>
  <c r="C335" i="10"/>
  <c r="D267" i="10"/>
  <c r="C215" i="10"/>
  <c r="B107" i="10"/>
  <c r="A344" i="10"/>
  <c r="E170" i="10"/>
  <c r="D130" i="10"/>
  <c r="A206" i="10"/>
  <c r="C12" i="10"/>
  <c r="C56" i="10"/>
  <c r="E105" i="10"/>
  <c r="D349" i="10"/>
  <c r="B358" i="10"/>
  <c r="E358" i="10"/>
  <c r="C299" i="10"/>
  <c r="B191" i="10"/>
  <c r="A251" i="10"/>
  <c r="E254" i="10"/>
  <c r="D214" i="10"/>
  <c r="A68" i="10"/>
  <c r="A119" i="10"/>
  <c r="F182" i="10"/>
  <c r="B13" i="10"/>
  <c r="D57" i="10"/>
  <c r="E364" i="10"/>
  <c r="B286" i="10"/>
  <c r="E244" i="10"/>
  <c r="D136" i="10"/>
  <c r="C381" i="10"/>
  <c r="A200" i="10"/>
  <c r="B277" i="10"/>
  <c r="D201" i="10"/>
  <c r="E35" i="10"/>
  <c r="F70" i="10"/>
  <c r="C134" i="10"/>
  <c r="C45" i="10"/>
  <c r="B368" i="10"/>
  <c r="C363" i="10"/>
  <c r="E374" i="10"/>
  <c r="F156" i="10"/>
  <c r="B331" i="10"/>
  <c r="D124" i="10"/>
  <c r="A259" i="10"/>
  <c r="D330" i="10"/>
  <c r="F377" i="10"/>
  <c r="F243" i="10"/>
  <c r="F51" i="10"/>
  <c r="A173" i="10"/>
  <c r="C101" i="10"/>
  <c r="F26" i="10"/>
  <c r="E171" i="10"/>
  <c r="C100" i="10"/>
  <c r="E181" i="10"/>
  <c r="C266" i="10"/>
  <c r="B166" i="10"/>
  <c r="E341" i="10"/>
  <c r="D274" i="10"/>
  <c r="F194" i="10"/>
  <c r="F56" i="10"/>
  <c r="A142" i="10"/>
  <c r="E377" i="10"/>
  <c r="D368" i="10"/>
  <c r="E277" i="10"/>
  <c r="C281" i="10"/>
  <c r="E117" i="10"/>
  <c r="D13" i="10"/>
  <c r="C107" i="10"/>
  <c r="C345" i="10"/>
  <c r="B163" i="10"/>
  <c r="C237" i="10"/>
  <c r="A59" i="10"/>
  <c r="B148" i="10"/>
  <c r="C362" i="10"/>
  <c r="F140" i="10"/>
  <c r="B119" i="10"/>
  <c r="C193" i="10"/>
  <c r="C7" i="10"/>
  <c r="C111" i="10"/>
  <c r="B370" i="10"/>
  <c r="C311" i="10"/>
  <c r="E273" i="10"/>
  <c r="D226" i="10"/>
  <c r="A154" i="10"/>
  <c r="E52" i="10"/>
  <c r="E376" i="10"/>
  <c r="B287" i="10"/>
  <c r="D378" i="10"/>
  <c r="F334" i="10"/>
  <c r="C298" i="10"/>
  <c r="D187" i="10"/>
  <c r="F293" i="10"/>
  <c r="F37" i="10"/>
  <c r="D253" i="10"/>
  <c r="B317" i="10"/>
  <c r="B61" i="10"/>
  <c r="F74" i="10"/>
  <c r="B124" i="10"/>
  <c r="C190" i="10"/>
  <c r="A17" i="10"/>
  <c r="C354" i="10"/>
  <c r="C254" i="10"/>
  <c r="F371" i="10"/>
  <c r="B239" i="10"/>
  <c r="E309" i="10"/>
  <c r="E302" i="10"/>
  <c r="D262" i="10"/>
  <c r="F170" i="10"/>
  <c r="D8" i="10"/>
  <c r="F40" i="10"/>
  <c r="A76" i="10"/>
  <c r="C125" i="10"/>
  <c r="D385" i="10"/>
  <c r="C332" i="10"/>
  <c r="D227" i="10"/>
  <c r="D344" i="10"/>
  <c r="B67" i="10"/>
  <c r="D293" i="10"/>
  <c r="C141" i="10"/>
  <c r="D90" i="10"/>
  <c r="B128" i="10"/>
  <c r="C196" i="10"/>
  <c r="A20" i="10"/>
  <c r="E66" i="10"/>
  <c r="F330" i="10"/>
  <c r="E283" i="10"/>
  <c r="D183" i="10"/>
  <c r="F289" i="10"/>
  <c r="C376" i="10"/>
  <c r="F383" i="10"/>
  <c r="B313" i="10"/>
  <c r="D46" i="10"/>
  <c r="D69" i="10"/>
  <c r="F118" i="10"/>
  <c r="E139" i="10"/>
  <c r="C2" i="10"/>
  <c r="E339" i="10"/>
  <c r="A229" i="10"/>
  <c r="F363" i="10"/>
  <c r="B235" i="10"/>
  <c r="A295" i="10"/>
  <c r="E298" i="10"/>
  <c r="D258" i="10"/>
  <c r="D141" i="10"/>
  <c r="D4" i="10"/>
  <c r="A46" i="10"/>
  <c r="A81" i="10"/>
  <c r="C130" i="10"/>
  <c r="A313" i="10"/>
  <c r="F212" i="10"/>
  <c r="D308" i="10"/>
  <c r="D52" i="10"/>
  <c r="F278" i="10"/>
  <c r="D340" i="10"/>
  <c r="F75" i="10"/>
  <c r="E108" i="10"/>
  <c r="E145" i="10"/>
  <c r="C5" i="10"/>
  <c r="A47" i="10"/>
  <c r="A369" i="10"/>
  <c r="A269" i="10"/>
  <c r="F168" i="10"/>
  <c r="D264" i="10"/>
  <c r="A347" i="10"/>
  <c r="D354" i="10"/>
  <c r="F159" i="10"/>
  <c r="A14" i="10"/>
  <c r="C60" i="10"/>
  <c r="E109" i="10"/>
  <c r="D241" i="10"/>
  <c r="C98" i="10"/>
  <c r="E335" i="10"/>
  <c r="A289" i="10"/>
  <c r="F252" i="10"/>
  <c r="C275" i="10"/>
  <c r="B231" i="10"/>
  <c r="D28" i="10"/>
  <c r="F318" i="10"/>
  <c r="E230" i="10"/>
  <c r="F147" i="10"/>
  <c r="F92" i="10"/>
  <c r="A34" i="10"/>
  <c r="E161" i="10"/>
  <c r="E93" i="10"/>
  <c r="A33" i="10"/>
  <c r="A54" i="10"/>
  <c r="D283" i="10"/>
  <c r="F133" i="10"/>
  <c r="C197" i="10"/>
  <c r="B32" i="10"/>
  <c r="E116" i="10"/>
  <c r="B374" i="10"/>
  <c r="D239" i="10"/>
  <c r="F89" i="10"/>
  <c r="D230" i="10"/>
  <c r="A130" i="10"/>
  <c r="C33" i="10"/>
  <c r="F342" i="10"/>
  <c r="D195" i="10"/>
  <c r="F45" i="10"/>
  <c r="B327" i="10"/>
  <c r="D85" i="10"/>
  <c r="D221" i="10"/>
  <c r="E48" i="10"/>
  <c r="D279" i="10"/>
  <c r="E317" i="10"/>
  <c r="D270" i="10"/>
  <c r="D51" i="10"/>
  <c r="A136" i="10"/>
  <c r="A327" i="10"/>
  <c r="B339" i="10"/>
  <c r="F290" i="10"/>
  <c r="C112" i="10"/>
  <c r="D9" i="10"/>
  <c r="D73" i="10"/>
  <c r="F308" i="10"/>
  <c r="D148" i="10"/>
  <c r="A212" i="10"/>
  <c r="B324" i="10"/>
  <c r="E372" i="10"/>
  <c r="A277" i="10"/>
  <c r="F304" i="10"/>
  <c r="F176" i="10"/>
  <c r="E252" i="10"/>
  <c r="B283" i="10"/>
  <c r="D144" i="10"/>
  <c r="A363" i="10"/>
  <c r="A215" i="10"/>
  <c r="D370" i="10"/>
  <c r="A208" i="10"/>
  <c r="D306" i="10"/>
  <c r="F167" i="10"/>
  <c r="F39" i="10"/>
  <c r="B34" i="10"/>
  <c r="E60" i="10"/>
  <c r="A71" i="10"/>
  <c r="A110" i="10"/>
  <c r="C120" i="10"/>
  <c r="F130" i="10"/>
  <c r="E184" i="10"/>
  <c r="A202" i="10"/>
  <c r="B14" i="10"/>
  <c r="A333" i="10"/>
  <c r="E328" i="10"/>
  <c r="C222" i="10"/>
  <c r="F260" i="10"/>
  <c r="D350" i="10"/>
  <c r="E208" i="10"/>
  <c r="D228" i="10"/>
  <c r="D100" i="10"/>
  <c r="C288" i="10"/>
  <c r="E330" i="10"/>
  <c r="A292" i="10"/>
  <c r="A164" i="10"/>
  <c r="F251" i="10"/>
  <c r="F123" i="10"/>
  <c r="A132" i="10"/>
  <c r="A189" i="10"/>
  <c r="F214" i="10"/>
  <c r="E5" i="10"/>
  <c r="A37" i="10"/>
  <c r="D47" i="10"/>
  <c r="B72" i="10"/>
  <c r="F96" i="10"/>
  <c r="D121" i="10"/>
  <c r="D353" i="10"/>
  <c r="B362" i="10"/>
  <c r="A317" i="10"/>
  <c r="E366" i="10"/>
  <c r="F216" i="10"/>
  <c r="C303" i="10"/>
  <c r="D312" i="10"/>
  <c r="B195" i="10"/>
  <c r="D56" i="10"/>
  <c r="A255" i="10"/>
  <c r="F282" i="10"/>
  <c r="E258" i="10"/>
  <c r="D348" i="10"/>
  <c r="D218" i="10"/>
  <c r="F79" i="10"/>
  <c r="C73" i="10"/>
  <c r="A114" i="10"/>
  <c r="C124" i="10"/>
  <c r="E153" i="10"/>
  <c r="F190" i="10"/>
  <c r="C9" i="10"/>
  <c r="B17" i="10"/>
  <c r="C52" i="10"/>
  <c r="F62" i="10"/>
  <c r="A373" i="10"/>
  <c r="E368" i="10"/>
  <c r="A273" i="10"/>
  <c r="B290" i="10"/>
  <c r="F172" i="10"/>
  <c r="E248" i="10"/>
  <c r="D268" i="10"/>
  <c r="D140" i="10"/>
  <c r="A355" i="10"/>
  <c r="C200" i="10"/>
  <c r="D362" i="10"/>
  <c r="A204" i="10"/>
  <c r="B281" i="10"/>
  <c r="F163" i="10"/>
  <c r="B228" i="10"/>
  <c r="A18" i="10"/>
  <c r="A41" i="10"/>
  <c r="E65" i="10"/>
  <c r="B76" i="10"/>
  <c r="A115" i="10"/>
  <c r="D125" i="10"/>
  <c r="C155" i="10"/>
  <c r="C192" i="10"/>
  <c r="B10" i="10"/>
  <c r="F380" i="10"/>
  <c r="E324" i="10"/>
  <c r="C218" i="10"/>
  <c r="B246" i="10"/>
  <c r="D342" i="10"/>
  <c r="F381" i="10"/>
  <c r="F213" i="10"/>
  <c r="D96" i="10"/>
  <c r="C284" i="10"/>
  <c r="D301" i="10"/>
  <c r="A288" i="10"/>
  <c r="C149" i="10"/>
  <c r="B237" i="10"/>
  <c r="B109" i="10"/>
  <c r="E126" i="10"/>
  <c r="F138" i="10"/>
  <c r="E196" i="10"/>
  <c r="D245" i="10"/>
  <c r="B20" i="10"/>
  <c r="B42" i="10"/>
  <c r="F66" i="10"/>
  <c r="C77" i="10"/>
  <c r="B116" i="10"/>
  <c r="F338" i="10"/>
  <c r="F336" i="10"/>
  <c r="C302" i="10"/>
  <c r="C337" i="10"/>
  <c r="D191" i="10"/>
  <c r="E288" i="10"/>
  <c r="F297" i="10"/>
  <c r="B159" i="10"/>
  <c r="F41" i="10"/>
  <c r="E229" i="10"/>
  <c r="D257" i="10"/>
  <c r="C233" i="10"/>
  <c r="B321" i="10"/>
  <c r="D182" i="10"/>
  <c r="B65" i="10"/>
  <c r="E53" i="10"/>
  <c r="B80" i="10"/>
  <c r="F104" i="10"/>
  <c r="D129" i="10"/>
  <c r="B140" i="10"/>
  <c r="C198" i="10"/>
  <c r="D2" i="10"/>
  <c r="A21" i="10"/>
  <c r="C43" i="10"/>
  <c r="C358" i="10"/>
  <c r="C343" i="10"/>
  <c r="C258" i="10"/>
  <c r="D275" i="10"/>
  <c r="F379" i="10"/>
  <c r="A234" i="10"/>
  <c r="B243" i="10"/>
  <c r="B115" i="10"/>
  <c r="E313" i="10"/>
  <c r="A360" i="10"/>
  <c r="E306" i="10"/>
  <c r="C189" i="10"/>
  <c r="D266" i="10"/>
  <c r="D138" i="10"/>
  <c r="F178" i="10"/>
  <c r="C3" i="10"/>
  <c r="D12" i="10"/>
  <c r="B46" i="10"/>
  <c r="E56" i="10"/>
  <c r="C81" i="10"/>
  <c r="B120" i="10"/>
  <c r="A190" i="10"/>
  <c r="A31" i="10"/>
  <c r="B84" i="10"/>
  <c r="D357" i="10"/>
  <c r="A325" i="10"/>
  <c r="A342" i="10"/>
  <c r="C278" i="10"/>
  <c r="C353" i="10"/>
  <c r="B242" i="10"/>
  <c r="B146" i="10"/>
  <c r="E264" i="10"/>
  <c r="D316" i="10"/>
  <c r="F209" i="10"/>
  <c r="F113" i="10"/>
  <c r="E365" i="10"/>
  <c r="C248" i="10"/>
  <c r="B308" i="10"/>
  <c r="A316" i="10"/>
  <c r="A220" i="10"/>
  <c r="B335" i="10"/>
  <c r="B233" i="10"/>
  <c r="B137" i="10"/>
  <c r="B41" i="10"/>
  <c r="E78" i="10"/>
  <c r="E151" i="10"/>
  <c r="F21" i="10"/>
  <c r="F72" i="10"/>
  <c r="C140" i="10"/>
  <c r="B16" i="10"/>
  <c r="D79" i="10"/>
  <c r="C150" i="10"/>
  <c r="B21" i="10"/>
  <c r="B86" i="10"/>
  <c r="C160" i="10"/>
  <c r="E39" i="10"/>
  <c r="C366" i="10"/>
  <c r="F261" i="10"/>
  <c r="B349" i="10"/>
  <c r="C11" i="10"/>
  <c r="B106" i="10"/>
  <c r="D3" i="10"/>
  <c r="B329" i="10"/>
  <c r="F294" i="10"/>
  <c r="D102" i="10"/>
  <c r="C199" i="10"/>
  <c r="C68" i="10"/>
  <c r="C306" i="10"/>
  <c r="F301" i="10"/>
  <c r="D261" i="10"/>
  <c r="B69" i="10"/>
  <c r="F134" i="10"/>
  <c r="A25" i="10"/>
  <c r="C262" i="10"/>
  <c r="B247" i="10"/>
  <c r="E310" i="10"/>
  <c r="F186" i="10"/>
  <c r="A62" i="10"/>
  <c r="E149" i="10"/>
  <c r="E207" i="10"/>
  <c r="B203" i="10"/>
  <c r="E266" i="10"/>
  <c r="F87" i="10"/>
  <c r="A191" i="10"/>
  <c r="A63" i="10"/>
  <c r="A281" i="10"/>
  <c r="E256" i="10"/>
  <c r="A219" i="10"/>
  <c r="A362" i="10"/>
  <c r="A242" i="10"/>
  <c r="A376" i="10"/>
  <c r="B157" i="10"/>
  <c r="C67" i="10"/>
  <c r="A179" i="10"/>
  <c r="E211" i="10"/>
  <c r="B207" i="10"/>
  <c r="E142" i="10"/>
  <c r="C183" i="10"/>
  <c r="A58" i="10"/>
  <c r="F340" i="10"/>
  <c r="E292" i="10"/>
  <c r="E233" i="10"/>
  <c r="D186" i="10"/>
  <c r="B110" i="10"/>
  <c r="D6" i="10"/>
  <c r="C347" i="10"/>
  <c r="A238" i="10"/>
  <c r="A368" i="10"/>
  <c r="D142" i="10"/>
  <c r="D16" i="10"/>
  <c r="E86" i="10"/>
  <c r="F382" i="10"/>
  <c r="F224" i="10"/>
  <c r="D64" i="10"/>
  <c r="F385" i="10"/>
  <c r="E124" i="10"/>
  <c r="C17" i="10"/>
  <c r="B328" i="10"/>
  <c r="F180" i="10"/>
  <c r="A371" i="10"/>
  <c r="D310" i="10"/>
  <c r="E355" i="10"/>
  <c r="E340" i="10"/>
  <c r="E255" i="10"/>
  <c r="F272" i="10"/>
  <c r="D374" i="10"/>
  <c r="C231" i="10"/>
  <c r="D240" i="10"/>
  <c r="D112" i="10"/>
  <c r="A311" i="10"/>
  <c r="E354" i="10"/>
  <c r="A304" i="10"/>
  <c r="E186" i="10"/>
  <c r="F263" i="10"/>
  <c r="F135" i="10"/>
  <c r="D173" i="10"/>
  <c r="B248" i="10"/>
  <c r="F9" i="10"/>
  <c r="E42" i="10"/>
  <c r="A53" i="10"/>
  <c r="E77" i="10"/>
  <c r="C102" i="10"/>
  <c r="A127" i="10"/>
  <c r="D137" i="10"/>
  <c r="B376" i="10"/>
  <c r="D363" i="10"/>
  <c r="C318" i="10"/>
  <c r="A201" i="10"/>
  <c r="B218" i="10"/>
  <c r="E304" i="10"/>
  <c r="F325" i="10"/>
  <c r="D196" i="10"/>
  <c r="F57" i="10"/>
  <c r="A267" i="10"/>
  <c r="B284" i="10"/>
  <c r="A260" i="10"/>
  <c r="D372" i="10"/>
  <c r="F219" i="10"/>
  <c r="B81" i="10"/>
  <c r="D103" i="10"/>
  <c r="E115" i="10"/>
  <c r="E140" i="10"/>
  <c r="E177" i="10"/>
  <c r="F2" i="10"/>
  <c r="E10" i="10"/>
  <c r="E43" i="10"/>
  <c r="B54" i="10"/>
  <c r="E64" i="10"/>
  <c r="B332" i="10"/>
  <c r="E380" i="10"/>
  <c r="A285" i="10"/>
  <c r="F312" i="10"/>
  <c r="F184" i="10"/>
  <c r="E260" i="10"/>
  <c r="B291" i="10"/>
  <c r="D152" i="10"/>
  <c r="A379" i="10"/>
  <c r="A223" i="10"/>
  <c r="F250" i="10"/>
  <c r="A216" i="10"/>
  <c r="D314" i="10"/>
  <c r="F175" i="10"/>
  <c r="F47" i="10"/>
  <c r="F44" i="10"/>
  <c r="C71" i="10"/>
  <c r="E81" i="10"/>
  <c r="E120" i="10"/>
  <c r="A131" i="10"/>
  <c r="C142" i="10"/>
  <c r="F202" i="10"/>
  <c r="E3" i="10"/>
  <c r="B22" i="10"/>
  <c r="A341" i="10"/>
  <c r="E336" i="10"/>
  <c r="C230" i="10"/>
  <c r="F268" i="10"/>
  <c r="D366" i="10"/>
  <c r="E216" i="10"/>
  <c r="D236" i="10"/>
  <c r="D108" i="10"/>
  <c r="C296" i="10"/>
  <c r="E346" i="10"/>
  <c r="A300" i="10"/>
  <c r="A172" i="10"/>
  <c r="F259" i="10"/>
  <c r="F131" i="10"/>
  <c r="B144" i="10"/>
  <c r="B216" i="10"/>
  <c r="F5" i="10"/>
  <c r="E13" i="10"/>
  <c r="E47" i="10"/>
  <c r="B58" i="10"/>
  <c r="F82" i="10"/>
  <c r="D107" i="10"/>
  <c r="B132" i="10"/>
  <c r="F350" i="10"/>
  <c r="D359" i="10"/>
  <c r="C314" i="10"/>
  <c r="C361" i="10"/>
  <c r="B214" i="10"/>
  <c r="E300" i="10"/>
  <c r="F309" i="10"/>
  <c r="D192" i="10"/>
  <c r="F53" i="10"/>
  <c r="C252" i="10"/>
  <c r="B280" i="10"/>
  <c r="A256" i="10"/>
  <c r="B343" i="10"/>
  <c r="F215" i="10"/>
  <c r="B77" i="10"/>
  <c r="E69" i="10"/>
  <c r="C110" i="10"/>
  <c r="F120" i="10"/>
  <c r="C148" i="10"/>
  <c r="D185" i="10"/>
  <c r="E6" i="10"/>
  <c r="D14" i="10"/>
  <c r="F48" i="10"/>
  <c r="C59" i="10"/>
  <c r="C370" i="10"/>
  <c r="A366" i="10"/>
  <c r="C270" i="10"/>
  <c r="D287" i="10"/>
  <c r="B170" i="10"/>
  <c r="A246" i="10"/>
  <c r="F265" i="10"/>
  <c r="F137" i="10"/>
  <c r="E349" i="10"/>
  <c r="A384" i="10"/>
  <c r="B357" i="10"/>
  <c r="C201" i="10"/>
  <c r="D278" i="10"/>
  <c r="B161" i="10"/>
  <c r="F206" i="10"/>
  <c r="C15" i="10"/>
  <c r="D37" i="10"/>
  <c r="B62" i="10"/>
  <c r="E72" i="10"/>
  <c r="D111" i="10"/>
  <c r="A122" i="10"/>
  <c r="A150" i="10"/>
  <c r="A187" i="10"/>
  <c r="D7" i="10"/>
  <c r="B378" i="10"/>
  <c r="E385" i="10"/>
  <c r="E215" i="10"/>
  <c r="D243" i="10"/>
  <c r="B337" i="10"/>
  <c r="D376" i="10"/>
  <c r="B211" i="10"/>
  <c r="F93" i="10"/>
  <c r="E281" i="10"/>
  <c r="F298" i="10"/>
  <c r="C285" i="10"/>
  <c r="E146" i="10"/>
  <c r="D234" i="10"/>
  <c r="D106" i="10"/>
  <c r="A123" i="10"/>
  <c r="C135" i="10"/>
  <c r="C191" i="10"/>
  <c r="B224" i="10"/>
  <c r="D17" i="10"/>
  <c r="E38" i="10"/>
  <c r="E91" i="10"/>
  <c r="C147" i="10"/>
  <c r="F218" i="10"/>
  <c r="E55" i="10"/>
  <c r="D325" i="10"/>
  <c r="D355" i="10"/>
  <c r="A383" i="10"/>
  <c r="A257" i="10"/>
  <c r="F316" i="10"/>
  <c r="F220" i="10"/>
  <c r="F355" i="10"/>
  <c r="E232" i="10"/>
  <c r="D284" i="10"/>
  <c r="D188" i="10"/>
  <c r="D92" i="10"/>
  <c r="B323" i="10"/>
  <c r="A227" i="10"/>
  <c r="F286" i="10"/>
  <c r="A284" i="10"/>
  <c r="A188" i="10"/>
  <c r="F307" i="10"/>
  <c r="F211" i="10"/>
  <c r="F115" i="10"/>
  <c r="D197" i="10"/>
  <c r="B50" i="10"/>
  <c r="A105" i="10"/>
  <c r="E188" i="10"/>
  <c r="C44" i="10"/>
  <c r="E111" i="10"/>
  <c r="F198" i="10"/>
  <c r="A51" i="10"/>
  <c r="C118" i="10"/>
  <c r="C187" i="10"/>
  <c r="D43" i="10"/>
  <c r="A125" i="10"/>
  <c r="D15" i="10"/>
  <c r="B262" i="10"/>
  <c r="B344" i="10"/>
  <c r="B232" i="10"/>
  <c r="F42" i="10"/>
  <c r="E68" i="10"/>
  <c r="F3" i="10"/>
  <c r="E192" i="10"/>
  <c r="F127" i="10"/>
  <c r="D231" i="10"/>
  <c r="D133" i="10"/>
  <c r="B253" i="10"/>
  <c r="A112" i="10"/>
  <c r="F302" i="10"/>
  <c r="C22" i="10"/>
  <c r="D367" i="10"/>
  <c r="E73" i="10"/>
  <c r="D30" i="10"/>
  <c r="D377" i="10"/>
  <c r="D219" i="10"/>
  <c r="B59" i="10"/>
  <c r="B375" i="10"/>
  <c r="D117" i="10"/>
  <c r="A12" i="10"/>
  <c r="F322" i="10"/>
  <c r="D175" i="10"/>
  <c r="C360" i="10"/>
  <c r="B305" i="10"/>
  <c r="F58" i="10"/>
  <c r="A129" i="10"/>
  <c r="C342" i="10"/>
  <c r="B369" i="10"/>
  <c r="E297" i="10"/>
  <c r="B261" i="10"/>
  <c r="B7" i="10"/>
  <c r="E84" i="10"/>
  <c r="F360" i="10"/>
  <c r="A302" i="10"/>
  <c r="E253" i="10"/>
  <c r="B217" i="10"/>
  <c r="E122" i="10"/>
  <c r="F15" i="10"/>
  <c r="C367" i="10"/>
  <c r="C247" i="10"/>
  <c r="A199" i="10"/>
  <c r="D162" i="10"/>
  <c r="A64" i="10"/>
  <c r="E152" i="10"/>
  <c r="C323" i="10"/>
  <c r="B379" i="10"/>
  <c r="B300" i="10"/>
  <c r="F139" i="10"/>
  <c r="A66" i="10"/>
  <c r="F18" i="10"/>
  <c r="C132" i="10"/>
  <c r="A337" i="10"/>
  <c r="E334" i="10"/>
  <c r="F333" i="10"/>
  <c r="C292" i="10"/>
  <c r="A232" i="10"/>
  <c r="B85" i="10"/>
  <c r="F246" i="10"/>
  <c r="B138" i="10"/>
  <c r="E130" i="10"/>
  <c r="F346" i="10"/>
  <c r="A321" i="10"/>
  <c r="B210" i="10"/>
  <c r="B295" i="10"/>
  <c r="D60" i="10"/>
  <c r="D265" i="10"/>
  <c r="D318" i="10"/>
  <c r="B73" i="10"/>
  <c r="F90" i="10"/>
  <c r="A126" i="10"/>
  <c r="E2" i="10"/>
  <c r="C29" i="10"/>
  <c r="C334" i="10"/>
  <c r="B209" i="10"/>
  <c r="B165" i="10"/>
  <c r="A79" i="10"/>
  <c r="E259" i="10"/>
  <c r="F264" i="10"/>
  <c r="C378" i="10"/>
  <c r="E132" i="10"/>
  <c r="E245" i="10"/>
  <c r="D67" i="10"/>
  <c r="E303" i="10"/>
  <c r="D244" i="10"/>
  <c r="D296" i="10"/>
  <c r="B178" i="10"/>
  <c r="D97" i="10"/>
  <c r="F364" i="10"/>
  <c r="A306" i="10"/>
  <c r="C268" i="10"/>
  <c r="B221" i="10"/>
  <c r="C143" i="10"/>
  <c r="D45" i="10"/>
  <c r="C371" i="10"/>
  <c r="C251" i="10"/>
  <c r="E213" i="10"/>
  <c r="D166" i="10"/>
  <c r="C69" i="10"/>
  <c r="A182" i="10"/>
  <c r="A338" i="10"/>
  <c r="A218" i="10"/>
  <c r="C349" i="10"/>
  <c r="B133" i="10"/>
  <c r="A15" i="10"/>
  <c r="C109" i="10"/>
  <c r="E315" i="10"/>
  <c r="B311" i="10"/>
  <c r="D281" i="10"/>
  <c r="D78" i="10"/>
  <c r="A151" i="10"/>
  <c r="E50" i="10"/>
  <c r="E271" i="10"/>
  <c r="B267" i="10"/>
  <c r="F359" i="10"/>
  <c r="D217" i="10"/>
  <c r="C74" i="10"/>
  <c r="E189" i="10"/>
  <c r="A217" i="10"/>
  <c r="D212" i="10"/>
  <c r="E286" i="10"/>
  <c r="F43" i="10"/>
  <c r="A194" i="10"/>
  <c r="A83" i="10"/>
  <c r="D229" i="10"/>
  <c r="D335" i="10"/>
  <c r="B222" i="10"/>
  <c r="D232" i="10"/>
  <c r="C228" i="10"/>
  <c r="D380" i="10"/>
  <c r="C137" i="10"/>
  <c r="A103" i="10"/>
  <c r="C25" i="10"/>
  <c r="E19" i="10"/>
  <c r="A357" i="10"/>
  <c r="C246" i="10"/>
  <c r="B377" i="10"/>
  <c r="D252" i="10"/>
  <c r="C312" i="10"/>
  <c r="C305" i="10"/>
  <c r="F275" i="10"/>
  <c r="B176" i="10"/>
  <c r="B236" i="10"/>
  <c r="A69" i="10"/>
  <c r="A90" i="10"/>
  <c r="C139" i="10"/>
  <c r="C167" i="10"/>
  <c r="D61" i="10"/>
  <c r="A2" i="10"/>
  <c r="D101" i="10"/>
  <c r="C127" i="10"/>
  <c r="B200" i="10"/>
  <c r="E106" i="10"/>
  <c r="A137" i="10"/>
  <c r="D40" i="10"/>
  <c r="E361" i="10"/>
  <c r="B105" i="10"/>
  <c r="A3" i="10"/>
  <c r="E125" i="10"/>
  <c r="F52" i="10"/>
  <c r="B297" i="10"/>
  <c r="A330" i="10"/>
  <c r="A210" i="10"/>
  <c r="C333" i="10"/>
  <c r="B125" i="10"/>
  <c r="A7" i="10"/>
  <c r="E98" i="10"/>
  <c r="E307" i="10"/>
  <c r="B303" i="10"/>
  <c r="D273" i="10"/>
  <c r="D70" i="10"/>
  <c r="E136" i="10"/>
  <c r="A40" i="10"/>
  <c r="C274" i="10"/>
  <c r="F269" i="10"/>
  <c r="B365" i="10"/>
  <c r="F238" i="10"/>
  <c r="A78" i="10"/>
  <c r="A195" i="10"/>
  <c r="E219" i="10"/>
  <c r="B215" i="10"/>
  <c r="C289" i="10"/>
  <c r="C128" i="10"/>
  <c r="D21" i="10"/>
  <c r="A118" i="10"/>
  <c r="A340" i="10"/>
  <c r="D160" i="10"/>
  <c r="E234" i="10"/>
  <c r="D55" i="10"/>
  <c r="F142" i="10"/>
  <c r="A45" i="10"/>
  <c r="F276" i="10"/>
  <c r="D116" i="10"/>
  <c r="E190" i="10"/>
  <c r="D181" i="10"/>
  <c r="C76" i="10"/>
  <c r="C40" i="10"/>
  <c r="C144" i="10"/>
  <c r="E332" i="10"/>
  <c r="B190" i="10"/>
  <c r="D200" i="10"/>
  <c r="E338" i="10"/>
  <c r="F319" i="10"/>
  <c r="F108" i="10"/>
  <c r="E9" i="10"/>
  <c r="A4" i="10"/>
  <c r="C184" i="10"/>
  <c r="B366" i="10"/>
  <c r="A225" i="10"/>
  <c r="A318" i="10"/>
  <c r="B199" i="10"/>
  <c r="C280" i="10"/>
  <c r="C273" i="10"/>
  <c r="D222" i="10"/>
  <c r="C121" i="10"/>
  <c r="D5" i="10"/>
  <c r="F110" i="10"/>
  <c r="F4" i="10"/>
  <c r="F101" i="10"/>
  <c r="D207" i="10"/>
  <c r="C374" i="10"/>
  <c r="B382" i="10"/>
  <c r="B338" i="10"/>
  <c r="E344" i="10"/>
  <c r="C58" i="10"/>
  <c r="A264" i="10"/>
  <c r="B6" i="10"/>
  <c r="D297" i="10"/>
  <c r="E57" i="10"/>
  <c r="E289" i="10"/>
  <c r="A294" i="10"/>
  <c r="F7" i="10"/>
  <c r="A158" i="10"/>
  <c r="B299" i="10"/>
  <c r="A308" i="10"/>
  <c r="A168" i="10"/>
  <c r="C344" i="10"/>
  <c r="E319" i="10"/>
  <c r="D328" i="10"/>
  <c r="D285" i="10"/>
  <c r="D82" i="10"/>
  <c r="C180" i="10"/>
  <c r="A56" i="10"/>
  <c r="E275" i="10"/>
  <c r="F281" i="10"/>
  <c r="F367" i="10"/>
  <c r="D38" i="10"/>
  <c r="B108" i="10"/>
  <c r="E197" i="10"/>
  <c r="E231" i="10"/>
  <c r="F237" i="10"/>
  <c r="C301" i="10"/>
  <c r="F146" i="10"/>
  <c r="D49" i="10"/>
  <c r="A134" i="10"/>
  <c r="A364" i="10"/>
  <c r="F193" i="10"/>
  <c r="C257" i="10"/>
  <c r="D71" i="10"/>
  <c r="B188" i="10"/>
  <c r="A61" i="10"/>
  <c r="F288" i="10"/>
  <c r="B139" i="10"/>
  <c r="E202" i="10"/>
  <c r="E16" i="10"/>
  <c r="C113" i="10"/>
  <c r="F8" i="10"/>
  <c r="F244" i="10"/>
  <c r="B95" i="10"/>
  <c r="A148" i="10"/>
  <c r="F124" i="10"/>
  <c r="A48" i="10"/>
  <c r="B136" i="10"/>
  <c r="C114" i="10"/>
  <c r="C322" i="10"/>
  <c r="D358" i="10"/>
  <c r="F157" i="10"/>
  <c r="B288" i="10"/>
  <c r="F255" i="10"/>
  <c r="A52" i="10"/>
  <c r="E185" i="10"/>
  <c r="A106" i="10"/>
  <c r="F126" i="10"/>
  <c r="F344" i="10"/>
  <c r="A332" i="10"/>
  <c r="E296" i="10"/>
  <c r="F177" i="10"/>
  <c r="E237" i="10"/>
  <c r="A252" i="10"/>
  <c r="B201" i="10"/>
  <c r="C64" i="10"/>
  <c r="E129" i="10"/>
  <c r="D177" i="10"/>
  <c r="D10" i="10"/>
  <c r="C82" i="10"/>
  <c r="C177" i="10"/>
  <c r="F128" i="10"/>
  <c r="E191" i="10"/>
  <c r="B47" i="10"/>
  <c r="E357" i="10"/>
  <c r="E285" i="10"/>
  <c r="A231" i="10"/>
  <c r="E362" i="10"/>
  <c r="A205" i="10"/>
  <c r="F6" i="10"/>
  <c r="F81" i="10"/>
  <c r="F36" i="10"/>
  <c r="D225" i="10"/>
  <c r="E201" i="10"/>
  <c r="D110" i="10"/>
  <c r="C131" i="10"/>
  <c r="D75" i="10"/>
  <c r="E148" i="10"/>
  <c r="F273" i="10"/>
  <c r="E7" i="10"/>
  <c r="E223" i="10"/>
  <c r="F229" i="10"/>
  <c r="C293" i="10"/>
  <c r="E133" i="10"/>
  <c r="F38" i="10"/>
  <c r="C123" i="10"/>
  <c r="A348" i="10"/>
  <c r="F185" i="10"/>
  <c r="C249" i="10"/>
  <c r="F60" i="10"/>
  <c r="B172" i="10"/>
  <c r="C50" i="10"/>
  <c r="D291" i="10"/>
  <c r="F141" i="10"/>
  <c r="C205" i="10"/>
  <c r="C19" i="10"/>
  <c r="F116" i="10"/>
  <c r="D11" i="10"/>
  <c r="D247" i="10"/>
  <c r="F97" i="10"/>
  <c r="E150" i="10"/>
  <c r="A141" i="10"/>
  <c r="A44" i="10"/>
  <c r="B340" i="10"/>
  <c r="F192" i="10"/>
  <c r="B43" i="10"/>
  <c r="D322" i="10"/>
  <c r="A82" i="10"/>
  <c r="C203" i="10"/>
  <c r="E359" i="10"/>
  <c r="D382" i="10"/>
  <c r="A315" i="10"/>
  <c r="F267" i="10"/>
  <c r="D39" i="10"/>
  <c r="F234" i="10"/>
  <c r="E107" i="10"/>
  <c r="B18" i="10"/>
  <c r="A301" i="10"/>
  <c r="E308" i="10"/>
  <c r="D104" i="10"/>
  <c r="B256" i="10"/>
  <c r="F223" i="10"/>
  <c r="A197" i="10"/>
  <c r="E127" i="10"/>
  <c r="D77" i="10"/>
  <c r="A70" i="10"/>
  <c r="E384" i="10"/>
  <c r="B306" i="10"/>
  <c r="A254" i="10"/>
  <c r="D156" i="10"/>
  <c r="C216" i="10"/>
  <c r="E198" i="10"/>
  <c r="F179" i="10"/>
  <c r="C23" i="10"/>
  <c r="E58" i="10"/>
  <c r="B122" i="10"/>
  <c r="A166" i="10"/>
  <c r="B26" i="10"/>
  <c r="A49" i="10"/>
  <c r="B274" i="10"/>
  <c r="C357" i="10"/>
  <c r="B30" i="10"/>
  <c r="C165" i="10"/>
  <c r="F329" i="10"/>
  <c r="D282" i="10"/>
  <c r="D238" i="10"/>
  <c r="F183" i="10"/>
  <c r="F171" i="10"/>
  <c r="E212" i="10"/>
  <c r="E168" i="10"/>
  <c r="A156" i="10"/>
  <c r="A74" i="10"/>
  <c r="A250" i="10"/>
  <c r="D384" i="10"/>
  <c r="D66" i="10"/>
  <c r="F107" i="10"/>
  <c r="A271" i="10"/>
  <c r="E267" i="10"/>
  <c r="C62" i="10"/>
  <c r="C202" i="10"/>
  <c r="F197" i="10"/>
  <c r="C261" i="10"/>
  <c r="C105" i="10"/>
  <c r="B4" i="10"/>
  <c r="C66" i="10"/>
  <c r="D303" i="10"/>
  <c r="B143" i="10"/>
  <c r="E206" i="10"/>
  <c r="C32" i="10"/>
  <c r="E118" i="10"/>
  <c r="F12" i="10"/>
  <c r="B270" i="10"/>
  <c r="F109" i="10"/>
  <c r="C173" i="10"/>
  <c r="F226" i="10"/>
  <c r="A60" i="10"/>
  <c r="B352" i="10"/>
  <c r="D215" i="10"/>
  <c r="B55" i="10"/>
  <c r="F345" i="10"/>
  <c r="B112" i="10"/>
  <c r="A8" i="10"/>
  <c r="E371" i="10"/>
  <c r="D171" i="10"/>
  <c r="C352" i="10"/>
  <c r="F279" i="10"/>
  <c r="C39" i="10"/>
  <c r="E123" i="10"/>
  <c r="D379" i="10"/>
  <c r="F339" i="10"/>
  <c r="A283" i="10"/>
  <c r="F235" i="10"/>
  <c r="E4" i="10"/>
  <c r="C115" i="10"/>
  <c r="A65" i="10"/>
  <c r="B380" i="10"/>
  <c r="C226" i="10"/>
  <c r="C287" i="10"/>
  <c r="F61" i="10"/>
  <c r="A296" i="10"/>
  <c r="B181" i="10"/>
  <c r="A121" i="10"/>
  <c r="C42" i="10"/>
  <c r="D27" i="10"/>
  <c r="C331" i="10"/>
  <c r="A222" i="10"/>
  <c r="B103" i="10"/>
  <c r="D126" i="10"/>
  <c r="C65" i="10"/>
  <c r="C49" i="10"/>
  <c r="B174" i="10"/>
  <c r="B345" i="10"/>
  <c r="A290" i="10"/>
  <c r="C235" i="10"/>
  <c r="D337" i="10"/>
  <c r="C78" i="10"/>
  <c r="F373" i="10"/>
  <c r="C8" i="10"/>
  <c r="B353" i="10"/>
  <c r="F352" i="10"/>
  <c r="A370" i="10"/>
  <c r="A326" i="10"/>
  <c r="F258" i="10"/>
  <c r="F13" i="10"/>
  <c r="F63" i="10"/>
  <c r="B373" i="10"/>
  <c r="BM226" i="7" l="1" a="1"/>
  <c r="BM226" i="7" s="1"/>
  <c r="BQ233" i="7" a="1"/>
  <c r="BQ233" i="7" s="1"/>
  <c r="D231" i="11" s="1"/>
  <c r="BM234" i="7" a="1"/>
  <c r="BM234" i="7" s="1"/>
  <c r="BM255" i="7" a="1"/>
  <c r="BM255" i="7" s="1"/>
  <c r="BM229" i="7" a="1"/>
  <c r="BM229" i="7" s="1"/>
  <c r="BQ241" i="7" a="1"/>
  <c r="BQ241" i="7" s="1"/>
  <c r="D239" i="11" s="1"/>
  <c r="BM260" i="7" a="1"/>
  <c r="BM260" i="7" s="1"/>
  <c r="BQ259" i="7" a="1"/>
  <c r="BQ259" i="7" s="1"/>
  <c r="D257" i="11" s="1"/>
  <c r="BM250" i="7" a="1"/>
  <c r="BM250" i="7" s="1"/>
  <c r="BQ224" i="7" a="1"/>
  <c r="BQ224" i="7" s="1"/>
  <c r="D222" i="11" s="1"/>
  <c r="BM225" i="7" a="1"/>
  <c r="BM225" i="7" s="1"/>
  <c r="BQ261" i="7" a="1"/>
  <c r="BQ261" i="7" s="1"/>
  <c r="D259" i="11" s="1"/>
  <c r="BQ305" i="7" a="1"/>
  <c r="BQ305" i="7" s="1"/>
  <c r="D303" i="11" s="1"/>
  <c r="BQ279" i="7" a="1"/>
  <c r="BQ279" i="7" s="1"/>
  <c r="D277" i="11" s="1"/>
  <c r="BQ252" i="7" a="1"/>
  <c r="BQ252" i="7" s="1"/>
  <c r="D250" i="11" s="1"/>
  <c r="BM258" i="7" a="1"/>
  <c r="BM258" i="7" s="1"/>
  <c r="BM262" i="7" a="1"/>
  <c r="BM262" i="7" s="1"/>
  <c r="BM228" i="7" a="1"/>
  <c r="BM228" i="7" s="1"/>
  <c r="BM231" i="7" a="1"/>
  <c r="BM231" i="7" s="1"/>
  <c r="BQ251" i="7" a="1"/>
  <c r="BQ251" i="7" s="1"/>
  <c r="D249" i="11" s="1"/>
  <c r="BM241" i="7" a="1"/>
  <c r="BM241" i="7" s="1"/>
  <c r="BM242" i="7" a="1"/>
  <c r="BM242" i="7" s="1"/>
  <c r="BM239" i="7" a="1"/>
  <c r="BM239" i="7" s="1"/>
  <c r="BQ235" i="7" a="1"/>
  <c r="BQ235" i="7" s="1"/>
  <c r="D233" i="11" s="1"/>
  <c r="BQ246" i="7" a="1"/>
  <c r="BQ246" i="7" s="1"/>
  <c r="D244" i="11" s="1"/>
  <c r="BM236" i="7" a="1"/>
  <c r="BM236" i="7" s="1"/>
  <c r="BQ243" i="7" a="1"/>
  <c r="BQ243" i="7" s="1"/>
  <c r="D241" i="11" s="1"/>
  <c r="BM257" i="7" a="1"/>
  <c r="BM257" i="7" s="1"/>
  <c r="BM249" i="7" a="1"/>
  <c r="BM249" i="7" s="1"/>
  <c r="BM309" i="7" a="1"/>
  <c r="BM309" i="7" s="1"/>
  <c r="BM244" i="7" a="1"/>
  <c r="BM244" i="7" s="1"/>
  <c r="BM230" i="7" a="1"/>
  <c r="BM230" i="7" s="1"/>
  <c r="BM246" i="7" a="1"/>
  <c r="BM246" i="7" s="1"/>
  <c r="BQ250" i="7" a="1"/>
  <c r="BQ250" i="7" s="1"/>
  <c r="D248" i="11" s="1"/>
  <c r="BM277" i="7" a="1"/>
  <c r="BM277" i="7" s="1"/>
  <c r="BM303" i="7" a="1"/>
  <c r="BM303" i="7" s="1"/>
  <c r="BM331" i="7" a="1"/>
  <c r="BM331" i="7" s="1"/>
  <c r="BQ237" i="7" a="1"/>
  <c r="BQ237" i="7" s="1"/>
  <c r="D235" i="11" s="1"/>
  <c r="BM261" i="7" a="1"/>
  <c r="BM261" i="7" s="1"/>
  <c r="BQ273" i="7" a="1"/>
  <c r="BQ273" i="7" s="1"/>
  <c r="D271" i="11" s="1"/>
  <c r="BM300" i="7" a="1"/>
  <c r="BM300" i="7" s="1"/>
  <c r="BM233" i="7" a="1"/>
  <c r="BM233" i="7" s="1"/>
  <c r="BM238" i="7" a="1"/>
  <c r="BM238" i="7" s="1"/>
  <c r="BM256" i="7" a="1"/>
  <c r="BM256" i="7" s="1"/>
  <c r="BM271" i="7" a="1"/>
  <c r="BM271" i="7" s="1"/>
  <c r="BQ304" i="7" a="1"/>
  <c r="BQ304" i="7" s="1"/>
  <c r="D302" i="11" s="1"/>
  <c r="BQ245" i="7" a="1"/>
  <c r="BQ245" i="7" s="1"/>
  <c r="D243" i="11" s="1"/>
  <c r="BM284" i="7" a="1"/>
  <c r="BM284" i="7" s="1"/>
  <c r="BQ309" i="7" a="1"/>
  <c r="BQ309" i="7" s="1"/>
  <c r="D307" i="11" s="1"/>
  <c r="BM334" i="7" a="1"/>
  <c r="BM334" i="7" s="1"/>
  <c r="BM281" i="7" a="1"/>
  <c r="BM281" i="7" s="1"/>
  <c r="BQ306" i="7" a="1"/>
  <c r="BQ306" i="7" s="1"/>
  <c r="D304" i="11" s="1"/>
  <c r="BQ338" i="7" a="1"/>
  <c r="BQ338" i="7" s="1"/>
  <c r="D336" i="11" s="1"/>
  <c r="BQ248" i="7" a="1"/>
  <c r="BQ248" i="7" s="1"/>
  <c r="D246" i="11" s="1"/>
  <c r="BQ234" i="7" a="1"/>
  <c r="BQ234" i="7" s="1"/>
  <c r="D232" i="11" s="1"/>
  <c r="BM278" i="7" a="1"/>
  <c r="BM278" i="7" s="1"/>
  <c r="BQ311" i="7" a="1"/>
  <c r="BQ311" i="7" s="1"/>
  <c r="D309" i="11" s="1"/>
  <c r="BM252" i="7" a="1"/>
  <c r="BM252" i="7" s="1"/>
  <c r="BM235" i="7" a="1"/>
  <c r="BM235" i="7" s="1"/>
  <c r="BM275" i="7" a="1"/>
  <c r="BM275" i="7" s="1"/>
  <c r="BQ231" i="7" a="1"/>
  <c r="BQ231" i="7" s="1"/>
  <c r="D229" i="11" s="1"/>
  <c r="BQ260" i="7" a="1"/>
  <c r="BQ260" i="7" s="1"/>
  <c r="D258" i="11" s="1"/>
  <c r="BQ291" i="7" a="1"/>
  <c r="BQ291" i="7" s="1"/>
  <c r="D289" i="11" s="1"/>
  <c r="BQ288" i="7" a="1"/>
  <c r="BQ288" i="7" s="1"/>
  <c r="D286" i="11" s="1"/>
  <c r="BQ285" i="7" a="1"/>
  <c r="BQ285" i="7" s="1"/>
  <c r="D283" i="11" s="1"/>
  <c r="BQ282" i="7" a="1"/>
  <c r="BQ282" i="7" s="1"/>
  <c r="D280" i="11" s="1"/>
  <c r="BM280" i="7" a="1"/>
  <c r="BM280" i="7" s="1"/>
  <c r="BQ284" i="7" a="1"/>
  <c r="BQ284" i="7" s="1"/>
  <c r="D282" i="11" s="1"/>
  <c r="BM274" i="7" a="1"/>
  <c r="BM274" i="7" s="1"/>
  <c r="BQ278" i="7" a="1"/>
  <c r="BQ278" i="7" s="1"/>
  <c r="D276" i="11" s="1"/>
  <c r="BM310" i="7" a="1"/>
  <c r="BM310" i="7" s="1"/>
  <c r="BM307" i="7" a="1"/>
  <c r="BM307" i="7" s="1"/>
  <c r="BM312" i="7" a="1"/>
  <c r="BM312" i="7" s="1"/>
  <c r="BQ316" i="7" a="1"/>
  <c r="BQ316" i="7" s="1"/>
  <c r="D314" i="11" s="1"/>
  <c r="BM306" i="7" a="1"/>
  <c r="BM306" i="7" s="1"/>
  <c r="BQ310" i="7" a="1"/>
  <c r="BQ310" i="7" s="1"/>
  <c r="D308" i="11" s="1"/>
  <c r="BQ307" i="7" a="1"/>
  <c r="BQ307" i="7" s="1"/>
  <c r="D305" i="11" s="1"/>
  <c r="BM305" i="7" a="1"/>
  <c r="BM305" i="7" s="1"/>
  <c r="BQ341" i="7" a="1"/>
  <c r="BQ341" i="7" s="1"/>
  <c r="D339" i="11" s="1"/>
  <c r="BM328" i="7" a="1"/>
  <c r="BM328" i="7" s="1"/>
  <c r="BQ356" i="7" a="1"/>
  <c r="BQ356" i="7" s="1"/>
  <c r="D354" i="11" s="1"/>
  <c r="BM232" i="7" a="1"/>
  <c r="BM232" i="7" s="1"/>
  <c r="BQ263" i="7" a="1"/>
  <c r="BQ263" i="7" s="1"/>
  <c r="D261" i="11" s="1"/>
  <c r="BM292" i="7" a="1"/>
  <c r="BM292" i="7" s="1"/>
  <c r="BM289" i="7" a="1"/>
  <c r="BM289" i="7" s="1"/>
  <c r="BM286" i="7" a="1"/>
  <c r="BM286" i="7" s="1"/>
  <c r="BM283" i="7" a="1"/>
  <c r="BM283" i="7" s="1"/>
  <c r="BQ287" i="7" a="1"/>
  <c r="BQ287" i="7" s="1"/>
  <c r="D285" i="11" s="1"/>
  <c r="BM285" i="7" a="1"/>
  <c r="BM285" i="7" s="1"/>
  <c r="BQ281" i="7" a="1"/>
  <c r="BQ281" i="7" s="1"/>
  <c r="D279" i="11" s="1"/>
  <c r="BM279" i="7" a="1"/>
  <c r="BM279" i="7" s="1"/>
  <c r="BQ317" i="7" a="1"/>
  <c r="BQ317" i="7" s="1"/>
  <c r="D315" i="11" s="1"/>
  <c r="BQ314" i="7" a="1"/>
  <c r="BQ314" i="7" s="1"/>
  <c r="D312" i="11" s="1"/>
  <c r="BQ319" i="7" a="1"/>
  <c r="BQ319" i="7" s="1"/>
  <c r="D317" i="11" s="1"/>
  <c r="BM317" i="7" a="1"/>
  <c r="BM317" i="7" s="1"/>
  <c r="BQ313" i="7" a="1"/>
  <c r="BQ313" i="7" s="1"/>
  <c r="D311" i="11" s="1"/>
  <c r="BM311" i="7" a="1"/>
  <c r="BM311" i="7" s="1"/>
  <c r="BM308" i="7" a="1"/>
  <c r="BM308" i="7" s="1"/>
  <c r="BQ312" i="7" a="1"/>
  <c r="BQ312" i="7" s="1"/>
  <c r="D310" i="11" s="1"/>
  <c r="BM342" i="7" a="1"/>
  <c r="BM342" i="7" s="1"/>
  <c r="BQ335" i="7" a="1"/>
  <c r="BQ335" i="7" s="1"/>
  <c r="D333" i="11" s="1"/>
  <c r="BM243" i="7" a="1"/>
  <c r="BM243" i="7" s="1"/>
  <c r="BQ239" i="7" a="1"/>
  <c r="BQ239" i="7" s="1"/>
  <c r="D237" i="11" s="1"/>
  <c r="BQ267" i="7" a="1"/>
  <c r="BQ267" i="7" s="1"/>
  <c r="D265" i="11" s="1"/>
  <c r="BQ264" i="7" a="1"/>
  <c r="BQ264" i="7" s="1"/>
  <c r="D262" i="11" s="1"/>
  <c r="BM295" i="7" a="1"/>
  <c r="BM295" i="7" s="1"/>
  <c r="BQ293" i="7" a="1"/>
  <c r="BQ293" i="7" s="1"/>
  <c r="D291" i="11" s="1"/>
  <c r="BQ290" i="7" a="1"/>
  <c r="BQ290" i="7" s="1"/>
  <c r="D288" i="11" s="1"/>
  <c r="BM288" i="7" a="1"/>
  <c r="BM288" i="7" s="1"/>
  <c r="BQ292" i="7" a="1"/>
  <c r="BQ292" i="7" s="1"/>
  <c r="D290" i="11" s="1"/>
  <c r="BM282" i="7" a="1"/>
  <c r="BM282" i="7" s="1"/>
  <c r="BQ286" i="7" a="1"/>
  <c r="BQ286" i="7" s="1"/>
  <c r="D284" i="11" s="1"/>
  <c r="BM318" i="7" a="1"/>
  <c r="BM318" i="7" s="1"/>
  <c r="BM315" i="7" a="1"/>
  <c r="BM315" i="7" s="1"/>
  <c r="BM320" i="7" a="1"/>
  <c r="BM320" i="7" s="1"/>
  <c r="BQ324" i="7" a="1"/>
  <c r="BQ324" i="7" s="1"/>
  <c r="D322" i="11" s="1"/>
  <c r="BM314" i="7" a="1"/>
  <c r="BM314" i="7" s="1"/>
  <c r="BQ318" i="7" a="1"/>
  <c r="BQ318" i="7" s="1"/>
  <c r="D316" i="11" s="1"/>
  <c r="BQ315" i="7" a="1"/>
  <c r="BQ315" i="7" s="1"/>
  <c r="D313" i="11" s="1"/>
  <c r="BM313" i="7" a="1"/>
  <c r="BM313" i="7" s="1"/>
  <c r="BQ349" i="7" a="1"/>
  <c r="BQ349" i="7" s="1"/>
  <c r="D347" i="11" s="1"/>
  <c r="BQ360" i="7" a="1"/>
  <c r="BQ360" i="7" s="1"/>
  <c r="D358" i="11" s="1"/>
  <c r="BM240" i="7" a="1"/>
  <c r="BM240" i="7" s="1"/>
  <c r="BM268" i="7" a="1"/>
  <c r="BM268" i="7" s="1"/>
  <c r="BM265" i="7" a="1"/>
  <c r="BM265" i="7" s="1"/>
  <c r="BQ296" i="7" a="1"/>
  <c r="BQ296" i="7" s="1"/>
  <c r="D294" i="11" s="1"/>
  <c r="BM294" i="7" a="1"/>
  <c r="BM294" i="7" s="1"/>
  <c r="BM291" i="7" a="1"/>
  <c r="BM291" i="7" s="1"/>
  <c r="BM296" i="7" a="1"/>
  <c r="BM296" i="7" s="1"/>
  <c r="BM293" i="7" a="1"/>
  <c r="BM293" i="7" s="1"/>
  <c r="BQ289" i="7" a="1"/>
  <c r="BQ289" i="7" s="1"/>
  <c r="D287" i="11" s="1"/>
  <c r="BM287" i="7" a="1"/>
  <c r="BM287" i="7" s="1"/>
  <c r="BQ325" i="7" a="1"/>
  <c r="BQ325" i="7" s="1"/>
  <c r="D323" i="11" s="1"/>
  <c r="BQ322" i="7" a="1"/>
  <c r="BQ322" i="7" s="1"/>
  <c r="D320" i="11" s="1"/>
  <c r="BQ327" i="7" a="1"/>
  <c r="BQ327" i="7" s="1"/>
  <c r="D325" i="11" s="1"/>
  <c r="BM325" i="7" a="1"/>
  <c r="BM325" i="7" s="1"/>
  <c r="BQ321" i="7" a="1"/>
  <c r="BQ321" i="7" s="1"/>
  <c r="D319" i="11" s="1"/>
  <c r="BM319" i="7" a="1"/>
  <c r="BM319" i="7" s="1"/>
  <c r="BM316" i="7" a="1"/>
  <c r="BM316" i="7" s="1"/>
  <c r="BQ320" i="7" a="1"/>
  <c r="BQ320" i="7" s="1"/>
  <c r="D318" i="11" s="1"/>
  <c r="BM350" i="7" a="1"/>
  <c r="BM350" i="7" s="1"/>
  <c r="BM346" i="7" a="1"/>
  <c r="BM346" i="7" s="1"/>
  <c r="BQ256" i="7" a="1"/>
  <c r="BQ256" i="7" s="1"/>
  <c r="D254" i="11" s="1"/>
  <c r="BQ253" i="7" a="1"/>
  <c r="BQ253" i="7" s="1"/>
  <c r="D251" i="11" s="1"/>
  <c r="BM251" i="7" a="1"/>
  <c r="BM251" i="7" s="1"/>
  <c r="BQ247" i="7" a="1"/>
  <c r="BQ247" i="7" s="1"/>
  <c r="D245" i="11" s="1"/>
  <c r="BQ275" i="7" a="1"/>
  <c r="BQ275" i="7" s="1"/>
  <c r="D273" i="11" s="1"/>
  <c r="BQ272" i="7" a="1"/>
  <c r="BQ272" i="7" s="1"/>
  <c r="D270" i="11" s="1"/>
  <c r="BQ269" i="7" a="1"/>
  <c r="BQ269" i="7" s="1"/>
  <c r="D267" i="11" s="1"/>
  <c r="BQ266" i="7" a="1"/>
  <c r="BQ266" i="7" s="1"/>
  <c r="D264" i="11" s="1"/>
  <c r="BM264" i="7" a="1"/>
  <c r="BM264" i="7" s="1"/>
  <c r="BQ268" i="7" a="1"/>
  <c r="BQ268" i="7" s="1"/>
  <c r="D266" i="11" s="1"/>
  <c r="BQ295" i="7" a="1"/>
  <c r="BQ295" i="7" s="1"/>
  <c r="D293" i="11" s="1"/>
  <c r="BM290" i="7" a="1"/>
  <c r="BM290" i="7" s="1"/>
  <c r="BQ294" i="7" a="1"/>
  <c r="BQ294" i="7" s="1"/>
  <c r="D292" i="11" s="1"/>
  <c r="BM326" i="7" a="1"/>
  <c r="BM326" i="7" s="1"/>
  <c r="BM323" i="7" a="1"/>
  <c r="BM323" i="7" s="1"/>
  <c r="BQ300" i="7" a="1"/>
  <c r="BQ300" i="7" s="1"/>
  <c r="D298" i="11" s="1"/>
  <c r="BQ332" i="7" a="1"/>
  <c r="BQ332" i="7" s="1"/>
  <c r="D330" i="11" s="1"/>
  <c r="BM322" i="7" a="1"/>
  <c r="BM322" i="7" s="1"/>
  <c r="BQ326" i="7" a="1"/>
  <c r="BQ326" i="7" s="1"/>
  <c r="D324" i="11" s="1"/>
  <c r="BQ323" i="7" a="1"/>
  <c r="BQ323" i="7" s="1"/>
  <c r="D321" i="11" s="1"/>
  <c r="BM321" i="7" a="1"/>
  <c r="BM321" i="7" s="1"/>
  <c r="BQ357" i="7" a="1"/>
  <c r="BQ357" i="7" s="1"/>
  <c r="D355" i="11" s="1"/>
  <c r="BM254" i="7" a="1"/>
  <c r="BM254" i="7" s="1"/>
  <c r="BQ258" i="7" a="1"/>
  <c r="BQ258" i="7" s="1"/>
  <c r="D256" i="11" s="1"/>
  <c r="BM248" i="7" a="1"/>
  <c r="BM248" i="7" s="1"/>
  <c r="BM276" i="7" a="1"/>
  <c r="BM276" i="7" s="1"/>
  <c r="BM273" i="7" a="1"/>
  <c r="BM273" i="7" s="1"/>
  <c r="BM270" i="7" a="1"/>
  <c r="BM270" i="7" s="1"/>
  <c r="BM267" i="7" a="1"/>
  <c r="BM267" i="7" s="1"/>
  <c r="BQ271" i="7" a="1"/>
  <c r="BQ271" i="7" s="1"/>
  <c r="D269" i="11" s="1"/>
  <c r="BM269" i="7" a="1"/>
  <c r="BM269" i="7" s="1"/>
  <c r="BQ265" i="7" a="1"/>
  <c r="BQ265" i="7" s="1"/>
  <c r="D263" i="11" s="1"/>
  <c r="BM263" i="7" a="1"/>
  <c r="BM263" i="7" s="1"/>
  <c r="BQ301" i="7" a="1"/>
  <c r="BQ301" i="7" s="1"/>
  <c r="D299" i="11" s="1"/>
  <c r="BQ298" i="7" a="1"/>
  <c r="BQ298" i="7" s="1"/>
  <c r="D296" i="11" s="1"/>
  <c r="BQ303" i="7" a="1"/>
  <c r="BQ303" i="7" s="1"/>
  <c r="D301" i="11" s="1"/>
  <c r="BM301" i="7" a="1"/>
  <c r="BM301" i="7" s="1"/>
  <c r="BQ297" i="7" a="1"/>
  <c r="BQ297" i="7" s="1"/>
  <c r="D295" i="11" s="1"/>
  <c r="BM333" i="7" a="1"/>
  <c r="BM333" i="7" s="1"/>
  <c r="BM327" i="7" a="1"/>
  <c r="BM327" i="7" s="1"/>
  <c r="BM324" i="7" a="1"/>
  <c r="BM324" i="7" s="1"/>
  <c r="BQ328" i="7" a="1"/>
  <c r="BQ328" i="7" s="1"/>
  <c r="D326" i="11" s="1"/>
  <c r="BQ330" i="7" a="1"/>
  <c r="BQ330" i="7" s="1"/>
  <c r="D328" i="11" s="1"/>
  <c r="BQ232" i="7" a="1"/>
  <c r="BQ232" i="7" s="1"/>
  <c r="D230" i="11" s="1"/>
  <c r="BQ229" i="7" a="1"/>
  <c r="BQ229" i="7" s="1"/>
  <c r="D227" i="11" s="1"/>
  <c r="BQ262" i="7" a="1"/>
  <c r="BQ262" i="7" s="1"/>
  <c r="D260" i="11" s="1"/>
  <c r="BM259" i="7" a="1"/>
  <c r="BM259" i="7" s="1"/>
  <c r="BQ255" i="7" a="1"/>
  <c r="BQ255" i="7" s="1"/>
  <c r="D253" i="11" s="1"/>
  <c r="BQ283" i="7" a="1"/>
  <c r="BQ283" i="7" s="1"/>
  <c r="D281" i="11" s="1"/>
  <c r="BQ280" i="7" a="1"/>
  <c r="BQ280" i="7" s="1"/>
  <c r="D278" i="11" s="1"/>
  <c r="BQ277" i="7" a="1"/>
  <c r="BQ277" i="7" s="1"/>
  <c r="D275" i="11" s="1"/>
  <c r="BQ274" i="7" a="1"/>
  <c r="BQ274" i="7" s="1"/>
  <c r="D272" i="11" s="1"/>
  <c r="BM272" i="7" a="1"/>
  <c r="BM272" i="7" s="1"/>
  <c r="BQ276" i="7" a="1"/>
  <c r="BQ276" i="7" s="1"/>
  <c r="D274" i="11" s="1"/>
  <c r="BM266" i="7" a="1"/>
  <c r="BM266" i="7" s="1"/>
  <c r="BQ270" i="7" a="1"/>
  <c r="BQ270" i="7" s="1"/>
  <c r="D268" i="11" s="1"/>
  <c r="BM302" i="7" a="1"/>
  <c r="BM302" i="7" s="1"/>
  <c r="BM299" i="7" a="1"/>
  <c r="BM299" i="7" s="1"/>
  <c r="BM304" i="7" a="1"/>
  <c r="BM304" i="7" s="1"/>
  <c r="BQ308" i="7" a="1"/>
  <c r="BQ308" i="7" s="1"/>
  <c r="D306" i="11" s="1"/>
  <c r="BM298" i="7" a="1"/>
  <c r="BM298" i="7" s="1"/>
  <c r="BQ302" i="7" a="1"/>
  <c r="BQ302" i="7" s="1"/>
  <c r="D300" i="11" s="1"/>
  <c r="BQ299" i="7" a="1"/>
  <c r="BQ299" i="7" s="1"/>
  <c r="D297" i="11" s="1"/>
  <c r="BM297" i="7" a="1"/>
  <c r="BM297" i="7" s="1"/>
  <c r="BQ333" i="7" a="1"/>
  <c r="BQ333" i="7" s="1"/>
  <c r="D331" i="11" s="1"/>
  <c r="BQ343" i="7" a="1"/>
  <c r="BQ343" i="7" s="1"/>
  <c r="D341" i="11" s="1"/>
  <c r="BQ353" i="7" a="1"/>
  <c r="BQ353" i="7" s="1"/>
  <c r="D351" i="11" s="1"/>
  <c r="BM344" i="7" a="1"/>
  <c r="BM344" i="7" s="1"/>
  <c r="BM329" i="7" a="1"/>
  <c r="BM329" i="7" s="1"/>
  <c r="BQ351" i="7" a="1"/>
  <c r="BQ351" i="7" s="1"/>
  <c r="D349" i="11" s="1"/>
  <c r="BM363" i="7" a="1"/>
  <c r="BM363" i="7" s="1"/>
  <c r="BM339" i="7" a="1"/>
  <c r="BM339" i="7" s="1"/>
  <c r="BM341" i="7" a="1"/>
  <c r="BM341" i="7" s="1"/>
  <c r="BQ346" i="7" a="1"/>
  <c r="BQ346" i="7" s="1"/>
  <c r="D344" i="11" s="1"/>
  <c r="BQ348" i="7" a="1"/>
  <c r="BQ348" i="7" s="1"/>
  <c r="D346" i="11" s="1"/>
  <c r="BM347" i="7" a="1"/>
  <c r="BM347" i="7" s="1"/>
  <c r="BQ329" i="7" a="1"/>
  <c r="BQ329" i="7" s="1"/>
  <c r="D327" i="11" s="1"/>
  <c r="BQ359" i="7" a="1"/>
  <c r="BQ359" i="7" s="1"/>
  <c r="D357" i="11" s="1"/>
  <c r="BM355" i="7" a="1"/>
  <c r="BM355" i="7" s="1"/>
  <c r="BQ340" i="7" a="1"/>
  <c r="BQ340" i="7" s="1"/>
  <c r="D338" i="11" s="1"/>
  <c r="BM330" i="7" a="1"/>
  <c r="BM330" i="7" s="1"/>
  <c r="BM336" i="7" a="1"/>
  <c r="BM336" i="7" s="1"/>
  <c r="BM349" i="7" a="1"/>
  <c r="BM349" i="7" s="1"/>
  <c r="BM340" i="7" a="1"/>
  <c r="BM340" i="7" s="1"/>
  <c r="BQ342" i="7" a="1"/>
  <c r="BQ342" i="7" s="1"/>
  <c r="D340" i="11" s="1"/>
  <c r="BM357" i="7" a="1"/>
  <c r="BM357" i="7" s="1"/>
  <c r="BQ374" i="7" a="1"/>
  <c r="BQ374" i="7" s="1"/>
  <c r="D372" i="11" s="1"/>
  <c r="BM354" i="7" a="1"/>
  <c r="BM354" i="7" s="1"/>
  <c r="BM358" i="7" a="1"/>
  <c r="BM358" i="7" s="1"/>
  <c r="BQ354" i="7" a="1"/>
  <c r="BQ354" i="7" s="1"/>
  <c r="D352" i="11" s="1"/>
  <c r="BM361" i="7" a="1"/>
  <c r="BM361" i="7" s="1"/>
  <c r="BQ334" i="7" a="1"/>
  <c r="BQ334" i="7" s="1"/>
  <c r="D332" i="11" s="1"/>
  <c r="BM352" i="7" a="1"/>
  <c r="BM352" i="7" s="1"/>
  <c r="BM359" i="7" a="1"/>
  <c r="BM359" i="7" s="1"/>
  <c r="BM351" i="7" a="1"/>
  <c r="BM351" i="7" s="1"/>
  <c r="BQ361" i="7" a="1"/>
  <c r="BQ361" i="7" s="1"/>
  <c r="D359" i="11" s="1"/>
  <c r="BM338" i="7" a="1"/>
  <c r="BM338" i="7" s="1"/>
  <c r="BQ337" i="7" a="1"/>
  <c r="BQ337" i="7" s="1"/>
  <c r="D335" i="11" s="1"/>
  <c r="BM343" i="7" a="1"/>
  <c r="BM343" i="7" s="1"/>
  <c r="BQ350" i="7" a="1"/>
  <c r="BQ350" i="7" s="1"/>
  <c r="D348" i="11" s="1"/>
  <c r="BQ345" i="7" a="1"/>
  <c r="BQ345" i="7" s="1"/>
  <c r="D343" i="11" s="1"/>
  <c r="BM332" i="7" a="1"/>
  <c r="BM332" i="7" s="1"/>
  <c r="BQ358" i="7" a="1"/>
  <c r="BQ358" i="7" s="1"/>
  <c r="D356" i="11" s="1"/>
  <c r="BQ331" i="7" a="1"/>
  <c r="BQ331" i="7" s="1"/>
  <c r="D329" i="11" s="1"/>
  <c r="BM367" i="7" a="1"/>
  <c r="BM367" i="7" s="1"/>
  <c r="BQ347" i="7" a="1"/>
  <c r="BQ347" i="7" s="1"/>
  <c r="D345" i="11" s="1"/>
  <c r="BQ371" i="7" a="1"/>
  <c r="BQ371" i="7" s="1"/>
  <c r="D369" i="11" s="1"/>
  <c r="BQ355" i="7" a="1"/>
  <c r="BQ355" i="7" s="1"/>
  <c r="D353" i="11" s="1"/>
  <c r="BQ379" i="7" a="1"/>
  <c r="BQ379" i="7" s="1"/>
  <c r="D377" i="11" s="1"/>
  <c r="BM364" i="7" a="1"/>
  <c r="BM364" i="7" s="1"/>
  <c r="BM387" i="7" a="1"/>
  <c r="BM387" i="7" s="1"/>
  <c r="BQ375" i="7" a="1"/>
  <c r="BQ375" i="7" s="1"/>
  <c r="D373" i="11" s="1"/>
  <c r="BQ336" i="7" a="1"/>
  <c r="BQ336" i="7" s="1"/>
  <c r="D334" i="11" s="1"/>
  <c r="BM337" i="7" a="1"/>
  <c r="BM337" i="7" s="1"/>
  <c r="BM335" i="7" a="1"/>
  <c r="BM335" i="7" s="1"/>
  <c r="BQ339" i="7" a="1"/>
  <c r="BQ339" i="7" s="1"/>
  <c r="D337" i="11" s="1"/>
  <c r="BQ368" i="7" a="1"/>
  <c r="BQ368" i="7" s="1"/>
  <c r="D366" i="11" s="1"/>
  <c r="BQ344" i="7" a="1"/>
  <c r="BQ344" i="7" s="1"/>
  <c r="D342" i="11" s="1"/>
  <c r="BM375" i="7" a="1"/>
  <c r="BM375" i="7" s="1"/>
  <c r="BO375" i="7" s="1"/>
  <c r="B373" i="11" s="1"/>
  <c r="BM380" i="7" a="1"/>
  <c r="BM380" i="7" s="1"/>
  <c r="BQ362" i="7" a="1"/>
  <c r="BQ362" i="7" s="1"/>
  <c r="D360" i="11" s="1"/>
  <c r="BM348" i="7" a="1"/>
  <c r="BM348" i="7" s="1"/>
  <c r="BM345" i="7" a="1"/>
  <c r="BM345" i="7" s="1"/>
  <c r="BQ382" i="7" a="1"/>
  <c r="BQ382" i="7" s="1"/>
  <c r="D380" i="11" s="1"/>
  <c r="BM369" i="7" a="1"/>
  <c r="BM369" i="7" s="1"/>
  <c r="BQ352" i="7" a="1"/>
  <c r="BQ352" i="7" s="1"/>
  <c r="D350" i="11" s="1"/>
  <c r="BM383" i="7" a="1"/>
  <c r="BM383" i="7" s="1"/>
  <c r="BN383" i="7" s="1"/>
  <c r="A381" i="11" s="1"/>
  <c r="BQ376" i="7" a="1"/>
  <c r="BQ376" i="7" s="1"/>
  <c r="D374" i="11" s="1"/>
  <c r="BM356" i="7" a="1"/>
  <c r="BM356" i="7" s="1"/>
  <c r="BM353" i="7" a="1"/>
  <c r="BM353" i="7" s="1"/>
  <c r="BQ387" i="7" a="1"/>
  <c r="BQ387" i="7" s="1"/>
  <c r="D385" i="11" s="1"/>
  <c r="BM377" i="7" a="1"/>
  <c r="BM377" i="7" s="1"/>
  <c r="BO377" i="7" s="1"/>
  <c r="B375" i="11" s="1"/>
  <c r="BM360" i="7" a="1"/>
  <c r="BM360" i="7" s="1"/>
  <c r="BQ363" i="7" a="1"/>
  <c r="BQ363" i="7" s="1"/>
  <c r="D361" i="11" s="1"/>
  <c r="BQ384" i="7" a="1"/>
  <c r="BQ384" i="7" s="1"/>
  <c r="D382" i="11" s="1"/>
  <c r="BQ366" i="7" a="1"/>
  <c r="BQ366" i="7" s="1"/>
  <c r="D364" i="11" s="1"/>
  <c r="BM372" i="7" a="1"/>
  <c r="BM372" i="7" s="1"/>
  <c r="BM385" i="7" a="1"/>
  <c r="BM385" i="7" s="1"/>
  <c r="BQ365" i="7" a="1"/>
  <c r="BQ365" i="7" s="1"/>
  <c r="D363" i="11" s="1"/>
  <c r="BM368" i="7" a="1"/>
  <c r="BM368" i="7" s="1"/>
  <c r="BM366" i="7" a="1"/>
  <c r="BM366" i="7" s="1"/>
  <c r="BQ370" i="7" a="1"/>
  <c r="BQ370" i="7" s="1"/>
  <c r="D368" i="11" s="1"/>
  <c r="BM376" i="7" a="1"/>
  <c r="BM376" i="7" s="1"/>
  <c r="C374" i="11" s="1"/>
  <c r="BQ373" i="7" a="1"/>
  <c r="BQ373" i="7" s="1"/>
  <c r="D371" i="11" s="1"/>
  <c r="BM371" i="7" a="1"/>
  <c r="BM371" i="7" s="1"/>
  <c r="BQ383" i="7" a="1"/>
  <c r="BQ383" i="7" s="1"/>
  <c r="D381" i="11" s="1"/>
  <c r="BM374" i="7" a="1"/>
  <c r="BM374" i="7" s="1"/>
  <c r="BQ378" i="7" a="1"/>
  <c r="BQ378" i="7" s="1"/>
  <c r="D376" i="11" s="1"/>
  <c r="BQ364" i="7" a="1"/>
  <c r="BQ364" i="7" s="1"/>
  <c r="D362" i="11" s="1"/>
  <c r="BQ381" i="7" a="1"/>
  <c r="BQ381" i="7" s="1"/>
  <c r="D379" i="11" s="1"/>
  <c r="BM379" i="7" a="1"/>
  <c r="BM379" i="7" s="1"/>
  <c r="C377" i="11" s="1"/>
  <c r="BM373" i="7" a="1"/>
  <c r="BM373" i="7" s="1"/>
  <c r="BM382" i="7" a="1"/>
  <c r="BM382" i="7" s="1"/>
  <c r="BQ386" i="7" a="1"/>
  <c r="BQ386" i="7" s="1"/>
  <c r="D384" i="11" s="1"/>
  <c r="BQ377" i="7" a="1"/>
  <c r="BQ377" i="7" s="1"/>
  <c r="D375" i="11" s="1"/>
  <c r="AF94" i="3"/>
  <c r="BQ367" i="7" a="1"/>
  <c r="BQ367" i="7" s="1"/>
  <c r="D365" i="11" s="1"/>
  <c r="BQ385" i="7" a="1"/>
  <c r="BQ385" i="7" s="1"/>
  <c r="D383" i="11" s="1"/>
  <c r="BQ372" i="7" a="1"/>
  <c r="BQ372" i="7" s="1"/>
  <c r="D370" i="11" s="1"/>
  <c r="BM384" i="7" a="1"/>
  <c r="BM384" i="7" s="1"/>
  <c r="AF394" i="3"/>
  <c r="AC303" i="3"/>
  <c r="AF303" i="3" s="1"/>
  <c r="BM365" i="7" a="1"/>
  <c r="BM365" i="7" s="1"/>
  <c r="AF223" i="3"/>
  <c r="BQ369" i="7" a="1"/>
  <c r="BQ369" i="7" s="1"/>
  <c r="D367" i="11" s="1"/>
  <c r="AF177" i="3"/>
  <c r="BM378" i="7" a="1"/>
  <c r="BM378" i="7" s="1"/>
  <c r="C376" i="11" s="1"/>
  <c r="AF107" i="3"/>
  <c r="AF256" i="3"/>
  <c r="AF108" i="3"/>
  <c r="AV11" i="7"/>
  <c r="BQ380" i="7" a="1"/>
  <c r="BQ380" i="7" s="1"/>
  <c r="D378" i="11" s="1"/>
  <c r="BM362" i="7" a="1"/>
  <c r="BM362" i="7" s="1"/>
  <c r="AF374" i="3"/>
  <c r="AF57" i="3"/>
  <c r="AF203" i="3"/>
  <c r="AE231" i="3"/>
  <c r="AF34" i="3"/>
  <c r="AF100" i="3"/>
  <c r="AF73" i="3"/>
  <c r="AF72" i="3"/>
  <c r="AF346" i="3"/>
  <c r="AE401" i="3"/>
  <c r="AF288" i="3"/>
  <c r="AF101" i="3"/>
  <c r="AF351" i="3"/>
  <c r="AF382" i="3"/>
  <c r="AE132" i="3"/>
  <c r="AF139" i="3"/>
  <c r="AF243" i="3"/>
  <c r="AF81" i="3"/>
  <c r="BM386" i="7" a="1"/>
  <c r="BM386" i="7" s="1"/>
  <c r="AF263" i="3"/>
  <c r="AF187" i="3"/>
  <c r="BM381" i="7" a="1"/>
  <c r="BM381" i="7" s="1"/>
  <c r="AF93" i="3"/>
  <c r="AF409" i="3"/>
  <c r="BM370" i="7" a="1"/>
  <c r="BM370" i="7" s="1"/>
  <c r="C368" i="11" s="1"/>
  <c r="AF85" i="3"/>
  <c r="AF334" i="3"/>
  <c r="AF53" i="3"/>
  <c r="AE282" i="3"/>
  <c r="AE106" i="3"/>
  <c r="AE214" i="3"/>
  <c r="AF119" i="3"/>
  <c r="AF232" i="3"/>
  <c r="AF399" i="3"/>
  <c r="AC211" i="3"/>
  <c r="AE211" i="3" s="1"/>
  <c r="AF63" i="3"/>
  <c r="AF268" i="3"/>
  <c r="AC118" i="3"/>
  <c r="AF118" i="3" s="1"/>
  <c r="AF397" i="3"/>
  <c r="AF305" i="3"/>
  <c r="AF116" i="3"/>
  <c r="AF191" i="3"/>
  <c r="AC35" i="3"/>
  <c r="AF35" i="3" s="1"/>
  <c r="AE372" i="3"/>
  <c r="AF272" i="3"/>
  <c r="AC169" i="3"/>
  <c r="AF169" i="3" s="1"/>
  <c r="AF160" i="3"/>
  <c r="AE110" i="3"/>
  <c r="AF224" i="3"/>
  <c r="AF261" i="3"/>
  <c r="AE136" i="3"/>
  <c r="AF210" i="3"/>
  <c r="AF375" i="3"/>
  <c r="AE308" i="3"/>
  <c r="AF356" i="3"/>
  <c r="AF64" i="3"/>
  <c r="AF163" i="3"/>
  <c r="AF381" i="3"/>
  <c r="AF184" i="3"/>
  <c r="AF270" i="3"/>
  <c r="AC254" i="3"/>
  <c r="AF254" i="3" s="1"/>
  <c r="AF218" i="3"/>
  <c r="AE157" i="3"/>
  <c r="AE380" i="3"/>
  <c r="AF368" i="3"/>
  <c r="AC207" i="3"/>
  <c r="AF207" i="3" s="1"/>
  <c r="AF135" i="3"/>
  <c r="AE345" i="3"/>
  <c r="AC225" i="3"/>
  <c r="AF225" i="3" s="1"/>
  <c r="AF258" i="3"/>
  <c r="AE162" i="3"/>
  <c r="AE343" i="3"/>
  <c r="AF198" i="3"/>
  <c r="AE385" i="3"/>
  <c r="AF237" i="3"/>
  <c r="AF33" i="3"/>
  <c r="AF360" i="3"/>
  <c r="AF412" i="3"/>
  <c r="AF99" i="3"/>
  <c r="AF41" i="3"/>
  <c r="AF310" i="3"/>
  <c r="AF51" i="3"/>
  <c r="AF179" i="3"/>
  <c r="AF91" i="3"/>
  <c r="AF120" i="3"/>
  <c r="AF244" i="3"/>
  <c r="AF294" i="3"/>
  <c r="AF194" i="3"/>
  <c r="AF349" i="3"/>
  <c r="AE378" i="3"/>
  <c r="AF105" i="3"/>
  <c r="AF236" i="3"/>
  <c r="AC336" i="3"/>
  <c r="AE336" i="3" s="1"/>
  <c r="AC145" i="3"/>
  <c r="AE145" i="3" s="1"/>
  <c r="AF317" i="3"/>
  <c r="AF365" i="3"/>
  <c r="AE90" i="3"/>
  <c r="AF398" i="3"/>
  <c r="AF87" i="3"/>
  <c r="AC392" i="3"/>
  <c r="AF392" i="3" s="1"/>
  <c r="AF242" i="3"/>
  <c r="AF402" i="3"/>
  <c r="AF410" i="3"/>
  <c r="AF339" i="3"/>
  <c r="AE131" i="3"/>
  <c r="AE359" i="3"/>
  <c r="AF70" i="3"/>
  <c r="AF144" i="3"/>
  <c r="AF324" i="3"/>
  <c r="AF403" i="3"/>
  <c r="AF287" i="3"/>
  <c r="AF128" i="3"/>
  <c r="AF77" i="3"/>
  <c r="AF62" i="3"/>
  <c r="AF366" i="3"/>
  <c r="AF183" i="3"/>
  <c r="AC175" i="3"/>
  <c r="AE175" i="3" s="1"/>
  <c r="AE292" i="3"/>
  <c r="AF275" i="3"/>
  <c r="AF149" i="3"/>
  <c r="AF161" i="3"/>
  <c r="AF137" i="3"/>
  <c r="AF98" i="3"/>
  <c r="AF79" i="3"/>
  <c r="AF321" i="3"/>
  <c r="AF171" i="3"/>
  <c r="AE407" i="3"/>
  <c r="AF383" i="3"/>
  <c r="AF376" i="3"/>
  <c r="AF314" i="3"/>
  <c r="AF247" i="3"/>
  <c r="AF168" i="3"/>
  <c r="AE389" i="3"/>
  <c r="AV12" i="7"/>
  <c r="AF296" i="3"/>
  <c r="AE49" i="3"/>
  <c r="AF204" i="3"/>
  <c r="AF388" i="3"/>
  <c r="AF209" i="3"/>
  <c r="AE274" i="3"/>
  <c r="AE133" i="3"/>
  <c r="AF315" i="3"/>
  <c r="AF185" i="3"/>
  <c r="AE357" i="3"/>
  <c r="AE298" i="3"/>
  <c r="AE393" i="3"/>
  <c r="AE313" i="3"/>
  <c r="AV7" i="7"/>
  <c r="AE216" i="3"/>
  <c r="AE373" i="3"/>
  <c r="AF38" i="3"/>
  <c r="AC386" i="3"/>
  <c r="AF386" i="3" s="1"/>
  <c r="AF250" i="3"/>
  <c r="AF89" i="3"/>
  <c r="AE65" i="3"/>
  <c r="AE113" i="3"/>
  <c r="AE80" i="3"/>
  <c r="AE147" i="3"/>
  <c r="AE395" i="3"/>
  <c r="AF92" i="3"/>
  <c r="AE52" i="3"/>
  <c r="AE61" i="3"/>
  <c r="AF97" i="3"/>
  <c r="AF289" i="3"/>
  <c r="AF295" i="3"/>
  <c r="AC326" i="3"/>
  <c r="AF326" i="3" s="1"/>
  <c r="AF266" i="3"/>
  <c r="AF69" i="3"/>
  <c r="AF391" i="3"/>
  <c r="AE142" i="3"/>
  <c r="AF37" i="3"/>
  <c r="AF362" i="3"/>
  <c r="AE222" i="3"/>
  <c r="AF170" i="3"/>
  <c r="AF238" i="3"/>
  <c r="AF155" i="3"/>
  <c r="AF146" i="3"/>
  <c r="AF117" i="3"/>
  <c r="AE352" i="3"/>
  <c r="AE201" i="3"/>
  <c r="AF109" i="3"/>
  <c r="AF358" i="3"/>
  <c r="AF182" i="3"/>
  <c r="AF127" i="3"/>
  <c r="AF290" i="3"/>
  <c r="AF253" i="3"/>
  <c r="AF83" i="3"/>
  <c r="AF342" i="3"/>
  <c r="AF189" i="3"/>
  <c r="AF279" i="3"/>
  <c r="AF337" i="3"/>
  <c r="AF88" i="3"/>
  <c r="AF103" i="3"/>
  <c r="AV13" i="7"/>
  <c r="AF48" i="3"/>
  <c r="AE277" i="3"/>
  <c r="AE300" i="3"/>
  <c r="AF364" i="3"/>
  <c r="AF234" i="3"/>
  <c r="AF379" i="3"/>
  <c r="AE227" i="3"/>
  <c r="AF307" i="3"/>
  <c r="AE32" i="3"/>
  <c r="AF111" i="3"/>
  <c r="AE74" i="3"/>
  <c r="AF197" i="3"/>
  <c r="AE138" i="3"/>
  <c r="AE325" i="3"/>
  <c r="AE129" i="3"/>
  <c r="AE60" i="3"/>
  <c r="AE262" i="3"/>
  <c r="AE354" i="3"/>
  <c r="AF167" i="3"/>
  <c r="AE75" i="3"/>
  <c r="AE228" i="3"/>
  <c r="AF229" i="3"/>
  <c r="AE140" i="3"/>
  <c r="AE143" i="3"/>
  <c r="AE319" i="3"/>
  <c r="AE255" i="3"/>
  <c r="AF278" i="3"/>
  <c r="AF134" i="3"/>
  <c r="AF164" i="3"/>
  <c r="AF186" i="3"/>
  <c r="AF396" i="3"/>
  <c r="AF251" i="3"/>
  <c r="AF130" i="3"/>
  <c r="AE331" i="3"/>
  <c r="AE190" i="3"/>
  <c r="AF78" i="3"/>
  <c r="AE158" i="3"/>
  <c r="AF316" i="3"/>
  <c r="AE245" i="3"/>
  <c r="AE323" i="3"/>
  <c r="AF112" i="3"/>
  <c r="AE192" i="3"/>
  <c r="AF125" i="3"/>
  <c r="AE405" i="3"/>
  <c r="AF347" i="3"/>
  <c r="AF318" i="3"/>
  <c r="AE56" i="3"/>
  <c r="AE350" i="3"/>
  <c r="AE86" i="3"/>
  <c r="AF309" i="3"/>
  <c r="AF104" i="3"/>
  <c r="AF115" i="3"/>
  <c r="AE39" i="3"/>
  <c r="AE361" i="3"/>
  <c r="AV9" i="7"/>
  <c r="AE291" i="3"/>
  <c r="AE390" i="3"/>
  <c r="AE280" i="3"/>
  <c r="AE344" i="3"/>
  <c r="AE404" i="3"/>
  <c r="AE264" i="3"/>
  <c r="AF221" i="3"/>
  <c r="AF67" i="3"/>
  <c r="AE377" i="3"/>
  <c r="AE176" i="3"/>
  <c r="AE299" i="3"/>
  <c r="AF411" i="3"/>
  <c r="AF188" i="3"/>
  <c r="AF241" i="3"/>
  <c r="AE153" i="3"/>
  <c r="AF200" i="3"/>
  <c r="AF195" i="3"/>
  <c r="AF102" i="3"/>
  <c r="AF335" i="3"/>
  <c r="AF327" i="3"/>
  <c r="AF199" i="3"/>
  <c r="AF285" i="3"/>
  <c r="AF124" i="3"/>
  <c r="AF180" i="3"/>
  <c r="AF230" i="3"/>
  <c r="AF249" i="3"/>
  <c r="AE320" i="3"/>
  <c r="AF341" i="3"/>
  <c r="AF45" i="3"/>
  <c r="AF217" i="3"/>
  <c r="AF213" i="3"/>
  <c r="AF68" i="3"/>
  <c r="AF178" i="3"/>
  <c r="AF239" i="3"/>
  <c r="AV10" i="7"/>
  <c r="AF240" i="3"/>
  <c r="AE284" i="3"/>
  <c r="AF333" i="3"/>
  <c r="AE150" i="3"/>
  <c r="AE283" i="3"/>
  <c r="AF76" i="3"/>
  <c r="AE273" i="3"/>
  <c r="AE154" i="3"/>
  <c r="AF43" i="3"/>
  <c r="AE384" i="3"/>
  <c r="AE71" i="3"/>
  <c r="AF82" i="3"/>
  <c r="AF59" i="3"/>
  <c r="AF338" i="3"/>
  <c r="AF220" i="3"/>
  <c r="AC141" i="3"/>
  <c r="AF141" i="3" s="1"/>
  <c r="AF36" i="3"/>
  <c r="AF235" i="3"/>
  <c r="AF286" i="3"/>
  <c r="AE348" i="3"/>
  <c r="AF260" i="3"/>
  <c r="AE265" i="3"/>
  <c r="AF293" i="3"/>
  <c r="AF363" i="3"/>
  <c r="AF276" i="3"/>
  <c r="AF30" i="3"/>
  <c r="AE306" i="3"/>
  <c r="AE58" i="3"/>
  <c r="AF152" i="3"/>
  <c r="AF301" i="3"/>
  <c r="AE50" i="3"/>
  <c r="AE322" i="3"/>
  <c r="AE370" i="3"/>
  <c r="AF196" i="3"/>
  <c r="AF267" i="3"/>
  <c r="AF269" i="3"/>
  <c r="AE259" i="3"/>
  <c r="AF206" i="3"/>
  <c r="AF84" i="3"/>
  <c r="AE166" i="3"/>
  <c r="AF42" i="3"/>
  <c r="AF172" i="3"/>
  <c r="AV5" i="7"/>
  <c r="AF353" i="3"/>
  <c r="AF219" i="3"/>
  <c r="AE123" i="3"/>
  <c r="AE165" i="3"/>
  <c r="AE55" i="3"/>
  <c r="AE252" i="3"/>
  <c r="AE367" i="3"/>
  <c r="AF400" i="3"/>
  <c r="AE122" i="3"/>
  <c r="AF205" i="3"/>
  <c r="AE330" i="3"/>
  <c r="AF212" i="3"/>
  <c r="AE151" i="3"/>
  <c r="AE406" i="3"/>
  <c r="AE215" i="3"/>
  <c r="AF408" i="3"/>
  <c r="AF302" i="3"/>
  <c r="AF148" i="3"/>
  <c r="AF355" i="3"/>
  <c r="AF281" i="3"/>
  <c r="AF54" i="3"/>
  <c r="D4" i="7"/>
  <c r="O4" i="7" a="1"/>
  <c r="O4" i="7" s="1"/>
  <c r="N4" i="7"/>
  <c r="P4" i="7"/>
  <c r="AF153" i="3"/>
  <c r="AF65" i="3"/>
  <c r="AF140" i="3"/>
  <c r="AF370" i="3"/>
  <c r="AF143" i="3"/>
  <c r="AE238" i="3"/>
  <c r="AE342" i="3"/>
  <c r="AE212" i="3"/>
  <c r="AE235" i="3"/>
  <c r="AE251" i="3"/>
  <c r="AE286" i="3"/>
  <c r="AE241" i="3"/>
  <c r="AE117" i="3"/>
  <c r="AF150" i="3"/>
  <c r="AE304" i="3"/>
  <c r="AE46" i="3"/>
  <c r="C2" i="11"/>
  <c r="BO4" i="7"/>
  <c r="B2" i="11" s="1"/>
  <c r="BN4" i="7"/>
  <c r="A2" i="11" s="1"/>
  <c r="C51" i="11"/>
  <c r="BO53" i="7"/>
  <c r="B51" i="11" s="1"/>
  <c r="BN53" i="7"/>
  <c r="A51" i="11" s="1"/>
  <c r="C30" i="11"/>
  <c r="BO32" i="7"/>
  <c r="B30" i="11" s="1"/>
  <c r="BN32" i="7"/>
  <c r="A30" i="11" s="1"/>
  <c r="C46" i="11"/>
  <c r="BO48" i="7"/>
  <c r="B46" i="11" s="1"/>
  <c r="BN48" i="7"/>
  <c r="A46" i="11" s="1"/>
  <c r="C19" i="11"/>
  <c r="BO21" i="7"/>
  <c r="B19" i="11" s="1"/>
  <c r="BN21" i="7"/>
  <c r="A19" i="11" s="1"/>
  <c r="C35" i="11"/>
  <c r="BO37" i="7"/>
  <c r="B35" i="11" s="1"/>
  <c r="BN37" i="7"/>
  <c r="A35" i="11" s="1"/>
  <c r="C24" i="11"/>
  <c r="BO26" i="7"/>
  <c r="B24" i="11" s="1"/>
  <c r="BN26" i="7"/>
  <c r="A24" i="11" s="1"/>
  <c r="C40" i="11"/>
  <c r="BO42" i="7"/>
  <c r="B40" i="11" s="1"/>
  <c r="BN42" i="7"/>
  <c r="A40" i="11" s="1"/>
  <c r="C64" i="11"/>
  <c r="BO66" i="7"/>
  <c r="B64" i="11" s="1"/>
  <c r="BN66" i="7"/>
  <c r="A64" i="11" s="1"/>
  <c r="C57" i="11"/>
  <c r="BO59" i="7"/>
  <c r="B57" i="11" s="1"/>
  <c r="BN59" i="7"/>
  <c r="A57" i="11" s="1"/>
  <c r="C73" i="11"/>
  <c r="BO75" i="7"/>
  <c r="B73" i="11" s="1"/>
  <c r="BN75" i="7"/>
  <c r="A73" i="11" s="1"/>
  <c r="C89" i="11"/>
  <c r="BO91" i="7"/>
  <c r="B89" i="11" s="1"/>
  <c r="BN91" i="7"/>
  <c r="A89" i="11" s="1"/>
  <c r="C70" i="11"/>
  <c r="BO72" i="7"/>
  <c r="B70" i="11" s="1"/>
  <c r="BN72" i="7"/>
  <c r="A70" i="11" s="1"/>
  <c r="C86" i="11"/>
  <c r="BO88" i="7"/>
  <c r="B86" i="11" s="1"/>
  <c r="BN88" i="7"/>
  <c r="A86" i="11" s="1"/>
  <c r="C105" i="11"/>
  <c r="BO107" i="7"/>
  <c r="B105" i="11" s="1"/>
  <c r="BN107" i="7"/>
  <c r="A105" i="11" s="1"/>
  <c r="C164" i="11"/>
  <c r="BO166" i="7"/>
  <c r="B164" i="11" s="1"/>
  <c r="BN166" i="7"/>
  <c r="A164" i="11" s="1"/>
  <c r="C104" i="11"/>
  <c r="BO106" i="7"/>
  <c r="B104" i="11" s="1"/>
  <c r="BN106" i="7"/>
  <c r="A104" i="11" s="1"/>
  <c r="C125" i="11"/>
  <c r="BO127" i="7"/>
  <c r="B125" i="11" s="1"/>
  <c r="BN127" i="7"/>
  <c r="A125" i="11" s="1"/>
  <c r="C106" i="11"/>
  <c r="BN108" i="7"/>
  <c r="A106" i="11" s="1"/>
  <c r="BO108" i="7"/>
  <c r="B106" i="11" s="1"/>
  <c r="C119" i="11"/>
  <c r="BN121" i="7"/>
  <c r="A119" i="11" s="1"/>
  <c r="BO121" i="7"/>
  <c r="B119" i="11" s="1"/>
  <c r="C151" i="11"/>
  <c r="BO153" i="7"/>
  <c r="B151" i="11" s="1"/>
  <c r="BN153" i="7"/>
  <c r="A151" i="11" s="1"/>
  <c r="C137" i="11"/>
  <c r="BO139" i="7"/>
  <c r="B137" i="11" s="1"/>
  <c r="BN139" i="7"/>
  <c r="A137" i="11" s="1"/>
  <c r="C182" i="11"/>
  <c r="BO184" i="7"/>
  <c r="B182" i="11" s="1"/>
  <c r="BN184" i="7"/>
  <c r="A182" i="11" s="1"/>
  <c r="C171" i="11"/>
  <c r="BO173" i="7"/>
  <c r="B171" i="11" s="1"/>
  <c r="BN173" i="7"/>
  <c r="A171" i="11" s="1"/>
  <c r="C184" i="11"/>
  <c r="BO186" i="7"/>
  <c r="B184" i="11" s="1"/>
  <c r="BN186" i="7"/>
  <c r="A184" i="11" s="1"/>
  <c r="C165" i="11"/>
  <c r="BN167" i="7"/>
  <c r="A165" i="11" s="1"/>
  <c r="BO167" i="7"/>
  <c r="B165" i="11" s="1"/>
  <c r="C146" i="11"/>
  <c r="BN148" i="7"/>
  <c r="A146" i="11" s="1"/>
  <c r="BO148" i="7"/>
  <c r="B146" i="11" s="1"/>
  <c r="C192" i="11"/>
  <c r="BO194" i="7"/>
  <c r="B192" i="11" s="1"/>
  <c r="BN194" i="7"/>
  <c r="A192" i="11" s="1"/>
  <c r="C225" i="11"/>
  <c r="BO227" i="7"/>
  <c r="B225" i="11" s="1"/>
  <c r="BN227" i="7"/>
  <c r="A225" i="11" s="1"/>
  <c r="C210" i="11"/>
  <c r="BN212" i="7"/>
  <c r="A210" i="11" s="1"/>
  <c r="BO212" i="7"/>
  <c r="B210" i="11" s="1"/>
  <c r="C199" i="11"/>
  <c r="BN201" i="7"/>
  <c r="A199" i="11" s="1"/>
  <c r="BO201" i="7"/>
  <c r="B199" i="11" s="1"/>
  <c r="C232" i="11"/>
  <c r="BO234" i="7"/>
  <c r="B232" i="11" s="1"/>
  <c r="BN234" i="7"/>
  <c r="A232" i="11" s="1"/>
  <c r="C247" i="11"/>
  <c r="BO249" i="7"/>
  <c r="B247" i="11" s="1"/>
  <c r="BN249" i="7"/>
  <c r="A247" i="11" s="1"/>
  <c r="C236" i="11"/>
  <c r="BO238" i="7"/>
  <c r="B236" i="11" s="1"/>
  <c r="BN238" i="7"/>
  <c r="A236" i="11" s="1"/>
  <c r="C263" i="11"/>
  <c r="BO265" i="7"/>
  <c r="B263" i="11" s="1"/>
  <c r="BN265" i="7"/>
  <c r="A263" i="11" s="1"/>
  <c r="C275" i="11"/>
  <c r="BO277" i="7"/>
  <c r="B275" i="11" s="1"/>
  <c r="BN277" i="7"/>
  <c r="A275" i="11" s="1"/>
  <c r="C280" i="11"/>
  <c r="BN282" i="7"/>
  <c r="A280" i="11" s="1"/>
  <c r="BO282" i="7"/>
  <c r="B280" i="11" s="1"/>
  <c r="C318" i="11"/>
  <c r="BO320" i="7"/>
  <c r="B318" i="11" s="1"/>
  <c r="BN320" i="7"/>
  <c r="A318" i="11" s="1"/>
  <c r="C307" i="11"/>
  <c r="BO309" i="7"/>
  <c r="B307" i="11" s="1"/>
  <c r="BN309" i="7"/>
  <c r="A307" i="11" s="1"/>
  <c r="C312" i="11"/>
  <c r="BO314" i="7"/>
  <c r="B312" i="11" s="1"/>
  <c r="BN314" i="7"/>
  <c r="A312" i="11" s="1"/>
  <c r="C348" i="11"/>
  <c r="BO350" i="7"/>
  <c r="B348" i="11" s="1"/>
  <c r="BN350" i="7"/>
  <c r="A348" i="11" s="1"/>
  <c r="C353" i="11"/>
  <c r="BO355" i="7"/>
  <c r="B353" i="11" s="1"/>
  <c r="BN355" i="7"/>
  <c r="A353" i="11" s="1"/>
  <c r="C333" i="11"/>
  <c r="BO335" i="7"/>
  <c r="B333" i="11" s="1"/>
  <c r="BN335" i="7"/>
  <c r="A333" i="11" s="1"/>
  <c r="C346" i="11"/>
  <c r="BN348" i="7"/>
  <c r="A346" i="11" s="1"/>
  <c r="BO348" i="7"/>
  <c r="B346" i="11" s="1"/>
  <c r="C335" i="11"/>
  <c r="BO337" i="7"/>
  <c r="B335" i="11" s="1"/>
  <c r="BN337" i="7"/>
  <c r="A335" i="11" s="1"/>
  <c r="C370" i="11"/>
  <c r="BO372" i="7"/>
  <c r="B370" i="11" s="1"/>
  <c r="BN372" i="7"/>
  <c r="A370" i="11" s="1"/>
  <c r="C364" i="11"/>
  <c r="BN366" i="7"/>
  <c r="A364" i="11" s="1"/>
  <c r="BO366" i="7"/>
  <c r="B364" i="11" s="1"/>
  <c r="AE362" i="3"/>
  <c r="AE263" i="3"/>
  <c r="AE170" i="3"/>
  <c r="AF390" i="3"/>
  <c r="AE388" i="3"/>
  <c r="AF280" i="3"/>
  <c r="AE219" i="3"/>
  <c r="AE127" i="3"/>
  <c r="AE85" i="3"/>
  <c r="AY16" i="6"/>
  <c r="AX16" i="6"/>
  <c r="BA16" i="6" s="1"/>
  <c r="AZ16" i="6"/>
  <c r="AE87" i="3"/>
  <c r="AE137" i="3"/>
  <c r="AE103" i="3"/>
  <c r="AE180" i="3"/>
  <c r="AE98" i="3"/>
  <c r="S26" i="7"/>
  <c r="AW33" i="6" s="1"/>
  <c r="S25" i="7"/>
  <c r="AW32" i="6" s="1"/>
  <c r="S24" i="7"/>
  <c r="AW31" i="6" s="1"/>
  <c r="S20" i="7"/>
  <c r="AW27" i="6" s="1"/>
  <c r="S23" i="7"/>
  <c r="AW30" i="6" s="1"/>
  <c r="S19" i="7"/>
  <c r="AW26" i="6" s="1"/>
  <c r="S21" i="7"/>
  <c r="AW28" i="6" s="1"/>
  <c r="S22" i="7"/>
  <c r="AW29" i="6" s="1"/>
  <c r="C7" i="5"/>
  <c r="AE394" i="3"/>
  <c r="AE210" i="3"/>
  <c r="AE244" i="3"/>
  <c r="AE213" i="3"/>
  <c r="AE294" i="3"/>
  <c r="AE239" i="3"/>
  <c r="AE349" i="3"/>
  <c r="AE236" i="3"/>
  <c r="AE107" i="3"/>
  <c r="AE411" i="3"/>
  <c r="AE155" i="3"/>
  <c r="AE351" i="3"/>
  <c r="AE221" i="3"/>
  <c r="AE183" i="3"/>
  <c r="AE261" i="3"/>
  <c r="AE285" i="3"/>
  <c r="AE33" i="3"/>
  <c r="AE256" i="3"/>
  <c r="AE243" i="3"/>
  <c r="AE159" i="3"/>
  <c r="AE332" i="3"/>
  <c r="AE95" i="3"/>
  <c r="AE371" i="3"/>
  <c r="AE156" i="3"/>
  <c r="AE369" i="3"/>
  <c r="C4" i="11"/>
  <c r="BO6" i="7"/>
  <c r="B4" i="11" s="1"/>
  <c r="BN6" i="7"/>
  <c r="A4" i="11" s="1"/>
  <c r="C3" i="11"/>
  <c r="BO5" i="7"/>
  <c r="B3" i="11" s="1"/>
  <c r="BN5" i="7"/>
  <c r="A3" i="11" s="1"/>
  <c r="C17" i="11"/>
  <c r="BO19" i="7"/>
  <c r="B17" i="11" s="1"/>
  <c r="BN19" i="7"/>
  <c r="A17" i="11" s="1"/>
  <c r="C33" i="11"/>
  <c r="BO35" i="7"/>
  <c r="B33" i="11" s="1"/>
  <c r="BN35" i="7"/>
  <c r="A33" i="11" s="1"/>
  <c r="C49" i="11"/>
  <c r="BO51" i="7"/>
  <c r="B49" i="11" s="1"/>
  <c r="BN51" i="7"/>
  <c r="A49" i="11" s="1"/>
  <c r="C59" i="11"/>
  <c r="BO61" i="7"/>
  <c r="B59" i="11" s="1"/>
  <c r="BN61" i="7"/>
  <c r="A59" i="11" s="1"/>
  <c r="C75" i="11"/>
  <c r="BO77" i="7"/>
  <c r="B75" i="11" s="1"/>
  <c r="BN77" i="7"/>
  <c r="A75" i="11" s="1"/>
  <c r="C91" i="11"/>
  <c r="BO93" i="7"/>
  <c r="B91" i="11" s="1"/>
  <c r="BN93" i="7"/>
  <c r="A91" i="11" s="1"/>
  <c r="C80" i="11"/>
  <c r="BO82" i="7"/>
  <c r="B80" i="11" s="1"/>
  <c r="BN82" i="7"/>
  <c r="A80" i="11" s="1"/>
  <c r="C96" i="11"/>
  <c r="BN98" i="7"/>
  <c r="A96" i="11" s="1"/>
  <c r="BO98" i="7"/>
  <c r="B96" i="11" s="1"/>
  <c r="C123" i="11"/>
  <c r="BO125" i="7"/>
  <c r="B123" i="11" s="1"/>
  <c r="BN125" i="7"/>
  <c r="A123" i="11" s="1"/>
  <c r="C136" i="11"/>
  <c r="BN138" i="7"/>
  <c r="A136" i="11" s="1"/>
  <c r="BO138" i="7"/>
  <c r="B136" i="11" s="1"/>
  <c r="C108" i="11"/>
  <c r="BO110" i="7"/>
  <c r="B108" i="11" s="1"/>
  <c r="BN110" i="7"/>
  <c r="A108" i="11" s="1"/>
  <c r="C130" i="11"/>
  <c r="BO132" i="7"/>
  <c r="B130" i="11" s="1"/>
  <c r="BN132" i="7"/>
  <c r="A130" i="11" s="1"/>
  <c r="C175" i="11"/>
  <c r="BO177" i="7"/>
  <c r="B175" i="11" s="1"/>
  <c r="BN177" i="7"/>
  <c r="A175" i="11" s="1"/>
  <c r="C161" i="11"/>
  <c r="BO163" i="7"/>
  <c r="B161" i="11" s="1"/>
  <c r="BN163" i="7"/>
  <c r="A161" i="11" s="1"/>
  <c r="C142" i="11"/>
  <c r="BN144" i="7"/>
  <c r="A142" i="11" s="1"/>
  <c r="BO144" i="7"/>
  <c r="B142" i="11" s="1"/>
  <c r="C131" i="11"/>
  <c r="BO133" i="7"/>
  <c r="B131" i="11" s="1"/>
  <c r="BN133" i="7"/>
  <c r="A131" i="11" s="1"/>
  <c r="C144" i="11"/>
  <c r="BO146" i="7"/>
  <c r="B144" i="11" s="1"/>
  <c r="BN146" i="7"/>
  <c r="A144" i="11" s="1"/>
  <c r="C189" i="11"/>
  <c r="BN191" i="7"/>
  <c r="A189" i="11" s="1"/>
  <c r="BO191" i="7"/>
  <c r="B189" i="11" s="1"/>
  <c r="C170" i="11"/>
  <c r="BN172" i="7"/>
  <c r="A170" i="11" s="1"/>
  <c r="BO172" i="7"/>
  <c r="B170" i="11" s="1"/>
  <c r="C212" i="11"/>
  <c r="BO214" i="7"/>
  <c r="B212" i="11" s="1"/>
  <c r="BN214" i="7"/>
  <c r="A212" i="11" s="1"/>
  <c r="C209" i="11"/>
  <c r="BO211" i="7"/>
  <c r="B209" i="11" s="1"/>
  <c r="BN211" i="7"/>
  <c r="A209" i="11" s="1"/>
  <c r="C214" i="11"/>
  <c r="BO216" i="7"/>
  <c r="B214" i="11" s="1"/>
  <c r="BN216" i="7"/>
  <c r="A214" i="11" s="1"/>
  <c r="C205" i="11"/>
  <c r="BO207" i="7"/>
  <c r="B205" i="11" s="1"/>
  <c r="BN207" i="7"/>
  <c r="A205" i="11" s="1"/>
  <c r="C256" i="11"/>
  <c r="BO258" i="7"/>
  <c r="B256" i="11" s="1"/>
  <c r="BN258" i="7"/>
  <c r="A256" i="11" s="1"/>
  <c r="C226" i="11"/>
  <c r="BN228" i="7"/>
  <c r="A226" i="11" s="1"/>
  <c r="BO228" i="7"/>
  <c r="B226" i="11" s="1"/>
  <c r="C233" i="11"/>
  <c r="BN235" i="7"/>
  <c r="A233" i="11" s="1"/>
  <c r="BO235" i="7"/>
  <c r="B233" i="11" s="1"/>
  <c r="C238" i="11"/>
  <c r="BO240" i="7"/>
  <c r="B238" i="11" s="1"/>
  <c r="BN240" i="7"/>
  <c r="A238" i="11" s="1"/>
  <c r="C287" i="11"/>
  <c r="BO289" i="7"/>
  <c r="B287" i="11" s="1"/>
  <c r="BN289" i="7"/>
  <c r="A287" i="11" s="1"/>
  <c r="C276" i="11"/>
  <c r="BO278" i="7"/>
  <c r="B276" i="11" s="1"/>
  <c r="BN278" i="7"/>
  <c r="A276" i="11" s="1"/>
  <c r="C281" i="11"/>
  <c r="BO283" i="7"/>
  <c r="B281" i="11" s="1"/>
  <c r="BN283" i="7"/>
  <c r="A281" i="11" s="1"/>
  <c r="C270" i="11"/>
  <c r="BO272" i="7"/>
  <c r="B270" i="11" s="1"/>
  <c r="BN272" i="7"/>
  <c r="A270" i="11" s="1"/>
  <c r="C294" i="11"/>
  <c r="BO296" i="7"/>
  <c r="B294" i="11" s="1"/>
  <c r="BN296" i="7"/>
  <c r="A294" i="11" s="1"/>
  <c r="C316" i="11"/>
  <c r="BO318" i="7"/>
  <c r="B316" i="11" s="1"/>
  <c r="BN318" i="7"/>
  <c r="A316" i="11" s="1"/>
  <c r="C305" i="11"/>
  <c r="BO307" i="7"/>
  <c r="B305" i="11" s="1"/>
  <c r="BN307" i="7"/>
  <c r="A305" i="11" s="1"/>
  <c r="C309" i="11"/>
  <c r="BO311" i="7"/>
  <c r="B309" i="11" s="1"/>
  <c r="BN311" i="7"/>
  <c r="A309" i="11" s="1"/>
  <c r="C298" i="11"/>
  <c r="BN300" i="7"/>
  <c r="A298" i="11" s="1"/>
  <c r="BO300" i="7"/>
  <c r="B298" i="11" s="1"/>
  <c r="C326" i="11"/>
  <c r="BO328" i="7"/>
  <c r="B326" i="11" s="1"/>
  <c r="BN328" i="7"/>
  <c r="A326" i="11" s="1"/>
  <c r="C344" i="11"/>
  <c r="BO346" i="7"/>
  <c r="B344" i="11" s="1"/>
  <c r="BN346" i="7"/>
  <c r="A344" i="11" s="1"/>
  <c r="BO383" i="7"/>
  <c r="B381" i="11" s="1"/>
  <c r="C361" i="11"/>
  <c r="BO363" i="7"/>
  <c r="B361" i="11" s="1"/>
  <c r="BN363" i="7"/>
  <c r="A361" i="11" s="1"/>
  <c r="C371" i="11"/>
  <c r="BN373" i="7"/>
  <c r="A371" i="11" s="1"/>
  <c r="BO373" i="7"/>
  <c r="B371" i="11" s="1"/>
  <c r="AE31" i="3"/>
  <c r="AF222" i="3"/>
  <c r="AF291" i="3"/>
  <c r="AF90" i="3"/>
  <c r="AE36" i="3"/>
  <c r="AE186" i="3"/>
  <c r="AE99" i="3"/>
  <c r="AE337" i="3"/>
  <c r="AE130" i="3"/>
  <c r="AE70" i="3"/>
  <c r="AE144" i="3"/>
  <c r="AE358" i="3"/>
  <c r="AE396" i="3"/>
  <c r="AZ11" i="6"/>
  <c r="AY11" i="6"/>
  <c r="AX11" i="6"/>
  <c r="BA11" i="6" s="1"/>
  <c r="AF190" i="3"/>
  <c r="AE63" i="3"/>
  <c r="AE232" i="3"/>
  <c r="AF158" i="3"/>
  <c r="AE316" i="3"/>
  <c r="AE51" i="3"/>
  <c r="AE171" i="3"/>
  <c r="AF407" i="3"/>
  <c r="AE217" i="3"/>
  <c r="AF231" i="3"/>
  <c r="AE128" i="3"/>
  <c r="AE376" i="3"/>
  <c r="AE64" i="3"/>
  <c r="AE62" i="3"/>
  <c r="AE104" i="3"/>
  <c r="AE164" i="3"/>
  <c r="AE203" i="3"/>
  <c r="AE272" i="3"/>
  <c r="AE199" i="3"/>
  <c r="AF354" i="3"/>
  <c r="AE250" i="3"/>
  <c r="AV8" i="7"/>
  <c r="AE391" i="3"/>
  <c r="AE311" i="3"/>
  <c r="AE312" i="3"/>
  <c r="AE271" i="3"/>
  <c r="AE333" i="3"/>
  <c r="AE296" i="3"/>
  <c r="AE37" i="3"/>
  <c r="AE43" i="3"/>
  <c r="AE297" i="3"/>
  <c r="C13" i="11"/>
  <c r="BO15" i="7"/>
  <c r="B13" i="11" s="1"/>
  <c r="BN15" i="7"/>
  <c r="A13" i="11" s="1"/>
  <c r="C6" i="11"/>
  <c r="BO8" i="7"/>
  <c r="B6" i="11" s="1"/>
  <c r="BN8" i="7"/>
  <c r="A6" i="11" s="1"/>
  <c r="C5" i="11"/>
  <c r="BO7" i="7"/>
  <c r="B5" i="11" s="1"/>
  <c r="BN7" i="7"/>
  <c r="A5" i="11" s="1"/>
  <c r="C16" i="11"/>
  <c r="BN18" i="7"/>
  <c r="A16" i="11" s="1"/>
  <c r="BO18" i="7"/>
  <c r="B16" i="11" s="1"/>
  <c r="C52" i="11"/>
  <c r="BO54" i="7"/>
  <c r="B52" i="11" s="1"/>
  <c r="BN54" i="7"/>
  <c r="A52" i="11" s="1"/>
  <c r="C55" i="11"/>
  <c r="BO57" i="7"/>
  <c r="B55" i="11" s="1"/>
  <c r="BN57" i="7"/>
  <c r="A55" i="11" s="1"/>
  <c r="C18" i="11"/>
  <c r="BO20" i="7"/>
  <c r="B18" i="11" s="1"/>
  <c r="BN20" i="7"/>
  <c r="A18" i="11" s="1"/>
  <c r="C34" i="11"/>
  <c r="BO36" i="7"/>
  <c r="B34" i="11" s="1"/>
  <c r="BN36" i="7"/>
  <c r="A34" i="11" s="1"/>
  <c r="C50" i="11"/>
  <c r="BO52" i="7"/>
  <c r="B50" i="11" s="1"/>
  <c r="BN52" i="7"/>
  <c r="A50" i="11" s="1"/>
  <c r="C23" i="11"/>
  <c r="BN25" i="7"/>
  <c r="A23" i="11" s="1"/>
  <c r="BO25" i="7"/>
  <c r="B23" i="11" s="1"/>
  <c r="C39" i="11"/>
  <c r="BO41" i="7"/>
  <c r="B39" i="11" s="1"/>
  <c r="BN41" i="7"/>
  <c r="A39" i="11" s="1"/>
  <c r="C28" i="11"/>
  <c r="BO30" i="7"/>
  <c r="B28" i="11" s="1"/>
  <c r="BN30" i="7"/>
  <c r="A28" i="11" s="1"/>
  <c r="C44" i="11"/>
  <c r="BO46" i="7"/>
  <c r="B44" i="11" s="1"/>
  <c r="BN46" i="7"/>
  <c r="A44" i="11" s="1"/>
  <c r="C61" i="11"/>
  <c r="BO63" i="7"/>
  <c r="B61" i="11" s="1"/>
  <c r="BN63" i="7"/>
  <c r="A61" i="11" s="1"/>
  <c r="C77" i="11"/>
  <c r="BO79" i="7"/>
  <c r="B77" i="11" s="1"/>
  <c r="BN79" i="7"/>
  <c r="A77" i="11" s="1"/>
  <c r="C93" i="11"/>
  <c r="BO95" i="7"/>
  <c r="B93" i="11" s="1"/>
  <c r="BN95" i="7"/>
  <c r="A93" i="11" s="1"/>
  <c r="C74" i="11"/>
  <c r="BO76" i="7"/>
  <c r="B74" i="11" s="1"/>
  <c r="BN76" i="7"/>
  <c r="A74" i="11" s="1"/>
  <c r="C90" i="11"/>
  <c r="BO92" i="7"/>
  <c r="B90" i="11" s="1"/>
  <c r="BN92" i="7"/>
  <c r="A90" i="11" s="1"/>
  <c r="C118" i="11"/>
  <c r="BO120" i="7"/>
  <c r="B118" i="11" s="1"/>
  <c r="BN120" i="7"/>
  <c r="A118" i="11" s="1"/>
  <c r="C128" i="11"/>
  <c r="BO130" i="7"/>
  <c r="B128" i="11" s="1"/>
  <c r="BN130" i="7"/>
  <c r="A128" i="11" s="1"/>
  <c r="C132" i="11"/>
  <c r="BN134" i="7"/>
  <c r="A132" i="11" s="1"/>
  <c r="BO134" i="7"/>
  <c r="B132" i="11" s="1"/>
  <c r="C109" i="11"/>
  <c r="BO111" i="7"/>
  <c r="B109" i="11" s="1"/>
  <c r="BN111" i="7"/>
  <c r="A109" i="11" s="1"/>
  <c r="C140" i="11"/>
  <c r="BO142" i="7"/>
  <c r="B140" i="11" s="1"/>
  <c r="BN142" i="7"/>
  <c r="A140" i="11" s="1"/>
  <c r="C135" i="11"/>
  <c r="BO137" i="7"/>
  <c r="B135" i="11" s="1"/>
  <c r="BN137" i="7"/>
  <c r="A135" i="11" s="1"/>
  <c r="C185" i="11"/>
  <c r="BO187" i="7"/>
  <c r="B185" i="11" s="1"/>
  <c r="BN187" i="7"/>
  <c r="A185" i="11" s="1"/>
  <c r="C166" i="11"/>
  <c r="BO168" i="7"/>
  <c r="B166" i="11" s="1"/>
  <c r="BN168" i="7"/>
  <c r="A166" i="11" s="1"/>
  <c r="C155" i="11"/>
  <c r="BO157" i="7"/>
  <c r="B155" i="11" s="1"/>
  <c r="BN157" i="7"/>
  <c r="A155" i="11" s="1"/>
  <c r="C168" i="11"/>
  <c r="BO170" i="7"/>
  <c r="B168" i="11" s="1"/>
  <c r="BN170" i="7"/>
  <c r="A168" i="11" s="1"/>
  <c r="C149" i="11"/>
  <c r="BN151" i="7"/>
  <c r="A149" i="11" s="1"/>
  <c r="BO151" i="7"/>
  <c r="B149" i="11" s="1"/>
  <c r="C194" i="11"/>
  <c r="BN196" i="7"/>
  <c r="A194" i="11" s="1"/>
  <c r="BO196" i="7"/>
  <c r="B194" i="11" s="1"/>
  <c r="C219" i="11"/>
  <c r="BO221" i="7"/>
  <c r="B219" i="11" s="1"/>
  <c r="BN221" i="7"/>
  <c r="A219" i="11" s="1"/>
  <c r="C208" i="11"/>
  <c r="BO210" i="7"/>
  <c r="B208" i="11" s="1"/>
  <c r="BN210" i="7"/>
  <c r="A208" i="11" s="1"/>
  <c r="C243" i="11"/>
  <c r="BO245" i="7"/>
  <c r="B243" i="11" s="1"/>
  <c r="BN245" i="7"/>
  <c r="A243" i="11" s="1"/>
  <c r="C260" i="11"/>
  <c r="BO262" i="7"/>
  <c r="B260" i="11" s="1"/>
  <c r="BN262" i="7"/>
  <c r="A260" i="11" s="1"/>
  <c r="C245" i="11"/>
  <c r="BO247" i="7"/>
  <c r="B245" i="11" s="1"/>
  <c r="BN247" i="7"/>
  <c r="A245" i="11" s="1"/>
  <c r="C250" i="11"/>
  <c r="BO252" i="7"/>
  <c r="B250" i="11" s="1"/>
  <c r="BN252" i="7"/>
  <c r="A250" i="11" s="1"/>
  <c r="C231" i="11"/>
  <c r="BN233" i="7"/>
  <c r="A231" i="11" s="1"/>
  <c r="BO233" i="7"/>
  <c r="B231" i="11" s="1"/>
  <c r="C257" i="11"/>
  <c r="BN259" i="7"/>
  <c r="A257" i="11" s="1"/>
  <c r="BO259" i="7"/>
  <c r="B257" i="11" s="1"/>
  <c r="C282" i="11"/>
  <c r="BO284" i="7"/>
  <c r="B282" i="11" s="1"/>
  <c r="BN284" i="7"/>
  <c r="A282" i="11" s="1"/>
  <c r="C293" i="11"/>
  <c r="BO295" i="7"/>
  <c r="B293" i="11" s="1"/>
  <c r="BN295" i="7"/>
  <c r="A293" i="11" s="1"/>
  <c r="C264" i="11"/>
  <c r="BN266" i="7"/>
  <c r="A264" i="11" s="1"/>
  <c r="BO266" i="7"/>
  <c r="B264" i="11" s="1"/>
  <c r="C277" i="11"/>
  <c r="BO279" i="7"/>
  <c r="B277" i="11" s="1"/>
  <c r="BN279" i="7"/>
  <c r="A277" i="11" s="1"/>
  <c r="C302" i="11"/>
  <c r="BO304" i="7"/>
  <c r="B302" i="11" s="1"/>
  <c r="BN304" i="7"/>
  <c r="A302" i="11" s="1"/>
  <c r="C296" i="11"/>
  <c r="BO298" i="7"/>
  <c r="B296" i="11" s="1"/>
  <c r="BN298" i="7"/>
  <c r="A296" i="11" s="1"/>
  <c r="C322" i="11"/>
  <c r="BN324" i="7"/>
  <c r="A322" i="11" s="1"/>
  <c r="BO324" i="7"/>
  <c r="B322" i="11" s="1"/>
  <c r="C311" i="11"/>
  <c r="BO313" i="7"/>
  <c r="B311" i="11" s="1"/>
  <c r="BN313" i="7"/>
  <c r="A311" i="11" s="1"/>
  <c r="C332" i="11"/>
  <c r="BO334" i="7"/>
  <c r="B332" i="11" s="1"/>
  <c r="BN334" i="7"/>
  <c r="A332" i="11" s="1"/>
  <c r="C337" i="11"/>
  <c r="BO339" i="7"/>
  <c r="B337" i="11" s="1"/>
  <c r="BN339" i="7"/>
  <c r="A337" i="11" s="1"/>
  <c r="C350" i="11"/>
  <c r="BO352" i="7"/>
  <c r="B350" i="11" s="1"/>
  <c r="BN352" i="7"/>
  <c r="A350" i="11" s="1"/>
  <c r="C347" i="11"/>
  <c r="BO349" i="7"/>
  <c r="B347" i="11" s="1"/>
  <c r="BN349" i="7"/>
  <c r="A347" i="11" s="1"/>
  <c r="C330" i="11"/>
  <c r="BN332" i="7"/>
  <c r="A330" i="11" s="1"/>
  <c r="BO332" i="7"/>
  <c r="B330" i="11" s="1"/>
  <c r="C375" i="11"/>
  <c r="C382" i="11"/>
  <c r="BO384" i="7"/>
  <c r="B382" i="11" s="1"/>
  <c r="BN384" i="7"/>
  <c r="A382" i="11" s="1"/>
  <c r="AE209" i="3"/>
  <c r="AF61" i="3"/>
  <c r="E5" i="7" a="1"/>
  <c r="E5" i="7" s="1"/>
  <c r="E6" i="7" s="1" a="1"/>
  <c r="E6" i="7" s="1"/>
  <c r="AF151" i="3"/>
  <c r="AE260" i="3"/>
  <c r="AF110" i="3"/>
  <c r="AZ13" i="6"/>
  <c r="AY13" i="6"/>
  <c r="AX13" i="6"/>
  <c r="BA13" i="6" s="1"/>
  <c r="AF165" i="3"/>
  <c r="AF300" i="3"/>
  <c r="AE379" i="3"/>
  <c r="AE78" i="3"/>
  <c r="AE167" i="3"/>
  <c r="AE124" i="3"/>
  <c r="AE360" i="3"/>
  <c r="AF75" i="3"/>
  <c r="AF133" i="3"/>
  <c r="AE88" i="3"/>
  <c r="AF252" i="3"/>
  <c r="AF227" i="3"/>
  <c r="AF357" i="3"/>
  <c r="AE152" i="3"/>
  <c r="AE301" i="3"/>
  <c r="AF50" i="3"/>
  <c r="AF138" i="3"/>
  <c r="AE295" i="3"/>
  <c r="AF325" i="3"/>
  <c r="AF322" i="3"/>
  <c r="AF298" i="3"/>
  <c r="AF292" i="3"/>
  <c r="AE79" i="3"/>
  <c r="AF192" i="3"/>
  <c r="AF406" i="3"/>
  <c r="AF282" i="3"/>
  <c r="AF320" i="3"/>
  <c r="AE45" i="3"/>
  <c r="AF113" i="3"/>
  <c r="AE324" i="3"/>
  <c r="AF259" i="3"/>
  <c r="AF60" i="3"/>
  <c r="AF405" i="3"/>
  <c r="AF372" i="3"/>
  <c r="AF201" i="3"/>
  <c r="AF319" i="3"/>
  <c r="AE318" i="3"/>
  <c r="AF308" i="3"/>
  <c r="AF56" i="3"/>
  <c r="AE178" i="3"/>
  <c r="AE100" i="3"/>
  <c r="AF350" i="3"/>
  <c r="AE314" i="3"/>
  <c r="AE346" i="3"/>
  <c r="AE105" i="3"/>
  <c r="AE84" i="3"/>
  <c r="AE163" i="3"/>
  <c r="AE366" i="3"/>
  <c r="AE381" i="3"/>
  <c r="AF255" i="3"/>
  <c r="AE270" i="3"/>
  <c r="AF313" i="3"/>
  <c r="AF395" i="3"/>
  <c r="AF377" i="3"/>
  <c r="AF389" i="3"/>
  <c r="AE48" i="3"/>
  <c r="AE229" i="3"/>
  <c r="AE146" i="3"/>
  <c r="AE188" i="3"/>
  <c r="AF176" i="3"/>
  <c r="AE42" i="3"/>
  <c r="AE278" i="3"/>
  <c r="AE224" i="3"/>
  <c r="AE30" i="3"/>
  <c r="AE89" i="3"/>
  <c r="AV6" i="7"/>
  <c r="AE126" i="3"/>
  <c r="AE96" i="3"/>
  <c r="AE47" i="3"/>
  <c r="AF283" i="3"/>
  <c r="C8" i="11"/>
  <c r="BO10" i="7"/>
  <c r="B8" i="11" s="1"/>
  <c r="BN10" i="7"/>
  <c r="A8" i="11" s="1"/>
  <c r="C7" i="11"/>
  <c r="BO9" i="7"/>
  <c r="B7" i="11" s="1"/>
  <c r="BN9" i="7"/>
  <c r="A7" i="11" s="1"/>
  <c r="C20" i="11"/>
  <c r="BO22" i="7"/>
  <c r="B20" i="11" s="1"/>
  <c r="BN22" i="7"/>
  <c r="A20" i="11" s="1"/>
  <c r="C21" i="11"/>
  <c r="BO23" i="7"/>
  <c r="B21" i="11" s="1"/>
  <c r="BN23" i="7"/>
  <c r="A21" i="11" s="1"/>
  <c r="C37" i="11"/>
  <c r="BO39" i="7"/>
  <c r="B37" i="11" s="1"/>
  <c r="BN39" i="7"/>
  <c r="A37" i="11" s="1"/>
  <c r="C58" i="11"/>
  <c r="BO60" i="7"/>
  <c r="B58" i="11" s="1"/>
  <c r="BN60" i="7"/>
  <c r="A58" i="11" s="1"/>
  <c r="C60" i="11"/>
  <c r="BO62" i="7"/>
  <c r="B60" i="11" s="1"/>
  <c r="BN62" i="7"/>
  <c r="A60" i="11" s="1"/>
  <c r="C121" i="11"/>
  <c r="BO123" i="7"/>
  <c r="B121" i="11" s="1"/>
  <c r="BN123" i="7"/>
  <c r="A121" i="11" s="1"/>
  <c r="C63" i="11"/>
  <c r="BO65" i="7"/>
  <c r="B63" i="11" s="1"/>
  <c r="BN65" i="7"/>
  <c r="A63" i="11" s="1"/>
  <c r="C79" i="11"/>
  <c r="BO81" i="7"/>
  <c r="B79" i="11" s="1"/>
  <c r="BN81" i="7"/>
  <c r="A79" i="11" s="1"/>
  <c r="C95" i="11"/>
  <c r="BO97" i="7"/>
  <c r="B95" i="11" s="1"/>
  <c r="BN97" i="7"/>
  <c r="A95" i="11" s="1"/>
  <c r="C68" i="11"/>
  <c r="BO70" i="7"/>
  <c r="B68" i="11" s="1"/>
  <c r="BN70" i="7"/>
  <c r="A68" i="11" s="1"/>
  <c r="C84" i="11"/>
  <c r="BN86" i="7"/>
  <c r="A84" i="11" s="1"/>
  <c r="BO86" i="7"/>
  <c r="B84" i="11" s="1"/>
  <c r="C107" i="11"/>
  <c r="BO109" i="7"/>
  <c r="B107" i="11" s="1"/>
  <c r="BN109" i="7"/>
  <c r="A107" i="11" s="1"/>
  <c r="C112" i="11"/>
  <c r="BO114" i="7"/>
  <c r="B112" i="11" s="1"/>
  <c r="BN114" i="7"/>
  <c r="A112" i="11" s="1"/>
  <c r="C156" i="11"/>
  <c r="BO158" i="7"/>
  <c r="B156" i="11" s="1"/>
  <c r="BN158" i="7"/>
  <c r="A156" i="11" s="1"/>
  <c r="C114" i="11"/>
  <c r="BO116" i="7"/>
  <c r="B114" i="11" s="1"/>
  <c r="BN116" i="7"/>
  <c r="A114" i="11" s="1"/>
  <c r="C127" i="11"/>
  <c r="BN129" i="7"/>
  <c r="A127" i="11" s="1"/>
  <c r="BO129" i="7"/>
  <c r="B127" i="11" s="1"/>
  <c r="C159" i="11"/>
  <c r="BO161" i="7"/>
  <c r="B159" i="11" s="1"/>
  <c r="BN161" i="7"/>
  <c r="A159" i="11" s="1"/>
  <c r="C188" i="11"/>
  <c r="BO190" i="7"/>
  <c r="B188" i="11" s="1"/>
  <c r="BN190" i="7"/>
  <c r="A188" i="11" s="1"/>
  <c r="C145" i="11"/>
  <c r="BO147" i="7"/>
  <c r="B145" i="11" s="1"/>
  <c r="BN147" i="7"/>
  <c r="A145" i="11" s="1"/>
  <c r="C190" i="11"/>
  <c r="BO192" i="7"/>
  <c r="B190" i="11" s="1"/>
  <c r="BN192" i="7"/>
  <c r="A190" i="11" s="1"/>
  <c r="C179" i="11"/>
  <c r="BO181" i="7"/>
  <c r="B179" i="11" s="1"/>
  <c r="BN181" i="7"/>
  <c r="A179" i="11" s="1"/>
  <c r="C196" i="11"/>
  <c r="BO198" i="7"/>
  <c r="B196" i="11" s="1"/>
  <c r="BN198" i="7"/>
  <c r="A196" i="11" s="1"/>
  <c r="C173" i="11"/>
  <c r="BN175" i="7"/>
  <c r="A173" i="11" s="1"/>
  <c r="BO175" i="7"/>
  <c r="B173" i="11" s="1"/>
  <c r="C154" i="11"/>
  <c r="BN156" i="7"/>
  <c r="A154" i="11" s="1"/>
  <c r="BO156" i="7"/>
  <c r="B154" i="11" s="1"/>
  <c r="C198" i="11"/>
  <c r="BN200" i="7"/>
  <c r="A198" i="11" s="1"/>
  <c r="BO200" i="7"/>
  <c r="B198" i="11" s="1"/>
  <c r="C218" i="11"/>
  <c r="BN220" i="7"/>
  <c r="A218" i="11" s="1"/>
  <c r="BO220" i="7"/>
  <c r="B218" i="11" s="1"/>
  <c r="C207" i="11"/>
  <c r="BO209" i="7"/>
  <c r="B207" i="11" s="1"/>
  <c r="BN209" i="7"/>
  <c r="A207" i="11" s="1"/>
  <c r="C240" i="11"/>
  <c r="BO242" i="7"/>
  <c r="B240" i="11" s="1"/>
  <c r="BN242" i="7"/>
  <c r="A240" i="11" s="1"/>
  <c r="C255" i="11"/>
  <c r="BO257" i="7"/>
  <c r="B255" i="11" s="1"/>
  <c r="BN257" i="7"/>
  <c r="A255" i="11" s="1"/>
  <c r="C244" i="11"/>
  <c r="BO246" i="7"/>
  <c r="B244" i="11" s="1"/>
  <c r="BN246" i="7"/>
  <c r="A244" i="11" s="1"/>
  <c r="C259" i="11"/>
  <c r="BN261" i="7"/>
  <c r="A259" i="11" s="1"/>
  <c r="BO261" i="7"/>
  <c r="B259" i="11" s="1"/>
  <c r="C271" i="11"/>
  <c r="BO273" i="7"/>
  <c r="B271" i="11" s="1"/>
  <c r="BN273" i="7"/>
  <c r="A271" i="11" s="1"/>
  <c r="C265" i="11"/>
  <c r="BN267" i="7"/>
  <c r="A265" i="11" s="1"/>
  <c r="BO267" i="7"/>
  <c r="B265" i="11" s="1"/>
  <c r="C283" i="11"/>
  <c r="BO285" i="7"/>
  <c r="B283" i="11" s="1"/>
  <c r="BN285" i="7"/>
  <c r="A283" i="11" s="1"/>
  <c r="C288" i="11"/>
  <c r="BN290" i="7"/>
  <c r="A288" i="11" s="1"/>
  <c r="BO290" i="7"/>
  <c r="B288" i="11" s="1"/>
  <c r="C300" i="11"/>
  <c r="BN302" i="7"/>
  <c r="A300" i="11" s="1"/>
  <c r="BO302" i="7"/>
  <c r="B300" i="11" s="1"/>
  <c r="C315" i="11"/>
  <c r="BO317" i="7"/>
  <c r="B315" i="11" s="1"/>
  <c r="BN317" i="7"/>
  <c r="A315" i="11" s="1"/>
  <c r="C320" i="11"/>
  <c r="BO322" i="7"/>
  <c r="B320" i="11" s="1"/>
  <c r="BN322" i="7"/>
  <c r="A320" i="11" s="1"/>
  <c r="C356" i="11"/>
  <c r="BO358" i="7"/>
  <c r="B356" i="11" s="1"/>
  <c r="BN358" i="7"/>
  <c r="A356" i="11" s="1"/>
  <c r="C328" i="11"/>
  <c r="BN330" i="7"/>
  <c r="A328" i="11" s="1"/>
  <c r="BO330" i="7"/>
  <c r="B328" i="11" s="1"/>
  <c r="C341" i="11"/>
  <c r="BO343" i="7"/>
  <c r="B341" i="11" s="1"/>
  <c r="BN343" i="7"/>
  <c r="A341" i="11" s="1"/>
  <c r="C354" i="11"/>
  <c r="BN356" i="7"/>
  <c r="A354" i="11" s="1"/>
  <c r="BO356" i="7"/>
  <c r="B354" i="11" s="1"/>
  <c r="C343" i="11"/>
  <c r="BO345" i="7"/>
  <c r="B343" i="11" s="1"/>
  <c r="BN345" i="7"/>
  <c r="A343" i="11" s="1"/>
  <c r="C365" i="11"/>
  <c r="BO367" i="7"/>
  <c r="B365" i="11" s="1"/>
  <c r="BN367" i="7"/>
  <c r="A365" i="11" s="1"/>
  <c r="C378" i="11"/>
  <c r="BO380" i="7"/>
  <c r="B378" i="11" s="1"/>
  <c r="BN380" i="7"/>
  <c r="A378" i="11" s="1"/>
  <c r="C372" i="11"/>
  <c r="BO374" i="7"/>
  <c r="B372" i="11" s="1"/>
  <c r="BN374" i="7"/>
  <c r="A372" i="11" s="1"/>
  <c r="AE204" i="3"/>
  <c r="AE329" i="3"/>
  <c r="AE281" i="3"/>
  <c r="AE187" i="3"/>
  <c r="AZ14" i="6"/>
  <c r="AY14" i="6"/>
  <c r="AX14" i="6"/>
  <c r="BA14" i="6" s="1"/>
  <c r="AF274" i="3"/>
  <c r="AF123" i="3"/>
  <c r="AF74" i="3"/>
  <c r="AZ15" i="6"/>
  <c r="AY15" i="6"/>
  <c r="AX15" i="6"/>
  <c r="BA15" i="6" s="1"/>
  <c r="AF331" i="3"/>
  <c r="AF344" i="3"/>
  <c r="AF306" i="3"/>
  <c r="AF404" i="3"/>
  <c r="AF58" i="3"/>
  <c r="AE82" i="3"/>
  <c r="AF131" i="3"/>
  <c r="AF245" i="3"/>
  <c r="AE198" i="3"/>
  <c r="AF129" i="3"/>
  <c r="AE200" i="3"/>
  <c r="AF157" i="3"/>
  <c r="AF106" i="3"/>
  <c r="AF136" i="3"/>
  <c r="AE307" i="3"/>
  <c r="AE347" i="3"/>
  <c r="AE338" i="3"/>
  <c r="AE206" i="3"/>
  <c r="AE195" i="3"/>
  <c r="AF373" i="3"/>
  <c r="AE67" i="3"/>
  <c r="AF147" i="3"/>
  <c r="AE368" i="3"/>
  <c r="AF214" i="3"/>
  <c r="AE92" i="3"/>
  <c r="AE102" i="3"/>
  <c r="AE374" i="3"/>
  <c r="AE189" i="3"/>
  <c r="AE97" i="3"/>
  <c r="AE234" i="3"/>
  <c r="AF361" i="3"/>
  <c r="AE293" i="3"/>
  <c r="AE240" i="3"/>
  <c r="AF284" i="3"/>
  <c r="AE173" i="3"/>
  <c r="AE246" i="3"/>
  <c r="AE408" i="3"/>
  <c r="AE302" i="3"/>
  <c r="AF330" i="3"/>
  <c r="AE116" i="3"/>
  <c r="AE202" i="3"/>
  <c r="AE76" i="3"/>
  <c r="C10" i="11"/>
  <c r="BO12" i="7"/>
  <c r="B10" i="11" s="1"/>
  <c r="BN12" i="7"/>
  <c r="A10" i="11" s="1"/>
  <c r="C9" i="11"/>
  <c r="BO11" i="7"/>
  <c r="B9" i="11" s="1"/>
  <c r="BN11" i="7"/>
  <c r="A9" i="11" s="1"/>
  <c r="C22" i="11"/>
  <c r="BO24" i="7"/>
  <c r="B22" i="11" s="1"/>
  <c r="BN24" i="7"/>
  <c r="A22" i="11" s="1"/>
  <c r="C38" i="11"/>
  <c r="BO40" i="7"/>
  <c r="B38" i="11" s="1"/>
  <c r="BN40" i="7"/>
  <c r="A38" i="11" s="1"/>
  <c r="C54" i="11"/>
  <c r="BO56" i="7"/>
  <c r="B54" i="11" s="1"/>
  <c r="BN56" i="7"/>
  <c r="A54" i="11" s="1"/>
  <c r="C27" i="11"/>
  <c r="BO29" i="7"/>
  <c r="B27" i="11" s="1"/>
  <c r="BN29" i="7"/>
  <c r="A27" i="11" s="1"/>
  <c r="C43" i="11"/>
  <c r="BO45" i="7"/>
  <c r="B43" i="11" s="1"/>
  <c r="BN45" i="7"/>
  <c r="A43" i="11" s="1"/>
  <c r="C32" i="11"/>
  <c r="BO34" i="7"/>
  <c r="B32" i="11" s="1"/>
  <c r="BN34" i="7"/>
  <c r="A32" i="11" s="1"/>
  <c r="C48" i="11"/>
  <c r="BO50" i="7"/>
  <c r="B48" i="11" s="1"/>
  <c r="BN50" i="7"/>
  <c r="A48" i="11" s="1"/>
  <c r="C65" i="11"/>
  <c r="BO67" i="7"/>
  <c r="B65" i="11" s="1"/>
  <c r="BN67" i="7"/>
  <c r="A65" i="11" s="1"/>
  <c r="C81" i="11"/>
  <c r="BO83" i="7"/>
  <c r="B81" i="11" s="1"/>
  <c r="BN83" i="7"/>
  <c r="A81" i="11" s="1"/>
  <c r="C100" i="11"/>
  <c r="BO102" i="7"/>
  <c r="B100" i="11" s="1"/>
  <c r="BN102" i="7"/>
  <c r="A100" i="11" s="1"/>
  <c r="C62" i="11"/>
  <c r="BO64" i="7"/>
  <c r="B62" i="11" s="1"/>
  <c r="BN64" i="7"/>
  <c r="A62" i="11" s="1"/>
  <c r="C78" i="11"/>
  <c r="BO80" i="7"/>
  <c r="B78" i="11" s="1"/>
  <c r="BN80" i="7"/>
  <c r="A78" i="11" s="1"/>
  <c r="C94" i="11"/>
  <c r="BO96" i="7"/>
  <c r="B94" i="11" s="1"/>
  <c r="BN96" i="7"/>
  <c r="A94" i="11" s="1"/>
  <c r="C102" i="11"/>
  <c r="BO104" i="7"/>
  <c r="B102" i="11" s="1"/>
  <c r="BN104" i="7"/>
  <c r="A102" i="11" s="1"/>
  <c r="C116" i="11"/>
  <c r="BO118" i="7"/>
  <c r="B116" i="11" s="1"/>
  <c r="BN118" i="7"/>
  <c r="A116" i="11" s="1"/>
  <c r="C183" i="11"/>
  <c r="BO185" i="7"/>
  <c r="B183" i="11" s="1"/>
  <c r="BN185" i="7"/>
  <c r="A183" i="11" s="1"/>
  <c r="C195" i="11"/>
  <c r="BO197" i="7"/>
  <c r="B195" i="11" s="1"/>
  <c r="BN197" i="7"/>
  <c r="A195" i="11" s="1"/>
  <c r="C169" i="11"/>
  <c r="BO171" i="7"/>
  <c r="B169" i="11" s="1"/>
  <c r="BN171" i="7"/>
  <c r="A169" i="11" s="1"/>
  <c r="C150" i="11"/>
  <c r="BO152" i="7"/>
  <c r="B150" i="11" s="1"/>
  <c r="BN152" i="7"/>
  <c r="A150" i="11" s="1"/>
  <c r="C193" i="11"/>
  <c r="BN195" i="7"/>
  <c r="A193" i="11" s="1"/>
  <c r="BO195" i="7"/>
  <c r="B193" i="11" s="1"/>
  <c r="C139" i="11"/>
  <c r="BO141" i="7"/>
  <c r="B139" i="11" s="1"/>
  <c r="BN141" i="7"/>
  <c r="A139" i="11" s="1"/>
  <c r="C152" i="11"/>
  <c r="BO154" i="7"/>
  <c r="B152" i="11" s="1"/>
  <c r="BN154" i="7"/>
  <c r="A152" i="11" s="1"/>
  <c r="C133" i="11"/>
  <c r="BO135" i="7"/>
  <c r="B133" i="11" s="1"/>
  <c r="BN135" i="7"/>
  <c r="A133" i="11" s="1"/>
  <c r="C197" i="11"/>
  <c r="BN199" i="7"/>
  <c r="A197" i="11" s="1"/>
  <c r="BO199" i="7"/>
  <c r="B197" i="11" s="1"/>
  <c r="C178" i="11"/>
  <c r="BN180" i="7"/>
  <c r="A178" i="11" s="1"/>
  <c r="BO180" i="7"/>
  <c r="B178" i="11" s="1"/>
  <c r="C221" i="11"/>
  <c r="BO223" i="7"/>
  <c r="B221" i="11" s="1"/>
  <c r="BN223" i="7"/>
  <c r="A221" i="11" s="1"/>
  <c r="C217" i="11"/>
  <c r="BO219" i="7"/>
  <c r="B217" i="11" s="1"/>
  <c r="BN219" i="7"/>
  <c r="A217" i="11" s="1"/>
  <c r="C203" i="11"/>
  <c r="BN205" i="7"/>
  <c r="A203" i="11" s="1"/>
  <c r="BO205" i="7"/>
  <c r="B203" i="11" s="1"/>
  <c r="C213" i="11"/>
  <c r="BO215" i="7"/>
  <c r="B213" i="11" s="1"/>
  <c r="BN215" i="7"/>
  <c r="A213" i="11" s="1"/>
  <c r="C227" i="11"/>
  <c r="BO229" i="7"/>
  <c r="B227" i="11" s="1"/>
  <c r="BN229" i="7"/>
  <c r="A227" i="11" s="1"/>
  <c r="C229" i="11"/>
  <c r="BO231" i="7"/>
  <c r="B229" i="11" s="1"/>
  <c r="BN231" i="7"/>
  <c r="A229" i="11" s="1"/>
  <c r="C234" i="11"/>
  <c r="BO236" i="7"/>
  <c r="B234" i="11" s="1"/>
  <c r="BN236" i="7"/>
  <c r="A234" i="11" s="1"/>
  <c r="C241" i="11"/>
  <c r="BN243" i="7"/>
  <c r="A241" i="11" s="1"/>
  <c r="BO243" i="7"/>
  <c r="B241" i="11" s="1"/>
  <c r="C246" i="11"/>
  <c r="BO248" i="7"/>
  <c r="B246" i="11" s="1"/>
  <c r="BN248" i="7"/>
  <c r="A246" i="11" s="1"/>
  <c r="C266" i="11"/>
  <c r="BO268" i="7"/>
  <c r="B266" i="11" s="1"/>
  <c r="BN268" i="7"/>
  <c r="A266" i="11" s="1"/>
  <c r="C284" i="11"/>
  <c r="BO286" i="7"/>
  <c r="B284" i="11" s="1"/>
  <c r="BN286" i="7"/>
  <c r="A284" i="11" s="1"/>
  <c r="C289" i="11"/>
  <c r="BO291" i="7"/>
  <c r="B289" i="11" s="1"/>
  <c r="BN291" i="7"/>
  <c r="A289" i="11" s="1"/>
  <c r="C278" i="11"/>
  <c r="BO280" i="7"/>
  <c r="B278" i="11" s="1"/>
  <c r="BN280" i="7"/>
  <c r="A278" i="11" s="1"/>
  <c r="C261" i="11"/>
  <c r="BN263" i="7"/>
  <c r="A261" i="11" s="1"/>
  <c r="BO263" i="7"/>
  <c r="B261" i="11" s="1"/>
  <c r="C324" i="11"/>
  <c r="BO326" i="7"/>
  <c r="B324" i="11" s="1"/>
  <c r="BN326" i="7"/>
  <c r="A324" i="11" s="1"/>
  <c r="C313" i="11"/>
  <c r="BO315" i="7"/>
  <c r="B313" i="11" s="1"/>
  <c r="BN315" i="7"/>
  <c r="A313" i="11" s="1"/>
  <c r="C331" i="11"/>
  <c r="BO333" i="7"/>
  <c r="B331" i="11" s="1"/>
  <c r="BN333" i="7"/>
  <c r="A331" i="11" s="1"/>
  <c r="C317" i="11"/>
  <c r="BO319" i="7"/>
  <c r="B317" i="11" s="1"/>
  <c r="BN319" i="7"/>
  <c r="A317" i="11" s="1"/>
  <c r="C306" i="11"/>
  <c r="BN308" i="7"/>
  <c r="A306" i="11" s="1"/>
  <c r="BO308" i="7"/>
  <c r="B306" i="11" s="1"/>
  <c r="C295" i="11"/>
  <c r="BN297" i="7"/>
  <c r="A295" i="11" s="1"/>
  <c r="BO297" i="7"/>
  <c r="B295" i="11" s="1"/>
  <c r="C334" i="11"/>
  <c r="BO336" i="7"/>
  <c r="B334" i="11" s="1"/>
  <c r="BN336" i="7"/>
  <c r="A334" i="11" s="1"/>
  <c r="C359" i="11"/>
  <c r="BO361" i="7"/>
  <c r="B359" i="11" s="1"/>
  <c r="BN361" i="7"/>
  <c r="A359" i="11" s="1"/>
  <c r="C352" i="11"/>
  <c r="BO354" i="7"/>
  <c r="B352" i="11" s="1"/>
  <c r="BN354" i="7"/>
  <c r="A352" i="11" s="1"/>
  <c r="C369" i="11"/>
  <c r="BO371" i="7"/>
  <c r="B369" i="11" s="1"/>
  <c r="BN371" i="7"/>
  <c r="A369" i="11" s="1"/>
  <c r="C379" i="11"/>
  <c r="BN381" i="7"/>
  <c r="A379" i="11" s="1"/>
  <c r="BO381" i="7"/>
  <c r="B379" i="11" s="1"/>
  <c r="AE226" i="3"/>
  <c r="AE148" i="3"/>
  <c r="AE317" i="3"/>
  <c r="AE365" i="3"/>
  <c r="AE409" i="3"/>
  <c r="AE257" i="3"/>
  <c r="AF154" i="3"/>
  <c r="AE398" i="3"/>
  <c r="AE94" i="3"/>
  <c r="AE220" i="3"/>
  <c r="AE81" i="3"/>
  <c r="AE185" i="3"/>
  <c r="AE177" i="3"/>
  <c r="AE289" i="3"/>
  <c r="AE208" i="3"/>
  <c r="AE121" i="3"/>
  <c r="A8" i="7" a="1"/>
  <c r="A8" i="7" s="1"/>
  <c r="AF142" i="3"/>
  <c r="AE205" i="3"/>
  <c r="AE44" i="3"/>
  <c r="AE135" i="3"/>
  <c r="AE340" i="3"/>
  <c r="C14" i="11"/>
  <c r="BO16" i="7"/>
  <c r="B14" i="11" s="1"/>
  <c r="BN16" i="7"/>
  <c r="A14" i="11" s="1"/>
  <c r="C25" i="11"/>
  <c r="BO27" i="7"/>
  <c r="B25" i="11" s="1"/>
  <c r="BN27" i="7"/>
  <c r="A25" i="11" s="1"/>
  <c r="C41" i="11"/>
  <c r="BO43" i="7"/>
  <c r="B41" i="11" s="1"/>
  <c r="BN43" i="7"/>
  <c r="A41" i="11" s="1"/>
  <c r="C56" i="11"/>
  <c r="BO58" i="7"/>
  <c r="B56" i="11" s="1"/>
  <c r="BN58" i="7"/>
  <c r="A56" i="11" s="1"/>
  <c r="C67" i="11"/>
  <c r="BN69" i="7"/>
  <c r="A67" i="11" s="1"/>
  <c r="BO69" i="7"/>
  <c r="B67" i="11" s="1"/>
  <c r="C83" i="11"/>
  <c r="BO85" i="7"/>
  <c r="B83" i="11" s="1"/>
  <c r="BN85" i="7"/>
  <c r="A83" i="11" s="1"/>
  <c r="C97" i="11"/>
  <c r="BO99" i="7"/>
  <c r="B97" i="11" s="1"/>
  <c r="BN99" i="7"/>
  <c r="A97" i="11" s="1"/>
  <c r="C72" i="11"/>
  <c r="BO74" i="7"/>
  <c r="B72" i="11" s="1"/>
  <c r="BN74" i="7"/>
  <c r="A72" i="11" s="1"/>
  <c r="C88" i="11"/>
  <c r="BN90" i="7"/>
  <c r="A88" i="11" s="1"/>
  <c r="BO90" i="7"/>
  <c r="B88" i="11" s="1"/>
  <c r="C126" i="11"/>
  <c r="BO128" i="7"/>
  <c r="B126" i="11" s="1"/>
  <c r="BN128" i="7"/>
  <c r="A126" i="11" s="1"/>
  <c r="C180" i="11"/>
  <c r="BO182" i="7"/>
  <c r="B180" i="11" s="1"/>
  <c r="BN182" i="7"/>
  <c r="A180" i="11" s="1"/>
  <c r="C117" i="11"/>
  <c r="BO119" i="7"/>
  <c r="B117" i="11" s="1"/>
  <c r="BN119" i="7"/>
  <c r="A117" i="11" s="1"/>
  <c r="C98" i="11"/>
  <c r="BO100" i="7"/>
  <c r="B98" i="11" s="1"/>
  <c r="BN100" i="7"/>
  <c r="A98" i="11" s="1"/>
  <c r="C111" i="11"/>
  <c r="BN113" i="7"/>
  <c r="A111" i="11" s="1"/>
  <c r="BO113" i="7"/>
  <c r="B111" i="11" s="1"/>
  <c r="C148" i="11"/>
  <c r="BO150" i="7"/>
  <c r="B148" i="11" s="1"/>
  <c r="BN150" i="7"/>
  <c r="A148" i="11" s="1"/>
  <c r="C143" i="11"/>
  <c r="BO145" i="7"/>
  <c r="B143" i="11" s="1"/>
  <c r="BN145" i="7"/>
  <c r="A143" i="11" s="1"/>
  <c r="C129" i="11"/>
  <c r="BO131" i="7"/>
  <c r="B129" i="11" s="1"/>
  <c r="BN131" i="7"/>
  <c r="A129" i="11" s="1"/>
  <c r="C174" i="11"/>
  <c r="BO176" i="7"/>
  <c r="B174" i="11" s="1"/>
  <c r="BN176" i="7"/>
  <c r="A174" i="11" s="1"/>
  <c r="C163" i="11"/>
  <c r="BO165" i="7"/>
  <c r="B163" i="11" s="1"/>
  <c r="BN165" i="7"/>
  <c r="A163" i="11" s="1"/>
  <c r="C176" i="11"/>
  <c r="BO178" i="7"/>
  <c r="B176" i="11" s="1"/>
  <c r="BN178" i="7"/>
  <c r="A176" i="11" s="1"/>
  <c r="C157" i="11"/>
  <c r="BN159" i="7"/>
  <c r="A157" i="11" s="1"/>
  <c r="BO159" i="7"/>
  <c r="B157" i="11" s="1"/>
  <c r="C138" i="11"/>
  <c r="BN140" i="7"/>
  <c r="A138" i="11" s="1"/>
  <c r="BO140" i="7"/>
  <c r="B138" i="11" s="1"/>
  <c r="C216" i="11"/>
  <c r="BO218" i="7"/>
  <c r="B216" i="11" s="1"/>
  <c r="BN218" i="7"/>
  <c r="A216" i="11" s="1"/>
  <c r="C202" i="11"/>
  <c r="BN204" i="7"/>
  <c r="A202" i="11" s="1"/>
  <c r="BO204" i="7"/>
  <c r="B202" i="11" s="1"/>
  <c r="C251" i="11"/>
  <c r="BO253" i="7"/>
  <c r="B251" i="11" s="1"/>
  <c r="BN253" i="7"/>
  <c r="A251" i="11" s="1"/>
  <c r="C253" i="11"/>
  <c r="BO255" i="7"/>
  <c r="B253" i="11" s="1"/>
  <c r="BN255" i="7"/>
  <c r="A253" i="11" s="1"/>
  <c r="C239" i="11"/>
  <c r="BO241" i="7"/>
  <c r="B239" i="11" s="1"/>
  <c r="BN241" i="7"/>
  <c r="A239" i="11" s="1"/>
  <c r="C228" i="11"/>
  <c r="BO230" i="7"/>
  <c r="B228" i="11" s="1"/>
  <c r="BN230" i="7"/>
  <c r="A228" i="11" s="1"/>
  <c r="C290" i="11"/>
  <c r="BO292" i="7"/>
  <c r="B290" i="11" s="1"/>
  <c r="BN292" i="7"/>
  <c r="A290" i="11" s="1"/>
  <c r="C267" i="11"/>
  <c r="BO269" i="7"/>
  <c r="B267" i="11" s="1"/>
  <c r="BN269" i="7"/>
  <c r="A267" i="11" s="1"/>
  <c r="C272" i="11"/>
  <c r="BN274" i="7"/>
  <c r="A272" i="11" s="1"/>
  <c r="BO274" i="7"/>
  <c r="B272" i="11" s="1"/>
  <c r="C285" i="11"/>
  <c r="BO287" i="7"/>
  <c r="B285" i="11" s="1"/>
  <c r="BN287" i="7"/>
  <c r="A285" i="11" s="1"/>
  <c r="C310" i="11"/>
  <c r="BO312" i="7"/>
  <c r="B310" i="11" s="1"/>
  <c r="BN312" i="7"/>
  <c r="A310" i="11" s="1"/>
  <c r="C299" i="11"/>
  <c r="BN301" i="7"/>
  <c r="A299" i="11" s="1"/>
  <c r="BO301" i="7"/>
  <c r="B299" i="11" s="1"/>
  <c r="C304" i="11"/>
  <c r="BO306" i="7"/>
  <c r="B304" i="11" s="1"/>
  <c r="BN306" i="7"/>
  <c r="A304" i="11" s="1"/>
  <c r="C319" i="11"/>
  <c r="BO321" i="7"/>
  <c r="B319" i="11" s="1"/>
  <c r="BN321" i="7"/>
  <c r="A319" i="11" s="1"/>
  <c r="C340" i="11"/>
  <c r="BO342" i="7"/>
  <c r="B340" i="11" s="1"/>
  <c r="BN342" i="7"/>
  <c r="A340" i="11" s="1"/>
  <c r="C345" i="11"/>
  <c r="BO347" i="7"/>
  <c r="B345" i="11" s="1"/>
  <c r="BN347" i="7"/>
  <c r="A345" i="11" s="1"/>
  <c r="C355" i="11"/>
  <c r="BO357" i="7"/>
  <c r="B355" i="11" s="1"/>
  <c r="BN357" i="7"/>
  <c r="A355" i="11" s="1"/>
  <c r="C338" i="11"/>
  <c r="BN340" i="7"/>
  <c r="A338" i="11" s="1"/>
  <c r="BO340" i="7"/>
  <c r="B338" i="11" s="1"/>
  <c r="C327" i="11"/>
  <c r="BO329" i="7"/>
  <c r="B327" i="11" s="1"/>
  <c r="BN329" i="7"/>
  <c r="A327" i="11" s="1"/>
  <c r="C362" i="11"/>
  <c r="BN364" i="7"/>
  <c r="A362" i="11" s="1"/>
  <c r="BO364" i="7"/>
  <c r="B362" i="11" s="1"/>
  <c r="C383" i="11"/>
  <c r="BO385" i="7"/>
  <c r="B383" i="11" s="1"/>
  <c r="BN385" i="7"/>
  <c r="A383" i="11" s="1"/>
  <c r="C360" i="11"/>
  <c r="BO362" i="7"/>
  <c r="B360" i="11" s="1"/>
  <c r="BN362" i="7"/>
  <c r="A360" i="11" s="1"/>
  <c r="AE355" i="3"/>
  <c r="AE353" i="3"/>
  <c r="AE93" i="3"/>
  <c r="AE54" i="3"/>
  <c r="AZ17" i="6"/>
  <c r="AY17" i="6"/>
  <c r="AX17" i="6"/>
  <c r="BA17" i="6" s="1"/>
  <c r="AE254" i="3"/>
  <c r="AE258" i="3"/>
  <c r="AE334" i="3"/>
  <c r="AZ10" i="6"/>
  <c r="AY10" i="6"/>
  <c r="AX10" i="6"/>
  <c r="BA10" i="6" s="1"/>
  <c r="BD12" i="6" s="1"/>
  <c r="J14" i="3" s="1"/>
  <c r="AE118" i="3"/>
  <c r="AE77" i="3"/>
  <c r="AE268" i="3"/>
  <c r="G3" i="7"/>
  <c r="L3" i="7"/>
  <c r="K3" i="7"/>
  <c r="I3" i="7"/>
  <c r="M3" i="7"/>
  <c r="J3" i="7"/>
  <c r="H3" i="7"/>
  <c r="F3" i="7"/>
  <c r="AE266" i="3"/>
  <c r="AE412" i="3"/>
  <c r="AE410" i="3"/>
  <c r="AE69" i="3"/>
  <c r="AD29" i="3"/>
  <c r="AC29" i="3"/>
  <c r="AE108" i="3"/>
  <c r="AE399" i="3"/>
  <c r="AE112" i="3"/>
  <c r="AE230" i="3"/>
  <c r="AE249" i="3"/>
  <c r="AE196" i="3"/>
  <c r="AE267" i="3"/>
  <c r="AE125" i="3"/>
  <c r="AE120" i="3"/>
  <c r="AE383" i="3"/>
  <c r="AE34" i="3"/>
  <c r="AE73" i="3"/>
  <c r="AE72" i="3"/>
  <c r="AE247" i="3"/>
  <c r="AE109" i="3"/>
  <c r="AE111" i="3"/>
  <c r="AE101" i="3"/>
  <c r="AE83" i="3"/>
  <c r="AE149" i="3"/>
  <c r="AE327" i="3"/>
  <c r="AE315" i="3"/>
  <c r="AE382" i="3"/>
  <c r="AE139" i="3"/>
  <c r="AE218" i="3"/>
  <c r="AE38" i="3"/>
  <c r="AE161" i="3"/>
  <c r="AE363" i="3"/>
  <c r="AE41" i="3"/>
  <c r="AV4" i="7"/>
  <c r="AE392" i="3"/>
  <c r="AE387" i="3"/>
  <c r="AE248" i="3"/>
  <c r="AE40" i="3"/>
  <c r="AE181" i="3"/>
  <c r="AE66" i="3"/>
  <c r="C15" i="11"/>
  <c r="BO17" i="7"/>
  <c r="B15" i="11" s="1"/>
  <c r="BN17" i="7"/>
  <c r="A15" i="11" s="1"/>
  <c r="C12" i="11"/>
  <c r="BO14" i="7"/>
  <c r="B12" i="11" s="1"/>
  <c r="BN14" i="7"/>
  <c r="A12" i="11" s="1"/>
  <c r="C26" i="11"/>
  <c r="BO28" i="7"/>
  <c r="B26" i="11" s="1"/>
  <c r="BN28" i="7"/>
  <c r="A26" i="11" s="1"/>
  <c r="C42" i="11"/>
  <c r="BO44" i="7"/>
  <c r="B42" i="11" s="1"/>
  <c r="BN44" i="7"/>
  <c r="A42" i="11" s="1"/>
  <c r="C31" i="11"/>
  <c r="BO33" i="7"/>
  <c r="B31" i="11" s="1"/>
  <c r="BN33" i="7"/>
  <c r="A31" i="11" s="1"/>
  <c r="C47" i="11"/>
  <c r="BO49" i="7"/>
  <c r="B47" i="11" s="1"/>
  <c r="BN49" i="7"/>
  <c r="A47" i="11" s="1"/>
  <c r="C36" i="11"/>
  <c r="BO38" i="7"/>
  <c r="B36" i="11" s="1"/>
  <c r="BN38" i="7"/>
  <c r="A36" i="11" s="1"/>
  <c r="C53" i="11"/>
  <c r="BO55" i="7"/>
  <c r="B53" i="11" s="1"/>
  <c r="BN55" i="7"/>
  <c r="A53" i="11" s="1"/>
  <c r="C69" i="11"/>
  <c r="BO71" i="7"/>
  <c r="B69" i="11" s="1"/>
  <c r="BN71" i="7"/>
  <c r="A69" i="11" s="1"/>
  <c r="C85" i="11"/>
  <c r="BO87" i="7"/>
  <c r="B85" i="11" s="1"/>
  <c r="BN87" i="7"/>
  <c r="A85" i="11" s="1"/>
  <c r="C66" i="11"/>
  <c r="BO68" i="7"/>
  <c r="B66" i="11" s="1"/>
  <c r="BN68" i="7"/>
  <c r="A66" i="11" s="1"/>
  <c r="C82" i="11"/>
  <c r="BO84" i="7"/>
  <c r="B82" i="11" s="1"/>
  <c r="BN84" i="7"/>
  <c r="A82" i="11" s="1"/>
  <c r="C99" i="11"/>
  <c r="BO101" i="7"/>
  <c r="B99" i="11" s="1"/>
  <c r="BN101" i="7"/>
  <c r="A99" i="11" s="1"/>
  <c r="C115" i="11"/>
  <c r="BO117" i="7"/>
  <c r="B115" i="11" s="1"/>
  <c r="BN117" i="7"/>
  <c r="A115" i="11" s="1"/>
  <c r="C120" i="11"/>
  <c r="BO122" i="7"/>
  <c r="B120" i="11" s="1"/>
  <c r="BN122" i="7"/>
  <c r="A120" i="11" s="1"/>
  <c r="C122" i="11"/>
  <c r="BO124" i="7"/>
  <c r="B122" i="11" s="1"/>
  <c r="BN124" i="7"/>
  <c r="A122" i="11" s="1"/>
  <c r="C167" i="11"/>
  <c r="BO169" i="7"/>
  <c r="B167" i="11" s="1"/>
  <c r="BN169" i="7"/>
  <c r="A167" i="11" s="1"/>
  <c r="C153" i="11"/>
  <c r="BO155" i="7"/>
  <c r="B153" i="11" s="1"/>
  <c r="BN155" i="7"/>
  <c r="A153" i="11" s="1"/>
  <c r="C134" i="11"/>
  <c r="BN136" i="7"/>
  <c r="A134" i="11" s="1"/>
  <c r="BO136" i="7"/>
  <c r="B134" i="11" s="1"/>
  <c r="C201" i="11"/>
  <c r="BO203" i="7"/>
  <c r="B201" i="11" s="1"/>
  <c r="BN203" i="7"/>
  <c r="A201" i="11" s="1"/>
  <c r="C187" i="11"/>
  <c r="BO189" i="7"/>
  <c r="B187" i="11" s="1"/>
  <c r="BN189" i="7"/>
  <c r="A187" i="11" s="1"/>
  <c r="C181" i="11"/>
  <c r="BN183" i="7"/>
  <c r="A181" i="11" s="1"/>
  <c r="BO183" i="7"/>
  <c r="B181" i="11" s="1"/>
  <c r="C162" i="11"/>
  <c r="BN164" i="7"/>
  <c r="A162" i="11" s="1"/>
  <c r="BO164" i="7"/>
  <c r="B162" i="11" s="1"/>
  <c r="C204" i="11"/>
  <c r="BO206" i="7"/>
  <c r="B204" i="11" s="1"/>
  <c r="BN206" i="7"/>
  <c r="A204" i="11" s="1"/>
  <c r="C206" i="11"/>
  <c r="BO208" i="7"/>
  <c r="B206" i="11" s="1"/>
  <c r="BN208" i="7"/>
  <c r="A206" i="11" s="1"/>
  <c r="C222" i="11"/>
  <c r="BN224" i="7"/>
  <c r="A222" i="11" s="1"/>
  <c r="BO224" i="7"/>
  <c r="B222" i="11" s="1"/>
  <c r="C220" i="11"/>
  <c r="BO222" i="7"/>
  <c r="B220" i="11" s="1"/>
  <c r="BN222" i="7"/>
  <c r="A220" i="11" s="1"/>
  <c r="C215" i="11"/>
  <c r="BO217" i="7"/>
  <c r="B215" i="11" s="1"/>
  <c r="BN217" i="7"/>
  <c r="A215" i="11" s="1"/>
  <c r="C248" i="11"/>
  <c r="BO250" i="7"/>
  <c r="B248" i="11" s="1"/>
  <c r="BN250" i="7"/>
  <c r="A248" i="11" s="1"/>
  <c r="C258" i="11"/>
  <c r="BO260" i="7"/>
  <c r="B258" i="11" s="1"/>
  <c r="BN260" i="7"/>
  <c r="A258" i="11" s="1"/>
  <c r="C252" i="11"/>
  <c r="BO254" i="7"/>
  <c r="B252" i="11" s="1"/>
  <c r="BN254" i="7"/>
  <c r="A252" i="11" s="1"/>
  <c r="C230" i="11"/>
  <c r="BN232" i="7"/>
  <c r="A230" i="11" s="1"/>
  <c r="BO232" i="7"/>
  <c r="B230" i="11" s="1"/>
  <c r="C279" i="11"/>
  <c r="BO281" i="7"/>
  <c r="B279" i="11" s="1"/>
  <c r="BN281" i="7"/>
  <c r="A279" i="11" s="1"/>
  <c r="C268" i="11"/>
  <c r="BO270" i="7"/>
  <c r="B268" i="11" s="1"/>
  <c r="BN270" i="7"/>
  <c r="A268" i="11" s="1"/>
  <c r="C273" i="11"/>
  <c r="BO275" i="7"/>
  <c r="B273" i="11" s="1"/>
  <c r="BN275" i="7"/>
  <c r="A273" i="11" s="1"/>
  <c r="C262" i="11"/>
  <c r="BO264" i="7"/>
  <c r="B262" i="11" s="1"/>
  <c r="BN264" i="7"/>
  <c r="A262" i="11" s="1"/>
  <c r="C291" i="11"/>
  <c r="BO293" i="7"/>
  <c r="B291" i="11" s="1"/>
  <c r="BN293" i="7"/>
  <c r="A291" i="11" s="1"/>
  <c r="C308" i="11"/>
  <c r="BO310" i="7"/>
  <c r="B308" i="11" s="1"/>
  <c r="BN310" i="7"/>
  <c r="A308" i="11" s="1"/>
  <c r="C297" i="11"/>
  <c r="BO299" i="7"/>
  <c r="B297" i="11" s="1"/>
  <c r="BN299" i="7"/>
  <c r="A297" i="11" s="1"/>
  <c r="C323" i="11"/>
  <c r="BO325" i="7"/>
  <c r="B323" i="11" s="1"/>
  <c r="BN325" i="7"/>
  <c r="A323" i="11" s="1"/>
  <c r="C301" i="11"/>
  <c r="BO303" i="7"/>
  <c r="B301" i="11" s="1"/>
  <c r="BN303" i="7"/>
  <c r="A301" i="11" s="1"/>
  <c r="C357" i="11"/>
  <c r="BO359" i="7"/>
  <c r="B357" i="11" s="1"/>
  <c r="BN359" i="7"/>
  <c r="A357" i="11" s="1"/>
  <c r="C336" i="11"/>
  <c r="BO338" i="7"/>
  <c r="B336" i="11" s="1"/>
  <c r="BN338" i="7"/>
  <c r="A336" i="11" s="1"/>
  <c r="C349" i="11"/>
  <c r="BO351" i="7"/>
  <c r="B349" i="11" s="1"/>
  <c r="BN351" i="7"/>
  <c r="A349" i="11" s="1"/>
  <c r="C351" i="11"/>
  <c r="BO353" i="7"/>
  <c r="B351" i="11" s="1"/>
  <c r="BN353" i="7"/>
  <c r="A351" i="11" s="1"/>
  <c r="C373" i="11"/>
  <c r="BN375" i="7"/>
  <c r="A373" i="11" s="1"/>
  <c r="C380" i="11"/>
  <c r="BO382" i="7"/>
  <c r="B380" i="11" s="1"/>
  <c r="BN382" i="7"/>
  <c r="A380" i="11" s="1"/>
  <c r="C363" i="11"/>
  <c r="BN365" i="7"/>
  <c r="A363" i="11" s="1"/>
  <c r="BO365" i="7"/>
  <c r="B363" i="11" s="1"/>
  <c r="C384" i="11"/>
  <c r="BO386" i="7"/>
  <c r="B384" i="11" s="1"/>
  <c r="BN386" i="7"/>
  <c r="A384" i="11" s="1"/>
  <c r="AF273" i="3"/>
  <c r="AF384" i="3"/>
  <c r="AF71" i="3"/>
  <c r="AE160" i="3"/>
  <c r="AE242" i="3"/>
  <c r="AE335" i="3"/>
  <c r="AF385" i="3"/>
  <c r="AE207" i="3"/>
  <c r="AF211" i="3"/>
  <c r="AE237" i="3"/>
  <c r="AF348" i="3"/>
  <c r="AZ12" i="6"/>
  <c r="AY12" i="6"/>
  <c r="AX12" i="6"/>
  <c r="BA12" i="6" s="1"/>
  <c r="AF265" i="3"/>
  <c r="AE386" i="3"/>
  <c r="AF55" i="3"/>
  <c r="AE276" i="3"/>
  <c r="AE119" i="3"/>
  <c r="AF162" i="3"/>
  <c r="AF345" i="3"/>
  <c r="AE223" i="3"/>
  <c r="AE290" i="3"/>
  <c r="AE310" i="3"/>
  <c r="AE339" i="3"/>
  <c r="AF277" i="3"/>
  <c r="AE53" i="3"/>
  <c r="AE253" i="3"/>
  <c r="AF323" i="3"/>
  <c r="AF264" i="3"/>
  <c r="AE182" i="3"/>
  <c r="AE59" i="3"/>
  <c r="AE364" i="3"/>
  <c r="AE321" i="3"/>
  <c r="AF359" i="3"/>
  <c r="S18" i="7"/>
  <c r="AW25" i="6" s="1"/>
  <c r="S14" i="7"/>
  <c r="AW21" i="6" s="1"/>
  <c r="S11" i="7"/>
  <c r="AW18" i="6" s="1"/>
  <c r="S17" i="7"/>
  <c r="AW24" i="6" s="1"/>
  <c r="S13" i="7"/>
  <c r="AW20" i="6" s="1"/>
  <c r="S16" i="7"/>
  <c r="AW23" i="6" s="1"/>
  <c r="S12" i="7"/>
  <c r="AW19" i="6" s="1"/>
  <c r="S15" i="7"/>
  <c r="AW22" i="6" s="1"/>
  <c r="B7" i="5"/>
  <c r="R6" i="7" a="1"/>
  <c r="R6" i="7" s="1"/>
  <c r="AE341" i="3"/>
  <c r="AF228" i="3"/>
  <c r="AE269" i="3"/>
  <c r="AE179" i="3"/>
  <c r="AF380" i="3"/>
  <c r="AF352" i="3"/>
  <c r="AE91" i="3"/>
  <c r="AF393" i="3"/>
  <c r="AE403" i="3"/>
  <c r="AE191" i="3"/>
  <c r="AE375" i="3"/>
  <c r="AE68" i="3"/>
  <c r="AE194" i="3"/>
  <c r="AF216" i="3"/>
  <c r="AE356" i="3"/>
  <c r="AE287" i="3"/>
  <c r="AF80" i="3"/>
  <c r="AF215" i="3"/>
  <c r="AF378" i="3"/>
  <c r="AF166" i="3"/>
  <c r="AF86" i="3"/>
  <c r="AE309" i="3"/>
  <c r="AF32" i="3"/>
  <c r="AE184" i="3"/>
  <c r="AE115" i="3"/>
  <c r="AF262" i="3"/>
  <c r="AF39" i="3"/>
  <c r="AF401" i="3"/>
  <c r="AE288" i="3"/>
  <c r="AE168" i="3"/>
  <c r="AE134" i="3"/>
  <c r="AE57" i="3"/>
  <c r="AE275" i="3"/>
  <c r="AE279" i="3"/>
  <c r="AF132" i="3"/>
  <c r="AF299" i="3"/>
  <c r="AF52" i="3"/>
  <c r="AE172" i="3"/>
  <c r="AE402" i="3"/>
  <c r="AE197" i="3"/>
  <c r="AE328" i="3"/>
  <c r="AE193" i="3"/>
  <c r="AE174" i="3"/>
  <c r="AE233" i="3"/>
  <c r="AF343" i="3"/>
  <c r="AF367" i="3"/>
  <c r="AE400" i="3"/>
  <c r="AF122" i="3"/>
  <c r="AE397" i="3"/>
  <c r="AF49" i="3"/>
  <c r="AE305" i="3"/>
  <c r="AE169" i="3"/>
  <c r="C11" i="11"/>
  <c r="BO13" i="7"/>
  <c r="B11" i="11" s="1"/>
  <c r="BN13" i="7"/>
  <c r="A11" i="11" s="1"/>
  <c r="C29" i="11"/>
  <c r="BO31" i="7"/>
  <c r="B29" i="11" s="1"/>
  <c r="BN31" i="7"/>
  <c r="A29" i="11" s="1"/>
  <c r="C45" i="11"/>
  <c r="BO47" i="7"/>
  <c r="B45" i="11" s="1"/>
  <c r="BN47" i="7"/>
  <c r="A45" i="11" s="1"/>
  <c r="C71" i="11"/>
  <c r="BO73" i="7"/>
  <c r="B71" i="11" s="1"/>
  <c r="BN73" i="7"/>
  <c r="A71" i="11" s="1"/>
  <c r="C87" i="11"/>
  <c r="BO89" i="7"/>
  <c r="B87" i="11" s="1"/>
  <c r="BN89" i="7"/>
  <c r="A87" i="11" s="1"/>
  <c r="C113" i="11"/>
  <c r="BO115" i="7"/>
  <c r="B113" i="11" s="1"/>
  <c r="BN115" i="7"/>
  <c r="A113" i="11" s="1"/>
  <c r="C103" i="11"/>
  <c r="BO105" i="7"/>
  <c r="B103" i="11" s="1"/>
  <c r="BN105" i="7"/>
  <c r="A103" i="11" s="1"/>
  <c r="C76" i="11"/>
  <c r="BO78" i="7"/>
  <c r="B76" i="11" s="1"/>
  <c r="BN78" i="7"/>
  <c r="A76" i="11" s="1"/>
  <c r="C92" i="11"/>
  <c r="BN94" i="7"/>
  <c r="A92" i="11" s="1"/>
  <c r="BO94" i="7"/>
  <c r="B92" i="11" s="1"/>
  <c r="C110" i="11"/>
  <c r="BO112" i="7"/>
  <c r="B110" i="11" s="1"/>
  <c r="BN112" i="7"/>
  <c r="A110" i="11" s="1"/>
  <c r="C101" i="11"/>
  <c r="BN103" i="7"/>
  <c r="A101" i="11" s="1"/>
  <c r="BO103" i="7"/>
  <c r="B101" i="11" s="1"/>
  <c r="C172" i="11"/>
  <c r="BO174" i="7"/>
  <c r="B172" i="11" s="1"/>
  <c r="BN174" i="7"/>
  <c r="A172" i="11" s="1"/>
  <c r="C124" i="11"/>
  <c r="BO126" i="7"/>
  <c r="B124" i="11" s="1"/>
  <c r="BN126" i="7"/>
  <c r="A124" i="11" s="1"/>
  <c r="C191" i="11"/>
  <c r="BO193" i="7"/>
  <c r="B191" i="11" s="1"/>
  <c r="BN193" i="7"/>
  <c r="A191" i="11" s="1"/>
  <c r="C177" i="11"/>
  <c r="BO179" i="7"/>
  <c r="B177" i="11" s="1"/>
  <c r="BN179" i="7"/>
  <c r="A177" i="11" s="1"/>
  <c r="C158" i="11"/>
  <c r="BO160" i="7"/>
  <c r="B158" i="11" s="1"/>
  <c r="BN160" i="7"/>
  <c r="A158" i="11" s="1"/>
  <c r="C147" i="11"/>
  <c r="BO149" i="7"/>
  <c r="B147" i="11" s="1"/>
  <c r="BN149" i="7"/>
  <c r="A147" i="11" s="1"/>
  <c r="C160" i="11"/>
  <c r="BO162" i="7"/>
  <c r="B160" i="11" s="1"/>
  <c r="BN162" i="7"/>
  <c r="A160" i="11" s="1"/>
  <c r="C141" i="11"/>
  <c r="BN143" i="7"/>
  <c r="A141" i="11" s="1"/>
  <c r="BO143" i="7"/>
  <c r="B141" i="11" s="1"/>
  <c r="C186" i="11"/>
  <c r="BN188" i="7"/>
  <c r="A186" i="11" s="1"/>
  <c r="BO188" i="7"/>
  <c r="B186" i="11" s="1"/>
  <c r="C211" i="11"/>
  <c r="BO213" i="7"/>
  <c r="B211" i="11" s="1"/>
  <c r="BN213" i="7"/>
  <c r="A211" i="11" s="1"/>
  <c r="C200" i="11"/>
  <c r="BO202" i="7"/>
  <c r="B200" i="11" s="1"/>
  <c r="BN202" i="7"/>
  <c r="A200" i="11" s="1"/>
  <c r="C224" i="11"/>
  <c r="BO226" i="7"/>
  <c r="B224" i="11" s="1"/>
  <c r="BN226" i="7"/>
  <c r="A224" i="11" s="1"/>
  <c r="C235" i="11"/>
  <c r="BO237" i="7"/>
  <c r="B235" i="11" s="1"/>
  <c r="BN237" i="7"/>
  <c r="A235" i="11" s="1"/>
  <c r="C237" i="11"/>
  <c r="BO239" i="7"/>
  <c r="B237" i="11" s="1"/>
  <c r="BN239" i="7"/>
  <c r="A237" i="11" s="1"/>
  <c r="C242" i="11"/>
  <c r="BO244" i="7"/>
  <c r="B242" i="11" s="1"/>
  <c r="BN244" i="7"/>
  <c r="A242" i="11" s="1"/>
  <c r="C223" i="11"/>
  <c r="BO225" i="7"/>
  <c r="B223" i="11" s="1"/>
  <c r="BN225" i="7"/>
  <c r="A223" i="11" s="1"/>
  <c r="C249" i="11"/>
  <c r="BN251" i="7"/>
  <c r="A249" i="11" s="1"/>
  <c r="BO251" i="7"/>
  <c r="B249" i="11" s="1"/>
  <c r="C254" i="11"/>
  <c r="BO256" i="7"/>
  <c r="B254" i="11" s="1"/>
  <c r="BN256" i="7"/>
  <c r="A254" i="11" s="1"/>
  <c r="C274" i="11"/>
  <c r="BO276" i="7"/>
  <c r="B274" i="11" s="1"/>
  <c r="BN276" i="7"/>
  <c r="A274" i="11" s="1"/>
  <c r="C292" i="11"/>
  <c r="BO294" i="7"/>
  <c r="B292" i="11" s="1"/>
  <c r="BN294" i="7"/>
  <c r="A292" i="11" s="1"/>
  <c r="C286" i="11"/>
  <c r="BO288" i="7"/>
  <c r="B286" i="11" s="1"/>
  <c r="BN288" i="7"/>
  <c r="A286" i="11" s="1"/>
  <c r="C269" i="11"/>
  <c r="BO271" i="7"/>
  <c r="B269" i="11" s="1"/>
  <c r="BN271" i="7"/>
  <c r="A269" i="11" s="1"/>
  <c r="C321" i="11"/>
  <c r="BO323" i="7"/>
  <c r="B321" i="11" s="1"/>
  <c r="BN323" i="7"/>
  <c r="A321" i="11" s="1"/>
  <c r="C325" i="11"/>
  <c r="BO327" i="7"/>
  <c r="B325" i="11" s="1"/>
  <c r="BN327" i="7"/>
  <c r="A325" i="11" s="1"/>
  <c r="C314" i="11"/>
  <c r="BN316" i="7"/>
  <c r="A314" i="11" s="1"/>
  <c r="BO316" i="7"/>
  <c r="B314" i="11" s="1"/>
  <c r="C303" i="11"/>
  <c r="BO305" i="7"/>
  <c r="B303" i="11" s="1"/>
  <c r="BN305" i="7"/>
  <c r="A303" i="11" s="1"/>
  <c r="C329" i="11"/>
  <c r="BN331" i="7"/>
  <c r="A329" i="11" s="1"/>
  <c r="BO331" i="7"/>
  <c r="B329" i="11" s="1"/>
  <c r="C342" i="11"/>
  <c r="BO344" i="7"/>
  <c r="B342" i="11" s="1"/>
  <c r="BN344" i="7"/>
  <c r="A342" i="11" s="1"/>
  <c r="C339" i="11"/>
  <c r="BO341" i="7"/>
  <c r="B339" i="11" s="1"/>
  <c r="BN341" i="7"/>
  <c r="A339" i="11" s="1"/>
  <c r="C358" i="11"/>
  <c r="BN360" i="7"/>
  <c r="A358" i="11" s="1"/>
  <c r="BO360" i="7"/>
  <c r="B358" i="11" s="1"/>
  <c r="C367" i="11"/>
  <c r="BO369" i="7"/>
  <c r="B367" i="11" s="1"/>
  <c r="BN369" i="7"/>
  <c r="A367" i="11" s="1"/>
  <c r="C385" i="11"/>
  <c r="BO387" i="7"/>
  <c r="B385" i="11" s="1"/>
  <c r="BN387" i="7"/>
  <c r="A385" i="11" s="1"/>
  <c r="BN376" i="7"/>
  <c r="A374" i="11" s="1"/>
  <c r="AE114" i="3"/>
  <c r="AF145" i="3" l="1"/>
  <c r="BO376" i="7"/>
  <c r="B374" i="11" s="1"/>
  <c r="C381" i="11"/>
  <c r="BO378" i="7"/>
  <c r="B376" i="11" s="1"/>
  <c r="BN378" i="7"/>
  <c r="A376" i="11" s="1"/>
  <c r="BO379" i="7"/>
  <c r="B377" i="11" s="1"/>
  <c r="BN379" i="7"/>
  <c r="A377" i="11" s="1"/>
  <c r="AE35" i="3"/>
  <c r="AE225" i="3"/>
  <c r="AF336" i="3"/>
  <c r="AE303" i="3"/>
  <c r="BO2" i="7"/>
  <c r="BX2" i="7" s="1"/>
  <c r="AF175" i="3"/>
  <c r="BN368" i="7"/>
  <c r="A366" i="11" s="1"/>
  <c r="BO368" i="7"/>
  <c r="B366" i="11" s="1"/>
  <c r="C366" i="11"/>
  <c r="BN377" i="7"/>
  <c r="A375" i="11" s="1"/>
  <c r="AE141" i="3"/>
  <c r="BN370" i="7"/>
  <c r="A368" i="11" s="1"/>
  <c r="BO370" i="7"/>
  <c r="B368" i="11" s="1"/>
  <c r="AE326" i="3"/>
  <c r="N5" i="7"/>
  <c r="D5" i="7"/>
  <c r="O5" i="7" a="1"/>
  <c r="O5" i="7" s="1"/>
  <c r="P5" i="7"/>
  <c r="AZ28" i="6"/>
  <c r="AY28" i="6"/>
  <c r="AX28" i="6"/>
  <c r="BA28" i="6" s="1"/>
  <c r="AY18" i="6"/>
  <c r="AX18" i="6"/>
  <c r="BA18" i="6" s="1"/>
  <c r="AZ18" i="6"/>
  <c r="AZ25" i="6"/>
  <c r="AY25" i="6"/>
  <c r="AX25" i="6"/>
  <c r="BA25" i="6" s="1"/>
  <c r="BC14" i="6"/>
  <c r="BB14" i="6"/>
  <c r="BC13" i="6"/>
  <c r="BB13" i="6"/>
  <c r="AY26" i="6"/>
  <c r="AX26" i="6"/>
  <c r="BA26" i="6" s="1"/>
  <c r="AZ26" i="6"/>
  <c r="BC16" i="6"/>
  <c r="BB16" i="6"/>
  <c r="BC12" i="6"/>
  <c r="BB12" i="6"/>
  <c r="AC14" i="3"/>
  <c r="W10" i="3" s="1"/>
  <c r="AF29" i="3"/>
  <c r="AD14" i="3"/>
  <c r="X10" i="3" s="1"/>
  <c r="AZ30" i="6"/>
  <c r="AY30" i="6"/>
  <c r="AX30" i="6"/>
  <c r="BA30" i="6" s="1"/>
  <c r="S34" i="7"/>
  <c r="AW41" i="6" s="1"/>
  <c r="S30" i="7"/>
  <c r="AW37" i="6" s="1"/>
  <c r="S33" i="7"/>
  <c r="AW40" i="6" s="1"/>
  <c r="S29" i="7"/>
  <c r="AW36" i="6" s="1"/>
  <c r="S32" i="7"/>
  <c r="AW39" i="6" s="1"/>
  <c r="S28" i="7"/>
  <c r="AW35" i="6" s="1"/>
  <c r="S31" i="7"/>
  <c r="AW38" i="6" s="1"/>
  <c r="S27" i="7"/>
  <c r="AW34" i="6" s="1"/>
  <c r="D7" i="5"/>
  <c r="R7" i="7" a="1"/>
  <c r="R7" i="7" s="1"/>
  <c r="R8" i="7" s="1" a="1"/>
  <c r="R8" i="7" s="1"/>
  <c r="AZ22" i="6"/>
  <c r="AY22" i="6"/>
  <c r="AX22" i="6"/>
  <c r="BA22" i="6" s="1"/>
  <c r="AZ19" i="6"/>
  <c r="AY19" i="6"/>
  <c r="AX19" i="6"/>
  <c r="BA19" i="6" s="1"/>
  <c r="AE29" i="3"/>
  <c r="AE14" i="3"/>
  <c r="Y10" i="3" s="1"/>
  <c r="BB15" i="6"/>
  <c r="BC15" i="6"/>
  <c r="AZ27" i="6"/>
  <c r="AY27" i="6"/>
  <c r="AX27" i="6"/>
  <c r="BA27" i="6" s="1"/>
  <c r="AZ23" i="6"/>
  <c r="AY23" i="6"/>
  <c r="AX23" i="6"/>
  <c r="BA23" i="6" s="1"/>
  <c r="BC17" i="6"/>
  <c r="BB17" i="6"/>
  <c r="BC11" i="6"/>
  <c r="BB11" i="6"/>
  <c r="AZ31" i="6"/>
  <c r="AY31" i="6"/>
  <c r="AX31" i="6"/>
  <c r="BA31" i="6" s="1"/>
  <c r="AX21" i="6"/>
  <c r="BA21" i="6" s="1"/>
  <c r="AZ21" i="6"/>
  <c r="AY21" i="6"/>
  <c r="AZ20" i="6"/>
  <c r="AY20" i="6"/>
  <c r="AX20" i="6"/>
  <c r="BA20" i="6" s="1"/>
  <c r="AZ32" i="6"/>
  <c r="AY32" i="6"/>
  <c r="AX32" i="6"/>
  <c r="BA32" i="6" s="1"/>
  <c r="K4" i="7"/>
  <c r="H4" i="7"/>
  <c r="G4" i="7"/>
  <c r="M4" i="7"/>
  <c r="L4" i="7"/>
  <c r="J4" i="7"/>
  <c r="I4" i="7"/>
  <c r="F4" i="7"/>
  <c r="AZ24" i="6"/>
  <c r="AY24" i="6"/>
  <c r="AX24" i="6"/>
  <c r="BA24" i="6" s="1"/>
  <c r="P6" i="7"/>
  <c r="O6" i="7" a="1"/>
  <c r="O6" i="7" s="1"/>
  <c r="N6" i="7"/>
  <c r="D6" i="7"/>
  <c r="BC10" i="6"/>
  <c r="BB10" i="6"/>
  <c r="AZ33" i="6"/>
  <c r="AY33" i="6"/>
  <c r="AX33" i="6"/>
  <c r="BA33" i="6" s="1"/>
  <c r="D13" i="5"/>
  <c r="A9" i="7" a="1"/>
  <c r="A9" i="7" s="1"/>
  <c r="A10" i="7" s="1" a="1"/>
  <c r="A10" i="7" s="1"/>
  <c r="E7" i="7" a="1"/>
  <c r="E7" i="7" s="1"/>
  <c r="AX29" i="6"/>
  <c r="BA29" i="6" s="1"/>
  <c r="AZ29" i="6"/>
  <c r="AY29" i="6"/>
  <c r="N7" i="7" l="1"/>
  <c r="D7" i="7"/>
  <c r="P7" i="7"/>
  <c r="O7" i="7" a="1"/>
  <c r="O7" i="7" s="1"/>
  <c r="AY34" i="6"/>
  <c r="AX34" i="6"/>
  <c r="BA34" i="6" s="1"/>
  <c r="AZ34" i="6"/>
  <c r="BC30" i="6"/>
  <c r="BB30" i="6"/>
  <c r="AE9" i="3"/>
  <c r="BC18" i="6"/>
  <c r="BB18" i="6"/>
  <c r="BC32" i="6"/>
  <c r="BB32" i="6"/>
  <c r="BC23" i="6"/>
  <c r="BB23" i="6"/>
  <c r="BC19" i="6"/>
  <c r="BB19" i="6"/>
  <c r="AZ38" i="6"/>
  <c r="AY38" i="6"/>
  <c r="AX38" i="6"/>
  <c r="BA38" i="6" s="1"/>
  <c r="F5" i="7"/>
  <c r="L5" i="7"/>
  <c r="K5" i="7"/>
  <c r="J5" i="7"/>
  <c r="H5" i="7"/>
  <c r="M5" i="7"/>
  <c r="I5" i="7"/>
  <c r="G5" i="7"/>
  <c r="BC22" i="6"/>
  <c r="BB22" i="6"/>
  <c r="AZ35" i="6"/>
  <c r="AY35" i="6"/>
  <c r="AX35" i="6"/>
  <c r="BA35" i="6" s="1"/>
  <c r="AE8" i="3"/>
  <c r="AA390" i="3"/>
  <c r="AK371" i="6" s="1"/>
  <c r="AA31" i="3"/>
  <c r="AK12" i="6" s="1"/>
  <c r="AA369" i="3"/>
  <c r="AK350" i="6" s="1"/>
  <c r="AA150" i="3"/>
  <c r="AK131" i="6" s="1"/>
  <c r="AA181" i="3"/>
  <c r="AK162" i="6" s="1"/>
  <c r="AA248" i="3"/>
  <c r="AK229" i="6" s="1"/>
  <c r="AA392" i="3"/>
  <c r="AK373" i="6" s="1"/>
  <c r="AA117" i="3"/>
  <c r="AK98" i="6" s="1"/>
  <c r="AA363" i="3"/>
  <c r="AK344" i="6" s="1"/>
  <c r="AA261" i="3"/>
  <c r="AK242" i="6" s="1"/>
  <c r="AA183" i="3"/>
  <c r="AK164" i="6" s="1"/>
  <c r="AA38" i="3"/>
  <c r="AK19" i="6" s="1"/>
  <c r="AA139" i="3"/>
  <c r="AK120" i="6" s="1"/>
  <c r="AA221" i="3"/>
  <c r="AK202" i="6" s="1"/>
  <c r="AA315" i="3"/>
  <c r="AK296" i="6" s="1"/>
  <c r="AA351" i="3"/>
  <c r="AK332" i="6" s="1"/>
  <c r="AA411" i="3"/>
  <c r="AK392" i="6" s="1"/>
  <c r="AA83" i="3"/>
  <c r="AK64" i="6" s="1"/>
  <c r="AA111" i="3"/>
  <c r="AK92" i="6" s="1"/>
  <c r="AA109" i="3"/>
  <c r="AK90" i="6" s="1"/>
  <c r="AA349" i="3"/>
  <c r="AK330" i="6" s="1"/>
  <c r="AA239" i="3"/>
  <c r="AK220" i="6" s="1"/>
  <c r="AA294" i="3"/>
  <c r="AK275" i="6" s="1"/>
  <c r="AA213" i="3"/>
  <c r="AK194" i="6" s="1"/>
  <c r="AA244" i="3"/>
  <c r="AK225" i="6" s="1"/>
  <c r="AA120" i="3"/>
  <c r="AK101" i="6" s="1"/>
  <c r="AA210" i="3"/>
  <c r="AK191" i="6" s="1"/>
  <c r="AA125" i="3"/>
  <c r="AK106" i="6" s="1"/>
  <c r="AA267" i="3"/>
  <c r="AK248" i="6" s="1"/>
  <c r="AA143" i="3"/>
  <c r="AK124" i="6" s="1"/>
  <c r="AA196" i="3"/>
  <c r="AK177" i="6" s="1"/>
  <c r="AA370" i="3"/>
  <c r="AK351" i="6" s="1"/>
  <c r="AA140" i="3"/>
  <c r="AK121" i="6" s="1"/>
  <c r="AA65" i="3"/>
  <c r="AK46" i="6" s="1"/>
  <c r="AA98" i="3"/>
  <c r="AK79" i="6" s="1"/>
  <c r="AA180" i="3"/>
  <c r="AK161" i="6" s="1"/>
  <c r="AA103" i="3"/>
  <c r="AK84" i="6" s="1"/>
  <c r="AA410" i="3"/>
  <c r="AK391" i="6" s="1"/>
  <c r="AA137" i="3"/>
  <c r="AK118" i="6" s="1"/>
  <c r="AA412" i="3"/>
  <c r="AK393" i="6" s="1"/>
  <c r="AA268" i="3"/>
  <c r="AK249" i="6" s="1"/>
  <c r="AA118" i="3"/>
  <c r="AK99" i="6" s="1"/>
  <c r="AA130" i="3"/>
  <c r="AK111" i="6" s="1"/>
  <c r="AA337" i="3"/>
  <c r="AK318" i="6" s="1"/>
  <c r="AA36" i="3"/>
  <c r="AK17" i="6" s="1"/>
  <c r="AA85" i="3"/>
  <c r="AK66" i="6" s="1"/>
  <c r="AA127" i="3"/>
  <c r="AK108" i="6" s="1"/>
  <c r="AA386" i="3"/>
  <c r="AK367" i="6" s="1"/>
  <c r="AA110" i="3"/>
  <c r="AK91" i="6" s="1"/>
  <c r="AA151" i="3"/>
  <c r="AK132" i="6" s="1"/>
  <c r="AA237" i="3"/>
  <c r="AK218" i="6" s="1"/>
  <c r="AA207" i="3"/>
  <c r="AK188" i="6" s="1"/>
  <c r="AA335" i="3"/>
  <c r="AK316" i="6" s="1"/>
  <c r="AA70" i="3"/>
  <c r="AK51" i="6" s="1"/>
  <c r="AA54" i="3"/>
  <c r="AK35" i="6" s="1"/>
  <c r="AA326" i="3"/>
  <c r="AK307" i="6" s="1"/>
  <c r="AA170" i="3"/>
  <c r="AK151" i="6" s="1"/>
  <c r="AA263" i="3"/>
  <c r="AK244" i="6" s="1"/>
  <c r="AA355" i="3"/>
  <c r="AK336" i="6" s="1"/>
  <c r="AA362" i="3"/>
  <c r="AK343" i="6" s="1"/>
  <c r="AA49" i="3"/>
  <c r="AK30" i="6" s="1"/>
  <c r="AA205" i="3"/>
  <c r="AK186" i="6" s="1"/>
  <c r="AA343" i="3"/>
  <c r="AK324" i="6" s="1"/>
  <c r="AA208" i="3"/>
  <c r="AK189" i="6" s="1"/>
  <c r="AA241" i="3"/>
  <c r="AK222" i="6" s="1"/>
  <c r="AA289" i="3"/>
  <c r="AK270" i="6" s="1"/>
  <c r="AA52" i="3"/>
  <c r="AK33" i="6" s="1"/>
  <c r="AA299" i="3"/>
  <c r="AK280" i="6" s="1"/>
  <c r="AA132" i="3"/>
  <c r="AK113" i="6" s="1"/>
  <c r="AA286" i="3"/>
  <c r="AK267" i="6" s="1"/>
  <c r="AA251" i="3"/>
  <c r="AK232" i="6" s="1"/>
  <c r="AA97" i="3"/>
  <c r="AK78" i="6" s="1"/>
  <c r="AA212" i="3"/>
  <c r="AK193" i="6" s="1"/>
  <c r="AA220" i="3"/>
  <c r="AK201" i="6" s="1"/>
  <c r="AA94" i="3"/>
  <c r="AK75" i="6" s="1"/>
  <c r="AA401" i="3"/>
  <c r="AK382" i="6" s="1"/>
  <c r="AA39" i="3"/>
  <c r="AK20" i="6" s="1"/>
  <c r="AA262" i="3"/>
  <c r="AK243" i="6" s="1"/>
  <c r="AA32" i="3"/>
  <c r="AK13" i="6" s="1"/>
  <c r="AA86" i="3"/>
  <c r="AK67" i="6" s="1"/>
  <c r="AA166" i="3"/>
  <c r="AK147" i="6" s="1"/>
  <c r="AA378" i="3"/>
  <c r="AK359" i="6" s="1"/>
  <c r="AA147" i="3"/>
  <c r="AK128" i="6" s="1"/>
  <c r="AA206" i="3"/>
  <c r="AK187" i="6" s="1"/>
  <c r="AA393" i="3"/>
  <c r="AK374" i="6" s="1"/>
  <c r="AA380" i="3"/>
  <c r="AK361" i="6" s="1"/>
  <c r="AA228" i="3"/>
  <c r="AK209" i="6" s="1"/>
  <c r="AA106" i="3"/>
  <c r="AK87" i="6" s="1"/>
  <c r="AA359" i="3"/>
  <c r="AK340" i="6" s="1"/>
  <c r="AA323" i="3"/>
  <c r="AK304" i="6" s="1"/>
  <c r="AA277" i="3"/>
  <c r="AK258" i="6" s="1"/>
  <c r="AA245" i="3"/>
  <c r="AK226" i="6" s="1"/>
  <c r="AA223" i="3"/>
  <c r="AK204" i="6" s="1"/>
  <c r="AA344" i="3"/>
  <c r="AK325" i="6" s="1"/>
  <c r="AA162" i="3"/>
  <c r="AK143" i="6" s="1"/>
  <c r="AA55" i="3"/>
  <c r="AK36" i="6" s="1"/>
  <c r="AA331" i="3"/>
  <c r="AK312" i="6" s="1"/>
  <c r="AA265" i="3"/>
  <c r="AK246" i="6" s="1"/>
  <c r="AA74" i="3"/>
  <c r="AK55" i="6" s="1"/>
  <c r="AA348" i="3"/>
  <c r="AK329" i="6" s="1"/>
  <c r="AA211" i="3"/>
  <c r="AK192" i="6" s="1"/>
  <c r="AA385" i="3"/>
  <c r="AK366" i="6" s="1"/>
  <c r="AA119" i="3"/>
  <c r="AK100" i="6" s="1"/>
  <c r="AA276" i="3"/>
  <c r="AK257" i="6" s="1"/>
  <c r="AA398" i="3"/>
  <c r="AK379" i="6" s="1"/>
  <c r="AA71" i="3"/>
  <c r="AK52" i="6" s="1"/>
  <c r="AA384" i="3"/>
  <c r="AK365" i="6" s="1"/>
  <c r="AA273" i="3"/>
  <c r="AK254" i="6" s="1"/>
  <c r="AA226" i="3"/>
  <c r="AK207" i="6" s="1"/>
  <c r="AA169" i="3"/>
  <c r="AK150" i="6" s="1"/>
  <c r="AA305" i="3"/>
  <c r="AK286" i="6" s="1"/>
  <c r="AA122" i="3"/>
  <c r="AK103" i="6" s="1"/>
  <c r="AA408" i="3"/>
  <c r="AK389" i="6" s="1"/>
  <c r="AA233" i="3"/>
  <c r="AK214" i="6" s="1"/>
  <c r="AA240" i="3"/>
  <c r="AK221" i="6" s="1"/>
  <c r="AA197" i="3"/>
  <c r="AK178" i="6" s="1"/>
  <c r="AA172" i="3"/>
  <c r="AK153" i="6" s="1"/>
  <c r="AA279" i="3"/>
  <c r="AK260" i="6" s="1"/>
  <c r="AA141" i="3"/>
  <c r="AK122" i="6" s="1"/>
  <c r="AA374" i="3"/>
  <c r="AK355" i="6" s="1"/>
  <c r="AA102" i="3"/>
  <c r="AK83" i="6" s="1"/>
  <c r="AA57" i="3"/>
  <c r="AK38" i="6" s="1"/>
  <c r="AA168" i="3"/>
  <c r="AK149" i="6" s="1"/>
  <c r="AA395" i="3"/>
  <c r="AK376" i="6" s="1"/>
  <c r="AA255" i="3"/>
  <c r="AK236" i="6" s="1"/>
  <c r="AA368" i="3"/>
  <c r="AK349" i="6" s="1"/>
  <c r="AA184" i="3"/>
  <c r="AK165" i="6" s="1"/>
  <c r="AA67" i="3"/>
  <c r="AK48" i="6" s="1"/>
  <c r="AA287" i="3"/>
  <c r="AK268" i="6" s="1"/>
  <c r="AA356" i="3"/>
  <c r="AK337" i="6" s="1"/>
  <c r="AA195" i="3"/>
  <c r="AK176" i="6" s="1"/>
  <c r="AA194" i="3"/>
  <c r="AK175" i="6" s="1"/>
  <c r="AA68" i="3"/>
  <c r="AK49" i="6" s="1"/>
  <c r="AA375" i="3"/>
  <c r="AK356" i="6" s="1"/>
  <c r="AA319" i="3"/>
  <c r="AK300" i="6" s="1"/>
  <c r="AA338" i="3"/>
  <c r="AK319" i="6" s="1"/>
  <c r="AA403" i="3"/>
  <c r="AK384" i="6" s="1"/>
  <c r="AA405" i="3"/>
  <c r="AK386" i="6" s="1"/>
  <c r="AA307" i="3"/>
  <c r="AK288" i="6" s="1"/>
  <c r="AA269" i="3"/>
  <c r="AK250" i="6" s="1"/>
  <c r="AA113" i="3"/>
  <c r="AK94" i="6" s="1"/>
  <c r="AA341" i="3"/>
  <c r="AK322" i="6" s="1"/>
  <c r="AA200" i="3"/>
  <c r="AK181" i="6" s="1"/>
  <c r="AA321" i="3"/>
  <c r="AK302" i="6" s="1"/>
  <c r="AA253" i="3"/>
  <c r="AK234" i="6" s="1"/>
  <c r="AA198" i="3"/>
  <c r="AK179" i="6" s="1"/>
  <c r="AA53" i="3"/>
  <c r="AK34" i="6" s="1"/>
  <c r="AA82" i="3"/>
  <c r="AK63" i="6" s="1"/>
  <c r="AA339" i="3"/>
  <c r="AK320" i="6" s="1"/>
  <c r="AA252" i="3"/>
  <c r="AK233" i="6" s="1"/>
  <c r="AA310" i="3"/>
  <c r="AK291" i="6" s="1"/>
  <c r="AA75" i="3"/>
  <c r="AK56" i="6" s="1"/>
  <c r="AA187" i="3"/>
  <c r="AK168" i="6" s="1"/>
  <c r="AA329" i="3"/>
  <c r="AK310" i="6" s="1"/>
  <c r="AA66" i="3"/>
  <c r="AK47" i="6" s="1"/>
  <c r="AA135" i="3"/>
  <c r="AK116" i="6" s="1"/>
  <c r="AA142" i="3"/>
  <c r="AK123" i="6" s="1"/>
  <c r="AA40" i="3"/>
  <c r="AK21" i="6" s="1"/>
  <c r="AA387" i="3"/>
  <c r="AK368" i="6" s="1"/>
  <c r="AA30" i="3"/>
  <c r="AK11" i="6" s="1"/>
  <c r="AA41" i="3"/>
  <c r="AK22" i="6" s="1"/>
  <c r="AA161" i="3"/>
  <c r="AK142" i="6" s="1"/>
  <c r="AA224" i="3"/>
  <c r="AK205" i="6" s="1"/>
  <c r="AA278" i="3"/>
  <c r="AK259" i="6" s="1"/>
  <c r="AA218" i="3"/>
  <c r="AK199" i="6" s="1"/>
  <c r="AA42" i="3"/>
  <c r="AK23" i="6" s="1"/>
  <c r="AA382" i="3"/>
  <c r="AK363" i="6" s="1"/>
  <c r="AA48" i="3"/>
  <c r="AK29" i="6" s="1"/>
  <c r="AA327" i="3"/>
  <c r="AK308" i="6" s="1"/>
  <c r="AA149" i="3"/>
  <c r="AK130" i="6" s="1"/>
  <c r="AA101" i="3"/>
  <c r="AK82" i="6" s="1"/>
  <c r="AA163" i="3"/>
  <c r="AK144" i="6" s="1"/>
  <c r="AA247" i="3"/>
  <c r="AK228" i="6" s="1"/>
  <c r="AA72" i="3"/>
  <c r="AK53" i="6" s="1"/>
  <c r="AA314" i="3"/>
  <c r="AK295" i="6" s="1"/>
  <c r="AA73" i="3"/>
  <c r="AK54" i="6" s="1"/>
  <c r="AA34" i="3"/>
  <c r="AK15" i="6" s="1"/>
  <c r="AA383" i="3"/>
  <c r="AK364" i="6" s="1"/>
  <c r="AA318" i="3"/>
  <c r="AK299" i="6" s="1"/>
  <c r="AA249" i="3"/>
  <c r="AK230" i="6" s="1"/>
  <c r="AA230" i="3"/>
  <c r="AK211" i="6" s="1"/>
  <c r="AA112" i="3"/>
  <c r="AK93" i="6" s="1"/>
  <c r="AA399" i="3"/>
  <c r="AK380" i="6" s="1"/>
  <c r="AA108" i="3"/>
  <c r="AK89" i="6" s="1"/>
  <c r="AA295" i="3"/>
  <c r="AK276" i="6" s="1"/>
  <c r="AA69" i="3"/>
  <c r="AK50" i="6" s="1"/>
  <c r="AA266" i="3"/>
  <c r="AK247" i="6" s="1"/>
  <c r="AA124" i="3"/>
  <c r="AK105" i="6" s="1"/>
  <c r="AA78" i="3"/>
  <c r="AK59" i="6" s="1"/>
  <c r="AA77" i="3"/>
  <c r="AK58" i="6" s="1"/>
  <c r="AA379" i="3"/>
  <c r="AK360" i="6" s="1"/>
  <c r="AA334" i="3"/>
  <c r="AK315" i="6" s="1"/>
  <c r="AA258" i="3"/>
  <c r="AK239" i="6" s="1"/>
  <c r="AA254" i="3"/>
  <c r="AK235" i="6" s="1"/>
  <c r="AA63" i="3"/>
  <c r="AK44" i="6" s="1"/>
  <c r="AA154" i="3"/>
  <c r="AK135" i="6" s="1"/>
  <c r="AA93" i="3"/>
  <c r="AK74" i="6" s="1"/>
  <c r="AA353" i="3"/>
  <c r="AK334" i="6" s="1"/>
  <c r="AA340" i="3"/>
  <c r="AK321" i="6" s="1"/>
  <c r="AA44" i="3"/>
  <c r="AK25" i="6" s="1"/>
  <c r="AA43" i="3"/>
  <c r="AK24" i="6" s="1"/>
  <c r="AA330" i="3"/>
  <c r="AK311" i="6" s="1"/>
  <c r="AA37" i="3"/>
  <c r="AK18" i="6" s="1"/>
  <c r="AA225" i="3"/>
  <c r="AK206" i="6" s="1"/>
  <c r="AA312" i="3"/>
  <c r="AK293" i="6" s="1"/>
  <c r="AA121" i="3"/>
  <c r="AK102" i="6" s="1"/>
  <c r="AA284" i="3"/>
  <c r="AK265" i="6" s="1"/>
  <c r="AA250" i="3"/>
  <c r="AK231" i="6" s="1"/>
  <c r="AA354" i="3"/>
  <c r="AK335" i="6" s="1"/>
  <c r="AA361" i="3"/>
  <c r="AK342" i="6" s="1"/>
  <c r="AA177" i="3"/>
  <c r="AK158" i="6" s="1"/>
  <c r="AA185" i="3"/>
  <c r="AK166" i="6" s="1"/>
  <c r="AA272" i="3"/>
  <c r="AK253" i="6" s="1"/>
  <c r="AA81" i="3"/>
  <c r="AK62" i="6" s="1"/>
  <c r="AA92" i="3"/>
  <c r="AK73" i="6" s="1"/>
  <c r="AA214" i="3"/>
  <c r="AK195" i="6" s="1"/>
  <c r="AA104" i="3"/>
  <c r="AK85" i="6" s="1"/>
  <c r="AA64" i="3"/>
  <c r="AK45" i="6" s="1"/>
  <c r="AA376" i="3"/>
  <c r="AK357" i="6" s="1"/>
  <c r="AA373" i="3"/>
  <c r="AK354" i="6" s="1"/>
  <c r="AA217" i="3"/>
  <c r="AK198" i="6" s="1"/>
  <c r="AA347" i="3"/>
  <c r="AK328" i="6" s="1"/>
  <c r="AA136" i="3"/>
  <c r="AK117" i="6" s="1"/>
  <c r="AA157" i="3"/>
  <c r="AK138" i="6" s="1"/>
  <c r="AA51" i="3"/>
  <c r="AK32" i="6" s="1"/>
  <c r="AA129" i="3"/>
  <c r="AK110" i="6" s="1"/>
  <c r="AA131" i="3"/>
  <c r="AK112" i="6" s="1"/>
  <c r="AA58" i="3"/>
  <c r="AK39" i="6" s="1"/>
  <c r="AA404" i="3"/>
  <c r="AK385" i="6" s="1"/>
  <c r="AA306" i="3"/>
  <c r="AK287" i="6" s="1"/>
  <c r="AA232" i="3"/>
  <c r="AK213" i="6" s="1"/>
  <c r="AA123" i="3"/>
  <c r="AK104" i="6" s="1"/>
  <c r="AA274" i="3"/>
  <c r="AK255" i="6" s="1"/>
  <c r="AA280" i="3"/>
  <c r="AK261" i="6" s="1"/>
  <c r="AA257" i="3"/>
  <c r="AK238" i="6" s="1"/>
  <c r="AA409" i="3"/>
  <c r="AK390" i="6" s="1"/>
  <c r="AA365" i="3"/>
  <c r="AK346" i="6" s="1"/>
  <c r="AA317" i="3"/>
  <c r="AK298" i="6" s="1"/>
  <c r="AA148" i="3"/>
  <c r="AK129" i="6" s="1"/>
  <c r="AA76" i="3"/>
  <c r="AK57" i="6" s="1"/>
  <c r="AA156" i="3"/>
  <c r="AK137" i="6" s="1"/>
  <c r="AA283" i="3"/>
  <c r="AK264" i="6" s="1"/>
  <c r="AA202" i="3"/>
  <c r="AK183" i="6" s="1"/>
  <c r="AA116" i="3"/>
  <c r="AK97" i="6" s="1"/>
  <c r="AA371" i="3"/>
  <c r="AK352" i="6" s="1"/>
  <c r="AA302" i="3"/>
  <c r="AK283" i="6" s="1"/>
  <c r="AA95" i="3"/>
  <c r="AK76" i="6" s="1"/>
  <c r="AA246" i="3"/>
  <c r="AK227" i="6" s="1"/>
  <c r="AA173" i="3"/>
  <c r="AK154" i="6" s="1"/>
  <c r="AA35" i="3"/>
  <c r="AK16" i="6" s="1"/>
  <c r="AA332" i="3"/>
  <c r="AK313" i="6" s="1"/>
  <c r="AA243" i="3"/>
  <c r="AK224" i="6" s="1"/>
  <c r="AA256" i="3"/>
  <c r="AK237" i="6" s="1"/>
  <c r="AA33" i="3"/>
  <c r="AK14" i="6" s="1"/>
  <c r="AA285" i="3"/>
  <c r="AK266" i="6" s="1"/>
  <c r="AA293" i="3"/>
  <c r="AK274" i="6" s="1"/>
  <c r="AA176" i="3"/>
  <c r="AK157" i="6" s="1"/>
  <c r="AA234" i="3"/>
  <c r="AK215" i="6" s="1"/>
  <c r="AA155" i="3"/>
  <c r="AK136" i="6" s="1"/>
  <c r="AA189" i="3"/>
  <c r="AK170" i="6" s="1"/>
  <c r="AA107" i="3"/>
  <c r="AK88" i="6" s="1"/>
  <c r="AA238" i="3"/>
  <c r="AK219" i="6" s="1"/>
  <c r="AA389" i="3"/>
  <c r="AK370" i="6" s="1"/>
  <c r="AA236" i="3"/>
  <c r="AK217" i="6" s="1"/>
  <c r="AA377" i="3"/>
  <c r="AK358" i="6" s="1"/>
  <c r="AA313" i="3"/>
  <c r="AK294" i="6" s="1"/>
  <c r="AA350" i="3"/>
  <c r="AK331" i="6" s="1"/>
  <c r="AA56" i="3"/>
  <c r="AK37" i="6" s="1"/>
  <c r="AA308" i="3"/>
  <c r="AK289" i="6" s="1"/>
  <c r="AA201" i="3"/>
  <c r="AK182" i="6" s="1"/>
  <c r="AA372" i="3"/>
  <c r="AK353" i="6" s="1"/>
  <c r="AA60" i="3"/>
  <c r="AK41" i="6" s="1"/>
  <c r="AA259" i="3"/>
  <c r="AK240" i="6" s="1"/>
  <c r="AA394" i="3"/>
  <c r="AK375" i="6" s="1"/>
  <c r="AA282" i="3"/>
  <c r="AK263" i="6" s="1"/>
  <c r="AA406" i="3"/>
  <c r="AK387" i="6" s="1"/>
  <c r="AA192" i="3"/>
  <c r="AK173" i="6" s="1"/>
  <c r="AA292" i="3"/>
  <c r="AK273" i="6" s="1"/>
  <c r="AA298" i="3"/>
  <c r="AK279" i="6" s="1"/>
  <c r="AA153" i="3"/>
  <c r="AK134" i="6" s="1"/>
  <c r="AA322" i="3"/>
  <c r="AK303" i="6" s="1"/>
  <c r="AA325" i="3"/>
  <c r="AK306" i="6" s="1"/>
  <c r="AA138" i="3"/>
  <c r="AK119" i="6" s="1"/>
  <c r="AA50" i="3"/>
  <c r="AK31" i="6" s="1"/>
  <c r="AA357" i="3"/>
  <c r="AK338" i="6" s="1"/>
  <c r="AA227" i="3"/>
  <c r="AK208" i="6" s="1"/>
  <c r="AA87" i="3"/>
  <c r="AK68" i="6" s="1"/>
  <c r="AA133" i="3"/>
  <c r="AK114" i="6" s="1"/>
  <c r="AA167" i="3"/>
  <c r="AK148" i="6" s="1"/>
  <c r="AA300" i="3"/>
  <c r="AK281" i="6" s="1"/>
  <c r="AA303" i="3"/>
  <c r="AK284" i="6" s="1"/>
  <c r="AA175" i="3"/>
  <c r="AK156" i="6" s="1"/>
  <c r="AA165" i="3"/>
  <c r="AK146" i="6" s="1"/>
  <c r="AA99" i="3"/>
  <c r="AK80" i="6" s="1"/>
  <c r="AA145" i="3"/>
  <c r="AK126" i="6" s="1"/>
  <c r="AA186" i="3"/>
  <c r="AK167" i="6" s="1"/>
  <c r="AA61" i="3"/>
  <c r="AK42" i="6" s="1"/>
  <c r="AA336" i="3"/>
  <c r="AK317" i="6" s="1"/>
  <c r="AA260" i="3"/>
  <c r="AK241" i="6" s="1"/>
  <c r="AA396" i="3"/>
  <c r="AK377" i="6" s="1"/>
  <c r="AA358" i="3"/>
  <c r="AK339" i="6" s="1"/>
  <c r="AA144" i="3"/>
  <c r="AK125" i="6" s="1"/>
  <c r="AA242" i="3"/>
  <c r="AK223" i="6" s="1"/>
  <c r="AA219" i="3"/>
  <c r="AK200" i="6" s="1"/>
  <c r="AA388" i="3"/>
  <c r="AK369" i="6" s="1"/>
  <c r="AA281" i="3"/>
  <c r="AK262" i="6" s="1"/>
  <c r="AA204" i="3"/>
  <c r="AK185" i="6" s="1"/>
  <c r="AA46" i="3"/>
  <c r="AK27" i="6" s="1"/>
  <c r="AA304" i="3"/>
  <c r="AK285" i="6" s="1"/>
  <c r="AA47" i="3"/>
  <c r="AK28" i="6" s="1"/>
  <c r="AA96" i="3"/>
  <c r="AK77" i="6" s="1"/>
  <c r="AA126" i="3"/>
  <c r="AK107" i="6" s="1"/>
  <c r="AA89" i="3"/>
  <c r="AK70" i="6" s="1"/>
  <c r="AA188" i="3"/>
  <c r="AK169" i="6" s="1"/>
  <c r="AA146" i="3"/>
  <c r="AK127" i="6" s="1"/>
  <c r="AA199" i="3"/>
  <c r="AK180" i="6" s="1"/>
  <c r="AA235" i="3"/>
  <c r="AK216" i="6" s="1"/>
  <c r="AA229" i="3"/>
  <c r="AK210" i="6" s="1"/>
  <c r="AA203" i="3"/>
  <c r="AK184" i="6" s="1"/>
  <c r="AA342" i="3"/>
  <c r="AK323" i="6" s="1"/>
  <c r="AA270" i="3"/>
  <c r="AK251" i="6" s="1"/>
  <c r="AA381" i="3"/>
  <c r="AK362" i="6" s="1"/>
  <c r="AA366" i="3"/>
  <c r="AK347" i="6" s="1"/>
  <c r="AA84" i="3"/>
  <c r="AK65" i="6" s="1"/>
  <c r="AA105" i="3"/>
  <c r="AK86" i="6" s="1"/>
  <c r="AA346" i="3"/>
  <c r="AK327" i="6" s="1"/>
  <c r="AA215" i="3"/>
  <c r="AK196" i="6" s="1"/>
  <c r="AA80" i="3"/>
  <c r="AK61" i="6" s="1"/>
  <c r="AA100" i="3"/>
  <c r="AK81" i="6" s="1"/>
  <c r="AA178" i="3"/>
  <c r="AK159" i="6" s="1"/>
  <c r="AA216" i="3"/>
  <c r="AK197" i="6" s="1"/>
  <c r="AA407" i="3"/>
  <c r="AK388" i="6" s="1"/>
  <c r="AA191" i="3"/>
  <c r="AK172" i="6" s="1"/>
  <c r="AA352" i="3"/>
  <c r="AK333" i="6" s="1"/>
  <c r="AA324" i="3"/>
  <c r="AK305" i="6" s="1"/>
  <c r="AA45" i="3"/>
  <c r="AK26" i="6" s="1"/>
  <c r="AA320" i="3"/>
  <c r="AK301" i="6" s="1"/>
  <c r="AA79" i="3"/>
  <c r="AK60" i="6" s="1"/>
  <c r="AA59" i="3"/>
  <c r="AK40" i="6" s="1"/>
  <c r="AA264" i="3"/>
  <c r="AK245" i="6" s="1"/>
  <c r="AA301" i="3"/>
  <c r="AK282" i="6" s="1"/>
  <c r="AA152" i="3"/>
  <c r="AK133" i="6" s="1"/>
  <c r="AA158" i="3"/>
  <c r="AK139" i="6" s="1"/>
  <c r="AA88" i="3"/>
  <c r="AK69" i="6" s="1"/>
  <c r="AA360" i="3"/>
  <c r="AK341" i="6" s="1"/>
  <c r="AA345" i="3"/>
  <c r="AK326" i="6" s="1"/>
  <c r="AA190" i="3"/>
  <c r="AK171" i="6" s="1"/>
  <c r="AA160" i="3"/>
  <c r="AK141" i="6" s="1"/>
  <c r="AA209" i="3"/>
  <c r="AK190" i="6" s="1"/>
  <c r="AA90" i="3"/>
  <c r="AK71" i="6" s="1"/>
  <c r="AA291" i="3"/>
  <c r="AK272" i="6" s="1"/>
  <c r="AA222" i="3"/>
  <c r="AK203" i="6" s="1"/>
  <c r="AA114" i="3"/>
  <c r="AK95" i="6" s="1"/>
  <c r="AA297" i="3"/>
  <c r="AK278" i="6" s="1"/>
  <c r="AA397" i="3"/>
  <c r="AK378" i="6" s="1"/>
  <c r="AA296" i="3"/>
  <c r="AK277" i="6" s="1"/>
  <c r="AA400" i="3"/>
  <c r="AK381" i="6" s="1"/>
  <c r="AA333" i="3"/>
  <c r="AK314" i="6" s="1"/>
  <c r="AA367" i="3"/>
  <c r="AK348" i="6" s="1"/>
  <c r="AA271" i="3"/>
  <c r="AK252" i="6" s="1"/>
  <c r="AA311" i="3"/>
  <c r="AK292" i="6" s="1"/>
  <c r="AA391" i="3"/>
  <c r="AK372" i="6" s="1"/>
  <c r="AA159" i="3"/>
  <c r="AK140" i="6" s="1"/>
  <c r="AA174" i="3"/>
  <c r="AK155" i="6" s="1"/>
  <c r="AA193" i="3"/>
  <c r="AK174" i="6" s="1"/>
  <c r="AA328" i="3"/>
  <c r="AK309" i="6" s="1"/>
  <c r="AA402" i="3"/>
  <c r="AK383" i="6" s="1"/>
  <c r="AA275" i="3"/>
  <c r="AK256" i="6" s="1"/>
  <c r="AA164" i="3"/>
  <c r="AK145" i="6" s="1"/>
  <c r="AA134" i="3"/>
  <c r="AK115" i="6" s="1"/>
  <c r="AA288" i="3"/>
  <c r="AK269" i="6" s="1"/>
  <c r="AA115" i="3"/>
  <c r="AK96" i="6" s="1"/>
  <c r="AA309" i="3"/>
  <c r="AK290" i="6" s="1"/>
  <c r="AA62" i="3"/>
  <c r="AK43" i="6" s="1"/>
  <c r="AA128" i="3"/>
  <c r="AK109" i="6" s="1"/>
  <c r="AA231" i="3"/>
  <c r="AK212" i="6" s="1"/>
  <c r="AA91" i="3"/>
  <c r="AK72" i="6" s="1"/>
  <c r="AA179" i="3"/>
  <c r="AK160" i="6" s="1"/>
  <c r="AA171" i="3"/>
  <c r="AK152" i="6" s="1"/>
  <c r="AA364" i="3"/>
  <c r="AK345" i="6" s="1"/>
  <c r="AA182" i="3"/>
  <c r="AK163" i="6" s="1"/>
  <c r="AA316" i="3"/>
  <c r="AK297" i="6" s="1"/>
  <c r="AA290" i="3"/>
  <c r="AK271" i="6" s="1"/>
  <c r="AA29" i="3"/>
  <c r="BC29" i="6"/>
  <c r="BB29" i="6"/>
  <c r="BC20" i="6"/>
  <c r="BB20" i="6"/>
  <c r="AE10" i="3"/>
  <c r="AZ39" i="6"/>
  <c r="AY39" i="6"/>
  <c r="AX39" i="6"/>
  <c r="BA39" i="6" s="1"/>
  <c r="BB25" i="6"/>
  <c r="BC25" i="6"/>
  <c r="BC28" i="6"/>
  <c r="BB28" i="6"/>
  <c r="A11" i="7" a="1"/>
  <c r="A11" i="7" s="1"/>
  <c r="BB33" i="6"/>
  <c r="BC33" i="6"/>
  <c r="BC24" i="6"/>
  <c r="BB24" i="6"/>
  <c r="AZ36" i="6"/>
  <c r="AY36" i="6"/>
  <c r="AX36" i="6"/>
  <c r="BA36" i="6" s="1"/>
  <c r="S42" i="7"/>
  <c r="AW49" i="6" s="1"/>
  <c r="S38" i="7"/>
  <c r="AW45" i="6" s="1"/>
  <c r="S41" i="7"/>
  <c r="AW48" i="6" s="1"/>
  <c r="S37" i="7"/>
  <c r="AW44" i="6" s="1"/>
  <c r="S40" i="7"/>
  <c r="AW47" i="6" s="1"/>
  <c r="S36" i="7"/>
  <c r="AW43" i="6" s="1"/>
  <c r="S39" i="7"/>
  <c r="AW46" i="6" s="1"/>
  <c r="S35" i="7"/>
  <c r="AW42" i="6" s="1"/>
  <c r="E7" i="5"/>
  <c r="AZ40" i="6"/>
  <c r="AY40" i="6"/>
  <c r="AX40" i="6"/>
  <c r="BA40" i="6" s="1"/>
  <c r="E8" i="7" a="1"/>
  <c r="E8" i="7" s="1"/>
  <c r="S50" i="7"/>
  <c r="AW57" i="6" s="1"/>
  <c r="S46" i="7"/>
  <c r="AW53" i="6" s="1"/>
  <c r="S49" i="7"/>
  <c r="AW56" i="6" s="1"/>
  <c r="S45" i="7"/>
  <c r="AW52" i="6" s="1"/>
  <c r="S48" i="7"/>
  <c r="AW55" i="6" s="1"/>
  <c r="S44" i="7"/>
  <c r="AW51" i="6" s="1"/>
  <c r="S47" i="7"/>
  <c r="AW54" i="6" s="1"/>
  <c r="S43" i="7"/>
  <c r="AW50" i="6" s="1"/>
  <c r="F7" i="5"/>
  <c r="BC27" i="6"/>
  <c r="BB27" i="6"/>
  <c r="AX37" i="6"/>
  <c r="BA37" i="6" s="1"/>
  <c r="AZ37" i="6"/>
  <c r="AY37" i="6"/>
  <c r="J6" i="7"/>
  <c r="I6" i="7"/>
  <c r="H6" i="7"/>
  <c r="G6" i="7"/>
  <c r="F6" i="7"/>
  <c r="L6" i="7"/>
  <c r="M6" i="7"/>
  <c r="K6" i="7"/>
  <c r="BC21" i="6"/>
  <c r="BB21" i="6"/>
  <c r="BC31" i="6"/>
  <c r="BB31" i="6"/>
  <c r="R9" i="7" a="1"/>
  <c r="R9" i="7" s="1"/>
  <c r="AZ41" i="6"/>
  <c r="AY41" i="6"/>
  <c r="AX41" i="6"/>
  <c r="BA41" i="6" s="1"/>
  <c r="BC26" i="6"/>
  <c r="BB26" i="6"/>
  <c r="AX53" i="6" l="1"/>
  <c r="BA53" i="6" s="1"/>
  <c r="AZ53" i="6"/>
  <c r="AY53" i="6"/>
  <c r="P8" i="7"/>
  <c r="O8" i="7" a="1"/>
  <c r="O8" i="7" s="1"/>
  <c r="N8" i="7"/>
  <c r="D8" i="7"/>
  <c r="AZ47" i="6"/>
  <c r="AY47" i="6"/>
  <c r="AX47" i="6"/>
  <c r="BA47" i="6" s="1"/>
  <c r="T171" i="3"/>
  <c r="AH152" i="6"/>
  <c r="T288" i="3"/>
  <c r="AH269" i="6"/>
  <c r="T159" i="3"/>
  <c r="AH140" i="6"/>
  <c r="T397" i="3"/>
  <c r="AH378" i="6"/>
  <c r="T190" i="3"/>
  <c r="AH171" i="6"/>
  <c r="T59" i="3"/>
  <c r="AH40" i="6"/>
  <c r="T216" i="3"/>
  <c r="AH197" i="6"/>
  <c r="T366" i="3"/>
  <c r="AH347" i="6"/>
  <c r="T146" i="3"/>
  <c r="AH127" i="6"/>
  <c r="T204" i="3"/>
  <c r="AH185" i="6"/>
  <c r="T260" i="3"/>
  <c r="AH241" i="6"/>
  <c r="T303" i="3"/>
  <c r="AH284" i="6"/>
  <c r="T138" i="3"/>
  <c r="AH119" i="6"/>
  <c r="T282" i="3"/>
  <c r="AH263" i="6"/>
  <c r="T350" i="3"/>
  <c r="AH331" i="6"/>
  <c r="T155" i="3"/>
  <c r="AH136" i="6"/>
  <c r="T332" i="3"/>
  <c r="AH313" i="6"/>
  <c r="T202" i="3"/>
  <c r="AH183" i="6"/>
  <c r="T257" i="3"/>
  <c r="AH238" i="6"/>
  <c r="T131" i="3"/>
  <c r="AH112" i="6"/>
  <c r="T376" i="3"/>
  <c r="AH357" i="6"/>
  <c r="T177" i="3"/>
  <c r="AH158" i="6"/>
  <c r="T37" i="3"/>
  <c r="AH18" i="6"/>
  <c r="T63" i="3"/>
  <c r="AH44" i="6"/>
  <c r="T266" i="3"/>
  <c r="AH247" i="6"/>
  <c r="T318" i="3"/>
  <c r="AH299" i="6"/>
  <c r="T101" i="3"/>
  <c r="AH82" i="6"/>
  <c r="T224" i="3"/>
  <c r="AH205" i="6"/>
  <c r="T66" i="3"/>
  <c r="AH47" i="6"/>
  <c r="T53" i="3"/>
  <c r="AH34" i="6"/>
  <c r="T307" i="3"/>
  <c r="AH288" i="6"/>
  <c r="T195" i="3"/>
  <c r="AH176" i="6"/>
  <c r="T168" i="3"/>
  <c r="AH149" i="6"/>
  <c r="T240" i="3"/>
  <c r="AH221" i="6"/>
  <c r="T384" i="3"/>
  <c r="AH365" i="6"/>
  <c r="T74" i="3"/>
  <c r="AH55" i="6"/>
  <c r="T277" i="3"/>
  <c r="AH258" i="6"/>
  <c r="T147" i="3"/>
  <c r="AH128" i="6"/>
  <c r="T94" i="3"/>
  <c r="AH75" i="6"/>
  <c r="T52" i="3"/>
  <c r="AH33" i="6"/>
  <c r="T355" i="3"/>
  <c r="AH336" i="6"/>
  <c r="T237" i="3"/>
  <c r="AH218" i="6"/>
  <c r="T130" i="3"/>
  <c r="AH111" i="6"/>
  <c r="T98" i="3"/>
  <c r="AH79" i="6"/>
  <c r="T210" i="3"/>
  <c r="AH191" i="6"/>
  <c r="T111" i="3"/>
  <c r="AH92" i="6"/>
  <c r="T183" i="3"/>
  <c r="AH164" i="6"/>
  <c r="T369" i="3"/>
  <c r="AH350" i="6"/>
  <c r="BB41" i="6"/>
  <c r="BC41" i="6"/>
  <c r="AZ57" i="6"/>
  <c r="AY57" i="6"/>
  <c r="AX57" i="6"/>
  <c r="BA57" i="6" s="1"/>
  <c r="AZ44" i="6"/>
  <c r="AY44" i="6"/>
  <c r="AX44" i="6"/>
  <c r="BA44" i="6" s="1"/>
  <c r="T179" i="3"/>
  <c r="AH160" i="6"/>
  <c r="T134" i="3"/>
  <c r="AH115" i="6"/>
  <c r="T391" i="3"/>
  <c r="AH372" i="6"/>
  <c r="T297" i="3"/>
  <c r="AH278" i="6"/>
  <c r="T345" i="3"/>
  <c r="AH326" i="6"/>
  <c r="T79" i="3"/>
  <c r="AH60" i="6"/>
  <c r="T178" i="3"/>
  <c r="AH159" i="6"/>
  <c r="T381" i="3"/>
  <c r="AH362" i="6"/>
  <c r="T188" i="3"/>
  <c r="AH169" i="6"/>
  <c r="T281" i="3"/>
  <c r="AH262" i="6"/>
  <c r="T336" i="3"/>
  <c r="AH317" i="6"/>
  <c r="T300" i="3"/>
  <c r="AH281" i="6"/>
  <c r="T325" i="3"/>
  <c r="AH306" i="6"/>
  <c r="T394" i="3"/>
  <c r="AH375" i="6"/>
  <c r="T313" i="3"/>
  <c r="AH294" i="6"/>
  <c r="T234" i="3"/>
  <c r="AH215" i="6"/>
  <c r="T35" i="3"/>
  <c r="AH16" i="6"/>
  <c r="T283" i="3"/>
  <c r="AH264" i="6"/>
  <c r="T280" i="3"/>
  <c r="AH261" i="6"/>
  <c r="T129" i="3"/>
  <c r="AH110" i="6"/>
  <c r="T64" i="3"/>
  <c r="AH45" i="6"/>
  <c r="T361" i="3"/>
  <c r="AH342" i="6"/>
  <c r="T330" i="3"/>
  <c r="AH311" i="6"/>
  <c r="T254" i="3"/>
  <c r="AH235" i="6"/>
  <c r="T69" i="3"/>
  <c r="AH50" i="6"/>
  <c r="T383" i="3"/>
  <c r="AH364" i="6"/>
  <c r="T149" i="3"/>
  <c r="AH130" i="6"/>
  <c r="T161" i="3"/>
  <c r="AH142" i="6"/>
  <c r="T329" i="3"/>
  <c r="AH310" i="6"/>
  <c r="T198" i="3"/>
  <c r="AH179" i="6"/>
  <c r="T405" i="3"/>
  <c r="AH386" i="6"/>
  <c r="T356" i="3"/>
  <c r="AH337" i="6"/>
  <c r="T57" i="3"/>
  <c r="AH38" i="6"/>
  <c r="T233" i="3"/>
  <c r="AH214" i="6"/>
  <c r="T71" i="3"/>
  <c r="AH52" i="6"/>
  <c r="T265" i="3"/>
  <c r="AH246" i="6"/>
  <c r="T323" i="3"/>
  <c r="AH304" i="6"/>
  <c r="T378" i="3"/>
  <c r="AH359" i="6"/>
  <c r="T220" i="3"/>
  <c r="AH201" i="6"/>
  <c r="T289" i="3"/>
  <c r="AH270" i="6"/>
  <c r="T263" i="3"/>
  <c r="AH244" i="6"/>
  <c r="T151" i="3"/>
  <c r="AH132" i="6"/>
  <c r="T118" i="3"/>
  <c r="AH99" i="6"/>
  <c r="T65" i="3"/>
  <c r="AH46" i="6"/>
  <c r="T120" i="3"/>
  <c r="AH101" i="6"/>
  <c r="T83" i="3"/>
  <c r="AH64" i="6"/>
  <c r="T261" i="3"/>
  <c r="AH242" i="6"/>
  <c r="T31" i="3"/>
  <c r="AH12" i="6"/>
  <c r="BC35" i="6"/>
  <c r="BB35" i="6"/>
  <c r="AY50" i="6"/>
  <c r="AX50" i="6"/>
  <c r="BA50" i="6" s="1"/>
  <c r="AZ50" i="6"/>
  <c r="BC40" i="6"/>
  <c r="BB40" i="6"/>
  <c r="AZ48" i="6"/>
  <c r="AY48" i="6"/>
  <c r="AX48" i="6"/>
  <c r="BA48" i="6" s="1"/>
  <c r="BC36" i="6"/>
  <c r="BB36" i="6"/>
  <c r="T91" i="3"/>
  <c r="AH72" i="6"/>
  <c r="T164" i="3"/>
  <c r="AH145" i="6"/>
  <c r="T311" i="3"/>
  <c r="AH292" i="6"/>
  <c r="T114" i="3"/>
  <c r="AH95" i="6"/>
  <c r="T360" i="3"/>
  <c r="AH341" i="6"/>
  <c r="T320" i="3"/>
  <c r="AH301" i="6"/>
  <c r="T100" i="3"/>
  <c r="AH81" i="6"/>
  <c r="T270" i="3"/>
  <c r="AH251" i="6"/>
  <c r="T89" i="3"/>
  <c r="AH70" i="6"/>
  <c r="T388" i="3"/>
  <c r="AH369" i="6"/>
  <c r="T61" i="3"/>
  <c r="AH42" i="6"/>
  <c r="T167" i="3"/>
  <c r="AH148" i="6"/>
  <c r="T322" i="3"/>
  <c r="AH303" i="6"/>
  <c r="T259" i="3"/>
  <c r="AH240" i="6"/>
  <c r="T377" i="3"/>
  <c r="AH358" i="6"/>
  <c r="T176" i="3"/>
  <c r="AH157" i="6"/>
  <c r="T173" i="3"/>
  <c r="AH154" i="6"/>
  <c r="T156" i="3"/>
  <c r="AH137" i="6"/>
  <c r="T274" i="3"/>
  <c r="AH255" i="6"/>
  <c r="T51" i="3"/>
  <c r="AH32" i="6"/>
  <c r="T104" i="3"/>
  <c r="AH85" i="6"/>
  <c r="T354" i="3"/>
  <c r="AH335" i="6"/>
  <c r="T43" i="3"/>
  <c r="AH24" i="6"/>
  <c r="T258" i="3"/>
  <c r="AH239" i="6"/>
  <c r="T295" i="3"/>
  <c r="AH276" i="6"/>
  <c r="T34" i="3"/>
  <c r="AH15" i="6"/>
  <c r="T327" i="3"/>
  <c r="AH308" i="6"/>
  <c r="T41" i="3"/>
  <c r="AH22" i="6"/>
  <c r="T187" i="3"/>
  <c r="AH168" i="6"/>
  <c r="T253" i="3"/>
  <c r="AH234" i="6"/>
  <c r="T403" i="3"/>
  <c r="AH384" i="6"/>
  <c r="T287" i="3"/>
  <c r="AH268" i="6"/>
  <c r="T102" i="3"/>
  <c r="AH83" i="6"/>
  <c r="T408" i="3"/>
  <c r="AH389" i="6"/>
  <c r="T398" i="3"/>
  <c r="AH379" i="6"/>
  <c r="T331" i="3"/>
  <c r="AH312" i="6"/>
  <c r="T359" i="3"/>
  <c r="AH340" i="6"/>
  <c r="T166" i="3"/>
  <c r="AH147" i="6"/>
  <c r="T212" i="3"/>
  <c r="AH193" i="6"/>
  <c r="T241" i="3"/>
  <c r="AH222" i="6"/>
  <c r="T170" i="3"/>
  <c r="AH151" i="6"/>
  <c r="T110" i="3"/>
  <c r="AH91" i="6"/>
  <c r="T268" i="3"/>
  <c r="AH249" i="6"/>
  <c r="T140" i="3"/>
  <c r="AH121" i="6"/>
  <c r="T244" i="3"/>
  <c r="AH225" i="6"/>
  <c r="T411" i="3"/>
  <c r="AH392" i="6"/>
  <c r="T363" i="3"/>
  <c r="AH344" i="6"/>
  <c r="T390" i="3"/>
  <c r="AH371" i="6"/>
  <c r="S55" i="7"/>
  <c r="AW62" i="6" s="1"/>
  <c r="S57" i="7"/>
  <c r="AW64" i="6" s="1"/>
  <c r="S54" i="7"/>
  <c r="AW61" i="6" s="1"/>
  <c r="S58" i="7"/>
  <c r="AW65" i="6" s="1"/>
  <c r="S52" i="7"/>
  <c r="AW59" i="6" s="1"/>
  <c r="S56" i="7"/>
  <c r="AW63" i="6" s="1"/>
  <c r="S51" i="7"/>
  <c r="AW58" i="6" s="1"/>
  <c r="S53" i="7"/>
  <c r="AW60" i="6" s="1"/>
  <c r="G7" i="5"/>
  <c r="E9" i="7" a="1"/>
  <c r="E9" i="7" s="1"/>
  <c r="AZ54" i="6"/>
  <c r="AY54" i="6"/>
  <c r="AX54" i="6"/>
  <c r="BA54" i="6" s="1"/>
  <c r="AX45" i="6"/>
  <c r="BA45" i="6" s="1"/>
  <c r="AZ45" i="6"/>
  <c r="AY45" i="6"/>
  <c r="Y12" i="3"/>
  <c r="Y11" i="3" s="1"/>
  <c r="B19" i="5" s="1"/>
  <c r="X12" i="3"/>
  <c r="X11" i="3" s="1"/>
  <c r="B18" i="5" s="1"/>
  <c r="AK10" i="6"/>
  <c r="T231" i="3"/>
  <c r="AH212" i="6"/>
  <c r="T275" i="3"/>
  <c r="AH256" i="6"/>
  <c r="T271" i="3"/>
  <c r="AH252" i="6"/>
  <c r="T222" i="3"/>
  <c r="AH203" i="6"/>
  <c r="T88" i="3"/>
  <c r="AH69" i="6"/>
  <c r="T45" i="3"/>
  <c r="AH26" i="6"/>
  <c r="T80" i="3"/>
  <c r="AH61" i="6"/>
  <c r="T342" i="3"/>
  <c r="AH323" i="6"/>
  <c r="T126" i="3"/>
  <c r="AH107" i="6"/>
  <c r="T219" i="3"/>
  <c r="AH200" i="6"/>
  <c r="T186" i="3"/>
  <c r="AH167" i="6"/>
  <c r="T133" i="3"/>
  <c r="AH114" i="6"/>
  <c r="T153" i="3"/>
  <c r="AH134" i="6"/>
  <c r="T60" i="3"/>
  <c r="AH41" i="6"/>
  <c r="T236" i="3"/>
  <c r="AH217" i="6"/>
  <c r="T293" i="3"/>
  <c r="AH274" i="6"/>
  <c r="T246" i="3"/>
  <c r="AH227" i="6"/>
  <c r="T76" i="3"/>
  <c r="AH57" i="6"/>
  <c r="T123" i="3"/>
  <c r="AH104" i="6"/>
  <c r="T157" i="3"/>
  <c r="AH138" i="6"/>
  <c r="T214" i="3"/>
  <c r="AH195" i="6"/>
  <c r="T250" i="3"/>
  <c r="AH231" i="6"/>
  <c r="T44" i="3"/>
  <c r="AH25" i="6"/>
  <c r="T334" i="3"/>
  <c r="AH315" i="6"/>
  <c r="T108" i="3"/>
  <c r="AH89" i="6"/>
  <c r="T73" i="3"/>
  <c r="AH54" i="6"/>
  <c r="T48" i="3"/>
  <c r="AH29" i="6"/>
  <c r="T30" i="3"/>
  <c r="AH11" i="6"/>
  <c r="T75" i="3"/>
  <c r="AH56" i="6"/>
  <c r="T321" i="3"/>
  <c r="AH302" i="6"/>
  <c r="T338" i="3"/>
  <c r="AH319" i="6"/>
  <c r="T67" i="3"/>
  <c r="AH48" i="6"/>
  <c r="T374" i="3"/>
  <c r="AH355" i="6"/>
  <c r="T122" i="3"/>
  <c r="AH103" i="6"/>
  <c r="T276" i="3"/>
  <c r="AH257" i="6"/>
  <c r="T55" i="3"/>
  <c r="AH36" i="6"/>
  <c r="T106" i="3"/>
  <c r="AH87" i="6"/>
  <c r="T86" i="3"/>
  <c r="AH67" i="6"/>
  <c r="T97" i="3"/>
  <c r="AH78" i="6"/>
  <c r="T208" i="3"/>
  <c r="AH189" i="6"/>
  <c r="T326" i="3"/>
  <c r="AH307" i="6"/>
  <c r="T386" i="3"/>
  <c r="AH367" i="6"/>
  <c r="T412" i="3"/>
  <c r="AH393" i="6"/>
  <c r="T370" i="3"/>
  <c r="AH351" i="6"/>
  <c r="T213" i="3"/>
  <c r="AH194" i="6"/>
  <c r="T351" i="3"/>
  <c r="AH332" i="6"/>
  <c r="T117" i="3"/>
  <c r="AH98" i="6"/>
  <c r="AZ51" i="6"/>
  <c r="AY51" i="6"/>
  <c r="AX51" i="6"/>
  <c r="BA51" i="6" s="1"/>
  <c r="AZ49" i="6"/>
  <c r="AY49" i="6"/>
  <c r="AX49" i="6"/>
  <c r="BA49" i="6" s="1"/>
  <c r="BC39" i="6"/>
  <c r="BB39" i="6"/>
  <c r="T290" i="3"/>
  <c r="AH271" i="6"/>
  <c r="T128" i="3"/>
  <c r="AH109" i="6"/>
  <c r="T402" i="3"/>
  <c r="AH383" i="6"/>
  <c r="T367" i="3"/>
  <c r="AH348" i="6"/>
  <c r="T291" i="3"/>
  <c r="AH272" i="6"/>
  <c r="T158" i="3"/>
  <c r="AH139" i="6"/>
  <c r="T324" i="3"/>
  <c r="AH305" i="6"/>
  <c r="T215" i="3"/>
  <c r="AH196" i="6"/>
  <c r="T203" i="3"/>
  <c r="AH184" i="6"/>
  <c r="T96" i="3"/>
  <c r="AH77" i="6"/>
  <c r="T242" i="3"/>
  <c r="AH223" i="6"/>
  <c r="T145" i="3"/>
  <c r="AH126" i="6"/>
  <c r="T87" i="3"/>
  <c r="AH68" i="6"/>
  <c r="T298" i="3"/>
  <c r="AH279" i="6"/>
  <c r="T372" i="3"/>
  <c r="AH353" i="6"/>
  <c r="T389" i="3"/>
  <c r="AH370" i="6"/>
  <c r="T285" i="3"/>
  <c r="AH266" i="6"/>
  <c r="T95" i="3"/>
  <c r="AH76" i="6"/>
  <c r="T148" i="3"/>
  <c r="AH129" i="6"/>
  <c r="T232" i="3"/>
  <c r="AH213" i="6"/>
  <c r="T136" i="3"/>
  <c r="AH117" i="6"/>
  <c r="T92" i="3"/>
  <c r="AH73" i="6"/>
  <c r="T284" i="3"/>
  <c r="AH265" i="6"/>
  <c r="T340" i="3"/>
  <c r="AH321" i="6"/>
  <c r="T379" i="3"/>
  <c r="AH360" i="6"/>
  <c r="T399" i="3"/>
  <c r="AH380" i="6"/>
  <c r="T314" i="3"/>
  <c r="AH295" i="6"/>
  <c r="T382" i="3"/>
  <c r="AH363" i="6"/>
  <c r="T387" i="3"/>
  <c r="AH368" i="6"/>
  <c r="T310" i="3"/>
  <c r="AH291" i="6"/>
  <c r="T200" i="3"/>
  <c r="AH181" i="6"/>
  <c r="T319" i="3"/>
  <c r="AH300" i="6"/>
  <c r="T184" i="3"/>
  <c r="AH165" i="6"/>
  <c r="T141" i="3"/>
  <c r="AH122" i="6"/>
  <c r="T305" i="3"/>
  <c r="AH286" i="6"/>
  <c r="T119" i="3"/>
  <c r="AH100" i="6"/>
  <c r="T162" i="3"/>
  <c r="AH143" i="6"/>
  <c r="T228" i="3"/>
  <c r="AH209" i="6"/>
  <c r="T32" i="3"/>
  <c r="AH13" i="6"/>
  <c r="T251" i="3"/>
  <c r="AH232" i="6"/>
  <c r="T343" i="3"/>
  <c r="AH324" i="6"/>
  <c r="T54" i="3"/>
  <c r="AH35" i="6"/>
  <c r="T127" i="3"/>
  <c r="AH108" i="6"/>
  <c r="T137" i="3"/>
  <c r="AH118" i="6"/>
  <c r="T196" i="3"/>
  <c r="AH177" i="6"/>
  <c r="T294" i="3"/>
  <c r="AH275" i="6"/>
  <c r="T315" i="3"/>
  <c r="AH296" i="6"/>
  <c r="T392" i="3"/>
  <c r="AH373" i="6"/>
  <c r="AZ55" i="6"/>
  <c r="AY55" i="6"/>
  <c r="AX55" i="6"/>
  <c r="BA55" i="6" s="1"/>
  <c r="AY42" i="6"/>
  <c r="AX42" i="6"/>
  <c r="BA42" i="6" s="1"/>
  <c r="AZ42" i="6"/>
  <c r="T316" i="3"/>
  <c r="AH297" i="6"/>
  <c r="T62" i="3"/>
  <c r="AH43" i="6"/>
  <c r="T328" i="3"/>
  <c r="AH309" i="6"/>
  <c r="T333" i="3"/>
  <c r="AH314" i="6"/>
  <c r="T90" i="3"/>
  <c r="AH71" i="6"/>
  <c r="T152" i="3"/>
  <c r="AH133" i="6"/>
  <c r="T352" i="3"/>
  <c r="AH333" i="6"/>
  <c r="T346" i="3"/>
  <c r="AH327" i="6"/>
  <c r="T229" i="3"/>
  <c r="AH210" i="6"/>
  <c r="T47" i="3"/>
  <c r="AH28" i="6"/>
  <c r="T144" i="3"/>
  <c r="AH125" i="6"/>
  <c r="T99" i="3"/>
  <c r="AH80" i="6"/>
  <c r="T227" i="3"/>
  <c r="AH208" i="6"/>
  <c r="T292" i="3"/>
  <c r="AH273" i="6"/>
  <c r="T201" i="3"/>
  <c r="AH182" i="6"/>
  <c r="T238" i="3"/>
  <c r="AH219" i="6"/>
  <c r="T33" i="3"/>
  <c r="AH14" i="6"/>
  <c r="T302" i="3"/>
  <c r="AH283" i="6"/>
  <c r="T317" i="3"/>
  <c r="AH298" i="6"/>
  <c r="T306" i="3"/>
  <c r="AH287" i="6"/>
  <c r="T347" i="3"/>
  <c r="AH328" i="6"/>
  <c r="T81" i="3"/>
  <c r="AH62" i="6"/>
  <c r="T121" i="3"/>
  <c r="AH102" i="6"/>
  <c r="T353" i="3"/>
  <c r="AH334" i="6"/>
  <c r="T77" i="3"/>
  <c r="AH58" i="6"/>
  <c r="T112" i="3"/>
  <c r="AH93" i="6"/>
  <c r="T72" i="3"/>
  <c r="AH53" i="6"/>
  <c r="T42" i="3"/>
  <c r="AH23" i="6"/>
  <c r="T40" i="3"/>
  <c r="AH21" i="6"/>
  <c r="T252" i="3"/>
  <c r="AH233" i="6"/>
  <c r="T341" i="3"/>
  <c r="AH322" i="6"/>
  <c r="T375" i="3"/>
  <c r="AH356" i="6"/>
  <c r="T368" i="3"/>
  <c r="AH349" i="6"/>
  <c r="T279" i="3"/>
  <c r="AH260" i="6"/>
  <c r="T169" i="3"/>
  <c r="AH150" i="6"/>
  <c r="T385" i="3"/>
  <c r="AH366" i="6"/>
  <c r="T344" i="3"/>
  <c r="AH325" i="6"/>
  <c r="T380" i="3"/>
  <c r="AH361" i="6"/>
  <c r="T262" i="3"/>
  <c r="AH243" i="6"/>
  <c r="T286" i="3"/>
  <c r="AH267" i="6"/>
  <c r="T205" i="3"/>
  <c r="AH186" i="6"/>
  <c r="T70" i="3"/>
  <c r="AH51" i="6"/>
  <c r="T85" i="3"/>
  <c r="AH66" i="6"/>
  <c r="T410" i="3"/>
  <c r="AH391" i="6"/>
  <c r="T143" i="3"/>
  <c r="AH124" i="6"/>
  <c r="T239" i="3"/>
  <c r="AH220" i="6"/>
  <c r="T221" i="3"/>
  <c r="AH202" i="6"/>
  <c r="T248" i="3"/>
  <c r="AH229" i="6"/>
  <c r="BC37" i="6"/>
  <c r="BB37" i="6"/>
  <c r="AZ52" i="6"/>
  <c r="AY52" i="6"/>
  <c r="AX52" i="6"/>
  <c r="BA52" i="6" s="1"/>
  <c r="AZ46" i="6"/>
  <c r="AY46" i="6"/>
  <c r="AX46" i="6"/>
  <c r="BA46" i="6" s="1"/>
  <c r="T182" i="3"/>
  <c r="AH163" i="6"/>
  <c r="T309" i="3"/>
  <c r="AH290" i="6"/>
  <c r="T193" i="3"/>
  <c r="AH174" i="6"/>
  <c r="T400" i="3"/>
  <c r="AH381" i="6"/>
  <c r="T209" i="3"/>
  <c r="AH190" i="6"/>
  <c r="T301" i="3"/>
  <c r="AH282" i="6"/>
  <c r="T191" i="3"/>
  <c r="AH172" i="6"/>
  <c r="T105" i="3"/>
  <c r="AH86" i="6"/>
  <c r="T235" i="3"/>
  <c r="AH216" i="6"/>
  <c r="T304" i="3"/>
  <c r="AH285" i="6"/>
  <c r="T358" i="3"/>
  <c r="AH339" i="6"/>
  <c r="T165" i="3"/>
  <c r="AH146" i="6"/>
  <c r="T357" i="3"/>
  <c r="AH338" i="6"/>
  <c r="T192" i="3"/>
  <c r="AH173" i="6"/>
  <c r="T308" i="3"/>
  <c r="AH289" i="6"/>
  <c r="T107" i="3"/>
  <c r="AH88" i="6"/>
  <c r="T256" i="3"/>
  <c r="AH237" i="6"/>
  <c r="T371" i="3"/>
  <c r="AH352" i="6"/>
  <c r="T365" i="3"/>
  <c r="AH346" i="6"/>
  <c r="T404" i="3"/>
  <c r="AH385" i="6"/>
  <c r="T217" i="3"/>
  <c r="AH198" i="6"/>
  <c r="T272" i="3"/>
  <c r="AH253" i="6"/>
  <c r="T312" i="3"/>
  <c r="AH293" i="6"/>
  <c r="T93" i="3"/>
  <c r="AH74" i="6"/>
  <c r="T78" i="3"/>
  <c r="AH59" i="6"/>
  <c r="T230" i="3"/>
  <c r="AH211" i="6"/>
  <c r="T247" i="3"/>
  <c r="AH228" i="6"/>
  <c r="T218" i="3"/>
  <c r="AH199" i="6"/>
  <c r="T142" i="3"/>
  <c r="AH123" i="6"/>
  <c r="T339" i="3"/>
  <c r="AH320" i="6"/>
  <c r="T113" i="3"/>
  <c r="AH94" i="6"/>
  <c r="T68" i="3"/>
  <c r="AH49" i="6"/>
  <c r="T255" i="3"/>
  <c r="AH236" i="6"/>
  <c r="T172" i="3"/>
  <c r="AH153" i="6"/>
  <c r="T226" i="3"/>
  <c r="AH207" i="6"/>
  <c r="T211" i="3"/>
  <c r="AH192" i="6"/>
  <c r="T223" i="3"/>
  <c r="AH204" i="6"/>
  <c r="T393" i="3"/>
  <c r="AH374" i="6"/>
  <c r="T39" i="3"/>
  <c r="AH20" i="6"/>
  <c r="T132" i="3"/>
  <c r="AH113" i="6"/>
  <c r="T49" i="3"/>
  <c r="AH30" i="6"/>
  <c r="T335" i="3"/>
  <c r="AH316" i="6"/>
  <c r="T36" i="3"/>
  <c r="AH17" i="6"/>
  <c r="T103" i="3"/>
  <c r="AH84" i="6"/>
  <c r="T267" i="3"/>
  <c r="AH248" i="6"/>
  <c r="T349" i="3"/>
  <c r="AH330" i="6"/>
  <c r="T139" i="3"/>
  <c r="AH120" i="6"/>
  <c r="T181" i="3"/>
  <c r="AH162" i="6"/>
  <c r="R10" i="7" a="1"/>
  <c r="R10" i="7" s="1"/>
  <c r="R11" i="7" s="1" a="1"/>
  <c r="R11" i="7" s="1"/>
  <c r="BC34" i="6"/>
  <c r="BB34" i="6"/>
  <c r="A12" i="7" a="1"/>
  <c r="A12" i="7" s="1"/>
  <c r="AX8" i="7" s="1" a="1"/>
  <c r="AX8" i="7" s="1"/>
  <c r="F7" i="7"/>
  <c r="M7" i="7"/>
  <c r="L7" i="7"/>
  <c r="K7" i="7"/>
  <c r="J7" i="7"/>
  <c r="I7" i="7"/>
  <c r="H7" i="7"/>
  <c r="G7" i="7"/>
  <c r="AZ56" i="6"/>
  <c r="AY56" i="6"/>
  <c r="AX56" i="6"/>
  <c r="BA56" i="6" s="1"/>
  <c r="AZ43" i="6"/>
  <c r="AY43" i="6"/>
  <c r="AX43" i="6"/>
  <c r="BA43" i="6" s="1"/>
  <c r="T364" i="3"/>
  <c r="AH345" i="6"/>
  <c r="T115" i="3"/>
  <c r="AH96" i="6"/>
  <c r="T174" i="3"/>
  <c r="AH155" i="6"/>
  <c r="T296" i="3"/>
  <c r="AH277" i="6"/>
  <c r="T160" i="3"/>
  <c r="AH141" i="6"/>
  <c r="T264" i="3"/>
  <c r="AH245" i="6"/>
  <c r="T407" i="3"/>
  <c r="AH388" i="6"/>
  <c r="T84" i="3"/>
  <c r="AH65" i="6"/>
  <c r="T199" i="3"/>
  <c r="AH180" i="6"/>
  <c r="T46" i="3"/>
  <c r="AH27" i="6"/>
  <c r="T396" i="3"/>
  <c r="AH377" i="6"/>
  <c r="T175" i="3"/>
  <c r="AH156" i="6"/>
  <c r="T50" i="3"/>
  <c r="AH31" i="6"/>
  <c r="T406" i="3"/>
  <c r="AH387" i="6"/>
  <c r="T56" i="3"/>
  <c r="AH37" i="6"/>
  <c r="T189" i="3"/>
  <c r="AH170" i="6"/>
  <c r="T243" i="3"/>
  <c r="AH224" i="6"/>
  <c r="T116" i="3"/>
  <c r="AH97" i="6"/>
  <c r="T409" i="3"/>
  <c r="AH390" i="6"/>
  <c r="T58" i="3"/>
  <c r="AH39" i="6"/>
  <c r="T373" i="3"/>
  <c r="AH354" i="6"/>
  <c r="T185" i="3"/>
  <c r="AH166" i="6"/>
  <c r="T225" i="3"/>
  <c r="AH206" i="6"/>
  <c r="T154" i="3"/>
  <c r="AH135" i="6"/>
  <c r="T124" i="3"/>
  <c r="AH105" i="6"/>
  <c r="T249" i="3"/>
  <c r="AH230" i="6"/>
  <c r="T163" i="3"/>
  <c r="AH144" i="6"/>
  <c r="T278" i="3"/>
  <c r="AH259" i="6"/>
  <c r="T135" i="3"/>
  <c r="AH116" i="6"/>
  <c r="T82" i="3"/>
  <c r="AH63" i="6"/>
  <c r="T269" i="3"/>
  <c r="AH250" i="6"/>
  <c r="T194" i="3"/>
  <c r="AH175" i="6"/>
  <c r="T395" i="3"/>
  <c r="AH376" i="6"/>
  <c r="T197" i="3"/>
  <c r="AH178" i="6"/>
  <c r="T273" i="3"/>
  <c r="AH254" i="6"/>
  <c r="T348" i="3"/>
  <c r="AH329" i="6"/>
  <c r="T245" i="3"/>
  <c r="AH226" i="6"/>
  <c r="T206" i="3"/>
  <c r="AH187" i="6"/>
  <c r="T401" i="3"/>
  <c r="AH382" i="6"/>
  <c r="T299" i="3"/>
  <c r="AH280" i="6"/>
  <c r="T362" i="3"/>
  <c r="AH343" i="6"/>
  <c r="T207" i="3"/>
  <c r="AH188" i="6"/>
  <c r="T337" i="3"/>
  <c r="AH318" i="6"/>
  <c r="T180" i="3"/>
  <c r="AH161" i="6"/>
  <c r="T125" i="3"/>
  <c r="AH106" i="6"/>
  <c r="T109" i="3"/>
  <c r="AH90" i="6"/>
  <c r="T38" i="3"/>
  <c r="AH19" i="6"/>
  <c r="T150" i="3"/>
  <c r="AH131" i="6"/>
  <c r="BC38" i="6"/>
  <c r="BB38" i="6"/>
  <c r="AX9" i="7" l="1" a="1"/>
  <c r="AX9" i="7" s="1"/>
  <c r="AX4" i="7" a="1"/>
  <c r="AX4" i="7" s="1"/>
  <c r="S74" i="7"/>
  <c r="AW81" i="6" s="1"/>
  <c r="S70" i="7"/>
  <c r="AW77" i="6" s="1"/>
  <c r="S73" i="7"/>
  <c r="AW80" i="6" s="1"/>
  <c r="S69" i="7"/>
  <c r="AW76" i="6" s="1"/>
  <c r="S72" i="7"/>
  <c r="AW79" i="6" s="1"/>
  <c r="S68" i="7"/>
  <c r="AW75" i="6" s="1"/>
  <c r="S71" i="7"/>
  <c r="AW78" i="6" s="1"/>
  <c r="S67" i="7"/>
  <c r="AW74" i="6" s="1"/>
  <c r="I7" i="5"/>
  <c r="R12" i="7" a="1"/>
  <c r="R12" i="7" s="1"/>
  <c r="R125" i="3"/>
  <c r="AJ106" i="6"/>
  <c r="W125" i="3" s="1"/>
  <c r="AP106" i="6"/>
  <c r="R362" i="3"/>
  <c r="AP343" i="6"/>
  <c r="AJ343" i="6"/>
  <c r="W362" i="3" s="1"/>
  <c r="R245" i="3"/>
  <c r="AP226" i="6"/>
  <c r="AJ226" i="6"/>
  <c r="W245" i="3" s="1"/>
  <c r="AJ376" i="6"/>
  <c r="W395" i="3" s="1"/>
  <c r="R395" i="3"/>
  <c r="AP376" i="6"/>
  <c r="R135" i="3"/>
  <c r="AJ116" i="6"/>
  <c r="W135" i="3" s="1"/>
  <c r="AP116" i="6"/>
  <c r="R124" i="3"/>
  <c r="AJ105" i="6"/>
  <c r="W124" i="3" s="1"/>
  <c r="AP105" i="6"/>
  <c r="R373" i="3"/>
  <c r="AP354" i="6"/>
  <c r="AJ354" i="6"/>
  <c r="W373" i="3" s="1"/>
  <c r="AJ224" i="6"/>
  <c r="W243" i="3" s="1"/>
  <c r="R243" i="3"/>
  <c r="AP224" i="6"/>
  <c r="R50" i="3"/>
  <c r="AJ31" i="6"/>
  <c r="W50" i="3" s="1"/>
  <c r="AP31" i="6"/>
  <c r="R199" i="3"/>
  <c r="AJ180" i="6"/>
  <c r="W199" i="3" s="1"/>
  <c r="AP180" i="6"/>
  <c r="R160" i="3"/>
  <c r="AJ141" i="6"/>
  <c r="W160" i="3" s="1"/>
  <c r="AP141" i="6"/>
  <c r="R364" i="3"/>
  <c r="AJ345" i="6"/>
  <c r="W364" i="3" s="1"/>
  <c r="AP345" i="6"/>
  <c r="R267" i="3"/>
  <c r="AP248" i="6"/>
  <c r="AJ248" i="6"/>
  <c r="W267" i="3" s="1"/>
  <c r="R49" i="3"/>
  <c r="AJ30" i="6"/>
  <c r="W49" i="3" s="1"/>
  <c r="AP30" i="6"/>
  <c r="R223" i="3"/>
  <c r="AJ204" i="6"/>
  <c r="W223" i="3" s="1"/>
  <c r="AP204" i="6"/>
  <c r="R255" i="3"/>
  <c r="AP236" i="6"/>
  <c r="AJ236" i="6"/>
  <c r="W255" i="3" s="1"/>
  <c r="R142" i="3"/>
  <c r="AJ123" i="6"/>
  <c r="W142" i="3" s="1"/>
  <c r="AP123" i="6"/>
  <c r="AJ59" i="6"/>
  <c r="W78" i="3" s="1"/>
  <c r="R78" i="3"/>
  <c r="AP59" i="6"/>
  <c r="R217" i="3"/>
  <c r="AP198" i="6"/>
  <c r="AJ198" i="6"/>
  <c r="W217" i="3" s="1"/>
  <c r="AJ237" i="6"/>
  <c r="W256" i="3" s="1"/>
  <c r="R256" i="3"/>
  <c r="AP237" i="6"/>
  <c r="AJ338" i="6"/>
  <c r="W357" i="3" s="1"/>
  <c r="R357" i="3"/>
  <c r="AP338" i="6"/>
  <c r="R235" i="3"/>
  <c r="AJ216" i="6"/>
  <c r="W235" i="3" s="1"/>
  <c r="AP216" i="6"/>
  <c r="R209" i="3"/>
  <c r="AP190" i="6"/>
  <c r="AJ190" i="6"/>
  <c r="W209" i="3" s="1"/>
  <c r="R182" i="3"/>
  <c r="AJ163" i="6"/>
  <c r="W182" i="3" s="1"/>
  <c r="AP163" i="6"/>
  <c r="AJ229" i="6"/>
  <c r="W248" i="3" s="1"/>
  <c r="R248" i="3"/>
  <c r="AP229" i="6"/>
  <c r="R410" i="3"/>
  <c r="AJ391" i="6"/>
  <c r="W410" i="3" s="1"/>
  <c r="AP391" i="6"/>
  <c r="R286" i="3"/>
  <c r="AJ267" i="6"/>
  <c r="W286" i="3" s="1"/>
  <c r="AP267" i="6"/>
  <c r="R385" i="3"/>
  <c r="AJ366" i="6"/>
  <c r="W385" i="3" s="1"/>
  <c r="AP366" i="6"/>
  <c r="R375" i="3"/>
  <c r="AJ356" i="6"/>
  <c r="W375" i="3" s="1"/>
  <c r="AP356" i="6"/>
  <c r="AJ23" i="6"/>
  <c r="W42" i="3" s="1"/>
  <c r="R42" i="3"/>
  <c r="AP23" i="6"/>
  <c r="R353" i="3"/>
  <c r="AJ334" i="6"/>
  <c r="W353" i="3" s="1"/>
  <c r="AP334" i="6"/>
  <c r="R306" i="3"/>
  <c r="AP287" i="6"/>
  <c r="AJ287" i="6"/>
  <c r="W306" i="3" s="1"/>
  <c r="AJ219" i="6"/>
  <c r="W238" i="3" s="1"/>
  <c r="R238" i="3"/>
  <c r="AP219" i="6"/>
  <c r="AJ80" i="6"/>
  <c r="W99" i="3" s="1"/>
  <c r="R99" i="3"/>
  <c r="AP80" i="6"/>
  <c r="R346" i="3"/>
  <c r="AP327" i="6"/>
  <c r="AJ327" i="6"/>
  <c r="W346" i="3" s="1"/>
  <c r="R333" i="3"/>
  <c r="AP314" i="6"/>
  <c r="AJ314" i="6"/>
  <c r="W333" i="3" s="1"/>
  <c r="BC42" i="6"/>
  <c r="BB42" i="6"/>
  <c r="R315" i="3"/>
  <c r="AP296" i="6"/>
  <c r="AJ296" i="6"/>
  <c r="W315" i="3" s="1"/>
  <c r="R127" i="3"/>
  <c r="AP108" i="6"/>
  <c r="AJ108" i="6"/>
  <c r="W127" i="3" s="1"/>
  <c r="R32" i="3"/>
  <c r="AJ13" i="6"/>
  <c r="W32" i="3" s="1"/>
  <c r="AP13" i="6"/>
  <c r="BA7" i="7" a="1"/>
  <c r="BA7" i="7" s="1"/>
  <c r="R305" i="3"/>
  <c r="AJ286" i="6"/>
  <c r="W305" i="3" s="1"/>
  <c r="AP286" i="6"/>
  <c r="R200" i="3"/>
  <c r="AP181" i="6"/>
  <c r="AJ181" i="6"/>
  <c r="W200" i="3" s="1"/>
  <c r="AJ295" i="6"/>
  <c r="W314" i="3" s="1"/>
  <c r="R314" i="3"/>
  <c r="AP295" i="6"/>
  <c r="AJ265" i="6"/>
  <c r="W284" i="3" s="1"/>
  <c r="R284" i="3"/>
  <c r="AP265" i="6"/>
  <c r="R148" i="3"/>
  <c r="AJ129" i="6"/>
  <c r="W148" i="3" s="1"/>
  <c r="AP129" i="6"/>
  <c r="R372" i="3"/>
  <c r="AP353" i="6"/>
  <c r="AJ353" i="6"/>
  <c r="W372" i="3" s="1"/>
  <c r="R242" i="3"/>
  <c r="AP223" i="6"/>
  <c r="AJ223" i="6"/>
  <c r="W242" i="3" s="1"/>
  <c r="R324" i="3"/>
  <c r="AP305" i="6"/>
  <c r="AJ305" i="6"/>
  <c r="W324" i="3" s="1"/>
  <c r="R402" i="3"/>
  <c r="AJ383" i="6"/>
  <c r="W402" i="3" s="1"/>
  <c r="AP383" i="6"/>
  <c r="BC54" i="6"/>
  <c r="BB54" i="6"/>
  <c r="AX61" i="6"/>
  <c r="BA61" i="6" s="1"/>
  <c r="AZ61" i="6"/>
  <c r="AY61" i="6"/>
  <c r="R83" i="3"/>
  <c r="AJ64" i="6"/>
  <c r="W83" i="3" s="1"/>
  <c r="AP64" i="6"/>
  <c r="R151" i="3"/>
  <c r="AJ132" i="6"/>
  <c r="W151" i="3" s="1"/>
  <c r="AP132" i="6"/>
  <c r="R378" i="3"/>
  <c r="AJ359" i="6"/>
  <c r="W378" i="3" s="1"/>
  <c r="AP359" i="6"/>
  <c r="R233" i="3"/>
  <c r="AP214" i="6"/>
  <c r="AJ214" i="6"/>
  <c r="W233" i="3" s="1"/>
  <c r="R198" i="3"/>
  <c r="AJ179" i="6"/>
  <c r="W198" i="3" s="1"/>
  <c r="AP179" i="6"/>
  <c r="R383" i="3"/>
  <c r="AP364" i="6"/>
  <c r="AJ364" i="6"/>
  <c r="W383" i="3" s="1"/>
  <c r="AJ342" i="6"/>
  <c r="W361" i="3" s="1"/>
  <c r="R361" i="3"/>
  <c r="AP342" i="6"/>
  <c r="R283" i="3"/>
  <c r="AJ264" i="6"/>
  <c r="W283" i="3" s="1"/>
  <c r="AP264" i="6"/>
  <c r="R394" i="3"/>
  <c r="AJ375" i="6"/>
  <c r="W394" i="3" s="1"/>
  <c r="AP375" i="6"/>
  <c r="R281" i="3"/>
  <c r="AP262" i="6"/>
  <c r="AJ262" i="6"/>
  <c r="W281" i="3" s="1"/>
  <c r="R79" i="3"/>
  <c r="AJ60" i="6"/>
  <c r="W79" i="3" s="1"/>
  <c r="AP60" i="6"/>
  <c r="AJ115" i="6"/>
  <c r="W134" i="3" s="1"/>
  <c r="R134" i="3"/>
  <c r="AP115" i="6"/>
  <c r="BC51" i="6"/>
  <c r="BB51" i="6"/>
  <c r="R213" i="3"/>
  <c r="AP194" i="6"/>
  <c r="AJ194" i="6"/>
  <c r="W213" i="3" s="1"/>
  <c r="R326" i="3"/>
  <c r="AJ307" i="6"/>
  <c r="W326" i="3" s="1"/>
  <c r="AP307" i="6"/>
  <c r="R106" i="3"/>
  <c r="AJ87" i="6"/>
  <c r="W106" i="3" s="1"/>
  <c r="AP87" i="6"/>
  <c r="AJ355" i="6"/>
  <c r="W374" i="3" s="1"/>
  <c r="R374" i="3"/>
  <c r="AP355" i="6"/>
  <c r="R75" i="3"/>
  <c r="AJ56" i="6"/>
  <c r="W75" i="3" s="1"/>
  <c r="AP56" i="6"/>
  <c r="R108" i="3"/>
  <c r="AJ89" i="6"/>
  <c r="W108" i="3" s="1"/>
  <c r="AP89" i="6"/>
  <c r="R214" i="3"/>
  <c r="AP195" i="6"/>
  <c r="AJ195" i="6"/>
  <c r="W214" i="3" s="1"/>
  <c r="R246" i="3"/>
  <c r="AP227" i="6"/>
  <c r="AJ227" i="6"/>
  <c r="W246" i="3" s="1"/>
  <c r="R153" i="3"/>
  <c r="AJ134" i="6"/>
  <c r="W153" i="3" s="1"/>
  <c r="AP134" i="6"/>
  <c r="AJ107" i="6"/>
  <c r="W126" i="3" s="1"/>
  <c r="R126" i="3"/>
  <c r="AP107" i="6"/>
  <c r="R88" i="3"/>
  <c r="AP69" i="6"/>
  <c r="AJ69" i="6"/>
  <c r="W88" i="3" s="1"/>
  <c r="AJ212" i="6"/>
  <c r="W231" i="3" s="1"/>
  <c r="R231" i="3"/>
  <c r="AP212" i="6"/>
  <c r="AZ64" i="6"/>
  <c r="AY64" i="6"/>
  <c r="AX64" i="6"/>
  <c r="BA64" i="6" s="1"/>
  <c r="R244" i="3"/>
  <c r="AJ225" i="6"/>
  <c r="W244" i="3" s="1"/>
  <c r="AP225" i="6"/>
  <c r="R170" i="3"/>
  <c r="AJ151" i="6"/>
  <c r="W170" i="3" s="1"/>
  <c r="AP151" i="6"/>
  <c r="R359" i="3"/>
  <c r="AP340" i="6"/>
  <c r="AJ340" i="6"/>
  <c r="W359" i="3" s="1"/>
  <c r="AJ83" i="6"/>
  <c r="W102" i="3" s="1"/>
  <c r="R102" i="3"/>
  <c r="AP83" i="6"/>
  <c r="R187" i="3"/>
  <c r="AJ168" i="6"/>
  <c r="W187" i="3" s="1"/>
  <c r="AP168" i="6"/>
  <c r="R295" i="3"/>
  <c r="AJ276" i="6"/>
  <c r="W295" i="3" s="1"/>
  <c r="AP276" i="6"/>
  <c r="R104" i="3"/>
  <c r="AJ85" i="6"/>
  <c r="W104" i="3" s="1"/>
  <c r="AP85" i="6"/>
  <c r="AJ154" i="6"/>
  <c r="W173" i="3" s="1"/>
  <c r="R173" i="3"/>
  <c r="AP154" i="6"/>
  <c r="R322" i="3"/>
  <c r="AJ303" i="6"/>
  <c r="W322" i="3" s="1"/>
  <c r="AP303" i="6"/>
  <c r="R89" i="3"/>
  <c r="AJ70" i="6"/>
  <c r="W89" i="3" s="1"/>
  <c r="AP70" i="6"/>
  <c r="AJ341" i="6"/>
  <c r="W360" i="3" s="1"/>
  <c r="R360" i="3"/>
  <c r="AP341" i="6"/>
  <c r="R91" i="3"/>
  <c r="AJ72" i="6"/>
  <c r="W91" i="3" s="1"/>
  <c r="AP72" i="6"/>
  <c r="BC50" i="6"/>
  <c r="BB50" i="6"/>
  <c r="R111" i="3"/>
  <c r="AJ92" i="6"/>
  <c r="W111" i="3" s="1"/>
  <c r="AP92" i="6"/>
  <c r="R237" i="3"/>
  <c r="AP218" i="6"/>
  <c r="AJ218" i="6"/>
  <c r="W237" i="3" s="1"/>
  <c r="R147" i="3"/>
  <c r="AJ128" i="6"/>
  <c r="W147" i="3" s="1"/>
  <c r="AP128" i="6"/>
  <c r="R240" i="3"/>
  <c r="AJ221" i="6"/>
  <c r="W240" i="3" s="1"/>
  <c r="AP221" i="6"/>
  <c r="R53" i="3"/>
  <c r="AP34" i="6"/>
  <c r="AJ34" i="6"/>
  <c r="W53" i="3" s="1"/>
  <c r="R318" i="3"/>
  <c r="AJ299" i="6"/>
  <c r="W318" i="3" s="1"/>
  <c r="AP299" i="6"/>
  <c r="R177" i="3"/>
  <c r="AP158" i="6"/>
  <c r="AJ158" i="6"/>
  <c r="W177" i="3" s="1"/>
  <c r="AJ183" i="6"/>
  <c r="W202" i="3" s="1"/>
  <c r="R202" i="3"/>
  <c r="AP183" i="6"/>
  <c r="R282" i="3"/>
  <c r="AJ263" i="6"/>
  <c r="W282" i="3" s="1"/>
  <c r="AP263" i="6"/>
  <c r="R204" i="3"/>
  <c r="AP185" i="6"/>
  <c r="AJ185" i="6"/>
  <c r="W204" i="3" s="1"/>
  <c r="R59" i="3"/>
  <c r="AJ40" i="6"/>
  <c r="W59" i="3" s="1"/>
  <c r="AP40" i="6"/>
  <c r="R288" i="3"/>
  <c r="AJ269" i="6"/>
  <c r="W288" i="3" s="1"/>
  <c r="AP269" i="6"/>
  <c r="R181" i="3"/>
  <c r="AP162" i="6"/>
  <c r="AJ162" i="6"/>
  <c r="W181" i="3" s="1"/>
  <c r="R103" i="3"/>
  <c r="AJ84" i="6"/>
  <c r="W103" i="3" s="1"/>
  <c r="AP84" i="6"/>
  <c r="AJ113" i="6"/>
  <c r="W132" i="3" s="1"/>
  <c r="R132" i="3"/>
  <c r="AP113" i="6"/>
  <c r="R211" i="3"/>
  <c r="AJ192" i="6"/>
  <c r="W211" i="3" s="1"/>
  <c r="AP192" i="6"/>
  <c r="R68" i="3"/>
  <c r="AJ49" i="6"/>
  <c r="W68" i="3" s="1"/>
  <c r="AP49" i="6"/>
  <c r="R218" i="3"/>
  <c r="AP199" i="6"/>
  <c r="AJ199" i="6"/>
  <c r="W218" i="3" s="1"/>
  <c r="R93" i="3"/>
  <c r="AJ74" i="6"/>
  <c r="W93" i="3" s="1"/>
  <c r="AP74" i="6"/>
  <c r="R404" i="3"/>
  <c r="AJ385" i="6"/>
  <c r="W404" i="3" s="1"/>
  <c r="AP385" i="6"/>
  <c r="R107" i="3"/>
  <c r="AJ88" i="6"/>
  <c r="W107" i="3" s="1"/>
  <c r="AP88" i="6"/>
  <c r="R165" i="3"/>
  <c r="AP146" i="6"/>
  <c r="AJ146" i="6"/>
  <c r="W165" i="3" s="1"/>
  <c r="R105" i="3"/>
  <c r="AP86" i="6"/>
  <c r="AJ86" i="6"/>
  <c r="W105" i="3" s="1"/>
  <c r="R400" i="3"/>
  <c r="AJ381" i="6"/>
  <c r="W400" i="3" s="1"/>
  <c r="AP381" i="6"/>
  <c r="R221" i="3"/>
  <c r="AP202" i="6"/>
  <c r="AJ202" i="6"/>
  <c r="W221" i="3" s="1"/>
  <c r="R85" i="3"/>
  <c r="AJ66" i="6"/>
  <c r="W85" i="3" s="1"/>
  <c r="AP66" i="6"/>
  <c r="R262" i="3"/>
  <c r="AP243" i="6"/>
  <c r="AJ243" i="6"/>
  <c r="W262" i="3" s="1"/>
  <c r="R169" i="3"/>
  <c r="AP150" i="6"/>
  <c r="AJ150" i="6"/>
  <c r="W169" i="3" s="1"/>
  <c r="R341" i="3"/>
  <c r="AJ322" i="6"/>
  <c r="W341" i="3" s="1"/>
  <c r="AP322" i="6"/>
  <c r="R72" i="3"/>
  <c r="AJ53" i="6"/>
  <c r="W72" i="3" s="1"/>
  <c r="AP53" i="6"/>
  <c r="R121" i="3"/>
  <c r="AP102" i="6"/>
  <c r="AJ102" i="6"/>
  <c r="W121" i="3" s="1"/>
  <c r="R317" i="3"/>
  <c r="AP298" i="6"/>
  <c r="AJ298" i="6"/>
  <c r="W317" i="3" s="1"/>
  <c r="R201" i="3"/>
  <c r="AP182" i="6"/>
  <c r="AJ182" i="6"/>
  <c r="W201" i="3" s="1"/>
  <c r="AJ125" i="6"/>
  <c r="W144" i="3" s="1"/>
  <c r="R144" i="3"/>
  <c r="AP125" i="6"/>
  <c r="R352" i="3"/>
  <c r="AJ333" i="6"/>
  <c r="W352" i="3" s="1"/>
  <c r="AP333" i="6"/>
  <c r="AJ309" i="6"/>
  <c r="W328" i="3" s="1"/>
  <c r="R328" i="3"/>
  <c r="AP309" i="6"/>
  <c r="R294" i="3"/>
  <c r="AJ275" i="6"/>
  <c r="W294" i="3" s="1"/>
  <c r="AP275" i="6"/>
  <c r="AJ35" i="6"/>
  <c r="W54" i="3" s="1"/>
  <c r="R54" i="3"/>
  <c r="AP35" i="6"/>
  <c r="R228" i="3"/>
  <c r="AJ209" i="6"/>
  <c r="W228" i="3" s="1"/>
  <c r="AP209" i="6"/>
  <c r="R141" i="3"/>
  <c r="AP122" i="6"/>
  <c r="AJ122" i="6"/>
  <c r="W141" i="3" s="1"/>
  <c r="R310" i="3"/>
  <c r="AJ291" i="6"/>
  <c r="W310" i="3" s="1"/>
  <c r="AP291" i="6"/>
  <c r="R399" i="3"/>
  <c r="AP380" i="6"/>
  <c r="AJ380" i="6"/>
  <c r="W399" i="3" s="1"/>
  <c r="R92" i="3"/>
  <c r="AJ73" i="6"/>
  <c r="W92" i="3" s="1"/>
  <c r="AP73" i="6"/>
  <c r="R95" i="3"/>
  <c r="AJ76" i="6"/>
  <c r="W95" i="3" s="1"/>
  <c r="AP76" i="6"/>
  <c r="R298" i="3"/>
  <c r="AJ279" i="6"/>
  <c r="W298" i="3" s="1"/>
  <c r="AP279" i="6"/>
  <c r="AJ77" i="6"/>
  <c r="W96" i="3" s="1"/>
  <c r="R96" i="3"/>
  <c r="AP77" i="6"/>
  <c r="AJ139" i="6"/>
  <c r="W158" i="3" s="1"/>
  <c r="R158" i="3"/>
  <c r="AP139" i="6"/>
  <c r="R128" i="3"/>
  <c r="AJ109" i="6"/>
  <c r="W128" i="3" s="1"/>
  <c r="AP109" i="6"/>
  <c r="N9" i="7"/>
  <c r="D9" i="7"/>
  <c r="P9" i="7"/>
  <c r="O9" i="7" a="1"/>
  <c r="O9" i="7" s="1"/>
  <c r="E10" i="7" a="1"/>
  <c r="E10" i="7" s="1"/>
  <c r="AZ62" i="6"/>
  <c r="AY62" i="6"/>
  <c r="AX62" i="6"/>
  <c r="BA62" i="6" s="1"/>
  <c r="BC48" i="6"/>
  <c r="BB48" i="6"/>
  <c r="R120" i="3"/>
  <c r="AP101" i="6"/>
  <c r="AJ101" i="6"/>
  <c r="W120" i="3" s="1"/>
  <c r="R263" i="3"/>
  <c r="AJ244" i="6"/>
  <c r="W263" i="3" s="1"/>
  <c r="AP244" i="6"/>
  <c r="R323" i="3"/>
  <c r="AP304" i="6"/>
  <c r="AJ304" i="6"/>
  <c r="W323" i="3" s="1"/>
  <c r="R57" i="3"/>
  <c r="AJ38" i="6"/>
  <c r="W57" i="3" s="1"/>
  <c r="AP38" i="6"/>
  <c r="R329" i="3"/>
  <c r="AP310" i="6"/>
  <c r="AJ310" i="6"/>
  <c r="W329" i="3" s="1"/>
  <c r="R69" i="3"/>
  <c r="AJ50" i="6"/>
  <c r="W69" i="3" s="1"/>
  <c r="AP50" i="6"/>
  <c r="AJ45" i="6"/>
  <c r="W64" i="3" s="1"/>
  <c r="R64" i="3"/>
  <c r="AP45" i="6"/>
  <c r="R35" i="3"/>
  <c r="AJ16" i="6"/>
  <c r="W35" i="3" s="1"/>
  <c r="BA10" i="7" a="1"/>
  <c r="BA10" i="7" s="1"/>
  <c r="AP16" i="6"/>
  <c r="R325" i="3"/>
  <c r="AJ306" i="6"/>
  <c r="W325" i="3" s="1"/>
  <c r="AP306" i="6"/>
  <c r="R188" i="3"/>
  <c r="AJ169" i="6"/>
  <c r="W188" i="3" s="1"/>
  <c r="AP169" i="6"/>
  <c r="R345" i="3"/>
  <c r="AP326" i="6"/>
  <c r="AJ326" i="6"/>
  <c r="W345" i="3" s="1"/>
  <c r="R179" i="3"/>
  <c r="AP160" i="6"/>
  <c r="AJ160" i="6"/>
  <c r="W179" i="3" s="1"/>
  <c r="BC44" i="6"/>
  <c r="BB44" i="6"/>
  <c r="BC53" i="6"/>
  <c r="BB53" i="6"/>
  <c r="G57" i="6"/>
  <c r="C57" i="6" s="1"/>
  <c r="G206" i="6"/>
  <c r="C206" i="6" s="1"/>
  <c r="G121" i="6"/>
  <c r="C121" i="6" s="1"/>
  <c r="G230" i="6"/>
  <c r="C230" i="6" s="1"/>
  <c r="G132" i="6"/>
  <c r="C132" i="6" s="1"/>
  <c r="G154" i="6"/>
  <c r="C154" i="6" s="1"/>
  <c r="G106" i="6"/>
  <c r="C106" i="6" s="1"/>
  <c r="G135" i="6"/>
  <c r="C135" i="6" s="1"/>
  <c r="G251" i="6"/>
  <c r="C251" i="6" s="1"/>
  <c r="G115" i="6"/>
  <c r="C115" i="6" s="1"/>
  <c r="G373" i="6"/>
  <c r="C373" i="6" s="1"/>
  <c r="G245" i="6"/>
  <c r="C245" i="6" s="1"/>
  <c r="G150" i="6"/>
  <c r="C150" i="6" s="1"/>
  <c r="G66" i="6"/>
  <c r="C66" i="6" s="1"/>
  <c r="G62" i="6"/>
  <c r="C62" i="6" s="1"/>
  <c r="G353" i="6"/>
  <c r="C353" i="6" s="1"/>
  <c r="G174" i="6"/>
  <c r="C174" i="6" s="1"/>
  <c r="G356" i="6"/>
  <c r="C356" i="6" s="1"/>
  <c r="G364" i="6"/>
  <c r="C364" i="6" s="1"/>
  <c r="G208" i="6"/>
  <c r="C208" i="6" s="1"/>
  <c r="G289" i="6"/>
  <c r="C289" i="6" s="1"/>
  <c r="G130" i="6"/>
  <c r="C130" i="6" s="1"/>
  <c r="G243" i="6"/>
  <c r="C243" i="6" s="1"/>
  <c r="G252" i="6"/>
  <c r="C252" i="6" s="1"/>
  <c r="G334" i="6"/>
  <c r="C334" i="6" s="1"/>
  <c r="G312" i="6"/>
  <c r="C312" i="6" s="1"/>
  <c r="G129" i="6"/>
  <c r="C129" i="6" s="1"/>
  <c r="G201" i="6"/>
  <c r="C201" i="6" s="1"/>
  <c r="G75" i="6"/>
  <c r="C75" i="6" s="1"/>
  <c r="G103" i="6"/>
  <c r="C103" i="6" s="1"/>
  <c r="G147" i="6"/>
  <c r="C147" i="6" s="1"/>
  <c r="G375" i="6"/>
  <c r="C375" i="6" s="1"/>
  <c r="G68" i="6"/>
  <c r="C68" i="6" s="1"/>
  <c r="G231" i="6"/>
  <c r="C231" i="6" s="1"/>
  <c r="G71" i="6"/>
  <c r="C71" i="6" s="1"/>
  <c r="G178" i="6"/>
  <c r="C178" i="6" s="1"/>
  <c r="G84" i="6"/>
  <c r="C84" i="6" s="1"/>
  <c r="G19" i="6"/>
  <c r="C19" i="6" s="1"/>
  <c r="G220" i="6"/>
  <c r="C220" i="6" s="1"/>
  <c r="G388" i="6"/>
  <c r="C388" i="6" s="1"/>
  <c r="G386" i="6"/>
  <c r="C386" i="6" s="1"/>
  <c r="G155" i="6"/>
  <c r="C155" i="6" s="1"/>
  <c r="G329" i="6"/>
  <c r="C329" i="6" s="1"/>
  <c r="G77" i="6"/>
  <c r="C77" i="6" s="1"/>
  <c r="G34" i="6"/>
  <c r="C34" i="6" s="1"/>
  <c r="G98" i="6"/>
  <c r="C98" i="6" s="1"/>
  <c r="G128" i="6"/>
  <c r="C128" i="6" s="1"/>
  <c r="G295" i="6"/>
  <c r="C295" i="6" s="1"/>
  <c r="G185" i="6"/>
  <c r="C185" i="6" s="1"/>
  <c r="G282" i="6"/>
  <c r="C282" i="6" s="1"/>
  <c r="G26" i="6"/>
  <c r="C26" i="6" s="1"/>
  <c r="G372" i="6"/>
  <c r="C372" i="6" s="1"/>
  <c r="G216" i="6"/>
  <c r="C216" i="6" s="1"/>
  <c r="G292" i="6"/>
  <c r="C292" i="6" s="1"/>
  <c r="G343" i="6"/>
  <c r="C343" i="6" s="1"/>
  <c r="G268" i="6"/>
  <c r="C268" i="6" s="1"/>
  <c r="G275" i="6"/>
  <c r="C275" i="6" s="1"/>
  <c r="G362" i="6"/>
  <c r="C362" i="6" s="1"/>
  <c r="G112" i="6"/>
  <c r="C112" i="6" s="1"/>
  <c r="G177" i="6"/>
  <c r="C177" i="6" s="1"/>
  <c r="G261" i="6"/>
  <c r="C261" i="6" s="1"/>
  <c r="G229" i="6"/>
  <c r="C229" i="6" s="1"/>
  <c r="G134" i="6"/>
  <c r="C134" i="6" s="1"/>
  <c r="G317" i="6"/>
  <c r="C317" i="6" s="1"/>
  <c r="G285" i="6"/>
  <c r="C285" i="6" s="1"/>
  <c r="G298" i="6"/>
  <c r="C298" i="6" s="1"/>
  <c r="G158" i="6"/>
  <c r="C158" i="6" s="1"/>
  <c r="G281" i="6"/>
  <c r="C281" i="6" s="1"/>
  <c r="G326" i="6"/>
  <c r="C326" i="6" s="1"/>
  <c r="G238" i="6"/>
  <c r="C238" i="6" s="1"/>
  <c r="G351" i="6"/>
  <c r="C351" i="6" s="1"/>
  <c r="G277" i="6"/>
  <c r="C277" i="6" s="1"/>
  <c r="G247" i="6"/>
  <c r="C247" i="6" s="1"/>
  <c r="G376" i="6"/>
  <c r="C376" i="6" s="1"/>
  <c r="G387" i="6"/>
  <c r="C387" i="6" s="1"/>
  <c r="G163" i="6"/>
  <c r="C163" i="6" s="1"/>
  <c r="G171" i="6"/>
  <c r="C171" i="6" s="1"/>
  <c r="G107" i="6"/>
  <c r="C107" i="6" s="1"/>
  <c r="G85" i="6"/>
  <c r="C85" i="6" s="1"/>
  <c r="G31" i="6"/>
  <c r="C31" i="6" s="1"/>
  <c r="G94" i="6"/>
  <c r="C94" i="6" s="1"/>
  <c r="G269" i="6"/>
  <c r="C269" i="6" s="1"/>
  <c r="G345" i="6"/>
  <c r="C345" i="6" s="1"/>
  <c r="G346" i="6"/>
  <c r="C346" i="6" s="1"/>
  <c r="G232" i="6"/>
  <c r="C232" i="6" s="1"/>
  <c r="G41" i="6"/>
  <c r="C41" i="6" s="1"/>
  <c r="G114" i="6"/>
  <c r="C114" i="6" s="1"/>
  <c r="G205" i="6"/>
  <c r="C205" i="6" s="1"/>
  <c r="G272" i="6"/>
  <c r="C272" i="6" s="1"/>
  <c r="G378" i="6"/>
  <c r="C378" i="6" s="1"/>
  <c r="G349" i="6"/>
  <c r="C349" i="6" s="1"/>
  <c r="G79" i="6"/>
  <c r="C79" i="6" s="1"/>
  <c r="G95" i="6"/>
  <c r="C95" i="6" s="1"/>
  <c r="G42" i="6"/>
  <c r="C42" i="6" s="1"/>
  <c r="G148" i="6"/>
  <c r="C148" i="6" s="1"/>
  <c r="G21" i="6"/>
  <c r="C21" i="6" s="1"/>
  <c r="G319" i="6"/>
  <c r="C319" i="6" s="1"/>
  <c r="G80" i="6"/>
  <c r="C80" i="6" s="1"/>
  <c r="G149" i="6"/>
  <c r="C149" i="6" s="1"/>
  <c r="G290" i="6"/>
  <c r="C290" i="6" s="1"/>
  <c r="G284" i="6"/>
  <c r="C284" i="6" s="1"/>
  <c r="G300" i="6"/>
  <c r="C300" i="6" s="1"/>
  <c r="G102" i="6"/>
  <c r="C102" i="6" s="1"/>
  <c r="G109" i="6"/>
  <c r="C109" i="6" s="1"/>
  <c r="G311" i="6"/>
  <c r="C311" i="6" s="1"/>
  <c r="G29" i="6"/>
  <c r="C29" i="6" s="1"/>
  <c r="G256" i="6"/>
  <c r="C256" i="6" s="1"/>
  <c r="G108" i="6"/>
  <c r="C108" i="6" s="1"/>
  <c r="G187" i="6"/>
  <c r="C187" i="6" s="1"/>
  <c r="G170" i="6"/>
  <c r="C170" i="6" s="1"/>
  <c r="G151" i="6"/>
  <c r="C151" i="6" s="1"/>
  <c r="G365" i="6"/>
  <c r="C365" i="6" s="1"/>
  <c r="G43" i="6"/>
  <c r="C43" i="6" s="1"/>
  <c r="G193" i="6"/>
  <c r="C193" i="6" s="1"/>
  <c r="G361" i="6"/>
  <c r="C361" i="6" s="1"/>
  <c r="G234" i="6"/>
  <c r="C234" i="6" s="1"/>
  <c r="G257" i="6"/>
  <c r="C257" i="6" s="1"/>
  <c r="G53" i="6"/>
  <c r="C53" i="6" s="1"/>
  <c r="G255" i="6"/>
  <c r="C255" i="6" s="1"/>
  <c r="G100" i="6"/>
  <c r="C100" i="6" s="1"/>
  <c r="G320" i="6"/>
  <c r="C320" i="6" s="1"/>
  <c r="G374" i="6"/>
  <c r="C374" i="6" s="1"/>
  <c r="G236" i="6"/>
  <c r="C236" i="6" s="1"/>
  <c r="G164" i="6"/>
  <c r="C164" i="6" s="1"/>
  <c r="G217" i="6"/>
  <c r="C217" i="6" s="1"/>
  <c r="G83" i="6"/>
  <c r="C83" i="6" s="1"/>
  <c r="G73" i="6"/>
  <c r="C73" i="6" s="1"/>
  <c r="G64" i="6"/>
  <c r="C64" i="6" s="1"/>
  <c r="G302" i="6"/>
  <c r="C302" i="6" s="1"/>
  <c r="G48" i="6"/>
  <c r="C48" i="6" s="1"/>
  <c r="G44" i="6"/>
  <c r="C44" i="6" s="1"/>
  <c r="G265" i="6"/>
  <c r="C265" i="6" s="1"/>
  <c r="G96" i="6"/>
  <c r="C96" i="6" s="1"/>
  <c r="G54" i="6"/>
  <c r="C54" i="6" s="1"/>
  <c r="G210" i="6"/>
  <c r="C210" i="6" s="1"/>
  <c r="G13" i="6"/>
  <c r="C13" i="6" s="1"/>
  <c r="G371" i="6"/>
  <c r="C371" i="6" s="1"/>
  <c r="G335" i="6"/>
  <c r="C335" i="6" s="1"/>
  <c r="G237" i="6"/>
  <c r="C237" i="6" s="1"/>
  <c r="G215" i="6"/>
  <c r="C215" i="6" s="1"/>
  <c r="G36" i="6"/>
  <c r="C36" i="6" s="1"/>
  <c r="G81" i="6"/>
  <c r="C81" i="6" s="1"/>
  <c r="G12" i="6"/>
  <c r="C12" i="6" s="1"/>
  <c r="G176" i="6"/>
  <c r="C176" i="6" s="1"/>
  <c r="G93" i="6"/>
  <c r="C93" i="6" s="1"/>
  <c r="G119" i="6"/>
  <c r="C119" i="6" s="1"/>
  <c r="G202" i="6"/>
  <c r="C202" i="6" s="1"/>
  <c r="G39" i="6"/>
  <c r="C39" i="6" s="1"/>
  <c r="G330" i="6"/>
  <c r="C330" i="6" s="1"/>
  <c r="G191" i="6"/>
  <c r="C191" i="6" s="1"/>
  <c r="G224" i="6"/>
  <c r="C224" i="6" s="1"/>
  <c r="G144" i="6"/>
  <c r="C144" i="6" s="1"/>
  <c r="G88" i="6"/>
  <c r="C88" i="6" s="1"/>
  <c r="G239" i="6"/>
  <c r="C239" i="6" s="1"/>
  <c r="G183" i="6"/>
  <c r="C183" i="6" s="1"/>
  <c r="G328" i="6"/>
  <c r="C328" i="6" s="1"/>
  <c r="G336" i="6"/>
  <c r="C336" i="6" s="1"/>
  <c r="G145" i="6"/>
  <c r="C145" i="6" s="1"/>
  <c r="G322" i="6"/>
  <c r="C322" i="6" s="1"/>
  <c r="G264" i="6"/>
  <c r="C264" i="6" s="1"/>
  <c r="G393" i="6"/>
  <c r="C393" i="6" s="1"/>
  <c r="G137" i="6"/>
  <c r="C137" i="6" s="1"/>
  <c r="G263" i="6"/>
  <c r="C263" i="6" s="1"/>
  <c r="G126" i="6"/>
  <c r="C126" i="6" s="1"/>
  <c r="G213" i="6"/>
  <c r="C213" i="6" s="1"/>
  <c r="G260" i="6"/>
  <c r="C260" i="6" s="1"/>
  <c r="G357" i="6"/>
  <c r="C357" i="6" s="1"/>
  <c r="G173" i="6"/>
  <c r="C173" i="6" s="1"/>
  <c r="G156" i="6"/>
  <c r="C156" i="6" s="1"/>
  <c r="G152" i="6"/>
  <c r="C152" i="6" s="1"/>
  <c r="G35" i="6"/>
  <c r="C35" i="6" s="1"/>
  <c r="G385" i="6"/>
  <c r="C385" i="6" s="1"/>
  <c r="G162" i="6"/>
  <c r="C162" i="6" s="1"/>
  <c r="G337" i="6"/>
  <c r="C337" i="6" s="1"/>
  <c r="G18" i="6"/>
  <c r="C18" i="6" s="1"/>
  <c r="G390" i="6"/>
  <c r="C390" i="6" s="1"/>
  <c r="G288" i="6"/>
  <c r="C288" i="6" s="1"/>
  <c r="G104" i="6"/>
  <c r="C104" i="6" s="1"/>
  <c r="G309" i="6"/>
  <c r="C309" i="6" s="1"/>
  <c r="G182" i="6"/>
  <c r="C182" i="6" s="1"/>
  <c r="G179" i="6"/>
  <c r="C179" i="6" s="1"/>
  <c r="G354" i="6"/>
  <c r="C354" i="6" s="1"/>
  <c r="G159" i="6"/>
  <c r="C159" i="6" s="1"/>
  <c r="G141" i="6"/>
  <c r="C141" i="6" s="1"/>
  <c r="G180" i="6"/>
  <c r="C180" i="6" s="1"/>
  <c r="G52" i="6"/>
  <c r="C52" i="6" s="1"/>
  <c r="G82" i="6"/>
  <c r="C82" i="6" s="1"/>
  <c r="G11" i="6"/>
  <c r="C11" i="6" s="1"/>
  <c r="G78" i="6"/>
  <c r="C78" i="6" s="1"/>
  <c r="G198" i="6"/>
  <c r="C198" i="6" s="1"/>
  <c r="G287" i="6"/>
  <c r="C287" i="6" s="1"/>
  <c r="G146" i="6"/>
  <c r="C146" i="6" s="1"/>
  <c r="G306" i="6"/>
  <c r="C306" i="6" s="1"/>
  <c r="G20" i="6"/>
  <c r="C20" i="6" s="1"/>
  <c r="G310" i="6"/>
  <c r="C310" i="6" s="1"/>
  <c r="G273" i="6"/>
  <c r="C273" i="6" s="1"/>
  <c r="G76" i="6"/>
  <c r="C76" i="6" s="1"/>
  <c r="G348" i="6"/>
  <c r="C348" i="6" s="1"/>
  <c r="G72" i="6"/>
  <c r="C72" i="6" s="1"/>
  <c r="G175" i="6"/>
  <c r="C175" i="6" s="1"/>
  <c r="G242" i="6"/>
  <c r="C242" i="6" s="1"/>
  <c r="G153" i="6"/>
  <c r="C153" i="6" s="1"/>
  <c r="G280" i="6"/>
  <c r="C280" i="6" s="1"/>
  <c r="G190" i="6"/>
  <c r="C190" i="6" s="1"/>
  <c r="G123" i="6"/>
  <c r="C123" i="6" s="1"/>
  <c r="G142" i="6"/>
  <c r="C142" i="6" s="1"/>
  <c r="G381" i="6"/>
  <c r="C381" i="6" s="1"/>
  <c r="G279" i="6"/>
  <c r="C279" i="6" s="1"/>
  <c r="G22" i="6"/>
  <c r="C22" i="6" s="1"/>
  <c r="G339" i="6"/>
  <c r="C339" i="6" s="1"/>
  <c r="G140" i="6"/>
  <c r="C140" i="6" s="1"/>
  <c r="G111" i="6"/>
  <c r="C111" i="6" s="1"/>
  <c r="G307" i="6"/>
  <c r="C307" i="6" s="1"/>
  <c r="G50" i="6"/>
  <c r="C50" i="6" s="1"/>
  <c r="G203" i="6"/>
  <c r="C203" i="6" s="1"/>
  <c r="G222" i="6"/>
  <c r="C222" i="6" s="1"/>
  <c r="G332" i="6"/>
  <c r="C332" i="6" s="1"/>
  <c r="G327" i="6"/>
  <c r="C327" i="6" s="1"/>
  <c r="G296" i="6"/>
  <c r="C296" i="6" s="1"/>
  <c r="G304" i="6"/>
  <c r="C304" i="6" s="1"/>
  <c r="G248" i="6"/>
  <c r="C248" i="6" s="1"/>
  <c r="G301" i="6"/>
  <c r="C301" i="6" s="1"/>
  <c r="G165" i="6"/>
  <c r="C165" i="6" s="1"/>
  <c r="G99" i="6"/>
  <c r="C99" i="6" s="1"/>
  <c r="G118" i="6"/>
  <c r="C118" i="6" s="1"/>
  <c r="G270" i="6"/>
  <c r="C270" i="6" s="1"/>
  <c r="G105" i="6"/>
  <c r="C105" i="6" s="1"/>
  <c r="G384" i="6"/>
  <c r="C384" i="6" s="1"/>
  <c r="G69" i="6"/>
  <c r="C69" i="6" s="1"/>
  <c r="G120" i="6"/>
  <c r="C120" i="6" s="1"/>
  <c r="G383" i="6"/>
  <c r="C383" i="6" s="1"/>
  <c r="G211" i="6"/>
  <c r="C211" i="6" s="1"/>
  <c r="G16" i="6"/>
  <c r="C16" i="6" s="1"/>
  <c r="G225" i="6"/>
  <c r="C225" i="6" s="1"/>
  <c r="G250" i="6"/>
  <c r="C250" i="6" s="1"/>
  <c r="G127" i="6"/>
  <c r="C127" i="6" s="1"/>
  <c r="G209" i="6"/>
  <c r="C209" i="6" s="1"/>
  <c r="G274" i="6"/>
  <c r="C274" i="6" s="1"/>
  <c r="G58" i="6"/>
  <c r="C58" i="6" s="1"/>
  <c r="G262" i="6"/>
  <c r="C262" i="6" s="1"/>
  <c r="G63" i="6"/>
  <c r="C63" i="6" s="1"/>
  <c r="G350" i="6"/>
  <c r="C350" i="6" s="1"/>
  <c r="G379" i="6"/>
  <c r="C379" i="6" s="1"/>
  <c r="G65" i="6"/>
  <c r="C65" i="6" s="1"/>
  <c r="G51" i="6"/>
  <c r="C51" i="6" s="1"/>
  <c r="G212" i="6"/>
  <c r="C212" i="6" s="1"/>
  <c r="G221" i="6"/>
  <c r="C221" i="6" s="1"/>
  <c r="G28" i="6"/>
  <c r="C28" i="6" s="1"/>
  <c r="G61" i="6"/>
  <c r="C61" i="6" s="1"/>
  <c r="G258" i="6"/>
  <c r="C258" i="6" s="1"/>
  <c r="G340" i="6"/>
  <c r="C340" i="6" s="1"/>
  <c r="G131" i="6"/>
  <c r="C131" i="6" s="1"/>
  <c r="G92" i="6"/>
  <c r="C92" i="6" s="1"/>
  <c r="G267" i="6"/>
  <c r="C267" i="6" s="1"/>
  <c r="G204" i="6"/>
  <c r="C204" i="6" s="1"/>
  <c r="G363" i="6"/>
  <c r="C363" i="6" s="1"/>
  <c r="G391" i="6"/>
  <c r="C391" i="6" s="1"/>
  <c r="G125" i="6"/>
  <c r="C125" i="6" s="1"/>
  <c r="G136" i="6"/>
  <c r="C136" i="6" s="1"/>
  <c r="G196" i="6"/>
  <c r="C196" i="6" s="1"/>
  <c r="G226" i="6"/>
  <c r="C226" i="6" s="1"/>
  <c r="G124" i="6"/>
  <c r="C124" i="6" s="1"/>
  <c r="G341" i="6"/>
  <c r="C341" i="6" s="1"/>
  <c r="G241" i="6"/>
  <c r="C241" i="6" s="1"/>
  <c r="AX11" i="7" a="1"/>
  <c r="AX11" i="7" s="1"/>
  <c r="G14" i="6"/>
  <c r="C14" i="6" s="1"/>
  <c r="G117" i="6"/>
  <c r="C117" i="6" s="1"/>
  <c r="G389" i="6"/>
  <c r="C389" i="6" s="1"/>
  <c r="G314" i="6"/>
  <c r="C314" i="6" s="1"/>
  <c r="G15" i="6"/>
  <c r="C15" i="6" s="1"/>
  <c r="G172" i="6"/>
  <c r="C172" i="6" s="1"/>
  <c r="G86" i="6"/>
  <c r="C86" i="6" s="1"/>
  <c r="G331" i="6"/>
  <c r="C331" i="6" s="1"/>
  <c r="G291" i="6"/>
  <c r="C291" i="6" s="1"/>
  <c r="G218" i="6"/>
  <c r="C218" i="6" s="1"/>
  <c r="G188" i="6"/>
  <c r="C188" i="6" s="1"/>
  <c r="G194" i="6"/>
  <c r="C194" i="6" s="1"/>
  <c r="G45" i="6"/>
  <c r="C45" i="6" s="1"/>
  <c r="G38" i="6"/>
  <c r="C38" i="6" s="1"/>
  <c r="G347" i="6"/>
  <c r="C347" i="6" s="1"/>
  <c r="G313" i="6"/>
  <c r="C313" i="6" s="1"/>
  <c r="G60" i="6"/>
  <c r="C60" i="6" s="1"/>
  <c r="G324" i="6"/>
  <c r="C324" i="6" s="1"/>
  <c r="G299" i="6"/>
  <c r="C299" i="6" s="1"/>
  <c r="G271" i="6"/>
  <c r="C271" i="6" s="1"/>
  <c r="G197" i="6"/>
  <c r="C197" i="6" s="1"/>
  <c r="G352" i="6"/>
  <c r="C352" i="6" s="1"/>
  <c r="G161" i="6"/>
  <c r="C161" i="6" s="1"/>
  <c r="G214" i="6"/>
  <c r="C214" i="6" s="1"/>
  <c r="G227" i="6"/>
  <c r="C227" i="6" s="1"/>
  <c r="G192" i="6"/>
  <c r="C192" i="6" s="1"/>
  <c r="G253" i="6"/>
  <c r="C253" i="6" s="1"/>
  <c r="G344" i="6"/>
  <c r="C344" i="6" s="1"/>
  <c r="G366" i="6"/>
  <c r="C366" i="6" s="1"/>
  <c r="G97" i="6"/>
  <c r="C97" i="6" s="1"/>
  <c r="G25" i="6"/>
  <c r="C25" i="6" s="1"/>
  <c r="G101" i="6"/>
  <c r="C101" i="6" s="1"/>
  <c r="G392" i="6"/>
  <c r="C392" i="6" s="1"/>
  <c r="G89" i="6"/>
  <c r="C89" i="6" s="1"/>
  <c r="G87" i="6"/>
  <c r="C87" i="6" s="1"/>
  <c r="G186" i="6"/>
  <c r="C186" i="6" s="1"/>
  <c r="G321" i="6"/>
  <c r="C321" i="6" s="1"/>
  <c r="G46" i="6"/>
  <c r="C46" i="6" s="1"/>
  <c r="G367" i="6"/>
  <c r="C367" i="6" s="1"/>
  <c r="G32" i="6"/>
  <c r="C32" i="6" s="1"/>
  <c r="G316" i="6"/>
  <c r="C316" i="6" s="1"/>
  <c r="G122" i="6"/>
  <c r="C122" i="6" s="1"/>
  <c r="G315" i="6"/>
  <c r="C315" i="6" s="1"/>
  <c r="G17" i="6"/>
  <c r="C17" i="6" s="1"/>
  <c r="G276" i="6"/>
  <c r="C276" i="6" s="1"/>
  <c r="G199" i="6"/>
  <c r="C199" i="6" s="1"/>
  <c r="G59" i="6"/>
  <c r="C59" i="6" s="1"/>
  <c r="G157" i="6"/>
  <c r="C157" i="6" s="1"/>
  <c r="G167" i="6"/>
  <c r="C167" i="6" s="1"/>
  <c r="G325" i="6"/>
  <c r="C325" i="6" s="1"/>
  <c r="G49" i="6"/>
  <c r="C49" i="6" s="1"/>
  <c r="G200" i="6"/>
  <c r="C200" i="6" s="1"/>
  <c r="G30" i="6"/>
  <c r="C30" i="6" s="1"/>
  <c r="G233" i="6"/>
  <c r="C233" i="6" s="1"/>
  <c r="G380" i="6"/>
  <c r="C380" i="6" s="1"/>
  <c r="G338" i="6"/>
  <c r="C338" i="6" s="1"/>
  <c r="G266" i="6"/>
  <c r="C266" i="6" s="1"/>
  <c r="G113" i="6"/>
  <c r="C113" i="6" s="1"/>
  <c r="G166" i="6"/>
  <c r="C166" i="6" s="1"/>
  <c r="G24" i="6"/>
  <c r="C24" i="6" s="1"/>
  <c r="G56" i="6"/>
  <c r="C56" i="6" s="1"/>
  <c r="G133" i="6"/>
  <c r="C133" i="6" s="1"/>
  <c r="G254" i="6"/>
  <c r="C254" i="6" s="1"/>
  <c r="G67" i="6"/>
  <c r="C67" i="6" s="1"/>
  <c r="G116" i="6"/>
  <c r="C116" i="6" s="1"/>
  <c r="G47" i="6"/>
  <c r="C47" i="6" s="1"/>
  <c r="G228" i="6"/>
  <c r="C228" i="6" s="1"/>
  <c r="G27" i="6"/>
  <c r="C27" i="6" s="1"/>
  <c r="G181" i="6"/>
  <c r="C181" i="6" s="1"/>
  <c r="G37" i="6"/>
  <c r="C37" i="6" s="1"/>
  <c r="G370" i="6"/>
  <c r="C370" i="6" s="1"/>
  <c r="G244" i="6"/>
  <c r="C244" i="6" s="1"/>
  <c r="G377" i="6"/>
  <c r="C377" i="6" s="1"/>
  <c r="G333" i="6"/>
  <c r="C333" i="6" s="1"/>
  <c r="G369" i="6"/>
  <c r="C369" i="6" s="1"/>
  <c r="G286" i="6"/>
  <c r="C286" i="6" s="1"/>
  <c r="G368" i="6"/>
  <c r="C368" i="6" s="1"/>
  <c r="G303" i="6"/>
  <c r="C303" i="6" s="1"/>
  <c r="G259" i="6"/>
  <c r="C259" i="6" s="1"/>
  <c r="G240" i="6"/>
  <c r="C240" i="6" s="1"/>
  <c r="G246" i="6"/>
  <c r="C246" i="6" s="1"/>
  <c r="G160" i="6"/>
  <c r="C160" i="6" s="1"/>
  <c r="G33" i="6"/>
  <c r="C33" i="6" s="1"/>
  <c r="G382" i="6"/>
  <c r="C382" i="6" s="1"/>
  <c r="G223" i="6"/>
  <c r="C223" i="6" s="1"/>
  <c r="G358" i="6"/>
  <c r="C358" i="6" s="1"/>
  <c r="G207" i="6"/>
  <c r="C207" i="6" s="1"/>
  <c r="G143" i="6"/>
  <c r="C143" i="6" s="1"/>
  <c r="G139" i="6"/>
  <c r="C139" i="6" s="1"/>
  <c r="G293" i="6"/>
  <c r="C293" i="6" s="1"/>
  <c r="G70" i="6"/>
  <c r="C70" i="6" s="1"/>
  <c r="G10" i="6"/>
  <c r="C10" i="6" s="1"/>
  <c r="G90" i="6"/>
  <c r="C90" i="6" s="1"/>
  <c r="G110" i="6"/>
  <c r="C110" i="6" s="1"/>
  <c r="G323" i="6"/>
  <c r="C323" i="6" s="1"/>
  <c r="G40" i="6"/>
  <c r="C40" i="6" s="1"/>
  <c r="G360" i="6"/>
  <c r="C360" i="6" s="1"/>
  <c r="G283" i="6"/>
  <c r="C283" i="6" s="1"/>
  <c r="G168" i="6"/>
  <c r="C168" i="6" s="1"/>
  <c r="G308" i="6"/>
  <c r="C308" i="6" s="1"/>
  <c r="G184" i="6"/>
  <c r="C184" i="6" s="1"/>
  <c r="G195" i="6"/>
  <c r="C195" i="6" s="1"/>
  <c r="AX13" i="7" a="1"/>
  <c r="AX13" i="7" s="1"/>
  <c r="G355" i="6"/>
  <c r="C355" i="6" s="1"/>
  <c r="G235" i="6"/>
  <c r="C235" i="6" s="1"/>
  <c r="G138" i="6"/>
  <c r="C138" i="6" s="1"/>
  <c r="G342" i="6"/>
  <c r="C342" i="6" s="1"/>
  <c r="G74" i="6"/>
  <c r="C74" i="6" s="1"/>
  <c r="G249" i="6"/>
  <c r="C249" i="6" s="1"/>
  <c r="G55" i="6"/>
  <c r="C55" i="6" s="1"/>
  <c r="G297" i="6"/>
  <c r="C297" i="6" s="1"/>
  <c r="G219" i="6"/>
  <c r="C219" i="6" s="1"/>
  <c r="G23" i="6"/>
  <c r="C23" i="6" s="1"/>
  <c r="G305" i="6"/>
  <c r="C305" i="6" s="1"/>
  <c r="G91" i="6"/>
  <c r="C91" i="6" s="1"/>
  <c r="G359" i="6"/>
  <c r="C359" i="6" s="1"/>
  <c r="G294" i="6"/>
  <c r="C294" i="6" s="1"/>
  <c r="G318" i="6"/>
  <c r="C318" i="6" s="1"/>
  <c r="G169" i="6"/>
  <c r="C169" i="6" s="1"/>
  <c r="G189" i="6"/>
  <c r="C189" i="6" s="1"/>
  <c r="G278" i="6"/>
  <c r="C278" i="6" s="1"/>
  <c r="BC55" i="6"/>
  <c r="BB55" i="6"/>
  <c r="R370" i="3"/>
  <c r="AP351" i="6"/>
  <c r="AJ351" i="6"/>
  <c r="W370" i="3" s="1"/>
  <c r="AJ189" i="6"/>
  <c r="W208" i="3" s="1"/>
  <c r="R208" i="3"/>
  <c r="AP189" i="6"/>
  <c r="R55" i="3"/>
  <c r="AP36" i="6"/>
  <c r="AJ36" i="6"/>
  <c r="W55" i="3" s="1"/>
  <c r="R67" i="3"/>
  <c r="AP48" i="6"/>
  <c r="AJ48" i="6"/>
  <c r="W67" i="3" s="1"/>
  <c r="R30" i="3"/>
  <c r="AP11" i="6"/>
  <c r="BA5" i="7" a="1"/>
  <c r="BA5" i="7" s="1"/>
  <c r="AJ11" i="6"/>
  <c r="W30" i="3" s="1"/>
  <c r="R334" i="3"/>
  <c r="AP315" i="6"/>
  <c r="AJ315" i="6"/>
  <c r="W334" i="3" s="1"/>
  <c r="AJ138" i="6"/>
  <c r="W157" i="3" s="1"/>
  <c r="R157" i="3"/>
  <c r="AP138" i="6"/>
  <c r="R293" i="3"/>
  <c r="AJ274" i="6"/>
  <c r="W293" i="3" s="1"/>
  <c r="AP274" i="6"/>
  <c r="R133" i="3"/>
  <c r="AJ114" i="6"/>
  <c r="W133" i="3" s="1"/>
  <c r="AP114" i="6"/>
  <c r="R342" i="3"/>
  <c r="AP323" i="6"/>
  <c r="AJ323" i="6"/>
  <c r="W342" i="3" s="1"/>
  <c r="R222" i="3"/>
  <c r="AJ203" i="6"/>
  <c r="W222" i="3" s="1"/>
  <c r="AP203" i="6"/>
  <c r="AH10" i="6"/>
  <c r="T29" i="3"/>
  <c r="W12" i="3" s="1"/>
  <c r="W11" i="3" s="1"/>
  <c r="B17" i="5" s="1"/>
  <c r="BC45" i="6"/>
  <c r="BB45" i="6"/>
  <c r="AZ60" i="6"/>
  <c r="AY60" i="6"/>
  <c r="AX60" i="6"/>
  <c r="BA60" i="6" s="1"/>
  <c r="R390" i="3"/>
  <c r="AJ371" i="6"/>
  <c r="W390" i="3" s="1"/>
  <c r="AP371" i="6"/>
  <c r="R140" i="3"/>
  <c r="AJ121" i="6"/>
  <c r="W140" i="3" s="1"/>
  <c r="AP121" i="6"/>
  <c r="AJ222" i="6"/>
  <c r="W241" i="3" s="1"/>
  <c r="R241" i="3"/>
  <c r="AP222" i="6"/>
  <c r="R331" i="3"/>
  <c r="AP312" i="6"/>
  <c r="AJ312" i="6"/>
  <c r="W331" i="3" s="1"/>
  <c r="AJ268" i="6"/>
  <c r="W287" i="3" s="1"/>
  <c r="R287" i="3"/>
  <c r="AP268" i="6"/>
  <c r="AJ22" i="6"/>
  <c r="W41" i="3" s="1"/>
  <c r="R41" i="3"/>
  <c r="AP22" i="6"/>
  <c r="R258" i="3"/>
  <c r="AJ239" i="6"/>
  <c r="W258" i="3" s="1"/>
  <c r="AP239" i="6"/>
  <c r="R51" i="3"/>
  <c r="AJ32" i="6"/>
  <c r="W51" i="3" s="1"/>
  <c r="AP32" i="6"/>
  <c r="R176" i="3"/>
  <c r="AJ157" i="6"/>
  <c r="W176" i="3" s="1"/>
  <c r="AP157" i="6"/>
  <c r="R167" i="3"/>
  <c r="AP148" i="6"/>
  <c r="AJ148" i="6"/>
  <c r="W167" i="3" s="1"/>
  <c r="R270" i="3"/>
  <c r="AP251" i="6"/>
  <c r="AJ251" i="6"/>
  <c r="W270" i="3" s="1"/>
  <c r="R114" i="3"/>
  <c r="AP95" i="6"/>
  <c r="AJ95" i="6"/>
  <c r="W114" i="3" s="1"/>
  <c r="AX7" i="7" a="1"/>
  <c r="AX7" i="7" s="1"/>
  <c r="R210" i="3"/>
  <c r="AP191" i="6"/>
  <c r="AJ191" i="6"/>
  <c r="W210" i="3" s="1"/>
  <c r="R355" i="3"/>
  <c r="AP336" i="6"/>
  <c r="AJ336" i="6"/>
  <c r="W355" i="3" s="1"/>
  <c r="R277" i="3"/>
  <c r="AJ258" i="6"/>
  <c r="W277" i="3" s="1"/>
  <c r="AP258" i="6"/>
  <c r="AJ149" i="6"/>
  <c r="W168" i="3" s="1"/>
  <c r="R168" i="3"/>
  <c r="AP149" i="6"/>
  <c r="AJ47" i="6"/>
  <c r="W66" i="3" s="1"/>
  <c r="R66" i="3"/>
  <c r="AP47" i="6"/>
  <c r="R266" i="3"/>
  <c r="AP247" i="6"/>
  <c r="AJ247" i="6"/>
  <c r="W266" i="3" s="1"/>
  <c r="R376" i="3"/>
  <c r="AJ357" i="6"/>
  <c r="W376" i="3" s="1"/>
  <c r="AP357" i="6"/>
  <c r="AJ313" i="6"/>
  <c r="W332" i="3" s="1"/>
  <c r="R332" i="3"/>
  <c r="AP313" i="6"/>
  <c r="R138" i="3"/>
  <c r="AJ119" i="6"/>
  <c r="W138" i="3" s="1"/>
  <c r="AP119" i="6"/>
  <c r="R146" i="3"/>
  <c r="AJ127" i="6"/>
  <c r="W146" i="3" s="1"/>
  <c r="AP127" i="6"/>
  <c r="AJ171" i="6"/>
  <c r="W190" i="3" s="1"/>
  <c r="R190" i="3"/>
  <c r="AP171" i="6"/>
  <c r="R171" i="3"/>
  <c r="AP152" i="6"/>
  <c r="AJ152" i="6"/>
  <c r="W171" i="3" s="1"/>
  <c r="BC47" i="6"/>
  <c r="BB47" i="6"/>
  <c r="AJ131" i="6"/>
  <c r="W150" i="3" s="1"/>
  <c r="R150" i="3"/>
  <c r="AP131" i="6"/>
  <c r="R180" i="3"/>
  <c r="AJ161" i="6"/>
  <c r="W180" i="3" s="1"/>
  <c r="AP161" i="6"/>
  <c r="AJ329" i="6"/>
  <c r="W348" i="3" s="1"/>
  <c r="R348" i="3"/>
  <c r="AP329" i="6"/>
  <c r="R194" i="3"/>
  <c r="AP175" i="6"/>
  <c r="AJ175" i="6"/>
  <c r="W194" i="3" s="1"/>
  <c r="R278" i="3"/>
  <c r="AP259" i="6"/>
  <c r="AJ259" i="6"/>
  <c r="W278" i="3" s="1"/>
  <c r="AJ135" i="6"/>
  <c r="W154" i="3" s="1"/>
  <c r="R154" i="3"/>
  <c r="AP135" i="6"/>
  <c r="R58" i="3"/>
  <c r="AP39" i="6"/>
  <c r="AJ39" i="6"/>
  <c r="W58" i="3" s="1"/>
  <c r="R189" i="3"/>
  <c r="AJ170" i="6"/>
  <c r="W189" i="3" s="1"/>
  <c r="AP170" i="6"/>
  <c r="R175" i="3"/>
  <c r="AJ156" i="6"/>
  <c r="W175" i="3" s="1"/>
  <c r="AP156" i="6"/>
  <c r="R84" i="3"/>
  <c r="AP65" i="6"/>
  <c r="AJ65" i="6"/>
  <c r="W84" i="3" s="1"/>
  <c r="R296" i="3"/>
  <c r="AP277" i="6"/>
  <c r="AJ277" i="6"/>
  <c r="W296" i="3" s="1"/>
  <c r="R38" i="3"/>
  <c r="AP19" i="6"/>
  <c r="BA13" i="7" a="1"/>
  <c r="BA13" i="7" s="1"/>
  <c r="AJ19" i="6"/>
  <c r="W38" i="3" s="1"/>
  <c r="R337" i="3"/>
  <c r="AP318" i="6"/>
  <c r="AJ318" i="6"/>
  <c r="W337" i="3" s="1"/>
  <c r="R401" i="3"/>
  <c r="AP382" i="6"/>
  <c r="AJ382" i="6"/>
  <c r="W401" i="3" s="1"/>
  <c r="R273" i="3"/>
  <c r="AP254" i="6"/>
  <c r="AJ254" i="6"/>
  <c r="W273" i="3" s="1"/>
  <c r="R269" i="3"/>
  <c r="AJ250" i="6"/>
  <c r="W269" i="3" s="1"/>
  <c r="AP250" i="6"/>
  <c r="R163" i="3"/>
  <c r="AJ144" i="6"/>
  <c r="W163" i="3" s="1"/>
  <c r="AP144" i="6"/>
  <c r="R225" i="3"/>
  <c r="AJ206" i="6"/>
  <c r="W225" i="3" s="1"/>
  <c r="AP206" i="6"/>
  <c r="R409" i="3"/>
  <c r="AP390" i="6"/>
  <c r="AJ390" i="6"/>
  <c r="W409" i="3" s="1"/>
  <c r="R56" i="3"/>
  <c r="AJ37" i="6"/>
  <c r="W56" i="3" s="1"/>
  <c r="AP37" i="6"/>
  <c r="R396" i="3"/>
  <c r="AP377" i="6"/>
  <c r="AJ377" i="6"/>
  <c r="W396" i="3" s="1"/>
  <c r="R407" i="3"/>
  <c r="AJ388" i="6"/>
  <c r="W407" i="3" s="1"/>
  <c r="AP388" i="6"/>
  <c r="R174" i="3"/>
  <c r="AP155" i="6"/>
  <c r="AJ155" i="6"/>
  <c r="W174" i="3" s="1"/>
  <c r="BC56" i="6"/>
  <c r="BB56" i="6"/>
  <c r="R139" i="3"/>
  <c r="AJ120" i="6"/>
  <c r="W139" i="3" s="1"/>
  <c r="AP120" i="6"/>
  <c r="AJ17" i="6"/>
  <c r="W36" i="3" s="1"/>
  <c r="R36" i="3"/>
  <c r="BA11" i="7" a="1"/>
  <c r="BA11" i="7" s="1"/>
  <c r="AP17" i="6"/>
  <c r="AJ20" i="6"/>
  <c r="W39" i="3" s="1"/>
  <c r="R39" i="3"/>
  <c r="AP20" i="6"/>
  <c r="AJ207" i="6"/>
  <c r="W226" i="3" s="1"/>
  <c r="R226" i="3"/>
  <c r="AP207" i="6"/>
  <c r="R113" i="3"/>
  <c r="AJ94" i="6"/>
  <c r="W113" i="3" s="1"/>
  <c r="AP94" i="6"/>
  <c r="R247" i="3"/>
  <c r="AJ228" i="6"/>
  <c r="W247" i="3" s="1"/>
  <c r="AP228" i="6"/>
  <c r="R312" i="3"/>
  <c r="AP293" i="6"/>
  <c r="AJ293" i="6"/>
  <c r="W312" i="3" s="1"/>
  <c r="R365" i="3"/>
  <c r="AJ346" i="6"/>
  <c r="W365" i="3" s="1"/>
  <c r="AP346" i="6"/>
  <c r="R308" i="3"/>
  <c r="AP289" i="6"/>
  <c r="AJ289" i="6"/>
  <c r="W308" i="3" s="1"/>
  <c r="R358" i="3"/>
  <c r="AJ339" i="6"/>
  <c r="W358" i="3" s="1"/>
  <c r="AP339" i="6"/>
  <c r="R191" i="3"/>
  <c r="AJ172" i="6"/>
  <c r="W191" i="3" s="1"/>
  <c r="AP172" i="6"/>
  <c r="R193" i="3"/>
  <c r="AJ174" i="6"/>
  <c r="W193" i="3" s="1"/>
  <c r="AP174" i="6"/>
  <c r="BC52" i="6"/>
  <c r="BB52" i="6"/>
  <c r="R239" i="3"/>
  <c r="AJ220" i="6"/>
  <c r="W239" i="3" s="1"/>
  <c r="AP220" i="6"/>
  <c r="AJ51" i="6"/>
  <c r="W70" i="3" s="1"/>
  <c r="R70" i="3"/>
  <c r="AP51" i="6"/>
  <c r="R380" i="3"/>
  <c r="AJ361" i="6"/>
  <c r="W380" i="3" s="1"/>
  <c r="AP361" i="6"/>
  <c r="R279" i="3"/>
  <c r="AJ260" i="6"/>
  <c r="W279" i="3" s="1"/>
  <c r="AP260" i="6"/>
  <c r="R252" i="3"/>
  <c r="AP233" i="6"/>
  <c r="AJ233" i="6"/>
  <c r="W252" i="3" s="1"/>
  <c r="R112" i="3"/>
  <c r="AJ93" i="6"/>
  <c r="W112" i="3" s="1"/>
  <c r="AP93" i="6"/>
  <c r="R81" i="3"/>
  <c r="AJ62" i="6"/>
  <c r="W81" i="3" s="1"/>
  <c r="AP62" i="6"/>
  <c r="AJ283" i="6"/>
  <c r="W302" i="3" s="1"/>
  <c r="R302" i="3"/>
  <c r="AP283" i="6"/>
  <c r="R292" i="3"/>
  <c r="AJ273" i="6"/>
  <c r="W292" i="3" s="1"/>
  <c r="AP273" i="6"/>
  <c r="R47" i="3"/>
  <c r="AJ28" i="6"/>
  <c r="W47" i="3" s="1"/>
  <c r="AP28" i="6"/>
  <c r="R152" i="3"/>
  <c r="AJ133" i="6"/>
  <c r="W152" i="3" s="1"/>
  <c r="AP133" i="6"/>
  <c r="AJ43" i="6"/>
  <c r="W62" i="3" s="1"/>
  <c r="R62" i="3"/>
  <c r="AP43" i="6"/>
  <c r="AX10" i="7" a="1"/>
  <c r="AX10" i="7" s="1"/>
  <c r="R196" i="3"/>
  <c r="AP177" i="6"/>
  <c r="AJ177" i="6"/>
  <c r="W196" i="3" s="1"/>
  <c r="R343" i="3"/>
  <c r="AP324" i="6"/>
  <c r="AJ324" i="6"/>
  <c r="W343" i="3" s="1"/>
  <c r="R162" i="3"/>
  <c r="AP143" i="6"/>
  <c r="AJ143" i="6"/>
  <c r="W162" i="3" s="1"/>
  <c r="R184" i="3"/>
  <c r="AJ165" i="6"/>
  <c r="W184" i="3" s="1"/>
  <c r="AP165" i="6"/>
  <c r="AJ368" i="6"/>
  <c r="W387" i="3" s="1"/>
  <c r="R387" i="3"/>
  <c r="AP368" i="6"/>
  <c r="R379" i="3"/>
  <c r="AJ360" i="6"/>
  <c r="W379" i="3" s="1"/>
  <c r="AP360" i="6"/>
  <c r="R136" i="3"/>
  <c r="AP117" i="6"/>
  <c r="AJ117" i="6"/>
  <c r="W136" i="3" s="1"/>
  <c r="AJ266" i="6"/>
  <c r="W285" i="3" s="1"/>
  <c r="R285" i="3"/>
  <c r="AP266" i="6"/>
  <c r="AJ68" i="6"/>
  <c r="W87" i="3" s="1"/>
  <c r="R87" i="3"/>
  <c r="AP68" i="6"/>
  <c r="R203" i="3"/>
  <c r="AP184" i="6"/>
  <c r="AJ184" i="6"/>
  <c r="W203" i="3" s="1"/>
  <c r="R291" i="3"/>
  <c r="AJ272" i="6"/>
  <c r="W291" i="3" s="1"/>
  <c r="AP272" i="6"/>
  <c r="R290" i="3"/>
  <c r="AP271" i="6"/>
  <c r="AJ271" i="6"/>
  <c r="W290" i="3" s="1"/>
  <c r="AY58" i="6"/>
  <c r="AX58" i="6"/>
  <c r="BA58" i="6" s="1"/>
  <c r="AZ58" i="6"/>
  <c r="AJ12" i="6"/>
  <c r="W31" i="3" s="1"/>
  <c r="R31" i="3"/>
  <c r="AP12" i="6"/>
  <c r="BA6" i="7" a="1"/>
  <c r="BA6" i="7" s="1"/>
  <c r="R65" i="3"/>
  <c r="AJ46" i="6"/>
  <c r="W65" i="3" s="1"/>
  <c r="AP46" i="6"/>
  <c r="R289" i="3"/>
  <c r="AJ270" i="6"/>
  <c r="W289" i="3" s="1"/>
  <c r="AP270" i="6"/>
  <c r="AJ246" i="6"/>
  <c r="W265" i="3" s="1"/>
  <c r="R265" i="3"/>
  <c r="AP246" i="6"/>
  <c r="AJ337" i="6"/>
  <c r="W356" i="3" s="1"/>
  <c r="R356" i="3"/>
  <c r="AP337" i="6"/>
  <c r="R161" i="3"/>
  <c r="AP142" i="6"/>
  <c r="AJ142" i="6"/>
  <c r="W161" i="3" s="1"/>
  <c r="R254" i="3"/>
  <c r="AP235" i="6"/>
  <c r="AJ235" i="6"/>
  <c r="W254" i="3" s="1"/>
  <c r="R129" i="3"/>
  <c r="AP110" i="6"/>
  <c r="AJ110" i="6"/>
  <c r="W129" i="3" s="1"/>
  <c r="R234" i="3"/>
  <c r="AP215" i="6"/>
  <c r="AJ215" i="6"/>
  <c r="W234" i="3" s="1"/>
  <c r="R300" i="3"/>
  <c r="AJ281" i="6"/>
  <c r="W300" i="3" s="1"/>
  <c r="AP281" i="6"/>
  <c r="R381" i="3"/>
  <c r="AP362" i="6"/>
  <c r="AJ362" i="6"/>
  <c r="W381" i="3" s="1"/>
  <c r="R297" i="3"/>
  <c r="AJ278" i="6"/>
  <c r="W297" i="3" s="1"/>
  <c r="AP278" i="6"/>
  <c r="AX6" i="7" a="1"/>
  <c r="AX6" i="7" s="1"/>
  <c r="AJ280" i="6"/>
  <c r="W299" i="3" s="1"/>
  <c r="R299" i="3"/>
  <c r="AP280" i="6"/>
  <c r="BB49" i="6"/>
  <c r="BC49" i="6"/>
  <c r="AJ98" i="6"/>
  <c r="W117" i="3" s="1"/>
  <c r="R117" i="3"/>
  <c r="AP98" i="6"/>
  <c r="R412" i="3"/>
  <c r="AP393" i="6"/>
  <c r="AJ393" i="6"/>
  <c r="W412" i="3" s="1"/>
  <c r="AJ78" i="6"/>
  <c r="W97" i="3" s="1"/>
  <c r="R97" i="3"/>
  <c r="AP78" i="6"/>
  <c r="AJ257" i="6"/>
  <c r="W276" i="3" s="1"/>
  <c r="R276" i="3"/>
  <c r="AP257" i="6"/>
  <c r="R338" i="3"/>
  <c r="AJ319" i="6"/>
  <c r="W338" i="3" s="1"/>
  <c r="AP319" i="6"/>
  <c r="R48" i="3"/>
  <c r="AJ29" i="6"/>
  <c r="W48" i="3" s="1"/>
  <c r="AP29" i="6"/>
  <c r="R44" i="3"/>
  <c r="AP25" i="6"/>
  <c r="AJ25" i="6"/>
  <c r="W44" i="3" s="1"/>
  <c r="AJ104" i="6"/>
  <c r="W123" i="3" s="1"/>
  <c r="R123" i="3"/>
  <c r="AP104" i="6"/>
  <c r="R236" i="3"/>
  <c r="AJ217" i="6"/>
  <c r="W236" i="3" s="1"/>
  <c r="AP217" i="6"/>
  <c r="R186" i="3"/>
  <c r="AJ167" i="6"/>
  <c r="W186" i="3" s="1"/>
  <c r="AP167" i="6"/>
  <c r="AJ61" i="6"/>
  <c r="W80" i="3" s="1"/>
  <c r="R80" i="3"/>
  <c r="AP61" i="6"/>
  <c r="R271" i="3"/>
  <c r="AP252" i="6"/>
  <c r="AJ252" i="6"/>
  <c r="W271" i="3" s="1"/>
  <c r="AZ63" i="6"/>
  <c r="AY63" i="6"/>
  <c r="AX63" i="6"/>
  <c r="BA63" i="6" s="1"/>
  <c r="R363" i="3"/>
  <c r="AJ344" i="6"/>
  <c r="W363" i="3" s="1"/>
  <c r="AP344" i="6"/>
  <c r="R268" i="3"/>
  <c r="AP249" i="6"/>
  <c r="AJ249" i="6"/>
  <c r="W268" i="3" s="1"/>
  <c r="R212" i="3"/>
  <c r="AP193" i="6"/>
  <c r="AJ193" i="6"/>
  <c r="W212" i="3" s="1"/>
  <c r="R398" i="3"/>
  <c r="AJ379" i="6"/>
  <c r="W398" i="3" s="1"/>
  <c r="AP379" i="6"/>
  <c r="R403" i="3"/>
  <c r="AJ384" i="6"/>
  <c r="W403" i="3" s="1"/>
  <c r="AP384" i="6"/>
  <c r="AJ308" i="6"/>
  <c r="W327" i="3" s="1"/>
  <c r="R327" i="3"/>
  <c r="AP308" i="6"/>
  <c r="R43" i="3"/>
  <c r="AJ24" i="6"/>
  <c r="W43" i="3" s="1"/>
  <c r="AP24" i="6"/>
  <c r="R274" i="3"/>
  <c r="AP255" i="6"/>
  <c r="AJ255" i="6"/>
  <c r="W274" i="3" s="1"/>
  <c r="R377" i="3"/>
  <c r="AJ358" i="6"/>
  <c r="W377" i="3" s="1"/>
  <c r="AP358" i="6"/>
  <c r="AJ42" i="6"/>
  <c r="W61" i="3" s="1"/>
  <c r="R61" i="3"/>
  <c r="AP42" i="6"/>
  <c r="R100" i="3"/>
  <c r="AJ81" i="6"/>
  <c r="W100" i="3" s="1"/>
  <c r="AP81" i="6"/>
  <c r="AJ292" i="6"/>
  <c r="W311" i="3" s="1"/>
  <c r="R311" i="3"/>
  <c r="AP292" i="6"/>
  <c r="R369" i="3"/>
  <c r="AJ350" i="6"/>
  <c r="W369" i="3" s="1"/>
  <c r="AP350" i="6"/>
  <c r="R98" i="3"/>
  <c r="AJ79" i="6"/>
  <c r="W98" i="3" s="1"/>
  <c r="AP79" i="6"/>
  <c r="R52" i="3"/>
  <c r="AP33" i="6"/>
  <c r="AJ33" i="6"/>
  <c r="W52" i="3" s="1"/>
  <c r="R74" i="3"/>
  <c r="AJ55" i="6"/>
  <c r="W74" i="3" s="1"/>
  <c r="AP55" i="6"/>
  <c r="R195" i="3"/>
  <c r="AP176" i="6"/>
  <c r="AJ176" i="6"/>
  <c r="W195" i="3" s="1"/>
  <c r="AJ205" i="6"/>
  <c r="W224" i="3" s="1"/>
  <c r="R224" i="3"/>
  <c r="AP205" i="6"/>
  <c r="AJ44" i="6"/>
  <c r="W63" i="3" s="1"/>
  <c r="R63" i="3"/>
  <c r="AP44" i="6"/>
  <c r="R131" i="3"/>
  <c r="AJ112" i="6"/>
  <c r="W131" i="3" s="1"/>
  <c r="AP112" i="6"/>
  <c r="AJ136" i="6"/>
  <c r="W155" i="3" s="1"/>
  <c r="R155" i="3"/>
  <c r="AP136" i="6"/>
  <c r="R303" i="3"/>
  <c r="AP284" i="6"/>
  <c r="AJ284" i="6"/>
  <c r="W303" i="3" s="1"/>
  <c r="AJ347" i="6"/>
  <c r="W366" i="3" s="1"/>
  <c r="R366" i="3"/>
  <c r="AP347" i="6"/>
  <c r="R397" i="3"/>
  <c r="AJ378" i="6"/>
  <c r="W397" i="3" s="1"/>
  <c r="AP378" i="6"/>
  <c r="R109" i="3"/>
  <c r="AJ90" i="6"/>
  <c r="W109" i="3" s="1"/>
  <c r="AP90" i="6"/>
  <c r="R207" i="3"/>
  <c r="AJ188" i="6"/>
  <c r="W207" i="3" s="1"/>
  <c r="AP188" i="6"/>
  <c r="R206" i="3"/>
  <c r="AJ187" i="6"/>
  <c r="W206" i="3" s="1"/>
  <c r="AP187" i="6"/>
  <c r="R197" i="3"/>
  <c r="AP178" i="6"/>
  <c r="AJ178" i="6"/>
  <c r="W197" i="3" s="1"/>
  <c r="R82" i="3"/>
  <c r="AJ63" i="6"/>
  <c r="W82" i="3" s="1"/>
  <c r="AP63" i="6"/>
  <c r="R249" i="3"/>
  <c r="AP230" i="6"/>
  <c r="AJ230" i="6"/>
  <c r="W249" i="3" s="1"/>
  <c r="AJ166" i="6"/>
  <c r="W185" i="3" s="1"/>
  <c r="R185" i="3"/>
  <c r="AP166" i="6"/>
  <c r="R116" i="3"/>
  <c r="AJ97" i="6"/>
  <c r="W116" i="3" s="1"/>
  <c r="AP97" i="6"/>
  <c r="R406" i="3"/>
  <c r="AJ387" i="6"/>
  <c r="W406" i="3" s="1"/>
  <c r="AP387" i="6"/>
  <c r="R46" i="3"/>
  <c r="AP27" i="6"/>
  <c r="AJ27" i="6"/>
  <c r="W46" i="3" s="1"/>
  <c r="R264" i="3"/>
  <c r="AP245" i="6"/>
  <c r="AJ245" i="6"/>
  <c r="W264" i="3" s="1"/>
  <c r="R115" i="3"/>
  <c r="AJ96" i="6"/>
  <c r="W115" i="3" s="1"/>
  <c r="AP96" i="6"/>
  <c r="R349" i="3"/>
  <c r="AP330" i="6"/>
  <c r="AJ330" i="6"/>
  <c r="W349" i="3" s="1"/>
  <c r="R335" i="3"/>
  <c r="AJ316" i="6"/>
  <c r="W335" i="3" s="1"/>
  <c r="AP316" i="6"/>
  <c r="AJ374" i="6"/>
  <c r="W393" i="3" s="1"/>
  <c r="R393" i="3"/>
  <c r="AP374" i="6"/>
  <c r="R172" i="3"/>
  <c r="AJ153" i="6"/>
  <c r="W172" i="3" s="1"/>
  <c r="AP153" i="6"/>
  <c r="R339" i="3"/>
  <c r="AJ320" i="6"/>
  <c r="W339" i="3" s="1"/>
  <c r="AP320" i="6"/>
  <c r="R230" i="3"/>
  <c r="AJ211" i="6"/>
  <c r="W230" i="3" s="1"/>
  <c r="AP211" i="6"/>
  <c r="R272" i="3"/>
  <c r="AJ253" i="6"/>
  <c r="W272" i="3" s="1"/>
  <c r="AP253" i="6"/>
  <c r="R371" i="3"/>
  <c r="AJ352" i="6"/>
  <c r="W371" i="3" s="1"/>
  <c r="AP352" i="6"/>
  <c r="R192" i="3"/>
  <c r="AP173" i="6"/>
  <c r="AJ173" i="6"/>
  <c r="W192" i="3" s="1"/>
  <c r="AJ285" i="6"/>
  <c r="W304" i="3" s="1"/>
  <c r="R304" i="3"/>
  <c r="AP285" i="6"/>
  <c r="R301" i="3"/>
  <c r="AJ282" i="6"/>
  <c r="W301" i="3" s="1"/>
  <c r="AP282" i="6"/>
  <c r="R309" i="3"/>
  <c r="AJ290" i="6"/>
  <c r="W309" i="3" s="1"/>
  <c r="AP290" i="6"/>
  <c r="R143" i="3"/>
  <c r="AP124" i="6"/>
  <c r="AJ124" i="6"/>
  <c r="W143" i="3" s="1"/>
  <c r="AJ186" i="6"/>
  <c r="W205" i="3" s="1"/>
  <c r="R205" i="3"/>
  <c r="AP186" i="6"/>
  <c r="R344" i="3"/>
  <c r="AJ325" i="6"/>
  <c r="W344" i="3" s="1"/>
  <c r="AP325" i="6"/>
  <c r="AJ349" i="6"/>
  <c r="W368" i="3" s="1"/>
  <c r="R368" i="3"/>
  <c r="AP349" i="6"/>
  <c r="R40" i="3"/>
  <c r="AJ21" i="6"/>
  <c r="W40" i="3" s="1"/>
  <c r="AP21" i="6"/>
  <c r="R77" i="3"/>
  <c r="AP58" i="6"/>
  <c r="AJ58" i="6"/>
  <c r="W77" i="3" s="1"/>
  <c r="R347" i="3"/>
  <c r="AP328" i="6"/>
  <c r="AJ328" i="6"/>
  <c r="W347" i="3" s="1"/>
  <c r="AJ14" i="6"/>
  <c r="W33" i="3" s="1"/>
  <c r="R33" i="3"/>
  <c r="BA8" i="7" a="1"/>
  <c r="BA8" i="7" s="1"/>
  <c r="AP14" i="6"/>
  <c r="R227" i="3"/>
  <c r="AJ208" i="6"/>
  <c r="W227" i="3" s="1"/>
  <c r="AP208" i="6"/>
  <c r="R229" i="3"/>
  <c r="AJ210" i="6"/>
  <c r="W229" i="3" s="1"/>
  <c r="AP210" i="6"/>
  <c r="R90" i="3"/>
  <c r="AP71" i="6"/>
  <c r="AJ71" i="6"/>
  <c r="W90" i="3" s="1"/>
  <c r="AJ297" i="6"/>
  <c r="W316" i="3" s="1"/>
  <c r="R316" i="3"/>
  <c r="AP297" i="6"/>
  <c r="R392" i="3"/>
  <c r="AP373" i="6"/>
  <c r="AJ373" i="6"/>
  <c r="W392" i="3" s="1"/>
  <c r="R137" i="3"/>
  <c r="AJ118" i="6"/>
  <c r="W137" i="3" s="1"/>
  <c r="AP118" i="6"/>
  <c r="R251" i="3"/>
  <c r="AJ232" i="6"/>
  <c r="W251" i="3" s="1"/>
  <c r="AP232" i="6"/>
  <c r="R119" i="3"/>
  <c r="AJ100" i="6"/>
  <c r="W119" i="3" s="1"/>
  <c r="AP100" i="6"/>
  <c r="AJ300" i="6"/>
  <c r="W319" i="3" s="1"/>
  <c r="R319" i="3"/>
  <c r="AP300" i="6"/>
  <c r="R382" i="3"/>
  <c r="AJ363" i="6"/>
  <c r="W382" i="3" s="1"/>
  <c r="AP363" i="6"/>
  <c r="AJ321" i="6"/>
  <c r="W340" i="3" s="1"/>
  <c r="R340" i="3"/>
  <c r="AP321" i="6"/>
  <c r="AJ213" i="6"/>
  <c r="W232" i="3" s="1"/>
  <c r="R232" i="3"/>
  <c r="AP213" i="6"/>
  <c r="R389" i="3"/>
  <c r="AJ370" i="6"/>
  <c r="W389" i="3" s="1"/>
  <c r="AP370" i="6"/>
  <c r="R145" i="3"/>
  <c r="AJ126" i="6"/>
  <c r="W145" i="3" s="1"/>
  <c r="AP126" i="6"/>
  <c r="AJ196" i="6"/>
  <c r="W215" i="3" s="1"/>
  <c r="R215" i="3"/>
  <c r="AP196" i="6"/>
  <c r="R367" i="3"/>
  <c r="AP348" i="6"/>
  <c r="AJ348" i="6"/>
  <c r="W367" i="3" s="1"/>
  <c r="AZ59" i="6"/>
  <c r="AY59" i="6"/>
  <c r="AX59" i="6"/>
  <c r="BA59" i="6" s="1"/>
  <c r="AJ242" i="6"/>
  <c r="W261" i="3" s="1"/>
  <c r="R261" i="3"/>
  <c r="AP242" i="6"/>
  <c r="R118" i="3"/>
  <c r="AP99" i="6"/>
  <c r="AJ99" i="6"/>
  <c r="W118" i="3" s="1"/>
  <c r="AJ201" i="6"/>
  <c r="W220" i="3" s="1"/>
  <c r="R220" i="3"/>
  <c r="AP201" i="6"/>
  <c r="R71" i="3"/>
  <c r="AP52" i="6"/>
  <c r="AJ52" i="6"/>
  <c r="W71" i="3" s="1"/>
  <c r="AJ386" i="6"/>
  <c r="W405" i="3" s="1"/>
  <c r="R405" i="3"/>
  <c r="AP386" i="6"/>
  <c r="AJ130" i="6"/>
  <c r="W149" i="3" s="1"/>
  <c r="R149" i="3"/>
  <c r="AP130" i="6"/>
  <c r="AJ311" i="6"/>
  <c r="W330" i="3" s="1"/>
  <c r="R330" i="3"/>
  <c r="AP311" i="6"/>
  <c r="R280" i="3"/>
  <c r="AP261" i="6"/>
  <c r="AJ261" i="6"/>
  <c r="W280" i="3" s="1"/>
  <c r="R313" i="3"/>
  <c r="AP294" i="6"/>
  <c r="AJ294" i="6"/>
  <c r="W313" i="3" s="1"/>
  <c r="R336" i="3"/>
  <c r="AJ317" i="6"/>
  <c r="W336" i="3" s="1"/>
  <c r="AP317" i="6"/>
  <c r="R178" i="3"/>
  <c r="AJ159" i="6"/>
  <c r="W178" i="3" s="1"/>
  <c r="AP159" i="6"/>
  <c r="AJ372" i="6"/>
  <c r="W391" i="3" s="1"/>
  <c r="R391" i="3"/>
  <c r="AP372" i="6"/>
  <c r="AX12" i="7" a="1"/>
  <c r="AX12" i="7" s="1"/>
  <c r="BB57" i="6"/>
  <c r="BC57" i="6"/>
  <c r="AX5" i="7" a="1"/>
  <c r="AX5" i="7" s="1"/>
  <c r="J8" i="7"/>
  <c r="I8" i="7"/>
  <c r="H8" i="7"/>
  <c r="G8" i="7"/>
  <c r="F8" i="7"/>
  <c r="M8" i="7"/>
  <c r="L8" i="7"/>
  <c r="K8" i="7"/>
  <c r="BC43" i="6"/>
  <c r="BB43" i="6"/>
  <c r="S65" i="7"/>
  <c r="AW72" i="6" s="1"/>
  <c r="S61" i="7"/>
  <c r="AW68" i="6" s="1"/>
  <c r="S63" i="7"/>
  <c r="AW70" i="6" s="1"/>
  <c r="S59" i="7"/>
  <c r="AW66" i="6" s="1"/>
  <c r="S64" i="7"/>
  <c r="AW71" i="6" s="1"/>
  <c r="S62" i="7"/>
  <c r="AW69" i="6" s="1"/>
  <c r="S66" i="7"/>
  <c r="AW73" i="6" s="1"/>
  <c r="S60" i="7"/>
  <c r="AW67" i="6" s="1"/>
  <c r="H7" i="5"/>
  <c r="BC46" i="6"/>
  <c r="BB46" i="6"/>
  <c r="R351" i="3"/>
  <c r="AP332" i="6"/>
  <c r="AJ332" i="6"/>
  <c r="W351" i="3" s="1"/>
  <c r="R386" i="3"/>
  <c r="AP367" i="6"/>
  <c r="AJ367" i="6"/>
  <c r="W386" i="3" s="1"/>
  <c r="AJ67" i="6"/>
  <c r="W86" i="3" s="1"/>
  <c r="R86" i="3"/>
  <c r="AP67" i="6"/>
  <c r="R122" i="3"/>
  <c r="AJ103" i="6"/>
  <c r="W122" i="3" s="1"/>
  <c r="AP103" i="6"/>
  <c r="R321" i="3"/>
  <c r="AJ302" i="6"/>
  <c r="W321" i="3" s="1"/>
  <c r="AP302" i="6"/>
  <c r="R73" i="3"/>
  <c r="AJ54" i="6"/>
  <c r="W73" i="3" s="1"/>
  <c r="AP54" i="6"/>
  <c r="AJ231" i="6"/>
  <c r="W250" i="3" s="1"/>
  <c r="R250" i="3"/>
  <c r="AP231" i="6"/>
  <c r="R76" i="3"/>
  <c r="AP57" i="6"/>
  <c r="AJ57" i="6"/>
  <c r="W76" i="3" s="1"/>
  <c r="R60" i="3"/>
  <c r="AJ41" i="6"/>
  <c r="W60" i="3" s="1"/>
  <c r="AP41" i="6"/>
  <c r="AJ200" i="6"/>
  <c r="W219" i="3" s="1"/>
  <c r="R219" i="3"/>
  <c r="AP200" i="6"/>
  <c r="R45" i="3"/>
  <c r="AP26" i="6"/>
  <c r="AJ26" i="6"/>
  <c r="W45" i="3" s="1"/>
  <c r="R275" i="3"/>
  <c r="AP256" i="6"/>
  <c r="AJ256" i="6"/>
  <c r="W275" i="3" s="1"/>
  <c r="AZ65" i="6"/>
  <c r="AY65" i="6"/>
  <c r="AX65" i="6"/>
  <c r="BA65" i="6" s="1"/>
  <c r="R411" i="3"/>
  <c r="AJ392" i="6"/>
  <c r="W411" i="3" s="1"/>
  <c r="AP392" i="6"/>
  <c r="AJ91" i="6"/>
  <c r="W110" i="3" s="1"/>
  <c r="R110" i="3"/>
  <c r="AP91" i="6"/>
  <c r="R166" i="3"/>
  <c r="AJ147" i="6"/>
  <c r="W166" i="3" s="1"/>
  <c r="AP147" i="6"/>
  <c r="R408" i="3"/>
  <c r="AJ389" i="6"/>
  <c r="W408" i="3" s="1"/>
  <c r="AP389" i="6"/>
  <c r="R253" i="3"/>
  <c r="AP234" i="6"/>
  <c r="AJ234" i="6"/>
  <c r="W253" i="3" s="1"/>
  <c r="R34" i="3"/>
  <c r="AJ15" i="6"/>
  <c r="W34" i="3" s="1"/>
  <c r="AP15" i="6"/>
  <c r="BA9" i="7" a="1"/>
  <c r="BA9" i="7" s="1"/>
  <c r="AJ335" i="6"/>
  <c r="W354" i="3" s="1"/>
  <c r="R354" i="3"/>
  <c r="AP335" i="6"/>
  <c r="AJ137" i="6"/>
  <c r="W156" i="3" s="1"/>
  <c r="R156" i="3"/>
  <c r="AP137" i="6"/>
  <c r="R259" i="3"/>
  <c r="AJ240" i="6"/>
  <c r="W259" i="3" s="1"/>
  <c r="AP240" i="6"/>
  <c r="R388" i="3"/>
  <c r="AP369" i="6"/>
  <c r="AJ369" i="6"/>
  <c r="W388" i="3" s="1"/>
  <c r="R320" i="3"/>
  <c r="AJ301" i="6"/>
  <c r="W320" i="3" s="1"/>
  <c r="AP301" i="6"/>
  <c r="AJ145" i="6"/>
  <c r="W164" i="3" s="1"/>
  <c r="R164" i="3"/>
  <c r="AP145" i="6"/>
  <c r="AJ164" i="6"/>
  <c r="W183" i="3" s="1"/>
  <c r="R183" i="3"/>
  <c r="AP164" i="6"/>
  <c r="AJ111" i="6"/>
  <c r="W130" i="3" s="1"/>
  <c r="R130" i="3"/>
  <c r="AP111" i="6"/>
  <c r="R94" i="3"/>
  <c r="AP75" i="6"/>
  <c r="AJ75" i="6"/>
  <c r="W94" i="3" s="1"/>
  <c r="R384" i="3"/>
  <c r="AJ365" i="6"/>
  <c r="W384" i="3" s="1"/>
  <c r="AP365" i="6"/>
  <c r="R307" i="3"/>
  <c r="AJ288" i="6"/>
  <c r="W307" i="3" s="1"/>
  <c r="AP288" i="6"/>
  <c r="R101" i="3"/>
  <c r="AJ82" i="6"/>
  <c r="W101" i="3" s="1"/>
  <c r="AP82" i="6"/>
  <c r="R37" i="3"/>
  <c r="AP18" i="6"/>
  <c r="BA12" i="7" a="1"/>
  <c r="BA12" i="7" s="1"/>
  <c r="AJ18" i="6"/>
  <c r="W37" i="3" s="1"/>
  <c r="R257" i="3"/>
  <c r="AP238" i="6"/>
  <c r="AJ238" i="6"/>
  <c r="W257" i="3" s="1"/>
  <c r="R350" i="3"/>
  <c r="AJ331" i="6"/>
  <c r="W350" i="3" s="1"/>
  <c r="AP331" i="6"/>
  <c r="R260" i="3"/>
  <c r="AJ241" i="6"/>
  <c r="W260" i="3" s="1"/>
  <c r="AP241" i="6"/>
  <c r="AJ197" i="6"/>
  <c r="W216" i="3" s="1"/>
  <c r="R216" i="3"/>
  <c r="AP197" i="6"/>
  <c r="AJ140" i="6"/>
  <c r="W159" i="3" s="1"/>
  <c r="R159" i="3"/>
  <c r="AP140" i="6"/>
  <c r="C230" i="3" l="1"/>
  <c r="Z230" i="3" s="1"/>
  <c r="F230" i="3"/>
  <c r="AQ245" i="6"/>
  <c r="Y264" i="3"/>
  <c r="AQ97" i="6"/>
  <c r="Y116" i="3"/>
  <c r="AQ378" i="6"/>
  <c r="Y397" i="3"/>
  <c r="AQ55" i="6"/>
  <c r="Y74" i="3"/>
  <c r="AQ193" i="6"/>
  <c r="Y212" i="3"/>
  <c r="AQ319" i="6"/>
  <c r="Y338" i="3"/>
  <c r="AQ215" i="6"/>
  <c r="Y234" i="3"/>
  <c r="AQ12" i="6"/>
  <c r="Y31" i="3"/>
  <c r="AQ360" i="6"/>
  <c r="Y379" i="3"/>
  <c r="AQ177" i="6"/>
  <c r="Y196" i="3"/>
  <c r="AQ259" i="6"/>
  <c r="Y278" i="3"/>
  <c r="AQ161" i="6"/>
  <c r="Y180" i="3"/>
  <c r="C313" i="3"/>
  <c r="Z313" i="3" s="1"/>
  <c r="F313" i="3"/>
  <c r="F203" i="3"/>
  <c r="C203" i="3"/>
  <c r="Z203" i="3" s="1"/>
  <c r="F242" i="3"/>
  <c r="C242" i="3"/>
  <c r="Z242" i="3" s="1"/>
  <c r="F200" i="3"/>
  <c r="C200" i="3"/>
  <c r="Z200" i="3" s="1"/>
  <c r="C49" i="3"/>
  <c r="Z49" i="3" s="1"/>
  <c r="F49" i="3"/>
  <c r="C340" i="3"/>
  <c r="Z340" i="3" s="1"/>
  <c r="F340" i="3"/>
  <c r="F216" i="3"/>
  <c r="C216" i="3"/>
  <c r="Z216" i="3" s="1"/>
  <c r="F34" i="3"/>
  <c r="C34" i="3"/>
  <c r="Z34" i="3" s="1"/>
  <c r="C286" i="3"/>
  <c r="Z286" i="3" s="1"/>
  <c r="F286" i="3"/>
  <c r="F293" i="3"/>
  <c r="C293" i="3"/>
  <c r="Z293" i="3" s="1"/>
  <c r="C164" i="3"/>
  <c r="Z164" i="3" s="1"/>
  <c r="F164" i="3"/>
  <c r="AQ197" i="6"/>
  <c r="Y216" i="3"/>
  <c r="AQ82" i="6"/>
  <c r="Y101" i="3"/>
  <c r="BB65" i="6"/>
  <c r="BC65" i="6"/>
  <c r="AQ200" i="6"/>
  <c r="Y219" i="3"/>
  <c r="AZ72" i="6"/>
  <c r="AY72" i="6"/>
  <c r="AX72" i="6"/>
  <c r="BA72" i="6" s="1"/>
  <c r="AQ52" i="6"/>
  <c r="Y71" i="3"/>
  <c r="AQ242" i="6"/>
  <c r="Y261" i="3"/>
  <c r="AQ363" i="6"/>
  <c r="Y382" i="3"/>
  <c r="AQ373" i="6"/>
  <c r="Y392" i="3"/>
  <c r="AQ210" i="6"/>
  <c r="Y229" i="3"/>
  <c r="AQ21" i="6"/>
  <c r="Y40" i="3"/>
  <c r="AQ63" i="6"/>
  <c r="Y82" i="3"/>
  <c r="AQ136" i="6"/>
  <c r="Y155" i="3"/>
  <c r="AQ350" i="6"/>
  <c r="Y369" i="3"/>
  <c r="AQ255" i="6"/>
  <c r="Y274" i="3"/>
  <c r="AQ384" i="6"/>
  <c r="Y403" i="3"/>
  <c r="BC63" i="6"/>
  <c r="BB63" i="6"/>
  <c r="AQ167" i="6"/>
  <c r="Y186" i="3"/>
  <c r="AQ142" i="6"/>
  <c r="Y161" i="3"/>
  <c r="AQ270" i="6"/>
  <c r="Y289" i="3"/>
  <c r="AQ272" i="6"/>
  <c r="Y291" i="3"/>
  <c r="AQ28" i="6"/>
  <c r="Y47" i="3"/>
  <c r="AQ233" i="6"/>
  <c r="Y252" i="3"/>
  <c r="AQ51" i="6"/>
  <c r="Y70" i="3"/>
  <c r="AQ174" i="6"/>
  <c r="Y193" i="3"/>
  <c r="AQ293" i="6"/>
  <c r="Y312" i="3"/>
  <c r="AQ207" i="6"/>
  <c r="Y226" i="3"/>
  <c r="AQ155" i="6"/>
  <c r="Y174" i="3"/>
  <c r="AQ37" i="6"/>
  <c r="Y56" i="3"/>
  <c r="AQ254" i="6"/>
  <c r="Y273" i="3"/>
  <c r="AQ65" i="6"/>
  <c r="Y84" i="3"/>
  <c r="AQ152" i="6"/>
  <c r="Y171" i="3"/>
  <c r="AQ119" i="6"/>
  <c r="Y138" i="3"/>
  <c r="AQ251" i="6"/>
  <c r="Y270" i="3"/>
  <c r="AQ32" i="6"/>
  <c r="Y51" i="3"/>
  <c r="AQ274" i="6"/>
  <c r="Y293" i="3"/>
  <c r="F378" i="3"/>
  <c r="C378" i="3"/>
  <c r="Z378" i="3" s="1"/>
  <c r="F93" i="3"/>
  <c r="C93" i="3"/>
  <c r="Z93" i="3" s="1"/>
  <c r="F327" i="3"/>
  <c r="C327" i="3"/>
  <c r="Z327" i="3" s="1"/>
  <c r="F29" i="3"/>
  <c r="C29" i="3"/>
  <c r="Z29" i="3" s="1"/>
  <c r="AR7" i="7"/>
  <c r="BD100" i="7"/>
  <c r="AR86" i="7"/>
  <c r="BD132" i="7"/>
  <c r="BD188" i="7"/>
  <c r="BD173" i="7"/>
  <c r="BD211" i="7"/>
  <c r="BD256" i="7"/>
  <c r="BD257" i="7"/>
  <c r="BD358" i="7"/>
  <c r="BD351" i="7"/>
  <c r="BS53" i="7"/>
  <c r="BP26" i="7"/>
  <c r="BS59" i="7"/>
  <c r="BP91" i="7"/>
  <c r="BS127" i="7"/>
  <c r="BS121" i="7"/>
  <c r="BP167" i="7"/>
  <c r="BP194" i="7"/>
  <c r="BS201" i="7"/>
  <c r="BP249" i="7"/>
  <c r="BP238" i="7"/>
  <c r="BS350" i="7"/>
  <c r="BS355" i="7"/>
  <c r="BS348" i="7"/>
  <c r="BS366" i="7"/>
  <c r="BD10" i="7"/>
  <c r="AR64" i="7"/>
  <c r="BD96" i="7"/>
  <c r="BD177" i="7"/>
  <c r="BD121" i="7"/>
  <c r="BD253" i="7"/>
  <c r="BD312" i="7"/>
  <c r="BD364" i="7"/>
  <c r="BS5" i="7"/>
  <c r="BS51" i="7"/>
  <c r="BS77" i="7"/>
  <c r="BP98" i="7"/>
  <c r="BP177" i="7"/>
  <c r="BP307" i="7"/>
  <c r="BP311" i="7"/>
  <c r="BP328" i="7"/>
  <c r="BS363" i="7"/>
  <c r="BD67" i="7"/>
  <c r="AR45" i="7"/>
  <c r="AR93" i="7"/>
  <c r="AR95" i="7"/>
  <c r="AR108" i="7"/>
  <c r="AR162" i="7"/>
  <c r="AR208" i="7"/>
  <c r="AR242" i="7"/>
  <c r="AR281" i="7"/>
  <c r="AR282" i="7"/>
  <c r="AR316" i="7"/>
  <c r="AR344" i="7"/>
  <c r="AR377" i="7"/>
  <c r="BP8" i="7"/>
  <c r="BP7" i="7"/>
  <c r="BS54" i="7"/>
  <c r="BP36" i="7"/>
  <c r="BP46" i="7"/>
  <c r="BP92" i="7"/>
  <c r="BS120" i="7"/>
  <c r="BS137" i="7"/>
  <c r="BP168" i="7"/>
  <c r="BS157" i="7"/>
  <c r="BS151" i="7"/>
  <c r="BS262" i="7"/>
  <c r="BS247" i="7"/>
  <c r="BS279" i="7"/>
  <c r="BS304" i="7"/>
  <c r="BS324" i="7"/>
  <c r="BP349" i="7"/>
  <c r="AR28" i="7"/>
  <c r="BD57" i="7"/>
  <c r="AR46" i="7"/>
  <c r="AR102" i="7"/>
  <c r="AR158" i="7"/>
  <c r="AR163" i="7"/>
  <c r="BD176" i="7"/>
  <c r="AR183" i="7"/>
  <c r="AR279" i="7"/>
  <c r="AR291" i="7"/>
  <c r="AR285" i="7"/>
  <c r="AR317" i="7"/>
  <c r="AR346" i="7"/>
  <c r="AR368" i="7"/>
  <c r="BP60" i="7"/>
  <c r="BP62" i="7"/>
  <c r="BP65" i="7"/>
  <c r="BP70" i="7"/>
  <c r="BP109" i="7"/>
  <c r="BS114" i="7"/>
  <c r="BP192" i="7"/>
  <c r="BS181" i="7"/>
  <c r="BS175" i="7"/>
  <c r="BP220" i="7"/>
  <c r="BP242" i="7"/>
  <c r="BS257" i="7"/>
  <c r="BS285" i="7"/>
  <c r="BS302" i="7"/>
  <c r="BS317" i="7"/>
  <c r="BP358" i="7"/>
  <c r="BP356" i="7"/>
  <c r="BS367" i="7"/>
  <c r="BS380" i="7"/>
  <c r="BP378" i="7"/>
  <c r="AR61" i="7"/>
  <c r="BD90" i="7"/>
  <c r="BD130" i="7"/>
  <c r="BD149" i="7"/>
  <c r="BD219" i="7"/>
  <c r="BD232" i="7"/>
  <c r="BD260" i="7"/>
  <c r="BD254" i="7"/>
  <c r="BD334" i="7"/>
  <c r="BD343" i="7"/>
  <c r="BD366" i="7"/>
  <c r="BS12" i="7"/>
  <c r="BS24" i="7"/>
  <c r="BP29" i="7"/>
  <c r="BP80" i="7"/>
  <c r="BP104" i="7"/>
  <c r="BP197" i="7"/>
  <c r="BS135" i="7"/>
  <c r="BP180" i="7"/>
  <c r="BS205" i="7"/>
  <c r="BP229" i="7"/>
  <c r="BS231" i="7"/>
  <c r="BS243" i="7"/>
  <c r="BP280" i="7"/>
  <c r="BP308" i="7"/>
  <c r="BP336" i="7"/>
  <c r="BS361" i="7"/>
  <c r="AR76" i="7"/>
  <c r="AR99" i="7"/>
  <c r="BD103" i="7"/>
  <c r="BD196" i="7"/>
  <c r="AR215" i="7"/>
  <c r="AR307" i="7"/>
  <c r="AR306" i="7"/>
  <c r="BP182" i="7"/>
  <c r="BS119" i="7"/>
  <c r="BS113" i="7"/>
  <c r="BP165" i="7"/>
  <c r="BP178" i="7"/>
  <c r="BP140" i="7"/>
  <c r="BP241" i="7"/>
  <c r="BP306" i="7"/>
  <c r="BP385" i="7"/>
  <c r="BD33" i="7"/>
  <c r="BD65" i="7"/>
  <c r="BD97" i="7"/>
  <c r="BD123" i="7"/>
  <c r="BD116" i="7"/>
  <c r="BD186" i="7"/>
  <c r="BD229" i="7"/>
  <c r="BD234" i="7"/>
  <c r="BD273" i="7"/>
  <c r="BD274" i="7"/>
  <c r="BD308" i="7"/>
  <c r="BD336" i="7"/>
  <c r="BD370" i="7"/>
  <c r="BD365" i="7"/>
  <c r="BP17" i="7"/>
  <c r="BP14" i="7"/>
  <c r="BS169" i="7"/>
  <c r="BS155" i="7"/>
  <c r="BP208" i="7"/>
  <c r="BS224" i="7"/>
  <c r="BP217" i="7"/>
  <c r="BS254" i="7"/>
  <c r="BP281" i="7"/>
  <c r="BS270" i="7"/>
  <c r="BS359" i="7"/>
  <c r="BS386" i="7"/>
  <c r="BD14" i="7"/>
  <c r="AR100" i="7"/>
  <c r="BD86" i="7"/>
  <c r="AR132" i="7"/>
  <c r="AR188" i="7"/>
  <c r="AR173" i="7"/>
  <c r="AR211" i="7"/>
  <c r="AR256" i="7"/>
  <c r="AR257" i="7"/>
  <c r="AR358" i="7"/>
  <c r="AR351" i="7"/>
  <c r="BS66" i="7"/>
  <c r="BP88" i="7"/>
  <c r="BS107" i="7"/>
  <c r="BP121" i="7"/>
  <c r="BS184" i="7"/>
  <c r="BS277" i="7"/>
  <c r="BP320" i="7"/>
  <c r="BS309" i="7"/>
  <c r="BP350" i="7"/>
  <c r="BP348" i="7"/>
  <c r="BP372" i="7"/>
  <c r="AR10" i="7"/>
  <c r="BD64" i="7"/>
  <c r="AR96" i="7"/>
  <c r="AR177" i="7"/>
  <c r="AR121" i="7"/>
  <c r="AR253" i="7"/>
  <c r="AR312" i="7"/>
  <c r="AR364" i="7"/>
  <c r="BP6" i="7"/>
  <c r="BP5" i="7"/>
  <c r="BS35" i="7"/>
  <c r="BP77" i="7"/>
  <c r="BS138" i="7"/>
  <c r="BP144" i="7"/>
  <c r="BS191" i="7"/>
  <c r="BS258" i="7"/>
  <c r="BS235" i="7"/>
  <c r="BP272" i="7"/>
  <c r="BS296" i="7"/>
  <c r="BS383" i="7"/>
  <c r="BD21" i="7"/>
  <c r="BD69" i="7"/>
  <c r="BD71" i="7"/>
  <c r="BD115" i="7"/>
  <c r="BD124" i="7"/>
  <c r="BD178" i="7"/>
  <c r="BD205" i="7"/>
  <c r="BD258" i="7"/>
  <c r="BD278" i="7"/>
  <c r="BD297" i="7"/>
  <c r="AR328" i="7"/>
  <c r="BD341" i="7"/>
  <c r="BD373" i="7"/>
  <c r="BP54" i="7"/>
  <c r="BS20" i="7"/>
  <c r="BS25" i="7"/>
  <c r="BP142" i="7"/>
  <c r="BP221" i="7"/>
  <c r="BS210" i="7"/>
  <c r="BP262" i="7"/>
  <c r="BS233" i="7"/>
  <c r="BS284" i="7"/>
  <c r="BP279" i="7"/>
  <c r="BP324" i="7"/>
  <c r="BS334" i="7"/>
  <c r="BS339" i="7"/>
  <c r="BS384" i="7"/>
  <c r="AR19" i="7"/>
  <c r="BD36" i="7"/>
  <c r="BD22" i="7"/>
  <c r="BD31" i="7"/>
  <c r="BD120" i="7"/>
  <c r="BD174" i="7"/>
  <c r="BD179" i="7"/>
  <c r="BD192" i="7"/>
  <c r="BD201" i="7"/>
  <c r="BD276" i="7"/>
  <c r="BD299" i="7"/>
  <c r="BD302" i="7"/>
  <c r="BD303" i="7"/>
  <c r="BD340" i="7"/>
  <c r="BD384" i="7"/>
  <c r="BS23" i="7"/>
  <c r="BP97" i="7"/>
  <c r="BS116" i="7"/>
  <c r="BS161" i="7"/>
  <c r="BS190" i="7"/>
  <c r="BS261" i="7"/>
  <c r="BP267" i="7"/>
  <c r="BP285" i="7"/>
  <c r="BP302" i="7"/>
  <c r="BP367" i="7"/>
  <c r="BD61" i="7"/>
  <c r="AR90" i="7"/>
  <c r="AR130" i="7"/>
  <c r="AR149" i="7"/>
  <c r="AR219" i="7"/>
  <c r="AR232" i="7"/>
  <c r="AR260" i="7"/>
  <c r="AR254" i="7"/>
  <c r="AR334" i="7"/>
  <c r="AR343" i="7"/>
  <c r="AR366" i="7"/>
  <c r="BP24" i="7"/>
  <c r="BP56" i="7"/>
  <c r="BS34" i="7"/>
  <c r="BS83" i="7"/>
  <c r="BP152" i="7"/>
  <c r="BS195" i="7"/>
  <c r="BP219" i="7"/>
  <c r="BS229" i="7"/>
  <c r="BP243" i="7"/>
  <c r="BS268" i="7"/>
  <c r="BS286" i="7"/>
  <c r="BD15" i="7"/>
  <c r="BD84" i="7"/>
  <c r="BD126" i="7"/>
  <c r="BD119" i="7"/>
  <c r="AR198" i="7"/>
  <c r="BD245" i="7"/>
  <c r="BD323" i="7"/>
  <c r="BD322" i="7"/>
  <c r="BS16" i="7"/>
  <c r="BS43" i="7"/>
  <c r="BP90" i="7"/>
  <c r="BP113" i="7"/>
  <c r="BS145" i="7"/>
  <c r="BS131" i="7"/>
  <c r="BS269" i="7"/>
  <c r="BS287" i="7"/>
  <c r="BS312" i="7"/>
  <c r="BS329" i="7"/>
  <c r="BD17" i="7"/>
  <c r="AR33" i="7"/>
  <c r="AR65" i="7"/>
  <c r="AR97" i="7"/>
  <c r="AR123" i="7"/>
  <c r="AR116" i="7"/>
  <c r="AR186" i="7"/>
  <c r="AR229" i="7"/>
  <c r="AR234" i="7"/>
  <c r="AR273" i="7"/>
  <c r="AR274" i="7"/>
  <c r="AR308" i="7"/>
  <c r="AR336" i="7"/>
  <c r="AR370" i="7"/>
  <c r="AR365" i="7"/>
  <c r="BS38" i="7"/>
  <c r="BS71" i="7"/>
  <c r="BP117" i="7"/>
  <c r="BS122" i="7"/>
  <c r="BP169" i="7"/>
  <c r="BP260" i="7"/>
  <c r="BP254" i="7"/>
  <c r="BS264" i="7"/>
  <c r="BS310" i="7"/>
  <c r="BS351" i="7"/>
  <c r="BS375" i="7"/>
  <c r="BS382" i="7"/>
  <c r="BP386" i="7"/>
  <c r="AR32" i="7"/>
  <c r="AR26" i="7"/>
  <c r="BD55" i="7"/>
  <c r="AR51" i="7"/>
  <c r="AR153" i="7"/>
  <c r="AR150" i="7"/>
  <c r="AR139" i="7"/>
  <c r="AR136" i="7"/>
  <c r="AR143" i="7"/>
  <c r="AR223" i="7"/>
  <c r="AR287" i="7"/>
  <c r="AR283" i="7"/>
  <c r="AR293" i="7"/>
  <c r="BD329" i="7"/>
  <c r="AR327" i="7"/>
  <c r="AR348" i="7"/>
  <c r="BS89" i="7"/>
  <c r="BP174" i="7"/>
  <c r="BS162" i="7"/>
  <c r="BS188" i="7"/>
  <c r="BS213" i="7"/>
  <c r="BS226" i="7"/>
  <c r="BP379" i="7"/>
  <c r="BP376" i="7"/>
  <c r="AR14" i="7"/>
  <c r="AR62" i="7"/>
  <c r="BD94" i="7"/>
  <c r="AR140" i="7"/>
  <c r="BD193" i="7"/>
  <c r="BD189" i="7"/>
  <c r="BD212" i="7"/>
  <c r="BD236" i="7"/>
  <c r="BD246" i="7"/>
  <c r="BD339" i="7"/>
  <c r="BD375" i="7"/>
  <c r="BS48" i="7"/>
  <c r="BS37" i="7"/>
  <c r="BP66" i="7"/>
  <c r="BP106" i="7"/>
  <c r="BS186" i="7"/>
  <c r="BS148" i="7"/>
  <c r="BS212" i="7"/>
  <c r="BP265" i="7"/>
  <c r="BP277" i="7"/>
  <c r="AR54" i="7"/>
  <c r="BD72" i="7"/>
  <c r="AR101" i="7"/>
  <c r="BD137" i="7"/>
  <c r="BD214" i="7"/>
  <c r="BD235" i="7"/>
  <c r="BD314" i="7"/>
  <c r="BD380" i="7"/>
  <c r="BP35" i="7"/>
  <c r="BP61" i="7"/>
  <c r="BP82" i="7"/>
  <c r="BP138" i="7"/>
  <c r="BP132" i="7"/>
  <c r="BP191" i="7"/>
  <c r="BS214" i="7"/>
  <c r="BS211" i="7"/>
  <c r="BP235" i="7"/>
  <c r="BP289" i="7"/>
  <c r="BS278" i="7"/>
  <c r="BS328" i="7"/>
  <c r="BP383" i="7"/>
  <c r="AR21" i="7"/>
  <c r="AR69" i="7"/>
  <c r="AR71" i="7"/>
  <c r="AR115" i="7"/>
  <c r="AR124" i="7"/>
  <c r="AR178" i="7"/>
  <c r="AR205" i="7"/>
  <c r="AR258" i="7"/>
  <c r="AR278" i="7"/>
  <c r="AR297" i="7"/>
  <c r="BD328" i="7"/>
  <c r="AR341" i="7"/>
  <c r="AR373" i="7"/>
  <c r="BP20" i="7"/>
  <c r="BP25" i="7"/>
  <c r="BS79" i="7"/>
  <c r="BS130" i="7"/>
  <c r="BS134" i="7"/>
  <c r="BP151" i="7"/>
  <c r="BP252" i="7"/>
  <c r="BP284" i="7"/>
  <c r="BP298" i="7"/>
  <c r="BP377" i="7"/>
  <c r="BP384" i="7"/>
  <c r="BD19" i="7"/>
  <c r="AR36" i="7"/>
  <c r="AR22" i="7"/>
  <c r="AR31" i="7"/>
  <c r="AR120" i="7"/>
  <c r="AR174" i="7"/>
  <c r="AR179" i="7"/>
  <c r="AR192" i="7"/>
  <c r="AR201" i="7"/>
  <c r="AR276" i="7"/>
  <c r="AR299" i="7"/>
  <c r="AR302" i="7"/>
  <c r="AR303" i="7"/>
  <c r="AR340" i="7"/>
  <c r="AR384" i="7"/>
  <c r="BS10" i="7"/>
  <c r="BS22" i="7"/>
  <c r="BS123" i="7"/>
  <c r="BP158" i="7"/>
  <c r="BP116" i="7"/>
  <c r="BP161" i="7"/>
  <c r="BP198" i="7"/>
  <c r="BP175" i="7"/>
  <c r="BS200" i="7"/>
  <c r="BP261" i="7"/>
  <c r="BP322" i="7"/>
  <c r="BP374" i="7"/>
  <c r="BD16" i="7"/>
  <c r="BD66" i="7"/>
  <c r="BD98" i="7"/>
  <c r="BD148" i="7"/>
  <c r="BD165" i="7"/>
  <c r="BD225" i="7"/>
  <c r="BD248" i="7"/>
  <c r="BD233" i="7"/>
  <c r="AR264" i="7"/>
  <c r="BD350" i="7"/>
  <c r="BD359" i="7"/>
  <c r="BD382" i="7"/>
  <c r="BP34" i="7"/>
  <c r="BP64" i="7"/>
  <c r="BS185" i="7"/>
  <c r="BS154" i="7"/>
  <c r="BP236" i="7"/>
  <c r="BP268" i="7"/>
  <c r="BS326" i="7"/>
  <c r="BS315" i="7"/>
  <c r="BP354" i="7"/>
  <c r="BS371" i="7"/>
  <c r="BS381" i="7"/>
  <c r="AR15" i="7"/>
  <c r="AR84" i="7"/>
  <c r="AR126" i="7"/>
  <c r="AR119" i="7"/>
  <c r="BD198" i="7"/>
  <c r="AR245" i="7"/>
  <c r="AR323" i="7"/>
  <c r="AR322" i="7"/>
  <c r="BP43" i="7"/>
  <c r="BS85" i="7"/>
  <c r="BP74" i="7"/>
  <c r="BP100" i="7"/>
  <c r="BP145" i="7"/>
  <c r="BS204" i="7"/>
  <c r="BS292" i="7"/>
  <c r="BP269" i="7"/>
  <c r="BP287" i="7"/>
  <c r="BS342" i="7"/>
  <c r="BS347" i="7"/>
  <c r="BS340" i="7"/>
  <c r="AR17" i="7"/>
  <c r="BD41" i="7"/>
  <c r="BD73" i="7"/>
  <c r="BD75" i="7"/>
  <c r="BD135" i="7"/>
  <c r="BD138" i="7"/>
  <c r="BD209" i="7"/>
  <c r="BD213" i="7"/>
  <c r="BD250" i="7"/>
  <c r="BD289" i="7"/>
  <c r="BD290" i="7"/>
  <c r="BD324" i="7"/>
  <c r="BD352" i="7"/>
  <c r="BD386" i="7"/>
  <c r="BD381" i="7"/>
  <c r="BS44" i="7"/>
  <c r="BP71" i="7"/>
  <c r="BS84" i="7"/>
  <c r="BP136" i="7"/>
  <c r="BS203" i="7"/>
  <c r="BS183" i="7"/>
  <c r="BP222" i="7"/>
  <c r="BP275" i="7"/>
  <c r="BP310" i="7"/>
  <c r="BS303" i="7"/>
  <c r="BP338" i="7"/>
  <c r="BP351" i="7"/>
  <c r="BP375" i="7"/>
  <c r="BD9" i="7"/>
  <c r="BD40" i="7"/>
  <c r="BD34" i="7"/>
  <c r="BD27" i="7"/>
  <c r="BD107" i="7"/>
  <c r="BD133" i="7"/>
  <c r="BD166" i="7"/>
  <c r="BD155" i="7"/>
  <c r="BD152" i="7"/>
  <c r="BD159" i="7"/>
  <c r="BD265" i="7"/>
  <c r="BD268" i="7"/>
  <c r="BD295" i="7"/>
  <c r="BD296" i="7"/>
  <c r="BD309" i="7"/>
  <c r="BD338" i="7"/>
  <c r="BD371" i="7"/>
  <c r="BP13" i="7"/>
  <c r="BS31" i="7"/>
  <c r="BS73" i="7"/>
  <c r="BS112" i="7"/>
  <c r="BP149" i="7"/>
  <c r="BP162" i="7"/>
  <c r="BP188" i="7"/>
  <c r="BP239" i="7"/>
  <c r="BS244" i="7"/>
  <c r="BS251" i="7"/>
  <c r="BS271" i="7"/>
  <c r="BS323" i="7"/>
  <c r="BS316" i="7"/>
  <c r="BS369" i="7"/>
  <c r="AR9" i="7"/>
  <c r="AR40" i="7"/>
  <c r="AR34" i="7"/>
  <c r="AR27" i="7"/>
  <c r="AR107" i="7"/>
  <c r="AR133" i="7"/>
  <c r="AR166" i="7"/>
  <c r="AR155" i="7"/>
  <c r="AR152" i="7"/>
  <c r="AR159" i="7"/>
  <c r="AR265" i="7"/>
  <c r="AR268" i="7"/>
  <c r="AR295" i="7"/>
  <c r="AR296" i="7"/>
  <c r="AR309" i="7"/>
  <c r="AR338" i="7"/>
  <c r="AR371" i="7"/>
  <c r="BD62" i="7"/>
  <c r="AR94" i="7"/>
  <c r="BD140" i="7"/>
  <c r="AR193" i="7"/>
  <c r="AR189" i="7"/>
  <c r="AR212" i="7"/>
  <c r="AR236" i="7"/>
  <c r="AR246" i="7"/>
  <c r="AR339" i="7"/>
  <c r="AR375" i="7"/>
  <c r="BS4" i="7"/>
  <c r="BP37" i="7"/>
  <c r="BP75" i="7"/>
  <c r="BP166" i="7"/>
  <c r="BS106" i="7"/>
  <c r="BS108" i="7"/>
  <c r="BS139" i="7"/>
  <c r="BP173" i="7"/>
  <c r="BP186" i="7"/>
  <c r="BP148" i="7"/>
  <c r="BP212" i="7"/>
  <c r="BP234" i="7"/>
  <c r="BS249" i="7"/>
  <c r="BP314" i="7"/>
  <c r="BS370" i="7"/>
  <c r="BD54" i="7"/>
  <c r="AR72" i="7"/>
  <c r="BD101" i="7"/>
  <c r="AR137" i="7"/>
  <c r="AR214" i="7"/>
  <c r="AR235" i="7"/>
  <c r="AR314" i="7"/>
  <c r="AR380" i="7"/>
  <c r="BP125" i="7"/>
  <c r="BS132" i="7"/>
  <c r="BS144" i="7"/>
  <c r="BP214" i="7"/>
  <c r="BS207" i="7"/>
  <c r="BS318" i="7"/>
  <c r="BS307" i="7"/>
  <c r="BP300" i="7"/>
  <c r="BD29" i="7"/>
  <c r="BD77" i="7"/>
  <c r="BD79" i="7"/>
  <c r="AR109" i="7"/>
  <c r="BD199" i="7"/>
  <c r="BD217" i="7"/>
  <c r="BD221" i="7"/>
  <c r="BD239" i="7"/>
  <c r="BD294" i="7"/>
  <c r="BD313" i="7"/>
  <c r="BD345" i="7"/>
  <c r="BD357" i="7"/>
  <c r="BS15" i="7"/>
  <c r="BS8" i="7"/>
  <c r="BS18" i="7"/>
  <c r="BP52" i="7"/>
  <c r="BP30" i="7"/>
  <c r="BP79" i="7"/>
  <c r="BS92" i="7"/>
  <c r="BP130" i="7"/>
  <c r="BP187" i="7"/>
  <c r="BS168" i="7"/>
  <c r="BS245" i="7"/>
  <c r="BP352" i="7"/>
  <c r="BS349" i="7"/>
  <c r="BD44" i="7"/>
  <c r="BD30" i="7"/>
  <c r="BD39" i="7"/>
  <c r="BD161" i="7"/>
  <c r="BD190" i="7"/>
  <c r="AR144" i="7"/>
  <c r="BD151" i="7"/>
  <c r="BD226" i="7"/>
  <c r="BD292" i="7"/>
  <c r="BD298" i="7"/>
  <c r="BD318" i="7"/>
  <c r="BD319" i="7"/>
  <c r="BD356" i="7"/>
  <c r="BP22" i="7"/>
  <c r="BS60" i="7"/>
  <c r="BP123" i="7"/>
  <c r="BS109" i="7"/>
  <c r="BP147" i="7"/>
  <c r="BS192" i="7"/>
  <c r="BP200" i="7"/>
  <c r="BS209" i="7"/>
  <c r="BS242" i="7"/>
  <c r="BS267" i="7"/>
  <c r="BS343" i="7"/>
  <c r="BS345" i="7"/>
  <c r="AR16" i="7"/>
  <c r="AR66" i="7"/>
  <c r="AR98" i="7"/>
  <c r="AR148" i="7"/>
  <c r="AR165" i="7"/>
  <c r="AR225" i="7"/>
  <c r="AR248" i="7"/>
  <c r="AR233" i="7"/>
  <c r="BD264" i="7"/>
  <c r="AR350" i="7"/>
  <c r="AR359" i="7"/>
  <c r="AR382" i="7"/>
  <c r="BP67" i="7"/>
  <c r="BP96" i="7"/>
  <c r="BS104" i="7"/>
  <c r="BP185" i="7"/>
  <c r="BP141" i="7"/>
  <c r="BP154" i="7"/>
  <c r="BS199" i="7"/>
  <c r="BP291" i="7"/>
  <c r="BS280" i="7"/>
  <c r="BP326" i="7"/>
  <c r="BS319" i="7"/>
  <c r="BS336" i="7"/>
  <c r="BP381" i="7"/>
  <c r="BD60" i="7"/>
  <c r="BD92" i="7"/>
  <c r="BD145" i="7"/>
  <c r="BD113" i="7"/>
  <c r="BD206" i="7"/>
  <c r="BD243" i="7"/>
  <c r="BD304" i="7"/>
  <c r="BD372" i="7"/>
  <c r="BS69" i="7"/>
  <c r="BP128" i="7"/>
  <c r="BS182" i="7"/>
  <c r="BP176" i="7"/>
  <c r="BS165" i="7"/>
  <c r="BS159" i="7"/>
  <c r="BP204" i="7"/>
  <c r="BP255" i="7"/>
  <c r="BS241" i="7"/>
  <c r="BP292" i="7"/>
  <c r="BP301" i="7"/>
  <c r="BS306" i="7"/>
  <c r="BP342" i="7"/>
  <c r="BP340" i="7"/>
  <c r="BP364" i="7"/>
  <c r="BS385" i="7"/>
  <c r="BD11" i="7"/>
  <c r="AR41" i="7"/>
  <c r="AR73" i="7"/>
  <c r="AR75" i="7"/>
  <c r="AR135" i="7"/>
  <c r="AR138" i="7"/>
  <c r="AR209" i="7"/>
  <c r="AR213" i="7"/>
  <c r="AR250" i="7"/>
  <c r="AR289" i="7"/>
  <c r="AR290" i="7"/>
  <c r="AR324" i="7"/>
  <c r="AR352" i="7"/>
  <c r="AR386" i="7"/>
  <c r="AR381" i="7"/>
  <c r="BS17" i="7"/>
  <c r="BS28" i="7"/>
  <c r="BS49" i="7"/>
  <c r="BS68" i="7"/>
  <c r="BS206" i="7"/>
  <c r="BS208" i="7"/>
  <c r="BP232" i="7"/>
  <c r="BS281" i="7"/>
  <c r="BP325" i="7"/>
  <c r="BP303" i="7"/>
  <c r="BP73" i="7"/>
  <c r="BS115" i="7"/>
  <c r="BP105" i="7"/>
  <c r="BS94" i="7"/>
  <c r="BS193" i="7"/>
  <c r="BS179" i="7"/>
  <c r="BP202" i="7"/>
  <c r="BP251" i="7"/>
  <c r="BS276" i="7"/>
  <c r="BS294" i="7"/>
  <c r="BP271" i="7"/>
  <c r="BP316" i="7"/>
  <c r="BP331" i="7"/>
  <c r="BS344" i="7"/>
  <c r="BS360" i="7"/>
  <c r="AR24" i="7"/>
  <c r="AR50" i="7"/>
  <c r="AR43" i="7"/>
  <c r="AR128" i="7"/>
  <c r="BD134" i="7"/>
  <c r="AR187" i="7"/>
  <c r="AR191" i="7"/>
  <c r="AR271" i="7"/>
  <c r="AR277" i="7"/>
  <c r="AR311" i="7"/>
  <c r="AR376" i="7"/>
  <c r="BS47" i="7"/>
  <c r="BP78" i="7"/>
  <c r="BP112" i="7"/>
  <c r="BS103" i="7"/>
  <c r="BP126" i="7"/>
  <c r="BP143" i="7"/>
  <c r="BP244" i="7"/>
  <c r="BP225" i="7"/>
  <c r="BP256" i="7"/>
  <c r="BP323" i="7"/>
  <c r="BP327" i="7"/>
  <c r="BP305" i="7"/>
  <c r="BP369" i="7"/>
  <c r="BS387" i="7"/>
  <c r="BS160" i="7"/>
  <c r="BP226" i="7"/>
  <c r="BS288" i="7"/>
  <c r="BP344" i="7"/>
  <c r="BD12" i="7"/>
  <c r="BD70" i="7"/>
  <c r="BD106" i="7"/>
  <c r="BD156" i="7"/>
  <c r="AR197" i="7"/>
  <c r="BD202" i="7"/>
  <c r="AR224" i="7"/>
  <c r="BD252" i="7"/>
  <c r="BD280" i="7"/>
  <c r="BD355" i="7"/>
  <c r="BD374" i="7"/>
  <c r="BS32" i="7"/>
  <c r="BS21" i="7"/>
  <c r="BS42" i="7"/>
  <c r="BS88" i="7"/>
  <c r="BP108" i="7"/>
  <c r="BS153" i="7"/>
  <c r="BP139" i="7"/>
  <c r="BS265" i="7"/>
  <c r="BS320" i="7"/>
  <c r="BS335" i="7"/>
  <c r="BS337" i="7"/>
  <c r="BS372" i="7"/>
  <c r="BP370" i="7"/>
  <c r="AR58" i="7"/>
  <c r="BD80" i="7"/>
  <c r="BD110" i="7"/>
  <c r="BD111" i="7"/>
  <c r="BD207" i="7"/>
  <c r="BD251" i="7"/>
  <c r="AR361" i="7"/>
  <c r="BS6" i="7"/>
  <c r="BS19" i="7"/>
  <c r="BP93" i="7"/>
  <c r="BS82" i="7"/>
  <c r="BP163" i="7"/>
  <c r="BP216" i="7"/>
  <c r="BP207" i="7"/>
  <c r="BS228" i="7"/>
  <c r="BP283" i="7"/>
  <c r="BS272" i="7"/>
  <c r="BP318" i="7"/>
  <c r="BP346" i="7"/>
  <c r="BS373" i="7"/>
  <c r="AR29" i="7"/>
  <c r="AR77" i="7"/>
  <c r="AR79" i="7"/>
  <c r="BD109" i="7"/>
  <c r="AR199" i="7"/>
  <c r="AR217" i="7"/>
  <c r="AR221" i="7"/>
  <c r="AR239" i="7"/>
  <c r="AR294" i="7"/>
  <c r="AR313" i="7"/>
  <c r="AR345" i="7"/>
  <c r="AR357" i="7"/>
  <c r="BP15" i="7"/>
  <c r="BP18" i="7"/>
  <c r="BS57" i="7"/>
  <c r="BS63" i="7"/>
  <c r="BP111" i="7"/>
  <c r="BS142" i="7"/>
  <c r="BS170" i="7"/>
  <c r="BS221" i="7"/>
  <c r="BP245" i="7"/>
  <c r="BP266" i="7"/>
  <c r="BS313" i="7"/>
  <c r="BP334" i="7"/>
  <c r="AR44" i="7"/>
  <c r="AR30" i="7"/>
  <c r="AR39" i="7"/>
  <c r="AR161" i="7"/>
  <c r="AR190" i="7"/>
  <c r="BD144" i="7"/>
  <c r="AR151" i="7"/>
  <c r="AR226" i="7"/>
  <c r="AR292" i="7"/>
  <c r="AR298" i="7"/>
  <c r="AR318" i="7"/>
  <c r="AR319" i="7"/>
  <c r="AR356" i="7"/>
  <c r="BP39" i="7"/>
  <c r="BS97" i="7"/>
  <c r="BS86" i="7"/>
  <c r="BS156" i="7"/>
  <c r="BP209" i="7"/>
  <c r="BS246" i="7"/>
  <c r="BP273" i="7"/>
  <c r="BS290" i="7"/>
  <c r="BP330" i="7"/>
  <c r="BP343" i="7"/>
  <c r="BP345" i="7"/>
  <c r="AR23" i="7"/>
  <c r="BD74" i="7"/>
  <c r="BD118" i="7"/>
  <c r="BD164" i="7"/>
  <c r="BD181" i="7"/>
  <c r="BD204" i="7"/>
  <c r="AR228" i="7"/>
  <c r="BD249" i="7"/>
  <c r="BD272" i="7"/>
  <c r="BD331" i="7"/>
  <c r="BD367" i="7"/>
  <c r="BS11" i="7"/>
  <c r="BS56" i="7"/>
  <c r="BS102" i="7"/>
  <c r="BS64" i="7"/>
  <c r="BP171" i="7"/>
  <c r="BS152" i="7"/>
  <c r="BP199" i="7"/>
  <c r="BS223" i="7"/>
  <c r="BS219" i="7"/>
  <c r="BS248" i="7"/>
  <c r="BP333" i="7"/>
  <c r="BP319" i="7"/>
  <c r="AR60" i="7"/>
  <c r="AR92" i="7"/>
  <c r="AR145" i="7"/>
  <c r="AR113" i="7"/>
  <c r="AR206" i="7"/>
  <c r="AR243" i="7"/>
  <c r="AR304" i="7"/>
  <c r="AR372" i="7"/>
  <c r="BS27" i="7"/>
  <c r="BP69" i="7"/>
  <c r="BS74" i="7"/>
  <c r="BP150" i="7"/>
  <c r="BP218" i="7"/>
  <c r="BP357" i="7"/>
  <c r="AR11" i="7"/>
  <c r="BD49" i="7"/>
  <c r="BD81" i="7"/>
  <c r="BD83" i="7"/>
  <c r="BD117" i="7"/>
  <c r="BD154" i="7"/>
  <c r="BD200" i="7"/>
  <c r="BD210" i="7"/>
  <c r="BD231" i="7"/>
  <c r="BD270" i="7"/>
  <c r="BD305" i="7"/>
  <c r="BD337" i="7"/>
  <c r="BD333" i="7"/>
  <c r="BD369" i="7"/>
  <c r="BP28" i="7"/>
  <c r="BP49" i="7"/>
  <c r="BP68" i="7"/>
  <c r="BP101" i="7"/>
  <c r="BS117" i="7"/>
  <c r="BS136" i="7"/>
  <c r="BP189" i="7"/>
  <c r="BP183" i="7"/>
  <c r="BP206" i="7"/>
  <c r="BP250" i="7"/>
  <c r="BS260" i="7"/>
  <c r="BS353" i="7"/>
  <c r="BP365" i="7"/>
  <c r="BD18" i="7"/>
  <c r="BD48" i="7"/>
  <c r="BD42" i="7"/>
  <c r="BD35" i="7"/>
  <c r="BD112" i="7"/>
  <c r="BD185" i="7"/>
  <c r="BD182" i="7"/>
  <c r="BD171" i="7"/>
  <c r="BD168" i="7"/>
  <c r="BD175" i="7"/>
  <c r="BD262" i="7"/>
  <c r="BD284" i="7"/>
  <c r="AR261" i="7"/>
  <c r="BD310" i="7"/>
  <c r="BD325" i="7"/>
  <c r="BD354" i="7"/>
  <c r="AR360" i="7"/>
  <c r="BP47" i="7"/>
  <c r="BP115" i="7"/>
  <c r="BS174" i="7"/>
  <c r="BP193" i="7"/>
  <c r="BS202" i="7"/>
  <c r="BP276" i="7"/>
  <c r="BP360" i="7"/>
  <c r="BP387" i="7"/>
  <c r="BS379" i="7"/>
  <c r="BS13" i="7"/>
  <c r="BP94" i="7"/>
  <c r="BP103" i="7"/>
  <c r="BP160" i="7"/>
  <c r="BS149" i="7"/>
  <c r="BS237" i="7"/>
  <c r="BS239" i="7"/>
  <c r="BP288" i="7"/>
  <c r="BS331" i="7"/>
  <c r="BP341" i="7"/>
  <c r="BD13" i="7"/>
  <c r="AR12" i="7"/>
  <c r="AR70" i="7"/>
  <c r="AR106" i="7"/>
  <c r="AR156" i="7"/>
  <c r="BD197" i="7"/>
  <c r="AR202" i="7"/>
  <c r="BD224" i="7"/>
  <c r="AR252" i="7"/>
  <c r="AR280" i="7"/>
  <c r="AR355" i="7"/>
  <c r="AR374" i="7"/>
  <c r="BP53" i="7"/>
  <c r="BP32" i="7"/>
  <c r="BP21" i="7"/>
  <c r="BP42" i="7"/>
  <c r="BP59" i="7"/>
  <c r="BS75" i="7"/>
  <c r="BS72" i="7"/>
  <c r="BP127" i="7"/>
  <c r="BP153" i="7"/>
  <c r="BS227" i="7"/>
  <c r="BS282" i="7"/>
  <c r="BP355" i="7"/>
  <c r="BP335" i="7"/>
  <c r="BP337" i="7"/>
  <c r="BD5" i="7"/>
  <c r="BD58" i="7"/>
  <c r="AR80" i="7"/>
  <c r="AR110" i="7"/>
  <c r="AR111" i="7"/>
  <c r="AR207" i="7"/>
  <c r="AR251" i="7"/>
  <c r="BD361" i="7"/>
  <c r="BP19" i="7"/>
  <c r="BP51" i="7"/>
  <c r="BS61" i="7"/>
  <c r="BS110" i="7"/>
  <c r="BS146" i="7"/>
  <c r="BS172" i="7"/>
  <c r="BP228" i="7"/>
  <c r="BS240" i="7"/>
  <c r="BS289" i="7"/>
  <c r="BS300" i="7"/>
  <c r="BP373" i="7"/>
  <c r="BD37" i="7"/>
  <c r="BD85" i="7"/>
  <c r="BD87" i="7"/>
  <c r="BD125" i="7"/>
  <c r="BD146" i="7"/>
  <c r="AR222" i="7"/>
  <c r="BD218" i="7"/>
  <c r="BD255" i="7"/>
  <c r="BD266" i="7"/>
  <c r="BD300" i="7"/>
  <c r="AR362" i="7"/>
  <c r="BD378" i="7"/>
  <c r="BP57" i="7"/>
  <c r="BS30" i="7"/>
  <c r="BP63" i="7"/>
  <c r="BS76" i="7"/>
  <c r="BP120" i="7"/>
  <c r="BP157" i="7"/>
  <c r="BP170" i="7"/>
  <c r="BS196" i="7"/>
  <c r="BP247" i="7"/>
  <c r="BS252" i="7"/>
  <c r="BS259" i="7"/>
  <c r="BP304" i="7"/>
  <c r="BS298" i="7"/>
  <c r="BP313" i="7"/>
  <c r="BS377" i="7"/>
  <c r="BD20" i="7"/>
  <c r="BD52" i="7"/>
  <c r="BD38" i="7"/>
  <c r="BD47" i="7"/>
  <c r="BD142" i="7"/>
  <c r="BD147" i="7"/>
  <c r="BD160" i="7"/>
  <c r="BD167" i="7"/>
  <c r="AR263" i="7"/>
  <c r="BD275" i="7"/>
  <c r="BD269" i="7"/>
  <c r="BD301" i="7"/>
  <c r="BD330" i="7"/>
  <c r="BD379" i="7"/>
  <c r="BS81" i="7"/>
  <c r="BP114" i="7"/>
  <c r="BS158" i="7"/>
  <c r="BS129" i="7"/>
  <c r="BP181" i="7"/>
  <c r="BS198" i="7"/>
  <c r="BP156" i="7"/>
  <c r="BP257" i="7"/>
  <c r="BP246" i="7"/>
  <c r="BP290" i="7"/>
  <c r="BP317" i="7"/>
  <c r="BS322" i="7"/>
  <c r="BP380" i="7"/>
  <c r="BS374" i="7"/>
  <c r="BD23" i="7"/>
  <c r="AR74" i="7"/>
  <c r="AR118" i="7"/>
  <c r="AR164" i="7"/>
  <c r="AR181" i="7"/>
  <c r="AR204" i="7"/>
  <c r="BD228" i="7"/>
  <c r="AR249" i="7"/>
  <c r="AR272" i="7"/>
  <c r="AR331" i="7"/>
  <c r="AR367" i="7"/>
  <c r="BP12" i="7"/>
  <c r="BP11" i="7"/>
  <c r="BS45" i="7"/>
  <c r="BS50" i="7"/>
  <c r="BS67" i="7"/>
  <c r="BP102" i="7"/>
  <c r="BS118" i="7"/>
  <c r="BS141" i="7"/>
  <c r="BP135" i="7"/>
  <c r="BP223" i="7"/>
  <c r="BS215" i="7"/>
  <c r="BP231" i="7"/>
  <c r="BS236" i="7"/>
  <c r="BP248" i="7"/>
  <c r="BS263" i="7"/>
  <c r="BS297" i="7"/>
  <c r="BP361" i="7"/>
  <c r="BS354" i="7"/>
  <c r="BD68" i="7"/>
  <c r="AR104" i="7"/>
  <c r="BD169" i="7"/>
  <c r="BD129" i="7"/>
  <c r="BD230" i="7"/>
  <c r="BD259" i="7"/>
  <c r="BD320" i="7"/>
  <c r="BD387" i="7"/>
  <c r="BP27" i="7"/>
  <c r="BP119" i="7"/>
  <c r="BS100" i="7"/>
  <c r="BP159" i="7"/>
  <c r="BS230" i="7"/>
  <c r="BS274" i="7"/>
  <c r="BS301" i="7"/>
  <c r="BS321" i="7"/>
  <c r="BS364" i="7"/>
  <c r="BS362" i="7"/>
  <c r="AR49" i="7"/>
  <c r="AR81" i="7"/>
  <c r="AR83" i="7"/>
  <c r="AR117" i="7"/>
  <c r="AR154" i="7"/>
  <c r="AR200" i="7"/>
  <c r="AR210" i="7"/>
  <c r="AR231" i="7"/>
  <c r="AR270" i="7"/>
  <c r="AR305" i="7"/>
  <c r="AR337" i="7"/>
  <c r="AR333" i="7"/>
  <c r="AR369" i="7"/>
  <c r="BS33" i="7"/>
  <c r="BS55" i="7"/>
  <c r="BS87" i="7"/>
  <c r="BS124" i="7"/>
  <c r="BP155" i="7"/>
  <c r="BS222" i="7"/>
  <c r="BS232" i="7"/>
  <c r="BP270" i="7"/>
  <c r="BS275" i="7"/>
  <c r="BP359" i="7"/>
  <c r="BS338" i="7"/>
  <c r="BP353" i="7"/>
  <c r="BS365" i="7"/>
  <c r="AR18" i="7"/>
  <c r="AR48" i="7"/>
  <c r="AR42" i="7"/>
  <c r="AR35" i="7"/>
  <c r="AR112" i="7"/>
  <c r="AR185" i="7"/>
  <c r="AR182" i="7"/>
  <c r="AR171" i="7"/>
  <c r="AR168" i="7"/>
  <c r="AR175" i="7"/>
  <c r="AR262" i="7"/>
  <c r="AR284" i="7"/>
  <c r="BD261" i="7"/>
  <c r="AR310" i="7"/>
  <c r="AR325" i="7"/>
  <c r="AR354" i="7"/>
  <c r="BD360" i="7"/>
  <c r="BP89" i="7"/>
  <c r="BS78" i="7"/>
  <c r="BS126" i="7"/>
  <c r="BS143" i="7"/>
  <c r="BP213" i="7"/>
  <c r="BP237" i="7"/>
  <c r="BS225" i="7"/>
  <c r="BS256" i="7"/>
  <c r="BS327" i="7"/>
  <c r="BS305" i="7"/>
  <c r="AR63" i="7"/>
  <c r="AR194" i="7"/>
  <c r="AR184" i="7"/>
  <c r="AR267" i="7"/>
  <c r="AR326" i="7"/>
  <c r="AR332" i="7"/>
  <c r="BD32" i="7"/>
  <c r="BD26" i="7"/>
  <c r="AR55" i="7"/>
  <c r="BD51" i="7"/>
  <c r="BD153" i="7"/>
  <c r="BD150" i="7"/>
  <c r="BD139" i="7"/>
  <c r="BD136" i="7"/>
  <c r="BD143" i="7"/>
  <c r="BD223" i="7"/>
  <c r="BD287" i="7"/>
  <c r="BD283" i="7"/>
  <c r="BD293" i="7"/>
  <c r="AR329" i="7"/>
  <c r="BD327" i="7"/>
  <c r="BD348" i="7"/>
  <c r="BP31" i="7"/>
  <c r="BS105" i="7"/>
  <c r="BP179" i="7"/>
  <c r="BP294" i="7"/>
  <c r="BS341" i="7"/>
  <c r="BS376" i="7"/>
  <c r="AR13" i="7"/>
  <c r="BD105" i="7"/>
  <c r="BD78" i="7"/>
  <c r="BD122" i="7"/>
  <c r="BD172" i="7"/>
  <c r="BD157" i="7"/>
  <c r="AR195" i="7"/>
  <c r="BD240" i="7"/>
  <c r="BD241" i="7"/>
  <c r="BD342" i="7"/>
  <c r="BD335" i="7"/>
  <c r="BP72" i="7"/>
  <c r="BP107" i="7"/>
  <c r="BS166" i="7"/>
  <c r="BP184" i="7"/>
  <c r="BS173" i="7"/>
  <c r="BS167" i="7"/>
  <c r="BP227" i="7"/>
  <c r="BP201" i="7"/>
  <c r="BS234" i="7"/>
  <c r="BP282" i="7"/>
  <c r="BP309" i="7"/>
  <c r="BS314" i="7"/>
  <c r="BP366" i="7"/>
  <c r="AR5" i="7"/>
  <c r="BD56" i="7"/>
  <c r="BD88" i="7"/>
  <c r="AR131" i="7"/>
  <c r="BD127" i="7"/>
  <c r="BD237" i="7"/>
  <c r="BD315" i="7"/>
  <c r="BD363" i="7"/>
  <c r="BS125" i="7"/>
  <c r="BP110" i="7"/>
  <c r="BS133" i="7"/>
  <c r="BP146" i="7"/>
  <c r="BP172" i="7"/>
  <c r="BP258" i="7"/>
  <c r="BP240" i="7"/>
  <c r="BP296" i="7"/>
  <c r="BP363" i="7"/>
  <c r="AR37" i="7"/>
  <c r="AR85" i="7"/>
  <c r="AR87" i="7"/>
  <c r="AR125" i="7"/>
  <c r="AR146" i="7"/>
  <c r="BD222" i="7"/>
  <c r="AR218" i="7"/>
  <c r="AR255" i="7"/>
  <c r="AR266" i="7"/>
  <c r="AR300" i="7"/>
  <c r="BD362" i="7"/>
  <c r="AR378" i="7"/>
  <c r="BS52" i="7"/>
  <c r="BS41" i="7"/>
  <c r="BS95" i="7"/>
  <c r="BP76" i="7"/>
  <c r="BP137" i="7"/>
  <c r="BS187" i="7"/>
  <c r="BP196" i="7"/>
  <c r="BP210" i="7"/>
  <c r="BP259" i="7"/>
  <c r="BP295" i="7"/>
  <c r="BS266" i="7"/>
  <c r="BP339" i="7"/>
  <c r="BS352" i="7"/>
  <c r="BS332" i="7"/>
  <c r="AR20" i="7"/>
  <c r="AR52" i="7"/>
  <c r="AR38" i="7"/>
  <c r="AR47" i="7"/>
  <c r="AR142" i="7"/>
  <c r="AR147" i="7"/>
  <c r="AR160" i="7"/>
  <c r="AR167" i="7"/>
  <c r="BD263" i="7"/>
  <c r="AR275" i="7"/>
  <c r="AR269" i="7"/>
  <c r="AR301" i="7"/>
  <c r="AR330" i="7"/>
  <c r="AR379" i="7"/>
  <c r="BS9" i="7"/>
  <c r="BS39" i="7"/>
  <c r="BP81" i="7"/>
  <c r="BP86" i="7"/>
  <c r="BP129" i="7"/>
  <c r="BP190" i="7"/>
  <c r="BS147" i="7"/>
  <c r="BS330" i="7"/>
  <c r="BD53" i="7"/>
  <c r="BD82" i="7"/>
  <c r="BD114" i="7"/>
  <c r="BD180" i="7"/>
  <c r="BD203" i="7"/>
  <c r="BD220" i="7"/>
  <c r="BD244" i="7"/>
  <c r="BD238" i="7"/>
  <c r="BD288" i="7"/>
  <c r="BD347" i="7"/>
  <c r="BD383" i="7"/>
  <c r="BS40" i="7"/>
  <c r="BP45" i="7"/>
  <c r="BP50" i="7"/>
  <c r="BS96" i="7"/>
  <c r="BP118" i="7"/>
  <c r="BP205" i="7"/>
  <c r="BP215" i="7"/>
  <c r="BP286" i="7"/>
  <c r="BS291" i="7"/>
  <c r="BP297" i="7"/>
  <c r="BS368" i="7"/>
  <c r="AR68" i="7"/>
  <c r="BD104" i="7"/>
  <c r="AR169" i="7"/>
  <c r="AR129" i="7"/>
  <c r="AR230" i="7"/>
  <c r="AR259" i="7"/>
  <c r="AR320" i="7"/>
  <c r="AR387" i="7"/>
  <c r="BP16" i="7"/>
  <c r="BS58" i="7"/>
  <c r="BS99" i="7"/>
  <c r="BS128" i="7"/>
  <c r="BS176" i="7"/>
  <c r="BS253" i="7"/>
  <c r="BS255" i="7"/>
  <c r="BP230" i="7"/>
  <c r="BP274" i="7"/>
  <c r="BP312" i="7"/>
  <c r="BP321" i="7"/>
  <c r="BP329" i="7"/>
  <c r="BP362" i="7"/>
  <c r="BD25" i="7"/>
  <c r="AR59" i="7"/>
  <c r="BD89" i="7"/>
  <c r="BD91" i="7"/>
  <c r="BD141" i="7"/>
  <c r="BD170" i="7"/>
  <c r="BD216" i="7"/>
  <c r="BD227" i="7"/>
  <c r="BD247" i="7"/>
  <c r="BD286" i="7"/>
  <c r="BD321" i="7"/>
  <c r="BD353" i="7"/>
  <c r="BD349" i="7"/>
  <c r="BD385" i="7"/>
  <c r="BP33" i="7"/>
  <c r="BP55" i="7"/>
  <c r="BP87" i="7"/>
  <c r="BP122" i="7"/>
  <c r="BP124" i="7"/>
  <c r="BS164" i="7"/>
  <c r="BP224" i="7"/>
  <c r="BS293" i="7"/>
  <c r="BP299" i="7"/>
  <c r="BS325" i="7"/>
  <c r="BP382" i="7"/>
  <c r="BD24" i="7"/>
  <c r="BD63" i="7"/>
  <c r="BD50" i="7"/>
  <c r="BD43" i="7"/>
  <c r="BD128" i="7"/>
  <c r="AR134" i="7"/>
  <c r="BD194" i="7"/>
  <c r="BD187" i="7"/>
  <c r="BD184" i="7"/>
  <c r="BD191" i="7"/>
  <c r="BD271" i="7"/>
  <c r="BD267" i="7"/>
  <c r="BD277" i="7"/>
  <c r="BD326" i="7"/>
  <c r="BD311" i="7"/>
  <c r="BD332" i="7"/>
  <c r="BD376" i="7"/>
  <c r="BD7" i="7"/>
  <c r="AR105" i="7"/>
  <c r="AR78" i="7"/>
  <c r="AR122" i="7"/>
  <c r="AR172" i="7"/>
  <c r="AR157" i="7"/>
  <c r="BD195" i="7"/>
  <c r="AR240" i="7"/>
  <c r="AR241" i="7"/>
  <c r="AR342" i="7"/>
  <c r="AR335" i="7"/>
  <c r="BP4" i="7"/>
  <c r="BP48" i="7"/>
  <c r="BS26" i="7"/>
  <c r="BS91" i="7"/>
  <c r="BS194" i="7"/>
  <c r="BS238" i="7"/>
  <c r="AR56" i="7"/>
  <c r="AR88" i="7"/>
  <c r="BD131" i="7"/>
  <c r="AR127" i="7"/>
  <c r="AR237" i="7"/>
  <c r="AR315" i="7"/>
  <c r="AR363" i="7"/>
  <c r="BS93" i="7"/>
  <c r="BS98" i="7"/>
  <c r="BS177" i="7"/>
  <c r="BS163" i="7"/>
  <c r="BP133" i="7"/>
  <c r="BP211" i="7"/>
  <c r="BS216" i="7"/>
  <c r="BP278" i="7"/>
  <c r="BS283" i="7"/>
  <c r="BS311" i="7"/>
  <c r="BS346" i="7"/>
  <c r="AR67" i="7"/>
  <c r="BD45" i="7"/>
  <c r="BD93" i="7"/>
  <c r="BD95" i="7"/>
  <c r="BD108" i="7"/>
  <c r="BD162" i="7"/>
  <c r="BD208" i="7"/>
  <c r="BD242" i="7"/>
  <c r="BD281" i="7"/>
  <c r="BD282" i="7"/>
  <c r="BD316" i="7"/>
  <c r="BD344" i="7"/>
  <c r="BD377" i="7"/>
  <c r="BS7" i="7"/>
  <c r="BS36" i="7"/>
  <c r="BP41" i="7"/>
  <c r="BS46" i="7"/>
  <c r="BP95" i="7"/>
  <c r="BP134" i="7"/>
  <c r="BS111" i="7"/>
  <c r="BP233" i="7"/>
  <c r="BS295" i="7"/>
  <c r="BP332" i="7"/>
  <c r="BD28" i="7"/>
  <c r="AR57" i="7"/>
  <c r="BD46" i="7"/>
  <c r="BD102" i="7"/>
  <c r="BD158" i="7"/>
  <c r="BD163" i="7"/>
  <c r="AR176" i="7"/>
  <c r="BD183" i="7"/>
  <c r="BD279" i="7"/>
  <c r="BD291" i="7"/>
  <c r="BD285" i="7"/>
  <c r="BD317" i="7"/>
  <c r="BD346" i="7"/>
  <c r="BD368" i="7"/>
  <c r="BP10" i="7"/>
  <c r="BP9" i="7"/>
  <c r="BP23" i="7"/>
  <c r="BS62" i="7"/>
  <c r="BS65" i="7"/>
  <c r="BS70" i="7"/>
  <c r="BS220" i="7"/>
  <c r="BS273" i="7"/>
  <c r="BS358" i="7"/>
  <c r="BS356" i="7"/>
  <c r="BS378" i="7"/>
  <c r="AR53" i="7"/>
  <c r="AR82" i="7"/>
  <c r="AR114" i="7"/>
  <c r="AR180" i="7"/>
  <c r="AR203" i="7"/>
  <c r="AR220" i="7"/>
  <c r="AR244" i="7"/>
  <c r="AR238" i="7"/>
  <c r="AR288" i="7"/>
  <c r="AR347" i="7"/>
  <c r="AR383" i="7"/>
  <c r="BP40" i="7"/>
  <c r="BS29" i="7"/>
  <c r="BP83" i="7"/>
  <c r="BS80" i="7"/>
  <c r="BS197" i="7"/>
  <c r="BS171" i="7"/>
  <c r="BP195" i="7"/>
  <c r="BS180" i="7"/>
  <c r="BP263" i="7"/>
  <c r="BP315" i="7"/>
  <c r="BS333" i="7"/>
  <c r="BS308" i="7"/>
  <c r="BP371" i="7"/>
  <c r="BP368" i="7"/>
  <c r="BD76" i="7"/>
  <c r="BD99" i="7"/>
  <c r="AR103" i="7"/>
  <c r="AR196" i="7"/>
  <c r="BD215" i="7"/>
  <c r="BD307" i="7"/>
  <c r="BD306" i="7"/>
  <c r="BP58" i="7"/>
  <c r="BP85" i="7"/>
  <c r="BP99" i="7"/>
  <c r="BS90" i="7"/>
  <c r="BS150" i="7"/>
  <c r="BP131" i="7"/>
  <c r="BS178" i="7"/>
  <c r="BS140" i="7"/>
  <c r="BS218" i="7"/>
  <c r="BP253" i="7"/>
  <c r="BP347" i="7"/>
  <c r="BS357" i="7"/>
  <c r="AR25" i="7"/>
  <c r="BD59" i="7"/>
  <c r="AR89" i="7"/>
  <c r="AR91" i="7"/>
  <c r="AR141" i="7"/>
  <c r="AR170" i="7"/>
  <c r="AR216" i="7"/>
  <c r="AR227" i="7"/>
  <c r="AR247" i="7"/>
  <c r="AR286" i="7"/>
  <c r="AR321" i="7"/>
  <c r="AR353" i="7"/>
  <c r="AR349" i="7"/>
  <c r="AR385" i="7"/>
  <c r="BS14" i="7"/>
  <c r="BP44" i="7"/>
  <c r="BP38" i="7"/>
  <c r="BP84" i="7"/>
  <c r="BS101" i="7"/>
  <c r="BP203" i="7"/>
  <c r="BS189" i="7"/>
  <c r="BP164" i="7"/>
  <c r="BS217" i="7"/>
  <c r="BS250" i="7"/>
  <c r="BP264" i="7"/>
  <c r="BP293" i="7"/>
  <c r="BS299" i="7"/>
  <c r="BD6" i="7"/>
  <c r="AR6" i="7"/>
  <c r="BD4" i="7"/>
  <c r="AR4" i="7"/>
  <c r="BD8" i="7"/>
  <c r="AR8" i="7"/>
  <c r="C401" i="3"/>
  <c r="Z401" i="3" s="1"/>
  <c r="F401" i="3"/>
  <c r="C305" i="3"/>
  <c r="Z305" i="3" s="1"/>
  <c r="F305" i="3"/>
  <c r="F46" i="3"/>
  <c r="C46" i="3"/>
  <c r="Z46" i="3" s="1"/>
  <c r="F43" i="3"/>
  <c r="C43" i="3"/>
  <c r="Z43" i="3" s="1"/>
  <c r="F219" i="3"/>
  <c r="C219" i="3"/>
  <c r="Z219" i="3" s="1"/>
  <c r="C36" i="3"/>
  <c r="Z36" i="3" s="1"/>
  <c r="F36" i="3"/>
  <c r="F205" i="3"/>
  <c r="C205" i="3"/>
  <c r="Z205" i="3" s="1"/>
  <c r="F363" i="3"/>
  <c r="C363" i="3"/>
  <c r="Z363" i="3" s="1"/>
  <c r="F290" i="3"/>
  <c r="C290" i="3"/>
  <c r="Z290" i="3" s="1"/>
  <c r="F213" i="3"/>
  <c r="C213" i="3"/>
  <c r="Z213" i="3" s="1"/>
  <c r="F333" i="3"/>
  <c r="C333" i="3"/>
  <c r="Z333" i="3" s="1"/>
  <c r="F245" i="3"/>
  <c r="C245" i="3"/>
  <c r="Z245" i="3" s="1"/>
  <c r="C111" i="3"/>
  <c r="Z111" i="3" s="1"/>
  <c r="F111" i="3"/>
  <c r="F70" i="3"/>
  <c r="C70" i="3"/>
  <c r="Z70" i="3" s="1"/>
  <c r="C228" i="3"/>
  <c r="Z228" i="3" s="1"/>
  <c r="F228" i="3"/>
  <c r="F88" i="3"/>
  <c r="C88" i="3"/>
  <c r="Z88" i="3" s="1"/>
  <c r="F267" i="3"/>
  <c r="C267" i="3"/>
  <c r="Z267" i="3" s="1"/>
  <c r="C326" i="3"/>
  <c r="Z326" i="3" s="1"/>
  <c r="F326" i="3"/>
  <c r="F142" i="3"/>
  <c r="C142" i="3"/>
  <c r="Z142" i="3" s="1"/>
  <c r="C95" i="3"/>
  <c r="Z95" i="3" s="1"/>
  <c r="F95" i="3"/>
  <c r="C97" i="3"/>
  <c r="Z97" i="3" s="1"/>
  <c r="F97" i="3"/>
  <c r="F198" i="3"/>
  <c r="C198" i="3"/>
  <c r="Z198" i="3" s="1"/>
  <c r="F181" i="3"/>
  <c r="C181" i="3"/>
  <c r="Z181" i="3" s="1"/>
  <c r="F232" i="3"/>
  <c r="C232" i="3"/>
  <c r="Z232" i="3" s="1"/>
  <c r="F355" i="3"/>
  <c r="C355" i="3"/>
  <c r="Z355" i="3" s="1"/>
  <c r="F349" i="3"/>
  <c r="C349" i="3"/>
  <c r="Z349" i="3" s="1"/>
  <c r="C55" i="3"/>
  <c r="Z55" i="3" s="1"/>
  <c r="F55" i="3"/>
  <c r="F115" i="3"/>
  <c r="C115" i="3"/>
  <c r="Z115" i="3" s="1"/>
  <c r="C236" i="3"/>
  <c r="Z236" i="3" s="1"/>
  <c r="F236" i="3"/>
  <c r="C276" i="3"/>
  <c r="Z276" i="3" s="1"/>
  <c r="F276" i="3"/>
  <c r="C206" i="3"/>
  <c r="Z206" i="3" s="1"/>
  <c r="F206" i="3"/>
  <c r="F303" i="3"/>
  <c r="C303" i="3"/>
  <c r="Z303" i="3" s="1"/>
  <c r="F114" i="3"/>
  <c r="C114" i="3"/>
  <c r="Z114" i="3" s="1"/>
  <c r="F251" i="3"/>
  <c r="C251" i="3"/>
  <c r="Z251" i="3" s="1"/>
  <c r="F190" i="3"/>
  <c r="C190" i="3"/>
  <c r="Z190" i="3" s="1"/>
  <c r="C345" i="3"/>
  <c r="Z345" i="3" s="1"/>
  <c r="F345" i="3"/>
  <c r="F280" i="3"/>
  <c r="C280" i="3"/>
  <c r="Z280" i="3" s="1"/>
  <c r="F235" i="3"/>
  <c r="C235" i="3"/>
  <c r="Z235" i="3" s="1"/>
  <c r="F53" i="3"/>
  <c r="C53" i="3"/>
  <c r="Z53" i="3" s="1"/>
  <c r="C103" i="3"/>
  <c r="Z103" i="3" s="1"/>
  <c r="F103" i="3"/>
  <c r="F94" i="3"/>
  <c r="C94" i="3"/>
  <c r="Z94" i="3" s="1"/>
  <c r="C308" i="3"/>
  <c r="Z308" i="3" s="1"/>
  <c r="F308" i="3"/>
  <c r="C169" i="3"/>
  <c r="Z169" i="3" s="1"/>
  <c r="F169" i="3"/>
  <c r="C151" i="3"/>
  <c r="Z151" i="3" s="1"/>
  <c r="F151" i="3"/>
  <c r="AQ310" i="6"/>
  <c r="Y329" i="3"/>
  <c r="AQ244" i="6"/>
  <c r="Y263" i="3"/>
  <c r="AQ73" i="6"/>
  <c r="Y92" i="3"/>
  <c r="AQ333" i="6"/>
  <c r="Y352" i="3"/>
  <c r="AQ146" i="6"/>
  <c r="Y165" i="3"/>
  <c r="AQ74" i="6"/>
  <c r="Y93" i="3"/>
  <c r="AQ299" i="6"/>
  <c r="Y318" i="3"/>
  <c r="AQ154" i="6"/>
  <c r="Y173" i="3"/>
  <c r="AQ340" i="6"/>
  <c r="Y359" i="3"/>
  <c r="AQ227" i="6"/>
  <c r="Y246" i="3"/>
  <c r="AQ56" i="6"/>
  <c r="Y75" i="3"/>
  <c r="AQ262" i="6"/>
  <c r="Y281" i="3"/>
  <c r="AQ342" i="6"/>
  <c r="Y361" i="3"/>
  <c r="AQ181" i="6"/>
  <c r="Y200" i="3"/>
  <c r="AQ334" i="6"/>
  <c r="Y353" i="3"/>
  <c r="AQ204" i="6"/>
  <c r="Y223" i="3"/>
  <c r="AQ343" i="6"/>
  <c r="Y362" i="3"/>
  <c r="AZ78" i="6"/>
  <c r="AY78" i="6"/>
  <c r="AX78" i="6"/>
  <c r="BA78" i="6" s="1"/>
  <c r="AQ15" i="6"/>
  <c r="Y34" i="3"/>
  <c r="AQ317" i="6"/>
  <c r="Y336" i="3"/>
  <c r="AQ285" i="6"/>
  <c r="Y304" i="3"/>
  <c r="AQ316" i="6"/>
  <c r="Y335" i="3"/>
  <c r="AQ176" i="6"/>
  <c r="Y195" i="3"/>
  <c r="AQ79" i="6"/>
  <c r="Y98" i="3"/>
  <c r="AQ308" i="6"/>
  <c r="Y327" i="3"/>
  <c r="AQ61" i="6"/>
  <c r="Y80" i="3"/>
  <c r="AQ235" i="6"/>
  <c r="Y254" i="3"/>
  <c r="AQ117" i="6"/>
  <c r="Y136" i="3"/>
  <c r="AQ361" i="6"/>
  <c r="Y380" i="3"/>
  <c r="AQ94" i="6"/>
  <c r="Y113" i="3"/>
  <c r="AQ127" i="6"/>
  <c r="Y146" i="3"/>
  <c r="AQ157" i="6"/>
  <c r="Y176" i="3"/>
  <c r="AQ371" i="6"/>
  <c r="Y390" i="3"/>
  <c r="C316" i="3"/>
  <c r="Z316" i="3" s="1"/>
  <c r="F316" i="3"/>
  <c r="F226" i="3"/>
  <c r="C226" i="3"/>
  <c r="Z226" i="3" s="1"/>
  <c r="C273" i="3"/>
  <c r="Z273" i="3" s="1"/>
  <c r="F273" i="3"/>
  <c r="F386" i="3"/>
  <c r="C386" i="3"/>
  <c r="Z386" i="3" s="1"/>
  <c r="C366" i="3"/>
  <c r="Z366" i="3" s="1"/>
  <c r="F366" i="3"/>
  <c r="C382" i="3"/>
  <c r="Z382" i="3" s="1"/>
  <c r="F382" i="3"/>
  <c r="F118" i="3"/>
  <c r="C118" i="3"/>
  <c r="Z118" i="3" s="1"/>
  <c r="F194" i="3"/>
  <c r="C194" i="3"/>
  <c r="Z194" i="3" s="1"/>
  <c r="C409" i="3"/>
  <c r="Z409" i="3" s="1"/>
  <c r="F409" i="3"/>
  <c r="F283" i="3"/>
  <c r="C283" i="3"/>
  <c r="Z283" i="3" s="1"/>
  <c r="F195" i="3"/>
  <c r="C195" i="3"/>
  <c r="Z195" i="3" s="1"/>
  <c r="C119" i="3"/>
  <c r="Z119" i="3" s="1"/>
  <c r="F119" i="3"/>
  <c r="F128" i="3"/>
  <c r="C128" i="3"/>
  <c r="Z128" i="3" s="1"/>
  <c r="F224" i="3"/>
  <c r="C224" i="3"/>
  <c r="Z224" i="3" s="1"/>
  <c r="F296" i="3"/>
  <c r="C296" i="3"/>
  <c r="Z296" i="3" s="1"/>
  <c r="F336" i="3"/>
  <c r="C336" i="3"/>
  <c r="Z336" i="3" s="1"/>
  <c r="F314" i="3"/>
  <c r="C314" i="3"/>
  <c r="Z314" i="3" s="1"/>
  <c r="F394" i="3"/>
  <c r="C394" i="3"/>
  <c r="Z394" i="3" s="1"/>
  <c r="C372" i="3"/>
  <c r="Z372" i="3" s="1"/>
  <c r="F372" i="3"/>
  <c r="AQ326" i="6"/>
  <c r="Y345" i="3"/>
  <c r="AQ16" i="6"/>
  <c r="Y35" i="3"/>
  <c r="AQ331" i="6"/>
  <c r="Y350" i="3"/>
  <c r="AQ365" i="6"/>
  <c r="Y384" i="3"/>
  <c r="AQ26" i="6"/>
  <c r="Y45" i="3"/>
  <c r="AQ164" i="6"/>
  <c r="Y183" i="3"/>
  <c r="AQ57" i="6"/>
  <c r="Y76" i="3"/>
  <c r="AQ302" i="6"/>
  <c r="Y321" i="3"/>
  <c r="AQ372" i="6"/>
  <c r="Y391" i="3"/>
  <c r="AQ348" i="6"/>
  <c r="Y367" i="3"/>
  <c r="AQ370" i="6"/>
  <c r="Y389" i="3"/>
  <c r="AQ153" i="6"/>
  <c r="Y172" i="3"/>
  <c r="AQ335" i="6"/>
  <c r="Y354" i="3"/>
  <c r="AQ91" i="6"/>
  <c r="Y110" i="3"/>
  <c r="AQ231" i="6"/>
  <c r="Y250" i="3"/>
  <c r="AQ367" i="6"/>
  <c r="Y386" i="3"/>
  <c r="AQ294" i="6"/>
  <c r="Y313" i="3"/>
  <c r="AQ232" i="6"/>
  <c r="Y251" i="3"/>
  <c r="AQ173" i="6"/>
  <c r="Y192" i="3"/>
  <c r="AQ330" i="6"/>
  <c r="Y349" i="3"/>
  <c r="AQ188" i="6"/>
  <c r="Y207" i="3"/>
  <c r="AQ393" i="6"/>
  <c r="Y412" i="3"/>
  <c r="AQ280" i="6"/>
  <c r="Y299" i="3"/>
  <c r="AQ362" i="6"/>
  <c r="Y381" i="3"/>
  <c r="AQ266" i="6"/>
  <c r="Y285" i="3"/>
  <c r="AQ143" i="6"/>
  <c r="Y162" i="3"/>
  <c r="AQ62" i="6"/>
  <c r="Y81" i="3"/>
  <c r="AQ144" i="6"/>
  <c r="Y163" i="3"/>
  <c r="AQ39" i="6"/>
  <c r="Y58" i="3"/>
  <c r="AQ191" i="6"/>
  <c r="Y210" i="3"/>
  <c r="AQ268" i="6"/>
  <c r="Y287" i="3"/>
  <c r="BC60" i="6"/>
  <c r="BB60" i="6"/>
  <c r="AQ36" i="6"/>
  <c r="Y55" i="3"/>
  <c r="F110" i="3"/>
  <c r="C110" i="3"/>
  <c r="Z110" i="3" s="1"/>
  <c r="C361" i="3"/>
  <c r="Z361" i="3" s="1"/>
  <c r="F361" i="3"/>
  <c r="F187" i="3"/>
  <c r="C187" i="3"/>
  <c r="Z187" i="3" s="1"/>
  <c r="C89" i="3"/>
  <c r="Z89" i="3" s="1"/>
  <c r="F89" i="3"/>
  <c r="C52" i="3"/>
  <c r="Z52" i="3" s="1"/>
  <c r="F52" i="3"/>
  <c r="F388" i="3"/>
  <c r="C388" i="3"/>
  <c r="Z388" i="3" s="1"/>
  <c r="F247" i="3"/>
  <c r="C247" i="3"/>
  <c r="Z247" i="3" s="1"/>
  <c r="C185" i="3"/>
  <c r="Z185" i="3" s="1"/>
  <c r="F185" i="3"/>
  <c r="C68" i="3"/>
  <c r="Z68" i="3" s="1"/>
  <c r="F68" i="3"/>
  <c r="C334" i="3"/>
  <c r="Z334" i="3" s="1"/>
  <c r="F334" i="3"/>
  <c r="F106" i="3"/>
  <c r="C106" i="3"/>
  <c r="Z106" i="3" s="1"/>
  <c r="F272" i="3"/>
  <c r="C272" i="3"/>
  <c r="Z272" i="3" s="1"/>
  <c r="C318" i="3"/>
  <c r="Z318" i="3" s="1"/>
  <c r="F318" i="3"/>
  <c r="F207" i="3"/>
  <c r="C207" i="3"/>
  <c r="Z207" i="3" s="1"/>
  <c r="F408" i="3"/>
  <c r="C408" i="3"/>
  <c r="Z408" i="3" s="1"/>
  <c r="F215" i="3"/>
  <c r="C215" i="3"/>
  <c r="Z215" i="3" s="1"/>
  <c r="F150" i="3"/>
  <c r="C150" i="3"/>
  <c r="Z150" i="3" s="1"/>
  <c r="C84" i="3"/>
  <c r="Z84" i="3" s="1"/>
  <c r="F84" i="3"/>
  <c r="F146" i="3"/>
  <c r="C146" i="3"/>
  <c r="Z146" i="3" s="1"/>
  <c r="C403" i="3"/>
  <c r="Z403" i="3" s="1"/>
  <c r="F403" i="3"/>
  <c r="F323" i="3"/>
  <c r="C323" i="3"/>
  <c r="Z323" i="3" s="1"/>
  <c r="F130" i="3"/>
  <c r="C130" i="3"/>
  <c r="Z130" i="3" s="1"/>
  <c r="C209" i="3"/>
  <c r="Z209" i="3" s="1"/>
  <c r="F209" i="3"/>
  <c r="C292" i="3"/>
  <c r="Z292" i="3" s="1"/>
  <c r="F292" i="3"/>
  <c r="F30" i="3"/>
  <c r="C30" i="3"/>
  <c r="Z30" i="3" s="1"/>
  <c r="C201" i="3"/>
  <c r="Z201" i="3" s="1"/>
  <c r="F201" i="3"/>
  <c r="F404" i="3"/>
  <c r="C404" i="3"/>
  <c r="Z404" i="3" s="1"/>
  <c r="C145" i="3"/>
  <c r="Z145" i="3" s="1"/>
  <c r="F145" i="3"/>
  <c r="F347" i="3"/>
  <c r="C347" i="3"/>
  <c r="Z347" i="3" s="1"/>
  <c r="F58" i="3"/>
  <c r="C58" i="3"/>
  <c r="Z58" i="3" s="1"/>
  <c r="F234" i="3"/>
  <c r="C234" i="3"/>
  <c r="Z234" i="3" s="1"/>
  <c r="C284" i="3"/>
  <c r="Z284" i="3" s="1"/>
  <c r="F284" i="3"/>
  <c r="C183" i="3"/>
  <c r="Z183" i="3" s="1"/>
  <c r="F183" i="3"/>
  <c r="F253" i="3"/>
  <c r="C253" i="3"/>
  <c r="Z253" i="3" s="1"/>
  <c r="C127" i="3"/>
  <c r="Z127" i="3" s="1"/>
  <c r="F127" i="3"/>
  <c r="F309" i="3"/>
  <c r="C309" i="3"/>
  <c r="Z309" i="3" s="1"/>
  <c r="F98" i="3"/>
  <c r="C98" i="3"/>
  <c r="Z98" i="3" s="1"/>
  <c r="F365" i="3"/>
  <c r="C365" i="3"/>
  <c r="Z365" i="3" s="1"/>
  <c r="F182" i="3"/>
  <c r="C182" i="3"/>
  <c r="Z182" i="3" s="1"/>
  <c r="C300" i="3"/>
  <c r="Z300" i="3" s="1"/>
  <c r="F300" i="3"/>
  <c r="C196" i="3"/>
  <c r="Z196" i="3" s="1"/>
  <c r="F196" i="3"/>
  <c r="F391" i="3"/>
  <c r="C391" i="3"/>
  <c r="Z391" i="3" s="1"/>
  <c r="F96" i="3"/>
  <c r="C96" i="3"/>
  <c r="Z96" i="3" s="1"/>
  <c r="F197" i="3"/>
  <c r="C197" i="3"/>
  <c r="Z197" i="3" s="1"/>
  <c r="C220" i="3"/>
  <c r="Z220" i="3" s="1"/>
  <c r="F220" i="3"/>
  <c r="F227" i="3"/>
  <c r="C227" i="3"/>
  <c r="Z227" i="3" s="1"/>
  <c r="F264" i="3"/>
  <c r="C264" i="3"/>
  <c r="Z264" i="3" s="1"/>
  <c r="C249" i="3"/>
  <c r="Z249" i="3" s="1"/>
  <c r="F249" i="3"/>
  <c r="AQ45" i="6"/>
  <c r="Y64" i="3"/>
  <c r="BC62" i="6"/>
  <c r="BB62" i="6"/>
  <c r="AQ109" i="6"/>
  <c r="Y128" i="3"/>
  <c r="AQ243" i="6"/>
  <c r="Y262" i="3"/>
  <c r="AQ381" i="6"/>
  <c r="Y400" i="3"/>
  <c r="AQ192" i="6"/>
  <c r="Y211" i="3"/>
  <c r="AQ40" i="6"/>
  <c r="Y59" i="3"/>
  <c r="AQ128" i="6"/>
  <c r="Y147" i="3"/>
  <c r="AQ168" i="6"/>
  <c r="Y187" i="3"/>
  <c r="BC64" i="6"/>
  <c r="BB64" i="6"/>
  <c r="AQ107" i="6"/>
  <c r="Y126" i="3"/>
  <c r="AQ307" i="6"/>
  <c r="Y326" i="3"/>
  <c r="AQ115" i="6"/>
  <c r="Y134" i="3"/>
  <c r="AQ223" i="6"/>
  <c r="Y242" i="3"/>
  <c r="AQ265" i="6"/>
  <c r="Y284" i="3"/>
  <c r="AQ366" i="6"/>
  <c r="Y385" i="3"/>
  <c r="AQ190" i="6"/>
  <c r="Y209" i="3"/>
  <c r="AQ237" i="6"/>
  <c r="Y256" i="3"/>
  <c r="AQ345" i="6"/>
  <c r="Y364" i="3"/>
  <c r="AQ354" i="6"/>
  <c r="Y373" i="3"/>
  <c r="AQ376" i="6"/>
  <c r="Y395" i="3"/>
  <c r="AZ75" i="6"/>
  <c r="AY75" i="6"/>
  <c r="AX75" i="6"/>
  <c r="BA75" i="6" s="1"/>
  <c r="AQ288" i="6"/>
  <c r="Y307" i="3"/>
  <c r="AQ240" i="6"/>
  <c r="Y259" i="3"/>
  <c r="AQ389" i="6"/>
  <c r="Y408" i="3"/>
  <c r="AQ41" i="6"/>
  <c r="Y60" i="3"/>
  <c r="AX69" i="6"/>
  <c r="BA69" i="6" s="1"/>
  <c r="AZ69" i="6"/>
  <c r="AY69" i="6"/>
  <c r="AQ111" i="6"/>
  <c r="Y130" i="3"/>
  <c r="AQ392" i="6"/>
  <c r="Y411" i="3"/>
  <c r="AQ54" i="6"/>
  <c r="Y73" i="3"/>
  <c r="AZ71" i="6"/>
  <c r="AY71" i="6"/>
  <c r="AX71" i="6"/>
  <c r="BA71" i="6" s="1"/>
  <c r="AQ261" i="6"/>
  <c r="Y280" i="3"/>
  <c r="AQ320" i="6"/>
  <c r="Y339" i="3"/>
  <c r="AQ387" i="6"/>
  <c r="Y406" i="3"/>
  <c r="AQ140" i="6"/>
  <c r="Y159" i="3"/>
  <c r="AQ67" i="6"/>
  <c r="Y86" i="3"/>
  <c r="AQ278" i="6"/>
  <c r="Y297" i="3"/>
  <c r="AQ246" i="6"/>
  <c r="Y265" i="3"/>
  <c r="AQ133" i="6"/>
  <c r="Y152" i="3"/>
  <c r="AQ277" i="6"/>
  <c r="Y296" i="3"/>
  <c r="AQ95" i="6"/>
  <c r="Y114" i="3"/>
  <c r="AQ312" i="6"/>
  <c r="Y331" i="3"/>
  <c r="AQ114" i="6"/>
  <c r="Y133" i="3"/>
  <c r="C342" i="3"/>
  <c r="Z342" i="3" s="1"/>
  <c r="F342" i="3"/>
  <c r="F389" i="3"/>
  <c r="C389" i="3"/>
  <c r="Z389" i="3" s="1"/>
  <c r="F78" i="3"/>
  <c r="C78" i="3"/>
  <c r="Z78" i="3" s="1"/>
  <c r="C180" i="3"/>
  <c r="Z180" i="3" s="1"/>
  <c r="F180" i="3"/>
  <c r="C105" i="3"/>
  <c r="Z105" i="3" s="1"/>
  <c r="F105" i="3"/>
  <c r="C47" i="3"/>
  <c r="Z47" i="3" s="1"/>
  <c r="F47" i="3"/>
  <c r="F298" i="3"/>
  <c r="C298" i="3"/>
  <c r="Z298" i="3" s="1"/>
  <c r="F165" i="3"/>
  <c r="C165" i="3"/>
  <c r="Z165" i="3" s="1"/>
  <c r="F192" i="3"/>
  <c r="C192" i="3"/>
  <c r="Z192" i="3" s="1"/>
  <c r="F163" i="3"/>
  <c r="C163" i="3"/>
  <c r="Z163" i="3" s="1"/>
  <c r="F83" i="3"/>
  <c r="C83" i="3"/>
  <c r="Z83" i="3" s="1"/>
  <c r="F384" i="3"/>
  <c r="C384" i="3"/>
  <c r="Z384" i="3" s="1"/>
  <c r="F40" i="3"/>
  <c r="C40" i="3"/>
  <c r="Z40" i="3" s="1"/>
  <c r="F50" i="3"/>
  <c r="C50" i="3"/>
  <c r="Z50" i="3" s="1"/>
  <c r="F287" i="3"/>
  <c r="C287" i="3"/>
  <c r="Z287" i="3" s="1"/>
  <c r="F407" i="3"/>
  <c r="C407" i="3"/>
  <c r="Z407" i="3" s="1"/>
  <c r="F271" i="3"/>
  <c r="C271" i="3"/>
  <c r="Z271" i="3" s="1"/>
  <c r="F154" i="3"/>
  <c r="C154" i="3"/>
  <c r="Z154" i="3" s="1"/>
  <c r="AQ18" i="6"/>
  <c r="Y37" i="3"/>
  <c r="AQ137" i="6"/>
  <c r="Y156" i="3"/>
  <c r="AQ147" i="6"/>
  <c r="Y166" i="3"/>
  <c r="AZ70" i="6"/>
  <c r="AY70" i="6"/>
  <c r="AX70" i="6"/>
  <c r="BA70" i="6" s="1"/>
  <c r="AZ68" i="6"/>
  <c r="AY68" i="6"/>
  <c r="AX68" i="6"/>
  <c r="BA68" i="6" s="1"/>
  <c r="AQ290" i="6"/>
  <c r="Y309" i="3"/>
  <c r="AQ369" i="6"/>
  <c r="Y388" i="3"/>
  <c r="AQ234" i="6"/>
  <c r="Y253" i="3"/>
  <c r="AZ67" i="6"/>
  <c r="AY67" i="6"/>
  <c r="AX67" i="6"/>
  <c r="BA67" i="6" s="1"/>
  <c r="AQ130" i="6"/>
  <c r="Y149" i="3"/>
  <c r="AQ196" i="6"/>
  <c r="Y215" i="3"/>
  <c r="AQ186" i="6"/>
  <c r="Y205" i="3"/>
  <c r="AQ211" i="6"/>
  <c r="Y230" i="3"/>
  <c r="AQ205" i="6"/>
  <c r="Y224" i="3"/>
  <c r="AQ42" i="6"/>
  <c r="Y61" i="3"/>
  <c r="AQ238" i="6"/>
  <c r="Y257" i="3"/>
  <c r="AQ75" i="6"/>
  <c r="Y94" i="3"/>
  <c r="AQ145" i="6"/>
  <c r="Y164" i="3"/>
  <c r="AQ103" i="6"/>
  <c r="Y122" i="3"/>
  <c r="AZ73" i="6"/>
  <c r="AY73" i="6"/>
  <c r="AX73" i="6"/>
  <c r="BA73" i="6" s="1"/>
  <c r="AQ159" i="6"/>
  <c r="Y178" i="3"/>
  <c r="AQ201" i="6"/>
  <c r="Y220" i="3"/>
  <c r="AQ213" i="6"/>
  <c r="Y232" i="3"/>
  <c r="AQ297" i="6"/>
  <c r="Y316" i="3"/>
  <c r="AQ282" i="6"/>
  <c r="Y301" i="3"/>
  <c r="AQ374" i="6"/>
  <c r="Y393" i="3"/>
  <c r="AQ27" i="6"/>
  <c r="Y46" i="3"/>
  <c r="AQ166" i="6"/>
  <c r="Y185" i="3"/>
  <c r="AQ347" i="6"/>
  <c r="Y366" i="3"/>
  <c r="AQ24" i="6"/>
  <c r="Y43" i="3"/>
  <c r="AQ249" i="6"/>
  <c r="Y268" i="3"/>
  <c r="AQ25" i="6"/>
  <c r="Y44" i="3"/>
  <c r="AQ257" i="6"/>
  <c r="Y276" i="3"/>
  <c r="AQ110" i="6"/>
  <c r="Y129" i="3"/>
  <c r="AQ337" i="6"/>
  <c r="Y356" i="3"/>
  <c r="AQ368" i="6"/>
  <c r="Y387" i="3"/>
  <c r="AQ43" i="6"/>
  <c r="Y62" i="3"/>
  <c r="AQ260" i="6"/>
  <c r="Y279" i="3"/>
  <c r="AQ289" i="6"/>
  <c r="Y308" i="3"/>
  <c r="AQ228" i="6"/>
  <c r="Y247" i="3"/>
  <c r="AQ120" i="6"/>
  <c r="Y139" i="3"/>
  <c r="AQ388" i="6"/>
  <c r="Y407" i="3"/>
  <c r="AQ19" i="6"/>
  <c r="Y38" i="3"/>
  <c r="AQ156" i="6"/>
  <c r="Y175" i="3"/>
  <c r="AQ175" i="6"/>
  <c r="Y194" i="3"/>
  <c r="AQ131" i="6"/>
  <c r="Y150" i="3"/>
  <c r="AQ171" i="6"/>
  <c r="Y190" i="3"/>
  <c r="AQ247" i="6"/>
  <c r="Y266" i="3"/>
  <c r="AQ258" i="6"/>
  <c r="Y277" i="3"/>
  <c r="AQ121" i="6"/>
  <c r="Y140" i="3"/>
  <c r="C324" i="3"/>
  <c r="Z324" i="3" s="1"/>
  <c r="F324" i="3"/>
  <c r="F157" i="3"/>
  <c r="C157" i="3"/>
  <c r="Z157" i="3" s="1"/>
  <c r="C302" i="3"/>
  <c r="Z302" i="3" s="1"/>
  <c r="F302" i="3"/>
  <c r="F312" i="3"/>
  <c r="C312" i="3"/>
  <c r="Z312" i="3" s="1"/>
  <c r="F179" i="3"/>
  <c r="C179" i="3"/>
  <c r="Z179" i="3" s="1"/>
  <c r="F352" i="3"/>
  <c r="C352" i="3"/>
  <c r="Z352" i="3" s="1"/>
  <c r="F66" i="3"/>
  <c r="C66" i="3"/>
  <c r="Z66" i="3" s="1"/>
  <c r="C132" i="3"/>
  <c r="Z132" i="3" s="1"/>
  <c r="F132" i="3"/>
  <c r="F344" i="3"/>
  <c r="C344" i="3"/>
  <c r="Z344" i="3" s="1"/>
  <c r="F141" i="3"/>
  <c r="C141" i="3"/>
  <c r="Z141" i="3" s="1"/>
  <c r="C108" i="3"/>
  <c r="Z108" i="3" s="1"/>
  <c r="F108" i="3"/>
  <c r="F211" i="3"/>
  <c r="C211" i="3"/>
  <c r="Z211" i="3" s="1"/>
  <c r="F343" i="3"/>
  <c r="C343" i="3"/>
  <c r="Z343" i="3" s="1"/>
  <c r="F237" i="3"/>
  <c r="C237" i="3"/>
  <c r="Z237" i="3" s="1"/>
  <c r="F136" i="3"/>
  <c r="C136" i="3"/>
  <c r="Z136" i="3" s="1"/>
  <c r="F155" i="3"/>
  <c r="C155" i="3"/>
  <c r="Z155" i="3" s="1"/>
  <c r="F359" i="3"/>
  <c r="C359" i="3"/>
  <c r="Z359" i="3" s="1"/>
  <c r="C398" i="3"/>
  <c r="Z398" i="3" s="1"/>
  <c r="F398" i="3"/>
  <c r="F269" i="3"/>
  <c r="C269" i="3"/>
  <c r="Z269" i="3" s="1"/>
  <c r="C124" i="3"/>
  <c r="Z124" i="3" s="1"/>
  <c r="F124" i="3"/>
  <c r="F315" i="3"/>
  <c r="C315" i="3"/>
  <c r="Z315" i="3" s="1"/>
  <c r="C159" i="3"/>
  <c r="Z159" i="3" s="1"/>
  <c r="F159" i="3"/>
  <c r="F299" i="3"/>
  <c r="C299" i="3"/>
  <c r="Z299" i="3" s="1"/>
  <c r="C329" i="3"/>
  <c r="Z329" i="3" s="1"/>
  <c r="F329" i="3"/>
  <c r="F101" i="3"/>
  <c r="C101" i="3"/>
  <c r="Z101" i="3" s="1"/>
  <c r="F328" i="3"/>
  <c r="C328" i="3"/>
  <c r="Z328" i="3" s="1"/>
  <c r="F54" i="3"/>
  <c r="C54" i="3"/>
  <c r="Z54" i="3" s="1"/>
  <c r="F282" i="3"/>
  <c r="C282" i="3"/>
  <c r="Z282" i="3" s="1"/>
  <c r="F202" i="3"/>
  <c r="C202" i="3"/>
  <c r="Z202" i="3" s="1"/>
  <c r="F221" i="3"/>
  <c r="C221" i="3"/>
  <c r="Z221" i="3" s="1"/>
  <c r="F256" i="3"/>
  <c r="C256" i="3"/>
  <c r="Z256" i="3" s="1"/>
  <c r="C63" i="3"/>
  <c r="Z63" i="3" s="1"/>
  <c r="F63" i="3"/>
  <c r="F255" i="3"/>
  <c r="C255" i="3"/>
  <c r="Z255" i="3" s="1"/>
  <c r="C380" i="3"/>
  <c r="Z380" i="3" s="1"/>
  <c r="F380" i="3"/>
  <c r="F275" i="3"/>
  <c r="C275" i="3"/>
  <c r="Z275" i="3" s="1"/>
  <c r="F168" i="3"/>
  <c r="C168" i="3"/>
  <c r="Z168" i="3" s="1"/>
  <c r="F368" i="3"/>
  <c r="C368" i="3"/>
  <c r="Z368" i="3" s="1"/>
  <c r="C364" i="3"/>
  <c r="Z364" i="3" s="1"/>
  <c r="F364" i="3"/>
  <c r="C406" i="3"/>
  <c r="Z406" i="3" s="1"/>
  <c r="F406" i="3"/>
  <c r="C177" i="3"/>
  <c r="Z177" i="3" s="1"/>
  <c r="F177" i="3"/>
  <c r="F131" i="3"/>
  <c r="C131" i="3"/>
  <c r="Z131" i="3" s="1"/>
  <c r="F45" i="3"/>
  <c r="C45" i="3"/>
  <c r="Z45" i="3" s="1"/>
  <c r="C348" i="3"/>
  <c r="Z348" i="3" s="1"/>
  <c r="F348" i="3"/>
  <c r="F90" i="3"/>
  <c r="C90" i="3"/>
  <c r="Z90" i="3" s="1"/>
  <c r="C148" i="3"/>
  <c r="Z148" i="3" s="1"/>
  <c r="F148" i="3"/>
  <c r="F383" i="3"/>
  <c r="C383" i="3"/>
  <c r="Z383" i="3" s="1"/>
  <c r="F392" i="3"/>
  <c r="C392" i="3"/>
  <c r="Z392" i="3" s="1"/>
  <c r="C140" i="3"/>
  <c r="Z140" i="3" s="1"/>
  <c r="F140" i="3"/>
  <c r="AQ160" i="6"/>
  <c r="Y179" i="3"/>
  <c r="AQ306" i="6"/>
  <c r="Y325" i="3"/>
  <c r="AQ38" i="6"/>
  <c r="Y57" i="3"/>
  <c r="AQ279" i="6"/>
  <c r="Y298" i="3"/>
  <c r="AQ122" i="6"/>
  <c r="Y141" i="3"/>
  <c r="AQ275" i="6"/>
  <c r="Y294" i="3"/>
  <c r="AQ298" i="6"/>
  <c r="Y317" i="3"/>
  <c r="AQ322" i="6"/>
  <c r="Y341" i="3"/>
  <c r="AQ88" i="6"/>
  <c r="Y107" i="3"/>
  <c r="AQ183" i="6"/>
  <c r="Y202" i="3"/>
  <c r="AQ70" i="6"/>
  <c r="Y89" i="3"/>
  <c r="AQ151" i="6"/>
  <c r="Y170" i="3"/>
  <c r="AQ375" i="6"/>
  <c r="Y394" i="3"/>
  <c r="AQ214" i="6"/>
  <c r="Y233" i="3"/>
  <c r="AQ64" i="6"/>
  <c r="Y83" i="3"/>
  <c r="AQ383" i="6"/>
  <c r="Y402" i="3"/>
  <c r="AQ286" i="6"/>
  <c r="Y305" i="3"/>
  <c r="AQ108" i="6"/>
  <c r="Y127" i="3"/>
  <c r="AQ314" i="6"/>
  <c r="Y333" i="3"/>
  <c r="AQ219" i="6"/>
  <c r="Y238" i="3"/>
  <c r="AQ229" i="6"/>
  <c r="Y248" i="3"/>
  <c r="AQ123" i="6"/>
  <c r="Y142" i="3"/>
  <c r="AQ31" i="6"/>
  <c r="Y50" i="3"/>
  <c r="AQ106" i="6"/>
  <c r="Y125" i="3"/>
  <c r="AZ79" i="6"/>
  <c r="AY79" i="6"/>
  <c r="AX79" i="6"/>
  <c r="BA79" i="6" s="1"/>
  <c r="AQ300" i="6"/>
  <c r="Y319" i="3"/>
  <c r="AQ208" i="6"/>
  <c r="Y227" i="3"/>
  <c r="AQ328" i="6"/>
  <c r="Y347" i="3"/>
  <c r="AQ349" i="6"/>
  <c r="Y368" i="3"/>
  <c r="AQ352" i="6"/>
  <c r="Y371" i="3"/>
  <c r="AQ96" i="6"/>
  <c r="Y115" i="3"/>
  <c r="AQ112" i="6"/>
  <c r="Y131" i="3"/>
  <c r="AQ33" i="6"/>
  <c r="Y52" i="3"/>
  <c r="AQ292" i="6"/>
  <c r="Y311" i="3"/>
  <c r="AQ379" i="6"/>
  <c r="Y398" i="3"/>
  <c r="AQ252" i="6"/>
  <c r="Y271" i="3"/>
  <c r="AQ217" i="6"/>
  <c r="Y236" i="3"/>
  <c r="AQ98" i="6"/>
  <c r="Y117" i="3"/>
  <c r="AQ281" i="6"/>
  <c r="Y300" i="3"/>
  <c r="AQ46" i="6"/>
  <c r="Y65" i="3"/>
  <c r="AQ273" i="6"/>
  <c r="Y292" i="3"/>
  <c r="AQ220" i="6"/>
  <c r="Y239" i="3"/>
  <c r="AQ172" i="6"/>
  <c r="Y191" i="3"/>
  <c r="AQ20" i="6"/>
  <c r="Y39" i="3"/>
  <c r="AQ382" i="6"/>
  <c r="Y401" i="3"/>
  <c r="AQ135" i="6"/>
  <c r="Y154" i="3"/>
  <c r="AQ313" i="6"/>
  <c r="Y332" i="3"/>
  <c r="AQ148" i="6"/>
  <c r="Y167" i="3"/>
  <c r="AQ239" i="6"/>
  <c r="Y258" i="3"/>
  <c r="AQ323" i="6"/>
  <c r="Y342" i="3"/>
  <c r="AQ138" i="6"/>
  <c r="Y157" i="3"/>
  <c r="AQ11" i="6"/>
  <c r="Y30" i="3"/>
  <c r="AQ189" i="6"/>
  <c r="Y208" i="3"/>
  <c r="C297" i="3"/>
  <c r="Z297" i="3" s="1"/>
  <c r="F297" i="3"/>
  <c r="F42" i="3"/>
  <c r="C42" i="3"/>
  <c r="Z42" i="3" s="1"/>
  <c r="C254" i="3"/>
  <c r="Z254" i="3" s="1"/>
  <c r="F254" i="3"/>
  <c r="F379" i="3"/>
  <c r="C379" i="3"/>
  <c r="Z379" i="3" s="1"/>
  <c r="F158" i="3"/>
  <c r="C158" i="3"/>
  <c r="Z158" i="3" s="1"/>
  <c r="C265" i="3"/>
  <c r="Z265" i="3" s="1"/>
  <c r="F265" i="3"/>
  <c r="F396" i="3"/>
  <c r="C396" i="3"/>
  <c r="Z396" i="3" s="1"/>
  <c r="C135" i="3"/>
  <c r="Z135" i="3" s="1"/>
  <c r="F135" i="3"/>
  <c r="F285" i="3"/>
  <c r="C285" i="3"/>
  <c r="Z285" i="3" s="1"/>
  <c r="F186" i="3"/>
  <c r="C186" i="3"/>
  <c r="Z186" i="3" s="1"/>
  <c r="F335" i="3"/>
  <c r="C335" i="3"/>
  <c r="Z335" i="3" s="1"/>
  <c r="C411" i="3"/>
  <c r="Z411" i="3" s="1"/>
  <c r="F411" i="3"/>
  <c r="C246" i="3"/>
  <c r="Z246" i="3" s="1"/>
  <c r="F246" i="3"/>
  <c r="C79" i="3"/>
  <c r="Z79" i="3" s="1"/>
  <c r="F79" i="3"/>
  <c r="C310" i="3"/>
  <c r="Z310" i="3" s="1"/>
  <c r="F310" i="3"/>
  <c r="C33" i="3"/>
  <c r="Z33" i="3" s="1"/>
  <c r="F33" i="3"/>
  <c r="F144" i="3"/>
  <c r="C144" i="3"/>
  <c r="Z144" i="3" s="1"/>
  <c r="F277" i="3"/>
  <c r="C277" i="3"/>
  <c r="Z277" i="3" s="1"/>
  <c r="C369" i="3"/>
  <c r="Z369" i="3" s="1"/>
  <c r="F369" i="3"/>
  <c r="C244" i="3"/>
  <c r="Z244" i="3" s="1"/>
  <c r="F244" i="3"/>
  <c r="C289" i="3"/>
  <c r="Z289" i="3" s="1"/>
  <c r="F289" i="3"/>
  <c r="F346" i="3"/>
  <c r="C346" i="3"/>
  <c r="Z346" i="3" s="1"/>
  <c r="C358" i="3"/>
  <c r="Z358" i="3" s="1"/>
  <c r="F358" i="3"/>
  <c r="C172" i="3"/>
  <c r="Z172" i="3" s="1"/>
  <c r="F172" i="3"/>
  <c r="C39" i="3"/>
  <c r="Z39" i="3" s="1"/>
  <c r="F39" i="3"/>
  <c r="C71" i="3"/>
  <c r="Z71" i="3" s="1"/>
  <c r="F71" i="3"/>
  <c r="F123" i="3"/>
  <c r="C123" i="3"/>
  <c r="Z123" i="3" s="1"/>
  <c r="F171" i="3"/>
  <c r="C171" i="3"/>
  <c r="Z171" i="3" s="1"/>
  <c r="C156" i="3"/>
  <c r="Z156" i="3" s="1"/>
  <c r="F156" i="3"/>
  <c r="F258" i="3"/>
  <c r="C258" i="3"/>
  <c r="Z258" i="3" s="1"/>
  <c r="F138" i="3"/>
  <c r="C138" i="3"/>
  <c r="Z138" i="3" s="1"/>
  <c r="F354" i="3"/>
  <c r="C354" i="3"/>
  <c r="Z354" i="3" s="1"/>
  <c r="F67" i="3"/>
  <c r="C67" i="3"/>
  <c r="Z67" i="3" s="1"/>
  <c r="C393" i="3"/>
  <c r="Z393" i="3" s="1"/>
  <c r="F393" i="3"/>
  <c r="C212" i="3"/>
  <c r="Z212" i="3" s="1"/>
  <c r="F212" i="3"/>
  <c r="F48" i="3"/>
  <c r="C48" i="3"/>
  <c r="Z48" i="3" s="1"/>
  <c r="F99" i="3"/>
  <c r="C99" i="3"/>
  <c r="Z99" i="3" s="1"/>
  <c r="F397" i="3"/>
  <c r="C397" i="3"/>
  <c r="Z397" i="3" s="1"/>
  <c r="F288" i="3"/>
  <c r="C288" i="3"/>
  <c r="Z288" i="3" s="1"/>
  <c r="C395" i="3"/>
  <c r="Z395" i="3" s="1"/>
  <c r="F395" i="3"/>
  <c r="F317" i="3"/>
  <c r="C317" i="3"/>
  <c r="Z317" i="3" s="1"/>
  <c r="F381" i="3"/>
  <c r="C381" i="3"/>
  <c r="Z381" i="3" s="1"/>
  <c r="F301" i="3"/>
  <c r="C301" i="3"/>
  <c r="Z301" i="3" s="1"/>
  <c r="F174" i="3"/>
  <c r="C174" i="3"/>
  <c r="Z174" i="3" s="1"/>
  <c r="F250" i="3"/>
  <c r="C250" i="3"/>
  <c r="Z250" i="3" s="1"/>
  <c r="F331" i="3"/>
  <c r="C331" i="3"/>
  <c r="Z331" i="3" s="1"/>
  <c r="F375" i="3"/>
  <c r="C375" i="3"/>
  <c r="Z375" i="3" s="1"/>
  <c r="F134" i="3"/>
  <c r="C134" i="3"/>
  <c r="Z134" i="3" s="1"/>
  <c r="C225" i="3"/>
  <c r="Z225" i="3" s="1"/>
  <c r="F225" i="3"/>
  <c r="AQ125" i="6"/>
  <c r="Y144" i="3"/>
  <c r="AQ66" i="6"/>
  <c r="Y85" i="3"/>
  <c r="AQ162" i="6"/>
  <c r="Y181" i="3"/>
  <c r="AQ85" i="6"/>
  <c r="Y104" i="3"/>
  <c r="AQ212" i="6"/>
  <c r="Y231" i="3"/>
  <c r="AQ195" i="6"/>
  <c r="Y214" i="3"/>
  <c r="AQ355" i="6"/>
  <c r="Y374" i="3"/>
  <c r="AQ23" i="6"/>
  <c r="Y42" i="3"/>
  <c r="AQ216" i="6"/>
  <c r="Y235" i="3"/>
  <c r="AQ30" i="6"/>
  <c r="Y49" i="3"/>
  <c r="AQ105" i="6"/>
  <c r="Y124" i="3"/>
  <c r="AZ76" i="6"/>
  <c r="AY76" i="6"/>
  <c r="AX76" i="6"/>
  <c r="BA76" i="6" s="1"/>
  <c r="AQ332" i="6"/>
  <c r="Y351" i="3"/>
  <c r="AQ386" i="6"/>
  <c r="Y405" i="3"/>
  <c r="BC59" i="6"/>
  <c r="BB59" i="6"/>
  <c r="AQ118" i="6"/>
  <c r="Y137" i="3"/>
  <c r="AQ90" i="6"/>
  <c r="Y109" i="3"/>
  <c r="AQ358" i="6"/>
  <c r="Y377" i="3"/>
  <c r="AQ344" i="6"/>
  <c r="Y363" i="3"/>
  <c r="AQ29" i="6"/>
  <c r="Y48" i="3"/>
  <c r="BC58" i="6"/>
  <c r="BB58" i="6"/>
  <c r="AQ184" i="6"/>
  <c r="Y203" i="3"/>
  <c r="AQ324" i="6"/>
  <c r="Y343" i="3"/>
  <c r="AQ93" i="6"/>
  <c r="Y112" i="3"/>
  <c r="AQ346" i="6"/>
  <c r="Y365" i="3"/>
  <c r="AQ390" i="6"/>
  <c r="Y409" i="3"/>
  <c r="AQ250" i="6"/>
  <c r="Y269" i="3"/>
  <c r="AQ329" i="6"/>
  <c r="Y348" i="3"/>
  <c r="AQ47" i="6"/>
  <c r="Y66" i="3"/>
  <c r="F208" i="3"/>
  <c r="C208" i="3"/>
  <c r="Z208" i="3" s="1"/>
  <c r="C238" i="3"/>
  <c r="Z238" i="3" s="1"/>
  <c r="F238" i="3"/>
  <c r="C374" i="3"/>
  <c r="Z374" i="3" s="1"/>
  <c r="F374" i="3"/>
  <c r="F59" i="3"/>
  <c r="C59" i="3"/>
  <c r="Z59" i="3" s="1"/>
  <c r="F162" i="3"/>
  <c r="C162" i="3"/>
  <c r="Z162" i="3" s="1"/>
  <c r="F259" i="3"/>
  <c r="C259" i="3"/>
  <c r="Z259" i="3" s="1"/>
  <c r="F263" i="3"/>
  <c r="C263" i="3"/>
  <c r="Z263" i="3" s="1"/>
  <c r="F86" i="3"/>
  <c r="C86" i="3"/>
  <c r="Z86" i="3" s="1"/>
  <c r="F357" i="3"/>
  <c r="C357" i="3"/>
  <c r="Z357" i="3" s="1"/>
  <c r="F176" i="3"/>
  <c r="C176" i="3"/>
  <c r="Z176" i="3" s="1"/>
  <c r="F51" i="3"/>
  <c r="C51" i="3"/>
  <c r="Z51" i="3" s="1"/>
  <c r="F120" i="3"/>
  <c r="C120" i="3"/>
  <c r="Z120" i="3" s="1"/>
  <c r="C233" i="3"/>
  <c r="Z233" i="3" s="1"/>
  <c r="F233" i="3"/>
  <c r="C332" i="3"/>
  <c r="Z332" i="3" s="1"/>
  <c r="F332" i="3"/>
  <c r="C350" i="3"/>
  <c r="Z350" i="3" s="1"/>
  <c r="F350" i="3"/>
  <c r="F410" i="3"/>
  <c r="C410" i="3"/>
  <c r="Z410" i="3" s="1"/>
  <c r="F80" i="3"/>
  <c r="C80" i="3"/>
  <c r="Z80" i="3" s="1"/>
  <c r="F82" i="3"/>
  <c r="C82" i="3"/>
  <c r="Z82" i="3" s="1"/>
  <c r="F35" i="3"/>
  <c r="C35" i="3"/>
  <c r="Z35" i="3" s="1"/>
  <c r="C137" i="3"/>
  <c r="Z137" i="3" s="1"/>
  <c r="F137" i="3"/>
  <c r="F351" i="3"/>
  <c r="C351" i="3"/>
  <c r="Z351" i="3" s="1"/>
  <c r="C41" i="3"/>
  <c r="Z41" i="3" s="1"/>
  <c r="F41" i="3"/>
  <c r="F261" i="3"/>
  <c r="C261" i="3"/>
  <c r="Z261" i="3" s="1"/>
  <c r="F325" i="3"/>
  <c r="C325" i="3"/>
  <c r="Z325" i="3" s="1"/>
  <c r="C199" i="3"/>
  <c r="Z199" i="3" s="1"/>
  <c r="F199" i="3"/>
  <c r="F307" i="3"/>
  <c r="C307" i="3"/>
  <c r="Z307" i="3" s="1"/>
  <c r="C175" i="3"/>
  <c r="Z175" i="3" s="1"/>
  <c r="F175" i="3"/>
  <c r="F412" i="3"/>
  <c r="C412" i="3"/>
  <c r="Z412" i="3" s="1"/>
  <c r="F107" i="3"/>
  <c r="C107" i="3"/>
  <c r="Z107" i="3" s="1"/>
  <c r="F112" i="3"/>
  <c r="C112" i="3"/>
  <c r="Z112" i="3" s="1"/>
  <c r="C390" i="3"/>
  <c r="Z390" i="3" s="1"/>
  <c r="F390" i="3"/>
  <c r="C321" i="3"/>
  <c r="Z321" i="3" s="1"/>
  <c r="F321" i="3"/>
  <c r="F339" i="3"/>
  <c r="C339" i="3"/>
  <c r="Z339" i="3" s="1"/>
  <c r="F62" i="3"/>
  <c r="C62" i="3"/>
  <c r="Z62" i="3" s="1"/>
  <c r="F330" i="3"/>
  <c r="C330" i="3"/>
  <c r="Z330" i="3" s="1"/>
  <c r="F338" i="3"/>
  <c r="C338" i="3"/>
  <c r="Z338" i="3" s="1"/>
  <c r="F291" i="3"/>
  <c r="C291" i="3"/>
  <c r="Z291" i="3" s="1"/>
  <c r="C113" i="3"/>
  <c r="Z113" i="3" s="1"/>
  <c r="F113" i="3"/>
  <c r="F266" i="3"/>
  <c r="C266" i="3"/>
  <c r="Z266" i="3" s="1"/>
  <c r="F304" i="3"/>
  <c r="C304" i="3"/>
  <c r="Z304" i="3" s="1"/>
  <c r="C294" i="3"/>
  <c r="Z294" i="3" s="1"/>
  <c r="F294" i="3"/>
  <c r="C204" i="3"/>
  <c r="Z204" i="3" s="1"/>
  <c r="F204" i="3"/>
  <c r="F405" i="3"/>
  <c r="C405" i="3"/>
  <c r="Z405" i="3" s="1"/>
  <c r="C87" i="3"/>
  <c r="Z87" i="3" s="1"/>
  <c r="F87" i="3"/>
  <c r="C353" i="3"/>
  <c r="Z353" i="3" s="1"/>
  <c r="F353" i="3"/>
  <c r="C193" i="3"/>
  <c r="Z193" i="3" s="1"/>
  <c r="F193" i="3"/>
  <c r="C270" i="3"/>
  <c r="Z270" i="3" s="1"/>
  <c r="F270" i="3"/>
  <c r="C76" i="3"/>
  <c r="Z76" i="3" s="1"/>
  <c r="F76" i="3"/>
  <c r="AQ50" i="6"/>
  <c r="Y69" i="3"/>
  <c r="AQ101" i="6"/>
  <c r="Y120" i="3"/>
  <c r="AQ139" i="6"/>
  <c r="Y158" i="3"/>
  <c r="AQ380" i="6"/>
  <c r="Y399" i="3"/>
  <c r="AQ209" i="6"/>
  <c r="Y228" i="3"/>
  <c r="AQ199" i="6"/>
  <c r="Y218" i="3"/>
  <c r="AQ113" i="6"/>
  <c r="Y132" i="3"/>
  <c r="AQ34" i="6"/>
  <c r="Y53" i="3"/>
  <c r="AQ72" i="6"/>
  <c r="Y91" i="3"/>
  <c r="AQ83" i="6"/>
  <c r="Y102" i="3"/>
  <c r="AQ134" i="6"/>
  <c r="Y153" i="3"/>
  <c r="AQ60" i="6"/>
  <c r="Y79" i="3"/>
  <c r="AQ364" i="6"/>
  <c r="Y383" i="3"/>
  <c r="AQ359" i="6"/>
  <c r="Y378" i="3"/>
  <c r="AQ353" i="6"/>
  <c r="Y372" i="3"/>
  <c r="AQ295" i="6"/>
  <c r="Y314" i="3"/>
  <c r="AQ267" i="6"/>
  <c r="Y286" i="3"/>
  <c r="AQ141" i="6"/>
  <c r="Y160" i="3"/>
  <c r="AZ80" i="6"/>
  <c r="AY80" i="6"/>
  <c r="AX80" i="6"/>
  <c r="BA80" i="6" s="1"/>
  <c r="AQ241" i="6"/>
  <c r="Y260" i="3"/>
  <c r="AQ256" i="6"/>
  <c r="Y275" i="3"/>
  <c r="C278" i="3"/>
  <c r="Z278" i="3" s="1"/>
  <c r="F278" i="3"/>
  <c r="F399" i="3"/>
  <c r="C399" i="3"/>
  <c r="Z399" i="3" s="1"/>
  <c r="C44" i="3"/>
  <c r="Z44" i="3" s="1"/>
  <c r="F44" i="3"/>
  <c r="C260" i="3"/>
  <c r="Z260" i="3" s="1"/>
  <c r="F260" i="3"/>
  <c r="C281" i="3"/>
  <c r="Z281" i="3" s="1"/>
  <c r="F281" i="3"/>
  <c r="C241" i="3"/>
  <c r="Z241" i="3" s="1"/>
  <c r="F241" i="3"/>
  <c r="F160" i="3"/>
  <c r="C160" i="3"/>
  <c r="Z160" i="3" s="1"/>
  <c r="F32" i="3"/>
  <c r="C32" i="3"/>
  <c r="Z32" i="3" s="1"/>
  <c r="AQ76" i="6"/>
  <c r="Y95" i="3"/>
  <c r="AQ309" i="6"/>
  <c r="Y328" i="3"/>
  <c r="AQ102" i="6"/>
  <c r="Y121" i="3"/>
  <c r="AQ86" i="6"/>
  <c r="Y105" i="3"/>
  <c r="AQ385" i="6"/>
  <c r="Y404" i="3"/>
  <c r="AQ185" i="6"/>
  <c r="Y204" i="3"/>
  <c r="AQ218" i="6"/>
  <c r="Y237" i="3"/>
  <c r="AQ303" i="6"/>
  <c r="Y322" i="3"/>
  <c r="AQ225" i="6"/>
  <c r="Y244" i="3"/>
  <c r="AQ89" i="6"/>
  <c r="Y108" i="3"/>
  <c r="AQ194" i="6"/>
  <c r="Y213" i="3"/>
  <c r="AQ264" i="6"/>
  <c r="Y283" i="3"/>
  <c r="BC61" i="6"/>
  <c r="BB61" i="6"/>
  <c r="AQ296" i="6"/>
  <c r="Y315" i="3"/>
  <c r="AQ327" i="6"/>
  <c r="Y346" i="3"/>
  <c r="AQ163" i="6"/>
  <c r="Y182" i="3"/>
  <c r="AQ198" i="6"/>
  <c r="Y217" i="3"/>
  <c r="AQ224" i="6"/>
  <c r="Y243" i="3"/>
  <c r="AQ226" i="6"/>
  <c r="Y245" i="3"/>
  <c r="S82" i="7"/>
  <c r="AW89" i="6" s="1"/>
  <c r="S78" i="7"/>
  <c r="AW85" i="6" s="1"/>
  <c r="S81" i="7"/>
  <c r="AW88" i="6" s="1"/>
  <c r="S77" i="7"/>
  <c r="AW84" i="6" s="1"/>
  <c r="S80" i="7"/>
  <c r="AW87" i="6" s="1"/>
  <c r="S76" i="7"/>
  <c r="AW83" i="6" s="1"/>
  <c r="S79" i="7"/>
  <c r="AW86" i="6" s="1"/>
  <c r="S75" i="7"/>
  <c r="AW82" i="6" s="1"/>
  <c r="J7" i="5"/>
  <c r="R13" i="7" a="1"/>
  <c r="R13" i="7" s="1"/>
  <c r="AX77" i="6"/>
  <c r="BA77" i="6" s="1"/>
  <c r="AZ77" i="6"/>
  <c r="AY77" i="6"/>
  <c r="AQ126" i="6"/>
  <c r="Y145" i="3"/>
  <c r="AQ178" i="6"/>
  <c r="Y197" i="3"/>
  <c r="AQ301" i="6"/>
  <c r="Y320" i="3"/>
  <c r="AY66" i="6"/>
  <c r="AX66" i="6"/>
  <c r="BA66" i="6" s="1"/>
  <c r="AZ66" i="6"/>
  <c r="AQ321" i="6"/>
  <c r="Y340" i="3"/>
  <c r="AQ124" i="6"/>
  <c r="Y143" i="3"/>
  <c r="AQ78" i="6"/>
  <c r="Y97" i="3"/>
  <c r="AQ165" i="6"/>
  <c r="Y184" i="3"/>
  <c r="AQ170" i="6"/>
  <c r="Y189" i="3"/>
  <c r="C188" i="3"/>
  <c r="Z188" i="3" s="1"/>
  <c r="F188" i="3"/>
  <c r="AQ311" i="6"/>
  <c r="Y330" i="3"/>
  <c r="AQ99" i="6"/>
  <c r="Y118" i="3"/>
  <c r="AQ100" i="6"/>
  <c r="Y119" i="3"/>
  <c r="AQ71" i="6"/>
  <c r="Y90" i="3"/>
  <c r="AQ14" i="6"/>
  <c r="Y33" i="3"/>
  <c r="AQ58" i="6"/>
  <c r="Y77" i="3"/>
  <c r="AQ325" i="6"/>
  <c r="Y344" i="3"/>
  <c r="AQ253" i="6"/>
  <c r="Y272" i="3"/>
  <c r="AQ230" i="6"/>
  <c r="Y249" i="3"/>
  <c r="AQ187" i="6"/>
  <c r="Y206" i="3"/>
  <c r="AQ284" i="6"/>
  <c r="Y303" i="3"/>
  <c r="AQ44" i="6"/>
  <c r="Y63" i="3"/>
  <c r="AQ81" i="6"/>
  <c r="Y100" i="3"/>
  <c r="AQ104" i="6"/>
  <c r="Y123" i="3"/>
  <c r="AQ271" i="6"/>
  <c r="Y290" i="3"/>
  <c r="AQ68" i="6"/>
  <c r="Y87" i="3"/>
  <c r="AQ283" i="6"/>
  <c r="Y302" i="3"/>
  <c r="AQ339" i="6"/>
  <c r="Y358" i="3"/>
  <c r="AQ17" i="6"/>
  <c r="Y36" i="3"/>
  <c r="AQ377" i="6"/>
  <c r="Y396" i="3"/>
  <c r="AQ206" i="6"/>
  <c r="Y225" i="3"/>
  <c r="AQ318" i="6"/>
  <c r="Y337" i="3"/>
  <c r="AQ357" i="6"/>
  <c r="Y376" i="3"/>
  <c r="AQ336" i="6"/>
  <c r="Y355" i="3"/>
  <c r="AQ22" i="6"/>
  <c r="Y41" i="3"/>
  <c r="AJ10" i="6"/>
  <c r="W29" i="3" s="1"/>
  <c r="AP10" i="6"/>
  <c r="BA4" i="7" a="1"/>
  <c r="BA4" i="7" s="1"/>
  <c r="R29" i="3"/>
  <c r="AQ48" i="6"/>
  <c r="Y67" i="3"/>
  <c r="C337" i="3"/>
  <c r="Z337" i="3" s="1"/>
  <c r="F337" i="3"/>
  <c r="F74" i="3"/>
  <c r="C74" i="3"/>
  <c r="Z74" i="3" s="1"/>
  <c r="C214" i="3"/>
  <c r="Z214" i="3" s="1"/>
  <c r="F214" i="3"/>
  <c r="C129" i="3"/>
  <c r="Z129" i="3" s="1"/>
  <c r="F129" i="3"/>
  <c r="C377" i="3"/>
  <c r="Z377" i="3" s="1"/>
  <c r="F377" i="3"/>
  <c r="F322" i="3"/>
  <c r="C322" i="3"/>
  <c r="Z322" i="3" s="1"/>
  <c r="F56" i="3"/>
  <c r="C56" i="3"/>
  <c r="Z56" i="3" s="1"/>
  <c r="F152" i="3"/>
  <c r="C152" i="3"/>
  <c r="Z152" i="3" s="1"/>
  <c r="C252" i="3"/>
  <c r="Z252" i="3" s="1"/>
  <c r="F252" i="3"/>
  <c r="F218" i="3"/>
  <c r="C218" i="3"/>
  <c r="Z218" i="3" s="1"/>
  <c r="C65" i="3"/>
  <c r="Z65" i="3" s="1"/>
  <c r="F65" i="3"/>
  <c r="C116" i="3"/>
  <c r="Z116" i="3" s="1"/>
  <c r="F116" i="3"/>
  <c r="F371" i="3"/>
  <c r="C371" i="3"/>
  <c r="Z371" i="3" s="1"/>
  <c r="C57" i="3"/>
  <c r="Z57" i="3" s="1"/>
  <c r="F57" i="3"/>
  <c r="C191" i="3"/>
  <c r="Z191" i="3" s="1"/>
  <c r="F191" i="3"/>
  <c r="F360" i="3"/>
  <c r="C360" i="3"/>
  <c r="Z360" i="3" s="1"/>
  <c r="F223" i="3"/>
  <c r="C223" i="3"/>
  <c r="Z223" i="3" s="1"/>
  <c r="F240" i="3"/>
  <c r="C240" i="3"/>
  <c r="Z240" i="3" s="1"/>
  <c r="F77" i="3"/>
  <c r="C77" i="3"/>
  <c r="Z77" i="3" s="1"/>
  <c r="F402" i="3"/>
  <c r="C402" i="3"/>
  <c r="Z402" i="3" s="1"/>
  <c r="F184" i="3"/>
  <c r="C184" i="3"/>
  <c r="Z184" i="3" s="1"/>
  <c r="C222" i="3"/>
  <c r="Z222" i="3" s="1"/>
  <c r="F222" i="3"/>
  <c r="F400" i="3"/>
  <c r="C400" i="3"/>
  <c r="Z400" i="3" s="1"/>
  <c r="F91" i="3"/>
  <c r="C91" i="3"/>
  <c r="Z91" i="3" s="1"/>
  <c r="F306" i="3"/>
  <c r="C306" i="3"/>
  <c r="Z306" i="3" s="1"/>
  <c r="F178" i="3"/>
  <c r="C178" i="3"/>
  <c r="Z178" i="3" s="1"/>
  <c r="F37" i="3"/>
  <c r="C37" i="3"/>
  <c r="Z37" i="3" s="1"/>
  <c r="F376" i="3"/>
  <c r="C376" i="3"/>
  <c r="Z376" i="3" s="1"/>
  <c r="F341" i="3"/>
  <c r="C341" i="3"/>
  <c r="Z341" i="3" s="1"/>
  <c r="F243" i="3"/>
  <c r="C243" i="3"/>
  <c r="Z243" i="3" s="1"/>
  <c r="C31" i="3"/>
  <c r="Z31" i="3" s="1"/>
  <c r="F31" i="3"/>
  <c r="F229" i="3"/>
  <c r="C229" i="3"/>
  <c r="Z229" i="3" s="1"/>
  <c r="C92" i="3"/>
  <c r="Z92" i="3" s="1"/>
  <c r="F92" i="3"/>
  <c r="F274" i="3"/>
  <c r="C274" i="3"/>
  <c r="Z274" i="3" s="1"/>
  <c r="F170" i="3"/>
  <c r="C170" i="3"/>
  <c r="Z170" i="3" s="1"/>
  <c r="C121" i="3"/>
  <c r="Z121" i="3" s="1"/>
  <c r="F121" i="3"/>
  <c r="C167" i="3"/>
  <c r="Z167" i="3" s="1"/>
  <c r="F167" i="3"/>
  <c r="F133" i="3"/>
  <c r="C133" i="3"/>
  <c r="Z133" i="3" s="1"/>
  <c r="F104" i="3"/>
  <c r="C104" i="3"/>
  <c r="Z104" i="3" s="1"/>
  <c r="F370" i="3"/>
  <c r="C370" i="3"/>
  <c r="Z370" i="3" s="1"/>
  <c r="C153" i="3"/>
  <c r="Z153" i="3" s="1"/>
  <c r="F153" i="3"/>
  <c r="F362" i="3"/>
  <c r="C362" i="3"/>
  <c r="Z362" i="3" s="1"/>
  <c r="F147" i="3"/>
  <c r="C147" i="3"/>
  <c r="Z147" i="3" s="1"/>
  <c r="F239" i="3"/>
  <c r="C239" i="3"/>
  <c r="Z239" i="3" s="1"/>
  <c r="F166" i="3"/>
  <c r="C166" i="3"/>
  <c r="Z166" i="3" s="1"/>
  <c r="C262" i="3"/>
  <c r="Z262" i="3" s="1"/>
  <c r="F262" i="3"/>
  <c r="C81" i="3"/>
  <c r="Z81" i="3" s="1"/>
  <c r="F81" i="3"/>
  <c r="F125" i="3"/>
  <c r="C125" i="3"/>
  <c r="Z125" i="3" s="1"/>
  <c r="AQ304" i="6"/>
  <c r="Y323" i="3"/>
  <c r="AQ291" i="6"/>
  <c r="Y310" i="3"/>
  <c r="AQ150" i="6"/>
  <c r="Y169" i="3"/>
  <c r="AQ49" i="6"/>
  <c r="Y68" i="3"/>
  <c r="AQ269" i="6"/>
  <c r="Y288" i="3"/>
  <c r="AQ158" i="6"/>
  <c r="Y177" i="3"/>
  <c r="AQ221" i="6"/>
  <c r="Y240" i="3"/>
  <c r="AQ276" i="6"/>
  <c r="Y295" i="3"/>
  <c r="AQ87" i="6"/>
  <c r="Y106" i="3"/>
  <c r="AQ179" i="6"/>
  <c r="Y198" i="3"/>
  <c r="AQ305" i="6"/>
  <c r="Y324" i="3"/>
  <c r="AQ129" i="6"/>
  <c r="Y148" i="3"/>
  <c r="AQ13" i="6"/>
  <c r="Y32" i="3"/>
  <c r="AQ287" i="6"/>
  <c r="Y306" i="3"/>
  <c r="AQ356" i="6"/>
  <c r="Y375" i="3"/>
  <c r="AQ338" i="6"/>
  <c r="Y357" i="3"/>
  <c r="AQ236" i="6"/>
  <c r="Y255" i="3"/>
  <c r="AQ116" i="6"/>
  <c r="Y135" i="3"/>
  <c r="AZ81" i="6"/>
  <c r="AY81" i="6"/>
  <c r="AX81" i="6"/>
  <c r="BA81" i="6" s="1"/>
  <c r="AQ149" i="6"/>
  <c r="Y168" i="3"/>
  <c r="AQ222" i="6"/>
  <c r="Y241" i="3"/>
  <c r="AQ203" i="6"/>
  <c r="Y222" i="3"/>
  <c r="AQ315" i="6"/>
  <c r="Y334" i="3"/>
  <c r="AQ351" i="6"/>
  <c r="Y370" i="3"/>
  <c r="C268" i="3"/>
  <c r="Z268" i="3" s="1"/>
  <c r="F268" i="3"/>
  <c r="F109" i="3"/>
  <c r="C109" i="3"/>
  <c r="Z109" i="3" s="1"/>
  <c r="C387" i="3"/>
  <c r="Z387" i="3" s="1"/>
  <c r="F387" i="3"/>
  <c r="F75" i="3"/>
  <c r="C75" i="3"/>
  <c r="Z75" i="3" s="1"/>
  <c r="F295" i="3"/>
  <c r="C295" i="3"/>
  <c r="Z295" i="3" s="1"/>
  <c r="C385" i="3"/>
  <c r="Z385" i="3" s="1"/>
  <c r="F385" i="3"/>
  <c r="F64" i="3"/>
  <c r="C64" i="3"/>
  <c r="Z64" i="3" s="1"/>
  <c r="C143" i="3"/>
  <c r="Z143" i="3" s="1"/>
  <c r="F143" i="3"/>
  <c r="F231" i="3"/>
  <c r="C231" i="3"/>
  <c r="Z231" i="3" s="1"/>
  <c r="F139" i="3"/>
  <c r="C139" i="3"/>
  <c r="Z139" i="3" s="1"/>
  <c r="F320" i="3"/>
  <c r="C320" i="3"/>
  <c r="Z320" i="3" s="1"/>
  <c r="F69" i="3"/>
  <c r="C69" i="3"/>
  <c r="Z69" i="3" s="1"/>
  <c r="C161" i="3"/>
  <c r="Z161" i="3" s="1"/>
  <c r="F161" i="3"/>
  <c r="F367" i="3"/>
  <c r="C367" i="3"/>
  <c r="Z367" i="3" s="1"/>
  <c r="C217" i="3"/>
  <c r="Z217" i="3" s="1"/>
  <c r="F217" i="3"/>
  <c r="F373" i="3"/>
  <c r="C373" i="3"/>
  <c r="Z373" i="3" s="1"/>
  <c r="C356" i="3"/>
  <c r="Z356" i="3" s="1"/>
  <c r="F356" i="3"/>
  <c r="F279" i="3"/>
  <c r="C279" i="3"/>
  <c r="Z279" i="3" s="1"/>
  <c r="F210" i="3"/>
  <c r="C210" i="3"/>
  <c r="Z210" i="3" s="1"/>
  <c r="C100" i="3"/>
  <c r="Z100" i="3" s="1"/>
  <c r="F100" i="3"/>
  <c r="C73" i="3"/>
  <c r="Z73" i="3" s="1"/>
  <c r="F73" i="3"/>
  <c r="F102" i="3"/>
  <c r="C102" i="3"/>
  <c r="Z102" i="3" s="1"/>
  <c r="F72" i="3"/>
  <c r="C72" i="3"/>
  <c r="Z72" i="3" s="1"/>
  <c r="F189" i="3"/>
  <c r="C189" i="3"/>
  <c r="Z189" i="3" s="1"/>
  <c r="F319" i="3"/>
  <c r="C319" i="3"/>
  <c r="Z319" i="3" s="1"/>
  <c r="F61" i="3"/>
  <c r="C61" i="3"/>
  <c r="Z61" i="3" s="1"/>
  <c r="C60" i="3"/>
  <c r="Z60" i="3" s="1"/>
  <c r="F60" i="3"/>
  <c r="F126" i="3"/>
  <c r="C126" i="3"/>
  <c r="Z126" i="3" s="1"/>
  <c r="C257" i="3"/>
  <c r="Z257" i="3" s="1"/>
  <c r="F257" i="3"/>
  <c r="F248" i="3"/>
  <c r="C248" i="3"/>
  <c r="Z248" i="3" s="1"/>
  <c r="F311" i="3"/>
  <c r="C311" i="3"/>
  <c r="Z311" i="3" s="1"/>
  <c r="F117" i="3"/>
  <c r="C117" i="3"/>
  <c r="Z117" i="3" s="1"/>
  <c r="F38" i="3"/>
  <c r="C38" i="3"/>
  <c r="Z38" i="3" s="1"/>
  <c r="F122" i="3"/>
  <c r="C122" i="3"/>
  <c r="Z122" i="3" s="1"/>
  <c r="F149" i="3"/>
  <c r="C149" i="3"/>
  <c r="Z149" i="3" s="1"/>
  <c r="F85" i="3"/>
  <c r="C85" i="3"/>
  <c r="Z85" i="3" s="1"/>
  <c r="F173" i="3"/>
  <c r="C173" i="3"/>
  <c r="Z173" i="3" s="1"/>
  <c r="AQ169" i="6"/>
  <c r="Y188" i="3"/>
  <c r="P10" i="7"/>
  <c r="O10" i="7" a="1"/>
  <c r="O10" i="7" s="1"/>
  <c r="N10" i="7"/>
  <c r="D10" i="7"/>
  <c r="E11" i="7" a="1"/>
  <c r="E11" i="7" s="1"/>
  <c r="F9" i="7"/>
  <c r="M9" i="7"/>
  <c r="L9" i="7"/>
  <c r="K9" i="7"/>
  <c r="J9" i="7"/>
  <c r="I9" i="7"/>
  <c r="H9" i="7"/>
  <c r="G9" i="7"/>
  <c r="AQ77" i="6"/>
  <c r="Y96" i="3"/>
  <c r="AQ35" i="6"/>
  <c r="Y54" i="3"/>
  <c r="AQ182" i="6"/>
  <c r="Y201" i="3"/>
  <c r="AQ53" i="6"/>
  <c r="Y72" i="3"/>
  <c r="AQ202" i="6"/>
  <c r="Y221" i="3"/>
  <c r="AQ84" i="6"/>
  <c r="Y103" i="3"/>
  <c r="AQ263" i="6"/>
  <c r="Y282" i="3"/>
  <c r="AQ92" i="6"/>
  <c r="Y111" i="3"/>
  <c r="AQ341" i="6"/>
  <c r="Y360" i="3"/>
  <c r="AQ69" i="6"/>
  <c r="Y88" i="3"/>
  <c r="AQ132" i="6"/>
  <c r="Y151" i="3"/>
  <c r="AQ80" i="6"/>
  <c r="Y99" i="3"/>
  <c r="AQ391" i="6"/>
  <c r="Y410" i="3"/>
  <c r="AQ59" i="6"/>
  <c r="Y78" i="3"/>
  <c r="AQ248" i="6"/>
  <c r="Y267" i="3"/>
  <c r="AQ180" i="6"/>
  <c r="Y199" i="3"/>
  <c r="AY74" i="6"/>
  <c r="AX74" i="6"/>
  <c r="BA74" i="6" s="1"/>
  <c r="AZ74" i="6"/>
  <c r="BR333" i="7" l="1"/>
  <c r="E331" i="11" s="1"/>
  <c r="BC66" i="6"/>
  <c r="BB66" i="6"/>
  <c r="AZ84" i="6"/>
  <c r="AY84" i="6"/>
  <c r="AX84" i="6"/>
  <c r="BA84" i="6" s="1"/>
  <c r="BC76" i="6"/>
  <c r="BB76" i="6"/>
  <c r="BR250" i="7"/>
  <c r="E248" i="11" s="1"/>
  <c r="BR357" i="7"/>
  <c r="E355" i="11" s="1"/>
  <c r="BR90" i="7"/>
  <c r="E88" i="11" s="1"/>
  <c r="BR220" i="7"/>
  <c r="E218" i="11" s="1"/>
  <c r="BR111" i="7"/>
  <c r="E109" i="11" s="1"/>
  <c r="BR216" i="7"/>
  <c r="E214" i="11" s="1"/>
  <c r="BR91" i="7"/>
  <c r="E89" i="11" s="1"/>
  <c r="BR253" i="7"/>
  <c r="E251" i="11" s="1"/>
  <c r="BR291" i="7"/>
  <c r="E289" i="11" s="1"/>
  <c r="BR40" i="7"/>
  <c r="E38" i="11" s="1"/>
  <c r="BR126" i="7"/>
  <c r="E124" i="11" s="1"/>
  <c r="BR275" i="7"/>
  <c r="E273" i="11" s="1"/>
  <c r="BR33" i="7"/>
  <c r="E31" i="11" s="1"/>
  <c r="BR321" i="7"/>
  <c r="E319" i="11" s="1"/>
  <c r="BR354" i="7"/>
  <c r="E352" i="11" s="1"/>
  <c r="BR158" i="7"/>
  <c r="E156" i="11" s="1"/>
  <c r="BR196" i="7"/>
  <c r="E194" i="11" s="1"/>
  <c r="BR248" i="7"/>
  <c r="E246" i="11" s="1"/>
  <c r="BR56" i="7"/>
  <c r="E54" i="11" s="1"/>
  <c r="BR290" i="7"/>
  <c r="E288" i="11" s="1"/>
  <c r="BR272" i="7"/>
  <c r="E270" i="11" s="1"/>
  <c r="BR19" i="7"/>
  <c r="E17" i="11" s="1"/>
  <c r="BR153" i="7"/>
  <c r="E151" i="11" s="1"/>
  <c r="BR193" i="7"/>
  <c r="E191" i="11" s="1"/>
  <c r="BR159" i="7"/>
  <c r="E157" i="11" s="1"/>
  <c r="BR319" i="7"/>
  <c r="E317" i="11" s="1"/>
  <c r="BR104" i="7"/>
  <c r="E102" i="11" s="1"/>
  <c r="BR343" i="7"/>
  <c r="E341" i="11" s="1"/>
  <c r="BR349" i="7"/>
  <c r="E347" i="11" s="1"/>
  <c r="BR244" i="7"/>
  <c r="E242" i="11" s="1"/>
  <c r="BR342" i="7"/>
  <c r="E340" i="11" s="1"/>
  <c r="BR85" i="7"/>
  <c r="E83" i="11" s="1"/>
  <c r="BR37" i="7"/>
  <c r="E35" i="11" s="1"/>
  <c r="BR213" i="7"/>
  <c r="E211" i="11" s="1"/>
  <c r="BR351" i="7"/>
  <c r="E349" i="11" s="1"/>
  <c r="BR71" i="7"/>
  <c r="E69" i="11" s="1"/>
  <c r="BR195" i="7"/>
  <c r="E193" i="11" s="1"/>
  <c r="BR116" i="7"/>
  <c r="E114" i="11" s="1"/>
  <c r="BR233" i="7"/>
  <c r="E231" i="11" s="1"/>
  <c r="BR235" i="7"/>
  <c r="E233" i="11" s="1"/>
  <c r="BR359" i="7"/>
  <c r="E357" i="11" s="1"/>
  <c r="BR169" i="7"/>
  <c r="E167" i="11" s="1"/>
  <c r="BR119" i="7"/>
  <c r="E117" i="11" s="1"/>
  <c r="BR205" i="7"/>
  <c r="E203" i="11" s="1"/>
  <c r="BR12" i="7"/>
  <c r="E10" i="11" s="1"/>
  <c r="BR181" i="7"/>
  <c r="E179" i="11" s="1"/>
  <c r="BR304" i="7"/>
  <c r="E302" i="11" s="1"/>
  <c r="BR120" i="7"/>
  <c r="E118" i="11" s="1"/>
  <c r="BR350" i="7"/>
  <c r="E348" i="11" s="1"/>
  <c r="AZ88" i="6"/>
  <c r="AY88" i="6"/>
  <c r="AX88" i="6"/>
  <c r="BA88" i="6" s="1"/>
  <c r="BC75" i="6"/>
  <c r="BB75" i="6"/>
  <c r="BR217" i="7"/>
  <c r="E215" i="11" s="1"/>
  <c r="BR14" i="7"/>
  <c r="E12" i="11" s="1"/>
  <c r="BR180" i="7"/>
  <c r="E178" i="11" s="1"/>
  <c r="BR70" i="7"/>
  <c r="E68" i="11" s="1"/>
  <c r="BR26" i="7"/>
  <c r="E24" i="11" s="1"/>
  <c r="BR325" i="7"/>
  <c r="E323" i="11" s="1"/>
  <c r="BR176" i="7"/>
  <c r="E174" i="11" s="1"/>
  <c r="BR234" i="7"/>
  <c r="E232" i="11" s="1"/>
  <c r="BR105" i="7"/>
  <c r="E103" i="11" s="1"/>
  <c r="BR305" i="7"/>
  <c r="E303" i="11" s="1"/>
  <c r="BR78" i="7"/>
  <c r="E76" i="11" s="1"/>
  <c r="BR301" i="7"/>
  <c r="E299" i="11" s="1"/>
  <c r="BR377" i="7"/>
  <c r="E375" i="11" s="1"/>
  <c r="BR172" i="7"/>
  <c r="E170" i="11" s="1"/>
  <c r="BR174" i="7"/>
  <c r="E172" i="11" s="1"/>
  <c r="BR219" i="7"/>
  <c r="E217" i="11" s="1"/>
  <c r="BR11" i="7"/>
  <c r="E9" i="11" s="1"/>
  <c r="BR221" i="7"/>
  <c r="E219" i="11" s="1"/>
  <c r="BR6" i="7"/>
  <c r="E4" i="11" s="1"/>
  <c r="BR94" i="7"/>
  <c r="E92" i="11" s="1"/>
  <c r="BR208" i="7"/>
  <c r="E206" i="11" s="1"/>
  <c r="BR165" i="7"/>
  <c r="E163" i="11" s="1"/>
  <c r="BR267" i="7"/>
  <c r="E265" i="11" s="1"/>
  <c r="BR60" i="7"/>
  <c r="E58" i="11" s="1"/>
  <c r="BR370" i="7"/>
  <c r="E368" i="11" s="1"/>
  <c r="BR139" i="7"/>
  <c r="E137" i="11" s="1"/>
  <c r="BR183" i="7"/>
  <c r="E181" i="11" s="1"/>
  <c r="BR154" i="7"/>
  <c r="E152" i="11" s="1"/>
  <c r="BR211" i="7"/>
  <c r="E209" i="11" s="1"/>
  <c r="BR48" i="7"/>
  <c r="E46" i="11" s="1"/>
  <c r="BR188" i="7"/>
  <c r="E186" i="11" s="1"/>
  <c r="BR310" i="7"/>
  <c r="E308" i="11" s="1"/>
  <c r="BR38" i="7"/>
  <c r="E36" i="11" s="1"/>
  <c r="BR329" i="7"/>
  <c r="E327" i="11" s="1"/>
  <c r="BR43" i="7"/>
  <c r="E41" i="11" s="1"/>
  <c r="BR258" i="7"/>
  <c r="E256" i="11" s="1"/>
  <c r="BR107" i="7"/>
  <c r="E105" i="11" s="1"/>
  <c r="BR270" i="7"/>
  <c r="E268" i="11" s="1"/>
  <c r="BR361" i="7"/>
  <c r="E359" i="11" s="1"/>
  <c r="BR317" i="7"/>
  <c r="E315" i="11" s="1"/>
  <c r="BR279" i="7"/>
  <c r="E277" i="11" s="1"/>
  <c r="BR59" i="7"/>
  <c r="E57" i="11" s="1"/>
  <c r="S90" i="7"/>
  <c r="AW97" i="6" s="1"/>
  <c r="S86" i="7"/>
  <c r="AW93" i="6" s="1"/>
  <c r="S89" i="7"/>
  <c r="AW96" i="6" s="1"/>
  <c r="S85" i="7"/>
  <c r="AW92" i="6" s="1"/>
  <c r="S88" i="7"/>
  <c r="AW95" i="6" s="1"/>
  <c r="S84" i="7"/>
  <c r="AW91" i="6" s="1"/>
  <c r="S87" i="7"/>
  <c r="AW94" i="6" s="1"/>
  <c r="S83" i="7"/>
  <c r="AW90" i="6" s="1"/>
  <c r="K7" i="5"/>
  <c r="R14" i="7" a="1"/>
  <c r="R14" i="7" s="1"/>
  <c r="AX85" i="6"/>
  <c r="BA85" i="6" s="1"/>
  <c r="AZ85" i="6"/>
  <c r="AY85" i="6"/>
  <c r="BC67" i="6"/>
  <c r="BB67" i="6"/>
  <c r="BR65" i="7"/>
  <c r="E63" i="11" s="1"/>
  <c r="BR128" i="7"/>
  <c r="E126" i="11" s="1"/>
  <c r="BR39" i="7"/>
  <c r="E37" i="11" s="1"/>
  <c r="BR332" i="7"/>
  <c r="E330" i="11" s="1"/>
  <c r="BR187" i="7"/>
  <c r="E185" i="11" s="1"/>
  <c r="BR133" i="7"/>
  <c r="E131" i="11" s="1"/>
  <c r="BR327" i="7"/>
  <c r="E325" i="11" s="1"/>
  <c r="BR232" i="7"/>
  <c r="E230" i="11" s="1"/>
  <c r="BR274" i="7"/>
  <c r="E272" i="11" s="1"/>
  <c r="BR297" i="7"/>
  <c r="E295" i="11" s="1"/>
  <c r="BR141" i="7"/>
  <c r="E139" i="11" s="1"/>
  <c r="BR81" i="7"/>
  <c r="E79" i="11" s="1"/>
  <c r="BR146" i="7"/>
  <c r="E144" i="11" s="1"/>
  <c r="BR282" i="7"/>
  <c r="E280" i="11" s="1"/>
  <c r="BR331" i="7"/>
  <c r="E329" i="11" s="1"/>
  <c r="BR13" i="7"/>
  <c r="E11" i="11" s="1"/>
  <c r="BR223" i="7"/>
  <c r="E221" i="11" s="1"/>
  <c r="BR246" i="7"/>
  <c r="E244" i="11" s="1"/>
  <c r="BR170" i="7"/>
  <c r="E168" i="11" s="1"/>
  <c r="BR228" i="7"/>
  <c r="E226" i="11" s="1"/>
  <c r="BR372" i="7"/>
  <c r="E370" i="11" s="1"/>
  <c r="BR88" i="7"/>
  <c r="E86" i="11" s="1"/>
  <c r="BR288" i="7"/>
  <c r="E286" i="11" s="1"/>
  <c r="BR47" i="7"/>
  <c r="E45" i="11" s="1"/>
  <c r="BR206" i="7"/>
  <c r="E204" i="11" s="1"/>
  <c r="BR306" i="7"/>
  <c r="E304" i="11" s="1"/>
  <c r="BR280" i="7"/>
  <c r="E278" i="11" s="1"/>
  <c r="BR242" i="7"/>
  <c r="E240" i="11" s="1"/>
  <c r="BR245" i="7"/>
  <c r="E243" i="11" s="1"/>
  <c r="BR18" i="7"/>
  <c r="E16" i="11" s="1"/>
  <c r="BR307" i="7"/>
  <c r="E305" i="11" s="1"/>
  <c r="BR108" i="7"/>
  <c r="E106" i="11" s="1"/>
  <c r="BR203" i="7"/>
  <c r="E201" i="11" s="1"/>
  <c r="BR381" i="7"/>
  <c r="E379" i="11" s="1"/>
  <c r="BR185" i="7"/>
  <c r="E183" i="11" s="1"/>
  <c r="BR123" i="7"/>
  <c r="E121" i="11" s="1"/>
  <c r="BR134" i="7"/>
  <c r="E132" i="11" s="1"/>
  <c r="BR214" i="7"/>
  <c r="E212" i="11" s="1"/>
  <c r="BR162" i="7"/>
  <c r="E160" i="11" s="1"/>
  <c r="BR264" i="7"/>
  <c r="E262" i="11" s="1"/>
  <c r="BR312" i="7"/>
  <c r="E310" i="11" s="1"/>
  <c r="BR16" i="7"/>
  <c r="E14" i="11" s="1"/>
  <c r="BR83" i="7"/>
  <c r="E81" i="11" s="1"/>
  <c r="BR23" i="7"/>
  <c r="E21" i="11" s="1"/>
  <c r="BR384" i="7"/>
  <c r="E382" i="11" s="1"/>
  <c r="BR210" i="7"/>
  <c r="E208" i="11" s="1"/>
  <c r="BR191" i="7"/>
  <c r="E189" i="11" s="1"/>
  <c r="BR135" i="7"/>
  <c r="E133" i="11" s="1"/>
  <c r="BR302" i="7"/>
  <c r="E300" i="11" s="1"/>
  <c r="BR114" i="7"/>
  <c r="E112" i="11" s="1"/>
  <c r="BR247" i="7"/>
  <c r="E245" i="11" s="1"/>
  <c r="BR77" i="7"/>
  <c r="E75" i="11" s="1"/>
  <c r="BC72" i="6"/>
  <c r="BB72" i="6"/>
  <c r="BC74" i="6"/>
  <c r="BB74" i="6"/>
  <c r="J10" i="7"/>
  <c r="I10" i="7"/>
  <c r="H10" i="7"/>
  <c r="G10" i="7"/>
  <c r="F10" i="7"/>
  <c r="M10" i="7"/>
  <c r="L10" i="7"/>
  <c r="K10" i="7"/>
  <c r="BB81" i="6"/>
  <c r="BC81" i="6"/>
  <c r="AZ89" i="6"/>
  <c r="AY89" i="6"/>
  <c r="AX89" i="6"/>
  <c r="BA89" i="6" s="1"/>
  <c r="BB73" i="6"/>
  <c r="BC73" i="6"/>
  <c r="BC68" i="6"/>
  <c r="BB68" i="6"/>
  <c r="BR189" i="7"/>
  <c r="E187" i="11" s="1"/>
  <c r="BR218" i="7"/>
  <c r="E216" i="11" s="1"/>
  <c r="BR171" i="7"/>
  <c r="E169" i="11" s="1"/>
  <c r="BR62" i="7"/>
  <c r="E60" i="11" s="1"/>
  <c r="BR46" i="7"/>
  <c r="E44" i="11" s="1"/>
  <c r="BR163" i="7"/>
  <c r="E161" i="11" s="1"/>
  <c r="BR293" i="7"/>
  <c r="E291" i="11" s="1"/>
  <c r="BR99" i="7"/>
  <c r="E97" i="11" s="1"/>
  <c r="BR9" i="7"/>
  <c r="E7" i="11" s="1"/>
  <c r="BR352" i="7"/>
  <c r="E350" i="11" s="1"/>
  <c r="BR256" i="7"/>
  <c r="E254" i="11" s="1"/>
  <c r="BR222" i="7"/>
  <c r="E220" i="11" s="1"/>
  <c r="BR230" i="7"/>
  <c r="E228" i="11" s="1"/>
  <c r="BR263" i="7"/>
  <c r="E261" i="11" s="1"/>
  <c r="BR118" i="7"/>
  <c r="E116" i="11" s="1"/>
  <c r="BR298" i="7"/>
  <c r="E296" i="11" s="1"/>
  <c r="BR110" i="7"/>
  <c r="E108" i="11" s="1"/>
  <c r="BR227" i="7"/>
  <c r="E225" i="11" s="1"/>
  <c r="BR379" i="7"/>
  <c r="E377" i="11" s="1"/>
  <c r="BR74" i="7"/>
  <c r="E72" i="11" s="1"/>
  <c r="BR142" i="7"/>
  <c r="E140" i="11" s="1"/>
  <c r="BR337" i="7"/>
  <c r="E335" i="11" s="1"/>
  <c r="BR42" i="7"/>
  <c r="E40" i="11" s="1"/>
  <c r="BR294" i="7"/>
  <c r="E292" i="11" s="1"/>
  <c r="BR115" i="7"/>
  <c r="E113" i="11" s="1"/>
  <c r="BR68" i="7"/>
  <c r="E66" i="11" s="1"/>
  <c r="BR182" i="7"/>
  <c r="E180" i="11" s="1"/>
  <c r="BR209" i="7"/>
  <c r="E207" i="11" s="1"/>
  <c r="BR168" i="7"/>
  <c r="E166" i="11" s="1"/>
  <c r="BR8" i="7"/>
  <c r="E6" i="11" s="1"/>
  <c r="BR318" i="7"/>
  <c r="E316" i="11" s="1"/>
  <c r="BR249" i="7"/>
  <c r="E247" i="11" s="1"/>
  <c r="BR106" i="7"/>
  <c r="E104" i="11" s="1"/>
  <c r="BR369" i="7"/>
  <c r="E367" i="11" s="1"/>
  <c r="BR292" i="7"/>
  <c r="E290" i="11" s="1"/>
  <c r="BR371" i="7"/>
  <c r="E369" i="11" s="1"/>
  <c r="BR22" i="7"/>
  <c r="E20" i="11" s="1"/>
  <c r="BR130" i="7"/>
  <c r="E128" i="11" s="1"/>
  <c r="BR212" i="7"/>
  <c r="E210" i="11" s="1"/>
  <c r="BR287" i="7"/>
  <c r="E285" i="11" s="1"/>
  <c r="BR286" i="7"/>
  <c r="E284" i="11" s="1"/>
  <c r="BR34" i="7"/>
  <c r="E32" i="11" s="1"/>
  <c r="BR339" i="7"/>
  <c r="E337" i="11" s="1"/>
  <c r="BR66" i="7"/>
  <c r="E64" i="11" s="1"/>
  <c r="BR254" i="7"/>
  <c r="E252" i="11" s="1"/>
  <c r="BR285" i="7"/>
  <c r="E283" i="11" s="1"/>
  <c r="BR262" i="7"/>
  <c r="E260" i="11" s="1"/>
  <c r="BR51" i="7"/>
  <c r="E49" i="11" s="1"/>
  <c r="BR201" i="7"/>
  <c r="E199" i="11" s="1"/>
  <c r="BR53" i="7"/>
  <c r="E51" i="11" s="1"/>
  <c r="N11" i="7"/>
  <c r="D11" i="7"/>
  <c r="P11" i="7"/>
  <c r="O11" i="7" a="1"/>
  <c r="O11" i="7" s="1"/>
  <c r="E12" i="7" a="1"/>
  <c r="E12" i="7" s="1"/>
  <c r="AY82" i="6"/>
  <c r="AX82" i="6"/>
  <c r="BA82" i="6" s="1"/>
  <c r="AZ82" i="6"/>
  <c r="BC79" i="6"/>
  <c r="BB79" i="6"/>
  <c r="BR140" i="7"/>
  <c r="E138" i="11" s="1"/>
  <c r="BR197" i="7"/>
  <c r="E195" i="11" s="1"/>
  <c r="BR378" i="7"/>
  <c r="E376" i="11" s="1"/>
  <c r="BR346" i="7"/>
  <c r="E344" i="11" s="1"/>
  <c r="BR177" i="7"/>
  <c r="E175" i="11" s="1"/>
  <c r="BR58" i="7"/>
  <c r="E56" i="11" s="1"/>
  <c r="BR330" i="7"/>
  <c r="E328" i="11" s="1"/>
  <c r="BR125" i="7"/>
  <c r="E123" i="11" s="1"/>
  <c r="BR167" i="7"/>
  <c r="E165" i="11" s="1"/>
  <c r="BR225" i="7"/>
  <c r="E223" i="11" s="1"/>
  <c r="BR365" i="7"/>
  <c r="E363" i="11" s="1"/>
  <c r="BR76" i="7"/>
  <c r="E74" i="11" s="1"/>
  <c r="BR61" i="7"/>
  <c r="E59" i="11" s="1"/>
  <c r="BR239" i="7"/>
  <c r="E237" i="11" s="1"/>
  <c r="BR136" i="7"/>
  <c r="E134" i="11" s="1"/>
  <c r="BR152" i="7"/>
  <c r="E150" i="11" s="1"/>
  <c r="BR156" i="7"/>
  <c r="E154" i="11" s="1"/>
  <c r="BR335" i="7"/>
  <c r="E333" i="11" s="1"/>
  <c r="BR21" i="7"/>
  <c r="E19" i="11" s="1"/>
  <c r="BR160" i="7"/>
  <c r="E158" i="11" s="1"/>
  <c r="BR276" i="7"/>
  <c r="E274" i="11" s="1"/>
  <c r="BR49" i="7"/>
  <c r="E47" i="11" s="1"/>
  <c r="BR199" i="7"/>
  <c r="E197" i="11" s="1"/>
  <c r="BR15" i="7"/>
  <c r="E13" i="11" s="1"/>
  <c r="BR207" i="7"/>
  <c r="E205" i="11" s="1"/>
  <c r="BR316" i="7"/>
  <c r="E314" i="11" s="1"/>
  <c r="BR84" i="7"/>
  <c r="E82" i="11" s="1"/>
  <c r="BR204" i="7"/>
  <c r="E202" i="11" s="1"/>
  <c r="BR200" i="7"/>
  <c r="E198" i="11" s="1"/>
  <c r="BR10" i="7"/>
  <c r="E8" i="11" s="1"/>
  <c r="BR79" i="7"/>
  <c r="E77" i="11" s="1"/>
  <c r="BR148" i="7"/>
  <c r="E146" i="11" s="1"/>
  <c r="BR89" i="7"/>
  <c r="E87" i="11" s="1"/>
  <c r="BR269" i="7"/>
  <c r="E267" i="11" s="1"/>
  <c r="BR268" i="7"/>
  <c r="E266" i="11" s="1"/>
  <c r="BR334" i="7"/>
  <c r="E332" i="11" s="1"/>
  <c r="BR138" i="7"/>
  <c r="E136" i="11" s="1"/>
  <c r="BR309" i="7"/>
  <c r="E307" i="11" s="1"/>
  <c r="BR257" i="7"/>
  <c r="E255" i="11" s="1"/>
  <c r="BR151" i="7"/>
  <c r="E149" i="11" s="1"/>
  <c r="BR54" i="7"/>
  <c r="E52" i="11" s="1"/>
  <c r="BR363" i="7"/>
  <c r="E361" i="11" s="1"/>
  <c r="BR5" i="7"/>
  <c r="E3" i="11" s="1"/>
  <c r="AZ83" i="6"/>
  <c r="AY83" i="6"/>
  <c r="AX83" i="6"/>
  <c r="BA83" i="6" s="1"/>
  <c r="AQ10" i="6"/>
  <c r="Y29" i="3"/>
  <c r="AZ86" i="6"/>
  <c r="AY86" i="6"/>
  <c r="AX86" i="6"/>
  <c r="BA86" i="6" s="1"/>
  <c r="BC71" i="6"/>
  <c r="BB71" i="6"/>
  <c r="BC69" i="6"/>
  <c r="BB69" i="6"/>
  <c r="BR299" i="7"/>
  <c r="E297" i="11" s="1"/>
  <c r="BR101" i="7"/>
  <c r="E99" i="11" s="1"/>
  <c r="BR178" i="7"/>
  <c r="E176" i="11" s="1"/>
  <c r="BR308" i="7"/>
  <c r="E306" i="11" s="1"/>
  <c r="BR80" i="7"/>
  <c r="E78" i="11" s="1"/>
  <c r="BR356" i="7"/>
  <c r="E354" i="11" s="1"/>
  <c r="BR36" i="7"/>
  <c r="E34" i="11" s="1"/>
  <c r="BR311" i="7"/>
  <c r="E309" i="11" s="1"/>
  <c r="BR98" i="7"/>
  <c r="E96" i="11" s="1"/>
  <c r="BR164" i="7"/>
  <c r="E162" i="11" s="1"/>
  <c r="BR96" i="7"/>
  <c r="E94" i="11" s="1"/>
  <c r="BR147" i="7"/>
  <c r="E145" i="11" s="1"/>
  <c r="BR266" i="7"/>
  <c r="E264" i="11" s="1"/>
  <c r="BR95" i="7"/>
  <c r="E93" i="11" s="1"/>
  <c r="BR173" i="7"/>
  <c r="E171" i="11" s="1"/>
  <c r="BR376" i="7"/>
  <c r="E374" i="11" s="1"/>
  <c r="BR124" i="7"/>
  <c r="E122" i="11" s="1"/>
  <c r="BR100" i="7"/>
  <c r="E98" i="11" s="1"/>
  <c r="BR236" i="7"/>
  <c r="E234" i="11" s="1"/>
  <c r="BR67" i="7"/>
  <c r="E65" i="11" s="1"/>
  <c r="BR374" i="7"/>
  <c r="E372" i="11" s="1"/>
  <c r="BR198" i="7"/>
  <c r="E196" i="11" s="1"/>
  <c r="BR259" i="7"/>
  <c r="E257" i="11" s="1"/>
  <c r="BR300" i="7"/>
  <c r="E298" i="11" s="1"/>
  <c r="BR237" i="7"/>
  <c r="E235" i="11" s="1"/>
  <c r="BR117" i="7"/>
  <c r="E115" i="11" s="1"/>
  <c r="BR27" i="7"/>
  <c r="E25" i="11" s="1"/>
  <c r="BR86" i="7"/>
  <c r="E84" i="11" s="1"/>
  <c r="BR63" i="7"/>
  <c r="E61" i="11" s="1"/>
  <c r="BR373" i="7"/>
  <c r="E371" i="11" s="1"/>
  <c r="BR320" i="7"/>
  <c r="E318" i="11" s="1"/>
  <c r="BR32" i="7"/>
  <c r="E30" i="11" s="1"/>
  <c r="BR387" i="7"/>
  <c r="E385" i="11" s="1"/>
  <c r="BR28" i="7"/>
  <c r="E26" i="11" s="1"/>
  <c r="BR241" i="7"/>
  <c r="E239" i="11" s="1"/>
  <c r="BR69" i="7"/>
  <c r="E67" i="11" s="1"/>
  <c r="BR192" i="7"/>
  <c r="E190" i="11" s="1"/>
  <c r="BR323" i="7"/>
  <c r="E321" i="11" s="1"/>
  <c r="BR112" i="7"/>
  <c r="E110" i="11" s="1"/>
  <c r="BR303" i="7"/>
  <c r="E301" i="11" s="1"/>
  <c r="BR315" i="7"/>
  <c r="E313" i="11" s="1"/>
  <c r="BR328" i="7"/>
  <c r="E326" i="11" s="1"/>
  <c r="BR186" i="7"/>
  <c r="E184" i="11" s="1"/>
  <c r="BR131" i="7"/>
  <c r="E129" i="11" s="1"/>
  <c r="BR261" i="7"/>
  <c r="E259" i="11" s="1"/>
  <c r="BR25" i="7"/>
  <c r="E23" i="11" s="1"/>
  <c r="BR383" i="7"/>
  <c r="E381" i="11" s="1"/>
  <c r="BR224" i="7"/>
  <c r="E222" i="11" s="1"/>
  <c r="BR243" i="7"/>
  <c r="E241" i="11" s="1"/>
  <c r="BR380" i="7"/>
  <c r="E378" i="11" s="1"/>
  <c r="BR157" i="7"/>
  <c r="E155" i="11" s="1"/>
  <c r="BR366" i="7"/>
  <c r="E364" i="11" s="1"/>
  <c r="BC70" i="6"/>
  <c r="BB70" i="6"/>
  <c r="BR358" i="7"/>
  <c r="E356" i="11" s="1"/>
  <c r="BR295" i="7"/>
  <c r="E293" i="11" s="1"/>
  <c r="BR7" i="7"/>
  <c r="E5" i="11" s="1"/>
  <c r="BR283" i="7"/>
  <c r="E281" i="11" s="1"/>
  <c r="BR93" i="7"/>
  <c r="E91" i="11" s="1"/>
  <c r="BR238" i="7"/>
  <c r="E236" i="11" s="1"/>
  <c r="BR368" i="7"/>
  <c r="E366" i="11" s="1"/>
  <c r="BR41" i="7"/>
  <c r="E39" i="11" s="1"/>
  <c r="BR314" i="7"/>
  <c r="E312" i="11" s="1"/>
  <c r="BR341" i="7"/>
  <c r="E339" i="11" s="1"/>
  <c r="BR338" i="7"/>
  <c r="E336" i="11" s="1"/>
  <c r="BR87" i="7"/>
  <c r="E85" i="11" s="1"/>
  <c r="BR362" i="7"/>
  <c r="E360" i="11" s="1"/>
  <c r="BR50" i="7"/>
  <c r="E48" i="11" s="1"/>
  <c r="BR252" i="7"/>
  <c r="E250" i="11" s="1"/>
  <c r="BR30" i="7"/>
  <c r="E28" i="11" s="1"/>
  <c r="BR289" i="7"/>
  <c r="E287" i="11" s="1"/>
  <c r="BR72" i="7"/>
  <c r="E70" i="11" s="1"/>
  <c r="BR149" i="7"/>
  <c r="E147" i="11" s="1"/>
  <c r="BR353" i="7"/>
  <c r="E351" i="11" s="1"/>
  <c r="BR64" i="7"/>
  <c r="E62" i="11" s="1"/>
  <c r="BR97" i="7"/>
  <c r="E95" i="11" s="1"/>
  <c r="BR313" i="7"/>
  <c r="E311" i="11" s="1"/>
  <c r="BR57" i="7"/>
  <c r="E55" i="11" s="1"/>
  <c r="BR82" i="7"/>
  <c r="E80" i="11" s="1"/>
  <c r="BR265" i="7"/>
  <c r="E263" i="11" s="1"/>
  <c r="BR360" i="7"/>
  <c r="E358" i="11" s="1"/>
  <c r="BR17" i="7"/>
  <c r="E15" i="11" s="1"/>
  <c r="BR385" i="7"/>
  <c r="E383" i="11" s="1"/>
  <c r="BR92" i="7"/>
  <c r="E90" i="11" s="1"/>
  <c r="BR144" i="7"/>
  <c r="E142" i="11" s="1"/>
  <c r="BR271" i="7"/>
  <c r="E269" i="11" s="1"/>
  <c r="BR73" i="7"/>
  <c r="E71" i="11" s="1"/>
  <c r="BR44" i="7"/>
  <c r="E42" i="11" s="1"/>
  <c r="BR340" i="7"/>
  <c r="E338" i="11" s="1"/>
  <c r="BR326" i="7"/>
  <c r="E324" i="11" s="1"/>
  <c r="BR278" i="7"/>
  <c r="E276" i="11" s="1"/>
  <c r="BR382" i="7"/>
  <c r="E380" i="11" s="1"/>
  <c r="BR122" i="7"/>
  <c r="E120" i="11" s="1"/>
  <c r="BR145" i="7"/>
  <c r="E143" i="11" s="1"/>
  <c r="BR229" i="7"/>
  <c r="E227" i="11" s="1"/>
  <c r="BR190" i="7"/>
  <c r="E188" i="11" s="1"/>
  <c r="BR20" i="7"/>
  <c r="E18" i="11" s="1"/>
  <c r="BR296" i="7"/>
  <c r="E294" i="11" s="1"/>
  <c r="BR35" i="7"/>
  <c r="E33" i="11" s="1"/>
  <c r="BR277" i="7"/>
  <c r="E275" i="11" s="1"/>
  <c r="BR231" i="7"/>
  <c r="E229" i="11" s="1"/>
  <c r="BR367" i="7"/>
  <c r="E365" i="11" s="1"/>
  <c r="BR348" i="7"/>
  <c r="E346" i="11" s="1"/>
  <c r="BR121" i="7"/>
  <c r="E119" i="11" s="1"/>
  <c r="BC77" i="6"/>
  <c r="BB77" i="6"/>
  <c r="AZ87" i="6"/>
  <c r="AY87" i="6"/>
  <c r="AX87" i="6"/>
  <c r="BA87" i="6" s="1"/>
  <c r="BC80" i="6"/>
  <c r="BB80" i="6"/>
  <c r="BC78" i="6"/>
  <c r="BB78" i="6"/>
  <c r="BR150" i="7"/>
  <c r="E148" i="11" s="1"/>
  <c r="BR29" i="7"/>
  <c r="E27" i="11" s="1"/>
  <c r="BR273" i="7"/>
  <c r="E271" i="11" s="1"/>
  <c r="BR194" i="7"/>
  <c r="E192" i="11" s="1"/>
  <c r="BR255" i="7"/>
  <c r="E253" i="11" s="1"/>
  <c r="BR52" i="7"/>
  <c r="E50" i="11" s="1"/>
  <c r="BR166" i="7"/>
  <c r="E164" i="11" s="1"/>
  <c r="BR143" i="7"/>
  <c r="E141" i="11" s="1"/>
  <c r="BR55" i="7"/>
  <c r="E53" i="11" s="1"/>
  <c r="BR364" i="7"/>
  <c r="E362" i="11" s="1"/>
  <c r="BR215" i="7"/>
  <c r="E213" i="11" s="1"/>
  <c r="BR45" i="7"/>
  <c r="E43" i="11" s="1"/>
  <c r="BR322" i="7"/>
  <c r="E320" i="11" s="1"/>
  <c r="BR129" i="7"/>
  <c r="E127" i="11" s="1"/>
  <c r="BR240" i="7"/>
  <c r="E238" i="11" s="1"/>
  <c r="BR75" i="7"/>
  <c r="E73" i="11" s="1"/>
  <c r="BR202" i="7"/>
  <c r="E200" i="11" s="1"/>
  <c r="BR260" i="7"/>
  <c r="E258" i="11" s="1"/>
  <c r="BR102" i="7"/>
  <c r="E100" i="11" s="1"/>
  <c r="BR103" i="7"/>
  <c r="E101" i="11" s="1"/>
  <c r="BR344" i="7"/>
  <c r="E342" i="11" s="1"/>
  <c r="BR179" i="7"/>
  <c r="E177" i="11" s="1"/>
  <c r="BR281" i="7"/>
  <c r="E279" i="11" s="1"/>
  <c r="BR336" i="7"/>
  <c r="E334" i="11" s="1"/>
  <c r="BR345" i="7"/>
  <c r="E343" i="11" s="1"/>
  <c r="BR109" i="7"/>
  <c r="E107" i="11" s="1"/>
  <c r="BR132" i="7"/>
  <c r="E130" i="11" s="1"/>
  <c r="BR4" i="7"/>
  <c r="E2" i="11" s="1"/>
  <c r="BR251" i="7"/>
  <c r="E249" i="11" s="1"/>
  <c r="BR31" i="7"/>
  <c r="E29" i="11" s="1"/>
  <c r="BR347" i="7"/>
  <c r="E345" i="11" s="1"/>
  <c r="BR226" i="7"/>
  <c r="E224" i="11" s="1"/>
  <c r="BR375" i="7"/>
  <c r="E373" i="11" s="1"/>
  <c r="BR161" i="7"/>
  <c r="E159" i="11" s="1"/>
  <c r="BR284" i="7"/>
  <c r="E282" i="11" s="1"/>
  <c r="BR184" i="7"/>
  <c r="E182" i="11" s="1"/>
  <c r="BR386" i="7"/>
  <c r="E384" i="11" s="1"/>
  <c r="BR155" i="7"/>
  <c r="E153" i="11" s="1"/>
  <c r="BR113" i="7"/>
  <c r="E111" i="11" s="1"/>
  <c r="BR24" i="7"/>
  <c r="E22" i="11" s="1"/>
  <c r="BR175" i="7"/>
  <c r="E173" i="11" s="1"/>
  <c r="BR324" i="7"/>
  <c r="E322" i="11" s="1"/>
  <c r="BR137" i="7"/>
  <c r="E135" i="11" s="1"/>
  <c r="BR355" i="7"/>
  <c r="E353" i="11" s="1"/>
  <c r="BR127" i="7"/>
  <c r="E125" i="11" s="1"/>
  <c r="BC83" i="6" l="1"/>
  <c r="BB83" i="6"/>
  <c r="AZ97" i="6"/>
  <c r="AY97" i="6"/>
  <c r="AX97" i="6"/>
  <c r="BA97" i="6" s="1"/>
  <c r="BC82" i="6"/>
  <c r="BB82" i="6"/>
  <c r="AY90" i="6"/>
  <c r="AX90" i="6"/>
  <c r="BA90" i="6" s="1"/>
  <c r="AZ90" i="6"/>
  <c r="P12" i="7"/>
  <c r="O12" i="7" a="1"/>
  <c r="O12" i="7" s="1"/>
  <c r="N12" i="7"/>
  <c r="D12" i="7"/>
  <c r="E13" i="7" a="1"/>
  <c r="E13" i="7" s="1"/>
  <c r="AZ94" i="6"/>
  <c r="AY94" i="6"/>
  <c r="AX94" i="6"/>
  <c r="BA94" i="6" s="1"/>
  <c r="BC86" i="6"/>
  <c r="BB86" i="6"/>
  <c r="AZ91" i="6"/>
  <c r="AY91" i="6"/>
  <c r="AX91" i="6"/>
  <c r="BA91" i="6" s="1"/>
  <c r="BC87" i="6"/>
  <c r="BB87" i="6"/>
  <c r="BC85" i="6"/>
  <c r="BB85" i="6"/>
  <c r="AZ95" i="6"/>
  <c r="AY95" i="6"/>
  <c r="AX95" i="6"/>
  <c r="BA95" i="6" s="1"/>
  <c r="BC84" i="6"/>
  <c r="BB84" i="6"/>
  <c r="F11" i="7"/>
  <c r="M11" i="7"/>
  <c r="L11" i="7"/>
  <c r="K11" i="7"/>
  <c r="J11" i="7"/>
  <c r="I11" i="7"/>
  <c r="H11" i="7"/>
  <c r="G11" i="7"/>
  <c r="AZ92" i="6"/>
  <c r="AY92" i="6"/>
  <c r="AX92" i="6"/>
  <c r="BA92" i="6" s="1"/>
  <c r="BB89" i="6"/>
  <c r="BC89" i="6"/>
  <c r="AZ96" i="6"/>
  <c r="AY96" i="6"/>
  <c r="AX96" i="6"/>
  <c r="BA96" i="6" s="1"/>
  <c r="BC88" i="6"/>
  <c r="BB88" i="6"/>
  <c r="S98" i="7"/>
  <c r="AW105" i="6" s="1"/>
  <c r="S94" i="7"/>
  <c r="AW101" i="6" s="1"/>
  <c r="S97" i="7"/>
  <c r="AW104" i="6" s="1"/>
  <c r="S93" i="7"/>
  <c r="AW100" i="6" s="1"/>
  <c r="S96" i="7"/>
  <c r="AW103" i="6" s="1"/>
  <c r="S92" i="7"/>
  <c r="AW99" i="6" s="1"/>
  <c r="S95" i="7"/>
  <c r="AW102" i="6" s="1"/>
  <c r="S91" i="7"/>
  <c r="AW98" i="6" s="1"/>
  <c r="L7" i="5"/>
  <c r="R15" i="7" a="1"/>
  <c r="R15" i="7" s="1"/>
  <c r="R16" i="7" s="1" a="1"/>
  <c r="R16" i="7" s="1"/>
  <c r="R17" i="7" s="1" a="1"/>
  <c r="R17" i="7" s="1"/>
  <c r="R18" i="7" s="1" a="1"/>
  <c r="R18" i="7" s="1"/>
  <c r="R19" i="7" s="1" a="1"/>
  <c r="R19" i="7" s="1"/>
  <c r="R20" i="7" s="1" a="1"/>
  <c r="R20" i="7" s="1"/>
  <c r="R21" i="7" s="1" a="1"/>
  <c r="R21" i="7" s="1"/>
  <c r="R22" i="7" s="1" a="1"/>
  <c r="R22" i="7" s="1"/>
  <c r="R23" i="7" s="1" a="1"/>
  <c r="R23" i="7" s="1"/>
  <c r="R24" i="7" s="1" a="1"/>
  <c r="R24" i="7" s="1"/>
  <c r="R25" i="7" s="1" a="1"/>
  <c r="R25" i="7" s="1"/>
  <c r="R26" i="7" s="1" a="1"/>
  <c r="R26" i="7" s="1"/>
  <c r="R27" i="7" s="1" a="1"/>
  <c r="R27" i="7" s="1"/>
  <c r="R28" i="7" s="1" a="1"/>
  <c r="R28" i="7" s="1"/>
  <c r="R29" i="7" s="1" a="1"/>
  <c r="R29" i="7" s="1"/>
  <c r="R30" i="7" s="1" a="1"/>
  <c r="R30" i="7" s="1"/>
  <c r="R31" i="7" s="1" a="1"/>
  <c r="R31" i="7" s="1"/>
  <c r="R32" i="7" s="1" a="1"/>
  <c r="R32" i="7" s="1"/>
  <c r="R33" i="7" s="1" a="1"/>
  <c r="R33" i="7" s="1"/>
  <c r="R34" i="7" s="1" a="1"/>
  <c r="R34" i="7" s="1"/>
  <c r="R35" i="7" s="1" a="1"/>
  <c r="R35" i="7" s="1"/>
  <c r="R36" i="7" s="1" a="1"/>
  <c r="R36" i="7" s="1"/>
  <c r="R37" i="7" s="1" a="1"/>
  <c r="R37" i="7" s="1"/>
  <c r="R38" i="7" s="1" a="1"/>
  <c r="R38" i="7" s="1"/>
  <c r="R39" i="7" s="1" a="1"/>
  <c r="R39" i="7" s="1"/>
  <c r="R40" i="7" s="1" a="1"/>
  <c r="R40" i="7" s="1"/>
  <c r="R41" i="7" s="1" a="1"/>
  <c r="R41" i="7" s="1"/>
  <c r="R42" i="7" s="1" a="1"/>
  <c r="R42" i="7" s="1"/>
  <c r="R43" i="7" s="1" a="1"/>
  <c r="R43" i="7" s="1"/>
  <c r="R44" i="7" s="1" a="1"/>
  <c r="R44" i="7" s="1"/>
  <c r="R45" i="7" s="1" a="1"/>
  <c r="R45" i="7" s="1"/>
  <c r="R46" i="7" s="1" a="1"/>
  <c r="R46" i="7" s="1"/>
  <c r="R47" i="7" s="1" a="1"/>
  <c r="R47" i="7" s="1"/>
  <c r="R48" i="7" s="1" a="1"/>
  <c r="R48" i="7" s="1"/>
  <c r="R49" i="7" s="1" a="1"/>
  <c r="R49" i="7" s="1"/>
  <c r="R50" i="7" s="1" a="1"/>
  <c r="R50" i="7" s="1"/>
  <c r="R51" i="7" s="1" a="1"/>
  <c r="R51" i="7" s="1"/>
  <c r="R52" i="7" s="1" a="1"/>
  <c r="R52" i="7" s="1"/>
  <c r="R53" i="7" s="1" a="1"/>
  <c r="R53" i="7" s="1"/>
  <c r="R54" i="7" s="1" a="1"/>
  <c r="R54" i="7" s="1"/>
  <c r="R55" i="7" s="1" a="1"/>
  <c r="R55" i="7" s="1"/>
  <c r="R56" i="7" s="1" a="1"/>
  <c r="R56" i="7" s="1"/>
  <c r="R57" i="7" s="1" a="1"/>
  <c r="R57" i="7" s="1"/>
  <c r="R58" i="7" s="1" a="1"/>
  <c r="R58" i="7" s="1"/>
  <c r="R59" i="7" s="1" a="1"/>
  <c r="R59" i="7" s="1"/>
  <c r="R60" i="7" s="1" a="1"/>
  <c r="R60" i="7" s="1"/>
  <c r="R61" i="7" s="1" a="1"/>
  <c r="R61" i="7" s="1"/>
  <c r="R62" i="7" s="1" a="1"/>
  <c r="R62" i="7" s="1"/>
  <c r="R63" i="7" s="1" a="1"/>
  <c r="R63" i="7" s="1"/>
  <c r="R64" i="7" s="1" a="1"/>
  <c r="R64" i="7" s="1"/>
  <c r="R65" i="7" s="1" a="1"/>
  <c r="R65" i="7" s="1"/>
  <c r="R66" i="7" s="1" a="1"/>
  <c r="R66" i="7" s="1"/>
  <c r="R67" i="7" s="1" a="1"/>
  <c r="R67" i="7" s="1"/>
  <c r="R68" i="7" s="1" a="1"/>
  <c r="R68" i="7" s="1"/>
  <c r="R69" i="7" s="1" a="1"/>
  <c r="R69" i="7" s="1"/>
  <c r="R70" i="7" s="1" a="1"/>
  <c r="R70" i="7" s="1"/>
  <c r="R71" i="7" s="1" a="1"/>
  <c r="R71" i="7" s="1"/>
  <c r="R72" i="7" s="1" a="1"/>
  <c r="R72" i="7" s="1"/>
  <c r="R73" i="7" s="1" a="1"/>
  <c r="R73" i="7" s="1"/>
  <c r="R74" i="7" s="1" a="1"/>
  <c r="R74" i="7" s="1"/>
  <c r="R75" i="7" s="1" a="1"/>
  <c r="R75" i="7" s="1"/>
  <c r="R76" i="7" s="1" a="1"/>
  <c r="R76" i="7" s="1"/>
  <c r="R77" i="7" s="1" a="1"/>
  <c r="R77" i="7" s="1"/>
  <c r="R78" i="7" s="1" a="1"/>
  <c r="R78" i="7" s="1"/>
  <c r="R79" i="7" s="1" a="1"/>
  <c r="R79" i="7" s="1"/>
  <c r="R80" i="7" s="1" a="1"/>
  <c r="R80" i="7" s="1"/>
  <c r="R81" i="7" s="1" a="1"/>
  <c r="R81" i="7" s="1"/>
  <c r="R82" i="7" s="1" a="1"/>
  <c r="R82" i="7" s="1"/>
  <c r="R83" i="7" s="1" a="1"/>
  <c r="R83" i="7" s="1"/>
  <c r="R84" i="7" s="1" a="1"/>
  <c r="R84" i="7" s="1"/>
  <c r="R85" i="7" s="1" a="1"/>
  <c r="R85" i="7" s="1"/>
  <c r="R86" i="7" s="1" a="1"/>
  <c r="R86" i="7" s="1"/>
  <c r="R87" i="7" s="1" a="1"/>
  <c r="R87" i="7" s="1"/>
  <c r="R88" i="7" s="1" a="1"/>
  <c r="R88" i="7" s="1"/>
  <c r="R89" i="7" s="1" a="1"/>
  <c r="R89" i="7" s="1"/>
  <c r="R90" i="7" s="1" a="1"/>
  <c r="R90" i="7" s="1"/>
  <c r="R91" i="7" s="1" a="1"/>
  <c r="R91" i="7" s="1"/>
  <c r="R92" i="7" s="1" a="1"/>
  <c r="R92" i="7" s="1"/>
  <c r="R93" i="7" s="1" a="1"/>
  <c r="R93" i="7" s="1"/>
  <c r="R94" i="7" s="1" a="1"/>
  <c r="R94" i="7" s="1"/>
  <c r="R95" i="7" s="1" a="1"/>
  <c r="R95" i="7" s="1"/>
  <c r="R96" i="7" s="1" a="1"/>
  <c r="R96" i="7" s="1"/>
  <c r="R97" i="7" s="1" a="1"/>
  <c r="R97" i="7" s="1"/>
  <c r="R98" i="7" s="1" a="1"/>
  <c r="R98" i="7" s="1"/>
  <c r="AX93" i="6"/>
  <c r="BA93" i="6" s="1"/>
  <c r="AZ93" i="6"/>
  <c r="AY93" i="6"/>
  <c r="BC93" i="6" l="1"/>
  <c r="BB93" i="6"/>
  <c r="AZ99" i="6"/>
  <c r="AY99" i="6"/>
  <c r="AX99" i="6"/>
  <c r="BA99" i="6" s="1"/>
  <c r="BC90" i="6"/>
  <c r="BB90" i="6"/>
  <c r="O13" i="7" a="1"/>
  <c r="O13" i="7" s="1"/>
  <c r="N13" i="7"/>
  <c r="D13" i="7"/>
  <c r="P13" i="7"/>
  <c r="E14" i="7" a="1"/>
  <c r="E14" i="7" s="1"/>
  <c r="AX100" i="6"/>
  <c r="BA100" i="6" s="1"/>
  <c r="AZ100" i="6"/>
  <c r="AY100" i="6"/>
  <c r="BC91" i="6"/>
  <c r="BB91" i="6"/>
  <c r="J12" i="7"/>
  <c r="I12" i="7"/>
  <c r="H12" i="7"/>
  <c r="G12" i="7"/>
  <c r="F12" i="7"/>
  <c r="M12" i="7"/>
  <c r="L12" i="7"/>
  <c r="K12" i="7"/>
  <c r="AY104" i="6"/>
  <c r="AX104" i="6"/>
  <c r="BA104" i="6" s="1"/>
  <c r="AZ104" i="6"/>
  <c r="BC95" i="6"/>
  <c r="BB95" i="6"/>
  <c r="AY101" i="6"/>
  <c r="AZ101" i="6"/>
  <c r="AX101" i="6"/>
  <c r="BA101" i="6" s="1"/>
  <c r="BB97" i="6"/>
  <c r="BC97" i="6"/>
  <c r="AX103" i="6"/>
  <c r="BA103" i="6" s="1"/>
  <c r="AZ103" i="6"/>
  <c r="AY103" i="6"/>
  <c r="AZ105" i="6"/>
  <c r="AY105" i="6"/>
  <c r="AX105" i="6"/>
  <c r="BA105" i="6" s="1"/>
  <c r="AY98" i="6"/>
  <c r="AX98" i="6"/>
  <c r="BA98" i="6" s="1"/>
  <c r="AZ98" i="6"/>
  <c r="BC92" i="6"/>
  <c r="BB92" i="6"/>
  <c r="BC96" i="6"/>
  <c r="BB96" i="6"/>
  <c r="AZ102" i="6"/>
  <c r="AX102" i="6"/>
  <c r="BA102" i="6" s="1"/>
  <c r="AY102" i="6"/>
  <c r="BC94" i="6"/>
  <c r="BB94" i="6"/>
  <c r="BC105" i="6" l="1"/>
  <c r="BB105" i="6"/>
  <c r="BB100" i="6"/>
  <c r="BC100" i="6"/>
  <c r="BB103" i="6"/>
  <c r="BC103" i="6"/>
  <c r="BC101" i="6"/>
  <c r="BB101" i="6"/>
  <c r="N14" i="7"/>
  <c r="D14" i="7"/>
  <c r="P14" i="7"/>
  <c r="O14" i="7" a="1"/>
  <c r="O14" i="7" s="1"/>
  <c r="E15" i="7" a="1"/>
  <c r="E15" i="7" s="1"/>
  <c r="BC99" i="6"/>
  <c r="BB99" i="6"/>
  <c r="BC102" i="6"/>
  <c r="BB102" i="6"/>
  <c r="BC98" i="6"/>
  <c r="BB98" i="6"/>
  <c r="BC104" i="6"/>
  <c r="BB104" i="6"/>
  <c r="H13" i="7"/>
  <c r="G13" i="7"/>
  <c r="F13" i="7"/>
  <c r="M13" i="7"/>
  <c r="L13" i="7"/>
  <c r="K13" i="7"/>
  <c r="J13" i="7"/>
  <c r="I13" i="7"/>
  <c r="D15" i="7" l="1"/>
  <c r="P15" i="7"/>
  <c r="O15" i="7" a="1"/>
  <c r="O15" i="7" s="1"/>
  <c r="N15" i="7"/>
  <c r="E16" i="7" a="1"/>
  <c r="E16" i="7" s="1"/>
  <c r="F14" i="7"/>
  <c r="M14" i="7"/>
  <c r="L14" i="7"/>
  <c r="K14" i="7"/>
  <c r="J14" i="7"/>
  <c r="I14" i="7"/>
  <c r="H14" i="7"/>
  <c r="G14" i="7"/>
  <c r="BD10" i="6"/>
  <c r="J13" i="3" s="1"/>
  <c r="BD11" i="6"/>
  <c r="BD13" i="6" s="1"/>
  <c r="P16" i="7" l="1"/>
  <c r="O16" i="7" a="1"/>
  <c r="O16" i="7" s="1"/>
  <c r="N16" i="7"/>
  <c r="D16" i="7"/>
  <c r="E17" i="7" a="1"/>
  <c r="E17" i="7" s="1"/>
  <c r="K15" i="7"/>
  <c r="J15" i="7"/>
  <c r="I15" i="7"/>
  <c r="H15" i="7"/>
  <c r="G15" i="7"/>
  <c r="F15" i="7"/>
  <c r="M15" i="7"/>
  <c r="L15" i="7"/>
  <c r="N17" i="7" l="1"/>
  <c r="D17" i="7"/>
  <c r="P17" i="7"/>
  <c r="O17" i="7" a="1"/>
  <c r="O17" i="7" s="1"/>
  <c r="E18" i="7" a="1"/>
  <c r="E18" i="7" s="1"/>
  <c r="I16" i="7"/>
  <c r="H16" i="7"/>
  <c r="G16" i="7"/>
  <c r="F16" i="7"/>
  <c r="M16" i="7"/>
  <c r="L16" i="7"/>
  <c r="K16" i="7"/>
  <c r="J16" i="7"/>
  <c r="D18" i="7" l="1"/>
  <c r="P18" i="7"/>
  <c r="O18" i="7" a="1"/>
  <c r="O18" i="7" s="1"/>
  <c r="N18" i="7"/>
  <c r="E19" i="7" a="1"/>
  <c r="E19" i="7" s="1"/>
  <c r="G17" i="7"/>
  <c r="F17" i="7"/>
  <c r="M17" i="7"/>
  <c r="L17" i="7"/>
  <c r="K17" i="7"/>
  <c r="J17" i="7"/>
  <c r="I17" i="7"/>
  <c r="H17" i="7"/>
  <c r="N19" i="7" l="1"/>
  <c r="D19" i="7"/>
  <c r="P19" i="7"/>
  <c r="O19" i="7" a="1"/>
  <c r="O19" i="7" s="1"/>
  <c r="E20" i="7" a="1"/>
  <c r="E20" i="7" s="1"/>
  <c r="M18" i="7"/>
  <c r="L18" i="7"/>
  <c r="K18" i="7"/>
  <c r="J18" i="7"/>
  <c r="I18" i="7"/>
  <c r="H18" i="7"/>
  <c r="G18" i="7"/>
  <c r="F18" i="7"/>
  <c r="P20" i="7" l="1"/>
  <c r="O20" i="7" a="1"/>
  <c r="O20" i="7" s="1"/>
  <c r="N20" i="7"/>
  <c r="D20" i="7"/>
  <c r="E21" i="7" a="1"/>
  <c r="E21" i="7" s="1"/>
  <c r="F19" i="7"/>
  <c r="L19" i="7"/>
  <c r="M19" i="7"/>
  <c r="K19" i="7"/>
  <c r="J19" i="7"/>
  <c r="I19" i="7"/>
  <c r="H19" i="7"/>
  <c r="G19" i="7"/>
  <c r="O21" i="7" l="1" a="1"/>
  <c r="O21" i="7" s="1"/>
  <c r="P21" i="7"/>
  <c r="N21" i="7"/>
  <c r="D21" i="7"/>
  <c r="E22" i="7" a="1"/>
  <c r="E22" i="7" s="1"/>
  <c r="L20" i="7"/>
  <c r="J20" i="7"/>
  <c r="M20" i="7"/>
  <c r="K20" i="7"/>
  <c r="I20" i="7"/>
  <c r="H20" i="7"/>
  <c r="G20" i="7"/>
  <c r="F20" i="7"/>
  <c r="J21" i="7" l="1"/>
  <c r="H21" i="7"/>
  <c r="K21" i="7"/>
  <c r="I21" i="7"/>
  <c r="G21" i="7"/>
  <c r="F21" i="7"/>
  <c r="M21" i="7"/>
  <c r="L21" i="7"/>
  <c r="O22" i="7" a="1"/>
  <c r="O22" i="7" s="1"/>
  <c r="N22" i="7"/>
  <c r="P22" i="7"/>
  <c r="D22" i="7"/>
  <c r="E23" i="7" a="1"/>
  <c r="E23" i="7" s="1"/>
  <c r="O23" i="7" l="1" a="1"/>
  <c r="O23" i="7" s="1"/>
  <c r="N23" i="7"/>
  <c r="P23" i="7"/>
  <c r="D23" i="7"/>
  <c r="E24" i="7" a="1"/>
  <c r="E24" i="7" s="1"/>
  <c r="J22" i="7"/>
  <c r="H22" i="7"/>
  <c r="F22" i="7"/>
  <c r="M22" i="7"/>
  <c r="L22" i="7"/>
  <c r="K22" i="7"/>
  <c r="I22" i="7"/>
  <c r="G22" i="7"/>
  <c r="N24" i="7" l="1"/>
  <c r="P24" i="7"/>
  <c r="O24" i="7" a="1"/>
  <c r="O24" i="7" s="1"/>
  <c r="D24" i="7"/>
  <c r="E25" i="7" a="1"/>
  <c r="E25" i="7" s="1"/>
  <c r="H23" i="7"/>
  <c r="F23" i="7"/>
  <c r="L23" i="7"/>
  <c r="I23" i="7"/>
  <c r="G23" i="7"/>
  <c r="M23" i="7"/>
  <c r="K23" i="7"/>
  <c r="J23" i="7"/>
  <c r="F24" i="7" l="1"/>
  <c r="L24" i="7"/>
  <c r="J24" i="7"/>
  <c r="M24" i="7"/>
  <c r="K24" i="7"/>
  <c r="I24" i="7"/>
  <c r="H24" i="7"/>
  <c r="G24" i="7"/>
  <c r="O25" i="7" a="1"/>
  <c r="O25" i="7" s="1"/>
  <c r="P25" i="7"/>
  <c r="D25" i="7"/>
  <c r="N25" i="7"/>
  <c r="E26" i="7" a="1"/>
  <c r="E26" i="7" s="1"/>
  <c r="O26" i="7" l="1" a="1"/>
  <c r="O26" i="7" s="1"/>
  <c r="N26" i="7"/>
  <c r="P26" i="7"/>
  <c r="D26" i="7"/>
  <c r="E27" i="7" a="1"/>
  <c r="E27" i="7" s="1"/>
  <c r="L25" i="7"/>
  <c r="J25" i="7"/>
  <c r="H25" i="7"/>
  <c r="M25" i="7"/>
  <c r="K25" i="7"/>
  <c r="I25" i="7"/>
  <c r="G25" i="7"/>
  <c r="F25" i="7"/>
  <c r="L26" i="7" l="1"/>
  <c r="J26" i="7"/>
  <c r="H26" i="7"/>
  <c r="F26" i="7"/>
  <c r="M26" i="7"/>
  <c r="K26" i="7"/>
  <c r="I26" i="7"/>
  <c r="G26" i="7"/>
  <c r="O27" i="7" a="1"/>
  <c r="O27" i="7" s="1"/>
  <c r="N27" i="7"/>
  <c r="D27" i="7"/>
  <c r="P27" i="7"/>
  <c r="E28" i="7" a="1"/>
  <c r="E28" i="7" s="1"/>
  <c r="O28" i="7" l="1" a="1"/>
  <c r="O28" i="7" s="1"/>
  <c r="N28" i="7"/>
  <c r="D28" i="7"/>
  <c r="P28" i="7"/>
  <c r="E29" i="7" a="1"/>
  <c r="E29" i="7" s="1"/>
  <c r="J27" i="7"/>
  <c r="H27" i="7"/>
  <c r="F27" i="7"/>
  <c r="L27" i="7"/>
  <c r="M27" i="7"/>
  <c r="K27" i="7"/>
  <c r="I27" i="7"/>
  <c r="G27" i="7"/>
  <c r="H28" i="7" l="1"/>
  <c r="F28" i="7"/>
  <c r="L28" i="7"/>
  <c r="J28" i="7"/>
  <c r="M28" i="7"/>
  <c r="K28" i="7"/>
  <c r="I28" i="7"/>
  <c r="G28" i="7"/>
  <c r="N29" i="7"/>
  <c r="O29" i="7" a="1"/>
  <c r="O29" i="7" s="1"/>
  <c r="D29" i="7"/>
  <c r="P29" i="7"/>
  <c r="E30" i="7" a="1"/>
  <c r="E30" i="7" s="1"/>
  <c r="O30" i="7" l="1" a="1"/>
  <c r="O30" i="7" s="1"/>
  <c r="N30" i="7"/>
  <c r="D30" i="7"/>
  <c r="P30" i="7"/>
  <c r="E31" i="7" a="1"/>
  <c r="E31" i="7" s="1"/>
  <c r="F29" i="7"/>
  <c r="L29" i="7"/>
  <c r="J29" i="7"/>
  <c r="H29" i="7"/>
  <c r="K29" i="7"/>
  <c r="I29" i="7"/>
  <c r="G29" i="7"/>
  <c r="M29" i="7"/>
  <c r="L30" i="7" l="1"/>
  <c r="J30" i="7"/>
  <c r="H30" i="7"/>
  <c r="F30" i="7"/>
  <c r="I30" i="7"/>
  <c r="G30" i="7"/>
  <c r="M30" i="7"/>
  <c r="K30" i="7"/>
  <c r="O31" i="7" a="1"/>
  <c r="O31" i="7" s="1"/>
  <c r="N31" i="7"/>
  <c r="D31" i="7"/>
  <c r="P31" i="7"/>
  <c r="E32" i="7" a="1"/>
  <c r="E32" i="7" s="1"/>
  <c r="J31" i="7" l="1"/>
  <c r="H31" i="7"/>
  <c r="F31" i="7"/>
  <c r="L31" i="7"/>
  <c r="G31" i="7"/>
  <c r="M31" i="7"/>
  <c r="K31" i="7"/>
  <c r="I31" i="7"/>
  <c r="O32" i="7" a="1"/>
  <c r="O32" i="7" s="1"/>
  <c r="N32" i="7"/>
  <c r="D32" i="7"/>
  <c r="P32" i="7"/>
  <c r="E33" i="7" a="1"/>
  <c r="E33" i="7" s="1"/>
  <c r="H32" i="7" l="1"/>
  <c r="F32" i="7"/>
  <c r="L32" i="7"/>
  <c r="J32" i="7"/>
  <c r="M32" i="7"/>
  <c r="K32" i="7"/>
  <c r="I32" i="7"/>
  <c r="G32" i="7"/>
  <c r="N33" i="7"/>
  <c r="O33" i="7" a="1"/>
  <c r="O33" i="7" s="1"/>
  <c r="D33" i="7"/>
  <c r="P33" i="7"/>
  <c r="E34" i="7" a="1"/>
  <c r="E34" i="7" s="1"/>
  <c r="O34" i="7" l="1" a="1"/>
  <c r="O34" i="7" s="1"/>
  <c r="N34" i="7"/>
  <c r="P34" i="7"/>
  <c r="D34" i="7"/>
  <c r="E35" i="7" a="1"/>
  <c r="E35" i="7" s="1"/>
  <c r="F33" i="7"/>
  <c r="L33" i="7"/>
  <c r="J33" i="7"/>
  <c r="H33" i="7"/>
  <c r="M33" i="7"/>
  <c r="K33" i="7"/>
  <c r="I33" i="7"/>
  <c r="G33" i="7"/>
  <c r="O35" i="7" l="1" a="1"/>
  <c r="O35" i="7" s="1"/>
  <c r="N35" i="7"/>
  <c r="D35" i="7"/>
  <c r="P35" i="7"/>
  <c r="E36" i="7" a="1"/>
  <c r="E36" i="7" s="1"/>
  <c r="L34" i="7"/>
  <c r="J34" i="7"/>
  <c r="H34" i="7"/>
  <c r="F34" i="7"/>
  <c r="M34" i="7"/>
  <c r="K34" i="7"/>
  <c r="I34" i="7"/>
  <c r="G34" i="7"/>
  <c r="O36" i="7" l="1" a="1"/>
  <c r="O36" i="7" s="1"/>
  <c r="N36" i="7"/>
  <c r="D36" i="7"/>
  <c r="P36" i="7"/>
  <c r="E37" i="7" a="1"/>
  <c r="E37" i="7" s="1"/>
  <c r="J35" i="7"/>
  <c r="H35" i="7"/>
  <c r="F35" i="7"/>
  <c r="L35" i="7"/>
  <c r="M35" i="7"/>
  <c r="K35" i="7"/>
  <c r="I35" i="7"/>
  <c r="G35" i="7"/>
  <c r="H36" i="7" l="1"/>
  <c r="F36" i="7"/>
  <c r="L36" i="7"/>
  <c r="J36" i="7"/>
  <c r="M36" i="7"/>
  <c r="K36" i="7"/>
  <c r="I36" i="7"/>
  <c r="G36" i="7"/>
  <c r="N37" i="7"/>
  <c r="O37" i="7" a="1"/>
  <c r="O37" i="7" s="1"/>
  <c r="D37" i="7"/>
  <c r="P37" i="7"/>
  <c r="E38" i="7" a="1"/>
  <c r="E38" i="7" s="1"/>
  <c r="O38" i="7" l="1" a="1"/>
  <c r="O38" i="7" s="1"/>
  <c r="N38" i="7"/>
  <c r="D38" i="7"/>
  <c r="P38" i="7"/>
  <c r="E39" i="7" a="1"/>
  <c r="E39" i="7" s="1"/>
  <c r="F37" i="7"/>
  <c r="L37" i="7"/>
  <c r="J37" i="7"/>
  <c r="H37" i="7"/>
  <c r="K37" i="7"/>
  <c r="I37" i="7"/>
  <c r="G37" i="7"/>
  <c r="M37" i="7"/>
  <c r="O39" i="7" l="1" a="1"/>
  <c r="O39" i="7" s="1"/>
  <c r="N39" i="7"/>
  <c r="D39" i="7"/>
  <c r="P39" i="7"/>
  <c r="E40" i="7" a="1"/>
  <c r="E40" i="7" s="1"/>
  <c r="L38" i="7"/>
  <c r="J38" i="7"/>
  <c r="H38" i="7"/>
  <c r="F38" i="7"/>
  <c r="I38" i="7"/>
  <c r="G38" i="7"/>
  <c r="M38" i="7"/>
  <c r="K38" i="7"/>
  <c r="J39" i="7" l="1"/>
  <c r="H39" i="7"/>
  <c r="F39" i="7"/>
  <c r="L39" i="7"/>
  <c r="G39" i="7"/>
  <c r="M39" i="7"/>
  <c r="K39" i="7"/>
  <c r="I39" i="7"/>
  <c r="O40" i="7" a="1"/>
  <c r="O40" i="7" s="1"/>
  <c r="N40" i="7"/>
  <c r="D40" i="7"/>
  <c r="P40" i="7"/>
  <c r="E41" i="7" a="1"/>
  <c r="E41" i="7" s="1"/>
  <c r="N41" i="7" l="1"/>
  <c r="O41" i="7" a="1"/>
  <c r="O41" i="7" s="1"/>
  <c r="D41" i="7"/>
  <c r="P41" i="7"/>
  <c r="E42" i="7" a="1"/>
  <c r="E42" i="7" s="1"/>
  <c r="H40" i="7"/>
  <c r="F40" i="7"/>
  <c r="L40" i="7"/>
  <c r="J40" i="7"/>
  <c r="M40" i="7"/>
  <c r="K40" i="7"/>
  <c r="I40" i="7"/>
  <c r="G40" i="7"/>
  <c r="O42" i="7" l="1" a="1"/>
  <c r="O42" i="7" s="1"/>
  <c r="N42" i="7"/>
  <c r="P42" i="7"/>
  <c r="D42" i="7"/>
  <c r="E43" i="7" a="1"/>
  <c r="E43" i="7" s="1"/>
  <c r="F41" i="7"/>
  <c r="L41" i="7"/>
  <c r="J41" i="7"/>
  <c r="H41" i="7"/>
  <c r="M41" i="7"/>
  <c r="K41" i="7"/>
  <c r="I41" i="7"/>
  <c r="G41" i="7"/>
  <c r="L42" i="7" l="1"/>
  <c r="J42" i="7"/>
  <c r="H42" i="7"/>
  <c r="F42" i="7"/>
  <c r="M42" i="7"/>
  <c r="K42" i="7"/>
  <c r="I42" i="7"/>
  <c r="G42" i="7"/>
  <c r="O43" i="7" a="1"/>
  <c r="O43" i="7" s="1"/>
  <c r="N43" i="7"/>
  <c r="D43" i="7"/>
  <c r="P43" i="7"/>
  <c r="E44" i="7" a="1"/>
  <c r="E44" i="7" s="1"/>
  <c r="J43" i="7" l="1"/>
  <c r="H43" i="7"/>
  <c r="F43" i="7"/>
  <c r="L43" i="7"/>
  <c r="M43" i="7"/>
  <c r="K43" i="7"/>
  <c r="I43" i="7"/>
  <c r="G43" i="7"/>
  <c r="O44" i="7" a="1"/>
  <c r="O44" i="7" s="1"/>
  <c r="N44" i="7"/>
  <c r="D44" i="7"/>
  <c r="P44" i="7"/>
  <c r="E45" i="7" a="1"/>
  <c r="E45" i="7" s="1"/>
  <c r="H44" i="7" l="1"/>
  <c r="G44" i="7"/>
  <c r="F44" i="7"/>
  <c r="L44" i="7"/>
  <c r="J44" i="7"/>
  <c r="M44" i="7"/>
  <c r="K44" i="7"/>
  <c r="I44" i="7"/>
  <c r="N45" i="7"/>
  <c r="D45" i="7"/>
  <c r="O45" i="7" a="1"/>
  <c r="O45" i="7" s="1"/>
  <c r="P45" i="7"/>
  <c r="E46" i="7" a="1"/>
  <c r="E46" i="7" s="1"/>
  <c r="D46" i="7" l="1"/>
  <c r="P46" i="7"/>
  <c r="O46" i="7" a="1"/>
  <c r="O46" i="7" s="1"/>
  <c r="N46" i="7"/>
  <c r="E47" i="7" a="1"/>
  <c r="E47" i="7" s="1"/>
  <c r="F45" i="7"/>
  <c r="M45" i="7"/>
  <c r="L45" i="7"/>
  <c r="K45" i="7"/>
  <c r="J45" i="7"/>
  <c r="H45" i="7"/>
  <c r="G45" i="7"/>
  <c r="I45" i="7"/>
  <c r="P47" i="7" l="1"/>
  <c r="O47" i="7" a="1"/>
  <c r="O47" i="7" s="1"/>
  <c r="N47" i="7"/>
  <c r="D47" i="7"/>
  <c r="E48" i="7" a="1"/>
  <c r="E48" i="7" s="1"/>
  <c r="L46" i="7"/>
  <c r="K46" i="7"/>
  <c r="J46" i="7"/>
  <c r="I46" i="7"/>
  <c r="H46" i="7"/>
  <c r="G46" i="7"/>
  <c r="F46" i="7"/>
  <c r="M46" i="7"/>
  <c r="O48" i="7" l="1" a="1"/>
  <c r="O48" i="7" s="1"/>
  <c r="N48" i="7"/>
  <c r="D48" i="7"/>
  <c r="P48" i="7"/>
  <c r="E49" i="7" a="1"/>
  <c r="E49" i="7" s="1"/>
  <c r="J47" i="7"/>
  <c r="I47" i="7"/>
  <c r="H47" i="7"/>
  <c r="G47" i="7"/>
  <c r="F47" i="7"/>
  <c r="M47" i="7"/>
  <c r="L47" i="7"/>
  <c r="K47" i="7"/>
  <c r="H48" i="7" l="1"/>
  <c r="G48" i="7"/>
  <c r="F48" i="7"/>
  <c r="M48" i="7"/>
  <c r="L48" i="7"/>
  <c r="K48" i="7"/>
  <c r="J48" i="7"/>
  <c r="I48" i="7"/>
  <c r="N49" i="7"/>
  <c r="D49" i="7"/>
  <c r="P49" i="7"/>
  <c r="O49" i="7" a="1"/>
  <c r="O49" i="7" s="1"/>
  <c r="E50" i="7" a="1"/>
  <c r="E50" i="7" s="1"/>
  <c r="D50" i="7" l="1"/>
  <c r="P50" i="7"/>
  <c r="O50" i="7" a="1"/>
  <c r="O50" i="7" s="1"/>
  <c r="N50" i="7"/>
  <c r="E51" i="7" a="1"/>
  <c r="E51" i="7" s="1"/>
  <c r="F49" i="7"/>
  <c r="M49" i="7"/>
  <c r="L49" i="7"/>
  <c r="K49" i="7"/>
  <c r="J49" i="7"/>
  <c r="I49" i="7"/>
  <c r="H49" i="7"/>
  <c r="G49" i="7"/>
  <c r="P51" i="7" l="1"/>
  <c r="O51" i="7" a="1"/>
  <c r="O51" i="7" s="1"/>
  <c r="N51" i="7"/>
  <c r="D51" i="7"/>
  <c r="E52" i="7" a="1"/>
  <c r="E52" i="7" s="1"/>
  <c r="L50" i="7"/>
  <c r="K50" i="7"/>
  <c r="J50" i="7"/>
  <c r="I50" i="7"/>
  <c r="H50" i="7"/>
  <c r="G50" i="7"/>
  <c r="F50" i="7"/>
  <c r="M50" i="7"/>
  <c r="O52" i="7" l="1" a="1"/>
  <c r="O52" i="7" s="1"/>
  <c r="N52" i="7"/>
  <c r="D52" i="7"/>
  <c r="P52" i="7"/>
  <c r="E53" i="7" a="1"/>
  <c r="E53" i="7" s="1"/>
  <c r="J51" i="7"/>
  <c r="I51" i="7"/>
  <c r="H51" i="7"/>
  <c r="G51" i="7"/>
  <c r="F51" i="7"/>
  <c r="M51" i="7"/>
  <c r="L51" i="7"/>
  <c r="K51" i="7"/>
  <c r="O53" i="7" l="1" a="1"/>
  <c r="O53" i="7" s="1"/>
  <c r="P53" i="7"/>
  <c r="N53" i="7"/>
  <c r="D53" i="7"/>
  <c r="E54" i="7" a="1"/>
  <c r="E54" i="7" s="1"/>
  <c r="H52" i="7"/>
  <c r="G52" i="7"/>
  <c r="F52" i="7"/>
  <c r="M52" i="7"/>
  <c r="L52" i="7"/>
  <c r="K52" i="7"/>
  <c r="J52" i="7"/>
  <c r="I52" i="7"/>
  <c r="N54" i="7" l="1"/>
  <c r="D54" i="7"/>
  <c r="P54" i="7"/>
  <c r="O54" i="7" a="1"/>
  <c r="O54" i="7" s="1"/>
  <c r="E55" i="7" a="1"/>
  <c r="E55" i="7" s="1"/>
  <c r="H53" i="7"/>
  <c r="J53" i="7"/>
  <c r="I53" i="7"/>
  <c r="G53" i="7"/>
  <c r="F53" i="7"/>
  <c r="M53" i="7"/>
  <c r="L53" i="7"/>
  <c r="K53" i="7"/>
  <c r="F54" i="7" l="1"/>
  <c r="L54" i="7"/>
  <c r="K54" i="7"/>
  <c r="J54" i="7"/>
  <c r="I54" i="7"/>
  <c r="H54" i="7"/>
  <c r="G54" i="7"/>
  <c r="M54" i="7"/>
  <c r="N55" i="7"/>
  <c r="D55" i="7"/>
  <c r="P55" i="7"/>
  <c r="O55" i="7" a="1"/>
  <c r="O55" i="7" s="1"/>
  <c r="E56" i="7" a="1"/>
  <c r="E56" i="7" s="1"/>
  <c r="P56" i="7" l="1"/>
  <c r="O56" i="7" a="1"/>
  <c r="O56" i="7" s="1"/>
  <c r="N56" i="7"/>
  <c r="D56" i="7"/>
  <c r="E57" i="7" a="1"/>
  <c r="E57" i="7" s="1"/>
  <c r="L55" i="7"/>
  <c r="F55" i="7"/>
  <c r="M55" i="7"/>
  <c r="K55" i="7"/>
  <c r="J55" i="7"/>
  <c r="I55" i="7"/>
  <c r="H55" i="7"/>
  <c r="G55" i="7"/>
  <c r="O57" i="7" l="1" a="1"/>
  <c r="O57" i="7" s="1"/>
  <c r="P57" i="7"/>
  <c r="N57" i="7"/>
  <c r="D57" i="7"/>
  <c r="E58" i="7" a="1"/>
  <c r="E58" i="7" s="1"/>
  <c r="J56" i="7"/>
  <c r="H56" i="7"/>
  <c r="G56" i="7"/>
  <c r="F56" i="7"/>
  <c r="M56" i="7"/>
  <c r="L56" i="7"/>
  <c r="K56" i="7"/>
  <c r="I56" i="7"/>
  <c r="N58" i="7" l="1"/>
  <c r="D58" i="7"/>
  <c r="P58" i="7"/>
  <c r="O58" i="7" a="1"/>
  <c r="O58" i="7" s="1"/>
  <c r="E59" i="7" a="1"/>
  <c r="E59" i="7" s="1"/>
  <c r="H57" i="7"/>
  <c r="K57" i="7"/>
  <c r="J57" i="7"/>
  <c r="I57" i="7"/>
  <c r="G57" i="7"/>
  <c r="F57" i="7"/>
  <c r="M57" i="7"/>
  <c r="L57" i="7"/>
  <c r="O59" i="7" l="1" a="1"/>
  <c r="O59" i="7" s="1"/>
  <c r="N59" i="7"/>
  <c r="D59" i="7"/>
  <c r="P59" i="7"/>
  <c r="E60" i="7" a="1"/>
  <c r="E60" i="7" s="1"/>
  <c r="F58" i="7"/>
  <c r="M58" i="7"/>
  <c r="L58" i="7"/>
  <c r="K58" i="7"/>
  <c r="J58" i="7"/>
  <c r="I58" i="7"/>
  <c r="H58" i="7"/>
  <c r="G58" i="7"/>
  <c r="P60" i="7" l="1"/>
  <c r="O60" i="7" a="1"/>
  <c r="O60" i="7" s="1"/>
  <c r="N60" i="7"/>
  <c r="D60" i="7"/>
  <c r="E61" i="7" a="1"/>
  <c r="E61" i="7" s="1"/>
  <c r="L59" i="7"/>
  <c r="G59" i="7"/>
  <c r="F59" i="7"/>
  <c r="M59" i="7"/>
  <c r="K59" i="7"/>
  <c r="J59" i="7"/>
  <c r="I59" i="7"/>
  <c r="H59" i="7"/>
  <c r="O61" i="7" l="1" a="1"/>
  <c r="O61" i="7" s="1"/>
  <c r="P61" i="7"/>
  <c r="N61" i="7"/>
  <c r="D61" i="7"/>
  <c r="E62" i="7" a="1"/>
  <c r="E62" i="7" s="1"/>
  <c r="J60" i="7"/>
  <c r="I60" i="7"/>
  <c r="H60" i="7"/>
  <c r="G60" i="7"/>
  <c r="F60" i="7"/>
  <c r="M60" i="7"/>
  <c r="L60" i="7"/>
  <c r="K60" i="7"/>
  <c r="N62" i="7" l="1"/>
  <c r="O62" i="7" a="1"/>
  <c r="O62" i="7" s="1"/>
  <c r="D62" i="7"/>
  <c r="P62" i="7"/>
  <c r="E63" i="7" a="1"/>
  <c r="E63" i="7" s="1"/>
  <c r="L61" i="7"/>
  <c r="H61" i="7"/>
  <c r="G61" i="7"/>
  <c r="F61" i="7"/>
  <c r="M61" i="7"/>
  <c r="K61" i="7"/>
  <c r="J61" i="7"/>
  <c r="I61" i="7"/>
  <c r="O63" i="7" l="1" a="1"/>
  <c r="O63" i="7" s="1"/>
  <c r="N63" i="7"/>
  <c r="D63" i="7"/>
  <c r="P63" i="7"/>
  <c r="E64" i="7" a="1"/>
  <c r="E64" i="7" s="1"/>
  <c r="J62" i="7"/>
  <c r="F62" i="7"/>
  <c r="M62" i="7"/>
  <c r="L62" i="7"/>
  <c r="K62" i="7"/>
  <c r="I62" i="7"/>
  <c r="H62" i="7"/>
  <c r="G62" i="7"/>
  <c r="N64" i="7" l="1"/>
  <c r="P64" i="7"/>
  <c r="O64" i="7" a="1"/>
  <c r="O64" i="7" s="1"/>
  <c r="D64" i="7"/>
  <c r="E65" i="7" a="1"/>
  <c r="E65" i="7" s="1"/>
  <c r="H63" i="7"/>
  <c r="L63" i="7"/>
  <c r="M63" i="7"/>
  <c r="K63" i="7"/>
  <c r="J63" i="7"/>
  <c r="I63" i="7"/>
  <c r="G63" i="7"/>
  <c r="F63" i="7"/>
  <c r="O65" i="7" l="1" a="1"/>
  <c r="O65" i="7" s="1"/>
  <c r="P65" i="7"/>
  <c r="D65" i="7"/>
  <c r="N65" i="7"/>
  <c r="E66" i="7" a="1"/>
  <c r="E66" i="7" s="1"/>
  <c r="F64" i="7"/>
  <c r="J64" i="7"/>
  <c r="L64" i="7"/>
  <c r="K64" i="7"/>
  <c r="I64" i="7"/>
  <c r="H64" i="7"/>
  <c r="G64" i="7"/>
  <c r="M64" i="7"/>
  <c r="L65" i="7" l="1"/>
  <c r="J65" i="7"/>
  <c r="H65" i="7"/>
  <c r="M65" i="7"/>
  <c r="K65" i="7"/>
  <c r="I65" i="7"/>
  <c r="G65" i="7"/>
  <c r="F65" i="7"/>
  <c r="O66" i="7" a="1"/>
  <c r="O66" i="7" s="1"/>
  <c r="N66" i="7"/>
  <c r="P66" i="7"/>
  <c r="D66" i="7"/>
  <c r="E67" i="7" a="1"/>
  <c r="E67" i="7" s="1"/>
  <c r="O67" i="7" l="1" a="1"/>
  <c r="O67" i="7" s="1"/>
  <c r="N67" i="7"/>
  <c r="P67" i="7"/>
  <c r="D67" i="7"/>
  <c r="E68" i="7" a="1"/>
  <c r="E68" i="7" s="1"/>
  <c r="J66" i="7"/>
  <c r="H66" i="7"/>
  <c r="F66" i="7"/>
  <c r="M66" i="7"/>
  <c r="L66" i="7"/>
  <c r="K66" i="7"/>
  <c r="I66" i="7"/>
  <c r="G66" i="7"/>
  <c r="N68" i="7" l="1"/>
  <c r="P68" i="7"/>
  <c r="O68" i="7" a="1"/>
  <c r="O68" i="7" s="1"/>
  <c r="D68" i="7"/>
  <c r="E69" i="7" a="1"/>
  <c r="E69" i="7" s="1"/>
  <c r="H67" i="7"/>
  <c r="F67" i="7"/>
  <c r="L67" i="7"/>
  <c r="I67" i="7"/>
  <c r="G67" i="7"/>
  <c r="M67" i="7"/>
  <c r="K67" i="7"/>
  <c r="J67" i="7"/>
  <c r="O69" i="7" l="1" a="1"/>
  <c r="O69" i="7" s="1"/>
  <c r="P69" i="7"/>
  <c r="D69" i="7"/>
  <c r="N69" i="7"/>
  <c r="E70" i="7" a="1"/>
  <c r="E70" i="7" s="1"/>
  <c r="F68" i="7"/>
  <c r="L68" i="7"/>
  <c r="J68" i="7"/>
  <c r="M68" i="7"/>
  <c r="K68" i="7"/>
  <c r="I68" i="7"/>
  <c r="H68" i="7"/>
  <c r="G68" i="7"/>
  <c r="L69" i="7" l="1"/>
  <c r="J69" i="7"/>
  <c r="H69" i="7"/>
  <c r="M69" i="7"/>
  <c r="K69" i="7"/>
  <c r="I69" i="7"/>
  <c r="G69" i="7"/>
  <c r="F69" i="7"/>
  <c r="O70" i="7" a="1"/>
  <c r="O70" i="7" s="1"/>
  <c r="N70" i="7"/>
  <c r="P70" i="7"/>
  <c r="D70" i="7"/>
  <c r="E71" i="7" a="1"/>
  <c r="E71" i="7" s="1"/>
  <c r="O71" i="7" l="1" a="1"/>
  <c r="O71" i="7" s="1"/>
  <c r="N71" i="7"/>
  <c r="D71" i="7"/>
  <c r="P71" i="7"/>
  <c r="E72" i="7" a="1"/>
  <c r="E72" i="7" s="1"/>
  <c r="L70" i="7"/>
  <c r="J70" i="7"/>
  <c r="H70" i="7"/>
  <c r="F70" i="7"/>
  <c r="M70" i="7"/>
  <c r="K70" i="7"/>
  <c r="I70" i="7"/>
  <c r="G70" i="7"/>
  <c r="O72" i="7" l="1" a="1"/>
  <c r="O72" i="7" s="1"/>
  <c r="N72" i="7"/>
  <c r="D72" i="7"/>
  <c r="P72" i="7"/>
  <c r="E73" i="7" a="1"/>
  <c r="E73" i="7" s="1"/>
  <c r="J71" i="7"/>
  <c r="H71" i="7"/>
  <c r="F71" i="7"/>
  <c r="L71" i="7"/>
  <c r="M71" i="7"/>
  <c r="K71" i="7"/>
  <c r="I71" i="7"/>
  <c r="G71" i="7"/>
  <c r="N73" i="7" l="1"/>
  <c r="O73" i="7" a="1"/>
  <c r="O73" i="7" s="1"/>
  <c r="D73" i="7"/>
  <c r="P73" i="7"/>
  <c r="E74" i="7" a="1"/>
  <c r="E74" i="7" s="1"/>
  <c r="H72" i="7"/>
  <c r="F72" i="7"/>
  <c r="L72" i="7"/>
  <c r="J72" i="7"/>
  <c r="M72" i="7"/>
  <c r="K72" i="7"/>
  <c r="I72" i="7"/>
  <c r="G72" i="7"/>
  <c r="O74" i="7" l="1" a="1"/>
  <c r="O74" i="7" s="1"/>
  <c r="N74" i="7"/>
  <c r="D74" i="7"/>
  <c r="P74" i="7"/>
  <c r="E75" i="7" a="1"/>
  <c r="E75" i="7" s="1"/>
  <c r="F73" i="7"/>
  <c r="L73" i="7"/>
  <c r="J73" i="7"/>
  <c r="H73" i="7"/>
  <c r="K73" i="7"/>
  <c r="I73" i="7"/>
  <c r="G73" i="7"/>
  <c r="M73" i="7"/>
  <c r="O75" i="7" l="1" a="1"/>
  <c r="O75" i="7" s="1"/>
  <c r="N75" i="7"/>
  <c r="D75" i="7"/>
  <c r="P75" i="7"/>
  <c r="E76" i="7" a="1"/>
  <c r="E76" i="7" s="1"/>
  <c r="L74" i="7"/>
  <c r="J74" i="7"/>
  <c r="H74" i="7"/>
  <c r="F74" i="7"/>
  <c r="I74" i="7"/>
  <c r="G74" i="7"/>
  <c r="M74" i="7"/>
  <c r="K74" i="7"/>
  <c r="O76" i="7" l="1" a="1"/>
  <c r="O76" i="7" s="1"/>
  <c r="N76" i="7"/>
  <c r="D76" i="7"/>
  <c r="P76" i="7"/>
  <c r="E77" i="7" a="1"/>
  <c r="E77" i="7" s="1"/>
  <c r="J75" i="7"/>
  <c r="H75" i="7"/>
  <c r="F75" i="7"/>
  <c r="L75" i="7"/>
  <c r="G75" i="7"/>
  <c r="M75" i="7"/>
  <c r="K75" i="7"/>
  <c r="I75" i="7"/>
  <c r="N77" i="7" l="1"/>
  <c r="O77" i="7" a="1"/>
  <c r="O77" i="7" s="1"/>
  <c r="D77" i="7"/>
  <c r="P77" i="7"/>
  <c r="E78" i="7" a="1"/>
  <c r="E78" i="7" s="1"/>
  <c r="H76" i="7"/>
  <c r="F76" i="7"/>
  <c r="L76" i="7"/>
  <c r="J76" i="7"/>
  <c r="M76" i="7"/>
  <c r="K76" i="7"/>
  <c r="I76" i="7"/>
  <c r="G76" i="7"/>
  <c r="O78" i="7" l="1" a="1"/>
  <c r="O78" i="7" s="1"/>
  <c r="N78" i="7"/>
  <c r="P78" i="7"/>
  <c r="D78" i="7"/>
  <c r="E79" i="7" a="1"/>
  <c r="E79" i="7" s="1"/>
  <c r="F77" i="7"/>
  <c r="L77" i="7"/>
  <c r="J77" i="7"/>
  <c r="H77" i="7"/>
  <c r="M77" i="7"/>
  <c r="K77" i="7"/>
  <c r="I77" i="7"/>
  <c r="G77" i="7"/>
  <c r="O79" i="7" l="1" a="1"/>
  <c r="O79" i="7" s="1"/>
  <c r="N79" i="7"/>
  <c r="D79" i="7"/>
  <c r="P79" i="7"/>
  <c r="E80" i="7" a="1"/>
  <c r="E80" i="7" s="1"/>
  <c r="L78" i="7"/>
  <c r="J78" i="7"/>
  <c r="H78" i="7"/>
  <c r="F78" i="7"/>
  <c r="M78" i="7"/>
  <c r="K78" i="7"/>
  <c r="I78" i="7"/>
  <c r="G78" i="7"/>
  <c r="O80" i="7" l="1" a="1"/>
  <c r="O80" i="7" s="1"/>
  <c r="N80" i="7"/>
  <c r="D80" i="7"/>
  <c r="P80" i="7"/>
  <c r="E81" i="7" a="1"/>
  <c r="E81" i="7" s="1"/>
  <c r="J79" i="7"/>
  <c r="H79" i="7"/>
  <c r="F79" i="7"/>
  <c r="L79" i="7"/>
  <c r="M79" i="7"/>
  <c r="K79" i="7"/>
  <c r="I79" i="7"/>
  <c r="G79" i="7"/>
  <c r="N81" i="7" l="1"/>
  <c r="O81" i="7" a="1"/>
  <c r="O81" i="7" s="1"/>
  <c r="D81" i="7"/>
  <c r="P81" i="7"/>
  <c r="E82" i="7" a="1"/>
  <c r="E82" i="7" s="1"/>
  <c r="H80" i="7"/>
  <c r="F80" i="7"/>
  <c r="L80" i="7"/>
  <c r="J80" i="7"/>
  <c r="M80" i="7"/>
  <c r="K80" i="7"/>
  <c r="I80" i="7"/>
  <c r="G80" i="7"/>
  <c r="O82" i="7" l="1" a="1"/>
  <c r="O82" i="7" s="1"/>
  <c r="N82" i="7"/>
  <c r="D82" i="7"/>
  <c r="P82" i="7"/>
  <c r="E83" i="7" a="1"/>
  <c r="E83" i="7" s="1"/>
  <c r="F81" i="7"/>
  <c r="L81" i="7"/>
  <c r="J81" i="7"/>
  <c r="H81" i="7"/>
  <c r="K81" i="7"/>
  <c r="I81" i="7"/>
  <c r="G81" i="7"/>
  <c r="M81" i="7"/>
  <c r="O83" i="7" l="1" a="1"/>
  <c r="O83" i="7" s="1"/>
  <c r="N83" i="7"/>
  <c r="D83" i="7"/>
  <c r="P83" i="7"/>
  <c r="E84" i="7" a="1"/>
  <c r="E84" i="7" s="1"/>
  <c r="L82" i="7"/>
  <c r="J82" i="7"/>
  <c r="H82" i="7"/>
  <c r="F82" i="7"/>
  <c r="I82" i="7"/>
  <c r="G82" i="7"/>
  <c r="M82" i="7"/>
  <c r="K82" i="7"/>
  <c r="O84" i="7" l="1" a="1"/>
  <c r="O84" i="7" s="1"/>
  <c r="N84" i="7"/>
  <c r="D84" i="7"/>
  <c r="P84" i="7"/>
  <c r="E85" i="7" a="1"/>
  <c r="E85" i="7" s="1"/>
  <c r="J83" i="7"/>
  <c r="H83" i="7"/>
  <c r="F83" i="7"/>
  <c r="L83" i="7"/>
  <c r="G83" i="7"/>
  <c r="M83" i="7"/>
  <c r="K83" i="7"/>
  <c r="I83" i="7"/>
  <c r="N85" i="7" l="1"/>
  <c r="D85" i="7"/>
  <c r="O85" i="7" a="1"/>
  <c r="O85" i="7" s="1"/>
  <c r="P85" i="7"/>
  <c r="E86" i="7" a="1"/>
  <c r="E86" i="7" s="1"/>
  <c r="H84" i="7"/>
  <c r="F84" i="7"/>
  <c r="M84" i="7"/>
  <c r="L84" i="7"/>
  <c r="J84" i="7"/>
  <c r="I84" i="7"/>
  <c r="G84" i="7"/>
  <c r="K84" i="7"/>
  <c r="D86" i="7" l="1"/>
  <c r="P86" i="7"/>
  <c r="O86" i="7" a="1"/>
  <c r="O86" i="7" s="1"/>
  <c r="N86" i="7"/>
  <c r="E87" i="7" a="1"/>
  <c r="E87" i="7" s="1"/>
  <c r="G85" i="7"/>
  <c r="F85" i="7"/>
  <c r="M85" i="7"/>
  <c r="L85" i="7"/>
  <c r="K85" i="7"/>
  <c r="J85" i="7"/>
  <c r="H85" i="7"/>
  <c r="I85" i="7"/>
  <c r="M86" i="7" l="1"/>
  <c r="L86" i="7"/>
  <c r="K86" i="7"/>
  <c r="J86" i="7"/>
  <c r="I86" i="7"/>
  <c r="H86" i="7"/>
  <c r="F86" i="7"/>
  <c r="G86" i="7"/>
  <c r="D87" i="7"/>
  <c r="P87" i="7"/>
  <c r="O87" i="7" a="1"/>
  <c r="O87" i="7" s="1"/>
  <c r="N87" i="7"/>
  <c r="E88" i="7" a="1"/>
  <c r="E88" i="7" s="1"/>
  <c r="P88" i="7" l="1"/>
  <c r="O88" i="7" a="1"/>
  <c r="O88" i="7" s="1"/>
  <c r="N88" i="7"/>
  <c r="D88" i="7"/>
  <c r="E89" i="7" a="1"/>
  <c r="E89" i="7" s="1"/>
  <c r="K87" i="7"/>
  <c r="J87" i="7"/>
  <c r="I87" i="7"/>
  <c r="H87" i="7"/>
  <c r="G87" i="7"/>
  <c r="F87" i="7"/>
  <c r="L87" i="7"/>
  <c r="M87" i="7"/>
  <c r="N89" i="7" l="1"/>
  <c r="D89" i="7"/>
  <c r="O89" i="7" a="1"/>
  <c r="O89" i="7" s="1"/>
  <c r="P89" i="7"/>
  <c r="E90" i="7" a="1"/>
  <c r="E90" i="7" s="1"/>
  <c r="I88" i="7"/>
  <c r="H88" i="7"/>
  <c r="G88" i="7"/>
  <c r="F88" i="7"/>
  <c r="M88" i="7"/>
  <c r="L88" i="7"/>
  <c r="J88" i="7"/>
  <c r="K88" i="7"/>
  <c r="D90" i="7" l="1"/>
  <c r="P90" i="7"/>
  <c r="O90" i="7" a="1"/>
  <c r="O90" i="7" s="1"/>
  <c r="N90" i="7"/>
  <c r="E91" i="7" a="1"/>
  <c r="E91" i="7" s="1"/>
  <c r="G89" i="7"/>
  <c r="F89" i="7"/>
  <c r="M89" i="7"/>
  <c r="L89" i="7"/>
  <c r="K89" i="7"/>
  <c r="J89" i="7"/>
  <c r="H89" i="7"/>
  <c r="I89" i="7"/>
  <c r="D91" i="7" l="1"/>
  <c r="P91" i="7"/>
  <c r="O91" i="7" a="1"/>
  <c r="O91" i="7" s="1"/>
  <c r="N91" i="7"/>
  <c r="E92" i="7" a="1"/>
  <c r="E92" i="7" s="1"/>
  <c r="M90" i="7"/>
  <c r="L90" i="7"/>
  <c r="K90" i="7"/>
  <c r="J90" i="7"/>
  <c r="I90" i="7"/>
  <c r="H90" i="7"/>
  <c r="F90" i="7"/>
  <c r="G90" i="7"/>
  <c r="P92" i="7" l="1"/>
  <c r="O92" i="7" a="1"/>
  <c r="O92" i="7" s="1"/>
  <c r="N92" i="7"/>
  <c r="D92" i="7"/>
  <c r="E93" i="7" a="1"/>
  <c r="E93" i="7" s="1"/>
  <c r="K91" i="7"/>
  <c r="J91" i="7"/>
  <c r="I91" i="7"/>
  <c r="H91" i="7"/>
  <c r="G91" i="7"/>
  <c r="F91" i="7"/>
  <c r="L91" i="7"/>
  <c r="M91" i="7"/>
  <c r="N93" i="7" l="1"/>
  <c r="D93" i="7"/>
  <c r="O93" i="7" a="1"/>
  <c r="O93" i="7" s="1"/>
  <c r="P93" i="7"/>
  <c r="E94" i="7" a="1"/>
  <c r="E94" i="7" s="1"/>
  <c r="I92" i="7"/>
  <c r="H92" i="7"/>
  <c r="G92" i="7"/>
  <c r="F92" i="7"/>
  <c r="M92" i="7"/>
  <c r="L92" i="7"/>
  <c r="J92" i="7"/>
  <c r="K92" i="7"/>
  <c r="D94" i="7" l="1"/>
  <c r="P94" i="7"/>
  <c r="O94" i="7" a="1"/>
  <c r="O94" i="7" s="1"/>
  <c r="N94" i="7"/>
  <c r="E95" i="7" a="1"/>
  <c r="E95" i="7" s="1"/>
  <c r="G93" i="7"/>
  <c r="F93" i="7"/>
  <c r="M93" i="7"/>
  <c r="L93" i="7"/>
  <c r="K93" i="7"/>
  <c r="J93" i="7"/>
  <c r="H93" i="7"/>
  <c r="I93" i="7"/>
  <c r="D95" i="7" l="1"/>
  <c r="P95" i="7"/>
  <c r="O95" i="7" a="1"/>
  <c r="O95" i="7" s="1"/>
  <c r="N95" i="7"/>
  <c r="E96" i="7" a="1"/>
  <c r="E96" i="7" s="1"/>
  <c r="M94" i="7"/>
  <c r="L94" i="7"/>
  <c r="K94" i="7"/>
  <c r="J94" i="7"/>
  <c r="I94" i="7"/>
  <c r="H94" i="7"/>
  <c r="F94" i="7"/>
  <c r="G94" i="7"/>
  <c r="P96" i="7" l="1"/>
  <c r="O96" i="7" a="1"/>
  <c r="O96" i="7" s="1"/>
  <c r="N96" i="7"/>
  <c r="D96" i="7"/>
  <c r="E97" i="7" a="1"/>
  <c r="E97" i="7" s="1"/>
  <c r="K95" i="7"/>
  <c r="J95" i="7"/>
  <c r="I95" i="7"/>
  <c r="H95" i="7"/>
  <c r="G95" i="7"/>
  <c r="F95" i="7"/>
  <c r="L95" i="7"/>
  <c r="M95" i="7"/>
  <c r="N97" i="7" l="1"/>
  <c r="D97" i="7"/>
  <c r="O97" i="7" a="1"/>
  <c r="O97" i="7" s="1"/>
  <c r="P97" i="7"/>
  <c r="E98" i="7" a="1"/>
  <c r="E98" i="7" s="1"/>
  <c r="I96" i="7"/>
  <c r="H96" i="7"/>
  <c r="G96" i="7"/>
  <c r="F96" i="7"/>
  <c r="M96" i="7"/>
  <c r="L96" i="7"/>
  <c r="J96" i="7"/>
  <c r="K96" i="7"/>
  <c r="D98" i="7" l="1"/>
  <c r="P98" i="7"/>
  <c r="O98" i="7" a="1"/>
  <c r="O98" i="7" s="1"/>
  <c r="N98" i="7"/>
  <c r="E99" i="7" a="1"/>
  <c r="E99" i="7" s="1"/>
  <c r="G97" i="7"/>
  <c r="F97" i="7"/>
  <c r="M97" i="7"/>
  <c r="L97" i="7"/>
  <c r="K97" i="7"/>
  <c r="J97" i="7"/>
  <c r="H97" i="7"/>
  <c r="I97" i="7"/>
  <c r="D99" i="7" l="1"/>
  <c r="P99" i="7"/>
  <c r="O99" i="7" a="1"/>
  <c r="O99" i="7" s="1"/>
  <c r="N99" i="7"/>
  <c r="E100" i="7" a="1"/>
  <c r="E100" i="7" s="1"/>
  <c r="M98" i="7"/>
  <c r="L98" i="7"/>
  <c r="K98" i="7"/>
  <c r="J98" i="7"/>
  <c r="I98" i="7"/>
  <c r="H98" i="7"/>
  <c r="F98" i="7"/>
  <c r="G98" i="7"/>
  <c r="D100" i="7" l="1"/>
  <c r="P100" i="7"/>
  <c r="O100" i="7" a="1"/>
  <c r="O100" i="7" s="1"/>
  <c r="N100" i="7"/>
  <c r="E101" i="7" a="1"/>
  <c r="E101" i="7" s="1"/>
  <c r="K99" i="7"/>
  <c r="J99" i="7"/>
  <c r="I99" i="7"/>
  <c r="H99" i="7"/>
  <c r="G99" i="7"/>
  <c r="F99" i="7"/>
  <c r="M99" i="7"/>
  <c r="L99" i="7"/>
  <c r="D101" i="7" l="1"/>
  <c r="P101" i="7"/>
  <c r="O101" i="7" a="1"/>
  <c r="O101" i="7" s="1"/>
  <c r="N101" i="7"/>
  <c r="E102" i="7" a="1"/>
  <c r="E102" i="7" s="1"/>
  <c r="L100" i="7"/>
  <c r="K100" i="7"/>
  <c r="J100" i="7"/>
  <c r="I100" i="7"/>
  <c r="H100" i="7"/>
  <c r="G100" i="7"/>
  <c r="F100" i="7"/>
  <c r="M100" i="7"/>
  <c r="P102" i="7" l="1"/>
  <c r="O102" i="7" a="1"/>
  <c r="O102" i="7" s="1"/>
  <c r="N102" i="7"/>
  <c r="D102" i="7"/>
  <c r="E103" i="7" a="1"/>
  <c r="E103" i="7" s="1"/>
  <c r="J101" i="7"/>
  <c r="M101" i="7"/>
  <c r="L101" i="7"/>
  <c r="K101" i="7"/>
  <c r="I101" i="7"/>
  <c r="H101" i="7"/>
  <c r="G101" i="7"/>
  <c r="F101" i="7"/>
  <c r="O103" i="7" l="1" a="1"/>
  <c r="O103" i="7" s="1"/>
  <c r="P103" i="7"/>
  <c r="N103" i="7"/>
  <c r="D103" i="7"/>
  <c r="E104" i="7" a="1"/>
  <c r="E104" i="7" s="1"/>
  <c r="M102" i="7"/>
  <c r="I102" i="7"/>
  <c r="H102" i="7"/>
  <c r="G102" i="7"/>
  <c r="F102" i="7"/>
  <c r="L102" i="7"/>
  <c r="K102" i="7"/>
  <c r="J102" i="7"/>
  <c r="D104" i="7" l="1"/>
  <c r="P104" i="7"/>
  <c r="O104" i="7" a="1"/>
  <c r="O104" i="7" s="1"/>
  <c r="N104" i="7"/>
  <c r="E105" i="7" a="1"/>
  <c r="E105" i="7" s="1"/>
  <c r="H103" i="7"/>
  <c r="G103" i="7"/>
  <c r="K103" i="7"/>
  <c r="J103" i="7"/>
  <c r="I103" i="7"/>
  <c r="F103" i="7"/>
  <c r="M103" i="7"/>
  <c r="L103" i="7"/>
  <c r="N105" i="7" l="1"/>
  <c r="P105" i="7"/>
  <c r="O105" i="7" a="1"/>
  <c r="O105" i="7" s="1"/>
  <c r="D105" i="7"/>
  <c r="E106" i="7" a="1"/>
  <c r="E106" i="7" s="1"/>
  <c r="K104" i="7"/>
  <c r="J104" i="7"/>
  <c r="H104" i="7"/>
  <c r="G104" i="7"/>
  <c r="F104" i="7"/>
  <c r="M104" i="7"/>
  <c r="L104" i="7"/>
  <c r="I104" i="7"/>
  <c r="P106" i="7" l="1"/>
  <c r="O106" i="7" a="1"/>
  <c r="O106" i="7" s="1"/>
  <c r="N106" i="7"/>
  <c r="D106" i="7"/>
  <c r="E107" i="7" a="1"/>
  <c r="E107" i="7" s="1"/>
  <c r="F105" i="7"/>
  <c r="M105" i="7"/>
  <c r="G105" i="7"/>
  <c r="L105" i="7"/>
  <c r="K105" i="7"/>
  <c r="J105" i="7"/>
  <c r="I105" i="7"/>
  <c r="H105" i="7"/>
  <c r="D107" i="7" l="1"/>
  <c r="P107" i="7"/>
  <c r="O107" i="7" a="1"/>
  <c r="O107" i="7" s="1"/>
  <c r="N107" i="7"/>
  <c r="E108" i="7" a="1"/>
  <c r="E108" i="7" s="1"/>
  <c r="I106" i="7"/>
  <c r="H106" i="7"/>
  <c r="G106" i="7"/>
  <c r="K106" i="7"/>
  <c r="J106" i="7"/>
  <c r="F106" i="7"/>
  <c r="M106" i="7"/>
  <c r="L106" i="7"/>
  <c r="O108" i="7" l="1" a="1"/>
  <c r="O108" i="7" s="1"/>
  <c r="N108" i="7"/>
  <c r="D108" i="7"/>
  <c r="P108" i="7"/>
  <c r="E109" i="7" a="1"/>
  <c r="E109" i="7" s="1"/>
  <c r="L107" i="7"/>
  <c r="K107" i="7"/>
  <c r="J107" i="7"/>
  <c r="I107" i="7"/>
  <c r="H107" i="7"/>
  <c r="G107" i="7"/>
  <c r="F107" i="7"/>
  <c r="M107" i="7"/>
  <c r="D109" i="7" l="1"/>
  <c r="P109" i="7"/>
  <c r="O109" i="7" a="1"/>
  <c r="O109" i="7" s="1"/>
  <c r="N109" i="7"/>
  <c r="E110" i="7" a="1"/>
  <c r="E110" i="7" s="1"/>
  <c r="H108" i="7"/>
  <c r="G108" i="7"/>
  <c r="F108" i="7"/>
  <c r="M108" i="7"/>
  <c r="K108" i="7"/>
  <c r="I108" i="7"/>
  <c r="L108" i="7"/>
  <c r="J108" i="7"/>
  <c r="N110" i="7" l="1"/>
  <c r="D110" i="7"/>
  <c r="P110" i="7"/>
  <c r="O110" i="7" a="1"/>
  <c r="O110" i="7" s="1"/>
  <c r="E111" i="7" a="1"/>
  <c r="E111" i="7" s="1"/>
  <c r="K109" i="7"/>
  <c r="J109" i="7"/>
  <c r="I109" i="7"/>
  <c r="H109" i="7"/>
  <c r="G109" i="7"/>
  <c r="F109" i="7"/>
  <c r="M109" i="7"/>
  <c r="L109" i="7"/>
  <c r="P111" i="7" l="1"/>
  <c r="O111" i="7" a="1"/>
  <c r="O111" i="7" s="1"/>
  <c r="N111" i="7"/>
  <c r="D111" i="7"/>
  <c r="E112" i="7" a="1"/>
  <c r="E112" i="7" s="1"/>
  <c r="F110" i="7"/>
  <c r="M110" i="7"/>
  <c r="L110" i="7"/>
  <c r="K110" i="7"/>
  <c r="J110" i="7"/>
  <c r="I110" i="7"/>
  <c r="H110" i="7"/>
  <c r="G110" i="7"/>
  <c r="D112" i="7" l="1"/>
  <c r="P112" i="7"/>
  <c r="O112" i="7" a="1"/>
  <c r="O112" i="7" s="1"/>
  <c r="N112" i="7"/>
  <c r="E113" i="7" a="1"/>
  <c r="E113" i="7" s="1"/>
  <c r="J111" i="7"/>
  <c r="I111" i="7"/>
  <c r="H111" i="7"/>
  <c r="G111" i="7"/>
  <c r="F111" i="7"/>
  <c r="M111" i="7"/>
  <c r="L111" i="7"/>
  <c r="K111" i="7"/>
  <c r="O113" i="7" l="1" a="1"/>
  <c r="O113" i="7" s="1"/>
  <c r="N113" i="7"/>
  <c r="D113" i="7"/>
  <c r="P113" i="7"/>
  <c r="E114" i="7" a="1"/>
  <c r="E114" i="7" s="1"/>
  <c r="M112" i="7"/>
  <c r="L112" i="7"/>
  <c r="K112" i="7"/>
  <c r="J112" i="7"/>
  <c r="I112" i="7"/>
  <c r="H112" i="7"/>
  <c r="G112" i="7"/>
  <c r="F112" i="7"/>
  <c r="D114" i="7" l="1"/>
  <c r="P114" i="7"/>
  <c r="O114" i="7" a="1"/>
  <c r="O114" i="7" s="1"/>
  <c r="N114" i="7"/>
  <c r="E115" i="7" a="1"/>
  <c r="E115" i="7" s="1"/>
  <c r="H113" i="7"/>
  <c r="G113" i="7"/>
  <c r="F113" i="7"/>
  <c r="M113" i="7"/>
  <c r="L113" i="7"/>
  <c r="K113" i="7"/>
  <c r="J113" i="7"/>
  <c r="I113" i="7"/>
  <c r="N115" i="7" l="1"/>
  <c r="D115" i="7"/>
  <c r="P115" i="7"/>
  <c r="O115" i="7" a="1"/>
  <c r="O115" i="7" s="1"/>
  <c r="E116" i="7" a="1"/>
  <c r="E116" i="7" s="1"/>
  <c r="K114" i="7"/>
  <c r="J114" i="7"/>
  <c r="I114" i="7"/>
  <c r="H114" i="7"/>
  <c r="G114" i="7"/>
  <c r="F114" i="7"/>
  <c r="M114" i="7"/>
  <c r="L114" i="7"/>
  <c r="P116" i="7" l="1"/>
  <c r="O116" i="7" a="1"/>
  <c r="O116" i="7" s="1"/>
  <c r="N116" i="7"/>
  <c r="D116" i="7"/>
  <c r="E117" i="7" a="1"/>
  <c r="E117" i="7" s="1"/>
  <c r="F115" i="7"/>
  <c r="M115" i="7"/>
  <c r="L115" i="7"/>
  <c r="K115" i="7"/>
  <c r="J115" i="7"/>
  <c r="I115" i="7"/>
  <c r="H115" i="7"/>
  <c r="G115" i="7"/>
  <c r="D117" i="7" l="1"/>
  <c r="P117" i="7"/>
  <c r="O117" i="7" a="1"/>
  <c r="O117" i="7" s="1"/>
  <c r="N117" i="7"/>
  <c r="E118" i="7" a="1"/>
  <c r="E118" i="7" s="1"/>
  <c r="I116" i="7"/>
  <c r="H116" i="7"/>
  <c r="G116" i="7"/>
  <c r="F116" i="7"/>
  <c r="M116" i="7"/>
  <c r="L116" i="7"/>
  <c r="K116" i="7"/>
  <c r="J116" i="7"/>
  <c r="N118" i="7" l="1"/>
  <c r="D118" i="7"/>
  <c r="P118" i="7"/>
  <c r="O118" i="7" a="1"/>
  <c r="O118" i="7" s="1"/>
  <c r="E119" i="7" a="1"/>
  <c r="E119" i="7" s="1"/>
  <c r="L117" i="7"/>
  <c r="K117" i="7"/>
  <c r="J117" i="7"/>
  <c r="I117" i="7"/>
  <c r="H117" i="7"/>
  <c r="G117" i="7"/>
  <c r="F117" i="7"/>
  <c r="M117" i="7"/>
  <c r="P119" i="7" l="1"/>
  <c r="O119" i="7" a="1"/>
  <c r="O119" i="7" s="1"/>
  <c r="N119" i="7"/>
  <c r="D119" i="7"/>
  <c r="E120" i="7" a="1"/>
  <c r="E120" i="7" s="1"/>
  <c r="G118" i="7"/>
  <c r="F118" i="7"/>
  <c r="M118" i="7"/>
  <c r="L118" i="7"/>
  <c r="K118" i="7"/>
  <c r="J118" i="7"/>
  <c r="I118" i="7"/>
  <c r="H118" i="7"/>
  <c r="D120" i="7" l="1"/>
  <c r="P120" i="7"/>
  <c r="O120" i="7" a="1"/>
  <c r="O120" i="7" s="1"/>
  <c r="N120" i="7"/>
  <c r="E121" i="7" a="1"/>
  <c r="E121" i="7" s="1"/>
  <c r="J119" i="7"/>
  <c r="I119" i="7"/>
  <c r="H119" i="7"/>
  <c r="G119" i="7"/>
  <c r="F119" i="7"/>
  <c r="M119" i="7"/>
  <c r="L119" i="7"/>
  <c r="K119" i="7"/>
  <c r="O121" i="7" l="1" a="1"/>
  <c r="O121" i="7" s="1"/>
  <c r="N121" i="7"/>
  <c r="D121" i="7"/>
  <c r="P121" i="7"/>
  <c r="E122" i="7" a="1"/>
  <c r="E122" i="7" s="1"/>
  <c r="M120" i="7"/>
  <c r="L120" i="7"/>
  <c r="K120" i="7"/>
  <c r="J120" i="7"/>
  <c r="I120" i="7"/>
  <c r="H120" i="7"/>
  <c r="G120" i="7"/>
  <c r="F120" i="7"/>
  <c r="D122" i="7" l="1"/>
  <c r="P122" i="7"/>
  <c r="O122" i="7" a="1"/>
  <c r="O122" i="7" s="1"/>
  <c r="N122" i="7"/>
  <c r="E123" i="7" a="1"/>
  <c r="E123" i="7" s="1"/>
  <c r="H121" i="7"/>
  <c r="G121" i="7"/>
  <c r="F121" i="7"/>
  <c r="M121" i="7"/>
  <c r="L121" i="7"/>
  <c r="K121" i="7"/>
  <c r="J121" i="7"/>
  <c r="I121" i="7"/>
  <c r="N123" i="7" l="1"/>
  <c r="D123" i="7"/>
  <c r="P123" i="7"/>
  <c r="O123" i="7" a="1"/>
  <c r="O123" i="7" s="1"/>
  <c r="E124" i="7" a="1"/>
  <c r="E124" i="7" s="1"/>
  <c r="K122" i="7"/>
  <c r="J122" i="7"/>
  <c r="I122" i="7"/>
  <c r="H122" i="7"/>
  <c r="G122" i="7"/>
  <c r="F122" i="7"/>
  <c r="M122" i="7"/>
  <c r="L122" i="7"/>
  <c r="P124" i="7" l="1"/>
  <c r="O124" i="7" a="1"/>
  <c r="O124" i="7" s="1"/>
  <c r="N124" i="7"/>
  <c r="D124" i="7"/>
  <c r="E125" i="7" a="1"/>
  <c r="E125" i="7" s="1"/>
  <c r="F123" i="7"/>
  <c r="M123" i="7"/>
  <c r="L123" i="7"/>
  <c r="K123" i="7"/>
  <c r="J123" i="7"/>
  <c r="I123" i="7"/>
  <c r="H123" i="7"/>
  <c r="G123" i="7"/>
  <c r="D125" i="7" l="1"/>
  <c r="P125" i="7"/>
  <c r="O125" i="7" a="1"/>
  <c r="O125" i="7" s="1"/>
  <c r="N125" i="7"/>
  <c r="E126" i="7" a="1"/>
  <c r="E126" i="7" s="1"/>
  <c r="I124" i="7"/>
  <c r="H124" i="7"/>
  <c r="G124" i="7"/>
  <c r="F124" i="7"/>
  <c r="M124" i="7"/>
  <c r="L124" i="7"/>
  <c r="K124" i="7"/>
  <c r="J124" i="7"/>
  <c r="N126" i="7" l="1"/>
  <c r="D126" i="7"/>
  <c r="P126" i="7"/>
  <c r="O126" i="7" a="1"/>
  <c r="O126" i="7" s="1"/>
  <c r="E127" i="7" a="1"/>
  <c r="E127" i="7" s="1"/>
  <c r="L125" i="7"/>
  <c r="K125" i="7"/>
  <c r="J125" i="7"/>
  <c r="I125" i="7"/>
  <c r="H125" i="7"/>
  <c r="G125" i="7"/>
  <c r="F125" i="7"/>
  <c r="M125" i="7"/>
  <c r="P127" i="7" l="1"/>
  <c r="O127" i="7" a="1"/>
  <c r="O127" i="7" s="1"/>
  <c r="N127" i="7"/>
  <c r="D127" i="7"/>
  <c r="E128" i="7" a="1"/>
  <c r="E128" i="7" s="1"/>
  <c r="G126" i="7"/>
  <c r="F126" i="7"/>
  <c r="M126" i="7"/>
  <c r="L126" i="7"/>
  <c r="K126" i="7"/>
  <c r="J126" i="7"/>
  <c r="I126" i="7"/>
  <c r="H126" i="7"/>
  <c r="D128" i="7" l="1"/>
  <c r="P128" i="7"/>
  <c r="O128" i="7" a="1"/>
  <c r="O128" i="7" s="1"/>
  <c r="N128" i="7"/>
  <c r="E129" i="7" a="1"/>
  <c r="E129" i="7" s="1"/>
  <c r="J127" i="7"/>
  <c r="I127" i="7"/>
  <c r="H127" i="7"/>
  <c r="G127" i="7"/>
  <c r="F127" i="7"/>
  <c r="M127" i="7"/>
  <c r="L127" i="7"/>
  <c r="K127" i="7"/>
  <c r="O129" i="7" l="1" a="1"/>
  <c r="O129" i="7" s="1"/>
  <c r="N129" i="7"/>
  <c r="D129" i="7"/>
  <c r="P129" i="7"/>
  <c r="E130" i="7" a="1"/>
  <c r="E130" i="7" s="1"/>
  <c r="M128" i="7"/>
  <c r="L128" i="7"/>
  <c r="K128" i="7"/>
  <c r="J128" i="7"/>
  <c r="I128" i="7"/>
  <c r="H128" i="7"/>
  <c r="G128" i="7"/>
  <c r="F128" i="7"/>
  <c r="D130" i="7" l="1"/>
  <c r="P130" i="7"/>
  <c r="O130" i="7" a="1"/>
  <c r="O130" i="7" s="1"/>
  <c r="N130" i="7"/>
  <c r="E131" i="7" a="1"/>
  <c r="E131" i="7" s="1"/>
  <c r="H129" i="7"/>
  <c r="G129" i="7"/>
  <c r="F129" i="7"/>
  <c r="M129" i="7"/>
  <c r="L129" i="7"/>
  <c r="K129" i="7"/>
  <c r="J129" i="7"/>
  <c r="I129" i="7"/>
  <c r="P131" i="7" l="1"/>
  <c r="D131" i="7"/>
  <c r="O131" i="7" a="1"/>
  <c r="O131" i="7" s="1"/>
  <c r="N131" i="7"/>
  <c r="E132" i="7" a="1"/>
  <c r="E132" i="7" s="1"/>
  <c r="K130" i="7"/>
  <c r="J130" i="7"/>
  <c r="I130" i="7"/>
  <c r="H130" i="7"/>
  <c r="G130" i="7"/>
  <c r="F130" i="7"/>
  <c r="M130" i="7"/>
  <c r="L130" i="7"/>
  <c r="I131" i="7" l="1"/>
  <c r="L131" i="7"/>
  <c r="K131" i="7"/>
  <c r="J131" i="7"/>
  <c r="H131" i="7"/>
  <c r="G131" i="7"/>
  <c r="F131" i="7"/>
  <c r="M131" i="7"/>
  <c r="N132" i="7"/>
  <c r="D132" i="7"/>
  <c r="P132" i="7"/>
  <c r="O132" i="7" a="1"/>
  <c r="O132" i="7" s="1"/>
  <c r="E133" i="7" a="1"/>
  <c r="E133" i="7" s="1"/>
  <c r="P133" i="7" l="1"/>
  <c r="O133" i="7" a="1"/>
  <c r="O133" i="7" s="1"/>
  <c r="D133" i="7"/>
  <c r="N133" i="7"/>
  <c r="E134" i="7" a="1"/>
  <c r="E134" i="7" s="1"/>
  <c r="L132" i="7"/>
  <c r="J132" i="7"/>
  <c r="M132" i="7"/>
  <c r="K132" i="7"/>
  <c r="I132" i="7"/>
  <c r="H132" i="7"/>
  <c r="G132" i="7"/>
  <c r="F132" i="7"/>
  <c r="O134" i="7" l="1" a="1"/>
  <c r="O134" i="7" s="1"/>
  <c r="P134" i="7"/>
  <c r="N134" i="7"/>
  <c r="D134" i="7"/>
  <c r="E135" i="7" a="1"/>
  <c r="E135" i="7" s="1"/>
  <c r="G133" i="7"/>
  <c r="M133" i="7"/>
  <c r="L133" i="7"/>
  <c r="K133" i="7"/>
  <c r="J133" i="7"/>
  <c r="I133" i="7"/>
  <c r="H133" i="7"/>
  <c r="F133" i="7"/>
  <c r="D135" i="7" l="1"/>
  <c r="P135" i="7"/>
  <c r="O135" i="7" a="1"/>
  <c r="O135" i="7" s="1"/>
  <c r="N135" i="7"/>
  <c r="E136" i="7" a="1"/>
  <c r="E136" i="7" s="1"/>
  <c r="J134" i="7"/>
  <c r="H134" i="7"/>
  <c r="K134" i="7"/>
  <c r="I134" i="7"/>
  <c r="G134" i="7"/>
  <c r="F134" i="7"/>
  <c r="M134" i="7"/>
  <c r="L134" i="7"/>
  <c r="O136" i="7" l="1" a="1"/>
  <c r="O136" i="7" s="1"/>
  <c r="N136" i="7"/>
  <c r="D136" i="7"/>
  <c r="P136" i="7"/>
  <c r="E137" i="7" a="1"/>
  <c r="E137" i="7" s="1"/>
  <c r="M135" i="7"/>
  <c r="K135" i="7"/>
  <c r="H135" i="7"/>
  <c r="G135" i="7"/>
  <c r="F135" i="7"/>
  <c r="L135" i="7"/>
  <c r="J135" i="7"/>
  <c r="I135" i="7"/>
  <c r="D137" i="7" l="1"/>
  <c r="P137" i="7"/>
  <c r="O137" i="7" a="1"/>
  <c r="O137" i="7" s="1"/>
  <c r="N137" i="7"/>
  <c r="E138" i="7" a="1"/>
  <c r="E138" i="7" s="1"/>
  <c r="J136" i="7"/>
  <c r="H136" i="7"/>
  <c r="F136" i="7"/>
  <c r="L136" i="7"/>
  <c r="G136" i="7"/>
  <c r="M136" i="7"/>
  <c r="K136" i="7"/>
  <c r="I136" i="7"/>
  <c r="O138" i="7" l="1" a="1"/>
  <c r="O138" i="7" s="1"/>
  <c r="N138" i="7"/>
  <c r="D138" i="7"/>
  <c r="P138" i="7"/>
  <c r="E139" i="7" a="1"/>
  <c r="E139" i="7" s="1"/>
  <c r="M137" i="7"/>
  <c r="K137" i="7"/>
  <c r="J137" i="7"/>
  <c r="I137" i="7"/>
  <c r="G137" i="7"/>
  <c r="L137" i="7"/>
  <c r="H137" i="7"/>
  <c r="F137" i="7"/>
  <c r="D139" i="7" l="1"/>
  <c r="P139" i="7"/>
  <c r="O139" i="7" a="1"/>
  <c r="O139" i="7" s="1"/>
  <c r="N139" i="7"/>
  <c r="E140" i="7" a="1"/>
  <c r="E140" i="7" s="1"/>
  <c r="H138" i="7"/>
  <c r="F138" i="7"/>
  <c r="M138" i="7"/>
  <c r="L138" i="7"/>
  <c r="J138" i="7"/>
  <c r="K138" i="7"/>
  <c r="I138" i="7"/>
  <c r="G138" i="7"/>
  <c r="N140" i="7" l="1"/>
  <c r="D140" i="7"/>
  <c r="O140" i="7" a="1"/>
  <c r="O140" i="7" s="1"/>
  <c r="P140" i="7"/>
  <c r="E141" i="7" a="1"/>
  <c r="E141" i="7" s="1"/>
  <c r="K139" i="7"/>
  <c r="I139" i="7"/>
  <c r="H139" i="7"/>
  <c r="G139" i="7"/>
  <c r="M139" i="7"/>
  <c r="L139" i="7"/>
  <c r="J139" i="7"/>
  <c r="F139" i="7"/>
  <c r="P141" i="7" l="1"/>
  <c r="N141" i="7"/>
  <c r="D141" i="7"/>
  <c r="O141" i="7" a="1"/>
  <c r="O141" i="7" s="1"/>
  <c r="E142" i="7" a="1"/>
  <c r="E142" i="7" s="1"/>
  <c r="F140" i="7"/>
  <c r="L140" i="7"/>
  <c r="K140" i="7"/>
  <c r="J140" i="7"/>
  <c r="H140" i="7"/>
  <c r="G140" i="7"/>
  <c r="M140" i="7"/>
  <c r="I140" i="7"/>
  <c r="J141" i="7" l="1"/>
  <c r="I141" i="7"/>
  <c r="G141" i="7"/>
  <c r="F141" i="7"/>
  <c r="M141" i="7"/>
  <c r="K141" i="7"/>
  <c r="H141" i="7"/>
  <c r="L141" i="7"/>
  <c r="P142" i="7"/>
  <c r="O142" i="7" a="1"/>
  <c r="O142" i="7" s="1"/>
  <c r="N142" i="7"/>
  <c r="D142" i="7"/>
  <c r="E143" i="7" a="1"/>
  <c r="E143" i="7" s="1"/>
  <c r="O143" i="7" l="1" a="1"/>
  <c r="O143" i="7" s="1"/>
  <c r="D143" i="7"/>
  <c r="P143" i="7"/>
  <c r="N143" i="7"/>
  <c r="E144" i="7" a="1"/>
  <c r="E144" i="7" s="1"/>
  <c r="M142" i="7"/>
  <c r="L142" i="7"/>
  <c r="J142" i="7"/>
  <c r="I142" i="7"/>
  <c r="H142" i="7"/>
  <c r="F142" i="7"/>
  <c r="K142" i="7"/>
  <c r="G142" i="7"/>
  <c r="D144" i="7" l="1"/>
  <c r="O144" i="7" a="1"/>
  <c r="O144" i="7" s="1"/>
  <c r="N144" i="7"/>
  <c r="P144" i="7"/>
  <c r="E145" i="7" a="1"/>
  <c r="E145" i="7" s="1"/>
  <c r="H143" i="7"/>
  <c r="G143" i="7"/>
  <c r="M143" i="7"/>
  <c r="L143" i="7"/>
  <c r="K143" i="7"/>
  <c r="I143" i="7"/>
  <c r="J143" i="7"/>
  <c r="F143" i="7"/>
  <c r="N145" i="7" l="1"/>
  <c r="D145" i="7"/>
  <c r="P145" i="7"/>
  <c r="O145" i="7" a="1"/>
  <c r="O145" i="7" s="1"/>
  <c r="E146" i="7" a="1"/>
  <c r="E146" i="7" s="1"/>
  <c r="K144" i="7"/>
  <c r="J144" i="7"/>
  <c r="H144" i="7"/>
  <c r="G144" i="7"/>
  <c r="F144" i="7"/>
  <c r="L144" i="7"/>
  <c r="M144" i="7"/>
  <c r="I144" i="7"/>
  <c r="P146" i="7" l="1"/>
  <c r="O146" i="7" a="1"/>
  <c r="O146" i="7" s="1"/>
  <c r="N146" i="7"/>
  <c r="D146" i="7"/>
  <c r="E147" i="7" a="1"/>
  <c r="E147" i="7" s="1"/>
  <c r="F145" i="7"/>
  <c r="M145" i="7"/>
  <c r="K145" i="7"/>
  <c r="J145" i="7"/>
  <c r="I145" i="7"/>
  <c r="G145" i="7"/>
  <c r="L145" i="7"/>
  <c r="H145" i="7"/>
  <c r="D147" i="7" l="1"/>
  <c r="P147" i="7"/>
  <c r="O147" i="7" a="1"/>
  <c r="O147" i="7" s="1"/>
  <c r="N147" i="7"/>
  <c r="E148" i="7" a="1"/>
  <c r="E148" i="7" s="1"/>
  <c r="I146" i="7"/>
  <c r="H146" i="7"/>
  <c r="F146" i="7"/>
  <c r="M146" i="7"/>
  <c r="L146" i="7"/>
  <c r="J146" i="7"/>
  <c r="G146" i="7"/>
  <c r="K146" i="7"/>
  <c r="N148" i="7" l="1"/>
  <c r="D148" i="7"/>
  <c r="O148" i="7" a="1"/>
  <c r="O148" i="7" s="1"/>
  <c r="P148" i="7"/>
  <c r="E149" i="7" a="1"/>
  <c r="E149" i="7" s="1"/>
  <c r="L147" i="7"/>
  <c r="K147" i="7"/>
  <c r="J147" i="7"/>
  <c r="I147" i="7"/>
  <c r="H147" i="7"/>
  <c r="G147" i="7"/>
  <c r="M147" i="7"/>
  <c r="F147" i="7"/>
  <c r="P149" i="7" l="1"/>
  <c r="O149" i="7" a="1"/>
  <c r="O149" i="7" s="1"/>
  <c r="N149" i="7"/>
  <c r="D149" i="7"/>
  <c r="E150" i="7" a="1"/>
  <c r="E150" i="7" s="1"/>
  <c r="G148" i="7"/>
  <c r="F148" i="7"/>
  <c r="M148" i="7"/>
  <c r="L148" i="7"/>
  <c r="K148" i="7"/>
  <c r="J148" i="7"/>
  <c r="H148" i="7"/>
  <c r="I148" i="7"/>
  <c r="D150" i="7" l="1"/>
  <c r="P150" i="7"/>
  <c r="O150" i="7" a="1"/>
  <c r="O150" i="7" s="1"/>
  <c r="N150" i="7"/>
  <c r="E151" i="7" a="1"/>
  <c r="E151" i="7" s="1"/>
  <c r="J149" i="7"/>
  <c r="I149" i="7"/>
  <c r="H149" i="7"/>
  <c r="G149" i="7"/>
  <c r="F149" i="7"/>
  <c r="M149" i="7"/>
  <c r="K149" i="7"/>
  <c r="L149" i="7"/>
  <c r="O151" i="7" l="1" a="1"/>
  <c r="O151" i="7" s="1"/>
  <c r="N151" i="7"/>
  <c r="D151" i="7"/>
  <c r="P151" i="7"/>
  <c r="E152" i="7" a="1"/>
  <c r="E152" i="7" s="1"/>
  <c r="M150" i="7"/>
  <c r="L150" i="7"/>
  <c r="K150" i="7"/>
  <c r="J150" i="7"/>
  <c r="I150" i="7"/>
  <c r="H150" i="7"/>
  <c r="F150" i="7"/>
  <c r="G150" i="7"/>
  <c r="D152" i="7" l="1"/>
  <c r="P152" i="7"/>
  <c r="O152" i="7" a="1"/>
  <c r="O152" i="7" s="1"/>
  <c r="N152" i="7"/>
  <c r="E153" i="7" a="1"/>
  <c r="E153" i="7" s="1"/>
  <c r="H151" i="7"/>
  <c r="G151" i="7"/>
  <c r="F151" i="7"/>
  <c r="M151" i="7"/>
  <c r="L151" i="7"/>
  <c r="K151" i="7"/>
  <c r="I151" i="7"/>
  <c r="J151" i="7"/>
  <c r="N153" i="7" l="1"/>
  <c r="D153" i="7"/>
  <c r="P153" i="7"/>
  <c r="O153" i="7" a="1"/>
  <c r="O153" i="7" s="1"/>
  <c r="E154" i="7" a="1"/>
  <c r="E154" i="7" s="1"/>
  <c r="K152" i="7"/>
  <c r="J152" i="7"/>
  <c r="I152" i="7"/>
  <c r="H152" i="7"/>
  <c r="G152" i="7"/>
  <c r="F152" i="7"/>
  <c r="L152" i="7"/>
  <c r="M152" i="7"/>
  <c r="F153" i="7" l="1"/>
  <c r="M153" i="7"/>
  <c r="L153" i="7"/>
  <c r="K153" i="7"/>
  <c r="J153" i="7"/>
  <c r="I153" i="7"/>
  <c r="G153" i="7"/>
  <c r="H153" i="7"/>
  <c r="P154" i="7"/>
  <c r="O154" i="7" a="1"/>
  <c r="O154" i="7" s="1"/>
  <c r="N154" i="7"/>
  <c r="D154" i="7"/>
  <c r="E155" i="7" a="1"/>
  <c r="E155" i="7" s="1"/>
  <c r="D155" i="7" l="1"/>
  <c r="P155" i="7"/>
  <c r="O155" i="7" a="1"/>
  <c r="O155" i="7" s="1"/>
  <c r="N155" i="7"/>
  <c r="E156" i="7" a="1"/>
  <c r="E156" i="7" s="1"/>
  <c r="I154" i="7"/>
  <c r="H154" i="7"/>
  <c r="G154" i="7"/>
  <c r="F154" i="7"/>
  <c r="M154" i="7"/>
  <c r="L154" i="7"/>
  <c r="J154" i="7"/>
  <c r="K154" i="7"/>
  <c r="L155" i="7" l="1"/>
  <c r="K155" i="7"/>
  <c r="J155" i="7"/>
  <c r="I155" i="7"/>
  <c r="H155" i="7"/>
  <c r="G155" i="7"/>
  <c r="M155" i="7"/>
  <c r="F155" i="7"/>
  <c r="N156" i="7"/>
  <c r="D156" i="7"/>
  <c r="O156" i="7" a="1"/>
  <c r="O156" i="7" s="1"/>
  <c r="P156" i="7"/>
  <c r="E157" i="7" a="1"/>
  <c r="E157" i="7" s="1"/>
  <c r="P157" i="7" l="1"/>
  <c r="O157" i="7" a="1"/>
  <c r="O157" i="7" s="1"/>
  <c r="N157" i="7"/>
  <c r="D157" i="7"/>
  <c r="E158" i="7" a="1"/>
  <c r="E158" i="7" s="1"/>
  <c r="G156" i="7"/>
  <c r="F156" i="7"/>
  <c r="M156" i="7"/>
  <c r="L156" i="7"/>
  <c r="K156" i="7"/>
  <c r="J156" i="7"/>
  <c r="H156" i="7"/>
  <c r="I156" i="7"/>
  <c r="D158" i="7" l="1"/>
  <c r="P158" i="7"/>
  <c r="O158" i="7" a="1"/>
  <c r="O158" i="7" s="1"/>
  <c r="N158" i="7"/>
  <c r="E159" i="7" a="1"/>
  <c r="E159" i="7" s="1"/>
  <c r="J157" i="7"/>
  <c r="I157" i="7"/>
  <c r="H157" i="7"/>
  <c r="G157" i="7"/>
  <c r="F157" i="7"/>
  <c r="M157" i="7"/>
  <c r="K157" i="7"/>
  <c r="L157" i="7"/>
  <c r="M158" i="7" l="1"/>
  <c r="L158" i="7"/>
  <c r="K158" i="7"/>
  <c r="J158" i="7"/>
  <c r="I158" i="7"/>
  <c r="H158" i="7"/>
  <c r="F158" i="7"/>
  <c r="G158" i="7"/>
  <c r="O159" i="7" a="1"/>
  <c r="O159" i="7" s="1"/>
  <c r="N159" i="7"/>
  <c r="D159" i="7"/>
  <c r="P159" i="7"/>
  <c r="E160" i="7" a="1"/>
  <c r="E160" i="7" s="1"/>
  <c r="D160" i="7" l="1"/>
  <c r="P160" i="7"/>
  <c r="O160" i="7" a="1"/>
  <c r="O160" i="7" s="1"/>
  <c r="N160" i="7"/>
  <c r="E161" i="7" a="1"/>
  <c r="E161" i="7" s="1"/>
  <c r="H159" i="7"/>
  <c r="G159" i="7"/>
  <c r="F159" i="7"/>
  <c r="M159" i="7"/>
  <c r="L159" i="7"/>
  <c r="K159" i="7"/>
  <c r="I159" i="7"/>
  <c r="J159" i="7"/>
  <c r="K160" i="7" l="1"/>
  <c r="J160" i="7"/>
  <c r="I160" i="7"/>
  <c r="H160" i="7"/>
  <c r="G160" i="7"/>
  <c r="F160" i="7"/>
  <c r="L160" i="7"/>
  <c r="M160" i="7"/>
  <c r="N161" i="7"/>
  <c r="D161" i="7"/>
  <c r="P161" i="7"/>
  <c r="O161" i="7" a="1"/>
  <c r="O161" i="7" s="1"/>
  <c r="E162" i="7" a="1"/>
  <c r="E162" i="7" s="1"/>
  <c r="F161" i="7" l="1"/>
  <c r="M161" i="7"/>
  <c r="L161" i="7"/>
  <c r="K161" i="7"/>
  <c r="J161" i="7"/>
  <c r="I161" i="7"/>
  <c r="G161" i="7"/>
  <c r="H161" i="7"/>
  <c r="P162" i="7"/>
  <c r="O162" i="7" a="1"/>
  <c r="O162" i="7" s="1"/>
  <c r="N162" i="7"/>
  <c r="D162" i="7"/>
  <c r="E163" i="7" a="1"/>
  <c r="E163" i="7" s="1"/>
  <c r="D163" i="7" l="1"/>
  <c r="P163" i="7"/>
  <c r="O163" i="7" a="1"/>
  <c r="O163" i="7" s="1"/>
  <c r="N163" i="7"/>
  <c r="E164" i="7" a="1"/>
  <c r="E164" i="7" s="1"/>
  <c r="I162" i="7"/>
  <c r="H162" i="7"/>
  <c r="G162" i="7"/>
  <c r="F162" i="7"/>
  <c r="M162" i="7"/>
  <c r="L162" i="7"/>
  <c r="J162" i="7"/>
  <c r="K162" i="7"/>
  <c r="L163" i="7" l="1"/>
  <c r="K163" i="7"/>
  <c r="J163" i="7"/>
  <c r="I163" i="7"/>
  <c r="H163" i="7"/>
  <c r="G163" i="7"/>
  <c r="M163" i="7"/>
  <c r="F163" i="7"/>
  <c r="N164" i="7"/>
  <c r="D164" i="7"/>
  <c r="O164" i="7" a="1"/>
  <c r="O164" i="7" s="1"/>
  <c r="P164" i="7"/>
  <c r="E165" i="7" a="1"/>
  <c r="E165" i="7" s="1"/>
  <c r="P165" i="7" l="1"/>
  <c r="O165" i="7" a="1"/>
  <c r="O165" i="7" s="1"/>
  <c r="N165" i="7"/>
  <c r="D165" i="7"/>
  <c r="E166" i="7" a="1"/>
  <c r="E166" i="7" s="1"/>
  <c r="G164" i="7"/>
  <c r="F164" i="7"/>
  <c r="M164" i="7"/>
  <c r="L164" i="7"/>
  <c r="K164" i="7"/>
  <c r="J164" i="7"/>
  <c r="H164" i="7"/>
  <c r="I164" i="7"/>
  <c r="D166" i="7" l="1"/>
  <c r="P166" i="7"/>
  <c r="O166" i="7" a="1"/>
  <c r="O166" i="7" s="1"/>
  <c r="N166" i="7"/>
  <c r="E167" i="7" a="1"/>
  <c r="E167" i="7" s="1"/>
  <c r="J165" i="7"/>
  <c r="I165" i="7"/>
  <c r="H165" i="7"/>
  <c r="G165" i="7"/>
  <c r="F165" i="7"/>
  <c r="M165" i="7"/>
  <c r="K165" i="7"/>
  <c r="L165" i="7"/>
  <c r="M166" i="7" l="1"/>
  <c r="L166" i="7"/>
  <c r="K166" i="7"/>
  <c r="J166" i="7"/>
  <c r="I166" i="7"/>
  <c r="H166" i="7"/>
  <c r="F166" i="7"/>
  <c r="G166" i="7"/>
  <c r="O167" i="7" a="1"/>
  <c r="O167" i="7" s="1"/>
  <c r="N167" i="7"/>
  <c r="D167" i="7"/>
  <c r="P167" i="7"/>
  <c r="E168" i="7" a="1"/>
  <c r="E168" i="7" s="1"/>
  <c r="D168" i="7" l="1"/>
  <c r="P168" i="7"/>
  <c r="O168" i="7" a="1"/>
  <c r="O168" i="7" s="1"/>
  <c r="N168" i="7"/>
  <c r="E169" i="7" a="1"/>
  <c r="E169" i="7" s="1"/>
  <c r="H167" i="7"/>
  <c r="G167" i="7"/>
  <c r="F167" i="7"/>
  <c r="M167" i="7"/>
  <c r="L167" i="7"/>
  <c r="K167" i="7"/>
  <c r="I167" i="7"/>
  <c r="J167" i="7"/>
  <c r="K168" i="7" l="1"/>
  <c r="J168" i="7"/>
  <c r="I168" i="7"/>
  <c r="H168" i="7"/>
  <c r="G168" i="7"/>
  <c r="F168" i="7"/>
  <c r="L168" i="7"/>
  <c r="M168" i="7"/>
  <c r="N169" i="7"/>
  <c r="D169" i="7"/>
  <c r="P169" i="7"/>
  <c r="O169" i="7" a="1"/>
  <c r="O169" i="7" s="1"/>
  <c r="E170" i="7" a="1"/>
  <c r="E170" i="7" s="1"/>
  <c r="P170" i="7" l="1"/>
  <c r="O170" i="7" a="1"/>
  <c r="O170" i="7" s="1"/>
  <c r="N170" i="7"/>
  <c r="D170" i="7"/>
  <c r="E171" i="7" a="1"/>
  <c r="E171" i="7" s="1"/>
  <c r="F169" i="7"/>
  <c r="M169" i="7"/>
  <c r="L169" i="7"/>
  <c r="K169" i="7"/>
  <c r="J169" i="7"/>
  <c r="I169" i="7"/>
  <c r="G169" i="7"/>
  <c r="H169" i="7"/>
  <c r="I170" i="7" l="1"/>
  <c r="H170" i="7"/>
  <c r="G170" i="7"/>
  <c r="F170" i="7"/>
  <c r="M170" i="7"/>
  <c r="L170" i="7"/>
  <c r="J170" i="7"/>
  <c r="K170" i="7"/>
  <c r="D171" i="7"/>
  <c r="P171" i="7"/>
  <c r="O171" i="7" a="1"/>
  <c r="O171" i="7" s="1"/>
  <c r="N171" i="7"/>
  <c r="E172" i="7" a="1"/>
  <c r="E172" i="7" s="1"/>
  <c r="N172" i="7" l="1"/>
  <c r="D172" i="7"/>
  <c r="O172" i="7" a="1"/>
  <c r="O172" i="7" s="1"/>
  <c r="P172" i="7"/>
  <c r="E173" i="7" a="1"/>
  <c r="E173" i="7" s="1"/>
  <c r="L171" i="7"/>
  <c r="K171" i="7"/>
  <c r="J171" i="7"/>
  <c r="I171" i="7"/>
  <c r="H171" i="7"/>
  <c r="G171" i="7"/>
  <c r="M171" i="7"/>
  <c r="F171" i="7"/>
  <c r="P173" i="7" l="1"/>
  <c r="O173" i="7" a="1"/>
  <c r="O173" i="7" s="1"/>
  <c r="N173" i="7"/>
  <c r="D173" i="7"/>
  <c r="E174" i="7" a="1"/>
  <c r="E174" i="7" s="1"/>
  <c r="G172" i="7"/>
  <c r="F172" i="7"/>
  <c r="M172" i="7"/>
  <c r="L172" i="7"/>
  <c r="K172" i="7"/>
  <c r="J172" i="7"/>
  <c r="H172" i="7"/>
  <c r="I172" i="7"/>
  <c r="D174" i="7" l="1"/>
  <c r="P174" i="7"/>
  <c r="O174" i="7" a="1"/>
  <c r="O174" i="7" s="1"/>
  <c r="N174" i="7"/>
  <c r="E175" i="7" a="1"/>
  <c r="E175" i="7" s="1"/>
  <c r="J173" i="7"/>
  <c r="I173" i="7"/>
  <c r="H173" i="7"/>
  <c r="G173" i="7"/>
  <c r="F173" i="7"/>
  <c r="M173" i="7"/>
  <c r="K173" i="7"/>
  <c r="L173" i="7"/>
  <c r="O175" i="7" l="1" a="1"/>
  <c r="O175" i="7" s="1"/>
  <c r="N175" i="7"/>
  <c r="D175" i="7"/>
  <c r="P175" i="7"/>
  <c r="E176" i="7" a="1"/>
  <c r="E176" i="7" s="1"/>
  <c r="M174" i="7"/>
  <c r="L174" i="7"/>
  <c r="K174" i="7"/>
  <c r="J174" i="7"/>
  <c r="I174" i="7"/>
  <c r="H174" i="7"/>
  <c r="F174" i="7"/>
  <c r="G174" i="7"/>
  <c r="D176" i="7" l="1"/>
  <c r="P176" i="7"/>
  <c r="O176" i="7" a="1"/>
  <c r="O176" i="7" s="1"/>
  <c r="N176" i="7"/>
  <c r="E177" i="7" a="1"/>
  <c r="E177" i="7" s="1"/>
  <c r="H175" i="7"/>
  <c r="G175" i="7"/>
  <c r="F175" i="7"/>
  <c r="M175" i="7"/>
  <c r="L175" i="7"/>
  <c r="K175" i="7"/>
  <c r="I175" i="7"/>
  <c r="J175" i="7"/>
  <c r="N177" i="7" l="1"/>
  <c r="D177" i="7"/>
  <c r="P177" i="7"/>
  <c r="O177" i="7" a="1"/>
  <c r="O177" i="7" s="1"/>
  <c r="E178" i="7" a="1"/>
  <c r="E178" i="7" s="1"/>
  <c r="K176" i="7"/>
  <c r="J176" i="7"/>
  <c r="I176" i="7"/>
  <c r="H176" i="7"/>
  <c r="G176" i="7"/>
  <c r="F176" i="7"/>
  <c r="L176" i="7"/>
  <c r="M176" i="7"/>
  <c r="P178" i="7" l="1"/>
  <c r="O178" i="7" a="1"/>
  <c r="O178" i="7" s="1"/>
  <c r="N178" i="7"/>
  <c r="D178" i="7"/>
  <c r="E179" i="7" a="1"/>
  <c r="E179" i="7" s="1"/>
  <c r="F177" i="7"/>
  <c r="M177" i="7"/>
  <c r="L177" i="7"/>
  <c r="K177" i="7"/>
  <c r="J177" i="7"/>
  <c r="I177" i="7"/>
  <c r="G177" i="7"/>
  <c r="H177" i="7"/>
  <c r="I178" i="7" l="1"/>
  <c r="H178" i="7"/>
  <c r="G178" i="7"/>
  <c r="F178" i="7"/>
  <c r="M178" i="7"/>
  <c r="L178" i="7"/>
  <c r="J178" i="7"/>
  <c r="K178" i="7"/>
  <c r="D179" i="7"/>
  <c r="P179" i="7"/>
  <c r="O179" i="7" a="1"/>
  <c r="O179" i="7" s="1"/>
  <c r="N179" i="7"/>
  <c r="E180" i="7" a="1"/>
  <c r="E180" i="7" s="1"/>
  <c r="N180" i="7" l="1"/>
  <c r="D180" i="7"/>
  <c r="O180" i="7" a="1"/>
  <c r="O180" i="7" s="1"/>
  <c r="P180" i="7"/>
  <c r="E181" i="7" a="1"/>
  <c r="E181" i="7" s="1"/>
  <c r="L179" i="7"/>
  <c r="K179" i="7"/>
  <c r="J179" i="7"/>
  <c r="I179" i="7"/>
  <c r="H179" i="7"/>
  <c r="G179" i="7"/>
  <c r="M179" i="7"/>
  <c r="F179" i="7"/>
  <c r="G180" i="7" l="1"/>
  <c r="F180" i="7"/>
  <c r="M180" i="7"/>
  <c r="L180" i="7"/>
  <c r="K180" i="7"/>
  <c r="J180" i="7"/>
  <c r="H180" i="7"/>
  <c r="I180" i="7"/>
  <c r="P181" i="7"/>
  <c r="O181" i="7" a="1"/>
  <c r="O181" i="7" s="1"/>
  <c r="N181" i="7"/>
  <c r="D181" i="7"/>
  <c r="E182" i="7" a="1"/>
  <c r="E182" i="7" s="1"/>
  <c r="D182" i="7" l="1"/>
  <c r="P182" i="7"/>
  <c r="O182" i="7" a="1"/>
  <c r="O182" i="7" s="1"/>
  <c r="N182" i="7"/>
  <c r="E183" i="7" a="1"/>
  <c r="E183" i="7" s="1"/>
  <c r="J181" i="7"/>
  <c r="I181" i="7"/>
  <c r="H181" i="7"/>
  <c r="G181" i="7"/>
  <c r="F181" i="7"/>
  <c r="M181" i="7"/>
  <c r="K181" i="7"/>
  <c r="L181" i="7"/>
  <c r="M182" i="7" l="1"/>
  <c r="L182" i="7"/>
  <c r="K182" i="7"/>
  <c r="J182" i="7"/>
  <c r="I182" i="7"/>
  <c r="H182" i="7"/>
  <c r="F182" i="7"/>
  <c r="G182" i="7"/>
  <c r="O183" i="7" a="1"/>
  <c r="O183" i="7" s="1"/>
  <c r="N183" i="7"/>
  <c r="D183" i="7"/>
  <c r="P183" i="7"/>
  <c r="E184" i="7" a="1"/>
  <c r="E184" i="7" s="1"/>
  <c r="D184" i="7" l="1"/>
  <c r="P184" i="7"/>
  <c r="O184" i="7" a="1"/>
  <c r="O184" i="7" s="1"/>
  <c r="N184" i="7"/>
  <c r="E185" i="7" a="1"/>
  <c r="E185" i="7" s="1"/>
  <c r="H183" i="7"/>
  <c r="G183" i="7"/>
  <c r="F183" i="7"/>
  <c r="M183" i="7"/>
  <c r="L183" i="7"/>
  <c r="K183" i="7"/>
  <c r="I183" i="7"/>
  <c r="J183" i="7"/>
  <c r="K184" i="7" l="1"/>
  <c r="J184" i="7"/>
  <c r="I184" i="7"/>
  <c r="H184" i="7"/>
  <c r="G184" i="7"/>
  <c r="F184" i="7"/>
  <c r="L184" i="7"/>
  <c r="M184" i="7"/>
  <c r="N185" i="7"/>
  <c r="D185" i="7"/>
  <c r="P185" i="7"/>
  <c r="O185" i="7" a="1"/>
  <c r="O185" i="7" s="1"/>
  <c r="E186" i="7" a="1"/>
  <c r="E186" i="7" s="1"/>
  <c r="P186" i="7" l="1"/>
  <c r="O186" i="7" a="1"/>
  <c r="O186" i="7" s="1"/>
  <c r="N186" i="7"/>
  <c r="D186" i="7"/>
  <c r="E187" i="7" a="1"/>
  <c r="E187" i="7" s="1"/>
  <c r="F185" i="7"/>
  <c r="M185" i="7"/>
  <c r="L185" i="7"/>
  <c r="K185" i="7"/>
  <c r="J185" i="7"/>
  <c r="I185" i="7"/>
  <c r="G185" i="7"/>
  <c r="H185" i="7"/>
  <c r="D187" i="7" l="1"/>
  <c r="P187" i="7"/>
  <c r="O187" i="7" a="1"/>
  <c r="O187" i="7" s="1"/>
  <c r="N187" i="7"/>
  <c r="E188" i="7" a="1"/>
  <c r="E188" i="7" s="1"/>
  <c r="I186" i="7"/>
  <c r="H186" i="7"/>
  <c r="G186" i="7"/>
  <c r="F186" i="7"/>
  <c r="M186" i="7"/>
  <c r="L186" i="7"/>
  <c r="J186" i="7"/>
  <c r="K186" i="7"/>
  <c r="L187" i="7" l="1"/>
  <c r="K187" i="7"/>
  <c r="J187" i="7"/>
  <c r="I187" i="7"/>
  <c r="H187" i="7"/>
  <c r="G187" i="7"/>
  <c r="M187" i="7"/>
  <c r="F187" i="7"/>
  <c r="N188" i="7"/>
  <c r="D188" i="7"/>
  <c r="O188" i="7" a="1"/>
  <c r="O188" i="7" s="1"/>
  <c r="P188" i="7"/>
  <c r="E189" i="7" a="1"/>
  <c r="E189" i="7" s="1"/>
  <c r="P189" i="7" l="1"/>
  <c r="O189" i="7" a="1"/>
  <c r="O189" i="7" s="1"/>
  <c r="N189" i="7"/>
  <c r="D189" i="7"/>
  <c r="E190" i="7" a="1"/>
  <c r="E190" i="7" s="1"/>
  <c r="G188" i="7"/>
  <c r="F188" i="7"/>
  <c r="M188" i="7"/>
  <c r="L188" i="7"/>
  <c r="K188" i="7"/>
  <c r="J188" i="7"/>
  <c r="H188" i="7"/>
  <c r="I188" i="7"/>
  <c r="D190" i="7" l="1"/>
  <c r="P190" i="7"/>
  <c r="O190" i="7" a="1"/>
  <c r="O190" i="7" s="1"/>
  <c r="N190" i="7"/>
  <c r="E191" i="7" a="1"/>
  <c r="E191" i="7" s="1"/>
  <c r="J189" i="7"/>
  <c r="I189" i="7"/>
  <c r="H189" i="7"/>
  <c r="G189" i="7"/>
  <c r="F189" i="7"/>
  <c r="M189" i="7"/>
  <c r="K189" i="7"/>
  <c r="L189" i="7"/>
  <c r="M190" i="7" l="1"/>
  <c r="L190" i="7"/>
  <c r="K190" i="7"/>
  <c r="J190" i="7"/>
  <c r="I190" i="7"/>
  <c r="H190" i="7"/>
  <c r="F190" i="7"/>
  <c r="G190" i="7"/>
  <c r="O191" i="7" a="1"/>
  <c r="O191" i="7" s="1"/>
  <c r="N191" i="7"/>
  <c r="D191" i="7"/>
  <c r="P191" i="7"/>
  <c r="E192" i="7" a="1"/>
  <c r="E192" i="7" s="1"/>
  <c r="D192" i="7" l="1"/>
  <c r="P192" i="7"/>
  <c r="O192" i="7" a="1"/>
  <c r="O192" i="7" s="1"/>
  <c r="N192" i="7"/>
  <c r="E193" i="7" a="1"/>
  <c r="E193" i="7" s="1"/>
  <c r="H191" i="7"/>
  <c r="G191" i="7"/>
  <c r="F191" i="7"/>
  <c r="M191" i="7"/>
  <c r="L191" i="7"/>
  <c r="K191" i="7"/>
  <c r="J191" i="7"/>
  <c r="I191" i="7"/>
  <c r="K192" i="7" l="1"/>
  <c r="J192" i="7"/>
  <c r="I192" i="7"/>
  <c r="H192" i="7"/>
  <c r="G192" i="7"/>
  <c r="F192" i="7"/>
  <c r="M192" i="7"/>
  <c r="L192" i="7"/>
  <c r="N193" i="7"/>
  <c r="D193" i="7"/>
  <c r="P193" i="7"/>
  <c r="O193" i="7" a="1"/>
  <c r="O193" i="7" s="1"/>
  <c r="E194" i="7" a="1"/>
  <c r="E194" i="7" s="1"/>
  <c r="P194" i="7" l="1"/>
  <c r="O194" i="7" a="1"/>
  <c r="O194" i="7" s="1"/>
  <c r="N194" i="7"/>
  <c r="D194" i="7"/>
  <c r="E195" i="7" a="1"/>
  <c r="E195" i="7" s="1"/>
  <c r="F193" i="7"/>
  <c r="M193" i="7"/>
  <c r="L193" i="7"/>
  <c r="K193" i="7"/>
  <c r="J193" i="7"/>
  <c r="I193" i="7"/>
  <c r="H193" i="7"/>
  <c r="G193" i="7"/>
  <c r="O195" i="7" l="1" a="1"/>
  <c r="O195" i="7" s="1"/>
  <c r="N195" i="7"/>
  <c r="D195" i="7"/>
  <c r="P195" i="7"/>
  <c r="E196" i="7" a="1"/>
  <c r="E196" i="7" s="1"/>
  <c r="M194" i="7"/>
  <c r="J194" i="7"/>
  <c r="I194" i="7"/>
  <c r="H194" i="7"/>
  <c r="G194" i="7"/>
  <c r="F194" i="7"/>
  <c r="L194" i="7"/>
  <c r="K194" i="7"/>
  <c r="D196" i="7" l="1"/>
  <c r="P196" i="7"/>
  <c r="O196" i="7" a="1"/>
  <c r="O196" i="7" s="1"/>
  <c r="N196" i="7"/>
  <c r="E197" i="7" a="1"/>
  <c r="E197" i="7" s="1"/>
  <c r="H195" i="7"/>
  <c r="F195" i="7"/>
  <c r="M195" i="7"/>
  <c r="L195" i="7"/>
  <c r="K195" i="7"/>
  <c r="J195" i="7"/>
  <c r="I195" i="7"/>
  <c r="G195" i="7"/>
  <c r="K196" i="7" l="1"/>
  <c r="L196" i="7"/>
  <c r="J196" i="7"/>
  <c r="I196" i="7"/>
  <c r="H196" i="7"/>
  <c r="G196" i="7"/>
  <c r="F196" i="7"/>
  <c r="M196" i="7"/>
  <c r="N197" i="7"/>
  <c r="P197" i="7"/>
  <c r="O197" i="7" a="1"/>
  <c r="O197" i="7" s="1"/>
  <c r="D197" i="7"/>
  <c r="E198" i="7" a="1"/>
  <c r="E198" i="7" s="1"/>
  <c r="P198" i="7" l="1"/>
  <c r="O198" i="7" a="1"/>
  <c r="O198" i="7" s="1"/>
  <c r="N198" i="7"/>
  <c r="D198" i="7"/>
  <c r="E199" i="7" a="1"/>
  <c r="E199" i="7" s="1"/>
  <c r="F197" i="7"/>
  <c r="H197" i="7"/>
  <c r="G197" i="7"/>
  <c r="M197" i="7"/>
  <c r="L197" i="7"/>
  <c r="K197" i="7"/>
  <c r="J197" i="7"/>
  <c r="I197" i="7"/>
  <c r="O199" i="7" l="1" a="1"/>
  <c r="O199" i="7" s="1"/>
  <c r="D199" i="7"/>
  <c r="N199" i="7"/>
  <c r="P199" i="7"/>
  <c r="E200" i="7" a="1"/>
  <c r="E200" i="7" s="1"/>
  <c r="J198" i="7"/>
  <c r="I198" i="7"/>
  <c r="G198" i="7"/>
  <c r="F198" i="7"/>
  <c r="M198" i="7"/>
  <c r="L198" i="7"/>
  <c r="K198" i="7"/>
  <c r="H198" i="7"/>
  <c r="O200" i="7" l="1" a="1"/>
  <c r="O200" i="7" s="1"/>
  <c r="P200" i="7"/>
  <c r="D200" i="7"/>
  <c r="N200" i="7"/>
  <c r="E201" i="7" a="1"/>
  <c r="E201" i="7" s="1"/>
  <c r="M199" i="7"/>
  <c r="L199" i="7"/>
  <c r="F199" i="7"/>
  <c r="K199" i="7"/>
  <c r="J199" i="7"/>
  <c r="I199" i="7"/>
  <c r="H199" i="7"/>
  <c r="G199" i="7"/>
  <c r="D201" i="7" l="1"/>
  <c r="O201" i="7" a="1"/>
  <c r="O201" i="7" s="1"/>
  <c r="N201" i="7"/>
  <c r="P201" i="7"/>
  <c r="E202" i="7" a="1"/>
  <c r="E202" i="7" s="1"/>
  <c r="L200" i="7"/>
  <c r="H200" i="7"/>
  <c r="G200" i="7"/>
  <c r="I200" i="7"/>
  <c r="F200" i="7"/>
  <c r="M200" i="7"/>
  <c r="K200" i="7"/>
  <c r="J200" i="7"/>
  <c r="N202" i="7" l="1"/>
  <c r="D202" i="7"/>
  <c r="P202" i="7"/>
  <c r="O202" i="7" a="1"/>
  <c r="O202" i="7" s="1"/>
  <c r="E203" i="7" a="1"/>
  <c r="E203" i="7" s="1"/>
  <c r="G201" i="7"/>
  <c r="L201" i="7"/>
  <c r="K201" i="7"/>
  <c r="J201" i="7"/>
  <c r="M201" i="7"/>
  <c r="I201" i="7"/>
  <c r="H201" i="7"/>
  <c r="F201" i="7"/>
  <c r="P203" i="7" l="1"/>
  <c r="O203" i="7" a="1"/>
  <c r="O203" i="7" s="1"/>
  <c r="N203" i="7"/>
  <c r="D203" i="7"/>
  <c r="E204" i="7" a="1"/>
  <c r="E204" i="7" s="1"/>
  <c r="J202" i="7"/>
  <c r="G202" i="7"/>
  <c r="F202" i="7"/>
  <c r="M202" i="7"/>
  <c r="L202" i="7"/>
  <c r="K202" i="7"/>
  <c r="I202" i="7"/>
  <c r="H202" i="7"/>
  <c r="O204" i="7" l="1" a="1"/>
  <c r="O204" i="7" s="1"/>
  <c r="D204" i="7"/>
  <c r="P204" i="7"/>
  <c r="N204" i="7"/>
  <c r="E205" i="7" a="1"/>
  <c r="E205" i="7" s="1"/>
  <c r="M203" i="7"/>
  <c r="L203" i="7"/>
  <c r="J203" i="7"/>
  <c r="I203" i="7"/>
  <c r="H203" i="7"/>
  <c r="K203" i="7"/>
  <c r="G203" i="7"/>
  <c r="F203" i="7"/>
  <c r="D205" i="7" l="1"/>
  <c r="O205" i="7" a="1"/>
  <c r="O205" i="7" s="1"/>
  <c r="N205" i="7"/>
  <c r="P205" i="7"/>
  <c r="E206" i="7" a="1"/>
  <c r="E206" i="7" s="1"/>
  <c r="H204" i="7"/>
  <c r="G204" i="7"/>
  <c r="M204" i="7"/>
  <c r="L204" i="7"/>
  <c r="K204" i="7"/>
  <c r="J204" i="7"/>
  <c r="I204" i="7"/>
  <c r="F204" i="7"/>
  <c r="N206" i="7" l="1"/>
  <c r="D206" i="7"/>
  <c r="P206" i="7"/>
  <c r="O206" i="7" a="1"/>
  <c r="O206" i="7" s="1"/>
  <c r="E207" i="7" a="1"/>
  <c r="E207" i="7" s="1"/>
  <c r="K205" i="7"/>
  <c r="J205" i="7"/>
  <c r="H205" i="7"/>
  <c r="G205" i="7"/>
  <c r="F205" i="7"/>
  <c r="M205" i="7"/>
  <c r="L205" i="7"/>
  <c r="I205" i="7"/>
  <c r="P207" i="7" l="1"/>
  <c r="O207" i="7" a="1"/>
  <c r="O207" i="7" s="1"/>
  <c r="N207" i="7"/>
  <c r="D207" i="7"/>
  <c r="E208" i="7" a="1"/>
  <c r="E208" i="7" s="1"/>
  <c r="F206" i="7"/>
  <c r="M206" i="7"/>
  <c r="K206" i="7"/>
  <c r="J206" i="7"/>
  <c r="I206" i="7"/>
  <c r="H206" i="7"/>
  <c r="G206" i="7"/>
  <c r="L206" i="7"/>
  <c r="D208" i="7" l="1"/>
  <c r="P208" i="7"/>
  <c r="O208" i="7" a="1"/>
  <c r="O208" i="7" s="1"/>
  <c r="N208" i="7"/>
  <c r="E209" i="7" a="1"/>
  <c r="E209" i="7" s="1"/>
  <c r="I207" i="7"/>
  <c r="H207" i="7"/>
  <c r="G207" i="7"/>
  <c r="F207" i="7"/>
  <c r="M207" i="7"/>
  <c r="L207" i="7"/>
  <c r="K207" i="7"/>
  <c r="J207" i="7"/>
  <c r="N209" i="7" l="1"/>
  <c r="D209" i="7"/>
  <c r="P209" i="7"/>
  <c r="O209" i="7" a="1"/>
  <c r="O209" i="7" s="1"/>
  <c r="E210" i="7" a="1"/>
  <c r="E210" i="7" s="1"/>
  <c r="L208" i="7"/>
  <c r="K208" i="7"/>
  <c r="J208" i="7"/>
  <c r="I208" i="7"/>
  <c r="H208" i="7"/>
  <c r="G208" i="7"/>
  <c r="F208" i="7"/>
  <c r="M208" i="7"/>
  <c r="P210" i="7" l="1"/>
  <c r="O210" i="7" a="1"/>
  <c r="O210" i="7" s="1"/>
  <c r="N210" i="7"/>
  <c r="D210" i="7"/>
  <c r="E211" i="7" a="1"/>
  <c r="E211" i="7" s="1"/>
  <c r="G209" i="7"/>
  <c r="F209" i="7"/>
  <c r="M209" i="7"/>
  <c r="L209" i="7"/>
  <c r="K209" i="7"/>
  <c r="J209" i="7"/>
  <c r="I209" i="7"/>
  <c r="H209" i="7"/>
  <c r="D211" i="7" l="1"/>
  <c r="P211" i="7"/>
  <c r="O211" i="7" a="1"/>
  <c r="O211" i="7" s="1"/>
  <c r="N211" i="7"/>
  <c r="E212" i="7" a="1"/>
  <c r="E212" i="7" s="1"/>
  <c r="J210" i="7"/>
  <c r="I210" i="7"/>
  <c r="H210" i="7"/>
  <c r="G210" i="7"/>
  <c r="F210" i="7"/>
  <c r="M210" i="7"/>
  <c r="L210" i="7"/>
  <c r="K210" i="7"/>
  <c r="O212" i="7" l="1" a="1"/>
  <c r="O212" i="7" s="1"/>
  <c r="N212" i="7"/>
  <c r="D212" i="7"/>
  <c r="P212" i="7"/>
  <c r="E213" i="7" a="1"/>
  <c r="E213" i="7" s="1"/>
  <c r="M211" i="7"/>
  <c r="L211" i="7"/>
  <c r="K211" i="7"/>
  <c r="J211" i="7"/>
  <c r="I211" i="7"/>
  <c r="H211" i="7"/>
  <c r="G211" i="7"/>
  <c r="F211" i="7"/>
  <c r="D213" i="7" l="1"/>
  <c r="P213" i="7"/>
  <c r="O213" i="7" a="1"/>
  <c r="O213" i="7" s="1"/>
  <c r="N213" i="7"/>
  <c r="E214" i="7" a="1"/>
  <c r="E214" i="7" s="1"/>
  <c r="H212" i="7"/>
  <c r="G212" i="7"/>
  <c r="F212" i="7"/>
  <c r="M212" i="7"/>
  <c r="L212" i="7"/>
  <c r="K212" i="7"/>
  <c r="J212" i="7"/>
  <c r="I212" i="7"/>
  <c r="N214" i="7" l="1"/>
  <c r="D214" i="7"/>
  <c r="P214" i="7"/>
  <c r="O214" i="7" a="1"/>
  <c r="O214" i="7" s="1"/>
  <c r="E215" i="7" a="1"/>
  <c r="E215" i="7" s="1"/>
  <c r="K213" i="7"/>
  <c r="J213" i="7"/>
  <c r="I213" i="7"/>
  <c r="H213" i="7"/>
  <c r="G213" i="7"/>
  <c r="F213" i="7"/>
  <c r="M213" i="7"/>
  <c r="L213" i="7"/>
  <c r="P215" i="7" l="1"/>
  <c r="O215" i="7" a="1"/>
  <c r="O215" i="7" s="1"/>
  <c r="N215" i="7"/>
  <c r="D215" i="7"/>
  <c r="E216" i="7" a="1"/>
  <c r="E216" i="7" s="1"/>
  <c r="F214" i="7"/>
  <c r="M214" i="7"/>
  <c r="L214" i="7"/>
  <c r="K214" i="7"/>
  <c r="J214" i="7"/>
  <c r="I214" i="7"/>
  <c r="H214" i="7"/>
  <c r="G214" i="7"/>
  <c r="D216" i="7" l="1"/>
  <c r="P216" i="7"/>
  <c r="O216" i="7" a="1"/>
  <c r="O216" i="7" s="1"/>
  <c r="N216" i="7"/>
  <c r="E217" i="7" a="1"/>
  <c r="E217" i="7" s="1"/>
  <c r="I215" i="7"/>
  <c r="H215" i="7"/>
  <c r="G215" i="7"/>
  <c r="F215" i="7"/>
  <c r="M215" i="7"/>
  <c r="L215" i="7"/>
  <c r="K215" i="7"/>
  <c r="J215" i="7"/>
  <c r="N217" i="7" l="1"/>
  <c r="D217" i="7"/>
  <c r="P217" i="7"/>
  <c r="O217" i="7" a="1"/>
  <c r="O217" i="7" s="1"/>
  <c r="E218" i="7" a="1"/>
  <c r="E218" i="7" s="1"/>
  <c r="L216" i="7"/>
  <c r="K216" i="7"/>
  <c r="J216" i="7"/>
  <c r="I216" i="7"/>
  <c r="H216" i="7"/>
  <c r="G216" i="7"/>
  <c r="F216" i="7"/>
  <c r="M216" i="7"/>
  <c r="P218" i="7" l="1"/>
  <c r="O218" i="7" a="1"/>
  <c r="O218" i="7" s="1"/>
  <c r="N218" i="7"/>
  <c r="D218" i="7"/>
  <c r="E219" i="7" a="1"/>
  <c r="E219" i="7" s="1"/>
  <c r="G217" i="7"/>
  <c r="F217" i="7"/>
  <c r="M217" i="7"/>
  <c r="L217" i="7"/>
  <c r="K217" i="7"/>
  <c r="J217" i="7"/>
  <c r="I217" i="7"/>
  <c r="H217" i="7"/>
  <c r="D219" i="7" l="1"/>
  <c r="P219" i="7"/>
  <c r="O219" i="7" a="1"/>
  <c r="O219" i="7" s="1"/>
  <c r="N219" i="7"/>
  <c r="E220" i="7" a="1"/>
  <c r="E220" i="7" s="1"/>
  <c r="J218" i="7"/>
  <c r="I218" i="7"/>
  <c r="H218" i="7"/>
  <c r="G218" i="7"/>
  <c r="F218" i="7"/>
  <c r="M218" i="7"/>
  <c r="L218" i="7"/>
  <c r="K218" i="7"/>
  <c r="M219" i="7" l="1"/>
  <c r="L219" i="7"/>
  <c r="K219" i="7"/>
  <c r="J219" i="7"/>
  <c r="I219" i="7"/>
  <c r="H219" i="7"/>
  <c r="G219" i="7"/>
  <c r="F219" i="7"/>
  <c r="O220" i="7" a="1"/>
  <c r="O220" i="7" s="1"/>
  <c r="N220" i="7"/>
  <c r="D220" i="7"/>
  <c r="P220" i="7"/>
  <c r="E221" i="7" a="1"/>
  <c r="E221" i="7" s="1"/>
  <c r="D221" i="7" l="1"/>
  <c r="P221" i="7"/>
  <c r="O221" i="7" a="1"/>
  <c r="O221" i="7" s="1"/>
  <c r="N221" i="7"/>
  <c r="E222" i="7" a="1"/>
  <c r="E222" i="7" s="1"/>
  <c r="H220" i="7"/>
  <c r="G220" i="7"/>
  <c r="F220" i="7"/>
  <c r="M220" i="7"/>
  <c r="L220" i="7"/>
  <c r="K220" i="7"/>
  <c r="J220" i="7"/>
  <c r="I220" i="7"/>
  <c r="N222" i="7" l="1"/>
  <c r="D222" i="7"/>
  <c r="P222" i="7"/>
  <c r="O222" i="7" a="1"/>
  <c r="O222" i="7" s="1"/>
  <c r="E223" i="7" a="1"/>
  <c r="E223" i="7" s="1"/>
  <c r="K221" i="7"/>
  <c r="J221" i="7"/>
  <c r="I221" i="7"/>
  <c r="H221" i="7"/>
  <c r="G221" i="7"/>
  <c r="F221" i="7"/>
  <c r="M221" i="7"/>
  <c r="L221" i="7"/>
  <c r="P223" i="7" l="1"/>
  <c r="O223" i="7" a="1"/>
  <c r="O223" i="7" s="1"/>
  <c r="N223" i="7"/>
  <c r="D223" i="7"/>
  <c r="E224" i="7" a="1"/>
  <c r="E224" i="7" s="1"/>
  <c r="F222" i="7"/>
  <c r="M222" i="7"/>
  <c r="L222" i="7"/>
  <c r="K222" i="7"/>
  <c r="J222" i="7"/>
  <c r="I222" i="7"/>
  <c r="H222" i="7"/>
  <c r="G222" i="7"/>
  <c r="O224" i="7" l="1" a="1"/>
  <c r="O224" i="7" s="1"/>
  <c r="N224" i="7"/>
  <c r="D224" i="7"/>
  <c r="P224" i="7"/>
  <c r="E225" i="7" a="1"/>
  <c r="E225" i="7" s="1"/>
  <c r="M223" i="7"/>
  <c r="I223" i="7"/>
  <c r="H223" i="7"/>
  <c r="G223" i="7"/>
  <c r="F223" i="7"/>
  <c r="L223" i="7"/>
  <c r="K223" i="7"/>
  <c r="J223" i="7"/>
  <c r="D225" i="7" l="1"/>
  <c r="P225" i="7"/>
  <c r="O225" i="7" a="1"/>
  <c r="O225" i="7" s="1"/>
  <c r="N225" i="7"/>
  <c r="E226" i="7" a="1"/>
  <c r="E226" i="7" s="1"/>
  <c r="H224" i="7"/>
  <c r="M224" i="7"/>
  <c r="L224" i="7"/>
  <c r="K224" i="7"/>
  <c r="J224" i="7"/>
  <c r="I224" i="7"/>
  <c r="G224" i="7"/>
  <c r="F224" i="7"/>
  <c r="G225" i="7" l="1"/>
  <c r="K225" i="7"/>
  <c r="F225" i="7"/>
  <c r="M225" i="7"/>
  <c r="L225" i="7"/>
  <c r="J225" i="7"/>
  <c r="I225" i="7"/>
  <c r="H225" i="7"/>
  <c r="N226" i="7"/>
  <c r="D226" i="7"/>
  <c r="P226" i="7"/>
  <c r="O226" i="7" a="1"/>
  <c r="O226" i="7" s="1"/>
  <c r="E227" i="7" a="1"/>
  <c r="E227" i="7" s="1"/>
  <c r="P227" i="7" l="1"/>
  <c r="O227" i="7" a="1"/>
  <c r="O227" i="7" s="1"/>
  <c r="N227" i="7"/>
  <c r="D227" i="7"/>
  <c r="E228" i="7" a="1"/>
  <c r="E228" i="7" s="1"/>
  <c r="J226" i="7"/>
  <c r="F226" i="7"/>
  <c r="M226" i="7"/>
  <c r="L226" i="7"/>
  <c r="K226" i="7"/>
  <c r="I226" i="7"/>
  <c r="H226" i="7"/>
  <c r="G226" i="7"/>
  <c r="O228" i="7" l="1" a="1"/>
  <c r="O228" i="7" s="1"/>
  <c r="P228" i="7"/>
  <c r="N228" i="7"/>
  <c r="D228" i="7"/>
  <c r="E229" i="7" a="1"/>
  <c r="E229" i="7" s="1"/>
  <c r="M227" i="7"/>
  <c r="I227" i="7"/>
  <c r="L227" i="7"/>
  <c r="K227" i="7"/>
  <c r="J227" i="7"/>
  <c r="H227" i="7"/>
  <c r="G227" i="7"/>
  <c r="F227" i="7"/>
  <c r="D229" i="7" l="1"/>
  <c r="P229" i="7"/>
  <c r="O229" i="7" a="1"/>
  <c r="O229" i="7" s="1"/>
  <c r="N229" i="7"/>
  <c r="E230" i="7" a="1"/>
  <c r="E230" i="7" s="1"/>
  <c r="H228" i="7"/>
  <c r="L228" i="7"/>
  <c r="J228" i="7"/>
  <c r="I228" i="7"/>
  <c r="G228" i="7"/>
  <c r="F228" i="7"/>
  <c r="M228" i="7"/>
  <c r="K228" i="7"/>
  <c r="N230" i="7" l="1"/>
  <c r="D230" i="7"/>
  <c r="P230" i="7"/>
  <c r="O230" i="7" a="1"/>
  <c r="O230" i="7" s="1"/>
  <c r="E231" i="7" a="1"/>
  <c r="E231" i="7" s="1"/>
  <c r="L229" i="7"/>
  <c r="K229" i="7"/>
  <c r="J229" i="7"/>
  <c r="G229" i="7"/>
  <c r="H229" i="7"/>
  <c r="F229" i="7"/>
  <c r="M229" i="7"/>
  <c r="I229" i="7"/>
  <c r="P231" i="7" l="1"/>
  <c r="O231" i="7" a="1"/>
  <c r="O231" i="7" s="1"/>
  <c r="N231" i="7"/>
  <c r="D231" i="7"/>
  <c r="E232" i="7" a="1"/>
  <c r="E232" i="7" s="1"/>
  <c r="G230" i="7"/>
  <c r="F230" i="7"/>
  <c r="M230" i="7"/>
  <c r="J230" i="7"/>
  <c r="K230" i="7"/>
  <c r="I230" i="7"/>
  <c r="H230" i="7"/>
  <c r="L230" i="7"/>
  <c r="D232" i="7" l="1"/>
  <c r="O232" i="7" a="1"/>
  <c r="O232" i="7" s="1"/>
  <c r="P232" i="7"/>
  <c r="N232" i="7"/>
  <c r="E233" i="7" a="1"/>
  <c r="E233" i="7" s="1"/>
  <c r="J231" i="7"/>
  <c r="I231" i="7"/>
  <c r="H231" i="7"/>
  <c r="M231" i="7"/>
  <c r="L231" i="7"/>
  <c r="K231" i="7"/>
  <c r="G231" i="7"/>
  <c r="F231" i="7"/>
  <c r="O233" i="7" l="1" a="1"/>
  <c r="O233" i="7" s="1"/>
  <c r="N233" i="7"/>
  <c r="D233" i="7"/>
  <c r="P233" i="7"/>
  <c r="E234" i="7" a="1"/>
  <c r="E234" i="7" s="1"/>
  <c r="G232" i="7"/>
  <c r="M232" i="7"/>
  <c r="L232" i="7"/>
  <c r="K232" i="7"/>
  <c r="J232" i="7"/>
  <c r="H232" i="7"/>
  <c r="I232" i="7"/>
  <c r="F232" i="7"/>
  <c r="D234" i="7" l="1"/>
  <c r="P234" i="7"/>
  <c r="O234" i="7" a="1"/>
  <c r="O234" i="7" s="1"/>
  <c r="N234" i="7"/>
  <c r="E235" i="7" a="1"/>
  <c r="E235" i="7" s="1"/>
  <c r="J233" i="7"/>
  <c r="H233" i="7"/>
  <c r="G233" i="7"/>
  <c r="F233" i="7"/>
  <c r="M233" i="7"/>
  <c r="K233" i="7"/>
  <c r="L233" i="7"/>
  <c r="I233" i="7"/>
  <c r="M234" i="7" l="1"/>
  <c r="K234" i="7"/>
  <c r="J234" i="7"/>
  <c r="I234" i="7"/>
  <c r="H234" i="7"/>
  <c r="G234" i="7"/>
  <c r="F234" i="7"/>
  <c r="L234" i="7"/>
  <c r="O235" i="7" a="1"/>
  <c r="O235" i="7" s="1"/>
  <c r="N235" i="7"/>
  <c r="D235" i="7"/>
  <c r="P235" i="7"/>
  <c r="E236" i="7" a="1"/>
  <c r="E236" i="7" s="1"/>
  <c r="D236" i="7" l="1"/>
  <c r="P236" i="7"/>
  <c r="O236" i="7" a="1"/>
  <c r="O236" i="7" s="1"/>
  <c r="N236" i="7"/>
  <c r="E237" i="7" a="1"/>
  <c r="E237" i="7" s="1"/>
  <c r="H235" i="7"/>
  <c r="G235" i="7"/>
  <c r="F235" i="7"/>
  <c r="M235" i="7"/>
  <c r="L235" i="7"/>
  <c r="K235" i="7"/>
  <c r="J235" i="7"/>
  <c r="I235" i="7"/>
  <c r="N237" i="7" l="1"/>
  <c r="D237" i="7"/>
  <c r="P237" i="7"/>
  <c r="O237" i="7" a="1"/>
  <c r="O237" i="7" s="1"/>
  <c r="E238" i="7" a="1"/>
  <c r="E238" i="7" s="1"/>
  <c r="K236" i="7"/>
  <c r="J236" i="7"/>
  <c r="I236" i="7"/>
  <c r="H236" i="7"/>
  <c r="G236" i="7"/>
  <c r="F236" i="7"/>
  <c r="M236" i="7"/>
  <c r="L236" i="7"/>
  <c r="P238" i="7" l="1"/>
  <c r="O238" i="7" a="1"/>
  <c r="O238" i="7" s="1"/>
  <c r="N238" i="7"/>
  <c r="D238" i="7"/>
  <c r="E239" i="7" a="1"/>
  <c r="E239" i="7" s="1"/>
  <c r="F237" i="7"/>
  <c r="M237" i="7"/>
  <c r="L237" i="7"/>
  <c r="K237" i="7"/>
  <c r="J237" i="7"/>
  <c r="I237" i="7"/>
  <c r="H237" i="7"/>
  <c r="G237" i="7"/>
  <c r="D239" i="7" l="1"/>
  <c r="P239" i="7"/>
  <c r="O239" i="7" a="1"/>
  <c r="O239" i="7" s="1"/>
  <c r="N239" i="7"/>
  <c r="E240" i="7" a="1"/>
  <c r="E240" i="7" s="1"/>
  <c r="I238" i="7"/>
  <c r="H238" i="7"/>
  <c r="G238" i="7"/>
  <c r="F238" i="7"/>
  <c r="M238" i="7"/>
  <c r="L238" i="7"/>
  <c r="K238" i="7"/>
  <c r="J238" i="7"/>
  <c r="N240" i="7" l="1"/>
  <c r="D240" i="7"/>
  <c r="P240" i="7"/>
  <c r="O240" i="7" a="1"/>
  <c r="O240" i="7" s="1"/>
  <c r="E241" i="7" a="1"/>
  <c r="E241" i="7" s="1"/>
  <c r="L239" i="7"/>
  <c r="K239" i="7"/>
  <c r="J239" i="7"/>
  <c r="I239" i="7"/>
  <c r="H239" i="7"/>
  <c r="G239" i="7"/>
  <c r="F239" i="7"/>
  <c r="M239" i="7"/>
  <c r="P241" i="7" l="1"/>
  <c r="O241" i="7" a="1"/>
  <c r="O241" i="7" s="1"/>
  <c r="N241" i="7"/>
  <c r="D241" i="7"/>
  <c r="E242" i="7" a="1"/>
  <c r="E242" i="7" s="1"/>
  <c r="G240" i="7"/>
  <c r="F240" i="7"/>
  <c r="M240" i="7"/>
  <c r="L240" i="7"/>
  <c r="K240" i="7"/>
  <c r="J240" i="7"/>
  <c r="I240" i="7"/>
  <c r="H240" i="7"/>
  <c r="D242" i="7" l="1"/>
  <c r="P242" i="7"/>
  <c r="O242" i="7" a="1"/>
  <c r="O242" i="7" s="1"/>
  <c r="N242" i="7"/>
  <c r="E243" i="7" a="1"/>
  <c r="E243" i="7" s="1"/>
  <c r="J241" i="7"/>
  <c r="I241" i="7"/>
  <c r="H241" i="7"/>
  <c r="G241" i="7"/>
  <c r="F241" i="7"/>
  <c r="M241" i="7"/>
  <c r="L241" i="7"/>
  <c r="K241" i="7"/>
  <c r="O243" i="7" l="1" a="1"/>
  <c r="O243" i="7" s="1"/>
  <c r="N243" i="7"/>
  <c r="D243" i="7"/>
  <c r="P243" i="7"/>
  <c r="E244" i="7" a="1"/>
  <c r="E244" i="7" s="1"/>
  <c r="M242" i="7"/>
  <c r="L242" i="7"/>
  <c r="K242" i="7"/>
  <c r="J242" i="7"/>
  <c r="I242" i="7"/>
  <c r="H242" i="7"/>
  <c r="G242" i="7"/>
  <c r="F242" i="7"/>
  <c r="D244" i="7" l="1"/>
  <c r="P244" i="7"/>
  <c r="O244" i="7" a="1"/>
  <c r="O244" i="7" s="1"/>
  <c r="N244" i="7"/>
  <c r="E245" i="7" a="1"/>
  <c r="E245" i="7" s="1"/>
  <c r="H243" i="7"/>
  <c r="G243" i="7"/>
  <c r="F243" i="7"/>
  <c r="M243" i="7"/>
  <c r="L243" i="7"/>
  <c r="K243" i="7"/>
  <c r="J243" i="7"/>
  <c r="I243" i="7"/>
  <c r="N245" i="7" l="1"/>
  <c r="D245" i="7"/>
  <c r="P245" i="7"/>
  <c r="O245" i="7" a="1"/>
  <c r="O245" i="7" s="1"/>
  <c r="E246" i="7" a="1"/>
  <c r="E246" i="7" s="1"/>
  <c r="K244" i="7"/>
  <c r="J244" i="7"/>
  <c r="I244" i="7"/>
  <c r="H244" i="7"/>
  <c r="G244" i="7"/>
  <c r="F244" i="7"/>
  <c r="M244" i="7"/>
  <c r="L244" i="7"/>
  <c r="F245" i="7" l="1"/>
  <c r="M245" i="7"/>
  <c r="L245" i="7"/>
  <c r="K245" i="7"/>
  <c r="J245" i="7"/>
  <c r="I245" i="7"/>
  <c r="H245" i="7"/>
  <c r="G245" i="7"/>
  <c r="P246" i="7"/>
  <c r="O246" i="7" a="1"/>
  <c r="O246" i="7" s="1"/>
  <c r="N246" i="7"/>
  <c r="D246" i="7"/>
  <c r="E247" i="7" a="1"/>
  <c r="E247" i="7" s="1"/>
  <c r="D247" i="7" l="1"/>
  <c r="P247" i="7"/>
  <c r="O247" i="7" a="1"/>
  <c r="O247" i="7" s="1"/>
  <c r="N247" i="7"/>
  <c r="E248" i="7" a="1"/>
  <c r="E248" i="7" s="1"/>
  <c r="I246" i="7"/>
  <c r="H246" i="7"/>
  <c r="G246" i="7"/>
  <c r="F246" i="7"/>
  <c r="M246" i="7"/>
  <c r="L246" i="7"/>
  <c r="K246" i="7"/>
  <c r="J246" i="7"/>
  <c r="N248" i="7" l="1"/>
  <c r="D248" i="7"/>
  <c r="P248" i="7"/>
  <c r="O248" i="7" a="1"/>
  <c r="O248" i="7" s="1"/>
  <c r="E249" i="7" a="1"/>
  <c r="E249" i="7" s="1"/>
  <c r="L247" i="7"/>
  <c r="K247" i="7"/>
  <c r="J247" i="7"/>
  <c r="I247" i="7"/>
  <c r="H247" i="7"/>
  <c r="G247" i="7"/>
  <c r="F247" i="7"/>
  <c r="M247" i="7"/>
  <c r="P249" i="7" l="1"/>
  <c r="O249" i="7" a="1"/>
  <c r="O249" i="7" s="1"/>
  <c r="N249" i="7"/>
  <c r="D249" i="7"/>
  <c r="E250" i="7" a="1"/>
  <c r="E250" i="7" s="1"/>
  <c r="G248" i="7"/>
  <c r="F248" i="7"/>
  <c r="M248" i="7"/>
  <c r="L248" i="7"/>
  <c r="K248" i="7"/>
  <c r="J248" i="7"/>
  <c r="I248" i="7"/>
  <c r="H248" i="7"/>
  <c r="D250" i="7" l="1"/>
  <c r="P250" i="7"/>
  <c r="O250" i="7" a="1"/>
  <c r="O250" i="7" s="1"/>
  <c r="N250" i="7"/>
  <c r="E251" i="7" a="1"/>
  <c r="E251" i="7" s="1"/>
  <c r="J249" i="7"/>
  <c r="I249" i="7"/>
  <c r="H249" i="7"/>
  <c r="G249" i="7"/>
  <c r="F249" i="7"/>
  <c r="M249" i="7"/>
  <c r="L249" i="7"/>
  <c r="K249" i="7"/>
  <c r="O251" i="7" l="1" a="1"/>
  <c r="O251" i="7" s="1"/>
  <c r="N251" i="7"/>
  <c r="D251" i="7"/>
  <c r="P251" i="7"/>
  <c r="E252" i="7" a="1"/>
  <c r="E252" i="7" s="1"/>
  <c r="M250" i="7"/>
  <c r="L250" i="7"/>
  <c r="K250" i="7"/>
  <c r="J250" i="7"/>
  <c r="I250" i="7"/>
  <c r="H250" i="7"/>
  <c r="G250" i="7"/>
  <c r="F250" i="7"/>
  <c r="D252" i="7" l="1"/>
  <c r="P252" i="7"/>
  <c r="O252" i="7" a="1"/>
  <c r="O252" i="7" s="1"/>
  <c r="N252" i="7"/>
  <c r="E253" i="7" a="1"/>
  <c r="E253" i="7" s="1"/>
  <c r="H251" i="7"/>
  <c r="G251" i="7"/>
  <c r="F251" i="7"/>
  <c r="M251" i="7"/>
  <c r="L251" i="7"/>
  <c r="K251" i="7"/>
  <c r="J251" i="7"/>
  <c r="I251" i="7"/>
  <c r="N253" i="7" l="1"/>
  <c r="D253" i="7"/>
  <c r="P253" i="7"/>
  <c r="O253" i="7" a="1"/>
  <c r="O253" i="7" s="1"/>
  <c r="E254" i="7" a="1"/>
  <c r="E254" i="7" s="1"/>
  <c r="K252" i="7"/>
  <c r="J252" i="7"/>
  <c r="I252" i="7"/>
  <c r="H252" i="7"/>
  <c r="G252" i="7"/>
  <c r="F252" i="7"/>
  <c r="M252" i="7"/>
  <c r="L252" i="7"/>
  <c r="P254" i="7" l="1"/>
  <c r="O254" i="7" a="1"/>
  <c r="O254" i="7" s="1"/>
  <c r="N254" i="7"/>
  <c r="D254" i="7"/>
  <c r="E255" i="7" a="1"/>
  <c r="E255" i="7" s="1"/>
  <c r="F253" i="7"/>
  <c r="M253" i="7"/>
  <c r="L253" i="7"/>
  <c r="K253" i="7"/>
  <c r="J253" i="7"/>
  <c r="I253" i="7"/>
  <c r="H253" i="7"/>
  <c r="G253" i="7"/>
  <c r="D255" i="7" l="1"/>
  <c r="P255" i="7"/>
  <c r="O255" i="7" a="1"/>
  <c r="O255" i="7" s="1"/>
  <c r="N255" i="7"/>
  <c r="E256" i="7" a="1"/>
  <c r="E256" i="7" s="1"/>
  <c r="I254" i="7"/>
  <c r="H254" i="7"/>
  <c r="G254" i="7"/>
  <c r="F254" i="7"/>
  <c r="M254" i="7"/>
  <c r="L254" i="7"/>
  <c r="K254" i="7"/>
  <c r="J254" i="7"/>
  <c r="N256" i="7" l="1"/>
  <c r="D256" i="7"/>
  <c r="P256" i="7"/>
  <c r="O256" i="7" a="1"/>
  <c r="O256" i="7" s="1"/>
  <c r="E257" i="7" a="1"/>
  <c r="E257" i="7" s="1"/>
  <c r="L255" i="7"/>
  <c r="K255" i="7"/>
  <c r="J255" i="7"/>
  <c r="I255" i="7"/>
  <c r="H255" i="7"/>
  <c r="G255" i="7"/>
  <c r="F255" i="7"/>
  <c r="M255" i="7"/>
  <c r="P257" i="7" l="1"/>
  <c r="O257" i="7" a="1"/>
  <c r="O257" i="7" s="1"/>
  <c r="N257" i="7"/>
  <c r="D257" i="7"/>
  <c r="E258" i="7" a="1"/>
  <c r="E258" i="7" s="1"/>
  <c r="G256" i="7"/>
  <c r="F256" i="7"/>
  <c r="M256" i="7"/>
  <c r="L256" i="7"/>
  <c r="K256" i="7"/>
  <c r="J256" i="7"/>
  <c r="I256" i="7"/>
  <c r="H256" i="7"/>
  <c r="D258" i="7" l="1"/>
  <c r="P258" i="7"/>
  <c r="O258" i="7" a="1"/>
  <c r="O258" i="7" s="1"/>
  <c r="N258" i="7"/>
  <c r="E259" i="7" a="1"/>
  <c r="E259" i="7" s="1"/>
  <c r="J257" i="7"/>
  <c r="I257" i="7"/>
  <c r="H257" i="7"/>
  <c r="G257" i="7"/>
  <c r="F257" i="7"/>
  <c r="M257" i="7"/>
  <c r="L257" i="7"/>
  <c r="K257" i="7"/>
  <c r="O259" i="7" l="1" a="1"/>
  <c r="O259" i="7" s="1"/>
  <c r="N259" i="7"/>
  <c r="D259" i="7"/>
  <c r="P259" i="7"/>
  <c r="E260" i="7" a="1"/>
  <c r="E260" i="7" s="1"/>
  <c r="M258" i="7"/>
  <c r="L258" i="7"/>
  <c r="K258" i="7"/>
  <c r="J258" i="7"/>
  <c r="I258" i="7"/>
  <c r="H258" i="7"/>
  <c r="G258" i="7"/>
  <c r="F258" i="7"/>
  <c r="D260" i="7" l="1"/>
  <c r="P260" i="7"/>
  <c r="O260" i="7" a="1"/>
  <c r="O260" i="7" s="1"/>
  <c r="N260" i="7"/>
  <c r="E261" i="7" a="1"/>
  <c r="E261" i="7" s="1"/>
  <c r="H259" i="7"/>
  <c r="G259" i="7"/>
  <c r="F259" i="7"/>
  <c r="M259" i="7"/>
  <c r="L259" i="7"/>
  <c r="K259" i="7"/>
  <c r="J259" i="7"/>
  <c r="I259" i="7"/>
  <c r="O261" i="7" l="1" a="1"/>
  <c r="O261" i="7" s="1"/>
  <c r="D261" i="7"/>
  <c r="P261" i="7"/>
  <c r="N261" i="7"/>
  <c r="E262" i="7" a="1"/>
  <c r="E262" i="7" s="1"/>
  <c r="K260" i="7"/>
  <c r="J260" i="7"/>
  <c r="I260" i="7"/>
  <c r="H260" i="7"/>
  <c r="G260" i="7"/>
  <c r="F260" i="7"/>
  <c r="M260" i="7"/>
  <c r="L260" i="7"/>
  <c r="D262" i="7" l="1"/>
  <c r="P262" i="7"/>
  <c r="O262" i="7" a="1"/>
  <c r="O262" i="7" s="1"/>
  <c r="N262" i="7"/>
  <c r="E263" i="7" a="1"/>
  <c r="E263" i="7" s="1"/>
  <c r="H261" i="7"/>
  <c r="L261" i="7"/>
  <c r="K261" i="7"/>
  <c r="J261" i="7"/>
  <c r="I261" i="7"/>
  <c r="G261" i="7"/>
  <c r="F261" i="7"/>
  <c r="M261" i="7"/>
  <c r="N263" i="7" l="1"/>
  <c r="O263" i="7" a="1"/>
  <c r="O263" i="7" s="1"/>
  <c r="P263" i="7"/>
  <c r="D263" i="7"/>
  <c r="E264" i="7" a="1"/>
  <c r="E264" i="7" s="1"/>
  <c r="K262" i="7"/>
  <c r="H262" i="7"/>
  <c r="G262" i="7"/>
  <c r="F262" i="7"/>
  <c r="M262" i="7"/>
  <c r="L262" i="7"/>
  <c r="J262" i="7"/>
  <c r="I262" i="7"/>
  <c r="P264" i="7" l="1"/>
  <c r="N264" i="7"/>
  <c r="D264" i="7"/>
  <c r="O264" i="7" a="1"/>
  <c r="O264" i="7" s="1"/>
  <c r="E265" i="7" a="1"/>
  <c r="E265" i="7" s="1"/>
  <c r="F263" i="7"/>
  <c r="H263" i="7"/>
  <c r="I263" i="7"/>
  <c r="G263" i="7"/>
  <c r="M263" i="7"/>
  <c r="L263" i="7"/>
  <c r="K263" i="7"/>
  <c r="J263" i="7"/>
  <c r="J264" i="7" l="1"/>
  <c r="I264" i="7"/>
  <c r="G264" i="7"/>
  <c r="F264" i="7"/>
  <c r="K264" i="7"/>
  <c r="M264" i="7"/>
  <c r="L264" i="7"/>
  <c r="H264" i="7"/>
  <c r="P265" i="7"/>
  <c r="N265" i="7"/>
  <c r="O265" i="7" a="1"/>
  <c r="O265" i="7" s="1"/>
  <c r="D265" i="7"/>
  <c r="E266" i="7" a="1"/>
  <c r="E266" i="7" s="1"/>
  <c r="O266" i="7" l="1" a="1"/>
  <c r="O266" i="7" s="1"/>
  <c r="P266" i="7"/>
  <c r="D266" i="7"/>
  <c r="N266" i="7"/>
  <c r="E267" i="7" a="1"/>
  <c r="E267" i="7" s="1"/>
  <c r="M265" i="7"/>
  <c r="L265" i="7"/>
  <c r="J265" i="7"/>
  <c r="I265" i="7"/>
  <c r="G265" i="7"/>
  <c r="F265" i="7"/>
  <c r="K265" i="7"/>
  <c r="H265" i="7"/>
  <c r="H266" i="7" l="1"/>
  <c r="G266" i="7"/>
  <c r="M266" i="7"/>
  <c r="L266" i="7"/>
  <c r="J266" i="7"/>
  <c r="I266" i="7"/>
  <c r="K266" i="7"/>
  <c r="F266" i="7"/>
  <c r="D267" i="7"/>
  <c r="O267" i="7" a="1"/>
  <c r="O267" i="7" s="1"/>
  <c r="N267" i="7"/>
  <c r="P267" i="7"/>
  <c r="E268" i="7" a="1"/>
  <c r="E268" i="7" s="1"/>
  <c r="N268" i="7" l="1"/>
  <c r="D268" i="7"/>
  <c r="P268" i="7"/>
  <c r="O268" i="7" a="1"/>
  <c r="O268" i="7" s="1"/>
  <c r="E269" i="7" a="1"/>
  <c r="E269" i="7" s="1"/>
  <c r="K267" i="7"/>
  <c r="J267" i="7"/>
  <c r="H267" i="7"/>
  <c r="G267" i="7"/>
  <c r="F267" i="7"/>
  <c r="M267" i="7"/>
  <c r="L267" i="7"/>
  <c r="I267" i="7"/>
  <c r="P269" i="7" l="1"/>
  <c r="O269" i="7" a="1"/>
  <c r="O269" i="7" s="1"/>
  <c r="N269" i="7"/>
  <c r="D269" i="7"/>
  <c r="E270" i="7" a="1"/>
  <c r="E270" i="7" s="1"/>
  <c r="F268" i="7"/>
  <c r="M268" i="7"/>
  <c r="L268" i="7"/>
  <c r="K268" i="7"/>
  <c r="J268" i="7"/>
  <c r="I268" i="7"/>
  <c r="H268" i="7"/>
  <c r="G268" i="7"/>
  <c r="D270" i="7" l="1"/>
  <c r="P270" i="7"/>
  <c r="O270" i="7" a="1"/>
  <c r="O270" i="7" s="1"/>
  <c r="N270" i="7"/>
  <c r="E271" i="7" a="1"/>
  <c r="E271" i="7" s="1"/>
  <c r="I269" i="7"/>
  <c r="H269" i="7"/>
  <c r="G269" i="7"/>
  <c r="F269" i="7"/>
  <c r="M269" i="7"/>
  <c r="L269" i="7"/>
  <c r="K269" i="7"/>
  <c r="J269" i="7"/>
  <c r="N271" i="7" l="1"/>
  <c r="D271" i="7"/>
  <c r="P271" i="7"/>
  <c r="O271" i="7" a="1"/>
  <c r="O271" i="7" s="1"/>
  <c r="E272" i="7" a="1"/>
  <c r="E272" i="7" s="1"/>
  <c r="L270" i="7"/>
  <c r="K270" i="7"/>
  <c r="J270" i="7"/>
  <c r="I270" i="7"/>
  <c r="H270" i="7"/>
  <c r="G270" i="7"/>
  <c r="F270" i="7"/>
  <c r="M270" i="7"/>
  <c r="P272" i="7" l="1"/>
  <c r="O272" i="7" a="1"/>
  <c r="O272" i="7" s="1"/>
  <c r="N272" i="7"/>
  <c r="D272" i="7"/>
  <c r="E273" i="7" a="1"/>
  <c r="E273" i="7" s="1"/>
  <c r="G271" i="7"/>
  <c r="F271" i="7"/>
  <c r="M271" i="7"/>
  <c r="L271" i="7"/>
  <c r="K271" i="7"/>
  <c r="J271" i="7"/>
  <c r="I271" i="7"/>
  <c r="H271" i="7"/>
  <c r="D273" i="7" l="1"/>
  <c r="P273" i="7"/>
  <c r="O273" i="7" a="1"/>
  <c r="O273" i="7" s="1"/>
  <c r="N273" i="7"/>
  <c r="E274" i="7" a="1"/>
  <c r="E274" i="7" s="1"/>
  <c r="J272" i="7"/>
  <c r="I272" i="7"/>
  <c r="H272" i="7"/>
  <c r="G272" i="7"/>
  <c r="F272" i="7"/>
  <c r="M272" i="7"/>
  <c r="L272" i="7"/>
  <c r="K272" i="7"/>
  <c r="O274" i="7" l="1" a="1"/>
  <c r="O274" i="7" s="1"/>
  <c r="N274" i="7"/>
  <c r="D274" i="7"/>
  <c r="P274" i="7"/>
  <c r="E275" i="7" a="1"/>
  <c r="E275" i="7" s="1"/>
  <c r="M273" i="7"/>
  <c r="L273" i="7"/>
  <c r="K273" i="7"/>
  <c r="J273" i="7"/>
  <c r="I273" i="7"/>
  <c r="H273" i="7"/>
  <c r="G273" i="7"/>
  <c r="F273" i="7"/>
  <c r="D275" i="7" l="1"/>
  <c r="P275" i="7"/>
  <c r="O275" i="7" a="1"/>
  <c r="O275" i="7" s="1"/>
  <c r="N275" i="7"/>
  <c r="E276" i="7" a="1"/>
  <c r="E276" i="7" s="1"/>
  <c r="H274" i="7"/>
  <c r="G274" i="7"/>
  <c r="F274" i="7"/>
  <c r="M274" i="7"/>
  <c r="L274" i="7"/>
  <c r="K274" i="7"/>
  <c r="J274" i="7"/>
  <c r="I274" i="7"/>
  <c r="N276" i="7" l="1"/>
  <c r="D276" i="7"/>
  <c r="P276" i="7"/>
  <c r="O276" i="7" a="1"/>
  <c r="O276" i="7" s="1"/>
  <c r="E277" i="7" a="1"/>
  <c r="E277" i="7" s="1"/>
  <c r="K275" i="7"/>
  <c r="J275" i="7"/>
  <c r="I275" i="7"/>
  <c r="H275" i="7"/>
  <c r="G275" i="7"/>
  <c r="F275" i="7"/>
  <c r="M275" i="7"/>
  <c r="L275" i="7"/>
  <c r="P277" i="7" l="1"/>
  <c r="O277" i="7" a="1"/>
  <c r="O277" i="7" s="1"/>
  <c r="N277" i="7"/>
  <c r="D277" i="7"/>
  <c r="E278" i="7" a="1"/>
  <c r="E278" i="7" s="1"/>
  <c r="F276" i="7"/>
  <c r="M276" i="7"/>
  <c r="L276" i="7"/>
  <c r="K276" i="7"/>
  <c r="J276" i="7"/>
  <c r="I276" i="7"/>
  <c r="H276" i="7"/>
  <c r="G276" i="7"/>
  <c r="D278" i="7" l="1"/>
  <c r="P278" i="7"/>
  <c r="O278" i="7" a="1"/>
  <c r="O278" i="7" s="1"/>
  <c r="N278" i="7"/>
  <c r="E279" i="7" a="1"/>
  <c r="E279" i="7" s="1"/>
  <c r="I277" i="7"/>
  <c r="H277" i="7"/>
  <c r="G277" i="7"/>
  <c r="F277" i="7"/>
  <c r="M277" i="7"/>
  <c r="L277" i="7"/>
  <c r="K277" i="7"/>
  <c r="J277" i="7"/>
  <c r="N279" i="7" l="1"/>
  <c r="D279" i="7"/>
  <c r="P279" i="7"/>
  <c r="O279" i="7" a="1"/>
  <c r="O279" i="7" s="1"/>
  <c r="E280" i="7" a="1"/>
  <c r="E280" i="7" s="1"/>
  <c r="L278" i="7"/>
  <c r="K278" i="7"/>
  <c r="J278" i="7"/>
  <c r="I278" i="7"/>
  <c r="H278" i="7"/>
  <c r="G278" i="7"/>
  <c r="F278" i="7"/>
  <c r="M278" i="7"/>
  <c r="P280" i="7" l="1"/>
  <c r="O280" i="7" a="1"/>
  <c r="O280" i="7" s="1"/>
  <c r="N280" i="7"/>
  <c r="D280" i="7"/>
  <c r="E281" i="7" a="1"/>
  <c r="E281" i="7" s="1"/>
  <c r="G279" i="7"/>
  <c r="F279" i="7"/>
  <c r="M279" i="7"/>
  <c r="L279" i="7"/>
  <c r="K279" i="7"/>
  <c r="J279" i="7"/>
  <c r="I279" i="7"/>
  <c r="H279" i="7"/>
  <c r="D281" i="7" l="1"/>
  <c r="P281" i="7"/>
  <c r="O281" i="7" a="1"/>
  <c r="O281" i="7" s="1"/>
  <c r="N281" i="7"/>
  <c r="E282" i="7" a="1"/>
  <c r="E282" i="7" s="1"/>
  <c r="J280" i="7"/>
  <c r="I280" i="7"/>
  <c r="H280" i="7"/>
  <c r="G280" i="7"/>
  <c r="F280" i="7"/>
  <c r="M280" i="7"/>
  <c r="L280" i="7"/>
  <c r="K280" i="7"/>
  <c r="O282" i="7" l="1" a="1"/>
  <c r="O282" i="7" s="1"/>
  <c r="N282" i="7"/>
  <c r="D282" i="7"/>
  <c r="P282" i="7"/>
  <c r="E283" i="7" a="1"/>
  <c r="E283" i="7" s="1"/>
  <c r="M281" i="7"/>
  <c r="L281" i="7"/>
  <c r="K281" i="7"/>
  <c r="J281" i="7"/>
  <c r="I281" i="7"/>
  <c r="H281" i="7"/>
  <c r="G281" i="7"/>
  <c r="F281" i="7"/>
  <c r="D283" i="7" l="1"/>
  <c r="P283" i="7"/>
  <c r="O283" i="7" a="1"/>
  <c r="O283" i="7" s="1"/>
  <c r="N283" i="7"/>
  <c r="E284" i="7" a="1"/>
  <c r="E284" i="7" s="1"/>
  <c r="H282" i="7"/>
  <c r="G282" i="7"/>
  <c r="F282" i="7"/>
  <c r="M282" i="7"/>
  <c r="L282" i="7"/>
  <c r="K282" i="7"/>
  <c r="J282" i="7"/>
  <c r="I282" i="7"/>
  <c r="N284" i="7" l="1"/>
  <c r="D284" i="7"/>
  <c r="P284" i="7"/>
  <c r="O284" i="7" a="1"/>
  <c r="O284" i="7" s="1"/>
  <c r="E285" i="7" a="1"/>
  <c r="E285" i="7" s="1"/>
  <c r="K283" i="7"/>
  <c r="J283" i="7"/>
  <c r="I283" i="7"/>
  <c r="H283" i="7"/>
  <c r="G283" i="7"/>
  <c r="F283" i="7"/>
  <c r="M283" i="7"/>
  <c r="L283" i="7"/>
  <c r="P285" i="7" l="1"/>
  <c r="O285" i="7" a="1"/>
  <c r="O285" i="7" s="1"/>
  <c r="N285" i="7"/>
  <c r="D285" i="7"/>
  <c r="E286" i="7" a="1"/>
  <c r="E286" i="7" s="1"/>
  <c r="F284" i="7"/>
  <c r="M284" i="7"/>
  <c r="L284" i="7"/>
  <c r="K284" i="7"/>
  <c r="J284" i="7"/>
  <c r="I284" i="7"/>
  <c r="H284" i="7"/>
  <c r="G284" i="7"/>
  <c r="D286" i="7" l="1"/>
  <c r="P286" i="7"/>
  <c r="O286" i="7" a="1"/>
  <c r="O286" i="7" s="1"/>
  <c r="N286" i="7"/>
  <c r="E287" i="7" a="1"/>
  <c r="E287" i="7" s="1"/>
  <c r="I285" i="7"/>
  <c r="H285" i="7"/>
  <c r="G285" i="7"/>
  <c r="F285" i="7"/>
  <c r="M285" i="7"/>
  <c r="L285" i="7"/>
  <c r="K285" i="7"/>
  <c r="J285" i="7"/>
  <c r="N287" i="7" l="1"/>
  <c r="D287" i="7"/>
  <c r="P287" i="7"/>
  <c r="O287" i="7" a="1"/>
  <c r="O287" i="7" s="1"/>
  <c r="E288" i="7" a="1"/>
  <c r="E288" i="7" s="1"/>
  <c r="L286" i="7"/>
  <c r="K286" i="7"/>
  <c r="J286" i="7"/>
  <c r="I286" i="7"/>
  <c r="H286" i="7"/>
  <c r="G286" i="7"/>
  <c r="F286" i="7"/>
  <c r="M286" i="7"/>
  <c r="P288" i="7" l="1"/>
  <c r="O288" i="7" a="1"/>
  <c r="O288" i="7" s="1"/>
  <c r="N288" i="7"/>
  <c r="D288" i="7"/>
  <c r="E289" i="7" a="1"/>
  <c r="E289" i="7" s="1"/>
  <c r="G287" i="7"/>
  <c r="F287" i="7"/>
  <c r="M287" i="7"/>
  <c r="L287" i="7"/>
  <c r="K287" i="7"/>
  <c r="J287" i="7"/>
  <c r="I287" i="7"/>
  <c r="H287" i="7"/>
  <c r="D289" i="7" l="1"/>
  <c r="P289" i="7"/>
  <c r="O289" i="7" a="1"/>
  <c r="O289" i="7" s="1"/>
  <c r="N289" i="7"/>
  <c r="E290" i="7" a="1"/>
  <c r="E290" i="7" s="1"/>
  <c r="J288" i="7"/>
  <c r="I288" i="7"/>
  <c r="H288" i="7"/>
  <c r="G288" i="7"/>
  <c r="F288" i="7"/>
  <c r="M288" i="7"/>
  <c r="L288" i="7"/>
  <c r="K288" i="7"/>
  <c r="O290" i="7" l="1" a="1"/>
  <c r="O290" i="7" s="1"/>
  <c r="N290" i="7"/>
  <c r="D290" i="7"/>
  <c r="P290" i="7"/>
  <c r="E291" i="7" a="1"/>
  <c r="E291" i="7" s="1"/>
  <c r="M289" i="7"/>
  <c r="L289" i="7"/>
  <c r="K289" i="7"/>
  <c r="J289" i="7"/>
  <c r="I289" i="7"/>
  <c r="H289" i="7"/>
  <c r="G289" i="7"/>
  <c r="F289" i="7"/>
  <c r="D291" i="7" l="1"/>
  <c r="P291" i="7"/>
  <c r="O291" i="7" a="1"/>
  <c r="O291" i="7" s="1"/>
  <c r="N291" i="7"/>
  <c r="E292" i="7" a="1"/>
  <c r="E292" i="7" s="1"/>
  <c r="H290" i="7"/>
  <c r="G290" i="7"/>
  <c r="F290" i="7"/>
  <c r="M290" i="7"/>
  <c r="L290" i="7"/>
  <c r="K290" i="7"/>
  <c r="J290" i="7"/>
  <c r="I290" i="7"/>
  <c r="N292" i="7" l="1"/>
  <c r="D292" i="7"/>
  <c r="P292" i="7"/>
  <c r="O292" i="7" a="1"/>
  <c r="O292" i="7" s="1"/>
  <c r="E293" i="7" a="1"/>
  <c r="E293" i="7" s="1"/>
  <c r="K291" i="7"/>
  <c r="J291" i="7"/>
  <c r="I291" i="7"/>
  <c r="H291" i="7"/>
  <c r="G291" i="7"/>
  <c r="F291" i="7"/>
  <c r="M291" i="7"/>
  <c r="L291" i="7"/>
  <c r="P293" i="7" l="1"/>
  <c r="O293" i="7" a="1"/>
  <c r="O293" i="7" s="1"/>
  <c r="N293" i="7"/>
  <c r="D293" i="7"/>
  <c r="E294" i="7" a="1"/>
  <c r="E294" i="7" s="1"/>
  <c r="F292" i="7"/>
  <c r="M292" i="7"/>
  <c r="L292" i="7"/>
  <c r="K292" i="7"/>
  <c r="J292" i="7"/>
  <c r="I292" i="7"/>
  <c r="H292" i="7"/>
  <c r="G292" i="7"/>
  <c r="D294" i="7" l="1"/>
  <c r="P294" i="7"/>
  <c r="O294" i="7" a="1"/>
  <c r="O294" i="7" s="1"/>
  <c r="N294" i="7"/>
  <c r="E295" i="7" a="1"/>
  <c r="E295" i="7" s="1"/>
  <c r="I293" i="7"/>
  <c r="H293" i="7"/>
  <c r="G293" i="7"/>
  <c r="F293" i="7"/>
  <c r="M293" i="7"/>
  <c r="L293" i="7"/>
  <c r="K293" i="7"/>
  <c r="J293" i="7"/>
  <c r="P295" i="7" l="1"/>
  <c r="O295" i="7" a="1"/>
  <c r="O295" i="7" s="1"/>
  <c r="N295" i="7"/>
  <c r="D295" i="7"/>
  <c r="E296" i="7" a="1"/>
  <c r="E296" i="7" s="1"/>
  <c r="L294" i="7"/>
  <c r="K294" i="7"/>
  <c r="J294" i="7"/>
  <c r="I294" i="7"/>
  <c r="H294" i="7"/>
  <c r="G294" i="7"/>
  <c r="F294" i="7"/>
  <c r="M294" i="7"/>
  <c r="N296" i="7" l="1"/>
  <c r="D296" i="7"/>
  <c r="P296" i="7"/>
  <c r="O296" i="7" a="1"/>
  <c r="O296" i="7" s="1"/>
  <c r="E297" i="7" a="1"/>
  <c r="E297" i="7" s="1"/>
  <c r="J295" i="7"/>
  <c r="H295" i="7"/>
  <c r="G295" i="7"/>
  <c r="F295" i="7"/>
  <c r="M295" i="7"/>
  <c r="L295" i="7"/>
  <c r="K295" i="7"/>
  <c r="I295" i="7"/>
  <c r="O297" i="7" l="1" a="1"/>
  <c r="O297" i="7" s="1"/>
  <c r="N297" i="7"/>
  <c r="D297" i="7"/>
  <c r="P297" i="7"/>
  <c r="E298" i="7" a="1"/>
  <c r="E298" i="7" s="1"/>
  <c r="M296" i="7"/>
  <c r="L296" i="7"/>
  <c r="K296" i="7"/>
  <c r="J296" i="7"/>
  <c r="I296" i="7"/>
  <c r="H296" i="7"/>
  <c r="G296" i="7"/>
  <c r="F296" i="7"/>
  <c r="D298" i="7" l="1"/>
  <c r="P298" i="7"/>
  <c r="O298" i="7" a="1"/>
  <c r="O298" i="7" s="1"/>
  <c r="N298" i="7"/>
  <c r="E299" i="7" a="1"/>
  <c r="E299" i="7" s="1"/>
  <c r="L297" i="7"/>
  <c r="H297" i="7"/>
  <c r="M297" i="7"/>
  <c r="K297" i="7"/>
  <c r="J297" i="7"/>
  <c r="I297" i="7"/>
  <c r="G297" i="7"/>
  <c r="F297" i="7"/>
  <c r="N299" i="7" l="1"/>
  <c r="D299" i="7"/>
  <c r="P299" i="7"/>
  <c r="O299" i="7" a="1"/>
  <c r="O299" i="7" s="1"/>
  <c r="E300" i="7" a="1"/>
  <c r="E300" i="7" s="1"/>
  <c r="J298" i="7"/>
  <c r="G298" i="7"/>
  <c r="K298" i="7"/>
  <c r="I298" i="7"/>
  <c r="H298" i="7"/>
  <c r="F298" i="7"/>
  <c r="M298" i="7"/>
  <c r="L298" i="7"/>
  <c r="O300" i="7" l="1" a="1"/>
  <c r="O300" i="7" s="1"/>
  <c r="P300" i="7"/>
  <c r="N300" i="7"/>
  <c r="D300" i="7"/>
  <c r="E301" i="7" a="1"/>
  <c r="E301" i="7" s="1"/>
  <c r="M299" i="7"/>
  <c r="J299" i="7"/>
  <c r="G299" i="7"/>
  <c r="F299" i="7"/>
  <c r="L299" i="7"/>
  <c r="K299" i="7"/>
  <c r="I299" i="7"/>
  <c r="H299" i="7"/>
  <c r="D301" i="7" l="1"/>
  <c r="O301" i="7" a="1"/>
  <c r="O301" i="7" s="1"/>
  <c r="P301" i="7"/>
  <c r="N301" i="7"/>
  <c r="E302" i="7" a="1"/>
  <c r="E302" i="7" s="1"/>
  <c r="H300" i="7"/>
  <c r="G300" i="7"/>
  <c r="M300" i="7"/>
  <c r="J300" i="7"/>
  <c r="I300" i="7"/>
  <c r="L300" i="7"/>
  <c r="K300" i="7"/>
  <c r="F300" i="7"/>
  <c r="N302" i="7" l="1"/>
  <c r="D302" i="7"/>
  <c r="O302" i="7" a="1"/>
  <c r="O302" i="7" s="1"/>
  <c r="P302" i="7"/>
  <c r="E303" i="7" a="1"/>
  <c r="E303" i="7" s="1"/>
  <c r="K301" i="7"/>
  <c r="J301" i="7"/>
  <c r="H301" i="7"/>
  <c r="G301" i="7"/>
  <c r="M301" i="7"/>
  <c r="L301" i="7"/>
  <c r="I301" i="7"/>
  <c r="F301" i="7"/>
  <c r="P303" i="7" l="1"/>
  <c r="O303" i="7" a="1"/>
  <c r="O303" i="7" s="1"/>
  <c r="N303" i="7"/>
  <c r="D303" i="7"/>
  <c r="E304" i="7" a="1"/>
  <c r="E304" i="7" s="1"/>
  <c r="F302" i="7"/>
  <c r="M302" i="7"/>
  <c r="K302" i="7"/>
  <c r="J302" i="7"/>
  <c r="H302" i="7"/>
  <c r="G302" i="7"/>
  <c r="L302" i="7"/>
  <c r="I302" i="7"/>
  <c r="D304" i="7" l="1"/>
  <c r="P304" i="7"/>
  <c r="O304" i="7" a="1"/>
  <c r="O304" i="7" s="1"/>
  <c r="N304" i="7"/>
  <c r="E305" i="7" a="1"/>
  <c r="E305" i="7" s="1"/>
  <c r="I303" i="7"/>
  <c r="H303" i="7"/>
  <c r="G303" i="7"/>
  <c r="F303" i="7"/>
  <c r="M303" i="7"/>
  <c r="L303" i="7"/>
  <c r="K303" i="7"/>
  <c r="J303" i="7"/>
  <c r="N305" i="7" l="1"/>
  <c r="D305" i="7"/>
  <c r="P305" i="7"/>
  <c r="O305" i="7" a="1"/>
  <c r="O305" i="7" s="1"/>
  <c r="E306" i="7" a="1"/>
  <c r="E306" i="7" s="1"/>
  <c r="L304" i="7"/>
  <c r="K304" i="7"/>
  <c r="J304" i="7"/>
  <c r="I304" i="7"/>
  <c r="H304" i="7"/>
  <c r="G304" i="7"/>
  <c r="F304" i="7"/>
  <c r="M304" i="7"/>
  <c r="P306" i="7" l="1"/>
  <c r="O306" i="7" a="1"/>
  <c r="O306" i="7" s="1"/>
  <c r="N306" i="7"/>
  <c r="D306" i="7"/>
  <c r="E307" i="7" a="1"/>
  <c r="E307" i="7" s="1"/>
  <c r="G305" i="7"/>
  <c r="F305" i="7"/>
  <c r="M305" i="7"/>
  <c r="L305" i="7"/>
  <c r="K305" i="7"/>
  <c r="J305" i="7"/>
  <c r="I305" i="7"/>
  <c r="H305" i="7"/>
  <c r="D307" i="7" l="1"/>
  <c r="P307" i="7"/>
  <c r="O307" i="7" a="1"/>
  <c r="O307" i="7" s="1"/>
  <c r="N307" i="7"/>
  <c r="E308" i="7" a="1"/>
  <c r="E308" i="7" s="1"/>
  <c r="J306" i="7"/>
  <c r="I306" i="7"/>
  <c r="H306" i="7"/>
  <c r="G306" i="7"/>
  <c r="F306" i="7"/>
  <c r="M306" i="7"/>
  <c r="L306" i="7"/>
  <c r="K306" i="7"/>
  <c r="O308" i="7" l="1" a="1"/>
  <c r="O308" i="7" s="1"/>
  <c r="N308" i="7"/>
  <c r="D308" i="7"/>
  <c r="P308" i="7"/>
  <c r="E309" i="7" a="1"/>
  <c r="E309" i="7" s="1"/>
  <c r="M307" i="7"/>
  <c r="L307" i="7"/>
  <c r="K307" i="7"/>
  <c r="J307" i="7"/>
  <c r="I307" i="7"/>
  <c r="H307" i="7"/>
  <c r="G307" i="7"/>
  <c r="F307" i="7"/>
  <c r="D309" i="7" l="1"/>
  <c r="P309" i="7"/>
  <c r="O309" i="7" a="1"/>
  <c r="O309" i="7" s="1"/>
  <c r="N309" i="7"/>
  <c r="E310" i="7" a="1"/>
  <c r="E310" i="7" s="1"/>
  <c r="H308" i="7"/>
  <c r="G308" i="7"/>
  <c r="F308" i="7"/>
  <c r="M308" i="7"/>
  <c r="L308" i="7"/>
  <c r="K308" i="7"/>
  <c r="J308" i="7"/>
  <c r="I308" i="7"/>
  <c r="N310" i="7" l="1"/>
  <c r="D310" i="7"/>
  <c r="P310" i="7"/>
  <c r="O310" i="7" a="1"/>
  <c r="O310" i="7" s="1"/>
  <c r="E311" i="7" a="1"/>
  <c r="E311" i="7" s="1"/>
  <c r="K309" i="7"/>
  <c r="J309" i="7"/>
  <c r="I309" i="7"/>
  <c r="H309" i="7"/>
  <c r="G309" i="7"/>
  <c r="F309" i="7"/>
  <c r="M309" i="7"/>
  <c r="L309" i="7"/>
  <c r="P311" i="7" l="1"/>
  <c r="O311" i="7" a="1"/>
  <c r="O311" i="7" s="1"/>
  <c r="N311" i="7"/>
  <c r="D311" i="7"/>
  <c r="E312" i="7" a="1"/>
  <c r="E312" i="7" s="1"/>
  <c r="F310" i="7"/>
  <c r="M310" i="7"/>
  <c r="L310" i="7"/>
  <c r="K310" i="7"/>
  <c r="J310" i="7"/>
  <c r="I310" i="7"/>
  <c r="H310" i="7"/>
  <c r="G310" i="7"/>
  <c r="D312" i="7" l="1"/>
  <c r="P312" i="7"/>
  <c r="O312" i="7" a="1"/>
  <c r="O312" i="7" s="1"/>
  <c r="N312" i="7"/>
  <c r="E313" i="7" a="1"/>
  <c r="E313" i="7" s="1"/>
  <c r="I311" i="7"/>
  <c r="H311" i="7"/>
  <c r="G311" i="7"/>
  <c r="F311" i="7"/>
  <c r="M311" i="7"/>
  <c r="L311" i="7"/>
  <c r="K311" i="7"/>
  <c r="J311" i="7"/>
  <c r="N313" i="7" l="1"/>
  <c r="D313" i="7"/>
  <c r="P313" i="7"/>
  <c r="O313" i="7" a="1"/>
  <c r="O313" i="7" s="1"/>
  <c r="E314" i="7" a="1"/>
  <c r="E314" i="7" s="1"/>
  <c r="L312" i="7"/>
  <c r="K312" i="7"/>
  <c r="J312" i="7"/>
  <c r="I312" i="7"/>
  <c r="H312" i="7"/>
  <c r="G312" i="7"/>
  <c r="F312" i="7"/>
  <c r="M312" i="7"/>
  <c r="P314" i="7" l="1"/>
  <c r="O314" i="7" a="1"/>
  <c r="O314" i="7" s="1"/>
  <c r="N314" i="7"/>
  <c r="D314" i="7"/>
  <c r="E315" i="7" a="1"/>
  <c r="E315" i="7" s="1"/>
  <c r="G313" i="7"/>
  <c r="F313" i="7"/>
  <c r="M313" i="7"/>
  <c r="L313" i="7"/>
  <c r="K313" i="7"/>
  <c r="J313" i="7"/>
  <c r="I313" i="7"/>
  <c r="H313" i="7"/>
  <c r="D315" i="7" l="1"/>
  <c r="P315" i="7"/>
  <c r="O315" i="7" a="1"/>
  <c r="O315" i="7" s="1"/>
  <c r="N315" i="7"/>
  <c r="E316" i="7" a="1"/>
  <c r="E316" i="7" s="1"/>
  <c r="J314" i="7"/>
  <c r="I314" i="7"/>
  <c r="H314" i="7"/>
  <c r="G314" i="7"/>
  <c r="F314" i="7"/>
  <c r="M314" i="7"/>
  <c r="L314" i="7"/>
  <c r="K314" i="7"/>
  <c r="O316" i="7" l="1" a="1"/>
  <c r="O316" i="7" s="1"/>
  <c r="N316" i="7"/>
  <c r="D316" i="7"/>
  <c r="P316" i="7"/>
  <c r="E317" i="7" a="1"/>
  <c r="E317" i="7" s="1"/>
  <c r="M315" i="7"/>
  <c r="L315" i="7"/>
  <c r="K315" i="7"/>
  <c r="J315" i="7"/>
  <c r="I315" i="7"/>
  <c r="H315" i="7"/>
  <c r="G315" i="7"/>
  <c r="F315" i="7"/>
  <c r="D317" i="7" l="1"/>
  <c r="P317" i="7"/>
  <c r="O317" i="7" a="1"/>
  <c r="O317" i="7" s="1"/>
  <c r="N317" i="7"/>
  <c r="E318" i="7" a="1"/>
  <c r="E318" i="7" s="1"/>
  <c r="H316" i="7"/>
  <c r="G316" i="7"/>
  <c r="F316" i="7"/>
  <c r="M316" i="7"/>
  <c r="L316" i="7"/>
  <c r="K316" i="7"/>
  <c r="J316" i="7"/>
  <c r="I316" i="7"/>
  <c r="N318" i="7" l="1"/>
  <c r="D318" i="7"/>
  <c r="P318" i="7"/>
  <c r="O318" i="7" a="1"/>
  <c r="O318" i="7" s="1"/>
  <c r="E319" i="7" a="1"/>
  <c r="E319" i="7" s="1"/>
  <c r="K317" i="7"/>
  <c r="J317" i="7"/>
  <c r="I317" i="7"/>
  <c r="H317" i="7"/>
  <c r="G317" i="7"/>
  <c r="F317" i="7"/>
  <c r="M317" i="7"/>
  <c r="L317" i="7"/>
  <c r="P319" i="7" l="1"/>
  <c r="O319" i="7" a="1"/>
  <c r="O319" i="7" s="1"/>
  <c r="N319" i="7"/>
  <c r="D319" i="7"/>
  <c r="E320" i="7" a="1"/>
  <c r="E320" i="7" s="1"/>
  <c r="F318" i="7"/>
  <c r="M318" i="7"/>
  <c r="L318" i="7"/>
  <c r="K318" i="7"/>
  <c r="J318" i="7"/>
  <c r="I318" i="7"/>
  <c r="H318" i="7"/>
  <c r="G318" i="7"/>
  <c r="D320" i="7" l="1"/>
  <c r="P320" i="7"/>
  <c r="O320" i="7" a="1"/>
  <c r="O320" i="7" s="1"/>
  <c r="N320" i="7"/>
  <c r="E321" i="7" a="1"/>
  <c r="E321" i="7" s="1"/>
  <c r="I319" i="7"/>
  <c r="H319" i="7"/>
  <c r="G319" i="7"/>
  <c r="F319" i="7"/>
  <c r="M319" i="7"/>
  <c r="L319" i="7"/>
  <c r="K319" i="7"/>
  <c r="J319" i="7"/>
  <c r="N321" i="7" l="1"/>
  <c r="D321" i="7"/>
  <c r="P321" i="7"/>
  <c r="O321" i="7" a="1"/>
  <c r="O321" i="7" s="1"/>
  <c r="E322" i="7" a="1"/>
  <c r="E322" i="7" s="1"/>
  <c r="L320" i="7"/>
  <c r="K320" i="7"/>
  <c r="J320" i="7"/>
  <c r="I320" i="7"/>
  <c r="H320" i="7"/>
  <c r="G320" i="7"/>
  <c r="F320" i="7"/>
  <c r="M320" i="7"/>
  <c r="P322" i="7" l="1"/>
  <c r="O322" i="7" a="1"/>
  <c r="O322" i="7" s="1"/>
  <c r="N322" i="7"/>
  <c r="D322" i="7"/>
  <c r="E323" i="7" a="1"/>
  <c r="E323" i="7" s="1"/>
  <c r="G321" i="7"/>
  <c r="F321" i="7"/>
  <c r="M321" i="7"/>
  <c r="L321" i="7"/>
  <c r="K321" i="7"/>
  <c r="J321" i="7"/>
  <c r="I321" i="7"/>
  <c r="H321" i="7"/>
  <c r="D323" i="7" l="1"/>
  <c r="P323" i="7"/>
  <c r="O323" i="7" a="1"/>
  <c r="O323" i="7" s="1"/>
  <c r="N323" i="7"/>
  <c r="E324" i="7" a="1"/>
  <c r="E324" i="7" s="1"/>
  <c r="J322" i="7"/>
  <c r="I322" i="7"/>
  <c r="H322" i="7"/>
  <c r="G322" i="7"/>
  <c r="F322" i="7"/>
  <c r="M322" i="7"/>
  <c r="L322" i="7"/>
  <c r="K322" i="7"/>
  <c r="M323" i="7" l="1"/>
  <c r="L323" i="7"/>
  <c r="K323" i="7"/>
  <c r="J323" i="7"/>
  <c r="I323" i="7"/>
  <c r="H323" i="7"/>
  <c r="G323" i="7"/>
  <c r="F323" i="7"/>
  <c r="O324" i="7" a="1"/>
  <c r="O324" i="7" s="1"/>
  <c r="N324" i="7"/>
  <c r="D324" i="7"/>
  <c r="P324" i="7"/>
  <c r="E325" i="7" a="1"/>
  <c r="E325" i="7" s="1"/>
  <c r="D325" i="7" l="1"/>
  <c r="P325" i="7"/>
  <c r="O325" i="7" a="1"/>
  <c r="O325" i="7" s="1"/>
  <c r="N325" i="7"/>
  <c r="E326" i="7" a="1"/>
  <c r="E326" i="7" s="1"/>
  <c r="H324" i="7"/>
  <c r="G324" i="7"/>
  <c r="F324" i="7"/>
  <c r="M324" i="7"/>
  <c r="L324" i="7"/>
  <c r="K324" i="7"/>
  <c r="J324" i="7"/>
  <c r="I324" i="7"/>
  <c r="N326" i="7" l="1"/>
  <c r="D326" i="7"/>
  <c r="P326" i="7"/>
  <c r="O326" i="7" a="1"/>
  <c r="O326" i="7" s="1"/>
  <c r="E327" i="7" a="1"/>
  <c r="E327" i="7" s="1"/>
  <c r="K325" i="7"/>
  <c r="J325" i="7"/>
  <c r="I325" i="7"/>
  <c r="H325" i="7"/>
  <c r="G325" i="7"/>
  <c r="F325" i="7"/>
  <c r="M325" i="7"/>
  <c r="L325" i="7"/>
  <c r="P327" i="7" l="1"/>
  <c r="O327" i="7" a="1"/>
  <c r="O327" i="7" s="1"/>
  <c r="N327" i="7"/>
  <c r="D327" i="7"/>
  <c r="E328" i="7" a="1"/>
  <c r="E328" i="7" s="1"/>
  <c r="F326" i="7"/>
  <c r="M326" i="7"/>
  <c r="L326" i="7"/>
  <c r="K326" i="7"/>
  <c r="J326" i="7"/>
  <c r="I326" i="7"/>
  <c r="H326" i="7"/>
  <c r="G326" i="7"/>
  <c r="P328" i="7" l="1"/>
  <c r="N328" i="7"/>
  <c r="D328" i="7"/>
  <c r="O328" i="7" a="1"/>
  <c r="O328" i="7" s="1"/>
  <c r="E329" i="7" a="1"/>
  <c r="E329" i="7" s="1"/>
  <c r="I327" i="7"/>
  <c r="H327" i="7"/>
  <c r="G327" i="7"/>
  <c r="F327" i="7"/>
  <c r="M327" i="7"/>
  <c r="L327" i="7"/>
  <c r="K327" i="7"/>
  <c r="J327" i="7"/>
  <c r="I328" i="7" l="1"/>
  <c r="M328" i="7"/>
  <c r="L328" i="7"/>
  <c r="K328" i="7"/>
  <c r="J328" i="7"/>
  <c r="H328" i="7"/>
  <c r="G328" i="7"/>
  <c r="F328" i="7"/>
  <c r="P329" i="7"/>
  <c r="O329" i="7" a="1"/>
  <c r="O329" i="7" s="1"/>
  <c r="N329" i="7"/>
  <c r="D329" i="7"/>
  <c r="E330" i="7" a="1"/>
  <c r="E330" i="7" s="1"/>
  <c r="O330" i="7" l="1" a="1"/>
  <c r="O330" i="7" s="1"/>
  <c r="P330" i="7"/>
  <c r="N330" i="7"/>
  <c r="D330" i="7"/>
  <c r="E331" i="7" a="1"/>
  <c r="E331" i="7" s="1"/>
  <c r="L329" i="7"/>
  <c r="J329" i="7"/>
  <c r="G329" i="7"/>
  <c r="F329" i="7"/>
  <c r="M329" i="7"/>
  <c r="K329" i="7"/>
  <c r="I329" i="7"/>
  <c r="H329" i="7"/>
  <c r="D331" i="7" l="1"/>
  <c r="O331" i="7" a="1"/>
  <c r="O331" i="7" s="1"/>
  <c r="P331" i="7"/>
  <c r="N331" i="7"/>
  <c r="E332" i="7" a="1"/>
  <c r="E332" i="7" s="1"/>
  <c r="J330" i="7"/>
  <c r="H330" i="7"/>
  <c r="G330" i="7"/>
  <c r="M330" i="7"/>
  <c r="L330" i="7"/>
  <c r="K330" i="7"/>
  <c r="I330" i="7"/>
  <c r="F330" i="7"/>
  <c r="O332" i="7" l="1" a="1"/>
  <c r="O332" i="7" s="1"/>
  <c r="N332" i="7"/>
  <c r="D332" i="7"/>
  <c r="P332" i="7"/>
  <c r="E333" i="7" a="1"/>
  <c r="E333" i="7" s="1"/>
  <c r="M331" i="7"/>
  <c r="K331" i="7"/>
  <c r="J331" i="7"/>
  <c r="H331" i="7"/>
  <c r="G331" i="7"/>
  <c r="L331" i="7"/>
  <c r="I331" i="7"/>
  <c r="F331" i="7"/>
  <c r="D333" i="7" l="1"/>
  <c r="P333" i="7"/>
  <c r="O333" i="7" a="1"/>
  <c r="O333" i="7" s="1"/>
  <c r="N333" i="7"/>
  <c r="E334" i="7" a="1"/>
  <c r="E334" i="7" s="1"/>
  <c r="H332" i="7"/>
  <c r="G332" i="7"/>
  <c r="F332" i="7"/>
  <c r="M332" i="7"/>
  <c r="K332" i="7"/>
  <c r="J332" i="7"/>
  <c r="I332" i="7"/>
  <c r="L332" i="7"/>
  <c r="N334" i="7" l="1"/>
  <c r="D334" i="7"/>
  <c r="P334" i="7"/>
  <c r="O334" i="7" a="1"/>
  <c r="O334" i="7" s="1"/>
  <c r="E335" i="7" a="1"/>
  <c r="E335" i="7" s="1"/>
  <c r="K333" i="7"/>
  <c r="J333" i="7"/>
  <c r="I333" i="7"/>
  <c r="H333" i="7"/>
  <c r="F333" i="7"/>
  <c r="M333" i="7"/>
  <c r="L333" i="7"/>
  <c r="G333" i="7"/>
  <c r="P335" i="7" l="1"/>
  <c r="O335" i="7" a="1"/>
  <c r="O335" i="7" s="1"/>
  <c r="N335" i="7"/>
  <c r="D335" i="7"/>
  <c r="E336" i="7" a="1"/>
  <c r="E336" i="7" s="1"/>
  <c r="F334" i="7"/>
  <c r="M334" i="7"/>
  <c r="L334" i="7"/>
  <c r="K334" i="7"/>
  <c r="I334" i="7"/>
  <c r="H334" i="7"/>
  <c r="G334" i="7"/>
  <c r="J334" i="7"/>
  <c r="D336" i="7" l="1"/>
  <c r="P336" i="7"/>
  <c r="O336" i="7" a="1"/>
  <c r="O336" i="7" s="1"/>
  <c r="N336" i="7"/>
  <c r="E337" i="7" a="1"/>
  <c r="E337" i="7" s="1"/>
  <c r="I335" i="7"/>
  <c r="H335" i="7"/>
  <c r="G335" i="7"/>
  <c r="F335" i="7"/>
  <c r="M335" i="7"/>
  <c r="L335" i="7"/>
  <c r="K335" i="7"/>
  <c r="J335" i="7"/>
  <c r="N337" i="7" l="1"/>
  <c r="D337" i="7"/>
  <c r="P337" i="7"/>
  <c r="O337" i="7" a="1"/>
  <c r="O337" i="7" s="1"/>
  <c r="E338" i="7" a="1"/>
  <c r="E338" i="7" s="1"/>
  <c r="L336" i="7"/>
  <c r="K336" i="7"/>
  <c r="J336" i="7"/>
  <c r="I336" i="7"/>
  <c r="H336" i="7"/>
  <c r="G336" i="7"/>
  <c r="F336" i="7"/>
  <c r="M336" i="7"/>
  <c r="P338" i="7" l="1"/>
  <c r="O338" i="7" a="1"/>
  <c r="O338" i="7" s="1"/>
  <c r="N338" i="7"/>
  <c r="D338" i="7"/>
  <c r="E339" i="7" a="1"/>
  <c r="E339" i="7" s="1"/>
  <c r="G337" i="7"/>
  <c r="F337" i="7"/>
  <c r="M337" i="7"/>
  <c r="L337" i="7"/>
  <c r="K337" i="7"/>
  <c r="J337" i="7"/>
  <c r="I337" i="7"/>
  <c r="H337" i="7"/>
  <c r="D339" i="7" l="1"/>
  <c r="P339" i="7"/>
  <c r="O339" i="7" a="1"/>
  <c r="O339" i="7" s="1"/>
  <c r="N339" i="7"/>
  <c r="E340" i="7" a="1"/>
  <c r="E340" i="7" s="1"/>
  <c r="J338" i="7"/>
  <c r="I338" i="7"/>
  <c r="H338" i="7"/>
  <c r="G338" i="7"/>
  <c r="F338" i="7"/>
  <c r="M338" i="7"/>
  <c r="L338" i="7"/>
  <c r="K338" i="7"/>
  <c r="O340" i="7" l="1" a="1"/>
  <c r="O340" i="7" s="1"/>
  <c r="N340" i="7"/>
  <c r="D340" i="7"/>
  <c r="P340" i="7"/>
  <c r="E341" i="7" a="1"/>
  <c r="E341" i="7" s="1"/>
  <c r="M339" i="7"/>
  <c r="L339" i="7"/>
  <c r="K339" i="7"/>
  <c r="J339" i="7"/>
  <c r="I339" i="7"/>
  <c r="H339" i="7"/>
  <c r="G339" i="7"/>
  <c r="F339" i="7"/>
  <c r="D341" i="7" l="1"/>
  <c r="P341" i="7"/>
  <c r="O341" i="7" a="1"/>
  <c r="O341" i="7" s="1"/>
  <c r="N341" i="7"/>
  <c r="E342" i="7" a="1"/>
  <c r="E342" i="7" s="1"/>
  <c r="H340" i="7"/>
  <c r="G340" i="7"/>
  <c r="F340" i="7"/>
  <c r="M340" i="7"/>
  <c r="L340" i="7"/>
  <c r="K340" i="7"/>
  <c r="J340" i="7"/>
  <c r="I340" i="7"/>
  <c r="N342" i="7" l="1"/>
  <c r="D342" i="7"/>
  <c r="P342" i="7"/>
  <c r="O342" i="7" a="1"/>
  <c r="O342" i="7" s="1"/>
  <c r="E343" i="7" a="1"/>
  <c r="E343" i="7" s="1"/>
  <c r="K341" i="7"/>
  <c r="J341" i="7"/>
  <c r="I341" i="7"/>
  <c r="H341" i="7"/>
  <c r="G341" i="7"/>
  <c r="F341" i="7"/>
  <c r="M341" i="7"/>
  <c r="L341" i="7"/>
  <c r="P343" i="7" l="1"/>
  <c r="O343" i="7" a="1"/>
  <c r="O343" i="7" s="1"/>
  <c r="N343" i="7"/>
  <c r="D343" i="7"/>
  <c r="E344" i="7" a="1"/>
  <c r="E344" i="7" s="1"/>
  <c r="F342" i="7"/>
  <c r="M342" i="7"/>
  <c r="L342" i="7"/>
  <c r="K342" i="7"/>
  <c r="J342" i="7"/>
  <c r="I342" i="7"/>
  <c r="H342" i="7"/>
  <c r="G342" i="7"/>
  <c r="D344" i="7" l="1"/>
  <c r="P344" i="7"/>
  <c r="O344" i="7" a="1"/>
  <c r="O344" i="7" s="1"/>
  <c r="N344" i="7"/>
  <c r="E345" i="7" a="1"/>
  <c r="E345" i="7" s="1"/>
  <c r="I343" i="7"/>
  <c r="H343" i="7"/>
  <c r="G343" i="7"/>
  <c r="F343" i="7"/>
  <c r="M343" i="7"/>
  <c r="L343" i="7"/>
  <c r="K343" i="7"/>
  <c r="J343" i="7"/>
  <c r="N345" i="7" l="1"/>
  <c r="D345" i="7"/>
  <c r="P345" i="7"/>
  <c r="O345" i="7" a="1"/>
  <c r="O345" i="7" s="1"/>
  <c r="E346" i="7" a="1"/>
  <c r="E346" i="7" s="1"/>
  <c r="L344" i="7"/>
  <c r="K344" i="7"/>
  <c r="J344" i="7"/>
  <c r="I344" i="7"/>
  <c r="H344" i="7"/>
  <c r="G344" i="7"/>
  <c r="F344" i="7"/>
  <c r="M344" i="7"/>
  <c r="P346" i="7" l="1"/>
  <c r="O346" i="7" a="1"/>
  <c r="O346" i="7" s="1"/>
  <c r="N346" i="7"/>
  <c r="D346" i="7"/>
  <c r="E347" i="7" a="1"/>
  <c r="E347" i="7" s="1"/>
  <c r="G345" i="7"/>
  <c r="F345" i="7"/>
  <c r="M345" i="7"/>
  <c r="L345" i="7"/>
  <c r="K345" i="7"/>
  <c r="J345" i="7"/>
  <c r="I345" i="7"/>
  <c r="H345" i="7"/>
  <c r="D347" i="7" l="1"/>
  <c r="P347" i="7"/>
  <c r="O347" i="7" a="1"/>
  <c r="O347" i="7" s="1"/>
  <c r="N347" i="7"/>
  <c r="E348" i="7" a="1"/>
  <c r="E348" i="7" s="1"/>
  <c r="J346" i="7"/>
  <c r="I346" i="7"/>
  <c r="H346" i="7"/>
  <c r="G346" i="7"/>
  <c r="F346" i="7"/>
  <c r="M346" i="7"/>
  <c r="L346" i="7"/>
  <c r="K346" i="7"/>
  <c r="O348" i="7" l="1" a="1"/>
  <c r="O348" i="7" s="1"/>
  <c r="N348" i="7"/>
  <c r="D348" i="7"/>
  <c r="P348" i="7"/>
  <c r="E349" i="7" a="1"/>
  <c r="E349" i="7" s="1"/>
  <c r="M347" i="7"/>
  <c r="L347" i="7"/>
  <c r="K347" i="7"/>
  <c r="J347" i="7"/>
  <c r="I347" i="7"/>
  <c r="H347" i="7"/>
  <c r="G347" i="7"/>
  <c r="F347" i="7"/>
  <c r="D349" i="7" l="1"/>
  <c r="P349" i="7"/>
  <c r="O349" i="7" a="1"/>
  <c r="O349" i="7" s="1"/>
  <c r="N349" i="7"/>
  <c r="E350" i="7" a="1"/>
  <c r="E350" i="7" s="1"/>
  <c r="H348" i="7"/>
  <c r="G348" i="7"/>
  <c r="F348" i="7"/>
  <c r="M348" i="7"/>
  <c r="L348" i="7"/>
  <c r="K348" i="7"/>
  <c r="J348" i="7"/>
  <c r="I348" i="7"/>
  <c r="N350" i="7" l="1"/>
  <c r="D350" i="7"/>
  <c r="P350" i="7"/>
  <c r="O350" i="7" a="1"/>
  <c r="O350" i="7" s="1"/>
  <c r="E351" i="7" a="1"/>
  <c r="E351" i="7" s="1"/>
  <c r="K349" i="7"/>
  <c r="J349" i="7"/>
  <c r="I349" i="7"/>
  <c r="H349" i="7"/>
  <c r="G349" i="7"/>
  <c r="F349" i="7"/>
  <c r="M349" i="7"/>
  <c r="L349" i="7"/>
  <c r="P351" i="7" l="1"/>
  <c r="O351" i="7" a="1"/>
  <c r="O351" i="7" s="1"/>
  <c r="N351" i="7"/>
  <c r="D351" i="7"/>
  <c r="E352" i="7" a="1"/>
  <c r="E352" i="7" s="1"/>
  <c r="F350" i="7"/>
  <c r="M350" i="7"/>
  <c r="L350" i="7"/>
  <c r="K350" i="7"/>
  <c r="J350" i="7"/>
  <c r="I350" i="7"/>
  <c r="H350" i="7"/>
  <c r="G350" i="7"/>
  <c r="D352" i="7" l="1"/>
  <c r="P352" i="7"/>
  <c r="O352" i="7" a="1"/>
  <c r="O352" i="7" s="1"/>
  <c r="N352" i="7"/>
  <c r="E353" i="7" a="1"/>
  <c r="E353" i="7" s="1"/>
  <c r="I351" i="7"/>
  <c r="H351" i="7"/>
  <c r="G351" i="7"/>
  <c r="F351" i="7"/>
  <c r="M351" i="7"/>
  <c r="L351" i="7"/>
  <c r="K351" i="7"/>
  <c r="J351" i="7"/>
  <c r="N353" i="7" l="1"/>
  <c r="D353" i="7"/>
  <c r="P353" i="7"/>
  <c r="O353" i="7" a="1"/>
  <c r="O353" i="7" s="1"/>
  <c r="E354" i="7" a="1"/>
  <c r="E354" i="7" s="1"/>
  <c r="L352" i="7"/>
  <c r="K352" i="7"/>
  <c r="J352" i="7"/>
  <c r="I352" i="7"/>
  <c r="H352" i="7"/>
  <c r="G352" i="7"/>
  <c r="F352" i="7"/>
  <c r="M352" i="7"/>
  <c r="P354" i="7" l="1"/>
  <c r="O354" i="7" a="1"/>
  <c r="O354" i="7" s="1"/>
  <c r="N354" i="7"/>
  <c r="D354" i="7"/>
  <c r="E355" i="7" a="1"/>
  <c r="E355" i="7" s="1"/>
  <c r="G353" i="7"/>
  <c r="F353" i="7"/>
  <c r="M353" i="7"/>
  <c r="L353" i="7"/>
  <c r="K353" i="7"/>
  <c r="J353" i="7"/>
  <c r="I353" i="7"/>
  <c r="H353" i="7"/>
  <c r="D355" i="7" l="1"/>
  <c r="P355" i="7"/>
  <c r="O355" i="7" a="1"/>
  <c r="O355" i="7" s="1"/>
  <c r="N355" i="7"/>
  <c r="E356" i="7" a="1"/>
  <c r="E356" i="7" s="1"/>
  <c r="J354" i="7"/>
  <c r="I354" i="7"/>
  <c r="H354" i="7"/>
  <c r="G354" i="7"/>
  <c r="F354" i="7"/>
  <c r="M354" i="7"/>
  <c r="L354" i="7"/>
  <c r="K354" i="7"/>
  <c r="O356" i="7" l="1" a="1"/>
  <c r="O356" i="7" s="1"/>
  <c r="N356" i="7"/>
  <c r="D356" i="7"/>
  <c r="P356" i="7"/>
  <c r="E357" i="7" a="1"/>
  <c r="E357" i="7" s="1"/>
  <c r="M355" i="7"/>
  <c r="L355" i="7"/>
  <c r="K355" i="7"/>
  <c r="J355" i="7"/>
  <c r="I355" i="7"/>
  <c r="H355" i="7"/>
  <c r="G355" i="7"/>
  <c r="F355" i="7"/>
  <c r="D357" i="7" l="1"/>
  <c r="P357" i="7"/>
  <c r="O357" i="7" a="1"/>
  <c r="O357" i="7" s="1"/>
  <c r="N357" i="7"/>
  <c r="E358" i="7" a="1"/>
  <c r="E358" i="7" s="1"/>
  <c r="H356" i="7"/>
  <c r="G356" i="7"/>
  <c r="F356" i="7"/>
  <c r="M356" i="7"/>
  <c r="L356" i="7"/>
  <c r="K356" i="7"/>
  <c r="J356" i="7"/>
  <c r="I356" i="7"/>
  <c r="N358" i="7" l="1"/>
  <c r="D358" i="7"/>
  <c r="P358" i="7"/>
  <c r="O358" i="7" a="1"/>
  <c r="O358" i="7" s="1"/>
  <c r="E359" i="7" a="1"/>
  <c r="E359" i="7" s="1"/>
  <c r="K357" i="7"/>
  <c r="J357" i="7"/>
  <c r="I357" i="7"/>
  <c r="H357" i="7"/>
  <c r="G357" i="7"/>
  <c r="F357" i="7"/>
  <c r="M357" i="7"/>
  <c r="L357" i="7"/>
  <c r="P359" i="7" l="1"/>
  <c r="O359" i="7" a="1"/>
  <c r="O359" i="7" s="1"/>
  <c r="N359" i="7"/>
  <c r="D359" i="7"/>
  <c r="E360" i="7" a="1"/>
  <c r="E360" i="7" s="1"/>
  <c r="F358" i="7"/>
  <c r="M358" i="7"/>
  <c r="L358" i="7"/>
  <c r="K358" i="7"/>
  <c r="J358" i="7"/>
  <c r="I358" i="7"/>
  <c r="H358" i="7"/>
  <c r="G358" i="7"/>
  <c r="O360" i="7" l="1" a="1"/>
  <c r="O360" i="7" s="1"/>
  <c r="P360" i="7"/>
  <c r="N360" i="7"/>
  <c r="D360" i="7"/>
  <c r="E361" i="7" a="1"/>
  <c r="E361" i="7" s="1"/>
  <c r="I359" i="7"/>
  <c r="H359" i="7"/>
  <c r="G359" i="7"/>
  <c r="F359" i="7"/>
  <c r="M359" i="7"/>
  <c r="L359" i="7"/>
  <c r="K359" i="7"/>
  <c r="J359" i="7"/>
  <c r="D361" i="7" l="1"/>
  <c r="O361" i="7" a="1"/>
  <c r="O361" i="7" s="1"/>
  <c r="N361" i="7"/>
  <c r="P361" i="7"/>
  <c r="E362" i="7" a="1"/>
  <c r="E362" i="7" s="1"/>
  <c r="H360" i="7"/>
  <c r="K360" i="7"/>
  <c r="J360" i="7"/>
  <c r="I360" i="7"/>
  <c r="G360" i="7"/>
  <c r="F360" i="7"/>
  <c r="M360" i="7"/>
  <c r="L360" i="7"/>
  <c r="N362" i="7" l="1"/>
  <c r="D362" i="7"/>
  <c r="P362" i="7"/>
  <c r="O362" i="7" a="1"/>
  <c r="O362" i="7" s="1"/>
  <c r="E363" i="7" a="1"/>
  <c r="E363" i="7" s="1"/>
  <c r="K361" i="7"/>
  <c r="G361" i="7"/>
  <c r="F361" i="7"/>
  <c r="M361" i="7"/>
  <c r="L361" i="7"/>
  <c r="J361" i="7"/>
  <c r="I361" i="7"/>
  <c r="H361" i="7"/>
  <c r="P363" i="7" l="1"/>
  <c r="N363" i="7"/>
  <c r="D363" i="7"/>
  <c r="O363" i="7" a="1"/>
  <c r="O363" i="7" s="1"/>
  <c r="E364" i="7" a="1"/>
  <c r="E364" i="7" s="1"/>
  <c r="F362" i="7"/>
  <c r="L362" i="7"/>
  <c r="K362" i="7"/>
  <c r="J362" i="7"/>
  <c r="I362" i="7"/>
  <c r="H362" i="7"/>
  <c r="G362" i="7"/>
  <c r="M362" i="7"/>
  <c r="J363" i="7" l="1"/>
  <c r="I363" i="7"/>
  <c r="G363" i="7"/>
  <c r="M363" i="7"/>
  <c r="L363" i="7"/>
  <c r="K363" i="7"/>
  <c r="H363" i="7"/>
  <c r="F363" i="7"/>
  <c r="O364" i="7" a="1"/>
  <c r="O364" i="7" s="1"/>
  <c r="P364" i="7"/>
  <c r="N364" i="7"/>
  <c r="D364" i="7"/>
  <c r="E365" i="7" a="1"/>
  <c r="E365" i="7" s="1"/>
  <c r="O365" i="7" l="1" a="1"/>
  <c r="O365" i="7" s="1"/>
  <c r="D365" i="7"/>
  <c r="P365" i="7"/>
  <c r="N365" i="7"/>
  <c r="E366" i="7" a="1"/>
  <c r="E366" i="7" s="1"/>
  <c r="M364" i="7"/>
  <c r="L364" i="7"/>
  <c r="J364" i="7"/>
  <c r="H364" i="7"/>
  <c r="G364" i="7"/>
  <c r="K364" i="7"/>
  <c r="I364" i="7"/>
  <c r="F364" i="7"/>
  <c r="D366" i="7" l="1"/>
  <c r="O366" i="7" a="1"/>
  <c r="O366" i="7" s="1"/>
  <c r="N366" i="7"/>
  <c r="P366" i="7"/>
  <c r="E367" i="7" a="1"/>
  <c r="E367" i="7" s="1"/>
  <c r="H365" i="7"/>
  <c r="G365" i="7"/>
  <c r="M365" i="7"/>
  <c r="L365" i="7"/>
  <c r="K365" i="7"/>
  <c r="J365" i="7"/>
  <c r="I365" i="7"/>
  <c r="F365" i="7"/>
  <c r="N367" i="7" l="1"/>
  <c r="D367" i="7"/>
  <c r="P367" i="7"/>
  <c r="O367" i="7" a="1"/>
  <c r="O367" i="7" s="1"/>
  <c r="E368" i="7" a="1"/>
  <c r="E368" i="7" s="1"/>
  <c r="K366" i="7"/>
  <c r="J366" i="7"/>
  <c r="H366" i="7"/>
  <c r="G366" i="7"/>
  <c r="F366" i="7"/>
  <c r="M366" i="7"/>
  <c r="L366" i="7"/>
  <c r="I366" i="7"/>
  <c r="P368" i="7" l="1"/>
  <c r="O368" i="7" a="1"/>
  <c r="O368" i="7" s="1"/>
  <c r="N368" i="7"/>
  <c r="D368" i="7"/>
  <c r="E369" i="7" a="1"/>
  <c r="E369" i="7" s="1"/>
  <c r="F367" i="7"/>
  <c r="M367" i="7"/>
  <c r="L367" i="7"/>
  <c r="K367" i="7"/>
  <c r="J367" i="7"/>
  <c r="I367" i="7"/>
  <c r="H367" i="7"/>
  <c r="G367" i="7"/>
  <c r="D369" i="7" l="1"/>
  <c r="P369" i="7"/>
  <c r="O369" i="7" a="1"/>
  <c r="O369" i="7" s="1"/>
  <c r="N369" i="7"/>
  <c r="E370" i="7" a="1"/>
  <c r="E370" i="7" s="1"/>
  <c r="I368" i="7"/>
  <c r="H368" i="7"/>
  <c r="G368" i="7"/>
  <c r="F368" i="7"/>
  <c r="M368" i="7"/>
  <c r="L368" i="7"/>
  <c r="K368" i="7"/>
  <c r="J368" i="7"/>
  <c r="N370" i="7" l="1"/>
  <c r="D370" i="7"/>
  <c r="P370" i="7"/>
  <c r="O370" i="7" a="1"/>
  <c r="O370" i="7" s="1"/>
  <c r="E371" i="7" a="1"/>
  <c r="E371" i="7" s="1"/>
  <c r="L369" i="7"/>
  <c r="K369" i="7"/>
  <c r="J369" i="7"/>
  <c r="I369" i="7"/>
  <c r="H369" i="7"/>
  <c r="G369" i="7"/>
  <c r="F369" i="7"/>
  <c r="M369" i="7"/>
  <c r="P371" i="7" l="1"/>
  <c r="O371" i="7" a="1"/>
  <c r="O371" i="7" s="1"/>
  <c r="N371" i="7"/>
  <c r="D371" i="7"/>
  <c r="E372" i="7" a="1"/>
  <c r="E372" i="7" s="1"/>
  <c r="G370" i="7"/>
  <c r="F370" i="7"/>
  <c r="M370" i="7"/>
  <c r="L370" i="7"/>
  <c r="K370" i="7"/>
  <c r="J370" i="7"/>
  <c r="I370" i="7"/>
  <c r="H370" i="7"/>
  <c r="D372" i="7" l="1"/>
  <c r="P372" i="7"/>
  <c r="O372" i="7" a="1"/>
  <c r="O372" i="7" s="1"/>
  <c r="N372" i="7"/>
  <c r="E373" i="7" a="1"/>
  <c r="E373" i="7" s="1"/>
  <c r="J371" i="7"/>
  <c r="I371" i="7"/>
  <c r="H371" i="7"/>
  <c r="G371" i="7"/>
  <c r="F371" i="7"/>
  <c r="M371" i="7"/>
  <c r="L371" i="7"/>
  <c r="K371" i="7"/>
  <c r="O373" i="7" l="1" a="1"/>
  <c r="O373" i="7" s="1"/>
  <c r="N373" i="7"/>
  <c r="D373" i="7"/>
  <c r="P373" i="7"/>
  <c r="E374" i="7" a="1"/>
  <c r="E374" i="7" s="1"/>
  <c r="M372" i="7"/>
  <c r="L372" i="7"/>
  <c r="K372" i="7"/>
  <c r="J372" i="7"/>
  <c r="I372" i="7"/>
  <c r="H372" i="7"/>
  <c r="G372" i="7"/>
  <c r="F372" i="7"/>
  <c r="D374" i="7" l="1"/>
  <c r="P374" i="7"/>
  <c r="O374" i="7" a="1"/>
  <c r="O374" i="7" s="1"/>
  <c r="N374" i="7"/>
  <c r="E375" i="7" a="1"/>
  <c r="E375" i="7" s="1"/>
  <c r="H373" i="7"/>
  <c r="G373" i="7"/>
  <c r="F373" i="7"/>
  <c r="M373" i="7"/>
  <c r="L373" i="7"/>
  <c r="K373" i="7"/>
  <c r="J373" i="7"/>
  <c r="I373" i="7"/>
  <c r="N375" i="7" l="1"/>
  <c r="D375" i="7"/>
  <c r="P375" i="7"/>
  <c r="O375" i="7" a="1"/>
  <c r="O375" i="7" s="1"/>
  <c r="E376" i="7" a="1"/>
  <c r="E376" i="7" s="1"/>
  <c r="K374" i="7"/>
  <c r="J374" i="7"/>
  <c r="I374" i="7"/>
  <c r="H374" i="7"/>
  <c r="G374" i="7"/>
  <c r="F374" i="7"/>
  <c r="M374" i="7"/>
  <c r="L374" i="7"/>
  <c r="P376" i="7" l="1"/>
  <c r="O376" i="7" a="1"/>
  <c r="O376" i="7" s="1"/>
  <c r="N376" i="7"/>
  <c r="D376" i="7"/>
  <c r="E377" i="7" a="1"/>
  <c r="E377" i="7" s="1"/>
  <c r="F375" i="7"/>
  <c r="M375" i="7"/>
  <c r="L375" i="7"/>
  <c r="K375" i="7"/>
  <c r="J375" i="7"/>
  <c r="I375" i="7"/>
  <c r="H375" i="7"/>
  <c r="G375" i="7"/>
  <c r="D377" i="7" l="1"/>
  <c r="P377" i="7"/>
  <c r="O377" i="7" a="1"/>
  <c r="O377" i="7" s="1"/>
  <c r="N377" i="7"/>
  <c r="E378" i="7" a="1"/>
  <c r="E378" i="7" s="1"/>
  <c r="I376" i="7"/>
  <c r="H376" i="7"/>
  <c r="G376" i="7"/>
  <c r="F376" i="7"/>
  <c r="M376" i="7"/>
  <c r="L376" i="7"/>
  <c r="K376" i="7"/>
  <c r="J376" i="7"/>
  <c r="N378" i="7" l="1"/>
  <c r="D378" i="7"/>
  <c r="P378" i="7"/>
  <c r="O378" i="7" a="1"/>
  <c r="O378" i="7" s="1"/>
  <c r="E379" i="7" a="1"/>
  <c r="E379" i="7" s="1"/>
  <c r="L377" i="7"/>
  <c r="K377" i="7"/>
  <c r="J377" i="7"/>
  <c r="I377" i="7"/>
  <c r="H377" i="7"/>
  <c r="G377" i="7"/>
  <c r="F377" i="7"/>
  <c r="M377" i="7"/>
  <c r="P379" i="7" l="1"/>
  <c r="O379" i="7" a="1"/>
  <c r="O379" i="7" s="1"/>
  <c r="N379" i="7"/>
  <c r="D379" i="7"/>
  <c r="E380" i="7" a="1"/>
  <c r="E380" i="7" s="1"/>
  <c r="G378" i="7"/>
  <c r="F378" i="7"/>
  <c r="M378" i="7"/>
  <c r="L378" i="7"/>
  <c r="K378" i="7"/>
  <c r="J378" i="7"/>
  <c r="I378" i="7"/>
  <c r="H378" i="7"/>
  <c r="D380" i="7" l="1"/>
  <c r="P380" i="7"/>
  <c r="O380" i="7" a="1"/>
  <c r="O380" i="7" s="1"/>
  <c r="N380" i="7"/>
  <c r="E381" i="7" a="1"/>
  <c r="E381" i="7" s="1"/>
  <c r="J379" i="7"/>
  <c r="I379" i="7"/>
  <c r="H379" i="7"/>
  <c r="G379" i="7"/>
  <c r="F379" i="7"/>
  <c r="M379" i="7"/>
  <c r="L379" i="7"/>
  <c r="K379" i="7"/>
  <c r="O381" i="7" l="1" a="1"/>
  <c r="O381" i="7" s="1"/>
  <c r="N381" i="7"/>
  <c r="D381" i="7"/>
  <c r="P381" i="7"/>
  <c r="E382" i="7" a="1"/>
  <c r="E382" i="7" s="1"/>
  <c r="M380" i="7"/>
  <c r="L380" i="7"/>
  <c r="K380" i="7"/>
  <c r="J380" i="7"/>
  <c r="I380" i="7"/>
  <c r="H380" i="7"/>
  <c r="G380" i="7"/>
  <c r="F380" i="7"/>
  <c r="D382" i="7" l="1"/>
  <c r="P382" i="7"/>
  <c r="O382" i="7" a="1"/>
  <c r="O382" i="7" s="1"/>
  <c r="N382" i="7"/>
  <c r="E383" i="7" a="1"/>
  <c r="E383" i="7" s="1"/>
  <c r="H381" i="7"/>
  <c r="G381" i="7"/>
  <c r="F381" i="7"/>
  <c r="M381" i="7"/>
  <c r="L381" i="7"/>
  <c r="K381" i="7"/>
  <c r="J381" i="7"/>
  <c r="I381" i="7"/>
  <c r="N383" i="7" l="1"/>
  <c r="D383" i="7"/>
  <c r="P383" i="7"/>
  <c r="O383" i="7" a="1"/>
  <c r="O383" i="7" s="1"/>
  <c r="E384" i="7" a="1"/>
  <c r="E384" i="7" s="1"/>
  <c r="K382" i="7"/>
  <c r="J382" i="7"/>
  <c r="I382" i="7"/>
  <c r="H382" i="7"/>
  <c r="G382" i="7"/>
  <c r="F382" i="7"/>
  <c r="M382" i="7"/>
  <c r="L382" i="7"/>
  <c r="P384" i="7" l="1"/>
  <c r="O384" i="7" a="1"/>
  <c r="O384" i="7" s="1"/>
  <c r="N384" i="7"/>
  <c r="D384" i="7"/>
  <c r="E385" i="7" a="1"/>
  <c r="E385" i="7" s="1"/>
  <c r="F383" i="7"/>
  <c r="M383" i="7"/>
  <c r="L383" i="7"/>
  <c r="K383" i="7"/>
  <c r="J383" i="7"/>
  <c r="I383" i="7"/>
  <c r="H383" i="7"/>
  <c r="G383" i="7"/>
  <c r="D385" i="7" l="1"/>
  <c r="P385" i="7"/>
  <c r="O385" i="7" a="1"/>
  <c r="O385" i="7" s="1"/>
  <c r="N385" i="7"/>
  <c r="E386" i="7" a="1"/>
  <c r="E386" i="7" s="1"/>
  <c r="I384" i="7"/>
  <c r="H384" i="7"/>
  <c r="G384" i="7"/>
  <c r="F384" i="7"/>
  <c r="M384" i="7"/>
  <c r="L384" i="7"/>
  <c r="K384" i="7"/>
  <c r="J384" i="7"/>
  <c r="N386" i="7" l="1"/>
  <c r="D386" i="7"/>
  <c r="P386" i="7"/>
  <c r="O386" i="7" a="1"/>
  <c r="O386" i="7" s="1"/>
  <c r="E387" i="7" a="1"/>
  <c r="E387" i="7" s="1"/>
  <c r="L385" i="7"/>
  <c r="K385" i="7"/>
  <c r="J385" i="7"/>
  <c r="I385" i="7"/>
  <c r="H385" i="7"/>
  <c r="G385" i="7"/>
  <c r="F385" i="7"/>
  <c r="M385" i="7"/>
  <c r="P387" i="7" l="1"/>
  <c r="BG4" i="7" s="1" a="1"/>
  <c r="O387" i="7" a="1"/>
  <c r="O387" i="7" s="1"/>
  <c r="N387" i="7"/>
  <c r="G386" i="7"/>
  <c r="F386" i="7"/>
  <c r="M386" i="7"/>
  <c r="I6" i="6" s="1"/>
  <c r="L386" i="7"/>
  <c r="K386" i="7"/>
  <c r="J386" i="7"/>
  <c r="I386" i="7"/>
  <c r="H386" i="7"/>
  <c r="BG94" i="7" l="1"/>
  <c r="BG86" i="7"/>
  <c r="BG78" i="7"/>
  <c r="BG70" i="7"/>
  <c r="BG62" i="7"/>
  <c r="BG54" i="7"/>
  <c r="BG46" i="7"/>
  <c r="BG38" i="7"/>
  <c r="BG30" i="7"/>
  <c r="BG22" i="7"/>
  <c r="BG14" i="7"/>
  <c r="BG6" i="7"/>
  <c r="BG92" i="7"/>
  <c r="BG84" i="7"/>
  <c r="BG76" i="7"/>
  <c r="BG68" i="7"/>
  <c r="BG60" i="7"/>
  <c r="BG52" i="7"/>
  <c r="BG44" i="7"/>
  <c r="BG36" i="7"/>
  <c r="BG28" i="7"/>
  <c r="BG20" i="7"/>
  <c r="BG12" i="7"/>
  <c r="BG99" i="7"/>
  <c r="BG91" i="7"/>
  <c r="BG83" i="7"/>
  <c r="BG75" i="7"/>
  <c r="BG67" i="7"/>
  <c r="BG59" i="7"/>
  <c r="BG51" i="7"/>
  <c r="BG43" i="7"/>
  <c r="BG35" i="7"/>
  <c r="BG27" i="7"/>
  <c r="BG19" i="7"/>
  <c r="BG11" i="7"/>
  <c r="BG4" i="7"/>
  <c r="BG98" i="7"/>
  <c r="BG90" i="7"/>
  <c r="BG82" i="7"/>
  <c r="BG74" i="7"/>
  <c r="BG66" i="7"/>
  <c r="BG58" i="7"/>
  <c r="BG50" i="7"/>
  <c r="BG42" i="7"/>
  <c r="BG34" i="7"/>
  <c r="BG26" i="7"/>
  <c r="BG18" i="7"/>
  <c r="BG10" i="7"/>
  <c r="BG96" i="7"/>
  <c r="BG88" i="7"/>
  <c r="BG80" i="7"/>
  <c r="BG72" i="7"/>
  <c r="BG64" i="7"/>
  <c r="BG56" i="7"/>
  <c r="BG48" i="7"/>
  <c r="BG40" i="7"/>
  <c r="BG32" i="7"/>
  <c r="BG24" i="7"/>
  <c r="BG16" i="7"/>
  <c r="BG8" i="7"/>
  <c r="BG87" i="7"/>
  <c r="BG65" i="7"/>
  <c r="BG45" i="7"/>
  <c r="BG23" i="7"/>
  <c r="BG85" i="7"/>
  <c r="BG63" i="7"/>
  <c r="BG41" i="7"/>
  <c r="BG21" i="7"/>
  <c r="BG81" i="7"/>
  <c r="BG61" i="7"/>
  <c r="BG39" i="7"/>
  <c r="BG17" i="7"/>
  <c r="BG79" i="7"/>
  <c r="BG57" i="7"/>
  <c r="BG37" i="7"/>
  <c r="BG15" i="7"/>
  <c r="BG97" i="7"/>
  <c r="BG77" i="7"/>
  <c r="BG55" i="7"/>
  <c r="BG33" i="7"/>
  <c r="BG13" i="7"/>
  <c r="BG95" i="7"/>
  <c r="BG73" i="7"/>
  <c r="BG53" i="7"/>
  <c r="BG31" i="7"/>
  <c r="BG9" i="7"/>
  <c r="BG93" i="7"/>
  <c r="BG71" i="7"/>
  <c r="BG49" i="7"/>
  <c r="BG29" i="7"/>
  <c r="BG7" i="7"/>
  <c r="BG89" i="7"/>
  <c r="BG69" i="7"/>
  <c r="BG47" i="7"/>
  <c r="BG25" i="7"/>
  <c r="BG5" i="7"/>
  <c r="BJ25" i="7" l="1"/>
  <c r="BI25" i="7"/>
  <c r="BH25" i="7"/>
  <c r="BJ5" i="7"/>
  <c r="BI5" i="7"/>
  <c r="BH5" i="7"/>
  <c r="BJ71" i="7"/>
  <c r="BI71" i="7"/>
  <c r="BH71" i="7"/>
  <c r="BJ33" i="7"/>
  <c r="BI33" i="7"/>
  <c r="BH33" i="7"/>
  <c r="BJ17" i="7"/>
  <c r="BI17" i="7"/>
  <c r="BH17" i="7"/>
  <c r="BJ23" i="7"/>
  <c r="BI23" i="7"/>
  <c r="BH23" i="7"/>
  <c r="BJ40" i="7"/>
  <c r="BI40" i="7"/>
  <c r="BH40" i="7"/>
  <c r="BJ10" i="7"/>
  <c r="BI10" i="7"/>
  <c r="BH10" i="7"/>
  <c r="BJ74" i="7"/>
  <c r="BI74" i="7"/>
  <c r="BH74" i="7"/>
  <c r="BJ35" i="7"/>
  <c r="BI35" i="7"/>
  <c r="BH35" i="7"/>
  <c r="BJ99" i="7"/>
  <c r="BI99" i="7"/>
  <c r="BH99" i="7"/>
  <c r="BJ68" i="7"/>
  <c r="BI68" i="7"/>
  <c r="BH68" i="7"/>
  <c r="BJ38" i="7"/>
  <c r="BI38" i="7"/>
  <c r="BH38" i="7"/>
  <c r="BJ93" i="7"/>
  <c r="BI93" i="7"/>
  <c r="BH93" i="7"/>
  <c r="BJ45" i="7"/>
  <c r="BI45" i="7"/>
  <c r="BH45" i="7"/>
  <c r="BJ18" i="7"/>
  <c r="BI18" i="7"/>
  <c r="BH18" i="7"/>
  <c r="BJ12" i="7"/>
  <c r="BI12" i="7"/>
  <c r="BH12" i="7"/>
  <c r="BJ46" i="7"/>
  <c r="BI46" i="7"/>
  <c r="BH46" i="7"/>
  <c r="BJ47" i="7"/>
  <c r="BI47" i="7"/>
  <c r="BH47" i="7"/>
  <c r="BJ77" i="7"/>
  <c r="BI77" i="7"/>
  <c r="BH77" i="7"/>
  <c r="BJ61" i="7"/>
  <c r="BI61" i="7"/>
  <c r="BH61" i="7"/>
  <c r="BJ65" i="7"/>
  <c r="BI65" i="7"/>
  <c r="BH65" i="7"/>
  <c r="BJ56" i="7"/>
  <c r="BI56" i="7"/>
  <c r="BH56" i="7"/>
  <c r="BJ26" i="7"/>
  <c r="BI26" i="7"/>
  <c r="BH26" i="7"/>
  <c r="BJ90" i="7"/>
  <c r="BI90" i="7"/>
  <c r="BH90" i="7"/>
  <c r="BJ51" i="7"/>
  <c r="BI51" i="7"/>
  <c r="BH51" i="7"/>
  <c r="BJ20" i="7"/>
  <c r="BI20" i="7"/>
  <c r="BH20" i="7"/>
  <c r="BI84" i="7"/>
  <c r="BJ84" i="7"/>
  <c r="BH84" i="7"/>
  <c r="BJ54" i="7"/>
  <c r="BI54" i="7"/>
  <c r="BH54" i="7"/>
  <c r="BJ69" i="7"/>
  <c r="BI69" i="7"/>
  <c r="BH69" i="7"/>
  <c r="BJ31" i="7"/>
  <c r="BI31" i="7"/>
  <c r="BH31" i="7"/>
  <c r="BJ97" i="7"/>
  <c r="BI97" i="7"/>
  <c r="BH97" i="7"/>
  <c r="BJ81" i="7"/>
  <c r="BI81" i="7"/>
  <c r="BH81" i="7"/>
  <c r="BJ87" i="7"/>
  <c r="BI87" i="7"/>
  <c r="BH87" i="7"/>
  <c r="BJ64" i="7"/>
  <c r="BI64" i="7"/>
  <c r="BH64" i="7"/>
  <c r="BJ34" i="7"/>
  <c r="BI34" i="7"/>
  <c r="BH34" i="7"/>
  <c r="BJ98" i="7"/>
  <c r="BI98" i="7"/>
  <c r="BH98" i="7"/>
  <c r="BJ59" i="7"/>
  <c r="BI59" i="7"/>
  <c r="BH59" i="7"/>
  <c r="BJ28" i="7"/>
  <c r="BI28" i="7"/>
  <c r="BH28" i="7"/>
  <c r="BI92" i="7"/>
  <c r="BJ92" i="7"/>
  <c r="BH92" i="7"/>
  <c r="BJ62" i="7"/>
  <c r="BI62" i="7"/>
  <c r="BH62" i="7"/>
  <c r="BJ39" i="7"/>
  <c r="BI39" i="7"/>
  <c r="BH39" i="7"/>
  <c r="BJ48" i="7"/>
  <c r="BI48" i="7"/>
  <c r="BH48" i="7"/>
  <c r="BJ43" i="7"/>
  <c r="BI43" i="7"/>
  <c r="BH43" i="7"/>
  <c r="BJ76" i="7"/>
  <c r="BI76" i="7"/>
  <c r="BH76" i="7"/>
  <c r="BJ9" i="7"/>
  <c r="BI9" i="7"/>
  <c r="BH9" i="7"/>
  <c r="BJ89" i="7"/>
  <c r="BI89" i="7"/>
  <c r="BH89" i="7"/>
  <c r="BI53" i="7"/>
  <c r="BJ53" i="7"/>
  <c r="BH53" i="7"/>
  <c r="BJ15" i="7"/>
  <c r="BI15" i="7"/>
  <c r="BH15" i="7"/>
  <c r="BJ21" i="7"/>
  <c r="BI21" i="7"/>
  <c r="BH21" i="7"/>
  <c r="BJ8" i="7"/>
  <c r="BI8" i="7"/>
  <c r="BH8" i="7"/>
  <c r="BJ72" i="7"/>
  <c r="BI72" i="7"/>
  <c r="BH72" i="7"/>
  <c r="BJ42" i="7"/>
  <c r="BI42" i="7"/>
  <c r="BH42" i="7"/>
  <c r="BJ4" i="7"/>
  <c r="BI4" i="7"/>
  <c r="BH2" i="7"/>
  <c r="BH4" i="7"/>
  <c r="BV178" i="7" a="1"/>
  <c r="BV178" i="7" s="1"/>
  <c r="BV268" i="7" a="1"/>
  <c r="BV268" i="7" s="1"/>
  <c r="BV4" i="7" a="1"/>
  <c r="BV4" i="7" s="1"/>
  <c r="BV338" i="7" a="1"/>
  <c r="BV338" i="7" s="1"/>
  <c r="BV63" i="7" a="1"/>
  <c r="BV63" i="7" s="1"/>
  <c r="BV207" i="7" a="1"/>
  <c r="BV207" i="7" s="1"/>
  <c r="BV278" i="7" a="1"/>
  <c r="BV278" i="7" s="1"/>
  <c r="BV78" i="7" a="1"/>
  <c r="BV78" i="7" s="1"/>
  <c r="BV248" i="7" a="1"/>
  <c r="BV248" i="7" s="1"/>
  <c r="BV170" i="7" a="1"/>
  <c r="BV170" i="7" s="1"/>
  <c r="BV347" i="7" a="1"/>
  <c r="BV347" i="7" s="1"/>
  <c r="BV336" i="7" a="1"/>
  <c r="BV336" i="7" s="1"/>
  <c r="BV309" i="7" a="1"/>
  <c r="BV309" i="7" s="1"/>
  <c r="BV59" i="7" a="1"/>
  <c r="BV59" i="7" s="1"/>
  <c r="BV176" i="7" a="1"/>
  <c r="BV176" i="7" s="1"/>
  <c r="BV228" i="7" a="1"/>
  <c r="BV228" i="7" s="1"/>
  <c r="BV366" i="7" a="1"/>
  <c r="BV366" i="7" s="1"/>
  <c r="BV273" i="7" a="1"/>
  <c r="BV273" i="7" s="1"/>
  <c r="BV262" i="7" a="1"/>
  <c r="BV262" i="7" s="1"/>
  <c r="BV154" i="7" a="1"/>
  <c r="BV154" i="7" s="1"/>
  <c r="BV318" i="7" a="1"/>
  <c r="BV318" i="7" s="1"/>
  <c r="BV290" i="7" a="1"/>
  <c r="BV290" i="7" s="1"/>
  <c r="BV177" i="7" a="1"/>
  <c r="BV177" i="7" s="1"/>
  <c r="BV343" i="7" a="1"/>
  <c r="BV343" i="7" s="1"/>
  <c r="BV123" i="7" a="1"/>
  <c r="BV123" i="7" s="1"/>
  <c r="BV354" i="7" a="1"/>
  <c r="BV354" i="7" s="1"/>
  <c r="BV386" i="7" a="1"/>
  <c r="BV386" i="7" s="1"/>
  <c r="BV219" i="7" a="1"/>
  <c r="BV219" i="7" s="1"/>
  <c r="BV146" i="7" a="1"/>
  <c r="BV146" i="7" s="1"/>
  <c r="BV23" i="7" a="1"/>
  <c r="BV23" i="7" s="1"/>
  <c r="BV149" i="7" a="1"/>
  <c r="BV149" i="7" s="1"/>
  <c r="BV213" i="7" a="1"/>
  <c r="BV213" i="7" s="1"/>
  <c r="BV151" i="7" a="1"/>
  <c r="BV151" i="7" s="1"/>
  <c r="BV57" i="7" a="1"/>
  <c r="BV57" i="7" s="1"/>
  <c r="BV282" i="7" a="1"/>
  <c r="BV282" i="7" s="1"/>
  <c r="BV37" i="7" a="1"/>
  <c r="BV37" i="7" s="1"/>
  <c r="BV179" i="7" a="1"/>
  <c r="BV179" i="7" s="1"/>
  <c r="BV253" i="7" a="1"/>
  <c r="BV253" i="7" s="1"/>
  <c r="BV297" i="7" a="1"/>
  <c r="BV297" i="7" s="1"/>
  <c r="BV32" i="7" a="1"/>
  <c r="BV32" i="7" s="1"/>
  <c r="BV197" i="7" a="1"/>
  <c r="BV197" i="7" s="1"/>
  <c r="BV218" i="7" a="1"/>
  <c r="BV218" i="7" s="1"/>
  <c r="BV108" i="7" a="1"/>
  <c r="BV108" i="7" s="1"/>
  <c r="BV237" i="7" a="1"/>
  <c r="BV237" i="7" s="1"/>
  <c r="BV362" i="7" a="1"/>
  <c r="BV362" i="7" s="1"/>
  <c r="BV295" i="7" a="1"/>
  <c r="BV295" i="7" s="1"/>
  <c r="BV185" i="7" a="1"/>
  <c r="BV185" i="7" s="1"/>
  <c r="BV124" i="7" a="1"/>
  <c r="BV124" i="7" s="1"/>
  <c r="BV328" i="7" a="1"/>
  <c r="BV328" i="7" s="1"/>
  <c r="BV128" i="7" a="1"/>
  <c r="BV128" i="7" s="1"/>
  <c r="BV24" i="7" a="1"/>
  <c r="BV24" i="7" s="1"/>
  <c r="BV21" i="7" a="1"/>
  <c r="BV21" i="7" s="1"/>
  <c r="BV308" i="7" a="1"/>
  <c r="BV308" i="7" s="1"/>
  <c r="BV117" i="7" a="1"/>
  <c r="BV117" i="7" s="1"/>
  <c r="BV30" i="7" a="1"/>
  <c r="BV30" i="7" s="1"/>
  <c r="BV165" i="7" a="1"/>
  <c r="BV165" i="7" s="1"/>
  <c r="BV144" i="7" a="1"/>
  <c r="BV144" i="7" s="1"/>
  <c r="BV357" i="7" a="1"/>
  <c r="BV357" i="7" s="1"/>
  <c r="BV199" i="7" a="1"/>
  <c r="BV199" i="7" s="1"/>
  <c r="BV27" i="7" a="1"/>
  <c r="BV27" i="7" s="1"/>
  <c r="BV293" i="7" a="1"/>
  <c r="BV293" i="7" s="1"/>
  <c r="BV298" i="7" a="1"/>
  <c r="BV298" i="7" s="1"/>
  <c r="BV322" i="7" a="1"/>
  <c r="BV322" i="7" s="1"/>
  <c r="BV73" i="7" a="1"/>
  <c r="BV73" i="7" s="1"/>
  <c r="BV195" i="7" a="1"/>
  <c r="BV195" i="7" s="1"/>
  <c r="BV364" i="7" a="1"/>
  <c r="BV364" i="7" s="1"/>
  <c r="BV138" i="7" a="1"/>
  <c r="BV138" i="7" s="1"/>
  <c r="BV129" i="7" a="1"/>
  <c r="BV129" i="7" s="1"/>
  <c r="BV107" i="7" a="1"/>
  <c r="BV107" i="7" s="1"/>
  <c r="BV130" i="7" a="1"/>
  <c r="BV130" i="7" s="1"/>
  <c r="BV304" i="7" a="1"/>
  <c r="BV304" i="7" s="1"/>
  <c r="BV38" i="7" a="1"/>
  <c r="BV38" i="7" s="1"/>
  <c r="BV152" i="7" a="1"/>
  <c r="BV152" i="7" s="1"/>
  <c r="BV115" i="7" a="1"/>
  <c r="BV115" i="7" s="1"/>
  <c r="BV371" i="7" a="1"/>
  <c r="BV371" i="7" s="1"/>
  <c r="BV285" i="7" a="1"/>
  <c r="BV285" i="7" s="1"/>
  <c r="BV333" i="7" a="1"/>
  <c r="BV333" i="7" s="1"/>
  <c r="BV113" i="7" a="1"/>
  <c r="BV113" i="7" s="1"/>
  <c r="BV263" i="7" a="1"/>
  <c r="BV263" i="7" s="1"/>
  <c r="BV350" i="7" a="1"/>
  <c r="BV350" i="7" s="1"/>
  <c r="BV137" i="7" a="1"/>
  <c r="BV137" i="7" s="1"/>
  <c r="BV208" i="7" a="1"/>
  <c r="BV208" i="7" s="1"/>
  <c r="BV227" i="7" a="1"/>
  <c r="BV227" i="7" s="1"/>
  <c r="BV342" i="7" a="1"/>
  <c r="BV342" i="7" s="1"/>
  <c r="BV205" i="7" a="1"/>
  <c r="BV205" i="7" s="1"/>
  <c r="BV9" i="7" a="1"/>
  <c r="BV9" i="7" s="1"/>
  <c r="BV68" i="7" a="1"/>
  <c r="BV68" i="7" s="1"/>
  <c r="BV11" i="7" a="1"/>
  <c r="BV11" i="7" s="1"/>
  <c r="BV45" i="7" a="1"/>
  <c r="BV45" i="7" s="1"/>
  <c r="BV173" i="7" a="1"/>
  <c r="BV173" i="7" s="1"/>
  <c r="BV251" i="7" a="1"/>
  <c r="BV251" i="7" s="1"/>
  <c r="BV210" i="7" a="1"/>
  <c r="BV210" i="7" s="1"/>
  <c r="BV291" i="7" a="1"/>
  <c r="BV291" i="7" s="1"/>
  <c r="BV384" i="7" a="1"/>
  <c r="BV384" i="7" s="1"/>
  <c r="BV289" i="7" a="1"/>
  <c r="BV289" i="7" s="1"/>
  <c r="BV160" i="7" a="1"/>
  <c r="BV160" i="7" s="1"/>
  <c r="BV190" i="7" a="1"/>
  <c r="BV190" i="7" s="1"/>
  <c r="BV267" i="7" a="1"/>
  <c r="BV267" i="7" s="1"/>
  <c r="BV259" i="7" a="1"/>
  <c r="BV259" i="7" s="1"/>
  <c r="BV275" i="7" a="1"/>
  <c r="BV275" i="7" s="1"/>
  <c r="BV224" i="7" a="1"/>
  <c r="BV224" i="7" s="1"/>
  <c r="BV80" i="7" a="1"/>
  <c r="BV80" i="7" s="1"/>
  <c r="BV15" i="7" a="1"/>
  <c r="BV15" i="7" s="1"/>
  <c r="BV277" i="7" a="1"/>
  <c r="BV277" i="7" s="1"/>
  <c r="BV83" i="7" a="1"/>
  <c r="BV83" i="7" s="1"/>
  <c r="BV244" i="7" a="1"/>
  <c r="BV244" i="7" s="1"/>
  <c r="BV29" i="7" a="1"/>
  <c r="BV29" i="7" s="1"/>
  <c r="BV250" i="7" a="1"/>
  <c r="BV250" i="7" s="1"/>
  <c r="BV323" i="7" a="1"/>
  <c r="BV323" i="7" s="1"/>
  <c r="BV17" i="7" a="1"/>
  <c r="BV17" i="7" s="1"/>
  <c r="BV161" i="7" a="1"/>
  <c r="BV161" i="7" s="1"/>
  <c r="BV252" i="7" a="1"/>
  <c r="BV252" i="7" s="1"/>
  <c r="BV46" i="7" a="1"/>
  <c r="BV46" i="7" s="1"/>
  <c r="BV368" i="7" a="1"/>
  <c r="BV368" i="7" s="1"/>
  <c r="BV356" i="7" a="1"/>
  <c r="BV356" i="7" s="1"/>
  <c r="BV61" i="7" a="1"/>
  <c r="BV61" i="7" s="1"/>
  <c r="BV385" i="7" a="1"/>
  <c r="BV385" i="7" s="1"/>
  <c r="BV300" i="7" a="1"/>
  <c r="BV300" i="7" s="1"/>
  <c r="BV296" i="7" a="1"/>
  <c r="BV296" i="7" s="1"/>
  <c r="BV279" i="7" a="1"/>
  <c r="BV279" i="7" s="1"/>
  <c r="BV51" i="7" a="1"/>
  <c r="BV51" i="7" s="1"/>
  <c r="BV135" i="7" a="1"/>
  <c r="BV135" i="7" s="1"/>
  <c r="BV104" i="7" a="1"/>
  <c r="BV104" i="7" s="1"/>
  <c r="BV91" i="7" a="1"/>
  <c r="BV91" i="7" s="1"/>
  <c r="BV377" i="7" a="1"/>
  <c r="BV377" i="7" s="1"/>
  <c r="BV351" i="7" a="1"/>
  <c r="BV351" i="7" s="1"/>
  <c r="BV96" i="7" a="1"/>
  <c r="BV96" i="7" s="1"/>
  <c r="BV214" i="7" a="1"/>
  <c r="BV214" i="7" s="1"/>
  <c r="BV243" i="7" a="1"/>
  <c r="BV243" i="7" s="1"/>
  <c r="BV206" i="7" a="1"/>
  <c r="BV206" i="7" s="1"/>
  <c r="BV331" i="7" a="1"/>
  <c r="BV331" i="7" s="1"/>
  <c r="BV294" i="7" a="1"/>
  <c r="BV294" i="7" s="1"/>
  <c r="BV13" i="7" a="1"/>
  <c r="BV13" i="7" s="1"/>
  <c r="BV312" i="7" a="1"/>
  <c r="BV312" i="7" s="1"/>
  <c r="BV223" i="7" a="1"/>
  <c r="BV223" i="7" s="1"/>
  <c r="BV217" i="7" a="1"/>
  <c r="BV217" i="7" s="1"/>
  <c r="BV139" i="7" a="1"/>
  <c r="BV139" i="7" s="1"/>
  <c r="BV376" i="7" a="1"/>
  <c r="BV376" i="7" s="1"/>
  <c r="BV265" i="7" a="1"/>
  <c r="BV265" i="7" s="1"/>
  <c r="BV242" i="7" a="1"/>
  <c r="BV242" i="7" s="1"/>
  <c r="BV330" i="7" a="1"/>
  <c r="BV330" i="7" s="1"/>
  <c r="BV89" i="7" a="1"/>
  <c r="BV89" i="7" s="1"/>
  <c r="BV69" i="7" a="1"/>
  <c r="BV69" i="7" s="1"/>
  <c r="BV361" i="7" a="1"/>
  <c r="BV361" i="7" s="1"/>
  <c r="BV94" i="7" a="1"/>
  <c r="BV94" i="7" s="1"/>
  <c r="BV162" i="7" a="1"/>
  <c r="BV162" i="7" s="1"/>
  <c r="BV81" i="7" a="1"/>
  <c r="BV81" i="7" s="1"/>
  <c r="BV121" i="7" a="1"/>
  <c r="BV121" i="7" s="1"/>
  <c r="BV379" i="7" a="1"/>
  <c r="BV379" i="7" s="1"/>
  <c r="BV102" i="7" a="1"/>
  <c r="BV102" i="7" s="1"/>
  <c r="BV71" i="7" a="1"/>
  <c r="BV71" i="7" s="1"/>
  <c r="BV140" i="7" a="1"/>
  <c r="BV140" i="7" s="1"/>
  <c r="BV382" i="7" a="1"/>
  <c r="BV382" i="7" s="1"/>
  <c r="BV327" i="7" a="1"/>
  <c r="BV327" i="7" s="1"/>
  <c r="BV212" i="7" a="1"/>
  <c r="BV212" i="7" s="1"/>
  <c r="BV134" i="7" a="1"/>
  <c r="BV134" i="7" s="1"/>
  <c r="BV196" i="7" a="1"/>
  <c r="BV196" i="7" s="1"/>
  <c r="BV339" i="7" a="1"/>
  <c r="BV339" i="7" s="1"/>
  <c r="BV358" i="7" a="1"/>
  <c r="BV358" i="7" s="1"/>
  <c r="BV133" i="7" a="1"/>
  <c r="BV133" i="7" s="1"/>
  <c r="BV221" i="7" a="1"/>
  <c r="BV221" i="7" s="1"/>
  <c r="BV264" i="7" a="1"/>
  <c r="BV264" i="7" s="1"/>
  <c r="BV131" i="7" a="1"/>
  <c r="BV131" i="7" s="1"/>
  <c r="BV74" i="7" a="1"/>
  <c r="BV74" i="7" s="1"/>
  <c r="BV225" i="7" a="1"/>
  <c r="BV225" i="7" s="1"/>
  <c r="BV349" i="7" a="1"/>
  <c r="BV349" i="7" s="1"/>
  <c r="BV26" i="7" a="1"/>
  <c r="BV26" i="7" s="1"/>
  <c r="BV10" i="7" a="1"/>
  <c r="BV10" i="7" s="1"/>
  <c r="BV150" i="7" a="1"/>
  <c r="BV150" i="7" s="1"/>
  <c r="BV305" i="7" a="1"/>
  <c r="BV305" i="7" s="1"/>
  <c r="BV380" i="7" a="1"/>
  <c r="BV380" i="7" s="1"/>
  <c r="BV374" i="7" a="1"/>
  <c r="BV374" i="7" s="1"/>
  <c r="BV31" i="7" a="1"/>
  <c r="BV31" i="7" s="1"/>
  <c r="BV166" i="7" a="1"/>
  <c r="BV166" i="7" s="1"/>
  <c r="BV375" i="7" a="1"/>
  <c r="BV375" i="7" s="1"/>
  <c r="BV6" i="7" a="1"/>
  <c r="BV6" i="7" s="1"/>
  <c r="BV79" i="7" a="1"/>
  <c r="BV79" i="7" s="1"/>
  <c r="BV56" i="7" a="1"/>
  <c r="BV56" i="7" s="1"/>
  <c r="BV50" i="7" a="1"/>
  <c r="BV50" i="7" s="1"/>
  <c r="BV44" i="7" a="1"/>
  <c r="BV44" i="7" s="1"/>
  <c r="BV75" i="7" a="1"/>
  <c r="BV75" i="7" s="1"/>
  <c r="BV101" i="7" a="1"/>
  <c r="BV101" i="7" s="1"/>
  <c r="BV60" i="7" a="1"/>
  <c r="BV60" i="7" s="1"/>
  <c r="BV254" i="7" a="1"/>
  <c r="BV254" i="7" s="1"/>
  <c r="BV315" i="7" a="1"/>
  <c r="BV315" i="7" s="1"/>
  <c r="BV18" i="7" a="1"/>
  <c r="BV18" i="7" s="1"/>
  <c r="BV220" i="7" a="1"/>
  <c r="BV220" i="7" s="1"/>
  <c r="BV70" i="7" a="1"/>
  <c r="BV70" i="7" s="1"/>
  <c r="BV90" i="7" a="1"/>
  <c r="BV90" i="7" s="1"/>
  <c r="BV320" i="7" a="1"/>
  <c r="BV320" i="7" s="1"/>
  <c r="BV126" i="7" a="1"/>
  <c r="BV126" i="7" s="1"/>
  <c r="BV93" i="7" a="1"/>
  <c r="BV93" i="7" s="1"/>
  <c r="BV271" i="7" a="1"/>
  <c r="BV271" i="7" s="1"/>
  <c r="BV363" i="7" a="1"/>
  <c r="BV363" i="7" s="1"/>
  <c r="BV182" i="7" a="1"/>
  <c r="BV182" i="7" s="1"/>
  <c r="BV105" i="7" a="1"/>
  <c r="BV105" i="7" s="1"/>
  <c r="BV33" i="7" a="1"/>
  <c r="BV33" i="7" s="1"/>
  <c r="BV340" i="7" a="1"/>
  <c r="BV340" i="7" s="1"/>
  <c r="BV202" i="7" a="1"/>
  <c r="BV202" i="7" s="1"/>
  <c r="BV53" i="7" a="1"/>
  <c r="BV53" i="7" s="1"/>
  <c r="BV58" i="7" a="1"/>
  <c r="BV58" i="7" s="1"/>
  <c r="BV299" i="7" a="1"/>
  <c r="BV299" i="7" s="1"/>
  <c r="BV319" i="7" a="1"/>
  <c r="BV319" i="7" s="1"/>
  <c r="BV334" i="7" a="1"/>
  <c r="BV334" i="7" s="1"/>
  <c r="BV76" i="7" a="1"/>
  <c r="BV76" i="7" s="1"/>
  <c r="BV230" i="7" a="1"/>
  <c r="BV230" i="7" s="1"/>
  <c r="BV106" i="7" a="1"/>
  <c r="BV106" i="7" s="1"/>
  <c r="BV110" i="7" a="1"/>
  <c r="BV110" i="7" s="1"/>
  <c r="BV8" i="7" a="1"/>
  <c r="BV8" i="7" s="1"/>
  <c r="BV147" i="7" a="1"/>
  <c r="BV147" i="7" s="1"/>
  <c r="BV329" i="7" a="1"/>
  <c r="BV329" i="7" s="1"/>
  <c r="BV370" i="7" a="1"/>
  <c r="BV370" i="7" s="1"/>
  <c r="BV109" i="7" a="1"/>
  <c r="BV109" i="7" s="1"/>
  <c r="BV234" i="7" a="1"/>
  <c r="BV234" i="7" s="1"/>
  <c r="BV307" i="7" a="1"/>
  <c r="BV307" i="7" s="1"/>
  <c r="BV16" i="7" a="1"/>
  <c r="BV16" i="7" s="1"/>
  <c r="BV87" i="7" a="1"/>
  <c r="BV87" i="7" s="1"/>
  <c r="BV88" i="7" a="1"/>
  <c r="BV88" i="7" s="1"/>
  <c r="BV168" i="7" a="1"/>
  <c r="BV168" i="7" s="1"/>
  <c r="BV256" i="7" a="1"/>
  <c r="BV256" i="7" s="1"/>
  <c r="BV49" i="7" a="1"/>
  <c r="BV49" i="7" s="1"/>
  <c r="BV193" i="7" a="1"/>
  <c r="BV193" i="7" s="1"/>
  <c r="BV215" i="7" a="1"/>
  <c r="BV215" i="7" s="1"/>
  <c r="BV153" i="7" a="1"/>
  <c r="BV153" i="7" s="1"/>
  <c r="BV249" i="7" a="1"/>
  <c r="BV249" i="7" s="1"/>
  <c r="BV337" i="7" a="1"/>
  <c r="BV337" i="7" s="1"/>
  <c r="BV39" i="7" a="1"/>
  <c r="BV39" i="7" s="1"/>
  <c r="BV192" i="7" a="1"/>
  <c r="BV192" i="7" s="1"/>
  <c r="BV47" i="7" a="1"/>
  <c r="BV47" i="7" s="1"/>
  <c r="BV286" i="7" a="1"/>
  <c r="BV286" i="7" s="1"/>
  <c r="BV141" i="7" a="1"/>
  <c r="BV141" i="7" s="1"/>
  <c r="BV114" i="7" a="1"/>
  <c r="BV114" i="7" s="1"/>
  <c r="BV97" i="7" a="1"/>
  <c r="BV97" i="7" s="1"/>
  <c r="BV82" i="7" a="1"/>
  <c r="BV82" i="7" s="1"/>
  <c r="BV281" i="7" a="1"/>
  <c r="BV281" i="7" s="1"/>
  <c r="BV288" i="7" a="1"/>
  <c r="BV288" i="7" s="1"/>
  <c r="BV261" i="7" a="1"/>
  <c r="BV261" i="7" s="1"/>
  <c r="BV302" i="7" a="1"/>
  <c r="BV302" i="7" s="1"/>
  <c r="BV180" i="7" a="1"/>
  <c r="BV180" i="7" s="1"/>
  <c r="BV203" i="7" a="1"/>
  <c r="BV203" i="7" s="1"/>
  <c r="BV156" i="7" a="1"/>
  <c r="BV156" i="7" s="1"/>
  <c r="BV181" i="7" a="1"/>
  <c r="BV181" i="7" s="1"/>
  <c r="BV28" i="7" a="1"/>
  <c r="BV28" i="7" s="1"/>
  <c r="BV201" i="7" a="1"/>
  <c r="BV201" i="7" s="1"/>
  <c r="BV258" i="7" a="1"/>
  <c r="BV258" i="7" s="1"/>
  <c r="BV369" i="7" a="1"/>
  <c r="BV369" i="7" s="1"/>
  <c r="BV85" i="7" a="1"/>
  <c r="BV85" i="7" s="1"/>
  <c r="BV43" i="7" a="1"/>
  <c r="BV43" i="7" s="1"/>
  <c r="BV125" i="7" a="1"/>
  <c r="BV125" i="7" s="1"/>
  <c r="BV5" i="7" a="1"/>
  <c r="BV5" i="7" s="1"/>
  <c r="BV158" i="7" a="1"/>
  <c r="BV158" i="7" s="1"/>
  <c r="BV171" i="7" a="1"/>
  <c r="BV171" i="7" s="1"/>
  <c r="BV22" i="7" a="1"/>
  <c r="BV22" i="7" s="1"/>
  <c r="BV25" i="7" a="1"/>
  <c r="BV25" i="7" s="1"/>
  <c r="BV287" i="7" a="1"/>
  <c r="BV287" i="7" s="1"/>
  <c r="BV186" i="7" a="1"/>
  <c r="BV186" i="7" s="1"/>
  <c r="BV99" i="7" a="1"/>
  <c r="BV99" i="7" s="1"/>
  <c r="BV257" i="7" a="1"/>
  <c r="BV257" i="7" s="1"/>
  <c r="BV143" i="7" a="1"/>
  <c r="BV143" i="7" s="1"/>
  <c r="BV65" i="7" a="1"/>
  <c r="BV65" i="7" s="1"/>
  <c r="BV229" i="7" a="1"/>
  <c r="BV229" i="7" s="1"/>
  <c r="BV310" i="7" a="1"/>
  <c r="BV310" i="7" s="1"/>
  <c r="BV344" i="7" a="1"/>
  <c r="BV344" i="7" s="1"/>
  <c r="BV98" i="7" a="1"/>
  <c r="BV98" i="7" s="1"/>
  <c r="BV187" i="7" a="1"/>
  <c r="BV187" i="7" s="1"/>
  <c r="BV276" i="7" a="1"/>
  <c r="BV276" i="7" s="1"/>
  <c r="BV183" i="7" a="1"/>
  <c r="BV183" i="7" s="1"/>
  <c r="BV332" i="7" a="1"/>
  <c r="BV332" i="7" s="1"/>
  <c r="BV55" i="7" a="1"/>
  <c r="BV55" i="7" s="1"/>
  <c r="BV174" i="7" a="1"/>
  <c r="BV174" i="7" s="1"/>
  <c r="BV314" i="7" a="1"/>
  <c r="BV314" i="7" s="1"/>
  <c r="BV269" i="7" a="1"/>
  <c r="BV269" i="7" s="1"/>
  <c r="BV7" i="7" a="1"/>
  <c r="BV7" i="7" s="1"/>
  <c r="BV352" i="7" a="1"/>
  <c r="BV352" i="7" s="1"/>
  <c r="BV346" i="7" a="1"/>
  <c r="BV346" i="7" s="1"/>
  <c r="BV159" i="7" a="1"/>
  <c r="BV159" i="7" s="1"/>
  <c r="BV316" i="7" a="1"/>
  <c r="BV316" i="7" s="1"/>
  <c r="BV142" i="7" a="1"/>
  <c r="BV142" i="7" s="1"/>
  <c r="BV84" i="7" a="1"/>
  <c r="BV84" i="7" s="1"/>
  <c r="BV36" i="7" a="1"/>
  <c r="BV36" i="7" s="1"/>
  <c r="BV148" i="7" a="1"/>
  <c r="BV148" i="7" s="1"/>
  <c r="BV235" i="7" a="1"/>
  <c r="BV235" i="7" s="1"/>
  <c r="BV360" i="7" a="1"/>
  <c r="BV360" i="7" s="1"/>
  <c r="BV175" i="7" a="1"/>
  <c r="BV175" i="7" s="1"/>
  <c r="BV280" i="7" a="1"/>
  <c r="BV280" i="7" s="1"/>
  <c r="BV188" i="7" a="1"/>
  <c r="BV188" i="7" s="1"/>
  <c r="BV301" i="7" a="1"/>
  <c r="BV301" i="7" s="1"/>
  <c r="BV324" i="7" a="1"/>
  <c r="BV324" i="7" s="1"/>
  <c r="BV226" i="7" a="1"/>
  <c r="BV226" i="7" s="1"/>
  <c r="BV283" i="7" a="1"/>
  <c r="BV283" i="7" s="1"/>
  <c r="BV341" i="7" a="1"/>
  <c r="BV341" i="7" s="1"/>
  <c r="BV103" i="7" a="1"/>
  <c r="BV103" i="7" s="1"/>
  <c r="BV64" i="7" a="1"/>
  <c r="BV64" i="7" s="1"/>
  <c r="BV247" i="7" a="1"/>
  <c r="BV247" i="7" s="1"/>
  <c r="BV378" i="7" a="1"/>
  <c r="BV378" i="7" s="1"/>
  <c r="BV120" i="7" a="1"/>
  <c r="BV120" i="7" s="1"/>
  <c r="BV284" i="7" a="1"/>
  <c r="BV284" i="7" s="1"/>
  <c r="BV172" i="7" a="1"/>
  <c r="BV172" i="7" s="1"/>
  <c r="BV317" i="7" a="1"/>
  <c r="BV317" i="7" s="1"/>
  <c r="BV167" i="7" a="1"/>
  <c r="BV167" i="7" s="1"/>
  <c r="BV246" i="7" a="1"/>
  <c r="BV246" i="7" s="1"/>
  <c r="BV41" i="7" a="1"/>
  <c r="BV41" i="7" s="1"/>
  <c r="BV111" i="7" a="1"/>
  <c r="BV111" i="7" s="1"/>
  <c r="BV274" i="7" a="1"/>
  <c r="BV274" i="7" s="1"/>
  <c r="BV231" i="7" a="1"/>
  <c r="BV231" i="7" s="1"/>
  <c r="BV381" i="7" a="1"/>
  <c r="BV381" i="7" s="1"/>
  <c r="BV367" i="7" a="1"/>
  <c r="BV367" i="7" s="1"/>
  <c r="BV240" i="7" a="1"/>
  <c r="BV240" i="7" s="1"/>
  <c r="BV54" i="7" a="1"/>
  <c r="BV54" i="7" s="1"/>
  <c r="BV321" i="7" a="1"/>
  <c r="BV321" i="7" s="1"/>
  <c r="BV233" i="7" a="1"/>
  <c r="BV233" i="7" s="1"/>
  <c r="BV372" i="7" a="1"/>
  <c r="BV372" i="7" s="1"/>
  <c r="BV306" i="7" a="1"/>
  <c r="BV306" i="7" s="1"/>
  <c r="BV34" i="7" a="1"/>
  <c r="BV34" i="7" s="1"/>
  <c r="BV95" i="7" a="1"/>
  <c r="BV95" i="7" s="1"/>
  <c r="BV112" i="7" a="1"/>
  <c r="BV112" i="7" s="1"/>
  <c r="BV387" i="7" a="1"/>
  <c r="BV387" i="7" s="1"/>
  <c r="BV313" i="7" a="1"/>
  <c r="BV313" i="7" s="1"/>
  <c r="BV62" i="7" a="1"/>
  <c r="BV62" i="7" s="1"/>
  <c r="BV19" i="7" a="1"/>
  <c r="BV19" i="7" s="1"/>
  <c r="BV163" i="7" a="1"/>
  <c r="BV163" i="7" s="1"/>
  <c r="BV127" i="7" a="1"/>
  <c r="BV127" i="7" s="1"/>
  <c r="BV335" i="7" a="1"/>
  <c r="BV335" i="7" s="1"/>
  <c r="BV66" i="7" a="1"/>
  <c r="BV66" i="7" s="1"/>
  <c r="BV204" i="7" a="1"/>
  <c r="BV204" i="7" s="1"/>
  <c r="BV345" i="7" a="1"/>
  <c r="BV345" i="7" s="1"/>
  <c r="BV100" i="7" a="1"/>
  <c r="BV100" i="7" s="1"/>
  <c r="BV270" i="7" a="1"/>
  <c r="BV270" i="7" s="1"/>
  <c r="BV136" i="7" a="1"/>
  <c r="BV136" i="7" s="1"/>
  <c r="BV48" i="7" a="1"/>
  <c r="BV48" i="7" s="1"/>
  <c r="BV232" i="7" a="1"/>
  <c r="BV232" i="7" s="1"/>
  <c r="BV266" i="7" a="1"/>
  <c r="BV266" i="7" s="1"/>
  <c r="BV67" i="7" a="1"/>
  <c r="BV67" i="7" s="1"/>
  <c r="BV191" i="7" a="1"/>
  <c r="BV191" i="7" s="1"/>
  <c r="BV353" i="7" a="1"/>
  <c r="BV353" i="7" s="1"/>
  <c r="BV194" i="7" a="1"/>
  <c r="BV194" i="7" s="1"/>
  <c r="BV86" i="7" a="1"/>
  <c r="BV86" i="7" s="1"/>
  <c r="BV72" i="7" a="1"/>
  <c r="BV72" i="7" s="1"/>
  <c r="BV211" i="7" a="1"/>
  <c r="BV211" i="7" s="1"/>
  <c r="BV255" i="7" a="1"/>
  <c r="BV255" i="7" s="1"/>
  <c r="BV169" i="7" a="1"/>
  <c r="BV169" i="7" s="1"/>
  <c r="BV311" i="7" a="1"/>
  <c r="BV311" i="7" s="1"/>
  <c r="BV222" i="7" a="1"/>
  <c r="BV222" i="7" s="1"/>
  <c r="BV383" i="7" a="1"/>
  <c r="BV383" i="7" s="1"/>
  <c r="BV184" i="7" a="1"/>
  <c r="BV184" i="7" s="1"/>
  <c r="BV209" i="7" a="1"/>
  <c r="BV209" i="7" s="1"/>
  <c r="BV157" i="7" a="1"/>
  <c r="BV157" i="7" s="1"/>
  <c r="BV239" i="7" a="1"/>
  <c r="BV239" i="7" s="1"/>
  <c r="BV155" i="7" a="1"/>
  <c r="BV155" i="7" s="1"/>
  <c r="BV359" i="7" a="1"/>
  <c r="BV359" i="7" s="1"/>
  <c r="BV132" i="7" a="1"/>
  <c r="BV132" i="7" s="1"/>
  <c r="BV116" i="7" a="1"/>
  <c r="BV116" i="7" s="1"/>
  <c r="BV373" i="7" a="1"/>
  <c r="BV373" i="7" s="1"/>
  <c r="BV303" i="7" a="1"/>
  <c r="BV303" i="7" s="1"/>
  <c r="BV355" i="7" a="1"/>
  <c r="BV355" i="7" s="1"/>
  <c r="BV20" i="7" a="1"/>
  <c r="BV20" i="7" s="1"/>
  <c r="BV272" i="7" a="1"/>
  <c r="BV272" i="7" s="1"/>
  <c r="BV260" i="7" a="1"/>
  <c r="BV260" i="7" s="1"/>
  <c r="BV119" i="7" a="1"/>
  <c r="BV119" i="7" s="1"/>
  <c r="BV14" i="7" a="1"/>
  <c r="BV14" i="7" s="1"/>
  <c r="BV42" i="7" a="1"/>
  <c r="BV42" i="7" s="1"/>
  <c r="BV292" i="7" a="1"/>
  <c r="BV292" i="7" s="1"/>
  <c r="BV200" i="7" a="1"/>
  <c r="BV200" i="7" s="1"/>
  <c r="BV238" i="7" a="1"/>
  <c r="BV238" i="7" s="1"/>
  <c r="BV325" i="7" a="1"/>
  <c r="BV325" i="7" s="1"/>
  <c r="BV236" i="7" a="1"/>
  <c r="BV236" i="7" s="1"/>
  <c r="BV365" i="7" a="1"/>
  <c r="BV365" i="7" s="1"/>
  <c r="BV241" i="7" a="1"/>
  <c r="BV241" i="7" s="1"/>
  <c r="BV245" i="7" a="1"/>
  <c r="BV245" i="7" s="1"/>
  <c r="BV216" i="7" a="1"/>
  <c r="BV216" i="7" s="1"/>
  <c r="BV189" i="7" a="1"/>
  <c r="BV189" i="7" s="1"/>
  <c r="BV40" i="7" a="1"/>
  <c r="BV40" i="7" s="1"/>
  <c r="BV52" i="7" a="1"/>
  <c r="BV52" i="7" s="1"/>
  <c r="BV12" i="7" a="1"/>
  <c r="BV12" i="7" s="1"/>
  <c r="BV145" i="7" a="1"/>
  <c r="BV145" i="7" s="1"/>
  <c r="BV122" i="7" a="1"/>
  <c r="BV122" i="7" s="1"/>
  <c r="BV118" i="7" a="1"/>
  <c r="BV118" i="7" s="1"/>
  <c r="BV348" i="7" a="1"/>
  <c r="BV348" i="7" s="1"/>
  <c r="BV164" i="7" a="1"/>
  <c r="BV164" i="7" s="1"/>
  <c r="BV92" i="7" a="1"/>
  <c r="BV92" i="7" s="1"/>
  <c r="BV35" i="7" a="1"/>
  <c r="BV35" i="7" s="1"/>
  <c r="BV326" i="7" a="1"/>
  <c r="BV326" i="7" s="1"/>
  <c r="BV198" i="7" a="1"/>
  <c r="BV198" i="7" s="1"/>
  <c r="BV77" i="7" a="1"/>
  <c r="BV77" i="7" s="1"/>
  <c r="BJ67" i="7"/>
  <c r="BI67" i="7"/>
  <c r="BH67" i="7"/>
  <c r="BJ36" i="7"/>
  <c r="BI36" i="7"/>
  <c r="BH36" i="7"/>
  <c r="BJ6" i="7"/>
  <c r="BI6" i="7"/>
  <c r="BH6" i="7"/>
  <c r="BJ70" i="7"/>
  <c r="BI70" i="7"/>
  <c r="BH70" i="7"/>
  <c r="BJ55" i="7"/>
  <c r="BI55" i="7"/>
  <c r="BH55" i="7"/>
  <c r="BJ82" i="7"/>
  <c r="BI82" i="7"/>
  <c r="BH82" i="7"/>
  <c r="BJ7" i="7"/>
  <c r="BI7" i="7"/>
  <c r="BH7" i="7"/>
  <c r="BJ73" i="7"/>
  <c r="BI73" i="7"/>
  <c r="BH73" i="7"/>
  <c r="BJ37" i="7"/>
  <c r="BI37" i="7"/>
  <c r="BH37" i="7"/>
  <c r="BJ41" i="7"/>
  <c r="BI41" i="7"/>
  <c r="BH41" i="7"/>
  <c r="BI16" i="7"/>
  <c r="BJ16" i="7"/>
  <c r="BH16" i="7"/>
  <c r="BJ80" i="7"/>
  <c r="BI80" i="7"/>
  <c r="BH80" i="7"/>
  <c r="BJ50" i="7"/>
  <c r="BI50" i="7"/>
  <c r="BH50" i="7"/>
  <c r="BJ11" i="7"/>
  <c r="BI11" i="7"/>
  <c r="BH11" i="7"/>
  <c r="BJ75" i="7"/>
  <c r="BI75" i="7"/>
  <c r="BH75" i="7"/>
  <c r="BJ44" i="7"/>
  <c r="BI44" i="7"/>
  <c r="BH44" i="7"/>
  <c r="BJ14" i="7"/>
  <c r="BI14" i="7"/>
  <c r="BH14" i="7"/>
  <c r="BJ78" i="7"/>
  <c r="BI78" i="7"/>
  <c r="BH78" i="7"/>
  <c r="BJ29" i="7"/>
  <c r="BI29" i="7"/>
  <c r="BH29" i="7"/>
  <c r="BJ95" i="7"/>
  <c r="BI95" i="7"/>
  <c r="BH95" i="7"/>
  <c r="BJ57" i="7"/>
  <c r="BI57" i="7"/>
  <c r="BH57" i="7"/>
  <c r="BJ63" i="7"/>
  <c r="BI63" i="7"/>
  <c r="BH63" i="7"/>
  <c r="BJ24" i="7"/>
  <c r="BI24" i="7"/>
  <c r="BH24" i="7"/>
  <c r="BI88" i="7"/>
  <c r="BJ88" i="7"/>
  <c r="BH88" i="7"/>
  <c r="BJ58" i="7"/>
  <c r="BI58" i="7"/>
  <c r="BH58" i="7"/>
  <c r="BJ19" i="7"/>
  <c r="BI19" i="7"/>
  <c r="BH19" i="7"/>
  <c r="BJ83" i="7"/>
  <c r="BI83" i="7"/>
  <c r="BH83" i="7"/>
  <c r="BJ52" i="7"/>
  <c r="BI52" i="7"/>
  <c r="BH52" i="7"/>
  <c r="BJ22" i="7"/>
  <c r="BI22" i="7"/>
  <c r="BH22" i="7"/>
  <c r="BJ86" i="7"/>
  <c r="BI86" i="7"/>
  <c r="BH86" i="7"/>
  <c r="BJ49" i="7"/>
  <c r="BI49" i="7"/>
  <c r="BH49" i="7"/>
  <c r="BJ13" i="7"/>
  <c r="BI13" i="7"/>
  <c r="BH13" i="7"/>
  <c r="BJ79" i="7"/>
  <c r="BI79" i="7"/>
  <c r="BH79" i="7"/>
  <c r="BJ85" i="7"/>
  <c r="BI85" i="7"/>
  <c r="BH85" i="7"/>
  <c r="BJ32" i="7"/>
  <c r="BI32" i="7"/>
  <c r="BH32" i="7"/>
  <c r="BI96" i="7"/>
  <c r="BJ96" i="7"/>
  <c r="BH96" i="7"/>
  <c r="BJ66" i="7"/>
  <c r="BI66" i="7"/>
  <c r="BH66" i="7"/>
  <c r="BJ27" i="7"/>
  <c r="BI27" i="7"/>
  <c r="BH27" i="7"/>
  <c r="BJ91" i="7"/>
  <c r="BI91" i="7"/>
  <c r="BH91" i="7"/>
  <c r="BJ60" i="7"/>
  <c r="BI60" i="7"/>
  <c r="BH60" i="7"/>
  <c r="BJ30" i="7"/>
  <c r="BI30" i="7"/>
  <c r="BH30" i="7"/>
  <c r="BJ94" i="7"/>
  <c r="BI94" i="7"/>
  <c r="BH94" i="7"/>
  <c r="CI35" i="7" l="1"/>
  <c r="BX35" i="7"/>
  <c r="E33" i="12" s="1"/>
  <c r="CD35" i="7"/>
  <c r="J33" i="12" s="1"/>
  <c r="BW35" i="7"/>
  <c r="CE35" i="7"/>
  <c r="CC35" i="7"/>
  <c r="BY35" i="7"/>
  <c r="F33" i="12" s="1"/>
  <c r="CI52" i="7"/>
  <c r="BX52" i="7"/>
  <c r="E50" i="12" s="1"/>
  <c r="BW52" i="7"/>
  <c r="CE52" i="7"/>
  <c r="CD52" i="7"/>
  <c r="J50" i="12" s="1"/>
  <c r="CC52" i="7"/>
  <c r="BY52" i="7"/>
  <c r="F50" i="12" s="1"/>
  <c r="BX325" i="7"/>
  <c r="E323" i="12" s="1"/>
  <c r="CE325" i="7"/>
  <c r="BW325" i="7"/>
  <c r="CD325" i="7"/>
  <c r="J323" i="12" s="1"/>
  <c r="CC325" i="7"/>
  <c r="CI325" i="7"/>
  <c r="BY325" i="7"/>
  <c r="F323" i="12" s="1"/>
  <c r="CE272" i="7"/>
  <c r="BW272" i="7"/>
  <c r="CD272" i="7"/>
  <c r="J270" i="12" s="1"/>
  <c r="CC272" i="7"/>
  <c r="CI272" i="7"/>
  <c r="BY272" i="7"/>
  <c r="F270" i="12" s="1"/>
  <c r="BX272" i="7"/>
  <c r="E270" i="12" s="1"/>
  <c r="BY155" i="7"/>
  <c r="F153" i="12" s="1"/>
  <c r="BX155" i="7"/>
  <c r="E153" i="12" s="1"/>
  <c r="CE155" i="7"/>
  <c r="BW155" i="7"/>
  <c r="CD155" i="7"/>
  <c r="J153" i="12" s="1"/>
  <c r="CC155" i="7"/>
  <c r="CI155" i="7"/>
  <c r="CI169" i="7"/>
  <c r="BY169" i="7"/>
  <c r="F167" i="12" s="1"/>
  <c r="BX169" i="7"/>
  <c r="E167" i="12" s="1"/>
  <c r="CE169" i="7"/>
  <c r="BW169" i="7"/>
  <c r="CD169" i="7"/>
  <c r="J167" i="12" s="1"/>
  <c r="CC169" i="7"/>
  <c r="BX67" i="7"/>
  <c r="E65" i="12" s="1"/>
  <c r="CD67" i="7"/>
  <c r="J65" i="12" s="1"/>
  <c r="CC67" i="7"/>
  <c r="BY67" i="7"/>
  <c r="F65" i="12" s="1"/>
  <c r="BW67" i="7"/>
  <c r="CI67" i="7"/>
  <c r="CE67" i="7"/>
  <c r="CC204" i="7"/>
  <c r="CI204" i="7"/>
  <c r="BY204" i="7"/>
  <c r="F202" i="12" s="1"/>
  <c r="BX204" i="7"/>
  <c r="E202" i="12" s="1"/>
  <c r="CD204" i="7"/>
  <c r="J202" i="12" s="1"/>
  <c r="CE204" i="7"/>
  <c r="BW204" i="7"/>
  <c r="BX387" i="7"/>
  <c r="E385" i="12" s="1"/>
  <c r="CE387" i="7"/>
  <c r="BW387" i="7"/>
  <c r="CD387" i="7"/>
  <c r="J385" i="12" s="1"/>
  <c r="CC387" i="7"/>
  <c r="CI387" i="7"/>
  <c r="BY387" i="7"/>
  <c r="F385" i="12" s="1"/>
  <c r="CD54" i="7"/>
  <c r="J52" i="12" s="1"/>
  <c r="CC54" i="7"/>
  <c r="CI54" i="7"/>
  <c r="BY54" i="7"/>
  <c r="F52" i="12" s="1"/>
  <c r="BX54" i="7"/>
  <c r="E52" i="12" s="1"/>
  <c r="BW54" i="7"/>
  <c r="CE54" i="7"/>
  <c r="CD246" i="7"/>
  <c r="J244" i="12" s="1"/>
  <c r="CC246" i="7"/>
  <c r="CI246" i="7"/>
  <c r="BY246" i="7"/>
  <c r="F244" i="12" s="1"/>
  <c r="BX246" i="7"/>
  <c r="E244" i="12" s="1"/>
  <c r="CE246" i="7"/>
  <c r="BW246" i="7"/>
  <c r="CD64" i="7"/>
  <c r="J62" i="12" s="1"/>
  <c r="CI64" i="7"/>
  <c r="CC64" i="7"/>
  <c r="BY64" i="7"/>
  <c r="F62" i="12" s="1"/>
  <c r="BX64" i="7"/>
  <c r="E62" i="12" s="1"/>
  <c r="BW64" i="7"/>
  <c r="CE64" i="7"/>
  <c r="CE280" i="7"/>
  <c r="BW280" i="7"/>
  <c r="CD280" i="7"/>
  <c r="J278" i="12" s="1"/>
  <c r="CC280" i="7"/>
  <c r="CI280" i="7"/>
  <c r="BY280" i="7"/>
  <c r="F278" i="12" s="1"/>
  <c r="BX280" i="7"/>
  <c r="E278" i="12" s="1"/>
  <c r="CC316" i="7"/>
  <c r="CI316" i="7"/>
  <c r="BY316" i="7"/>
  <c r="F314" i="12" s="1"/>
  <c r="BX316" i="7"/>
  <c r="E314" i="12" s="1"/>
  <c r="CE316" i="7"/>
  <c r="BW316" i="7"/>
  <c r="CD316" i="7"/>
  <c r="J314" i="12" s="1"/>
  <c r="BW55" i="7"/>
  <c r="CE55" i="7"/>
  <c r="CD55" i="7"/>
  <c r="J53" i="12" s="1"/>
  <c r="CC55" i="7"/>
  <c r="CI55" i="7"/>
  <c r="BY55" i="7"/>
  <c r="F53" i="12" s="1"/>
  <c r="BX55" i="7"/>
  <c r="E53" i="12" s="1"/>
  <c r="BY229" i="7"/>
  <c r="F227" i="12" s="1"/>
  <c r="BX229" i="7"/>
  <c r="E227" i="12" s="1"/>
  <c r="CE229" i="7"/>
  <c r="BW229" i="7"/>
  <c r="CI229" i="7"/>
  <c r="CD229" i="7"/>
  <c r="J227" i="12" s="1"/>
  <c r="CC229" i="7"/>
  <c r="CI22" i="7"/>
  <c r="BX22" i="7"/>
  <c r="E20" i="12" s="1"/>
  <c r="CD22" i="7"/>
  <c r="J20" i="12" s="1"/>
  <c r="BY22" i="7"/>
  <c r="F20" i="12" s="1"/>
  <c r="BW22" i="7"/>
  <c r="CE22" i="7"/>
  <c r="CC22" i="7"/>
  <c r="CI258" i="7"/>
  <c r="BY258" i="7"/>
  <c r="F256" i="12" s="1"/>
  <c r="BX258" i="7"/>
  <c r="E256" i="12" s="1"/>
  <c r="CE258" i="7"/>
  <c r="BW258" i="7"/>
  <c r="CD258" i="7"/>
  <c r="J256" i="12" s="1"/>
  <c r="CC258" i="7"/>
  <c r="CC261" i="7"/>
  <c r="BW261" i="7"/>
  <c r="CE261" i="7"/>
  <c r="CD261" i="7"/>
  <c r="J259" i="12" s="1"/>
  <c r="CI261" i="7"/>
  <c r="BY261" i="7"/>
  <c r="F259" i="12" s="1"/>
  <c r="BX261" i="7"/>
  <c r="E259" i="12" s="1"/>
  <c r="CI47" i="7"/>
  <c r="BY47" i="7"/>
  <c r="F45" i="12" s="1"/>
  <c r="BX47" i="7"/>
  <c r="E45" i="12" s="1"/>
  <c r="CE47" i="7"/>
  <c r="BW47" i="7"/>
  <c r="CD47" i="7"/>
  <c r="J45" i="12" s="1"/>
  <c r="CC47" i="7"/>
  <c r="CD49" i="7"/>
  <c r="J47" i="12" s="1"/>
  <c r="CC49" i="7"/>
  <c r="CI49" i="7"/>
  <c r="BY49" i="7"/>
  <c r="F47" i="12" s="1"/>
  <c r="BX49" i="7"/>
  <c r="E47" i="12" s="1"/>
  <c r="CE49" i="7"/>
  <c r="BW49" i="7"/>
  <c r="BX109" i="7"/>
  <c r="E107" i="12" s="1"/>
  <c r="CE109" i="7"/>
  <c r="BW109" i="7"/>
  <c r="CD109" i="7"/>
  <c r="J107" i="12" s="1"/>
  <c r="CC109" i="7"/>
  <c r="CI109" i="7"/>
  <c r="BY109" i="7"/>
  <c r="F107" i="12" s="1"/>
  <c r="BX76" i="7"/>
  <c r="E74" i="12" s="1"/>
  <c r="CD76" i="7"/>
  <c r="J74" i="12" s="1"/>
  <c r="CI76" i="7"/>
  <c r="CC76" i="7"/>
  <c r="BY76" i="7"/>
  <c r="F74" i="12" s="1"/>
  <c r="BW76" i="7"/>
  <c r="CE76" i="7"/>
  <c r="CD33" i="7"/>
  <c r="J31" i="12" s="1"/>
  <c r="CI33" i="7"/>
  <c r="BX33" i="7"/>
  <c r="E31" i="12" s="1"/>
  <c r="BY33" i="7"/>
  <c r="F31" i="12" s="1"/>
  <c r="BW33" i="7"/>
  <c r="CE33" i="7"/>
  <c r="CC33" i="7"/>
  <c r="CC90" i="7"/>
  <c r="CI90" i="7"/>
  <c r="BY90" i="7"/>
  <c r="F88" i="12" s="1"/>
  <c r="BX90" i="7"/>
  <c r="E88" i="12" s="1"/>
  <c r="CD90" i="7"/>
  <c r="J88" i="12" s="1"/>
  <c r="CE90" i="7"/>
  <c r="BW90" i="7"/>
  <c r="CI75" i="7"/>
  <c r="BX75" i="7"/>
  <c r="E73" i="12" s="1"/>
  <c r="CD75" i="7"/>
  <c r="J73" i="12" s="1"/>
  <c r="CE75" i="7"/>
  <c r="CC75" i="7"/>
  <c r="BY75" i="7"/>
  <c r="F73" i="12" s="1"/>
  <c r="BW75" i="7"/>
  <c r="CI31" i="7"/>
  <c r="BX31" i="7"/>
  <c r="E29" i="12" s="1"/>
  <c r="CD31" i="7"/>
  <c r="J29" i="12" s="1"/>
  <c r="CE31" i="7"/>
  <c r="CC31" i="7"/>
  <c r="BY31" i="7"/>
  <c r="F29" i="12" s="1"/>
  <c r="BW31" i="7"/>
  <c r="BX225" i="7"/>
  <c r="E223" i="12" s="1"/>
  <c r="BY225" i="7"/>
  <c r="F223" i="12" s="1"/>
  <c r="CI225" i="7"/>
  <c r="BW225" i="7"/>
  <c r="CE225" i="7"/>
  <c r="CD225" i="7"/>
  <c r="J223" i="12" s="1"/>
  <c r="CC225" i="7"/>
  <c r="BX196" i="7"/>
  <c r="E194" i="12" s="1"/>
  <c r="CE196" i="7"/>
  <c r="CD196" i="7"/>
  <c r="J194" i="12" s="1"/>
  <c r="CC196" i="7"/>
  <c r="CI196" i="7"/>
  <c r="BY196" i="7"/>
  <c r="F194" i="12" s="1"/>
  <c r="BW196" i="7"/>
  <c r="CE379" i="7"/>
  <c r="BW379" i="7"/>
  <c r="CD379" i="7"/>
  <c r="J377" i="12" s="1"/>
  <c r="CC379" i="7"/>
  <c r="CI379" i="7"/>
  <c r="BY379" i="7"/>
  <c r="F377" i="12" s="1"/>
  <c r="BX379" i="7"/>
  <c r="E377" i="12" s="1"/>
  <c r="CE330" i="7"/>
  <c r="BW330" i="7"/>
  <c r="CC330" i="7"/>
  <c r="CI330" i="7"/>
  <c r="BY330" i="7"/>
  <c r="F328" i="12" s="1"/>
  <c r="BX330" i="7"/>
  <c r="E328" i="12" s="1"/>
  <c r="CD330" i="7"/>
  <c r="J328" i="12" s="1"/>
  <c r="BX13" i="7"/>
  <c r="E11" i="12" s="1"/>
  <c r="CE13" i="7"/>
  <c r="BW13" i="7"/>
  <c r="CD13" i="7"/>
  <c r="J11" i="12" s="1"/>
  <c r="CC13" i="7"/>
  <c r="CI13" i="7"/>
  <c r="BY13" i="7"/>
  <c r="F11" i="12" s="1"/>
  <c r="BY377" i="7"/>
  <c r="F375" i="12" s="1"/>
  <c r="BX377" i="7"/>
  <c r="E375" i="12" s="1"/>
  <c r="CE377" i="7"/>
  <c r="BW377" i="7"/>
  <c r="CD377" i="7"/>
  <c r="J375" i="12" s="1"/>
  <c r="CC377" i="7"/>
  <c r="CI377" i="7"/>
  <c r="BY385" i="7"/>
  <c r="F383" i="12" s="1"/>
  <c r="BX385" i="7"/>
  <c r="E383" i="12" s="1"/>
  <c r="CE385" i="7"/>
  <c r="BW385" i="7"/>
  <c r="CD385" i="7"/>
  <c r="J383" i="12" s="1"/>
  <c r="CC385" i="7"/>
  <c r="CI385" i="7"/>
  <c r="CI323" i="7"/>
  <c r="BY323" i="7"/>
  <c r="F321" i="12" s="1"/>
  <c r="BX323" i="7"/>
  <c r="E321" i="12" s="1"/>
  <c r="CE323" i="7"/>
  <c r="BW323" i="7"/>
  <c r="CD323" i="7"/>
  <c r="J321" i="12" s="1"/>
  <c r="CC323" i="7"/>
  <c r="BY224" i="7"/>
  <c r="F222" i="12" s="1"/>
  <c r="CC224" i="7"/>
  <c r="BX224" i="7"/>
  <c r="E222" i="12" s="1"/>
  <c r="CI224" i="7"/>
  <c r="BW224" i="7"/>
  <c r="CE224" i="7"/>
  <c r="CD224" i="7"/>
  <c r="J222" i="12" s="1"/>
  <c r="BX291" i="7"/>
  <c r="E289" i="12" s="1"/>
  <c r="CE291" i="7"/>
  <c r="BW291" i="7"/>
  <c r="CD291" i="7"/>
  <c r="J289" i="12" s="1"/>
  <c r="CC291" i="7"/>
  <c r="CI291" i="7"/>
  <c r="BY291" i="7"/>
  <c r="F289" i="12" s="1"/>
  <c r="BX205" i="7"/>
  <c r="E203" i="12" s="1"/>
  <c r="CE205" i="7"/>
  <c r="BW205" i="7"/>
  <c r="CC205" i="7"/>
  <c r="CI205" i="7"/>
  <c r="BY205" i="7"/>
  <c r="F203" i="12" s="1"/>
  <c r="CD205" i="7"/>
  <c r="J203" i="12" s="1"/>
  <c r="BX333" i="7"/>
  <c r="E331" i="12" s="1"/>
  <c r="CE333" i="7"/>
  <c r="BW333" i="7"/>
  <c r="CD333" i="7"/>
  <c r="J331" i="12" s="1"/>
  <c r="CC333" i="7"/>
  <c r="CI333" i="7"/>
  <c r="BY333" i="7"/>
  <c r="F331" i="12" s="1"/>
  <c r="CI107" i="7"/>
  <c r="BY107" i="7"/>
  <c r="F105" i="12" s="1"/>
  <c r="BX107" i="7"/>
  <c r="E105" i="12" s="1"/>
  <c r="CE107" i="7"/>
  <c r="BW107" i="7"/>
  <c r="CD107" i="7"/>
  <c r="J105" i="12" s="1"/>
  <c r="CC107" i="7"/>
  <c r="CD293" i="7"/>
  <c r="J291" i="12" s="1"/>
  <c r="CC293" i="7"/>
  <c r="CI293" i="7"/>
  <c r="BY293" i="7"/>
  <c r="F291" i="12" s="1"/>
  <c r="BX293" i="7"/>
  <c r="E291" i="12" s="1"/>
  <c r="CE293" i="7"/>
  <c r="BW293" i="7"/>
  <c r="CC308" i="7"/>
  <c r="CI308" i="7"/>
  <c r="BY308" i="7"/>
  <c r="F306" i="12" s="1"/>
  <c r="BX308" i="7"/>
  <c r="E306" i="12" s="1"/>
  <c r="CE308" i="7"/>
  <c r="BW308" i="7"/>
  <c r="CD308" i="7"/>
  <c r="J306" i="12" s="1"/>
  <c r="BY362" i="7"/>
  <c r="F360" i="12" s="1"/>
  <c r="CE362" i="7"/>
  <c r="BW362" i="7"/>
  <c r="CD362" i="7"/>
  <c r="J360" i="12" s="1"/>
  <c r="CI362" i="7"/>
  <c r="CC362" i="7"/>
  <c r="BX362" i="7"/>
  <c r="E360" i="12" s="1"/>
  <c r="BY179" i="7"/>
  <c r="F177" i="12" s="1"/>
  <c r="BX179" i="7"/>
  <c r="E177" i="12" s="1"/>
  <c r="CE179" i="7"/>
  <c r="BW179" i="7"/>
  <c r="CD179" i="7"/>
  <c r="J177" i="12" s="1"/>
  <c r="CC179" i="7"/>
  <c r="CI179" i="7"/>
  <c r="CD146" i="7"/>
  <c r="J144" i="12" s="1"/>
  <c r="CC146" i="7"/>
  <c r="CI146" i="7"/>
  <c r="BY146" i="7"/>
  <c r="F144" i="12" s="1"/>
  <c r="CE146" i="7"/>
  <c r="BW146" i="7"/>
  <c r="BX146" i="7"/>
  <c r="E144" i="12" s="1"/>
  <c r="CI318" i="7"/>
  <c r="BY318" i="7"/>
  <c r="F316" i="12" s="1"/>
  <c r="BX318" i="7"/>
  <c r="E316" i="12" s="1"/>
  <c r="CE318" i="7"/>
  <c r="BW318" i="7"/>
  <c r="CD318" i="7"/>
  <c r="J316" i="12" s="1"/>
  <c r="CC318" i="7"/>
  <c r="BX309" i="7"/>
  <c r="E307" i="12" s="1"/>
  <c r="CE309" i="7"/>
  <c r="BW309" i="7"/>
  <c r="CD309" i="7"/>
  <c r="J307" i="12" s="1"/>
  <c r="CC309" i="7"/>
  <c r="CI309" i="7"/>
  <c r="BY309" i="7"/>
  <c r="F307" i="12" s="1"/>
  <c r="BX63" i="7"/>
  <c r="E61" i="12" s="1"/>
  <c r="CE63" i="7"/>
  <c r="CD63" i="7"/>
  <c r="J61" i="12" s="1"/>
  <c r="CC63" i="7"/>
  <c r="BY63" i="7"/>
  <c r="F61" i="12" s="1"/>
  <c r="CI63" i="7"/>
  <c r="BW63" i="7"/>
  <c r="BY92" i="7"/>
  <c r="F90" i="12" s="1"/>
  <c r="BX92" i="7"/>
  <c r="E90" i="12" s="1"/>
  <c r="CE92" i="7"/>
  <c r="BW92" i="7"/>
  <c r="CD92" i="7"/>
  <c r="J90" i="12" s="1"/>
  <c r="CC92" i="7"/>
  <c r="CI92" i="7"/>
  <c r="BX40" i="7"/>
  <c r="E38" i="12" s="1"/>
  <c r="CD40" i="7"/>
  <c r="J38" i="12" s="1"/>
  <c r="CI40" i="7"/>
  <c r="CC40" i="7"/>
  <c r="BY40" i="7"/>
  <c r="F38" i="12" s="1"/>
  <c r="BW40" i="7"/>
  <c r="CE40" i="7"/>
  <c r="CD238" i="7"/>
  <c r="J236" i="12" s="1"/>
  <c r="CC238" i="7"/>
  <c r="CI238" i="7"/>
  <c r="BY238" i="7"/>
  <c r="F236" i="12" s="1"/>
  <c r="BX238" i="7"/>
  <c r="E236" i="12" s="1"/>
  <c r="CE238" i="7"/>
  <c r="BW238" i="7"/>
  <c r="CI20" i="7"/>
  <c r="CE20" i="7"/>
  <c r="CD20" i="7"/>
  <c r="J18" i="12" s="1"/>
  <c r="CC20" i="7"/>
  <c r="BY20" i="7"/>
  <c r="F18" i="12" s="1"/>
  <c r="BX20" i="7"/>
  <c r="E18" i="12" s="1"/>
  <c r="BW20" i="7"/>
  <c r="BY239" i="7"/>
  <c r="F237" i="12" s="1"/>
  <c r="BX239" i="7"/>
  <c r="E237" i="12" s="1"/>
  <c r="CE239" i="7"/>
  <c r="BW239" i="7"/>
  <c r="CD239" i="7"/>
  <c r="J237" i="12" s="1"/>
  <c r="CC239" i="7"/>
  <c r="CI239" i="7"/>
  <c r="BY255" i="7"/>
  <c r="F253" i="12" s="1"/>
  <c r="BX255" i="7"/>
  <c r="E253" i="12" s="1"/>
  <c r="CE255" i="7"/>
  <c r="BW255" i="7"/>
  <c r="CD255" i="7"/>
  <c r="J253" i="12" s="1"/>
  <c r="CC255" i="7"/>
  <c r="CI255" i="7"/>
  <c r="CC266" i="7"/>
  <c r="CI266" i="7"/>
  <c r="BY266" i="7"/>
  <c r="F264" i="12" s="1"/>
  <c r="CE266" i="7"/>
  <c r="BW266" i="7"/>
  <c r="CD266" i="7"/>
  <c r="J264" i="12" s="1"/>
  <c r="BX266" i="7"/>
  <c r="E264" i="12" s="1"/>
  <c r="CI66" i="7"/>
  <c r="BX66" i="7"/>
  <c r="E64" i="12" s="1"/>
  <c r="CD66" i="7"/>
  <c r="J64" i="12" s="1"/>
  <c r="BY66" i="7"/>
  <c r="F64" i="12" s="1"/>
  <c r="BW66" i="7"/>
  <c r="CE66" i="7"/>
  <c r="CC66" i="7"/>
  <c r="CI112" i="7"/>
  <c r="BY112" i="7"/>
  <c r="F110" i="12" s="1"/>
  <c r="BX112" i="7"/>
  <c r="E110" i="12" s="1"/>
  <c r="CE112" i="7"/>
  <c r="BW112" i="7"/>
  <c r="CD112" i="7"/>
  <c r="J110" i="12" s="1"/>
  <c r="CC112" i="7"/>
  <c r="CI240" i="7"/>
  <c r="BY240" i="7"/>
  <c r="F238" i="12" s="1"/>
  <c r="BX240" i="7"/>
  <c r="E238" i="12" s="1"/>
  <c r="CE240" i="7"/>
  <c r="BW240" i="7"/>
  <c r="CD240" i="7"/>
  <c r="J238" i="12" s="1"/>
  <c r="CC240" i="7"/>
  <c r="CC167" i="7"/>
  <c r="CI167" i="7"/>
  <c r="BY167" i="7"/>
  <c r="F165" i="12" s="1"/>
  <c r="BX167" i="7"/>
  <c r="E165" i="12" s="1"/>
  <c r="CD167" i="7"/>
  <c r="J165" i="12" s="1"/>
  <c r="CE167" i="7"/>
  <c r="BW167" i="7"/>
  <c r="CC103" i="7"/>
  <c r="CD103" i="7"/>
  <c r="J101" i="12" s="1"/>
  <c r="BY103" i="7"/>
  <c r="F101" i="12" s="1"/>
  <c r="CI103" i="7"/>
  <c r="BX103" i="7"/>
  <c r="E101" i="12" s="1"/>
  <c r="BW103" i="7"/>
  <c r="CE103" i="7"/>
  <c r="CC175" i="7"/>
  <c r="CI175" i="7"/>
  <c r="BY175" i="7"/>
  <c r="F173" i="12" s="1"/>
  <c r="BX175" i="7"/>
  <c r="E173" i="12" s="1"/>
  <c r="CD175" i="7"/>
  <c r="J173" i="12" s="1"/>
  <c r="CE175" i="7"/>
  <c r="BW175" i="7"/>
  <c r="CC159" i="7"/>
  <c r="CI159" i="7"/>
  <c r="BY159" i="7"/>
  <c r="F157" i="12" s="1"/>
  <c r="BX159" i="7"/>
  <c r="E157" i="12" s="1"/>
  <c r="CD159" i="7"/>
  <c r="J157" i="12" s="1"/>
  <c r="BW159" i="7"/>
  <c r="CE159" i="7"/>
  <c r="CC332" i="7"/>
  <c r="CI332" i="7"/>
  <c r="BX332" i="7"/>
  <c r="E330" i="12" s="1"/>
  <c r="CE332" i="7"/>
  <c r="BW332" i="7"/>
  <c r="CD332" i="7"/>
  <c r="J330" i="12" s="1"/>
  <c r="BY332" i="7"/>
  <c r="F330" i="12" s="1"/>
  <c r="CI65" i="7"/>
  <c r="BX65" i="7"/>
  <c r="E63" i="12" s="1"/>
  <c r="CE65" i="7"/>
  <c r="CD65" i="7"/>
  <c r="J63" i="12" s="1"/>
  <c r="CC65" i="7"/>
  <c r="BY65" i="7"/>
  <c r="F63" i="12" s="1"/>
  <c r="BW65" i="7"/>
  <c r="BY171" i="7"/>
  <c r="F169" i="12" s="1"/>
  <c r="BX171" i="7"/>
  <c r="E169" i="12" s="1"/>
  <c r="CE171" i="7"/>
  <c r="BW171" i="7"/>
  <c r="CD171" i="7"/>
  <c r="J169" i="12" s="1"/>
  <c r="CC171" i="7"/>
  <c r="CI171" i="7"/>
  <c r="BY201" i="7"/>
  <c r="F199" i="12" s="1"/>
  <c r="BX201" i="7"/>
  <c r="E199" i="12" s="1"/>
  <c r="CE201" i="7"/>
  <c r="BW201" i="7"/>
  <c r="CC201" i="7"/>
  <c r="CI201" i="7"/>
  <c r="CD201" i="7"/>
  <c r="J199" i="12" s="1"/>
  <c r="CE288" i="7"/>
  <c r="BW288" i="7"/>
  <c r="CD288" i="7"/>
  <c r="J286" i="12" s="1"/>
  <c r="CC288" i="7"/>
  <c r="CI288" i="7"/>
  <c r="BY288" i="7"/>
  <c r="F286" i="12" s="1"/>
  <c r="BX288" i="7"/>
  <c r="E286" i="12" s="1"/>
  <c r="BX192" i="7"/>
  <c r="E190" i="12" s="1"/>
  <c r="CE192" i="7"/>
  <c r="BW192" i="7"/>
  <c r="CD192" i="7"/>
  <c r="J190" i="12" s="1"/>
  <c r="CC192" i="7"/>
  <c r="CI192" i="7"/>
  <c r="BY192" i="7"/>
  <c r="F190" i="12" s="1"/>
  <c r="CI256" i="7"/>
  <c r="BY256" i="7"/>
  <c r="F254" i="12" s="1"/>
  <c r="BX256" i="7"/>
  <c r="E254" i="12" s="1"/>
  <c r="CE256" i="7"/>
  <c r="BW256" i="7"/>
  <c r="CD256" i="7"/>
  <c r="J254" i="12" s="1"/>
  <c r="CC256" i="7"/>
  <c r="CI370" i="7"/>
  <c r="BY370" i="7"/>
  <c r="F368" i="12" s="1"/>
  <c r="BX370" i="7"/>
  <c r="E368" i="12" s="1"/>
  <c r="CE370" i="7"/>
  <c r="BW370" i="7"/>
  <c r="CD370" i="7"/>
  <c r="J368" i="12" s="1"/>
  <c r="CC370" i="7"/>
  <c r="CI334" i="7"/>
  <c r="BY334" i="7"/>
  <c r="F332" i="12" s="1"/>
  <c r="BX334" i="7"/>
  <c r="E332" i="12" s="1"/>
  <c r="CE334" i="7"/>
  <c r="CD334" i="7"/>
  <c r="J332" i="12" s="1"/>
  <c r="CC334" i="7"/>
  <c r="BW334" i="7"/>
  <c r="CI105" i="7"/>
  <c r="BY105" i="7"/>
  <c r="F103" i="12" s="1"/>
  <c r="BX105" i="7"/>
  <c r="E103" i="12" s="1"/>
  <c r="BW105" i="7"/>
  <c r="CE105" i="7"/>
  <c r="CD105" i="7"/>
  <c r="J103" i="12" s="1"/>
  <c r="CC105" i="7"/>
  <c r="CI70" i="7"/>
  <c r="BX70" i="7"/>
  <c r="E68" i="12" s="1"/>
  <c r="CD70" i="7"/>
  <c r="J68" i="12" s="1"/>
  <c r="BY70" i="7"/>
  <c r="F68" i="12" s="1"/>
  <c r="BW70" i="7"/>
  <c r="CE70" i="7"/>
  <c r="CC70" i="7"/>
  <c r="BX44" i="7"/>
  <c r="E42" i="12" s="1"/>
  <c r="CE44" i="7"/>
  <c r="BW44" i="7"/>
  <c r="CD44" i="7"/>
  <c r="J42" i="12" s="1"/>
  <c r="CC44" i="7"/>
  <c r="CI44" i="7"/>
  <c r="BY44" i="7"/>
  <c r="F42" i="12" s="1"/>
  <c r="BX374" i="7"/>
  <c r="E372" i="12" s="1"/>
  <c r="CE374" i="7"/>
  <c r="BW374" i="7"/>
  <c r="CD374" i="7"/>
  <c r="J372" i="12" s="1"/>
  <c r="CC374" i="7"/>
  <c r="CI374" i="7"/>
  <c r="BY374" i="7"/>
  <c r="F372" i="12" s="1"/>
  <c r="CI74" i="7"/>
  <c r="BX74" i="7"/>
  <c r="E72" i="12" s="1"/>
  <c r="CD74" i="7"/>
  <c r="J72" i="12" s="1"/>
  <c r="CE74" i="7"/>
  <c r="CC74" i="7"/>
  <c r="BY74" i="7"/>
  <c r="F72" i="12" s="1"/>
  <c r="BW74" i="7"/>
  <c r="CE134" i="7"/>
  <c r="BW134" i="7"/>
  <c r="CC134" i="7"/>
  <c r="BY134" i="7"/>
  <c r="F132" i="12" s="1"/>
  <c r="CI134" i="7"/>
  <c r="BX134" i="7"/>
  <c r="E132" i="12" s="1"/>
  <c r="CD134" i="7"/>
  <c r="J132" i="12" s="1"/>
  <c r="CC121" i="7"/>
  <c r="CI121" i="7"/>
  <c r="BY121" i="7"/>
  <c r="F119" i="12" s="1"/>
  <c r="BX121" i="7"/>
  <c r="E119" i="12" s="1"/>
  <c r="CE121" i="7"/>
  <c r="BW121" i="7"/>
  <c r="CD121" i="7"/>
  <c r="J119" i="12" s="1"/>
  <c r="CI242" i="7"/>
  <c r="BY242" i="7"/>
  <c r="F240" i="12" s="1"/>
  <c r="BX242" i="7"/>
  <c r="E240" i="12" s="1"/>
  <c r="CE242" i="7"/>
  <c r="BW242" i="7"/>
  <c r="CD242" i="7"/>
  <c r="J240" i="12" s="1"/>
  <c r="CC242" i="7"/>
  <c r="BY294" i="7"/>
  <c r="F292" i="12" s="1"/>
  <c r="BX294" i="7"/>
  <c r="E292" i="12" s="1"/>
  <c r="CE294" i="7"/>
  <c r="BW294" i="7"/>
  <c r="CD294" i="7"/>
  <c r="J292" i="12" s="1"/>
  <c r="CC294" i="7"/>
  <c r="CI294" i="7"/>
  <c r="CI91" i="7"/>
  <c r="BY91" i="7"/>
  <c r="F89" i="12" s="1"/>
  <c r="BX91" i="7"/>
  <c r="E89" i="12" s="1"/>
  <c r="CE91" i="7"/>
  <c r="BW91" i="7"/>
  <c r="CD91" i="7"/>
  <c r="J89" i="12" s="1"/>
  <c r="CC91" i="7"/>
  <c r="BX61" i="7"/>
  <c r="E59" i="12" s="1"/>
  <c r="BY61" i="7"/>
  <c r="F59" i="12" s="1"/>
  <c r="CI61" i="7"/>
  <c r="BW61" i="7"/>
  <c r="CE61" i="7"/>
  <c r="CD61" i="7"/>
  <c r="J59" i="12" s="1"/>
  <c r="CC61" i="7"/>
  <c r="CI250" i="7"/>
  <c r="BY250" i="7"/>
  <c r="F248" i="12" s="1"/>
  <c r="BX250" i="7"/>
  <c r="E248" i="12" s="1"/>
  <c r="CE250" i="7"/>
  <c r="BW250" i="7"/>
  <c r="CD250" i="7"/>
  <c r="J248" i="12" s="1"/>
  <c r="CC250" i="7"/>
  <c r="BX275" i="7"/>
  <c r="E273" i="12" s="1"/>
  <c r="CE275" i="7"/>
  <c r="BW275" i="7"/>
  <c r="CD275" i="7"/>
  <c r="J273" i="12" s="1"/>
  <c r="CC275" i="7"/>
  <c r="CI275" i="7"/>
  <c r="BY275" i="7"/>
  <c r="F273" i="12" s="1"/>
  <c r="CE210" i="7"/>
  <c r="BW210" i="7"/>
  <c r="CD210" i="7"/>
  <c r="J208" i="12" s="1"/>
  <c r="CC210" i="7"/>
  <c r="CI210" i="7"/>
  <c r="BY210" i="7"/>
  <c r="F208" i="12" s="1"/>
  <c r="BX210" i="7"/>
  <c r="E208" i="12" s="1"/>
  <c r="CI342" i="7"/>
  <c r="BY342" i="7"/>
  <c r="F340" i="12" s="1"/>
  <c r="BX342" i="7"/>
  <c r="E340" i="12" s="1"/>
  <c r="CE342" i="7"/>
  <c r="BW342" i="7"/>
  <c r="CD342" i="7"/>
  <c r="J340" i="12" s="1"/>
  <c r="CC342" i="7"/>
  <c r="CD285" i="7"/>
  <c r="J283" i="12" s="1"/>
  <c r="CC285" i="7"/>
  <c r="CI285" i="7"/>
  <c r="BY285" i="7"/>
  <c r="F283" i="12" s="1"/>
  <c r="BX285" i="7"/>
  <c r="E283" i="12" s="1"/>
  <c r="CE285" i="7"/>
  <c r="BW285" i="7"/>
  <c r="CC129" i="7"/>
  <c r="CI129" i="7"/>
  <c r="BY129" i="7"/>
  <c r="F127" i="12" s="1"/>
  <c r="BX129" i="7"/>
  <c r="E127" i="12" s="1"/>
  <c r="CE129" i="7"/>
  <c r="BW129" i="7"/>
  <c r="CD129" i="7"/>
  <c r="J127" i="12" s="1"/>
  <c r="CI27" i="7"/>
  <c r="BX27" i="7"/>
  <c r="E25" i="12" s="1"/>
  <c r="CD27" i="7"/>
  <c r="J25" i="12" s="1"/>
  <c r="BW27" i="7"/>
  <c r="CE27" i="7"/>
  <c r="CC27" i="7"/>
  <c r="BY27" i="7"/>
  <c r="F25" i="12" s="1"/>
  <c r="CI21" i="7"/>
  <c r="BX21" i="7"/>
  <c r="E19" i="12" s="1"/>
  <c r="CE21" i="7"/>
  <c r="CD21" i="7"/>
  <c r="J19" i="12" s="1"/>
  <c r="CC21" i="7"/>
  <c r="BY21" i="7"/>
  <c r="F19" i="12" s="1"/>
  <c r="BW21" i="7"/>
  <c r="CI237" i="7"/>
  <c r="BY237" i="7"/>
  <c r="F235" i="12" s="1"/>
  <c r="BX237" i="7"/>
  <c r="E235" i="12" s="1"/>
  <c r="CE237" i="7"/>
  <c r="BW237" i="7"/>
  <c r="CD237" i="7"/>
  <c r="J235" i="12" s="1"/>
  <c r="CC237" i="7"/>
  <c r="CD37" i="7"/>
  <c r="J35" i="12" s="1"/>
  <c r="CI37" i="7"/>
  <c r="BX37" i="7"/>
  <c r="E35" i="12" s="1"/>
  <c r="CE37" i="7"/>
  <c r="CC37" i="7"/>
  <c r="BY37" i="7"/>
  <c r="F35" i="12" s="1"/>
  <c r="BW37" i="7"/>
  <c r="CI219" i="7"/>
  <c r="BY219" i="7"/>
  <c r="F217" i="12" s="1"/>
  <c r="BX219" i="7"/>
  <c r="E217" i="12" s="1"/>
  <c r="CE219" i="7"/>
  <c r="BW219" i="7"/>
  <c r="CD219" i="7"/>
  <c r="J217" i="12" s="1"/>
  <c r="CC219" i="7"/>
  <c r="CD154" i="7"/>
  <c r="J152" i="12" s="1"/>
  <c r="CC154" i="7"/>
  <c r="CI154" i="7"/>
  <c r="BY154" i="7"/>
  <c r="F152" i="12" s="1"/>
  <c r="CE154" i="7"/>
  <c r="BW154" i="7"/>
  <c r="BX154" i="7"/>
  <c r="E152" i="12" s="1"/>
  <c r="BY336" i="7"/>
  <c r="F334" i="12" s="1"/>
  <c r="BX336" i="7"/>
  <c r="E334" i="12" s="1"/>
  <c r="CE336" i="7"/>
  <c r="BW336" i="7"/>
  <c r="CD336" i="7"/>
  <c r="J334" i="12" s="1"/>
  <c r="CC336" i="7"/>
  <c r="CI336" i="7"/>
  <c r="CE338" i="7"/>
  <c r="BW338" i="7"/>
  <c r="CD338" i="7"/>
  <c r="J336" i="12" s="1"/>
  <c r="CC338" i="7"/>
  <c r="CI338" i="7"/>
  <c r="BY338" i="7"/>
  <c r="F336" i="12" s="1"/>
  <c r="BX338" i="7"/>
  <c r="E336" i="12" s="1"/>
  <c r="CI164" i="7"/>
  <c r="BY164" i="7"/>
  <c r="F162" i="12" s="1"/>
  <c r="BX164" i="7"/>
  <c r="E162" i="12" s="1"/>
  <c r="CE164" i="7"/>
  <c r="BW164" i="7"/>
  <c r="CC164" i="7"/>
  <c r="CD164" i="7"/>
  <c r="J162" i="12" s="1"/>
  <c r="CE189" i="7"/>
  <c r="BW189" i="7"/>
  <c r="CD189" i="7"/>
  <c r="J187" i="12" s="1"/>
  <c r="CC189" i="7"/>
  <c r="CI189" i="7"/>
  <c r="BX189" i="7"/>
  <c r="E187" i="12" s="1"/>
  <c r="BY189" i="7"/>
  <c r="F187" i="12" s="1"/>
  <c r="BY200" i="7"/>
  <c r="F198" i="12" s="1"/>
  <c r="CD200" i="7"/>
  <c r="J198" i="12" s="1"/>
  <c r="CC200" i="7"/>
  <c r="BX200" i="7"/>
  <c r="E198" i="12" s="1"/>
  <c r="BW200" i="7"/>
  <c r="CI200" i="7"/>
  <c r="CE200" i="7"/>
  <c r="CI355" i="7"/>
  <c r="BY355" i="7"/>
  <c r="F353" i="12" s="1"/>
  <c r="BX355" i="7"/>
  <c r="E353" i="12" s="1"/>
  <c r="CE355" i="7"/>
  <c r="BW355" i="7"/>
  <c r="CD355" i="7"/>
  <c r="J353" i="12" s="1"/>
  <c r="CC355" i="7"/>
  <c r="CE157" i="7"/>
  <c r="BW157" i="7"/>
  <c r="CD157" i="7"/>
  <c r="J155" i="12" s="1"/>
  <c r="CC157" i="7"/>
  <c r="CI157" i="7"/>
  <c r="BX157" i="7"/>
  <c r="E155" i="12" s="1"/>
  <c r="BY157" i="7"/>
  <c r="F155" i="12" s="1"/>
  <c r="CI211" i="7"/>
  <c r="BY211" i="7"/>
  <c r="F209" i="12" s="1"/>
  <c r="BX211" i="7"/>
  <c r="E209" i="12" s="1"/>
  <c r="CE211" i="7"/>
  <c r="BW211" i="7"/>
  <c r="CD211" i="7"/>
  <c r="J209" i="12" s="1"/>
  <c r="CC211" i="7"/>
  <c r="CI232" i="7"/>
  <c r="BY232" i="7"/>
  <c r="F230" i="12" s="1"/>
  <c r="BX232" i="7"/>
  <c r="E230" i="12" s="1"/>
  <c r="CE232" i="7"/>
  <c r="BW232" i="7"/>
  <c r="CC232" i="7"/>
  <c r="CD232" i="7"/>
  <c r="J230" i="12" s="1"/>
  <c r="CD335" i="7"/>
  <c r="J333" i="12" s="1"/>
  <c r="CC335" i="7"/>
  <c r="CI335" i="7"/>
  <c r="BY335" i="7"/>
  <c r="F333" i="12" s="1"/>
  <c r="BX335" i="7"/>
  <c r="E333" i="12" s="1"/>
  <c r="CE335" i="7"/>
  <c r="BW335" i="7"/>
  <c r="CI95" i="7"/>
  <c r="BY95" i="7"/>
  <c r="F93" i="12" s="1"/>
  <c r="BX95" i="7"/>
  <c r="E93" i="12" s="1"/>
  <c r="CE95" i="7"/>
  <c r="BW95" i="7"/>
  <c r="CD95" i="7"/>
  <c r="J93" i="12" s="1"/>
  <c r="CC95" i="7"/>
  <c r="CI367" i="7"/>
  <c r="BY367" i="7"/>
  <c r="F365" i="12" s="1"/>
  <c r="BX367" i="7"/>
  <c r="E365" i="12" s="1"/>
  <c r="CE367" i="7"/>
  <c r="BW367" i="7"/>
  <c r="CD367" i="7"/>
  <c r="J365" i="12" s="1"/>
  <c r="CC367" i="7"/>
  <c r="BX317" i="7"/>
  <c r="E315" i="12" s="1"/>
  <c r="CE317" i="7"/>
  <c r="BW317" i="7"/>
  <c r="CD317" i="7"/>
  <c r="J315" i="12" s="1"/>
  <c r="CC317" i="7"/>
  <c r="CI317" i="7"/>
  <c r="BY317" i="7"/>
  <c r="F315" i="12" s="1"/>
  <c r="BX341" i="7"/>
  <c r="E339" i="12" s="1"/>
  <c r="CE341" i="7"/>
  <c r="BW341" i="7"/>
  <c r="CD341" i="7"/>
  <c r="J339" i="12" s="1"/>
  <c r="CC341" i="7"/>
  <c r="CI341" i="7"/>
  <c r="BY341" i="7"/>
  <c r="F339" i="12" s="1"/>
  <c r="CC360" i="7"/>
  <c r="CE360" i="7"/>
  <c r="CD360" i="7"/>
  <c r="J358" i="12" s="1"/>
  <c r="CI360" i="7"/>
  <c r="BY360" i="7"/>
  <c r="F358" i="12" s="1"/>
  <c r="BX360" i="7"/>
  <c r="E358" i="12" s="1"/>
  <c r="BW360" i="7"/>
  <c r="CE346" i="7"/>
  <c r="BW346" i="7"/>
  <c r="CD346" i="7"/>
  <c r="J344" i="12" s="1"/>
  <c r="CC346" i="7"/>
  <c r="CI346" i="7"/>
  <c r="BY346" i="7"/>
  <c r="F344" i="12" s="1"/>
  <c r="BX346" i="7"/>
  <c r="E344" i="12" s="1"/>
  <c r="CC183" i="7"/>
  <c r="CI183" i="7"/>
  <c r="BY183" i="7"/>
  <c r="F181" i="12" s="1"/>
  <c r="BX183" i="7"/>
  <c r="E181" i="12" s="1"/>
  <c r="CD183" i="7"/>
  <c r="J181" i="12" s="1"/>
  <c r="CE183" i="7"/>
  <c r="BW183" i="7"/>
  <c r="CC143" i="7"/>
  <c r="CI143" i="7"/>
  <c r="BY143" i="7"/>
  <c r="F141" i="12" s="1"/>
  <c r="BX143" i="7"/>
  <c r="E141" i="12" s="1"/>
  <c r="CD143" i="7"/>
  <c r="J141" i="12" s="1"/>
  <c r="CE143" i="7"/>
  <c r="BW143" i="7"/>
  <c r="CI158" i="7"/>
  <c r="BY158" i="7"/>
  <c r="F156" i="12" s="1"/>
  <c r="BX158" i="7"/>
  <c r="E156" i="12" s="1"/>
  <c r="CE158" i="7"/>
  <c r="BW158" i="7"/>
  <c r="CD158" i="7"/>
  <c r="J156" i="12" s="1"/>
  <c r="CC158" i="7"/>
  <c r="BX28" i="7"/>
  <c r="E26" i="12" s="1"/>
  <c r="CD28" i="7"/>
  <c r="J26" i="12" s="1"/>
  <c r="CI28" i="7"/>
  <c r="CE28" i="7"/>
  <c r="CC28" i="7"/>
  <c r="BY28" i="7"/>
  <c r="F26" i="12" s="1"/>
  <c r="BW28" i="7"/>
  <c r="CI281" i="7"/>
  <c r="BY281" i="7"/>
  <c r="F279" i="12" s="1"/>
  <c r="BX281" i="7"/>
  <c r="E279" i="12" s="1"/>
  <c r="CE281" i="7"/>
  <c r="BW281" i="7"/>
  <c r="CD281" i="7"/>
  <c r="J279" i="12" s="1"/>
  <c r="CC281" i="7"/>
  <c r="CI39" i="7"/>
  <c r="BX39" i="7"/>
  <c r="E37" i="12" s="1"/>
  <c r="CD39" i="7"/>
  <c r="J37" i="12" s="1"/>
  <c r="CE39" i="7"/>
  <c r="CC39" i="7"/>
  <c r="BY39" i="7"/>
  <c r="F37" i="12" s="1"/>
  <c r="BW39" i="7"/>
  <c r="BX168" i="7"/>
  <c r="E166" i="12" s="1"/>
  <c r="CE168" i="7"/>
  <c r="BW168" i="7"/>
  <c r="CD168" i="7"/>
  <c r="J166" i="12" s="1"/>
  <c r="CC168" i="7"/>
  <c r="BY168" i="7"/>
  <c r="F166" i="12" s="1"/>
  <c r="CI168" i="7"/>
  <c r="CI329" i="7"/>
  <c r="BY329" i="7"/>
  <c r="F327" i="12" s="1"/>
  <c r="CE329" i="7"/>
  <c r="BW329" i="7"/>
  <c r="CD329" i="7"/>
  <c r="J327" i="12" s="1"/>
  <c r="CC329" i="7"/>
  <c r="BX329" i="7"/>
  <c r="E327" i="12" s="1"/>
  <c r="CD319" i="7"/>
  <c r="J317" i="12" s="1"/>
  <c r="CC319" i="7"/>
  <c r="CI319" i="7"/>
  <c r="BY319" i="7"/>
  <c r="F317" i="12" s="1"/>
  <c r="BX319" i="7"/>
  <c r="E317" i="12" s="1"/>
  <c r="CE319" i="7"/>
  <c r="BW319" i="7"/>
  <c r="CI182" i="7"/>
  <c r="BY182" i="7"/>
  <c r="F180" i="12" s="1"/>
  <c r="BX182" i="7"/>
  <c r="E180" i="12" s="1"/>
  <c r="CE182" i="7"/>
  <c r="BW182" i="7"/>
  <c r="CD182" i="7"/>
  <c r="J180" i="12" s="1"/>
  <c r="CC182" i="7"/>
  <c r="CC220" i="7"/>
  <c r="CI220" i="7"/>
  <c r="BY220" i="7"/>
  <c r="F218" i="12" s="1"/>
  <c r="BX220" i="7"/>
  <c r="E218" i="12" s="1"/>
  <c r="CE220" i="7"/>
  <c r="BW220" i="7"/>
  <c r="CD220" i="7"/>
  <c r="J218" i="12" s="1"/>
  <c r="CI50" i="7"/>
  <c r="BY50" i="7"/>
  <c r="F48" i="12" s="1"/>
  <c r="BX50" i="7"/>
  <c r="E48" i="12" s="1"/>
  <c r="CE50" i="7"/>
  <c r="BW50" i="7"/>
  <c r="CD50" i="7"/>
  <c r="J48" i="12" s="1"/>
  <c r="CC50" i="7"/>
  <c r="CI380" i="7"/>
  <c r="BY380" i="7"/>
  <c r="F378" i="12" s="1"/>
  <c r="BX380" i="7"/>
  <c r="E378" i="12" s="1"/>
  <c r="CE380" i="7"/>
  <c r="BW380" i="7"/>
  <c r="CD380" i="7"/>
  <c r="J378" i="12" s="1"/>
  <c r="CC380" i="7"/>
  <c r="CD131" i="7"/>
  <c r="J129" i="12" s="1"/>
  <c r="BY131" i="7"/>
  <c r="F129" i="12" s="1"/>
  <c r="CI131" i="7"/>
  <c r="BX131" i="7"/>
  <c r="E129" i="12" s="1"/>
  <c r="BW131" i="7"/>
  <c r="CE131" i="7"/>
  <c r="CC131" i="7"/>
  <c r="CC212" i="7"/>
  <c r="CI212" i="7"/>
  <c r="BY212" i="7"/>
  <c r="F210" i="12" s="1"/>
  <c r="BX212" i="7"/>
  <c r="E210" i="12" s="1"/>
  <c r="CE212" i="7"/>
  <c r="BW212" i="7"/>
  <c r="CD212" i="7"/>
  <c r="J210" i="12" s="1"/>
  <c r="CD81" i="7"/>
  <c r="J79" i="12" s="1"/>
  <c r="CI81" i="7"/>
  <c r="BX81" i="7"/>
  <c r="E79" i="12" s="1"/>
  <c r="CE81" i="7"/>
  <c r="CC81" i="7"/>
  <c r="BY81" i="7"/>
  <c r="F79" i="12" s="1"/>
  <c r="BW81" i="7"/>
  <c r="CI265" i="7"/>
  <c r="BY265" i="7"/>
  <c r="F263" i="12" s="1"/>
  <c r="CE265" i="7"/>
  <c r="BW265" i="7"/>
  <c r="CD265" i="7"/>
  <c r="J263" i="12" s="1"/>
  <c r="CC265" i="7"/>
  <c r="BX265" i="7"/>
  <c r="E263" i="12" s="1"/>
  <c r="CI331" i="7"/>
  <c r="BY331" i="7"/>
  <c r="F329" i="12" s="1"/>
  <c r="BX331" i="7"/>
  <c r="E329" i="12" s="1"/>
  <c r="CE331" i="7"/>
  <c r="BW331" i="7"/>
  <c r="CC331" i="7"/>
  <c r="CD331" i="7"/>
  <c r="J329" i="12" s="1"/>
  <c r="BX104" i="7"/>
  <c r="E102" i="12" s="1"/>
  <c r="CE104" i="7"/>
  <c r="BW104" i="7"/>
  <c r="BY104" i="7"/>
  <c r="F102" i="12" s="1"/>
  <c r="CI104" i="7"/>
  <c r="CD104" i="7"/>
  <c r="J102" i="12" s="1"/>
  <c r="CC104" i="7"/>
  <c r="CC356" i="7"/>
  <c r="CI356" i="7"/>
  <c r="BY356" i="7"/>
  <c r="F354" i="12" s="1"/>
  <c r="BX356" i="7"/>
  <c r="E354" i="12" s="1"/>
  <c r="CE356" i="7"/>
  <c r="BW356" i="7"/>
  <c r="CD356" i="7"/>
  <c r="J354" i="12" s="1"/>
  <c r="CD29" i="7"/>
  <c r="J27" i="12" s="1"/>
  <c r="CI29" i="7"/>
  <c r="BX29" i="7"/>
  <c r="E27" i="12" s="1"/>
  <c r="CE29" i="7"/>
  <c r="CC29" i="7"/>
  <c r="BY29" i="7"/>
  <c r="F27" i="12" s="1"/>
  <c r="BW29" i="7"/>
  <c r="CC259" i="7"/>
  <c r="CI259" i="7"/>
  <c r="BY259" i="7"/>
  <c r="F257" i="12" s="1"/>
  <c r="BX259" i="7"/>
  <c r="E257" i="12" s="1"/>
  <c r="CE259" i="7"/>
  <c r="BW259" i="7"/>
  <c r="CD259" i="7"/>
  <c r="J257" i="12" s="1"/>
  <c r="CC251" i="7"/>
  <c r="CI251" i="7"/>
  <c r="BY251" i="7"/>
  <c r="F249" i="12" s="1"/>
  <c r="BX251" i="7"/>
  <c r="E249" i="12" s="1"/>
  <c r="CE251" i="7"/>
  <c r="BW251" i="7"/>
  <c r="CD251" i="7"/>
  <c r="J249" i="12" s="1"/>
  <c r="CI227" i="7"/>
  <c r="CD227" i="7"/>
  <c r="J225" i="12" s="1"/>
  <c r="CE227" i="7"/>
  <c r="CC227" i="7"/>
  <c r="BY227" i="7"/>
  <c r="F225" i="12" s="1"/>
  <c r="BX227" i="7"/>
  <c r="E225" i="12" s="1"/>
  <c r="BW227" i="7"/>
  <c r="CE371" i="7"/>
  <c r="BW371" i="7"/>
  <c r="CD371" i="7"/>
  <c r="J369" i="12" s="1"/>
  <c r="CC371" i="7"/>
  <c r="CI371" i="7"/>
  <c r="BY371" i="7"/>
  <c r="F369" i="12" s="1"/>
  <c r="BX371" i="7"/>
  <c r="E369" i="12" s="1"/>
  <c r="CC138" i="7"/>
  <c r="CI138" i="7"/>
  <c r="BY138" i="7"/>
  <c r="F136" i="12" s="1"/>
  <c r="CE138" i="7"/>
  <c r="BW138" i="7"/>
  <c r="CD138" i="7"/>
  <c r="J136" i="12" s="1"/>
  <c r="BX138" i="7"/>
  <c r="E136" i="12" s="1"/>
  <c r="CD199" i="7"/>
  <c r="J197" i="12" s="1"/>
  <c r="CI199" i="7"/>
  <c r="BY199" i="7"/>
  <c r="F197" i="12" s="1"/>
  <c r="BX199" i="7"/>
  <c r="E197" i="12" s="1"/>
  <c r="BW199" i="7"/>
  <c r="CE199" i="7"/>
  <c r="CC199" i="7"/>
  <c r="CD24" i="7"/>
  <c r="J22" i="12" s="1"/>
  <c r="CI24" i="7"/>
  <c r="CE24" i="7"/>
  <c r="CC24" i="7"/>
  <c r="BY24" i="7"/>
  <c r="F22" i="12" s="1"/>
  <c r="BX24" i="7"/>
  <c r="E22" i="12" s="1"/>
  <c r="BW24" i="7"/>
  <c r="CC108" i="7"/>
  <c r="CI108" i="7"/>
  <c r="BY108" i="7"/>
  <c r="F106" i="12" s="1"/>
  <c r="BX108" i="7"/>
  <c r="E106" i="12" s="1"/>
  <c r="CE108" i="7"/>
  <c r="CD108" i="7"/>
  <c r="J106" i="12" s="1"/>
  <c r="BW108" i="7"/>
  <c r="CC282" i="7"/>
  <c r="CI282" i="7"/>
  <c r="BY282" i="7"/>
  <c r="F280" i="12" s="1"/>
  <c r="BX282" i="7"/>
  <c r="E280" i="12" s="1"/>
  <c r="CE282" i="7"/>
  <c r="BW282" i="7"/>
  <c r="CD282" i="7"/>
  <c r="J280" i="12" s="1"/>
  <c r="CI386" i="7"/>
  <c r="BY386" i="7"/>
  <c r="F384" i="12" s="1"/>
  <c r="BX386" i="7"/>
  <c r="E384" i="12" s="1"/>
  <c r="CE386" i="7"/>
  <c r="BW386" i="7"/>
  <c r="CD386" i="7"/>
  <c r="J384" i="12" s="1"/>
  <c r="CC386" i="7"/>
  <c r="BX262" i="7"/>
  <c r="E260" i="12" s="1"/>
  <c r="CI262" i="7"/>
  <c r="CC262" i="7"/>
  <c r="BY262" i="7"/>
  <c r="F260" i="12" s="1"/>
  <c r="BW262" i="7"/>
  <c r="CE262" i="7"/>
  <c r="CD262" i="7"/>
  <c r="J260" i="12" s="1"/>
  <c r="CI347" i="7"/>
  <c r="BY347" i="7"/>
  <c r="F345" i="12" s="1"/>
  <c r="BX347" i="7"/>
  <c r="E345" i="12" s="1"/>
  <c r="CE347" i="7"/>
  <c r="BW347" i="7"/>
  <c r="CD347" i="7"/>
  <c r="J345" i="12" s="1"/>
  <c r="CC347" i="7"/>
  <c r="CI4" i="7"/>
  <c r="BX4" i="7"/>
  <c r="E2" i="12" s="1"/>
  <c r="CE4" i="7"/>
  <c r="BW4" i="7"/>
  <c r="CD4" i="7"/>
  <c r="CC4" i="7"/>
  <c r="BY4" i="7"/>
  <c r="F2" i="12" s="1"/>
  <c r="CC348" i="7"/>
  <c r="CI348" i="7"/>
  <c r="BY348" i="7"/>
  <c r="F346" i="12" s="1"/>
  <c r="BX348" i="7"/>
  <c r="E346" i="12" s="1"/>
  <c r="CE348" i="7"/>
  <c r="BW348" i="7"/>
  <c r="CD348" i="7"/>
  <c r="J346" i="12" s="1"/>
  <c r="BY216" i="7"/>
  <c r="F214" i="12" s="1"/>
  <c r="BX216" i="7"/>
  <c r="E214" i="12" s="1"/>
  <c r="CE216" i="7"/>
  <c r="BW216" i="7"/>
  <c r="CD216" i="7"/>
  <c r="J214" i="12" s="1"/>
  <c r="CC216" i="7"/>
  <c r="CI216" i="7"/>
  <c r="CI292" i="7"/>
  <c r="BY292" i="7"/>
  <c r="F290" i="12" s="1"/>
  <c r="BX292" i="7"/>
  <c r="E290" i="12" s="1"/>
  <c r="CE292" i="7"/>
  <c r="BW292" i="7"/>
  <c r="CD292" i="7"/>
  <c r="J290" i="12" s="1"/>
  <c r="CC292" i="7"/>
  <c r="CD303" i="7"/>
  <c r="J301" i="12" s="1"/>
  <c r="CC303" i="7"/>
  <c r="CI303" i="7"/>
  <c r="BY303" i="7"/>
  <c r="F301" i="12" s="1"/>
  <c r="BX303" i="7"/>
  <c r="E301" i="12" s="1"/>
  <c r="CE303" i="7"/>
  <c r="BW303" i="7"/>
  <c r="CI209" i="7"/>
  <c r="BY209" i="7"/>
  <c r="F207" i="12" s="1"/>
  <c r="BX209" i="7"/>
  <c r="E207" i="12" s="1"/>
  <c r="CE209" i="7"/>
  <c r="BW209" i="7"/>
  <c r="CD209" i="7"/>
  <c r="J207" i="12" s="1"/>
  <c r="CC209" i="7"/>
  <c r="BX72" i="7"/>
  <c r="E70" i="12" s="1"/>
  <c r="CD72" i="7"/>
  <c r="J70" i="12" s="1"/>
  <c r="CI72" i="7"/>
  <c r="CE72" i="7"/>
  <c r="CC72" i="7"/>
  <c r="BY72" i="7"/>
  <c r="F70" i="12" s="1"/>
  <c r="BW72" i="7"/>
  <c r="BX48" i="7"/>
  <c r="E46" i="12" s="1"/>
  <c r="CE48" i="7"/>
  <c r="BW48" i="7"/>
  <c r="CD48" i="7"/>
  <c r="J46" i="12" s="1"/>
  <c r="CC48" i="7"/>
  <c r="CI48" i="7"/>
  <c r="BY48" i="7"/>
  <c r="F46" i="12" s="1"/>
  <c r="CE127" i="7"/>
  <c r="BW127" i="7"/>
  <c r="CD127" i="7"/>
  <c r="J125" i="12" s="1"/>
  <c r="CC127" i="7"/>
  <c r="CI127" i="7"/>
  <c r="BY127" i="7"/>
  <c r="F125" i="12" s="1"/>
  <c r="BX127" i="7"/>
  <c r="E125" i="12" s="1"/>
  <c r="CI34" i="7"/>
  <c r="BX34" i="7"/>
  <c r="E32" i="12" s="1"/>
  <c r="CD34" i="7"/>
  <c r="J32" i="12" s="1"/>
  <c r="BY34" i="7"/>
  <c r="F32" i="12" s="1"/>
  <c r="BW34" i="7"/>
  <c r="CE34" i="7"/>
  <c r="CC34" i="7"/>
  <c r="CC381" i="7"/>
  <c r="CI381" i="7"/>
  <c r="BY381" i="7"/>
  <c r="F379" i="12" s="1"/>
  <c r="BX381" i="7"/>
  <c r="E379" i="12" s="1"/>
  <c r="CE381" i="7"/>
  <c r="BW381" i="7"/>
  <c r="CD381" i="7"/>
  <c r="J379" i="12" s="1"/>
  <c r="CI172" i="7"/>
  <c r="BY172" i="7"/>
  <c r="F170" i="12" s="1"/>
  <c r="BX172" i="7"/>
  <c r="E170" i="12" s="1"/>
  <c r="CE172" i="7"/>
  <c r="BW172" i="7"/>
  <c r="CC172" i="7"/>
  <c r="CD172" i="7"/>
  <c r="J170" i="12" s="1"/>
  <c r="BX283" i="7"/>
  <c r="E281" i="12" s="1"/>
  <c r="CE283" i="7"/>
  <c r="BW283" i="7"/>
  <c r="CD283" i="7"/>
  <c r="J281" i="12" s="1"/>
  <c r="CC283" i="7"/>
  <c r="CI283" i="7"/>
  <c r="BY283" i="7"/>
  <c r="F281" i="12" s="1"/>
  <c r="CC235" i="7"/>
  <c r="CI235" i="7"/>
  <c r="BY235" i="7"/>
  <c r="F233" i="12" s="1"/>
  <c r="BX235" i="7"/>
  <c r="E233" i="12" s="1"/>
  <c r="CE235" i="7"/>
  <c r="BW235" i="7"/>
  <c r="CD235" i="7"/>
  <c r="J233" i="12" s="1"/>
  <c r="BY352" i="7"/>
  <c r="F350" i="12" s="1"/>
  <c r="BX352" i="7"/>
  <c r="E350" i="12" s="1"/>
  <c r="CE352" i="7"/>
  <c r="BW352" i="7"/>
  <c r="CD352" i="7"/>
  <c r="J350" i="12" s="1"/>
  <c r="CC352" i="7"/>
  <c r="CI352" i="7"/>
  <c r="CI276" i="7"/>
  <c r="BY276" i="7"/>
  <c r="F274" i="12" s="1"/>
  <c r="BX276" i="7"/>
  <c r="E274" i="12" s="1"/>
  <c r="CE276" i="7"/>
  <c r="BW276" i="7"/>
  <c r="CD276" i="7"/>
  <c r="J274" i="12" s="1"/>
  <c r="CC276" i="7"/>
  <c r="CE257" i="7"/>
  <c r="BW257" i="7"/>
  <c r="CD257" i="7"/>
  <c r="J255" i="12" s="1"/>
  <c r="CC257" i="7"/>
  <c r="CI257" i="7"/>
  <c r="BY257" i="7"/>
  <c r="F255" i="12" s="1"/>
  <c r="BX257" i="7"/>
  <c r="E255" i="12" s="1"/>
  <c r="CD5" i="7"/>
  <c r="J3" i="12" s="1"/>
  <c r="CC5" i="7"/>
  <c r="CI5" i="7"/>
  <c r="BX5" i="7"/>
  <c r="E3" i="12" s="1"/>
  <c r="CE5" i="7"/>
  <c r="BY5" i="7"/>
  <c r="F3" i="12" s="1"/>
  <c r="BW5" i="7"/>
  <c r="CE181" i="7"/>
  <c r="BW181" i="7"/>
  <c r="CD181" i="7"/>
  <c r="J179" i="12" s="1"/>
  <c r="CC181" i="7"/>
  <c r="CI181" i="7"/>
  <c r="BX181" i="7"/>
  <c r="E179" i="12" s="1"/>
  <c r="BY181" i="7"/>
  <c r="F179" i="12" s="1"/>
  <c r="CI82" i="7"/>
  <c r="BX82" i="7"/>
  <c r="E80" i="12" s="1"/>
  <c r="CD82" i="7"/>
  <c r="J80" i="12" s="1"/>
  <c r="CE82" i="7"/>
  <c r="CC82" i="7"/>
  <c r="BY82" i="7"/>
  <c r="F80" i="12" s="1"/>
  <c r="BW82" i="7"/>
  <c r="CI337" i="7"/>
  <c r="BY337" i="7"/>
  <c r="F335" i="12" s="1"/>
  <c r="BX337" i="7"/>
  <c r="E335" i="12" s="1"/>
  <c r="CE337" i="7"/>
  <c r="BW337" i="7"/>
  <c r="CD337" i="7"/>
  <c r="J335" i="12" s="1"/>
  <c r="CC337" i="7"/>
  <c r="BY88" i="7"/>
  <c r="F86" i="12" s="1"/>
  <c r="BX88" i="7"/>
  <c r="E86" i="12" s="1"/>
  <c r="CE88" i="7"/>
  <c r="BW88" i="7"/>
  <c r="CD88" i="7"/>
  <c r="J86" i="12" s="1"/>
  <c r="CC88" i="7"/>
  <c r="CI88" i="7"/>
  <c r="BY147" i="7"/>
  <c r="F145" i="12" s="1"/>
  <c r="BX147" i="7"/>
  <c r="E145" i="12" s="1"/>
  <c r="CE147" i="7"/>
  <c r="BW147" i="7"/>
  <c r="CD147" i="7"/>
  <c r="J145" i="12" s="1"/>
  <c r="CC147" i="7"/>
  <c r="CI147" i="7"/>
  <c r="CI299" i="7"/>
  <c r="BY299" i="7"/>
  <c r="F297" i="12" s="1"/>
  <c r="CE299" i="7"/>
  <c r="BW299" i="7"/>
  <c r="CD299" i="7"/>
  <c r="J297" i="12" s="1"/>
  <c r="CC299" i="7"/>
  <c r="BX299" i="7"/>
  <c r="E297" i="12" s="1"/>
  <c r="CE363" i="7"/>
  <c r="BW363" i="7"/>
  <c r="CD363" i="7"/>
  <c r="J361" i="12" s="1"/>
  <c r="CI363" i="7"/>
  <c r="BY363" i="7"/>
  <c r="F361" i="12" s="1"/>
  <c r="CC363" i="7"/>
  <c r="BX363" i="7"/>
  <c r="E361" i="12" s="1"/>
  <c r="CC18" i="7"/>
  <c r="CI18" i="7"/>
  <c r="BY18" i="7"/>
  <c r="F16" i="12" s="1"/>
  <c r="BX18" i="7"/>
  <c r="E16" i="12" s="1"/>
  <c r="CE18" i="7"/>
  <c r="BW18" i="7"/>
  <c r="CD18" i="7"/>
  <c r="J16" i="12" s="1"/>
  <c r="CI56" i="7"/>
  <c r="BY56" i="7"/>
  <c r="F54" i="12" s="1"/>
  <c r="BX56" i="7"/>
  <c r="E54" i="12" s="1"/>
  <c r="BW56" i="7"/>
  <c r="CE56" i="7"/>
  <c r="CD56" i="7"/>
  <c r="J54" i="12" s="1"/>
  <c r="CC56" i="7"/>
  <c r="CI305" i="7"/>
  <c r="BY305" i="7"/>
  <c r="F303" i="12" s="1"/>
  <c r="BX305" i="7"/>
  <c r="E303" i="12" s="1"/>
  <c r="CE305" i="7"/>
  <c r="BW305" i="7"/>
  <c r="CD305" i="7"/>
  <c r="J303" i="12" s="1"/>
  <c r="CC305" i="7"/>
  <c r="CE264" i="7"/>
  <c r="BW264" i="7"/>
  <c r="CD264" i="7"/>
  <c r="J262" i="12" s="1"/>
  <c r="BY264" i="7"/>
  <c r="F262" i="12" s="1"/>
  <c r="BX264" i="7"/>
  <c r="E262" i="12" s="1"/>
  <c r="CI264" i="7"/>
  <c r="CC264" i="7"/>
  <c r="CD327" i="7"/>
  <c r="J325" i="12" s="1"/>
  <c r="CC327" i="7"/>
  <c r="CI327" i="7"/>
  <c r="BY327" i="7"/>
  <c r="F325" i="12" s="1"/>
  <c r="BX327" i="7"/>
  <c r="E325" i="12" s="1"/>
  <c r="CE327" i="7"/>
  <c r="BW327" i="7"/>
  <c r="CD162" i="7"/>
  <c r="J160" i="12" s="1"/>
  <c r="CC162" i="7"/>
  <c r="CI162" i="7"/>
  <c r="BY162" i="7"/>
  <c r="F160" i="12" s="1"/>
  <c r="CE162" i="7"/>
  <c r="BW162" i="7"/>
  <c r="BX162" i="7"/>
  <c r="E160" i="12" s="1"/>
  <c r="CD376" i="7"/>
  <c r="J374" i="12" s="1"/>
  <c r="CC376" i="7"/>
  <c r="CI376" i="7"/>
  <c r="BY376" i="7"/>
  <c r="F374" i="12" s="1"/>
  <c r="BX376" i="7"/>
  <c r="E374" i="12" s="1"/>
  <c r="CE376" i="7"/>
  <c r="BW376" i="7"/>
  <c r="CI206" i="7"/>
  <c r="BY206" i="7"/>
  <c r="F204" i="12" s="1"/>
  <c r="BX206" i="7"/>
  <c r="E204" i="12" s="1"/>
  <c r="CE206" i="7"/>
  <c r="BW206" i="7"/>
  <c r="CD206" i="7"/>
  <c r="J204" i="12" s="1"/>
  <c r="CC206" i="7"/>
  <c r="CI135" i="7"/>
  <c r="BX135" i="7"/>
  <c r="E133" i="12" s="1"/>
  <c r="CD135" i="7"/>
  <c r="J133" i="12" s="1"/>
  <c r="CE135" i="7"/>
  <c r="CC135" i="7"/>
  <c r="BY135" i="7"/>
  <c r="F133" i="12" s="1"/>
  <c r="BW135" i="7"/>
  <c r="CD368" i="7"/>
  <c r="J366" i="12" s="1"/>
  <c r="CC368" i="7"/>
  <c r="CI368" i="7"/>
  <c r="BY368" i="7"/>
  <c r="F366" i="12" s="1"/>
  <c r="BX368" i="7"/>
  <c r="E366" i="12" s="1"/>
  <c r="CE368" i="7"/>
  <c r="BW368" i="7"/>
  <c r="BX244" i="7"/>
  <c r="E242" i="12" s="1"/>
  <c r="CE244" i="7"/>
  <c r="BW244" i="7"/>
  <c r="CD244" i="7"/>
  <c r="J242" i="12" s="1"/>
  <c r="CC244" i="7"/>
  <c r="CI244" i="7"/>
  <c r="BY244" i="7"/>
  <c r="F242" i="12" s="1"/>
  <c r="BX267" i="7"/>
  <c r="E265" i="12" s="1"/>
  <c r="CE267" i="7"/>
  <c r="BW267" i="7"/>
  <c r="CD267" i="7"/>
  <c r="J265" i="12" s="1"/>
  <c r="CC267" i="7"/>
  <c r="CI267" i="7"/>
  <c r="BY267" i="7"/>
  <c r="F265" i="12" s="1"/>
  <c r="CE173" i="7"/>
  <c r="BW173" i="7"/>
  <c r="CD173" i="7"/>
  <c r="J171" i="12" s="1"/>
  <c r="CC173" i="7"/>
  <c r="CI173" i="7"/>
  <c r="BX173" i="7"/>
  <c r="E171" i="12" s="1"/>
  <c r="BY173" i="7"/>
  <c r="F171" i="12" s="1"/>
  <c r="BY208" i="7"/>
  <c r="F206" i="12" s="1"/>
  <c r="BX208" i="7"/>
  <c r="E206" i="12" s="1"/>
  <c r="CE208" i="7"/>
  <c r="BW208" i="7"/>
  <c r="CD208" i="7"/>
  <c r="J206" i="12" s="1"/>
  <c r="CC208" i="7"/>
  <c r="CI208" i="7"/>
  <c r="CI115" i="7"/>
  <c r="BY115" i="7"/>
  <c r="F113" i="12" s="1"/>
  <c r="BX115" i="7"/>
  <c r="E113" i="12" s="1"/>
  <c r="CE115" i="7"/>
  <c r="BW115" i="7"/>
  <c r="CD115" i="7"/>
  <c r="J113" i="12" s="1"/>
  <c r="CC115" i="7"/>
  <c r="CI364" i="7"/>
  <c r="BY364" i="7"/>
  <c r="F362" i="12" s="1"/>
  <c r="CE364" i="7"/>
  <c r="BW364" i="7"/>
  <c r="CD364" i="7"/>
  <c r="J362" i="12" s="1"/>
  <c r="CC364" i="7"/>
  <c r="BX364" i="7"/>
  <c r="E362" i="12" s="1"/>
  <c r="BX357" i="7"/>
  <c r="E355" i="12" s="1"/>
  <c r="CE357" i="7"/>
  <c r="BW357" i="7"/>
  <c r="CD357" i="7"/>
  <c r="J355" i="12" s="1"/>
  <c r="CC357" i="7"/>
  <c r="CI357" i="7"/>
  <c r="BY357" i="7"/>
  <c r="F355" i="12" s="1"/>
  <c r="CI128" i="7"/>
  <c r="BY128" i="7"/>
  <c r="F126" i="12" s="1"/>
  <c r="BX128" i="7"/>
  <c r="E126" i="12" s="1"/>
  <c r="CE128" i="7"/>
  <c r="BW128" i="7"/>
  <c r="CD128" i="7"/>
  <c r="J126" i="12" s="1"/>
  <c r="CC128" i="7"/>
  <c r="CE218" i="7"/>
  <c r="BW218" i="7"/>
  <c r="CD218" i="7"/>
  <c r="J216" i="12" s="1"/>
  <c r="CC218" i="7"/>
  <c r="CI218" i="7"/>
  <c r="BY218" i="7"/>
  <c r="F216" i="12" s="1"/>
  <c r="BX218" i="7"/>
  <c r="E216" i="12" s="1"/>
  <c r="BX57" i="7"/>
  <c r="E55" i="12" s="1"/>
  <c r="CI57" i="7"/>
  <c r="BY57" i="7"/>
  <c r="F55" i="12" s="1"/>
  <c r="BW57" i="7"/>
  <c r="CE57" i="7"/>
  <c r="CD57" i="7"/>
  <c r="J55" i="12" s="1"/>
  <c r="CC57" i="7"/>
  <c r="CE354" i="7"/>
  <c r="BW354" i="7"/>
  <c r="CD354" i="7"/>
  <c r="J352" i="12" s="1"/>
  <c r="CC354" i="7"/>
  <c r="CI354" i="7"/>
  <c r="BY354" i="7"/>
  <c r="F352" i="12" s="1"/>
  <c r="BX354" i="7"/>
  <c r="E352" i="12" s="1"/>
  <c r="CI273" i="7"/>
  <c r="BY273" i="7"/>
  <c r="F271" i="12" s="1"/>
  <c r="BX273" i="7"/>
  <c r="E271" i="12" s="1"/>
  <c r="CE273" i="7"/>
  <c r="BW273" i="7"/>
  <c r="CD273" i="7"/>
  <c r="J271" i="12" s="1"/>
  <c r="CC273" i="7"/>
  <c r="CD170" i="7"/>
  <c r="J168" i="12" s="1"/>
  <c r="CC170" i="7"/>
  <c r="CI170" i="7"/>
  <c r="BY170" i="7"/>
  <c r="F168" i="12" s="1"/>
  <c r="CE170" i="7"/>
  <c r="BW170" i="7"/>
  <c r="BX170" i="7"/>
  <c r="E168" i="12" s="1"/>
  <c r="CI268" i="7"/>
  <c r="BY268" i="7"/>
  <c r="F266" i="12" s="1"/>
  <c r="BX268" i="7"/>
  <c r="E266" i="12" s="1"/>
  <c r="CE268" i="7"/>
  <c r="BW268" i="7"/>
  <c r="CD268" i="7"/>
  <c r="J266" i="12" s="1"/>
  <c r="CC268" i="7"/>
  <c r="CI118" i="7"/>
  <c r="BY118" i="7"/>
  <c r="F116" i="12" s="1"/>
  <c r="BX118" i="7"/>
  <c r="E116" i="12" s="1"/>
  <c r="CE118" i="7"/>
  <c r="BW118" i="7"/>
  <c r="CD118" i="7"/>
  <c r="J116" i="12" s="1"/>
  <c r="CC118" i="7"/>
  <c r="CI245" i="7"/>
  <c r="BY245" i="7"/>
  <c r="F243" i="12" s="1"/>
  <c r="BX245" i="7"/>
  <c r="E243" i="12" s="1"/>
  <c r="CE245" i="7"/>
  <c r="BW245" i="7"/>
  <c r="CD245" i="7"/>
  <c r="J243" i="12" s="1"/>
  <c r="CC245" i="7"/>
  <c r="CI42" i="7"/>
  <c r="BX42" i="7"/>
  <c r="E40" i="12" s="1"/>
  <c r="CD42" i="7"/>
  <c r="J40" i="12" s="1"/>
  <c r="BY42" i="7"/>
  <c r="F40" i="12" s="1"/>
  <c r="BW42" i="7"/>
  <c r="CE42" i="7"/>
  <c r="CC42" i="7"/>
  <c r="CC373" i="7"/>
  <c r="CI373" i="7"/>
  <c r="BY373" i="7"/>
  <c r="F371" i="12" s="1"/>
  <c r="BX373" i="7"/>
  <c r="E371" i="12" s="1"/>
  <c r="CE373" i="7"/>
  <c r="BW373" i="7"/>
  <c r="CD373" i="7"/>
  <c r="J371" i="12" s="1"/>
  <c r="BX184" i="7"/>
  <c r="E182" i="12" s="1"/>
  <c r="CE184" i="7"/>
  <c r="BW184" i="7"/>
  <c r="CD184" i="7"/>
  <c r="J182" i="12" s="1"/>
  <c r="CC184" i="7"/>
  <c r="BY184" i="7"/>
  <c r="F182" i="12" s="1"/>
  <c r="CI184" i="7"/>
  <c r="CC86" i="7"/>
  <c r="CI86" i="7"/>
  <c r="BY86" i="7"/>
  <c r="F84" i="12" s="1"/>
  <c r="BX86" i="7"/>
  <c r="E84" i="12" s="1"/>
  <c r="CD86" i="7"/>
  <c r="J84" i="12" s="1"/>
  <c r="CE86" i="7"/>
  <c r="BW86" i="7"/>
  <c r="CE136" i="7"/>
  <c r="BW136" i="7"/>
  <c r="CC136" i="7"/>
  <c r="BY136" i="7"/>
  <c r="F134" i="12" s="1"/>
  <c r="BX136" i="7"/>
  <c r="E134" i="12" s="1"/>
  <c r="CI136" i="7"/>
  <c r="CD136" i="7"/>
  <c r="J134" i="12" s="1"/>
  <c r="BY163" i="7"/>
  <c r="F161" i="12" s="1"/>
  <c r="BX163" i="7"/>
  <c r="E161" i="12" s="1"/>
  <c r="CE163" i="7"/>
  <c r="BW163" i="7"/>
  <c r="CD163" i="7"/>
  <c r="J161" i="12" s="1"/>
  <c r="CC163" i="7"/>
  <c r="CI163" i="7"/>
  <c r="CE306" i="7"/>
  <c r="BW306" i="7"/>
  <c r="CD306" i="7"/>
  <c r="J304" i="12" s="1"/>
  <c r="CC306" i="7"/>
  <c r="CI306" i="7"/>
  <c r="BY306" i="7"/>
  <c r="F304" i="12" s="1"/>
  <c r="BX306" i="7"/>
  <c r="E304" i="12" s="1"/>
  <c r="BY231" i="7"/>
  <c r="F229" i="12" s="1"/>
  <c r="CE231" i="7"/>
  <c r="BW231" i="7"/>
  <c r="CD231" i="7"/>
  <c r="J229" i="12" s="1"/>
  <c r="CC231" i="7"/>
  <c r="CI231" i="7"/>
  <c r="BX231" i="7"/>
  <c r="E229" i="12" s="1"/>
  <c r="CI284" i="7"/>
  <c r="BY284" i="7"/>
  <c r="F282" i="12" s="1"/>
  <c r="BX284" i="7"/>
  <c r="E282" i="12" s="1"/>
  <c r="CE284" i="7"/>
  <c r="BW284" i="7"/>
  <c r="CD284" i="7"/>
  <c r="J282" i="12" s="1"/>
  <c r="CC284" i="7"/>
  <c r="CE226" i="7"/>
  <c r="BW226" i="7"/>
  <c r="CD226" i="7"/>
  <c r="J224" i="12" s="1"/>
  <c r="CC226" i="7"/>
  <c r="BY226" i="7"/>
  <c r="F224" i="12" s="1"/>
  <c r="CI226" i="7"/>
  <c r="BX226" i="7"/>
  <c r="E224" i="12" s="1"/>
  <c r="CI148" i="7"/>
  <c r="BY148" i="7"/>
  <c r="F146" i="12" s="1"/>
  <c r="BX148" i="7"/>
  <c r="E146" i="12" s="1"/>
  <c r="CE148" i="7"/>
  <c r="BW148" i="7"/>
  <c r="CC148" i="7"/>
  <c r="CD148" i="7"/>
  <c r="J146" i="12" s="1"/>
  <c r="CD7" i="7"/>
  <c r="J5" i="12" s="1"/>
  <c r="CC7" i="7"/>
  <c r="CI7" i="7"/>
  <c r="BY7" i="7"/>
  <c r="F5" i="12" s="1"/>
  <c r="BX7" i="7"/>
  <c r="E5" i="12" s="1"/>
  <c r="CE7" i="7"/>
  <c r="BW7" i="7"/>
  <c r="BY187" i="7"/>
  <c r="F185" i="12" s="1"/>
  <c r="BX187" i="7"/>
  <c r="E185" i="12" s="1"/>
  <c r="CE187" i="7"/>
  <c r="BW187" i="7"/>
  <c r="CD187" i="7"/>
  <c r="J185" i="12" s="1"/>
  <c r="CC187" i="7"/>
  <c r="CI187" i="7"/>
  <c r="CD99" i="7"/>
  <c r="J97" i="12" s="1"/>
  <c r="CC99" i="7"/>
  <c r="CI99" i="7"/>
  <c r="BY99" i="7"/>
  <c r="F97" i="12" s="1"/>
  <c r="BX99" i="7"/>
  <c r="E97" i="12" s="1"/>
  <c r="CE99" i="7"/>
  <c r="BW99" i="7"/>
  <c r="BY125" i="7"/>
  <c r="F123" i="12" s="1"/>
  <c r="BX125" i="7"/>
  <c r="E123" i="12" s="1"/>
  <c r="CE125" i="7"/>
  <c r="BW125" i="7"/>
  <c r="CD125" i="7"/>
  <c r="J123" i="12" s="1"/>
  <c r="CC125" i="7"/>
  <c r="CI125" i="7"/>
  <c r="CI156" i="7"/>
  <c r="BY156" i="7"/>
  <c r="F154" i="12" s="1"/>
  <c r="BX156" i="7"/>
  <c r="E154" i="12" s="1"/>
  <c r="CE156" i="7"/>
  <c r="BW156" i="7"/>
  <c r="CC156" i="7"/>
  <c r="CD156" i="7"/>
  <c r="J154" i="12" s="1"/>
  <c r="CE97" i="7"/>
  <c r="BW97" i="7"/>
  <c r="CD97" i="7"/>
  <c r="J95" i="12" s="1"/>
  <c r="CC97" i="7"/>
  <c r="CI97" i="7"/>
  <c r="BX97" i="7"/>
  <c r="E95" i="12" s="1"/>
  <c r="BY97" i="7"/>
  <c r="F95" i="12" s="1"/>
  <c r="CE249" i="7"/>
  <c r="BW249" i="7"/>
  <c r="CD249" i="7"/>
  <c r="J247" i="12" s="1"/>
  <c r="CC249" i="7"/>
  <c r="CI249" i="7"/>
  <c r="BY249" i="7"/>
  <c r="F247" i="12" s="1"/>
  <c r="BX249" i="7"/>
  <c r="E247" i="12" s="1"/>
  <c r="CI87" i="7"/>
  <c r="BY87" i="7"/>
  <c r="F85" i="12" s="1"/>
  <c r="BX87" i="7"/>
  <c r="E85" i="12" s="1"/>
  <c r="CE87" i="7"/>
  <c r="BW87" i="7"/>
  <c r="CD87" i="7"/>
  <c r="J85" i="12" s="1"/>
  <c r="CC87" i="7"/>
  <c r="CI8" i="7"/>
  <c r="BY8" i="7"/>
  <c r="F6" i="12" s="1"/>
  <c r="BX8" i="7"/>
  <c r="E6" i="12" s="1"/>
  <c r="CE8" i="7"/>
  <c r="BW8" i="7"/>
  <c r="CD8" i="7"/>
  <c r="J6" i="12" s="1"/>
  <c r="CC8" i="7"/>
  <c r="CD58" i="7"/>
  <c r="J56" i="12" s="1"/>
  <c r="CE58" i="7"/>
  <c r="CC58" i="7"/>
  <c r="CI58" i="7"/>
  <c r="BY58" i="7"/>
  <c r="F56" i="12" s="1"/>
  <c r="BX58" i="7"/>
  <c r="E56" i="12" s="1"/>
  <c r="BW58" i="7"/>
  <c r="CI271" i="7"/>
  <c r="BY271" i="7"/>
  <c r="F269" i="12" s="1"/>
  <c r="BX271" i="7"/>
  <c r="E269" i="12" s="1"/>
  <c r="CE271" i="7"/>
  <c r="BW271" i="7"/>
  <c r="CD271" i="7"/>
  <c r="J269" i="12" s="1"/>
  <c r="CC271" i="7"/>
  <c r="CI315" i="7"/>
  <c r="BY315" i="7"/>
  <c r="F313" i="12" s="1"/>
  <c r="BX315" i="7"/>
  <c r="E313" i="12" s="1"/>
  <c r="CE315" i="7"/>
  <c r="BW315" i="7"/>
  <c r="CD315" i="7"/>
  <c r="J313" i="12" s="1"/>
  <c r="CC315" i="7"/>
  <c r="CI79" i="7"/>
  <c r="BX79" i="7"/>
  <c r="E77" i="12" s="1"/>
  <c r="CD79" i="7"/>
  <c r="J77" i="12" s="1"/>
  <c r="BW79" i="7"/>
  <c r="CE79" i="7"/>
  <c r="CC79" i="7"/>
  <c r="BY79" i="7"/>
  <c r="F77" i="12" s="1"/>
  <c r="CI150" i="7"/>
  <c r="BY150" i="7"/>
  <c r="F148" i="12" s="1"/>
  <c r="BX150" i="7"/>
  <c r="E148" i="12" s="1"/>
  <c r="CE150" i="7"/>
  <c r="BW150" i="7"/>
  <c r="CD150" i="7"/>
  <c r="J148" i="12" s="1"/>
  <c r="CC150" i="7"/>
  <c r="BX221" i="7"/>
  <c r="E219" i="12" s="1"/>
  <c r="CE221" i="7"/>
  <c r="BW221" i="7"/>
  <c r="CD221" i="7"/>
  <c r="J219" i="12" s="1"/>
  <c r="CC221" i="7"/>
  <c r="CI221" i="7"/>
  <c r="BY221" i="7"/>
  <c r="F219" i="12" s="1"/>
  <c r="BX382" i="7"/>
  <c r="E380" i="12" s="1"/>
  <c r="CE382" i="7"/>
  <c r="BW382" i="7"/>
  <c r="CD382" i="7"/>
  <c r="J380" i="12" s="1"/>
  <c r="CC382" i="7"/>
  <c r="CI382" i="7"/>
  <c r="BY382" i="7"/>
  <c r="F380" i="12" s="1"/>
  <c r="CC94" i="7"/>
  <c r="CI94" i="7"/>
  <c r="BY94" i="7"/>
  <c r="F92" i="12" s="1"/>
  <c r="BX94" i="7"/>
  <c r="E92" i="12" s="1"/>
  <c r="CD94" i="7"/>
  <c r="J92" i="12" s="1"/>
  <c r="CE94" i="7"/>
  <c r="BW94" i="7"/>
  <c r="BX139" i="7"/>
  <c r="E137" i="12" s="1"/>
  <c r="CD139" i="7"/>
  <c r="J137" i="12" s="1"/>
  <c r="CC139" i="7"/>
  <c r="CI139" i="7"/>
  <c r="BY139" i="7"/>
  <c r="F137" i="12" s="1"/>
  <c r="BW139" i="7"/>
  <c r="CE139" i="7"/>
  <c r="CC243" i="7"/>
  <c r="CI243" i="7"/>
  <c r="BY243" i="7"/>
  <c r="F241" i="12" s="1"/>
  <c r="BX243" i="7"/>
  <c r="E241" i="12" s="1"/>
  <c r="CE243" i="7"/>
  <c r="BW243" i="7"/>
  <c r="CD243" i="7"/>
  <c r="J241" i="12" s="1"/>
  <c r="CI51" i="7"/>
  <c r="BY51" i="7"/>
  <c r="F49" i="12" s="1"/>
  <c r="BX51" i="7"/>
  <c r="E49" i="12" s="1"/>
  <c r="CE51" i="7"/>
  <c r="BW51" i="7"/>
  <c r="CD51" i="7"/>
  <c r="J49" i="12" s="1"/>
  <c r="CC51" i="7"/>
  <c r="CI46" i="7"/>
  <c r="BY46" i="7"/>
  <c r="F44" i="12" s="1"/>
  <c r="BX46" i="7"/>
  <c r="E44" i="12" s="1"/>
  <c r="CE46" i="7"/>
  <c r="BW46" i="7"/>
  <c r="CD46" i="7"/>
  <c r="J44" i="12" s="1"/>
  <c r="CC46" i="7"/>
  <c r="CI83" i="7"/>
  <c r="BX83" i="7"/>
  <c r="E81" i="12" s="1"/>
  <c r="CE83" i="7"/>
  <c r="BW83" i="7"/>
  <c r="CD83" i="7"/>
  <c r="J81" i="12" s="1"/>
  <c r="CC83" i="7"/>
  <c r="BY83" i="7"/>
  <c r="F81" i="12" s="1"/>
  <c r="CI190" i="7"/>
  <c r="BY190" i="7"/>
  <c r="F188" i="12" s="1"/>
  <c r="BX190" i="7"/>
  <c r="E188" i="12" s="1"/>
  <c r="CE190" i="7"/>
  <c r="BW190" i="7"/>
  <c r="CD190" i="7"/>
  <c r="J188" i="12" s="1"/>
  <c r="CC190" i="7"/>
  <c r="CD45" i="7"/>
  <c r="J43" i="12" s="1"/>
  <c r="CC45" i="7"/>
  <c r="CI45" i="7"/>
  <c r="BY45" i="7"/>
  <c r="F43" i="12" s="1"/>
  <c r="BX45" i="7"/>
  <c r="E43" i="12" s="1"/>
  <c r="CE45" i="7"/>
  <c r="BW45" i="7"/>
  <c r="CI137" i="7"/>
  <c r="BX137" i="7"/>
  <c r="E135" i="12" s="1"/>
  <c r="CE137" i="7"/>
  <c r="BW137" i="7"/>
  <c r="CD137" i="7"/>
  <c r="J135" i="12" s="1"/>
  <c r="CC137" i="7"/>
  <c r="BY137" i="7"/>
  <c r="F135" i="12" s="1"/>
  <c r="BX152" i="7"/>
  <c r="E150" i="12" s="1"/>
  <c r="CE152" i="7"/>
  <c r="BW152" i="7"/>
  <c r="CD152" i="7"/>
  <c r="J150" i="12" s="1"/>
  <c r="CC152" i="7"/>
  <c r="BY152" i="7"/>
  <c r="F150" i="12" s="1"/>
  <c r="CI152" i="7"/>
  <c r="CC195" i="7"/>
  <c r="CI195" i="7"/>
  <c r="BY195" i="7"/>
  <c r="F193" i="12" s="1"/>
  <c r="BX195" i="7"/>
  <c r="E193" i="12" s="1"/>
  <c r="BW195" i="7"/>
  <c r="CE195" i="7"/>
  <c r="CD195" i="7"/>
  <c r="J193" i="12" s="1"/>
  <c r="BX144" i="7"/>
  <c r="E142" i="12" s="1"/>
  <c r="CE144" i="7"/>
  <c r="BW144" i="7"/>
  <c r="CC144" i="7"/>
  <c r="BY144" i="7"/>
  <c r="F142" i="12" s="1"/>
  <c r="CD144" i="7"/>
  <c r="J142" i="12" s="1"/>
  <c r="CI144" i="7"/>
  <c r="CD328" i="7"/>
  <c r="J326" i="12" s="1"/>
  <c r="BY328" i="7"/>
  <c r="F326" i="12" s="1"/>
  <c r="CI328" i="7"/>
  <c r="BX328" i="7"/>
  <c r="E326" i="12" s="1"/>
  <c r="BW328" i="7"/>
  <c r="CE328" i="7"/>
  <c r="CC328" i="7"/>
  <c r="CC197" i="7"/>
  <c r="BY197" i="7"/>
  <c r="F195" i="12" s="1"/>
  <c r="CI197" i="7"/>
  <c r="BX197" i="7"/>
  <c r="E195" i="12" s="1"/>
  <c r="BW197" i="7"/>
  <c r="CE197" i="7"/>
  <c r="CD197" i="7"/>
  <c r="J195" i="12" s="1"/>
  <c r="CC151" i="7"/>
  <c r="CI151" i="7"/>
  <c r="BY151" i="7"/>
  <c r="F149" i="12" s="1"/>
  <c r="BX151" i="7"/>
  <c r="E149" i="12" s="1"/>
  <c r="CD151" i="7"/>
  <c r="J149" i="12" s="1"/>
  <c r="CE151" i="7"/>
  <c r="BW151" i="7"/>
  <c r="CI123" i="7"/>
  <c r="BY123" i="7"/>
  <c r="F121" i="12" s="1"/>
  <c r="BX123" i="7"/>
  <c r="E121" i="12" s="1"/>
  <c r="CE123" i="7"/>
  <c r="BW123" i="7"/>
  <c r="CD123" i="7"/>
  <c r="J121" i="12" s="1"/>
  <c r="CC123" i="7"/>
  <c r="BX366" i="7"/>
  <c r="E364" i="12" s="1"/>
  <c r="CE366" i="7"/>
  <c r="BW366" i="7"/>
  <c r="CD366" i="7"/>
  <c r="J364" i="12" s="1"/>
  <c r="CC366" i="7"/>
  <c r="CI366" i="7"/>
  <c r="BY366" i="7"/>
  <c r="F364" i="12" s="1"/>
  <c r="CI248" i="7"/>
  <c r="BY248" i="7"/>
  <c r="F246" i="12" s="1"/>
  <c r="BX248" i="7"/>
  <c r="E246" i="12" s="1"/>
  <c r="CE248" i="7"/>
  <c r="BW248" i="7"/>
  <c r="CD248" i="7"/>
  <c r="J246" i="12" s="1"/>
  <c r="CC248" i="7"/>
  <c r="CD178" i="7"/>
  <c r="J176" i="12" s="1"/>
  <c r="CC178" i="7"/>
  <c r="CI178" i="7"/>
  <c r="BY178" i="7"/>
  <c r="F176" i="12" s="1"/>
  <c r="CE178" i="7"/>
  <c r="BW178" i="7"/>
  <c r="BX178" i="7"/>
  <c r="E176" i="12" s="1"/>
  <c r="CD77" i="7"/>
  <c r="J75" i="12" s="1"/>
  <c r="CI77" i="7"/>
  <c r="BX77" i="7"/>
  <c r="E75" i="12" s="1"/>
  <c r="BY77" i="7"/>
  <c r="F75" i="12" s="1"/>
  <c r="BW77" i="7"/>
  <c r="CE77" i="7"/>
  <c r="CC77" i="7"/>
  <c r="BX122" i="7"/>
  <c r="E120" i="12" s="1"/>
  <c r="CE122" i="7"/>
  <c r="BW122" i="7"/>
  <c r="CD122" i="7"/>
  <c r="J120" i="12" s="1"/>
  <c r="CC122" i="7"/>
  <c r="CI122" i="7"/>
  <c r="BY122" i="7"/>
  <c r="F120" i="12" s="1"/>
  <c r="CE241" i="7"/>
  <c r="BW241" i="7"/>
  <c r="CD241" i="7"/>
  <c r="J239" i="12" s="1"/>
  <c r="CC241" i="7"/>
  <c r="CI241" i="7"/>
  <c r="BY241" i="7"/>
  <c r="F239" i="12" s="1"/>
  <c r="BX241" i="7"/>
  <c r="E239" i="12" s="1"/>
  <c r="CD14" i="7"/>
  <c r="J12" i="12" s="1"/>
  <c r="CC14" i="7"/>
  <c r="CI14" i="7"/>
  <c r="BY14" i="7"/>
  <c r="F12" i="12" s="1"/>
  <c r="BX14" i="7"/>
  <c r="E12" i="12" s="1"/>
  <c r="CE14" i="7"/>
  <c r="BW14" i="7"/>
  <c r="CD116" i="7"/>
  <c r="J114" i="12" s="1"/>
  <c r="CC116" i="7"/>
  <c r="CI116" i="7"/>
  <c r="BY116" i="7"/>
  <c r="F114" i="12" s="1"/>
  <c r="BX116" i="7"/>
  <c r="E114" i="12" s="1"/>
  <c r="BW116" i="7"/>
  <c r="CE116" i="7"/>
  <c r="CI383" i="7"/>
  <c r="BY383" i="7"/>
  <c r="F381" i="12" s="1"/>
  <c r="BX383" i="7"/>
  <c r="E381" i="12" s="1"/>
  <c r="CE383" i="7"/>
  <c r="BW383" i="7"/>
  <c r="CD383" i="7"/>
  <c r="J381" i="12" s="1"/>
  <c r="CC383" i="7"/>
  <c r="CI194" i="7"/>
  <c r="CD194" i="7"/>
  <c r="J192" i="12" s="1"/>
  <c r="CC194" i="7"/>
  <c r="BY194" i="7"/>
  <c r="F192" i="12" s="1"/>
  <c r="BX194" i="7"/>
  <c r="E192" i="12" s="1"/>
  <c r="BW194" i="7"/>
  <c r="CE194" i="7"/>
  <c r="BY270" i="7"/>
  <c r="F268" i="12" s="1"/>
  <c r="BX270" i="7"/>
  <c r="E268" i="12" s="1"/>
  <c r="CE270" i="7"/>
  <c r="BW270" i="7"/>
  <c r="CD270" i="7"/>
  <c r="J268" i="12" s="1"/>
  <c r="CC270" i="7"/>
  <c r="CI270" i="7"/>
  <c r="CD19" i="7"/>
  <c r="J17" i="12" s="1"/>
  <c r="BW19" i="7"/>
  <c r="CE19" i="7"/>
  <c r="CC19" i="7"/>
  <c r="BY19" i="7"/>
  <c r="F17" i="12" s="1"/>
  <c r="CI19" i="7"/>
  <c r="BX19" i="7"/>
  <c r="E17" i="12" s="1"/>
  <c r="CI372" i="7"/>
  <c r="BY372" i="7"/>
  <c r="F370" i="12" s="1"/>
  <c r="BX372" i="7"/>
  <c r="E370" i="12" s="1"/>
  <c r="CE372" i="7"/>
  <c r="BW372" i="7"/>
  <c r="CD372" i="7"/>
  <c r="J370" i="12" s="1"/>
  <c r="CC372" i="7"/>
  <c r="CC274" i="7"/>
  <c r="CI274" i="7"/>
  <c r="BY274" i="7"/>
  <c r="F272" i="12" s="1"/>
  <c r="BX274" i="7"/>
  <c r="E272" i="12" s="1"/>
  <c r="CE274" i="7"/>
  <c r="BW274" i="7"/>
  <c r="CD274" i="7"/>
  <c r="J272" i="12" s="1"/>
  <c r="CI120" i="7"/>
  <c r="BY120" i="7"/>
  <c r="F118" i="12" s="1"/>
  <c r="BX120" i="7"/>
  <c r="E118" i="12" s="1"/>
  <c r="CE120" i="7"/>
  <c r="BW120" i="7"/>
  <c r="CD120" i="7"/>
  <c r="J118" i="12" s="1"/>
  <c r="CC120" i="7"/>
  <c r="CC324" i="7"/>
  <c r="CI324" i="7"/>
  <c r="BY324" i="7"/>
  <c r="F322" i="12" s="1"/>
  <c r="BX324" i="7"/>
  <c r="E322" i="12" s="1"/>
  <c r="CE324" i="7"/>
  <c r="BW324" i="7"/>
  <c r="CD324" i="7"/>
  <c r="J322" i="12" s="1"/>
  <c r="BX36" i="7"/>
  <c r="E34" i="12" s="1"/>
  <c r="CD36" i="7"/>
  <c r="J34" i="12" s="1"/>
  <c r="CI36" i="7"/>
  <c r="CE36" i="7"/>
  <c r="CC36" i="7"/>
  <c r="BY36" i="7"/>
  <c r="F34" i="12" s="1"/>
  <c r="BW36" i="7"/>
  <c r="CD269" i="7"/>
  <c r="J267" i="12" s="1"/>
  <c r="CC269" i="7"/>
  <c r="CI269" i="7"/>
  <c r="BY269" i="7"/>
  <c r="F267" i="12" s="1"/>
  <c r="BX269" i="7"/>
  <c r="E267" i="12" s="1"/>
  <c r="CE269" i="7"/>
  <c r="BW269" i="7"/>
  <c r="CC98" i="7"/>
  <c r="CI98" i="7"/>
  <c r="BY98" i="7"/>
  <c r="F96" i="12" s="1"/>
  <c r="BX98" i="7"/>
  <c r="E96" i="12" s="1"/>
  <c r="CE98" i="7"/>
  <c r="BW98" i="7"/>
  <c r="CD98" i="7"/>
  <c r="J96" i="12" s="1"/>
  <c r="CD186" i="7"/>
  <c r="J184" i="12" s="1"/>
  <c r="CC186" i="7"/>
  <c r="CI186" i="7"/>
  <c r="BY186" i="7"/>
  <c r="F184" i="12" s="1"/>
  <c r="CE186" i="7"/>
  <c r="BW186" i="7"/>
  <c r="BX186" i="7"/>
  <c r="E184" i="12" s="1"/>
  <c r="CI43" i="7"/>
  <c r="BY43" i="7"/>
  <c r="F41" i="12" s="1"/>
  <c r="BX43" i="7"/>
  <c r="E41" i="12" s="1"/>
  <c r="CD43" i="7"/>
  <c r="J41" i="12" s="1"/>
  <c r="BW43" i="7"/>
  <c r="CE43" i="7"/>
  <c r="CC43" i="7"/>
  <c r="CI203" i="7"/>
  <c r="BY203" i="7"/>
  <c r="F201" i="12" s="1"/>
  <c r="CE203" i="7"/>
  <c r="BW203" i="7"/>
  <c r="CD203" i="7"/>
  <c r="J201" i="12" s="1"/>
  <c r="CC203" i="7"/>
  <c r="BX203" i="7"/>
  <c r="E201" i="12" s="1"/>
  <c r="BX114" i="7"/>
  <c r="E112" i="12" s="1"/>
  <c r="CE114" i="7"/>
  <c r="BW114" i="7"/>
  <c r="CD114" i="7"/>
  <c r="J112" i="12" s="1"/>
  <c r="CC114" i="7"/>
  <c r="CI114" i="7"/>
  <c r="BY114" i="7"/>
  <c r="F112" i="12" s="1"/>
  <c r="CI153" i="7"/>
  <c r="BY153" i="7"/>
  <c r="F151" i="12" s="1"/>
  <c r="BX153" i="7"/>
  <c r="E151" i="12" s="1"/>
  <c r="CE153" i="7"/>
  <c r="BW153" i="7"/>
  <c r="CD153" i="7"/>
  <c r="J151" i="12" s="1"/>
  <c r="CC153" i="7"/>
  <c r="BY16" i="7"/>
  <c r="F14" i="12" s="1"/>
  <c r="BX16" i="7"/>
  <c r="E14" i="12" s="1"/>
  <c r="CE16" i="7"/>
  <c r="BW16" i="7"/>
  <c r="CD16" i="7"/>
  <c r="J14" i="12" s="1"/>
  <c r="CC16" i="7"/>
  <c r="CI16" i="7"/>
  <c r="CI110" i="7"/>
  <c r="BY110" i="7"/>
  <c r="F108" i="12" s="1"/>
  <c r="BX110" i="7"/>
  <c r="E108" i="12" s="1"/>
  <c r="CE110" i="7"/>
  <c r="BW110" i="7"/>
  <c r="CD110" i="7"/>
  <c r="J108" i="12" s="1"/>
  <c r="CC110" i="7"/>
  <c r="BX53" i="7"/>
  <c r="E51" i="12" s="1"/>
  <c r="CI53" i="7"/>
  <c r="BY53" i="7"/>
  <c r="F51" i="12" s="1"/>
  <c r="BW53" i="7"/>
  <c r="CE53" i="7"/>
  <c r="CD53" i="7"/>
  <c r="J51" i="12" s="1"/>
  <c r="CC53" i="7"/>
  <c r="CE93" i="7"/>
  <c r="BW93" i="7"/>
  <c r="CD93" i="7"/>
  <c r="J91" i="12" s="1"/>
  <c r="CC93" i="7"/>
  <c r="CI93" i="7"/>
  <c r="BX93" i="7"/>
  <c r="E91" i="12" s="1"/>
  <c r="BY93" i="7"/>
  <c r="F91" i="12" s="1"/>
  <c r="CD254" i="7"/>
  <c r="J252" i="12" s="1"/>
  <c r="CC254" i="7"/>
  <c r="CI254" i="7"/>
  <c r="BY254" i="7"/>
  <c r="F252" i="12" s="1"/>
  <c r="BX254" i="7"/>
  <c r="E252" i="12" s="1"/>
  <c r="CE254" i="7"/>
  <c r="BW254" i="7"/>
  <c r="CI6" i="7"/>
  <c r="BY6" i="7"/>
  <c r="F4" i="12" s="1"/>
  <c r="BX6" i="7"/>
  <c r="E4" i="12" s="1"/>
  <c r="CE6" i="7"/>
  <c r="BW6" i="7"/>
  <c r="CD6" i="7"/>
  <c r="J4" i="12" s="1"/>
  <c r="CC6" i="7"/>
  <c r="CI10" i="7"/>
  <c r="BY10" i="7"/>
  <c r="F8" i="12" s="1"/>
  <c r="BX10" i="7"/>
  <c r="E8" i="12" s="1"/>
  <c r="CE10" i="7"/>
  <c r="BW10" i="7"/>
  <c r="CD10" i="7"/>
  <c r="J8" i="12" s="1"/>
  <c r="CC10" i="7"/>
  <c r="CI133" i="7"/>
  <c r="CE133" i="7"/>
  <c r="CD133" i="7"/>
  <c r="J131" i="12" s="1"/>
  <c r="CC133" i="7"/>
  <c r="BY133" i="7"/>
  <c r="F131" i="12" s="1"/>
  <c r="BX133" i="7"/>
  <c r="E131" i="12" s="1"/>
  <c r="BW133" i="7"/>
  <c r="BY140" i="7"/>
  <c r="F138" i="12" s="1"/>
  <c r="BX140" i="7"/>
  <c r="E138" i="12" s="1"/>
  <c r="CE140" i="7"/>
  <c r="BW140" i="7"/>
  <c r="CC140" i="7"/>
  <c r="CI140" i="7"/>
  <c r="CD140" i="7"/>
  <c r="J138" i="12" s="1"/>
  <c r="BX361" i="7"/>
  <c r="E359" i="12" s="1"/>
  <c r="CI361" i="7"/>
  <c r="BY361" i="7"/>
  <c r="F359" i="12" s="1"/>
  <c r="BW361" i="7"/>
  <c r="CE361" i="7"/>
  <c r="CD361" i="7"/>
  <c r="J359" i="12" s="1"/>
  <c r="CC361" i="7"/>
  <c r="CI217" i="7"/>
  <c r="BY217" i="7"/>
  <c r="F215" i="12" s="1"/>
  <c r="BX217" i="7"/>
  <c r="E215" i="12" s="1"/>
  <c r="CE217" i="7"/>
  <c r="BW217" i="7"/>
  <c r="CD217" i="7"/>
  <c r="J215" i="12" s="1"/>
  <c r="CC217" i="7"/>
  <c r="CI214" i="7"/>
  <c r="BY214" i="7"/>
  <c r="F212" i="12" s="1"/>
  <c r="BX214" i="7"/>
  <c r="E212" i="12" s="1"/>
  <c r="CE214" i="7"/>
  <c r="BW214" i="7"/>
  <c r="CD214" i="7"/>
  <c r="J212" i="12" s="1"/>
  <c r="CC214" i="7"/>
  <c r="CI279" i="7"/>
  <c r="BY279" i="7"/>
  <c r="F277" i="12" s="1"/>
  <c r="BX279" i="7"/>
  <c r="E277" i="12" s="1"/>
  <c r="CE279" i="7"/>
  <c r="BW279" i="7"/>
  <c r="CD279" i="7"/>
  <c r="J277" i="12" s="1"/>
  <c r="CC279" i="7"/>
  <c r="BX252" i="7"/>
  <c r="E250" i="12" s="1"/>
  <c r="CE252" i="7"/>
  <c r="BW252" i="7"/>
  <c r="CD252" i="7"/>
  <c r="J250" i="12" s="1"/>
  <c r="CC252" i="7"/>
  <c r="CI252" i="7"/>
  <c r="BY252" i="7"/>
  <c r="F250" i="12" s="1"/>
  <c r="CD277" i="7"/>
  <c r="J275" i="12" s="1"/>
  <c r="CC277" i="7"/>
  <c r="CI277" i="7"/>
  <c r="BY277" i="7"/>
  <c r="F275" i="12" s="1"/>
  <c r="BX277" i="7"/>
  <c r="E275" i="12" s="1"/>
  <c r="CE277" i="7"/>
  <c r="BW277" i="7"/>
  <c r="BX160" i="7"/>
  <c r="E158" i="12" s="1"/>
  <c r="CE160" i="7"/>
  <c r="BW160" i="7"/>
  <c r="CD160" i="7"/>
  <c r="J158" i="12" s="1"/>
  <c r="CC160" i="7"/>
  <c r="BY160" i="7"/>
  <c r="F158" i="12" s="1"/>
  <c r="CI160" i="7"/>
  <c r="CD11" i="7"/>
  <c r="J9" i="12" s="1"/>
  <c r="CC11" i="7"/>
  <c r="CI11" i="7"/>
  <c r="BY11" i="7"/>
  <c r="F9" i="12" s="1"/>
  <c r="BX11" i="7"/>
  <c r="E9" i="12" s="1"/>
  <c r="CE11" i="7"/>
  <c r="BW11" i="7"/>
  <c r="CI350" i="7"/>
  <c r="BY350" i="7"/>
  <c r="F348" i="12" s="1"/>
  <c r="BX350" i="7"/>
  <c r="E348" i="12" s="1"/>
  <c r="CE350" i="7"/>
  <c r="BW350" i="7"/>
  <c r="CD350" i="7"/>
  <c r="J348" i="12" s="1"/>
  <c r="CC350" i="7"/>
  <c r="CI38" i="7"/>
  <c r="BX38" i="7"/>
  <c r="E36" i="12" s="1"/>
  <c r="CD38" i="7"/>
  <c r="J36" i="12" s="1"/>
  <c r="CE38" i="7"/>
  <c r="CC38" i="7"/>
  <c r="BY38" i="7"/>
  <c r="F36" i="12" s="1"/>
  <c r="BW38" i="7"/>
  <c r="CD73" i="7"/>
  <c r="J71" i="12" s="1"/>
  <c r="CI73" i="7"/>
  <c r="BX73" i="7"/>
  <c r="E71" i="12" s="1"/>
  <c r="CE73" i="7"/>
  <c r="CC73" i="7"/>
  <c r="BY73" i="7"/>
  <c r="F71" i="12" s="1"/>
  <c r="BW73" i="7"/>
  <c r="CE165" i="7"/>
  <c r="BW165" i="7"/>
  <c r="CD165" i="7"/>
  <c r="J163" i="12" s="1"/>
  <c r="CC165" i="7"/>
  <c r="CI165" i="7"/>
  <c r="BX165" i="7"/>
  <c r="E163" i="12" s="1"/>
  <c r="BY165" i="7"/>
  <c r="F163" i="12" s="1"/>
  <c r="CD124" i="7"/>
  <c r="J122" i="12" s="1"/>
  <c r="CC124" i="7"/>
  <c r="CI124" i="7"/>
  <c r="BY124" i="7"/>
  <c r="F122" i="12" s="1"/>
  <c r="BX124" i="7"/>
  <c r="E122" i="12" s="1"/>
  <c r="CE124" i="7"/>
  <c r="BW124" i="7"/>
  <c r="BX32" i="7"/>
  <c r="E30" i="12" s="1"/>
  <c r="CD32" i="7"/>
  <c r="J30" i="12" s="1"/>
  <c r="CI32" i="7"/>
  <c r="CC32" i="7"/>
  <c r="BY32" i="7"/>
  <c r="F30" i="12" s="1"/>
  <c r="BW32" i="7"/>
  <c r="CE32" i="7"/>
  <c r="BX213" i="7"/>
  <c r="E211" i="12" s="1"/>
  <c r="CE213" i="7"/>
  <c r="BW213" i="7"/>
  <c r="CD213" i="7"/>
  <c r="J211" i="12" s="1"/>
  <c r="CC213" i="7"/>
  <c r="CI213" i="7"/>
  <c r="BY213" i="7"/>
  <c r="F211" i="12" s="1"/>
  <c r="CD343" i="7"/>
  <c r="J341" i="12" s="1"/>
  <c r="CC343" i="7"/>
  <c r="CI343" i="7"/>
  <c r="BY343" i="7"/>
  <c r="F341" i="12" s="1"/>
  <c r="BX343" i="7"/>
  <c r="E341" i="12" s="1"/>
  <c r="CE343" i="7"/>
  <c r="BW343" i="7"/>
  <c r="CD228" i="7"/>
  <c r="J226" i="12" s="1"/>
  <c r="CC228" i="7"/>
  <c r="BY228" i="7"/>
  <c r="F226" i="12" s="1"/>
  <c r="CI228" i="7"/>
  <c r="CE228" i="7"/>
  <c r="BX228" i="7"/>
  <c r="E226" i="12" s="1"/>
  <c r="BW228" i="7"/>
  <c r="CI78" i="7"/>
  <c r="BX78" i="7"/>
  <c r="E76" i="12" s="1"/>
  <c r="CD78" i="7"/>
  <c r="J76" i="12" s="1"/>
  <c r="BY78" i="7"/>
  <c r="F76" i="12" s="1"/>
  <c r="BW78" i="7"/>
  <c r="CE78" i="7"/>
  <c r="CC78" i="7"/>
  <c r="CE198" i="7"/>
  <c r="BW198" i="7"/>
  <c r="CD198" i="7"/>
  <c r="J196" i="12" s="1"/>
  <c r="BY198" i="7"/>
  <c r="F196" i="12" s="1"/>
  <c r="CI198" i="7"/>
  <c r="BX198" i="7"/>
  <c r="E196" i="12" s="1"/>
  <c r="CC198" i="7"/>
  <c r="CI145" i="7"/>
  <c r="BX145" i="7"/>
  <c r="E143" i="12" s="1"/>
  <c r="CE145" i="7"/>
  <c r="BW145" i="7"/>
  <c r="CD145" i="7"/>
  <c r="J143" i="12" s="1"/>
  <c r="CC145" i="7"/>
  <c r="BY145" i="7"/>
  <c r="F143" i="12" s="1"/>
  <c r="CC365" i="7"/>
  <c r="CI365" i="7"/>
  <c r="BY365" i="7"/>
  <c r="F363" i="12" s="1"/>
  <c r="BX365" i="7"/>
  <c r="E363" i="12" s="1"/>
  <c r="CE365" i="7"/>
  <c r="BW365" i="7"/>
  <c r="CD365" i="7"/>
  <c r="J363" i="12" s="1"/>
  <c r="CE119" i="7"/>
  <c r="BW119" i="7"/>
  <c r="CD119" i="7"/>
  <c r="J117" i="12" s="1"/>
  <c r="CC119" i="7"/>
  <c r="CI119" i="7"/>
  <c r="BY119" i="7"/>
  <c r="F117" i="12" s="1"/>
  <c r="BX119" i="7"/>
  <c r="E117" i="12" s="1"/>
  <c r="BY132" i="7"/>
  <c r="F130" i="12" s="1"/>
  <c r="CE132" i="7"/>
  <c r="BW132" i="7"/>
  <c r="CI132" i="7"/>
  <c r="CD132" i="7"/>
  <c r="J130" i="12" s="1"/>
  <c r="CC132" i="7"/>
  <c r="BX132" i="7"/>
  <c r="E130" i="12" s="1"/>
  <c r="CE222" i="7"/>
  <c r="BW222" i="7"/>
  <c r="BX222" i="7"/>
  <c r="E220" i="12" s="1"/>
  <c r="CD222" i="7"/>
  <c r="J220" i="12" s="1"/>
  <c r="CC222" i="7"/>
  <c r="CI222" i="7"/>
  <c r="BY222" i="7"/>
  <c r="F220" i="12" s="1"/>
  <c r="CI353" i="7"/>
  <c r="BY353" i="7"/>
  <c r="F351" i="12" s="1"/>
  <c r="BX353" i="7"/>
  <c r="E351" i="12" s="1"/>
  <c r="CE353" i="7"/>
  <c r="BW353" i="7"/>
  <c r="CD353" i="7"/>
  <c r="J351" i="12" s="1"/>
  <c r="CC353" i="7"/>
  <c r="CI100" i="7"/>
  <c r="BY100" i="7"/>
  <c r="F98" i="12" s="1"/>
  <c r="BX100" i="7"/>
  <c r="E98" i="12" s="1"/>
  <c r="BW100" i="7"/>
  <c r="CE100" i="7"/>
  <c r="CD100" i="7"/>
  <c r="J98" i="12" s="1"/>
  <c r="CC100" i="7"/>
  <c r="CI62" i="7"/>
  <c r="CD62" i="7"/>
  <c r="J60" i="12" s="1"/>
  <c r="BX62" i="7"/>
  <c r="E60" i="12" s="1"/>
  <c r="BW62" i="7"/>
  <c r="CE62" i="7"/>
  <c r="CC62" i="7"/>
  <c r="BY62" i="7"/>
  <c r="F60" i="12" s="1"/>
  <c r="CE233" i="7"/>
  <c r="BW233" i="7"/>
  <c r="CC233" i="7"/>
  <c r="CI233" i="7"/>
  <c r="BY233" i="7"/>
  <c r="F231" i="12" s="1"/>
  <c r="BX233" i="7"/>
  <c r="E231" i="12" s="1"/>
  <c r="CD233" i="7"/>
  <c r="J231" i="12" s="1"/>
  <c r="CE111" i="7"/>
  <c r="BW111" i="7"/>
  <c r="CD111" i="7"/>
  <c r="J109" i="12" s="1"/>
  <c r="CC111" i="7"/>
  <c r="CI111" i="7"/>
  <c r="BY111" i="7"/>
  <c r="F109" i="12" s="1"/>
  <c r="BX111" i="7"/>
  <c r="E109" i="12" s="1"/>
  <c r="CI378" i="7"/>
  <c r="BY378" i="7"/>
  <c r="F376" i="12" s="1"/>
  <c r="BX378" i="7"/>
  <c r="E376" i="12" s="1"/>
  <c r="CE378" i="7"/>
  <c r="BW378" i="7"/>
  <c r="CD378" i="7"/>
  <c r="J376" i="12" s="1"/>
  <c r="CC378" i="7"/>
  <c r="BX301" i="7"/>
  <c r="E299" i="12" s="1"/>
  <c r="CE301" i="7"/>
  <c r="BW301" i="7"/>
  <c r="CC301" i="7"/>
  <c r="CI301" i="7"/>
  <c r="BY301" i="7"/>
  <c r="F299" i="12" s="1"/>
  <c r="CD301" i="7"/>
  <c r="J299" i="12" s="1"/>
  <c r="BY84" i="7"/>
  <c r="F82" i="12" s="1"/>
  <c r="BX84" i="7"/>
  <c r="E82" i="12" s="1"/>
  <c r="CE84" i="7"/>
  <c r="BW84" i="7"/>
  <c r="CD84" i="7"/>
  <c r="J82" i="12" s="1"/>
  <c r="CC84" i="7"/>
  <c r="CI84" i="7"/>
  <c r="CE314" i="7"/>
  <c r="BW314" i="7"/>
  <c r="CD314" i="7"/>
  <c r="J312" i="12" s="1"/>
  <c r="CC314" i="7"/>
  <c r="CI314" i="7"/>
  <c r="BY314" i="7"/>
  <c r="F312" i="12" s="1"/>
  <c r="BX314" i="7"/>
  <c r="E312" i="12" s="1"/>
  <c r="BY344" i="7"/>
  <c r="F342" i="12" s="1"/>
  <c r="BX344" i="7"/>
  <c r="E342" i="12" s="1"/>
  <c r="CE344" i="7"/>
  <c r="BW344" i="7"/>
  <c r="CD344" i="7"/>
  <c r="J342" i="12" s="1"/>
  <c r="CC344" i="7"/>
  <c r="CI344" i="7"/>
  <c r="CI287" i="7"/>
  <c r="BY287" i="7"/>
  <c r="F285" i="12" s="1"/>
  <c r="BX287" i="7"/>
  <c r="E285" i="12" s="1"/>
  <c r="CE287" i="7"/>
  <c r="BW287" i="7"/>
  <c r="CD287" i="7"/>
  <c r="J285" i="12" s="1"/>
  <c r="CC287" i="7"/>
  <c r="CE85" i="7"/>
  <c r="BW85" i="7"/>
  <c r="CD85" i="7"/>
  <c r="J83" i="12" s="1"/>
  <c r="CC85" i="7"/>
  <c r="CI85" i="7"/>
  <c r="BX85" i="7"/>
  <c r="E83" i="12" s="1"/>
  <c r="BY85" i="7"/>
  <c r="F83" i="12" s="1"/>
  <c r="CI180" i="7"/>
  <c r="BY180" i="7"/>
  <c r="F178" i="12" s="1"/>
  <c r="BX180" i="7"/>
  <c r="E178" i="12" s="1"/>
  <c r="CE180" i="7"/>
  <c r="BW180" i="7"/>
  <c r="CC180" i="7"/>
  <c r="CD180" i="7"/>
  <c r="J178" i="12" s="1"/>
  <c r="CE141" i="7"/>
  <c r="BW141" i="7"/>
  <c r="CD141" i="7"/>
  <c r="J139" i="12" s="1"/>
  <c r="CI141" i="7"/>
  <c r="BX141" i="7"/>
  <c r="E139" i="12" s="1"/>
  <c r="CC141" i="7"/>
  <c r="BY141" i="7"/>
  <c r="F139" i="12" s="1"/>
  <c r="CD215" i="7"/>
  <c r="J213" i="12" s="1"/>
  <c r="CC215" i="7"/>
  <c r="CI215" i="7"/>
  <c r="BY215" i="7"/>
  <c r="F213" i="12" s="1"/>
  <c r="BX215" i="7"/>
  <c r="E213" i="12" s="1"/>
  <c r="CE215" i="7"/>
  <c r="BW215" i="7"/>
  <c r="CI307" i="7"/>
  <c r="BY307" i="7"/>
  <c r="F305" i="12" s="1"/>
  <c r="BX307" i="7"/>
  <c r="E305" i="12" s="1"/>
  <c r="CE307" i="7"/>
  <c r="BW307" i="7"/>
  <c r="CD307" i="7"/>
  <c r="J305" i="12" s="1"/>
  <c r="CC307" i="7"/>
  <c r="CD106" i="7"/>
  <c r="J104" i="12" s="1"/>
  <c r="CC106" i="7"/>
  <c r="BY106" i="7"/>
  <c r="F104" i="12" s="1"/>
  <c r="BX106" i="7"/>
  <c r="E104" i="12" s="1"/>
  <c r="CI106" i="7"/>
  <c r="BW106" i="7"/>
  <c r="CE106" i="7"/>
  <c r="CE202" i="7"/>
  <c r="BW202" i="7"/>
  <c r="CD202" i="7"/>
  <c r="J200" i="12" s="1"/>
  <c r="CI202" i="7"/>
  <c r="CC202" i="7"/>
  <c r="BY202" i="7"/>
  <c r="F200" i="12" s="1"/>
  <c r="BX202" i="7"/>
  <c r="E200" i="12" s="1"/>
  <c r="CI126" i="7"/>
  <c r="BY126" i="7"/>
  <c r="F124" i="12" s="1"/>
  <c r="BX126" i="7"/>
  <c r="E124" i="12" s="1"/>
  <c r="CE126" i="7"/>
  <c r="BW126" i="7"/>
  <c r="CD126" i="7"/>
  <c r="J124" i="12" s="1"/>
  <c r="CC126" i="7"/>
  <c r="CD60" i="7"/>
  <c r="J58" i="12" s="1"/>
  <c r="CI60" i="7"/>
  <c r="BY60" i="7"/>
  <c r="F58" i="12" s="1"/>
  <c r="BX60" i="7"/>
  <c r="E58" i="12" s="1"/>
  <c r="BW60" i="7"/>
  <c r="CE60" i="7"/>
  <c r="CC60" i="7"/>
  <c r="CI375" i="7"/>
  <c r="BY375" i="7"/>
  <c r="F373" i="12" s="1"/>
  <c r="BX375" i="7"/>
  <c r="E373" i="12" s="1"/>
  <c r="CE375" i="7"/>
  <c r="BW375" i="7"/>
  <c r="CD375" i="7"/>
  <c r="J373" i="12" s="1"/>
  <c r="CC375" i="7"/>
  <c r="CI26" i="7"/>
  <c r="BX26" i="7"/>
  <c r="E24" i="12" s="1"/>
  <c r="CD26" i="7"/>
  <c r="J24" i="12" s="1"/>
  <c r="BY26" i="7"/>
  <c r="F24" i="12" s="1"/>
  <c r="BW26" i="7"/>
  <c r="CE26" i="7"/>
  <c r="CC26" i="7"/>
  <c r="CI358" i="7"/>
  <c r="BY358" i="7"/>
  <c r="F356" i="12" s="1"/>
  <c r="BX358" i="7"/>
  <c r="E356" i="12" s="1"/>
  <c r="CE358" i="7"/>
  <c r="BW358" i="7"/>
  <c r="CD358" i="7"/>
  <c r="J356" i="12" s="1"/>
  <c r="CC358" i="7"/>
  <c r="CI71" i="7"/>
  <c r="BX71" i="7"/>
  <c r="E69" i="12" s="1"/>
  <c r="CD71" i="7"/>
  <c r="J69" i="12" s="1"/>
  <c r="BW71" i="7"/>
  <c r="CE71" i="7"/>
  <c r="CC71" i="7"/>
  <c r="BY71" i="7"/>
  <c r="F69" i="12" s="1"/>
  <c r="CD69" i="7"/>
  <c r="J67" i="12" s="1"/>
  <c r="CI69" i="7"/>
  <c r="BX69" i="7"/>
  <c r="E67" i="12" s="1"/>
  <c r="BY69" i="7"/>
  <c r="F67" i="12" s="1"/>
  <c r="BW69" i="7"/>
  <c r="CE69" i="7"/>
  <c r="CC69" i="7"/>
  <c r="CI223" i="7"/>
  <c r="CC223" i="7"/>
  <c r="BY223" i="7"/>
  <c r="F221" i="12" s="1"/>
  <c r="BX223" i="7"/>
  <c r="E221" i="12" s="1"/>
  <c r="BW223" i="7"/>
  <c r="CE223" i="7"/>
  <c r="CD223" i="7"/>
  <c r="J221" i="12" s="1"/>
  <c r="BY96" i="7"/>
  <c r="F94" i="12" s="1"/>
  <c r="BX96" i="7"/>
  <c r="E94" i="12" s="1"/>
  <c r="CE96" i="7"/>
  <c r="BW96" i="7"/>
  <c r="CD96" i="7"/>
  <c r="J94" i="12" s="1"/>
  <c r="CC96" i="7"/>
  <c r="CI96" i="7"/>
  <c r="CD296" i="7"/>
  <c r="J294" i="12" s="1"/>
  <c r="CI296" i="7"/>
  <c r="BY296" i="7"/>
  <c r="F294" i="12" s="1"/>
  <c r="BX296" i="7"/>
  <c r="E294" i="12" s="1"/>
  <c r="BW296" i="7"/>
  <c r="CE296" i="7"/>
  <c r="CC296" i="7"/>
  <c r="CI161" i="7"/>
  <c r="BY161" i="7"/>
  <c r="F159" i="12" s="1"/>
  <c r="BX161" i="7"/>
  <c r="E159" i="12" s="1"/>
  <c r="CE161" i="7"/>
  <c r="BW161" i="7"/>
  <c r="CD161" i="7"/>
  <c r="J159" i="12" s="1"/>
  <c r="CC161" i="7"/>
  <c r="CI15" i="7"/>
  <c r="BY15" i="7"/>
  <c r="F13" i="12" s="1"/>
  <c r="BX15" i="7"/>
  <c r="E13" i="12" s="1"/>
  <c r="CE15" i="7"/>
  <c r="BW15" i="7"/>
  <c r="CD15" i="7"/>
  <c r="J13" i="12" s="1"/>
  <c r="CC15" i="7"/>
  <c r="CI289" i="7"/>
  <c r="BY289" i="7"/>
  <c r="F287" i="12" s="1"/>
  <c r="BX289" i="7"/>
  <c r="E287" i="12" s="1"/>
  <c r="CE289" i="7"/>
  <c r="BW289" i="7"/>
  <c r="CD289" i="7"/>
  <c r="J287" i="12" s="1"/>
  <c r="CC289" i="7"/>
  <c r="CD68" i="7"/>
  <c r="J66" i="12" s="1"/>
  <c r="CI68" i="7"/>
  <c r="CE68" i="7"/>
  <c r="CC68" i="7"/>
  <c r="BY68" i="7"/>
  <c r="F66" i="12" s="1"/>
  <c r="BX68" i="7"/>
  <c r="E66" i="12" s="1"/>
  <c r="BW68" i="7"/>
  <c r="BX263" i="7"/>
  <c r="E261" i="12" s="1"/>
  <c r="CC263" i="7"/>
  <c r="CI263" i="7"/>
  <c r="CE263" i="7"/>
  <c r="CD263" i="7"/>
  <c r="J261" i="12" s="1"/>
  <c r="BY263" i="7"/>
  <c r="F261" i="12" s="1"/>
  <c r="BW263" i="7"/>
  <c r="BY304" i="7"/>
  <c r="F302" i="12" s="1"/>
  <c r="BX304" i="7"/>
  <c r="E302" i="12" s="1"/>
  <c r="CE304" i="7"/>
  <c r="BW304" i="7"/>
  <c r="CD304" i="7"/>
  <c r="J302" i="12" s="1"/>
  <c r="CC304" i="7"/>
  <c r="CI304" i="7"/>
  <c r="CE322" i="7"/>
  <c r="BW322" i="7"/>
  <c r="CD322" i="7"/>
  <c r="J320" i="12" s="1"/>
  <c r="CC322" i="7"/>
  <c r="CI322" i="7"/>
  <c r="BY322" i="7"/>
  <c r="F320" i="12" s="1"/>
  <c r="BX322" i="7"/>
  <c r="E320" i="12" s="1"/>
  <c r="CI30" i="7"/>
  <c r="BX30" i="7"/>
  <c r="E28" i="12" s="1"/>
  <c r="CD30" i="7"/>
  <c r="J28" i="12" s="1"/>
  <c r="CE30" i="7"/>
  <c r="CC30" i="7"/>
  <c r="BY30" i="7"/>
  <c r="F28" i="12" s="1"/>
  <c r="BW30" i="7"/>
  <c r="CI185" i="7"/>
  <c r="BY185" i="7"/>
  <c r="F183" i="12" s="1"/>
  <c r="BX185" i="7"/>
  <c r="E183" i="12" s="1"/>
  <c r="CE185" i="7"/>
  <c r="BW185" i="7"/>
  <c r="CD185" i="7"/>
  <c r="J183" i="12" s="1"/>
  <c r="CC185" i="7"/>
  <c r="BY297" i="7"/>
  <c r="F295" i="12" s="1"/>
  <c r="CC297" i="7"/>
  <c r="BX297" i="7"/>
  <c r="E295" i="12" s="1"/>
  <c r="BW297" i="7"/>
  <c r="CI297" i="7"/>
  <c r="CE297" i="7"/>
  <c r="CD297" i="7"/>
  <c r="J295" i="12" s="1"/>
  <c r="CE149" i="7"/>
  <c r="BW149" i="7"/>
  <c r="CD149" i="7"/>
  <c r="J147" i="12" s="1"/>
  <c r="CC149" i="7"/>
  <c r="CI149" i="7"/>
  <c r="BX149" i="7"/>
  <c r="E147" i="12" s="1"/>
  <c r="BY149" i="7"/>
  <c r="F147" i="12" s="1"/>
  <c r="CI177" i="7"/>
  <c r="BY177" i="7"/>
  <c r="F175" i="12" s="1"/>
  <c r="BX177" i="7"/>
  <c r="E175" i="12" s="1"/>
  <c r="CE177" i="7"/>
  <c r="BW177" i="7"/>
  <c r="CD177" i="7"/>
  <c r="J175" i="12" s="1"/>
  <c r="CC177" i="7"/>
  <c r="BX176" i="7"/>
  <c r="E174" i="12" s="1"/>
  <c r="CE176" i="7"/>
  <c r="BW176" i="7"/>
  <c r="CD176" i="7"/>
  <c r="J174" i="12" s="1"/>
  <c r="CC176" i="7"/>
  <c r="BY176" i="7"/>
  <c r="F174" i="12" s="1"/>
  <c r="CI176" i="7"/>
  <c r="BY278" i="7"/>
  <c r="F276" i="12" s="1"/>
  <c r="BX278" i="7"/>
  <c r="E276" i="12" s="1"/>
  <c r="CE278" i="7"/>
  <c r="BW278" i="7"/>
  <c r="CD278" i="7"/>
  <c r="J276" i="12" s="1"/>
  <c r="CC278" i="7"/>
  <c r="CI278" i="7"/>
  <c r="CI326" i="7"/>
  <c r="BY326" i="7"/>
  <c r="F324" i="12" s="1"/>
  <c r="BX326" i="7"/>
  <c r="E324" i="12" s="1"/>
  <c r="CE326" i="7"/>
  <c r="BW326" i="7"/>
  <c r="CD326" i="7"/>
  <c r="J324" i="12" s="1"/>
  <c r="CC326" i="7"/>
  <c r="CI12" i="7"/>
  <c r="BY12" i="7"/>
  <c r="F10" i="12" s="1"/>
  <c r="BX12" i="7"/>
  <c r="E10" i="12" s="1"/>
  <c r="CE12" i="7"/>
  <c r="BW12" i="7"/>
  <c r="CD12" i="7"/>
  <c r="J10" i="12" s="1"/>
  <c r="CC12" i="7"/>
  <c r="BX236" i="7"/>
  <c r="E234" i="12" s="1"/>
  <c r="CE236" i="7"/>
  <c r="BW236" i="7"/>
  <c r="CD236" i="7"/>
  <c r="J234" i="12" s="1"/>
  <c r="CC236" i="7"/>
  <c r="CI236" i="7"/>
  <c r="BY236" i="7"/>
  <c r="F234" i="12" s="1"/>
  <c r="CI260" i="7"/>
  <c r="BY260" i="7"/>
  <c r="F258" i="12" s="1"/>
  <c r="BX260" i="7"/>
  <c r="E258" i="12" s="1"/>
  <c r="BW260" i="7"/>
  <c r="CE260" i="7"/>
  <c r="CD260" i="7"/>
  <c r="J258" i="12" s="1"/>
  <c r="CC260" i="7"/>
  <c r="CI359" i="7"/>
  <c r="BY359" i="7"/>
  <c r="F357" i="12" s="1"/>
  <c r="BX359" i="7"/>
  <c r="E357" i="12" s="1"/>
  <c r="BW359" i="7"/>
  <c r="CE359" i="7"/>
  <c r="CD359" i="7"/>
  <c r="J357" i="12" s="1"/>
  <c r="CC359" i="7"/>
  <c r="CD311" i="7"/>
  <c r="J309" i="12" s="1"/>
  <c r="CC311" i="7"/>
  <c r="CI311" i="7"/>
  <c r="BY311" i="7"/>
  <c r="F309" i="12" s="1"/>
  <c r="BX311" i="7"/>
  <c r="E309" i="12" s="1"/>
  <c r="CE311" i="7"/>
  <c r="BW311" i="7"/>
  <c r="CC191" i="7"/>
  <c r="CI191" i="7"/>
  <c r="BY191" i="7"/>
  <c r="F189" i="12" s="1"/>
  <c r="BX191" i="7"/>
  <c r="E189" i="12" s="1"/>
  <c r="CE191" i="7"/>
  <c r="BW191" i="7"/>
  <c r="CD191" i="7"/>
  <c r="J189" i="12" s="1"/>
  <c r="CI345" i="7"/>
  <c r="BY345" i="7"/>
  <c r="F343" i="12" s="1"/>
  <c r="BX345" i="7"/>
  <c r="E343" i="12" s="1"/>
  <c r="CE345" i="7"/>
  <c r="BW345" i="7"/>
  <c r="CD345" i="7"/>
  <c r="J343" i="12" s="1"/>
  <c r="CC345" i="7"/>
  <c r="CI313" i="7"/>
  <c r="BY313" i="7"/>
  <c r="F311" i="12" s="1"/>
  <c r="BX313" i="7"/>
  <c r="E311" i="12" s="1"/>
  <c r="CE313" i="7"/>
  <c r="BW313" i="7"/>
  <c r="CD313" i="7"/>
  <c r="J311" i="12" s="1"/>
  <c r="CC313" i="7"/>
  <c r="CI321" i="7"/>
  <c r="BY321" i="7"/>
  <c r="F319" i="12" s="1"/>
  <c r="BX321" i="7"/>
  <c r="E319" i="12" s="1"/>
  <c r="CE321" i="7"/>
  <c r="BW321" i="7"/>
  <c r="CD321" i="7"/>
  <c r="J319" i="12" s="1"/>
  <c r="CC321" i="7"/>
  <c r="CD41" i="7"/>
  <c r="J39" i="12" s="1"/>
  <c r="CI41" i="7"/>
  <c r="BX41" i="7"/>
  <c r="E39" i="12" s="1"/>
  <c r="BY41" i="7"/>
  <c r="F39" i="12" s="1"/>
  <c r="BW41" i="7"/>
  <c r="CE41" i="7"/>
  <c r="CC41" i="7"/>
  <c r="BY247" i="7"/>
  <c r="F245" i="12" s="1"/>
  <c r="BX247" i="7"/>
  <c r="E245" i="12" s="1"/>
  <c r="CE247" i="7"/>
  <c r="BW247" i="7"/>
  <c r="CD247" i="7"/>
  <c r="J245" i="12" s="1"/>
  <c r="CC247" i="7"/>
  <c r="CI247" i="7"/>
  <c r="CI188" i="7"/>
  <c r="BY188" i="7"/>
  <c r="F186" i="12" s="1"/>
  <c r="BX188" i="7"/>
  <c r="E186" i="12" s="1"/>
  <c r="CE188" i="7"/>
  <c r="BW188" i="7"/>
  <c r="CC188" i="7"/>
  <c r="CD188" i="7"/>
  <c r="J186" i="12" s="1"/>
  <c r="CI142" i="7"/>
  <c r="BY142" i="7"/>
  <c r="F140" i="12" s="1"/>
  <c r="CE142" i="7"/>
  <c r="BW142" i="7"/>
  <c r="CD142" i="7"/>
  <c r="J140" i="12" s="1"/>
  <c r="CC142" i="7"/>
  <c r="BX142" i="7"/>
  <c r="E140" i="12" s="1"/>
  <c r="CI174" i="7"/>
  <c r="BY174" i="7"/>
  <c r="F172" i="12" s="1"/>
  <c r="BX174" i="7"/>
  <c r="E172" i="12" s="1"/>
  <c r="CE174" i="7"/>
  <c r="BW174" i="7"/>
  <c r="CD174" i="7"/>
  <c r="J172" i="12" s="1"/>
  <c r="CC174" i="7"/>
  <c r="CI310" i="7"/>
  <c r="BY310" i="7"/>
  <c r="F308" i="12" s="1"/>
  <c r="BX310" i="7"/>
  <c r="E308" i="12" s="1"/>
  <c r="CE310" i="7"/>
  <c r="BW310" i="7"/>
  <c r="CD310" i="7"/>
  <c r="J308" i="12" s="1"/>
  <c r="CC310" i="7"/>
  <c r="CD25" i="7"/>
  <c r="J23" i="12" s="1"/>
  <c r="CI25" i="7"/>
  <c r="BX25" i="7"/>
  <c r="E23" i="12" s="1"/>
  <c r="BY25" i="7"/>
  <c r="F23" i="12" s="1"/>
  <c r="BW25" i="7"/>
  <c r="CE25" i="7"/>
  <c r="CC25" i="7"/>
  <c r="BY369" i="7"/>
  <c r="F367" i="12" s="1"/>
  <c r="BX369" i="7"/>
  <c r="E367" i="12" s="1"/>
  <c r="CE369" i="7"/>
  <c r="BW369" i="7"/>
  <c r="CD369" i="7"/>
  <c r="J367" i="12" s="1"/>
  <c r="CC369" i="7"/>
  <c r="CI369" i="7"/>
  <c r="CI302" i="7"/>
  <c r="BY302" i="7"/>
  <c r="F300" i="12" s="1"/>
  <c r="BX302" i="7"/>
  <c r="E300" i="12" s="1"/>
  <c r="CE302" i="7"/>
  <c r="BW302" i="7"/>
  <c r="CD302" i="7"/>
  <c r="J300" i="12" s="1"/>
  <c r="CC302" i="7"/>
  <c r="BY286" i="7"/>
  <c r="F284" i="12" s="1"/>
  <c r="BX286" i="7"/>
  <c r="E284" i="12" s="1"/>
  <c r="CE286" i="7"/>
  <c r="BW286" i="7"/>
  <c r="CD286" i="7"/>
  <c r="J284" i="12" s="1"/>
  <c r="CC286" i="7"/>
  <c r="CI286" i="7"/>
  <c r="CI193" i="7"/>
  <c r="BY193" i="7"/>
  <c r="F191" i="12" s="1"/>
  <c r="BX193" i="7"/>
  <c r="E191" i="12" s="1"/>
  <c r="CE193" i="7"/>
  <c r="BW193" i="7"/>
  <c r="CD193" i="7"/>
  <c r="J191" i="12" s="1"/>
  <c r="CC193" i="7"/>
  <c r="CI234" i="7"/>
  <c r="BY234" i="7"/>
  <c r="F232" i="12" s="1"/>
  <c r="BX234" i="7"/>
  <c r="E232" i="12" s="1"/>
  <c r="CE234" i="7"/>
  <c r="BW234" i="7"/>
  <c r="CD234" i="7"/>
  <c r="J232" i="12" s="1"/>
  <c r="CC234" i="7"/>
  <c r="CI230" i="7"/>
  <c r="CE230" i="7"/>
  <c r="BW230" i="7"/>
  <c r="BX230" i="7"/>
  <c r="E228" i="12" s="1"/>
  <c r="CD230" i="7"/>
  <c r="J228" i="12" s="1"/>
  <c r="CC230" i="7"/>
  <c r="BY230" i="7"/>
  <c r="F228" i="12" s="1"/>
  <c r="CC340" i="7"/>
  <c r="CI340" i="7"/>
  <c r="BY340" i="7"/>
  <c r="F338" i="12" s="1"/>
  <c r="BX340" i="7"/>
  <c r="E338" i="12" s="1"/>
  <c r="CE340" i="7"/>
  <c r="BW340" i="7"/>
  <c r="CD340" i="7"/>
  <c r="J338" i="12" s="1"/>
  <c r="BY320" i="7"/>
  <c r="F318" i="12" s="1"/>
  <c r="BX320" i="7"/>
  <c r="E318" i="12" s="1"/>
  <c r="CE320" i="7"/>
  <c r="BW320" i="7"/>
  <c r="CD320" i="7"/>
  <c r="J318" i="12" s="1"/>
  <c r="CC320" i="7"/>
  <c r="CI320" i="7"/>
  <c r="CE101" i="7"/>
  <c r="BW101" i="7"/>
  <c r="BX101" i="7"/>
  <c r="E99" i="12" s="1"/>
  <c r="CD101" i="7"/>
  <c r="J99" i="12" s="1"/>
  <c r="CC101" i="7"/>
  <c r="CI101" i="7"/>
  <c r="BY101" i="7"/>
  <c r="F99" i="12" s="1"/>
  <c r="CI166" i="7"/>
  <c r="BY166" i="7"/>
  <c r="F164" i="12" s="1"/>
  <c r="BX166" i="7"/>
  <c r="E164" i="12" s="1"/>
  <c r="CE166" i="7"/>
  <c r="BW166" i="7"/>
  <c r="CD166" i="7"/>
  <c r="J164" i="12" s="1"/>
  <c r="CC166" i="7"/>
  <c r="BX349" i="7"/>
  <c r="E347" i="12" s="1"/>
  <c r="CE349" i="7"/>
  <c r="BW349" i="7"/>
  <c r="CD349" i="7"/>
  <c r="J347" i="12" s="1"/>
  <c r="CC349" i="7"/>
  <c r="CI349" i="7"/>
  <c r="BY349" i="7"/>
  <c r="F347" i="12" s="1"/>
  <c r="CI339" i="7"/>
  <c r="BY339" i="7"/>
  <c r="F337" i="12" s="1"/>
  <c r="BX339" i="7"/>
  <c r="E337" i="12" s="1"/>
  <c r="CE339" i="7"/>
  <c r="BW339" i="7"/>
  <c r="CD339" i="7"/>
  <c r="J337" i="12" s="1"/>
  <c r="CC339" i="7"/>
  <c r="CI102" i="7"/>
  <c r="BY102" i="7"/>
  <c r="F100" i="12" s="1"/>
  <c r="CE102" i="7"/>
  <c r="CD102" i="7"/>
  <c r="J100" i="12" s="1"/>
  <c r="CC102" i="7"/>
  <c r="BX102" i="7"/>
  <c r="E100" i="12" s="1"/>
  <c r="BW102" i="7"/>
  <c r="CE89" i="7"/>
  <c r="BW89" i="7"/>
  <c r="CD89" i="7"/>
  <c r="J87" i="12" s="1"/>
  <c r="CC89" i="7"/>
  <c r="CI89" i="7"/>
  <c r="BX89" i="7"/>
  <c r="E87" i="12" s="1"/>
  <c r="BY89" i="7"/>
  <c r="F87" i="12" s="1"/>
  <c r="BY312" i="7"/>
  <c r="F310" i="12" s="1"/>
  <c r="BX312" i="7"/>
  <c r="E310" i="12" s="1"/>
  <c r="CE312" i="7"/>
  <c r="BW312" i="7"/>
  <c r="CD312" i="7"/>
  <c r="J310" i="12" s="1"/>
  <c r="CC312" i="7"/>
  <c r="CI312" i="7"/>
  <c r="CD351" i="7"/>
  <c r="J349" i="12" s="1"/>
  <c r="CC351" i="7"/>
  <c r="CI351" i="7"/>
  <c r="BY351" i="7"/>
  <c r="F349" i="12" s="1"/>
  <c r="BX351" i="7"/>
  <c r="E349" i="12" s="1"/>
  <c r="CE351" i="7"/>
  <c r="BW351" i="7"/>
  <c r="CC300" i="7"/>
  <c r="CI300" i="7"/>
  <c r="BY300" i="7"/>
  <c r="F298" i="12" s="1"/>
  <c r="CE300" i="7"/>
  <c r="BW300" i="7"/>
  <c r="CD300" i="7"/>
  <c r="J298" i="12" s="1"/>
  <c r="BX300" i="7"/>
  <c r="E298" i="12" s="1"/>
  <c r="CE17" i="7"/>
  <c r="BW17" i="7"/>
  <c r="CD17" i="7"/>
  <c r="J15" i="12" s="1"/>
  <c r="CC17" i="7"/>
  <c r="CI17" i="7"/>
  <c r="BY17" i="7"/>
  <c r="F15" i="12" s="1"/>
  <c r="BX17" i="7"/>
  <c r="E15" i="12" s="1"/>
  <c r="BX80" i="7"/>
  <c r="E78" i="12" s="1"/>
  <c r="CD80" i="7"/>
  <c r="J78" i="12" s="1"/>
  <c r="CI80" i="7"/>
  <c r="CE80" i="7"/>
  <c r="CC80" i="7"/>
  <c r="BY80" i="7"/>
  <c r="F78" i="12" s="1"/>
  <c r="BW80" i="7"/>
  <c r="CD384" i="7"/>
  <c r="J382" i="12" s="1"/>
  <c r="CC384" i="7"/>
  <c r="CI384" i="7"/>
  <c r="BY384" i="7"/>
  <c r="F382" i="12" s="1"/>
  <c r="BX384" i="7"/>
  <c r="E382" i="12" s="1"/>
  <c r="CE384" i="7"/>
  <c r="BW384" i="7"/>
  <c r="CD9" i="7"/>
  <c r="J7" i="12" s="1"/>
  <c r="CC9" i="7"/>
  <c r="CI9" i="7"/>
  <c r="BY9" i="7"/>
  <c r="F7" i="12" s="1"/>
  <c r="BX9" i="7"/>
  <c r="E7" i="12" s="1"/>
  <c r="CE9" i="7"/>
  <c r="BW9" i="7"/>
  <c r="CC113" i="7"/>
  <c r="CI113" i="7"/>
  <c r="BY113" i="7"/>
  <c r="F111" i="12" s="1"/>
  <c r="BX113" i="7"/>
  <c r="E111" i="12" s="1"/>
  <c r="CE113" i="7"/>
  <c r="BW113" i="7"/>
  <c r="CD113" i="7"/>
  <c r="J111" i="12" s="1"/>
  <c r="CI130" i="7"/>
  <c r="BY130" i="7"/>
  <c r="F128" i="12" s="1"/>
  <c r="BX130" i="7"/>
  <c r="E128" i="12" s="1"/>
  <c r="BW130" i="7"/>
  <c r="CE130" i="7"/>
  <c r="CD130" i="7"/>
  <c r="J128" i="12" s="1"/>
  <c r="CC130" i="7"/>
  <c r="CE298" i="7"/>
  <c r="BW298" i="7"/>
  <c r="BY298" i="7"/>
  <c r="F296" i="12" s="1"/>
  <c r="BX298" i="7"/>
  <c r="E296" i="12" s="1"/>
  <c r="CD298" i="7"/>
  <c r="J296" i="12" s="1"/>
  <c r="CC298" i="7"/>
  <c r="CI298" i="7"/>
  <c r="BY117" i="7"/>
  <c r="F115" i="12" s="1"/>
  <c r="BX117" i="7"/>
  <c r="E115" i="12" s="1"/>
  <c r="CE117" i="7"/>
  <c r="BW117" i="7"/>
  <c r="CD117" i="7"/>
  <c r="J115" i="12" s="1"/>
  <c r="CC117" i="7"/>
  <c r="CI117" i="7"/>
  <c r="CE295" i="7"/>
  <c r="BW295" i="7"/>
  <c r="CI295" i="7"/>
  <c r="BY295" i="7"/>
  <c r="F293" i="12" s="1"/>
  <c r="BX295" i="7"/>
  <c r="E293" i="12" s="1"/>
  <c r="CD295" i="7"/>
  <c r="J293" i="12" s="1"/>
  <c r="CC295" i="7"/>
  <c r="CI253" i="7"/>
  <c r="BY253" i="7"/>
  <c r="F251" i="12" s="1"/>
  <c r="BX253" i="7"/>
  <c r="E251" i="12" s="1"/>
  <c r="CE253" i="7"/>
  <c r="BW253" i="7"/>
  <c r="CD253" i="7"/>
  <c r="J251" i="12" s="1"/>
  <c r="CC253" i="7"/>
  <c r="BX23" i="7"/>
  <c r="E21" i="12" s="1"/>
  <c r="CD23" i="7"/>
  <c r="J21" i="12" s="1"/>
  <c r="CC23" i="7"/>
  <c r="BY23" i="7"/>
  <c r="F21" i="12" s="1"/>
  <c r="BW23" i="7"/>
  <c r="CI23" i="7"/>
  <c r="CE23" i="7"/>
  <c r="CC290" i="7"/>
  <c r="CI290" i="7"/>
  <c r="BY290" i="7"/>
  <c r="F288" i="12" s="1"/>
  <c r="BX290" i="7"/>
  <c r="E288" i="12" s="1"/>
  <c r="CE290" i="7"/>
  <c r="BW290" i="7"/>
  <c r="CD290" i="7"/>
  <c r="J288" i="12" s="1"/>
  <c r="BX59" i="7"/>
  <c r="E57" i="12" s="1"/>
  <c r="BW59" i="7"/>
  <c r="CE59" i="7"/>
  <c r="CD59" i="7"/>
  <c r="J57" i="12" s="1"/>
  <c r="CC59" i="7"/>
  <c r="CI59" i="7"/>
  <c r="BY59" i="7"/>
  <c r="F57" i="12" s="1"/>
  <c r="CD207" i="7"/>
  <c r="J205" i="12" s="1"/>
  <c r="CC207" i="7"/>
  <c r="CI207" i="7"/>
  <c r="BY207" i="7"/>
  <c r="F205" i="12" s="1"/>
  <c r="BX207" i="7"/>
  <c r="E205" i="12" s="1"/>
  <c r="CE207" i="7"/>
  <c r="BW207" i="7"/>
  <c r="C2" i="8"/>
  <c r="B2" i="8"/>
  <c r="A2" i="8"/>
  <c r="A3" i="8" l="1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B3" i="8"/>
  <c r="B4" i="8" s="1"/>
  <c r="B5" i="8" s="1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5" i="8" s="1"/>
  <c r="B386" i="8" s="1"/>
  <c r="B387" i="8" s="1"/>
  <c r="B388" i="8" s="1"/>
  <c r="B389" i="8" s="1"/>
  <c r="B390" i="8" s="1"/>
  <c r="B391" i="8" s="1"/>
  <c r="B392" i="8" s="1"/>
  <c r="B393" i="8" s="1"/>
  <c r="B394" i="8" s="1"/>
  <c r="B395" i="8" s="1"/>
  <c r="B396" i="8" s="1"/>
  <c r="B397" i="8" s="1"/>
  <c r="B398" i="8" s="1"/>
  <c r="B399" i="8" s="1"/>
  <c r="B400" i="8" s="1"/>
  <c r="B401" i="8" s="1"/>
  <c r="B402" i="8" s="1"/>
  <c r="B403" i="8" s="1"/>
  <c r="B404" i="8" s="1"/>
  <c r="B405" i="8" s="1"/>
  <c r="B406" i="8" s="1"/>
  <c r="B407" i="8" s="1"/>
  <c r="B408" i="8" s="1"/>
  <c r="B409" i="8" s="1"/>
  <c r="B410" i="8" s="1"/>
  <c r="B411" i="8" s="1"/>
  <c r="B412" i="8" s="1"/>
  <c r="B413" i="8" s="1"/>
  <c r="B414" i="8" s="1"/>
  <c r="B415" i="8" s="1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7" i="8" s="1"/>
  <c r="B428" i="8" s="1"/>
  <c r="B429" i="8" s="1"/>
  <c r="B430" i="8" s="1"/>
  <c r="B431" i="8" s="1"/>
  <c r="B432" i="8" s="1"/>
  <c r="B433" i="8" s="1"/>
  <c r="B434" i="8" s="1"/>
  <c r="B435" i="8" s="1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7" i="8" s="1"/>
  <c r="B448" i="8" s="1"/>
  <c r="B449" i="8" s="1"/>
  <c r="B450" i="8" s="1"/>
  <c r="B451" i="8" s="1"/>
  <c r="B452" i="8" s="1"/>
  <c r="B453" i="8" s="1"/>
  <c r="B454" i="8" s="1"/>
  <c r="B455" i="8" s="1"/>
  <c r="B456" i="8" s="1"/>
  <c r="B457" i="8" s="1"/>
  <c r="B458" i="8" s="1"/>
  <c r="B459" i="8" s="1"/>
  <c r="B460" i="8" s="1"/>
  <c r="B461" i="8" s="1"/>
  <c r="B462" i="8" s="1"/>
  <c r="B463" i="8" s="1"/>
  <c r="B464" i="8" s="1"/>
  <c r="B465" i="8" s="1"/>
  <c r="B466" i="8" s="1"/>
  <c r="B467" i="8" s="1"/>
  <c r="B468" i="8" s="1"/>
  <c r="B469" i="8" s="1"/>
  <c r="B470" i="8" s="1"/>
  <c r="B471" i="8" s="1"/>
  <c r="B472" i="8" s="1"/>
  <c r="B473" i="8" s="1"/>
  <c r="B474" i="8" s="1"/>
  <c r="B475" i="8" s="1"/>
  <c r="B476" i="8" s="1"/>
  <c r="B477" i="8" s="1"/>
  <c r="B478" i="8" s="1"/>
  <c r="B479" i="8" s="1"/>
  <c r="B480" i="8" s="1"/>
  <c r="B481" i="8" s="1"/>
  <c r="C3" i="8"/>
  <c r="C4" i="8" s="1"/>
  <c r="C5" i="8" s="1"/>
  <c r="C6" i="8" s="1"/>
  <c r="C7" i="8" s="1"/>
  <c r="C8" i="8" s="1"/>
  <c r="C9" i="8" s="1"/>
  <c r="C10" i="8" s="1"/>
  <c r="C11" i="8" s="1"/>
  <c r="C12" i="8" s="1"/>
  <c r="C13" i="8" s="1"/>
  <c r="C14" i="8" s="1"/>
  <c r="C15" i="8" s="1"/>
  <c r="C16" i="8" s="1"/>
  <c r="C17" i="8" s="1"/>
  <c r="C18" i="8" s="1"/>
  <c r="C19" i="8" s="1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O80" i="7"/>
  <c r="CM80" i="7"/>
  <c r="CS80" i="7"/>
  <c r="CK80" i="7"/>
  <c r="CQ80" i="7"/>
  <c r="CL80" i="7"/>
  <c r="CJ80" i="7"/>
  <c r="CP80" i="7"/>
  <c r="CN80" i="7"/>
  <c r="D15" i="12"/>
  <c r="K15" i="12" s="1"/>
  <c r="B15" i="12"/>
  <c r="A15" i="12"/>
  <c r="BU17" i="7"/>
  <c r="CR17" i="7"/>
  <c r="CG17" i="7"/>
  <c r="CF17" i="7"/>
  <c r="H298" i="12"/>
  <c r="I298" i="12"/>
  <c r="CP312" i="7"/>
  <c r="CO312" i="7"/>
  <c r="CN312" i="7"/>
  <c r="CM312" i="7"/>
  <c r="CL312" i="7"/>
  <c r="CS312" i="7"/>
  <c r="CK312" i="7"/>
  <c r="CJ312" i="7"/>
  <c r="CQ312" i="7"/>
  <c r="I100" i="12"/>
  <c r="H100" i="12"/>
  <c r="BZ339" i="7"/>
  <c r="CB339" i="7"/>
  <c r="G337" i="12" s="1"/>
  <c r="A347" i="12"/>
  <c r="D347" i="12"/>
  <c r="K347" i="12" s="1"/>
  <c r="B347" i="12"/>
  <c r="CF349" i="7"/>
  <c r="BU349" i="7"/>
  <c r="CR349" i="7"/>
  <c r="CG349" i="7"/>
  <c r="CB101" i="7"/>
  <c r="G99" i="12" s="1"/>
  <c r="BZ101" i="7"/>
  <c r="I228" i="12"/>
  <c r="H228" i="12"/>
  <c r="A232" i="12"/>
  <c r="B232" i="12"/>
  <c r="D232" i="12"/>
  <c r="K232" i="12" s="1"/>
  <c r="CG234" i="7"/>
  <c r="CF234" i="7"/>
  <c r="BU234" i="7"/>
  <c r="CR234" i="7"/>
  <c r="BZ193" i="7"/>
  <c r="CB193" i="7"/>
  <c r="G191" i="12" s="1"/>
  <c r="CB286" i="7"/>
  <c r="G284" i="12" s="1"/>
  <c r="BZ286" i="7"/>
  <c r="I308" i="12"/>
  <c r="H308" i="12"/>
  <c r="CB188" i="7"/>
  <c r="G186" i="12" s="1"/>
  <c r="BZ188" i="7"/>
  <c r="CB247" i="7"/>
  <c r="G245" i="12" s="1"/>
  <c r="BZ247" i="7"/>
  <c r="CM41" i="7"/>
  <c r="CS41" i="7"/>
  <c r="CK41" i="7"/>
  <c r="CQ41" i="7"/>
  <c r="CO41" i="7"/>
  <c r="CP41" i="7"/>
  <c r="CN41" i="7"/>
  <c r="CL41" i="7"/>
  <c r="CJ41" i="7"/>
  <c r="CS321" i="7"/>
  <c r="CK321" i="7"/>
  <c r="CJ321" i="7"/>
  <c r="CQ321" i="7"/>
  <c r="CP321" i="7"/>
  <c r="CO321" i="7"/>
  <c r="CN321" i="7"/>
  <c r="CM321" i="7"/>
  <c r="CL321" i="7"/>
  <c r="I343" i="12"/>
  <c r="H343" i="12"/>
  <c r="B189" i="12"/>
  <c r="D189" i="12"/>
  <c r="K189" i="12" s="1"/>
  <c r="A189" i="12"/>
  <c r="BU191" i="7"/>
  <c r="CR191" i="7"/>
  <c r="CG191" i="7"/>
  <c r="CF191" i="7"/>
  <c r="A357" i="12"/>
  <c r="D357" i="12"/>
  <c r="K357" i="12" s="1"/>
  <c r="B357" i="12"/>
  <c r="CR359" i="7"/>
  <c r="CG359" i="7"/>
  <c r="CF359" i="7"/>
  <c r="BU359" i="7"/>
  <c r="CB236" i="7"/>
  <c r="G234" i="12" s="1"/>
  <c r="BZ236" i="7"/>
  <c r="CQ12" i="7"/>
  <c r="CP12" i="7"/>
  <c r="CO12" i="7"/>
  <c r="CN12" i="7"/>
  <c r="CM12" i="7"/>
  <c r="CL12" i="7"/>
  <c r="CS12" i="7"/>
  <c r="CK12" i="7"/>
  <c r="CJ12" i="7"/>
  <c r="CP278" i="7"/>
  <c r="CO278" i="7"/>
  <c r="CN278" i="7"/>
  <c r="CM278" i="7"/>
  <c r="CL278" i="7"/>
  <c r="CS278" i="7"/>
  <c r="CK278" i="7"/>
  <c r="CJ278" i="7"/>
  <c r="CQ278" i="7"/>
  <c r="A175" i="12"/>
  <c r="D175" i="12"/>
  <c r="K175" i="12" s="1"/>
  <c r="B175" i="12"/>
  <c r="CR177" i="7"/>
  <c r="CG177" i="7"/>
  <c r="CF177" i="7"/>
  <c r="BU177" i="7"/>
  <c r="I147" i="12"/>
  <c r="H147" i="12"/>
  <c r="CS30" i="7"/>
  <c r="CK30" i="7"/>
  <c r="CQ30" i="7"/>
  <c r="CO30" i="7"/>
  <c r="CM30" i="7"/>
  <c r="CP30" i="7"/>
  <c r="CN30" i="7"/>
  <c r="CL30" i="7"/>
  <c r="CJ30" i="7"/>
  <c r="CP304" i="7"/>
  <c r="CO304" i="7"/>
  <c r="CN304" i="7"/>
  <c r="CM304" i="7"/>
  <c r="CL304" i="7"/>
  <c r="CS304" i="7"/>
  <c r="CK304" i="7"/>
  <c r="CJ304" i="7"/>
  <c r="CQ304" i="7"/>
  <c r="BZ289" i="7"/>
  <c r="CB289" i="7"/>
  <c r="G287" i="12" s="1"/>
  <c r="CB69" i="7"/>
  <c r="G67" i="12" s="1"/>
  <c r="BZ69" i="7"/>
  <c r="BZ71" i="7"/>
  <c r="CB71" i="7"/>
  <c r="G69" i="12" s="1"/>
  <c r="BZ358" i="7"/>
  <c r="CB358" i="7"/>
  <c r="G356" i="12" s="1"/>
  <c r="B104" i="12"/>
  <c r="A104" i="12"/>
  <c r="D104" i="12"/>
  <c r="K104" i="12" s="1"/>
  <c r="BU106" i="7"/>
  <c r="CG106" i="7"/>
  <c r="CR106" i="7"/>
  <c r="CF106" i="7"/>
  <c r="D305" i="12"/>
  <c r="K305" i="12" s="1"/>
  <c r="A305" i="12"/>
  <c r="B305" i="12"/>
  <c r="CG307" i="7"/>
  <c r="CF307" i="7"/>
  <c r="BU307" i="7"/>
  <c r="CR307" i="7"/>
  <c r="CB85" i="7"/>
  <c r="G83" i="12" s="1"/>
  <c r="BZ85" i="7"/>
  <c r="CP344" i="7"/>
  <c r="CO344" i="7"/>
  <c r="CN344" i="7"/>
  <c r="CM344" i="7"/>
  <c r="CL344" i="7"/>
  <c r="CS344" i="7"/>
  <c r="CK344" i="7"/>
  <c r="CJ344" i="7"/>
  <c r="CQ344" i="7"/>
  <c r="I299" i="12"/>
  <c r="H299" i="12"/>
  <c r="D109" i="12"/>
  <c r="K109" i="12" s="1"/>
  <c r="B109" i="12"/>
  <c r="A109" i="12"/>
  <c r="BU111" i="7"/>
  <c r="CR111" i="7"/>
  <c r="CG111" i="7"/>
  <c r="CF111" i="7"/>
  <c r="CB233" i="7"/>
  <c r="G231" i="12" s="1"/>
  <c r="BZ233" i="7"/>
  <c r="I98" i="12"/>
  <c r="H98" i="12"/>
  <c r="I220" i="12"/>
  <c r="H220" i="12"/>
  <c r="CP132" i="7"/>
  <c r="CN132" i="7"/>
  <c r="CS132" i="7"/>
  <c r="CQ132" i="7"/>
  <c r="CO132" i="7"/>
  <c r="CM132" i="7"/>
  <c r="CL132" i="7"/>
  <c r="CK132" i="7"/>
  <c r="CJ132" i="7"/>
  <c r="CL365" i="7"/>
  <c r="CS365" i="7"/>
  <c r="CK365" i="7"/>
  <c r="CQ365" i="7"/>
  <c r="CP365" i="7"/>
  <c r="CO365" i="7"/>
  <c r="CN365" i="7"/>
  <c r="CM365" i="7"/>
  <c r="CJ365" i="7"/>
  <c r="CJ145" i="7"/>
  <c r="CQ145" i="7"/>
  <c r="CO145" i="7"/>
  <c r="CN145" i="7"/>
  <c r="CM145" i="7"/>
  <c r="CS145" i="7"/>
  <c r="CK145" i="7"/>
  <c r="CP145" i="7"/>
  <c r="CL145" i="7"/>
  <c r="H76" i="12"/>
  <c r="I76" i="12"/>
  <c r="CO32" i="7"/>
  <c r="CM32" i="7"/>
  <c r="CS32" i="7"/>
  <c r="CK32" i="7"/>
  <c r="CQ32" i="7"/>
  <c r="CP32" i="7"/>
  <c r="CN32" i="7"/>
  <c r="CL32" i="7"/>
  <c r="CJ32" i="7"/>
  <c r="I122" i="12"/>
  <c r="H122" i="12"/>
  <c r="CB165" i="7"/>
  <c r="G163" i="12" s="1"/>
  <c r="BZ165" i="7"/>
  <c r="D36" i="12"/>
  <c r="K36" i="12" s="1"/>
  <c r="B36" i="12"/>
  <c r="A36" i="12"/>
  <c r="BU38" i="7"/>
  <c r="CF38" i="7"/>
  <c r="CG38" i="7"/>
  <c r="CR38" i="7"/>
  <c r="CM277" i="7"/>
  <c r="CL277" i="7"/>
  <c r="CS277" i="7"/>
  <c r="CK277" i="7"/>
  <c r="CJ277" i="7"/>
  <c r="CQ277" i="7"/>
  <c r="CP277" i="7"/>
  <c r="CO277" i="7"/>
  <c r="CN277" i="7"/>
  <c r="CB252" i="7"/>
  <c r="G250" i="12" s="1"/>
  <c r="BZ252" i="7"/>
  <c r="CS279" i="7"/>
  <c r="CK279" i="7"/>
  <c r="CJ279" i="7"/>
  <c r="CQ279" i="7"/>
  <c r="CP279" i="7"/>
  <c r="CO279" i="7"/>
  <c r="CN279" i="7"/>
  <c r="CM279" i="7"/>
  <c r="CL279" i="7"/>
  <c r="H215" i="12"/>
  <c r="I215" i="12"/>
  <c r="H138" i="12"/>
  <c r="I138" i="12"/>
  <c r="I131" i="12"/>
  <c r="H131" i="12"/>
  <c r="I51" i="12"/>
  <c r="H51" i="12"/>
  <c r="BZ153" i="7"/>
  <c r="CB153" i="7"/>
  <c r="G151" i="12" s="1"/>
  <c r="B112" i="12"/>
  <c r="A112" i="12"/>
  <c r="D112" i="12"/>
  <c r="K112" i="12" s="1"/>
  <c r="CF114" i="7"/>
  <c r="BU114" i="7"/>
  <c r="CR114" i="7"/>
  <c r="CG114" i="7"/>
  <c r="CQ43" i="7"/>
  <c r="CP43" i="7"/>
  <c r="CO43" i="7"/>
  <c r="CM43" i="7"/>
  <c r="CS43" i="7"/>
  <c r="CK43" i="7"/>
  <c r="CN43" i="7"/>
  <c r="CL43" i="7"/>
  <c r="CJ43" i="7"/>
  <c r="CB269" i="7"/>
  <c r="G267" i="12" s="1"/>
  <c r="BZ269" i="7"/>
  <c r="I34" i="12"/>
  <c r="H34" i="12"/>
  <c r="CL274" i="7"/>
  <c r="CS274" i="7"/>
  <c r="CK274" i="7"/>
  <c r="CJ274" i="7"/>
  <c r="CQ274" i="7"/>
  <c r="CP274" i="7"/>
  <c r="CO274" i="7"/>
  <c r="CN274" i="7"/>
  <c r="CM274" i="7"/>
  <c r="CQ372" i="7"/>
  <c r="CP372" i="7"/>
  <c r="CO372" i="7"/>
  <c r="CN372" i="7"/>
  <c r="CM372" i="7"/>
  <c r="CL372" i="7"/>
  <c r="CS372" i="7"/>
  <c r="CK372" i="7"/>
  <c r="CJ372" i="7"/>
  <c r="CP270" i="7"/>
  <c r="CO270" i="7"/>
  <c r="CN270" i="7"/>
  <c r="CM270" i="7"/>
  <c r="CL270" i="7"/>
  <c r="CS270" i="7"/>
  <c r="CK270" i="7"/>
  <c r="CJ270" i="7"/>
  <c r="CQ270" i="7"/>
  <c r="A192" i="12"/>
  <c r="D192" i="12"/>
  <c r="K192" i="12" s="1"/>
  <c r="B192" i="12"/>
  <c r="BU194" i="7"/>
  <c r="CR194" i="7"/>
  <c r="CG194" i="7"/>
  <c r="CF194" i="7"/>
  <c r="A381" i="12"/>
  <c r="D381" i="12"/>
  <c r="K381" i="12" s="1"/>
  <c r="B381" i="12"/>
  <c r="CR383" i="7"/>
  <c r="CG383" i="7"/>
  <c r="CF383" i="7"/>
  <c r="BU383" i="7"/>
  <c r="CM14" i="7"/>
  <c r="CL14" i="7"/>
  <c r="CS14" i="7"/>
  <c r="CK14" i="7"/>
  <c r="CJ14" i="7"/>
  <c r="CQ14" i="7"/>
  <c r="CP14" i="7"/>
  <c r="CO14" i="7"/>
  <c r="CN14" i="7"/>
  <c r="D239" i="12"/>
  <c r="K239" i="12" s="1"/>
  <c r="A239" i="12"/>
  <c r="B239" i="12"/>
  <c r="BU241" i="7"/>
  <c r="CR241" i="7"/>
  <c r="CG241" i="7"/>
  <c r="CF241" i="7"/>
  <c r="I364" i="12"/>
  <c r="H364" i="12"/>
  <c r="BZ123" i="7"/>
  <c r="CB123" i="7"/>
  <c r="G121" i="12" s="1"/>
  <c r="CS46" i="7"/>
  <c r="CK46" i="7"/>
  <c r="CJ46" i="7"/>
  <c r="CQ46" i="7"/>
  <c r="CP46" i="7"/>
  <c r="CO46" i="7"/>
  <c r="CN46" i="7"/>
  <c r="CM46" i="7"/>
  <c r="CL46" i="7"/>
  <c r="D137" i="12"/>
  <c r="K137" i="12" s="1"/>
  <c r="B137" i="12"/>
  <c r="A137" i="12"/>
  <c r="CF139" i="7"/>
  <c r="BU139" i="7"/>
  <c r="CR139" i="7"/>
  <c r="CG139" i="7"/>
  <c r="D219" i="12"/>
  <c r="K219" i="12" s="1"/>
  <c r="B219" i="12"/>
  <c r="A219" i="12"/>
  <c r="CF221" i="7"/>
  <c r="BU221" i="7"/>
  <c r="CR221" i="7"/>
  <c r="CG221" i="7"/>
  <c r="CQ79" i="7"/>
  <c r="CO79" i="7"/>
  <c r="CM79" i="7"/>
  <c r="CS79" i="7"/>
  <c r="CK79" i="7"/>
  <c r="CN79" i="7"/>
  <c r="CL79" i="7"/>
  <c r="CJ79" i="7"/>
  <c r="CP79" i="7"/>
  <c r="H269" i="12"/>
  <c r="I269" i="12"/>
  <c r="D6" i="12"/>
  <c r="K6" i="12" s="1"/>
  <c r="B6" i="12"/>
  <c r="A6" i="12"/>
  <c r="CG8" i="7"/>
  <c r="CF8" i="7"/>
  <c r="BU8" i="7"/>
  <c r="CR8" i="7"/>
  <c r="BZ87" i="7"/>
  <c r="CB87" i="7"/>
  <c r="G85" i="12" s="1"/>
  <c r="D95" i="12"/>
  <c r="K95" i="12" s="1"/>
  <c r="B95" i="12"/>
  <c r="A95" i="12"/>
  <c r="BU97" i="7"/>
  <c r="CR97" i="7"/>
  <c r="CF97" i="7"/>
  <c r="CG97" i="7"/>
  <c r="CS156" i="7"/>
  <c r="CK156" i="7"/>
  <c r="CJ156" i="7"/>
  <c r="CQ156" i="7"/>
  <c r="CP156" i="7"/>
  <c r="CO156" i="7"/>
  <c r="CN156" i="7"/>
  <c r="CL156" i="7"/>
  <c r="CM156" i="7"/>
  <c r="D97" i="12"/>
  <c r="K97" i="12" s="1"/>
  <c r="B97" i="12"/>
  <c r="A97" i="12"/>
  <c r="BU99" i="7"/>
  <c r="CR99" i="7"/>
  <c r="CG99" i="7"/>
  <c r="CF99" i="7"/>
  <c r="I185" i="12"/>
  <c r="H185" i="12"/>
  <c r="CB148" i="7"/>
  <c r="G146" i="12" s="1"/>
  <c r="BZ148" i="7"/>
  <c r="CP163" i="7"/>
  <c r="CO163" i="7"/>
  <c r="CN163" i="7"/>
  <c r="CM163" i="7"/>
  <c r="CL163" i="7"/>
  <c r="CS163" i="7"/>
  <c r="CK163" i="7"/>
  <c r="CQ163" i="7"/>
  <c r="CJ163" i="7"/>
  <c r="CN136" i="7"/>
  <c r="CL136" i="7"/>
  <c r="CS136" i="7"/>
  <c r="CK136" i="7"/>
  <c r="CJ136" i="7"/>
  <c r="CP136" i="7"/>
  <c r="CQ136" i="7"/>
  <c r="CO136" i="7"/>
  <c r="CM136" i="7"/>
  <c r="CJ245" i="7"/>
  <c r="CQ245" i="7"/>
  <c r="CP245" i="7"/>
  <c r="CO245" i="7"/>
  <c r="CN245" i="7"/>
  <c r="CM245" i="7"/>
  <c r="CL245" i="7"/>
  <c r="CS245" i="7"/>
  <c r="CK245" i="7"/>
  <c r="H266" i="12"/>
  <c r="I266" i="12"/>
  <c r="D168" i="12"/>
  <c r="K168" i="12" s="1"/>
  <c r="B168" i="12"/>
  <c r="A168" i="12"/>
  <c r="BU170" i="7"/>
  <c r="CR170" i="7"/>
  <c r="CG170" i="7"/>
  <c r="CF170" i="7"/>
  <c r="A271" i="12"/>
  <c r="B271" i="12"/>
  <c r="D271" i="12"/>
  <c r="K271" i="12" s="1"/>
  <c r="CG273" i="7"/>
  <c r="CF273" i="7"/>
  <c r="BU273" i="7"/>
  <c r="CR273" i="7"/>
  <c r="H352" i="12"/>
  <c r="I352" i="12"/>
  <c r="A216" i="12"/>
  <c r="D216" i="12"/>
  <c r="K216" i="12" s="1"/>
  <c r="B216" i="12"/>
  <c r="BU218" i="7"/>
  <c r="CR218" i="7"/>
  <c r="CG218" i="7"/>
  <c r="CF218" i="7"/>
  <c r="CQ128" i="7"/>
  <c r="CP128" i="7"/>
  <c r="CO128" i="7"/>
  <c r="CN128" i="7"/>
  <c r="CM128" i="7"/>
  <c r="CL128" i="7"/>
  <c r="CS128" i="7"/>
  <c r="CK128" i="7"/>
  <c r="CJ128" i="7"/>
  <c r="I171" i="12"/>
  <c r="H171" i="12"/>
  <c r="A265" i="12"/>
  <c r="D265" i="12"/>
  <c r="K265" i="12" s="1"/>
  <c r="B265" i="12"/>
  <c r="CF267" i="7"/>
  <c r="BU267" i="7"/>
  <c r="CR267" i="7"/>
  <c r="CG267" i="7"/>
  <c r="CB244" i="7"/>
  <c r="G242" i="12" s="1"/>
  <c r="BZ244" i="7"/>
  <c r="I204" i="12"/>
  <c r="H204" i="12"/>
  <c r="CB376" i="7"/>
  <c r="G374" i="12" s="1"/>
  <c r="BZ376" i="7"/>
  <c r="CB162" i="7"/>
  <c r="G160" i="12" s="1"/>
  <c r="BZ162" i="7"/>
  <c r="CQ56" i="7"/>
  <c r="CS56" i="7"/>
  <c r="CJ56" i="7"/>
  <c r="CP56" i="7"/>
  <c r="CO56" i="7"/>
  <c r="CN56" i="7"/>
  <c r="CM56" i="7"/>
  <c r="CL56" i="7"/>
  <c r="CK56" i="7"/>
  <c r="I297" i="12"/>
  <c r="H297" i="12"/>
  <c r="A86" i="12"/>
  <c r="D86" i="12"/>
  <c r="K86" i="12" s="1"/>
  <c r="B86" i="12"/>
  <c r="CG88" i="7"/>
  <c r="CF88" i="7"/>
  <c r="BU88" i="7"/>
  <c r="CR88" i="7"/>
  <c r="CB181" i="7"/>
  <c r="G179" i="12" s="1"/>
  <c r="BZ181" i="7"/>
  <c r="A281" i="12"/>
  <c r="D281" i="12"/>
  <c r="K281" i="12" s="1"/>
  <c r="B281" i="12"/>
  <c r="CF283" i="7"/>
  <c r="BU283" i="7"/>
  <c r="CR283" i="7"/>
  <c r="CG283" i="7"/>
  <c r="I379" i="12"/>
  <c r="H379" i="12"/>
  <c r="CO48" i="7"/>
  <c r="CN48" i="7"/>
  <c r="CM48" i="7"/>
  <c r="CL48" i="7"/>
  <c r="CS48" i="7"/>
  <c r="CK48" i="7"/>
  <c r="CJ48" i="7"/>
  <c r="CQ48" i="7"/>
  <c r="CP48" i="7"/>
  <c r="I70" i="12"/>
  <c r="H70" i="12"/>
  <c r="CB209" i="7"/>
  <c r="G207" i="12" s="1"/>
  <c r="BZ209" i="7"/>
  <c r="CM303" i="7"/>
  <c r="CL303" i="7"/>
  <c r="CS303" i="7"/>
  <c r="CK303" i="7"/>
  <c r="CJ303" i="7"/>
  <c r="CQ303" i="7"/>
  <c r="CP303" i="7"/>
  <c r="CO303" i="7"/>
  <c r="CN303" i="7"/>
  <c r="B260" i="12"/>
  <c r="A260" i="12"/>
  <c r="D260" i="12"/>
  <c r="K260" i="12" s="1"/>
  <c r="CF262" i="7"/>
  <c r="CG262" i="7"/>
  <c r="CR262" i="7"/>
  <c r="BU262" i="7"/>
  <c r="CB386" i="7"/>
  <c r="G384" i="12" s="1"/>
  <c r="BZ386" i="7"/>
  <c r="CL108" i="7"/>
  <c r="CS108" i="7"/>
  <c r="CK108" i="7"/>
  <c r="CJ108" i="7"/>
  <c r="CQ108" i="7"/>
  <c r="CP108" i="7"/>
  <c r="CO108" i="7"/>
  <c r="CN108" i="7"/>
  <c r="CM108" i="7"/>
  <c r="CM29" i="7"/>
  <c r="CS29" i="7"/>
  <c r="CK29" i="7"/>
  <c r="CQ29" i="7"/>
  <c r="CO29" i="7"/>
  <c r="CJ29" i="7"/>
  <c r="CP29" i="7"/>
  <c r="CN29" i="7"/>
  <c r="CL29" i="7"/>
  <c r="H354" i="12"/>
  <c r="I354" i="12"/>
  <c r="I263" i="12"/>
  <c r="H263" i="12"/>
  <c r="I79" i="12"/>
  <c r="H79" i="12"/>
  <c r="CM131" i="7"/>
  <c r="CS131" i="7"/>
  <c r="CK131" i="7"/>
  <c r="CJ131" i="7"/>
  <c r="CQ131" i="7"/>
  <c r="CP131" i="7"/>
  <c r="CO131" i="7"/>
  <c r="CN131" i="7"/>
  <c r="CL131" i="7"/>
  <c r="CS50" i="7"/>
  <c r="CK50" i="7"/>
  <c r="CJ50" i="7"/>
  <c r="CQ50" i="7"/>
  <c r="CP50" i="7"/>
  <c r="CO50" i="7"/>
  <c r="CN50" i="7"/>
  <c r="CM50" i="7"/>
  <c r="CL50" i="7"/>
  <c r="I180" i="12"/>
  <c r="H180" i="12"/>
  <c r="CB319" i="7"/>
  <c r="G317" i="12" s="1"/>
  <c r="BZ319" i="7"/>
  <c r="A141" i="12"/>
  <c r="D141" i="12"/>
  <c r="K141" i="12" s="1"/>
  <c r="B141" i="12"/>
  <c r="BU143" i="7"/>
  <c r="CG143" i="7"/>
  <c r="CF143" i="7"/>
  <c r="CR143" i="7"/>
  <c r="CB183" i="7"/>
  <c r="G181" i="12" s="1"/>
  <c r="BZ183" i="7"/>
  <c r="CN346" i="7"/>
  <c r="CM346" i="7"/>
  <c r="CL346" i="7"/>
  <c r="CS346" i="7"/>
  <c r="CK346" i="7"/>
  <c r="CJ346" i="7"/>
  <c r="CQ346" i="7"/>
  <c r="CP346" i="7"/>
  <c r="CO346" i="7"/>
  <c r="CL360" i="7"/>
  <c r="CO360" i="7"/>
  <c r="CN360" i="7"/>
  <c r="CM360" i="7"/>
  <c r="CK360" i="7"/>
  <c r="CS360" i="7"/>
  <c r="CJ360" i="7"/>
  <c r="CQ360" i="7"/>
  <c r="CP360" i="7"/>
  <c r="D339" i="12"/>
  <c r="K339" i="12" s="1"/>
  <c r="B339" i="12"/>
  <c r="A339" i="12"/>
  <c r="CF341" i="7"/>
  <c r="BU341" i="7"/>
  <c r="CR341" i="7"/>
  <c r="CG341" i="7"/>
  <c r="CB317" i="7"/>
  <c r="G315" i="12" s="1"/>
  <c r="BZ317" i="7"/>
  <c r="CJ367" i="7"/>
  <c r="CQ367" i="7"/>
  <c r="CP367" i="7"/>
  <c r="CO367" i="7"/>
  <c r="CN367" i="7"/>
  <c r="CM367" i="7"/>
  <c r="CL367" i="7"/>
  <c r="CS367" i="7"/>
  <c r="CK367" i="7"/>
  <c r="A333" i="12"/>
  <c r="B333" i="12"/>
  <c r="D333" i="12"/>
  <c r="K333" i="12" s="1"/>
  <c r="BU335" i="7"/>
  <c r="CR335" i="7"/>
  <c r="CG335" i="7"/>
  <c r="CF335" i="7"/>
  <c r="I230" i="12"/>
  <c r="H230" i="12"/>
  <c r="B209" i="12"/>
  <c r="A209" i="12"/>
  <c r="D209" i="12"/>
  <c r="K209" i="12" s="1"/>
  <c r="CG211" i="7"/>
  <c r="CF211" i="7"/>
  <c r="BU211" i="7"/>
  <c r="CR211" i="7"/>
  <c r="I155" i="12"/>
  <c r="H155" i="12"/>
  <c r="CB189" i="7"/>
  <c r="G187" i="12" s="1"/>
  <c r="BZ189" i="7"/>
  <c r="I334" i="12"/>
  <c r="H334" i="12"/>
  <c r="CB154" i="7"/>
  <c r="G152" i="12" s="1"/>
  <c r="BZ154" i="7"/>
  <c r="BZ219" i="7"/>
  <c r="CB219" i="7"/>
  <c r="G217" i="12" s="1"/>
  <c r="CS21" i="7"/>
  <c r="CK21" i="7"/>
  <c r="CQ21" i="7"/>
  <c r="CO21" i="7"/>
  <c r="CP21" i="7"/>
  <c r="CN21" i="7"/>
  <c r="CM21" i="7"/>
  <c r="CL21" i="7"/>
  <c r="CJ21" i="7"/>
  <c r="CB285" i="7"/>
  <c r="G283" i="12" s="1"/>
  <c r="BZ285" i="7"/>
  <c r="B340" i="12"/>
  <c r="D340" i="12"/>
  <c r="K340" i="12" s="1"/>
  <c r="A340" i="12"/>
  <c r="CR342" i="7"/>
  <c r="CG342" i="7"/>
  <c r="CF342" i="7"/>
  <c r="BU342" i="7"/>
  <c r="I208" i="12"/>
  <c r="H208" i="12"/>
  <c r="A273" i="12"/>
  <c r="D273" i="12"/>
  <c r="K273" i="12" s="1"/>
  <c r="B273" i="12"/>
  <c r="CF275" i="7"/>
  <c r="BU275" i="7"/>
  <c r="CR275" i="7"/>
  <c r="CG275" i="7"/>
  <c r="CS294" i="7"/>
  <c r="CP294" i="7"/>
  <c r="CO294" i="7"/>
  <c r="CN294" i="7"/>
  <c r="CM294" i="7"/>
  <c r="CL294" i="7"/>
  <c r="CK294" i="7"/>
  <c r="CJ294" i="7"/>
  <c r="CQ294" i="7"/>
  <c r="CB121" i="7"/>
  <c r="G119" i="12" s="1"/>
  <c r="BZ121" i="7"/>
  <c r="CB374" i="7"/>
  <c r="G372" i="12" s="1"/>
  <c r="BZ374" i="7"/>
  <c r="I103" i="12"/>
  <c r="H103" i="12"/>
  <c r="I332" i="12"/>
  <c r="H332" i="12"/>
  <c r="D368" i="12"/>
  <c r="K368" i="12" s="1"/>
  <c r="A368" i="12"/>
  <c r="B368" i="12"/>
  <c r="BU370" i="7"/>
  <c r="CR370" i="7"/>
  <c r="CG370" i="7"/>
  <c r="CF370" i="7"/>
  <c r="CB256" i="7"/>
  <c r="G254" i="12" s="1"/>
  <c r="BZ256" i="7"/>
  <c r="D190" i="12"/>
  <c r="K190" i="12" s="1"/>
  <c r="A190" i="12"/>
  <c r="B190" i="12"/>
  <c r="CF192" i="7"/>
  <c r="BU192" i="7"/>
  <c r="CR192" i="7"/>
  <c r="CG192" i="7"/>
  <c r="D286" i="12"/>
  <c r="K286" i="12" s="1"/>
  <c r="B286" i="12"/>
  <c r="A286" i="12"/>
  <c r="BU288" i="7"/>
  <c r="CR288" i="7"/>
  <c r="CG288" i="7"/>
  <c r="CF288" i="7"/>
  <c r="A63" i="12"/>
  <c r="D63" i="12"/>
  <c r="K63" i="12" s="1"/>
  <c r="B63" i="12"/>
  <c r="BU65" i="7"/>
  <c r="CF65" i="7"/>
  <c r="CG65" i="7"/>
  <c r="CR65" i="7"/>
  <c r="CL167" i="7"/>
  <c r="CS167" i="7"/>
  <c r="CK167" i="7"/>
  <c r="CJ167" i="7"/>
  <c r="CQ167" i="7"/>
  <c r="CP167" i="7"/>
  <c r="CO167" i="7"/>
  <c r="CM167" i="7"/>
  <c r="CN167" i="7"/>
  <c r="CS240" i="7"/>
  <c r="CK240" i="7"/>
  <c r="CJ240" i="7"/>
  <c r="CQ240" i="7"/>
  <c r="CP240" i="7"/>
  <c r="CO240" i="7"/>
  <c r="CN240" i="7"/>
  <c r="CM240" i="7"/>
  <c r="CL240" i="7"/>
  <c r="H64" i="12"/>
  <c r="I64" i="12"/>
  <c r="B237" i="12"/>
  <c r="A237" i="12"/>
  <c r="D237" i="12"/>
  <c r="K237" i="12" s="1"/>
  <c r="CG239" i="7"/>
  <c r="CF239" i="7"/>
  <c r="BU239" i="7"/>
  <c r="CR239" i="7"/>
  <c r="I236" i="12"/>
  <c r="H236" i="12"/>
  <c r="D61" i="12"/>
  <c r="K61" i="12" s="1"/>
  <c r="A61" i="12"/>
  <c r="B61" i="12"/>
  <c r="CF63" i="7"/>
  <c r="BU63" i="7"/>
  <c r="CR63" i="7"/>
  <c r="CG63" i="7"/>
  <c r="CO309" i="7"/>
  <c r="CN309" i="7"/>
  <c r="CM309" i="7"/>
  <c r="CL309" i="7"/>
  <c r="CS309" i="7"/>
  <c r="CK309" i="7"/>
  <c r="CJ309" i="7"/>
  <c r="CQ309" i="7"/>
  <c r="CP309" i="7"/>
  <c r="B316" i="12"/>
  <c r="D316" i="12"/>
  <c r="K316" i="12" s="1"/>
  <c r="A316" i="12"/>
  <c r="CR318" i="7"/>
  <c r="CG318" i="7"/>
  <c r="CF318" i="7"/>
  <c r="BU318" i="7"/>
  <c r="CB179" i="7"/>
  <c r="G177" i="12" s="1"/>
  <c r="BZ179" i="7"/>
  <c r="CB362" i="7"/>
  <c r="G360" i="12" s="1"/>
  <c r="BZ362" i="7"/>
  <c r="H306" i="12"/>
  <c r="I306" i="12"/>
  <c r="H105" i="12"/>
  <c r="I105" i="12"/>
  <c r="CO333" i="7"/>
  <c r="CN333" i="7"/>
  <c r="CM333" i="7"/>
  <c r="CL333" i="7"/>
  <c r="CJ333" i="7"/>
  <c r="CQ333" i="7"/>
  <c r="CP333" i="7"/>
  <c r="CK333" i="7"/>
  <c r="CS333" i="7"/>
  <c r="CO205" i="7"/>
  <c r="CN205" i="7"/>
  <c r="CL205" i="7"/>
  <c r="CS205" i="7"/>
  <c r="CK205" i="7"/>
  <c r="CJ205" i="7"/>
  <c r="CQ205" i="7"/>
  <c r="CP205" i="7"/>
  <c r="CM205" i="7"/>
  <c r="CN379" i="7"/>
  <c r="CM379" i="7"/>
  <c r="CL379" i="7"/>
  <c r="CS379" i="7"/>
  <c r="CK379" i="7"/>
  <c r="CJ379" i="7"/>
  <c r="CQ379" i="7"/>
  <c r="CP379" i="7"/>
  <c r="CO379" i="7"/>
  <c r="H194" i="12"/>
  <c r="I194" i="12"/>
  <c r="CS225" i="7"/>
  <c r="CK225" i="7"/>
  <c r="CO225" i="7"/>
  <c r="CJ225" i="7"/>
  <c r="CQ225" i="7"/>
  <c r="CP225" i="7"/>
  <c r="CN225" i="7"/>
  <c r="CM225" i="7"/>
  <c r="CL225" i="7"/>
  <c r="CQ75" i="7"/>
  <c r="CO75" i="7"/>
  <c r="CM75" i="7"/>
  <c r="CS75" i="7"/>
  <c r="CK75" i="7"/>
  <c r="CP75" i="7"/>
  <c r="CN75" i="7"/>
  <c r="CL75" i="7"/>
  <c r="CJ75" i="7"/>
  <c r="I31" i="12"/>
  <c r="H31" i="12"/>
  <c r="B74" i="12"/>
  <c r="A74" i="12"/>
  <c r="D74" i="12"/>
  <c r="K74" i="12" s="1"/>
  <c r="CF76" i="7"/>
  <c r="BU76" i="7"/>
  <c r="CR76" i="7"/>
  <c r="CG76" i="7"/>
  <c r="I107" i="12"/>
  <c r="H107" i="12"/>
  <c r="B259" i="12"/>
  <c r="A259" i="12"/>
  <c r="D259" i="12"/>
  <c r="K259" i="12" s="1"/>
  <c r="CF261" i="7"/>
  <c r="BU261" i="7"/>
  <c r="CR261" i="7"/>
  <c r="CG261" i="7"/>
  <c r="CQ258" i="7"/>
  <c r="CP258" i="7"/>
  <c r="CO258" i="7"/>
  <c r="CN258" i="7"/>
  <c r="CM258" i="7"/>
  <c r="CL258" i="7"/>
  <c r="CS258" i="7"/>
  <c r="CK258" i="7"/>
  <c r="CJ258" i="7"/>
  <c r="H227" i="12"/>
  <c r="I227" i="12"/>
  <c r="CB316" i="7"/>
  <c r="G314" i="12" s="1"/>
  <c r="BZ316" i="7"/>
  <c r="I278" i="12"/>
  <c r="H278" i="12"/>
  <c r="I62" i="12"/>
  <c r="H62" i="12"/>
  <c r="I244" i="12"/>
  <c r="H244" i="12"/>
  <c r="D202" i="12"/>
  <c r="K202" i="12" s="1"/>
  <c r="B202" i="12"/>
  <c r="A202" i="12"/>
  <c r="BU204" i="7"/>
  <c r="CG204" i="7"/>
  <c r="CF204" i="7"/>
  <c r="CR204" i="7"/>
  <c r="CO67" i="7"/>
  <c r="CM67" i="7"/>
  <c r="CS67" i="7"/>
  <c r="CK67" i="7"/>
  <c r="CQ67" i="7"/>
  <c r="CP67" i="7"/>
  <c r="CN67" i="7"/>
  <c r="CL67" i="7"/>
  <c r="CJ67" i="7"/>
  <c r="A167" i="12"/>
  <c r="D167" i="12"/>
  <c r="K167" i="12" s="1"/>
  <c r="B167" i="12"/>
  <c r="CR169" i="7"/>
  <c r="CG169" i="7"/>
  <c r="CF169" i="7"/>
  <c r="BU169" i="7"/>
  <c r="A153" i="12"/>
  <c r="D153" i="12"/>
  <c r="K153" i="12" s="1"/>
  <c r="B153" i="12"/>
  <c r="CG155" i="7"/>
  <c r="CF155" i="7"/>
  <c r="BU155" i="7"/>
  <c r="CR155" i="7"/>
  <c r="CB325" i="7"/>
  <c r="G323" i="12" s="1"/>
  <c r="BZ325" i="7"/>
  <c r="CQ52" i="7"/>
  <c r="CP52" i="7"/>
  <c r="CO52" i="7"/>
  <c r="CN52" i="7"/>
  <c r="CM52" i="7"/>
  <c r="CL52" i="7"/>
  <c r="CK52" i="7"/>
  <c r="CS52" i="7"/>
  <c r="CJ52" i="7"/>
  <c r="CB295" i="7"/>
  <c r="G293" i="12" s="1"/>
  <c r="BZ295" i="7"/>
  <c r="CB349" i="7"/>
  <c r="G347" i="12" s="1"/>
  <c r="BZ349" i="7"/>
  <c r="CJ302" i="7"/>
  <c r="CQ302" i="7"/>
  <c r="CP302" i="7"/>
  <c r="CO302" i="7"/>
  <c r="CN302" i="7"/>
  <c r="CM302" i="7"/>
  <c r="CL302" i="7"/>
  <c r="CS302" i="7"/>
  <c r="CK302" i="7"/>
  <c r="CB191" i="7"/>
  <c r="G189" i="12" s="1"/>
  <c r="BZ191" i="7"/>
  <c r="H324" i="12"/>
  <c r="I324" i="12"/>
  <c r="H276" i="12"/>
  <c r="I276" i="12"/>
  <c r="I174" i="12"/>
  <c r="H174" i="12"/>
  <c r="BZ177" i="7"/>
  <c r="CB177" i="7"/>
  <c r="G175" i="12" s="1"/>
  <c r="I295" i="12"/>
  <c r="H295" i="12"/>
  <c r="CJ185" i="7"/>
  <c r="CQ185" i="7"/>
  <c r="CP185" i="7"/>
  <c r="CO185" i="7"/>
  <c r="CN185" i="7"/>
  <c r="CM185" i="7"/>
  <c r="CS185" i="7"/>
  <c r="CK185" i="7"/>
  <c r="CL185" i="7"/>
  <c r="I302" i="12"/>
  <c r="H302" i="12"/>
  <c r="H66" i="12"/>
  <c r="I66" i="12"/>
  <c r="CJ161" i="7"/>
  <c r="CQ161" i="7"/>
  <c r="CP161" i="7"/>
  <c r="CO161" i="7"/>
  <c r="CN161" i="7"/>
  <c r="CM161" i="7"/>
  <c r="CS161" i="7"/>
  <c r="CK161" i="7"/>
  <c r="CL161" i="7"/>
  <c r="CP96" i="7"/>
  <c r="CO96" i="7"/>
  <c r="CN96" i="7"/>
  <c r="CM96" i="7"/>
  <c r="CL96" i="7"/>
  <c r="CS96" i="7"/>
  <c r="CK96" i="7"/>
  <c r="CQ96" i="7"/>
  <c r="CJ96" i="7"/>
  <c r="BZ223" i="7"/>
  <c r="CB223" i="7"/>
  <c r="G221" i="12" s="1"/>
  <c r="B67" i="12"/>
  <c r="D67" i="12"/>
  <c r="K67" i="12" s="1"/>
  <c r="A67" i="12"/>
  <c r="BU69" i="7"/>
  <c r="CF69" i="7"/>
  <c r="CR69" i="7"/>
  <c r="CG69" i="7"/>
  <c r="D69" i="12"/>
  <c r="K69" i="12" s="1"/>
  <c r="A69" i="12"/>
  <c r="B69" i="12"/>
  <c r="CF71" i="7"/>
  <c r="BU71" i="7"/>
  <c r="CG71" i="7"/>
  <c r="CR71" i="7"/>
  <c r="CJ375" i="7"/>
  <c r="CQ375" i="7"/>
  <c r="CP375" i="7"/>
  <c r="CO375" i="7"/>
  <c r="CN375" i="7"/>
  <c r="CM375" i="7"/>
  <c r="CL375" i="7"/>
  <c r="CS375" i="7"/>
  <c r="CK375" i="7"/>
  <c r="I124" i="12"/>
  <c r="H124" i="12"/>
  <c r="CM106" i="7"/>
  <c r="CL106" i="7"/>
  <c r="CS106" i="7"/>
  <c r="CK106" i="7"/>
  <c r="CO106" i="7"/>
  <c r="CN106" i="7"/>
  <c r="CJ106" i="7"/>
  <c r="CQ106" i="7"/>
  <c r="CP106" i="7"/>
  <c r="BZ307" i="7"/>
  <c r="CB307" i="7"/>
  <c r="G305" i="12" s="1"/>
  <c r="CM215" i="7"/>
  <c r="CL215" i="7"/>
  <c r="CS215" i="7"/>
  <c r="CK215" i="7"/>
  <c r="CJ215" i="7"/>
  <c r="CQ215" i="7"/>
  <c r="CP215" i="7"/>
  <c r="CO215" i="7"/>
  <c r="CN215" i="7"/>
  <c r="B139" i="12"/>
  <c r="D139" i="12"/>
  <c r="K139" i="12" s="1"/>
  <c r="A139" i="12"/>
  <c r="BU141" i="7"/>
  <c r="CR141" i="7"/>
  <c r="CF141" i="7"/>
  <c r="CG141" i="7"/>
  <c r="CS180" i="7"/>
  <c r="CK180" i="7"/>
  <c r="CJ180" i="7"/>
  <c r="CQ180" i="7"/>
  <c r="CP180" i="7"/>
  <c r="CO180" i="7"/>
  <c r="CN180" i="7"/>
  <c r="CL180" i="7"/>
  <c r="CM180" i="7"/>
  <c r="H285" i="12"/>
  <c r="I285" i="12"/>
  <c r="I342" i="12"/>
  <c r="H342" i="12"/>
  <c r="CN314" i="7"/>
  <c r="CM314" i="7"/>
  <c r="CL314" i="7"/>
  <c r="CS314" i="7"/>
  <c r="CK314" i="7"/>
  <c r="CJ314" i="7"/>
  <c r="CQ314" i="7"/>
  <c r="CP314" i="7"/>
  <c r="CO314" i="7"/>
  <c r="D82" i="12"/>
  <c r="K82" i="12" s="1"/>
  <c r="B82" i="12"/>
  <c r="A82" i="12"/>
  <c r="CG84" i="7"/>
  <c r="CF84" i="7"/>
  <c r="BU84" i="7"/>
  <c r="CR84" i="7"/>
  <c r="B299" i="12"/>
  <c r="A299" i="12"/>
  <c r="D299" i="12"/>
  <c r="K299" i="12" s="1"/>
  <c r="CF301" i="7"/>
  <c r="BU301" i="7"/>
  <c r="CG301" i="7"/>
  <c r="CR301" i="7"/>
  <c r="CB111" i="7"/>
  <c r="G109" i="12" s="1"/>
  <c r="BZ111" i="7"/>
  <c r="A351" i="12"/>
  <c r="D351" i="12"/>
  <c r="K351" i="12" s="1"/>
  <c r="B351" i="12"/>
  <c r="BU353" i="7"/>
  <c r="CR353" i="7"/>
  <c r="CG353" i="7"/>
  <c r="CF353" i="7"/>
  <c r="D130" i="12"/>
  <c r="K130" i="12" s="1"/>
  <c r="B130" i="12"/>
  <c r="A130" i="12"/>
  <c r="CG132" i="7"/>
  <c r="CR132" i="7"/>
  <c r="CF132" i="7"/>
  <c r="BU132" i="7"/>
  <c r="D117" i="12"/>
  <c r="K117" i="12" s="1"/>
  <c r="B117" i="12"/>
  <c r="A117" i="12"/>
  <c r="BU119" i="7"/>
  <c r="CR119" i="7"/>
  <c r="CG119" i="7"/>
  <c r="CF119" i="7"/>
  <c r="I363" i="12"/>
  <c r="H363" i="12"/>
  <c r="I196" i="12"/>
  <c r="H196" i="12"/>
  <c r="CB78" i="7"/>
  <c r="G76" i="12" s="1"/>
  <c r="BZ78" i="7"/>
  <c r="CB228" i="7"/>
  <c r="G226" i="12" s="1"/>
  <c r="BZ228" i="7"/>
  <c r="D211" i="12"/>
  <c r="K211" i="12" s="1"/>
  <c r="B211" i="12"/>
  <c r="A211" i="12"/>
  <c r="CF213" i="7"/>
  <c r="BU213" i="7"/>
  <c r="CR213" i="7"/>
  <c r="CG213" i="7"/>
  <c r="A71" i="12"/>
  <c r="B71" i="12"/>
  <c r="D71" i="12"/>
  <c r="K71" i="12" s="1"/>
  <c r="BU73" i="7"/>
  <c r="CF73" i="7"/>
  <c r="CG73" i="7"/>
  <c r="CR73" i="7"/>
  <c r="B348" i="12"/>
  <c r="D348" i="12"/>
  <c r="K348" i="12" s="1"/>
  <c r="A348" i="12"/>
  <c r="CR350" i="7"/>
  <c r="CG350" i="7"/>
  <c r="CF350" i="7"/>
  <c r="BU350" i="7"/>
  <c r="D158" i="12"/>
  <c r="K158" i="12" s="1"/>
  <c r="B158" i="12"/>
  <c r="A158" i="12"/>
  <c r="CF160" i="7"/>
  <c r="BU160" i="7"/>
  <c r="CR160" i="7"/>
  <c r="CG160" i="7"/>
  <c r="I275" i="12"/>
  <c r="H275" i="12"/>
  <c r="I212" i="12"/>
  <c r="H212" i="12"/>
  <c r="BZ361" i="7"/>
  <c r="CB361" i="7"/>
  <c r="G359" i="12" s="1"/>
  <c r="B138" i="12"/>
  <c r="D138" i="12"/>
  <c r="K138" i="12" s="1"/>
  <c r="A138" i="12"/>
  <c r="BU140" i="7"/>
  <c r="CR140" i="7"/>
  <c r="CG140" i="7"/>
  <c r="CF140" i="7"/>
  <c r="CQ6" i="7"/>
  <c r="CP6" i="7"/>
  <c r="CO6" i="7"/>
  <c r="CN6" i="7"/>
  <c r="CM6" i="7"/>
  <c r="CL6" i="7"/>
  <c r="CS6" i="7"/>
  <c r="CK6" i="7"/>
  <c r="CJ6" i="7"/>
  <c r="D108" i="12"/>
  <c r="K108" i="12" s="1"/>
  <c r="B108" i="12"/>
  <c r="A108" i="12"/>
  <c r="BU110" i="7"/>
  <c r="CR110" i="7"/>
  <c r="CG110" i="7"/>
  <c r="CF110" i="7"/>
  <c r="B14" i="12"/>
  <c r="D14" i="12"/>
  <c r="K14" i="12" s="1"/>
  <c r="A14" i="12"/>
  <c r="CG16" i="7"/>
  <c r="CF16" i="7"/>
  <c r="BU16" i="7"/>
  <c r="CR16" i="7"/>
  <c r="CB114" i="7"/>
  <c r="G112" i="12" s="1"/>
  <c r="BZ114" i="7"/>
  <c r="CQ203" i="7"/>
  <c r="CP203" i="7"/>
  <c r="CN203" i="7"/>
  <c r="CM203" i="7"/>
  <c r="CL203" i="7"/>
  <c r="CS203" i="7"/>
  <c r="CO203" i="7"/>
  <c r="CK203" i="7"/>
  <c r="CJ203" i="7"/>
  <c r="B96" i="12"/>
  <c r="A96" i="12"/>
  <c r="D96" i="12"/>
  <c r="K96" i="12" s="1"/>
  <c r="BU98" i="7"/>
  <c r="CR98" i="7"/>
  <c r="CG98" i="7"/>
  <c r="CF98" i="7"/>
  <c r="CB36" i="7"/>
  <c r="G34" i="12" s="1"/>
  <c r="BZ36" i="7"/>
  <c r="I272" i="12"/>
  <c r="H272" i="12"/>
  <c r="H268" i="12"/>
  <c r="I268" i="12"/>
  <c r="BZ383" i="7"/>
  <c r="CB383" i="7"/>
  <c r="G381" i="12" s="1"/>
  <c r="CM116" i="7"/>
  <c r="CL116" i="7"/>
  <c r="CS116" i="7"/>
  <c r="CK116" i="7"/>
  <c r="CJ116" i="7"/>
  <c r="CQ116" i="7"/>
  <c r="CP116" i="7"/>
  <c r="CO116" i="7"/>
  <c r="CN116" i="7"/>
  <c r="H12" i="12"/>
  <c r="I12" i="12"/>
  <c r="CB241" i="7"/>
  <c r="G239" i="12" s="1"/>
  <c r="BZ241" i="7"/>
  <c r="I75" i="12"/>
  <c r="H75" i="12"/>
  <c r="D176" i="12"/>
  <c r="K176" i="12" s="1"/>
  <c r="B176" i="12"/>
  <c r="A176" i="12"/>
  <c r="BU178" i="7"/>
  <c r="CR178" i="7"/>
  <c r="CG178" i="7"/>
  <c r="CF178" i="7"/>
  <c r="D246" i="12"/>
  <c r="K246" i="12" s="1"/>
  <c r="B246" i="12"/>
  <c r="A246" i="12"/>
  <c r="BU248" i="7"/>
  <c r="CR248" i="7"/>
  <c r="CG248" i="7"/>
  <c r="CF248" i="7"/>
  <c r="CL151" i="7"/>
  <c r="CS151" i="7"/>
  <c r="CK151" i="7"/>
  <c r="CJ151" i="7"/>
  <c r="CQ151" i="7"/>
  <c r="CP151" i="7"/>
  <c r="CO151" i="7"/>
  <c r="CM151" i="7"/>
  <c r="CN151" i="7"/>
  <c r="H195" i="12"/>
  <c r="I195" i="12"/>
  <c r="CO144" i="7"/>
  <c r="CN144" i="7"/>
  <c r="CL144" i="7"/>
  <c r="CS144" i="7"/>
  <c r="CK144" i="7"/>
  <c r="CJ144" i="7"/>
  <c r="CP144" i="7"/>
  <c r="CQ144" i="7"/>
  <c r="CM144" i="7"/>
  <c r="BZ195" i="7"/>
  <c r="CB195" i="7"/>
  <c r="G193" i="12" s="1"/>
  <c r="I150" i="12"/>
  <c r="H150" i="12"/>
  <c r="D135" i="12"/>
  <c r="K135" i="12" s="1"/>
  <c r="B135" i="12"/>
  <c r="A135" i="12"/>
  <c r="CF137" i="7"/>
  <c r="BU137" i="7"/>
  <c r="CG137" i="7"/>
  <c r="CR137" i="7"/>
  <c r="CM45" i="7"/>
  <c r="CL45" i="7"/>
  <c r="CS45" i="7"/>
  <c r="CK45" i="7"/>
  <c r="CJ45" i="7"/>
  <c r="CQ45" i="7"/>
  <c r="CP45" i="7"/>
  <c r="CO45" i="7"/>
  <c r="CN45" i="7"/>
  <c r="CQ83" i="7"/>
  <c r="CO83" i="7"/>
  <c r="CN83" i="7"/>
  <c r="CM83" i="7"/>
  <c r="CS83" i="7"/>
  <c r="CK83" i="7"/>
  <c r="CP83" i="7"/>
  <c r="CL83" i="7"/>
  <c r="CJ83" i="7"/>
  <c r="I49" i="12"/>
  <c r="H49" i="12"/>
  <c r="B241" i="12"/>
  <c r="D241" i="12"/>
  <c r="K241" i="12" s="1"/>
  <c r="A241" i="12"/>
  <c r="BU243" i="7"/>
  <c r="CR243" i="7"/>
  <c r="CG243" i="7"/>
  <c r="CF243" i="7"/>
  <c r="B380" i="12"/>
  <c r="D380" i="12"/>
  <c r="K380" i="12" s="1"/>
  <c r="A380" i="12"/>
  <c r="CF382" i="7"/>
  <c r="BU382" i="7"/>
  <c r="CR382" i="7"/>
  <c r="CG382" i="7"/>
  <c r="CB221" i="7"/>
  <c r="G219" i="12" s="1"/>
  <c r="BZ221" i="7"/>
  <c r="CQ150" i="7"/>
  <c r="CP150" i="7"/>
  <c r="CO150" i="7"/>
  <c r="CN150" i="7"/>
  <c r="CM150" i="7"/>
  <c r="CL150" i="7"/>
  <c r="CJ150" i="7"/>
  <c r="CS150" i="7"/>
  <c r="CK150" i="7"/>
  <c r="H313" i="12"/>
  <c r="I313" i="12"/>
  <c r="BZ8" i="7"/>
  <c r="CB8" i="7"/>
  <c r="G6" i="12" s="1"/>
  <c r="A247" i="12"/>
  <c r="B247" i="12"/>
  <c r="D247" i="12"/>
  <c r="K247" i="12" s="1"/>
  <c r="BU249" i="7"/>
  <c r="CR249" i="7"/>
  <c r="CG249" i="7"/>
  <c r="CF249" i="7"/>
  <c r="CB97" i="7"/>
  <c r="G95" i="12" s="1"/>
  <c r="BZ97" i="7"/>
  <c r="CP125" i="7"/>
  <c r="CO125" i="7"/>
  <c r="CN125" i="7"/>
  <c r="CM125" i="7"/>
  <c r="CL125" i="7"/>
  <c r="CS125" i="7"/>
  <c r="CK125" i="7"/>
  <c r="CJ125" i="7"/>
  <c r="CQ125" i="7"/>
  <c r="CB99" i="7"/>
  <c r="G97" i="12" s="1"/>
  <c r="BZ99" i="7"/>
  <c r="A224" i="12"/>
  <c r="D224" i="12"/>
  <c r="K224" i="12" s="1"/>
  <c r="B224" i="12"/>
  <c r="CR226" i="7"/>
  <c r="CG226" i="7"/>
  <c r="CF226" i="7"/>
  <c r="BU226" i="7"/>
  <c r="CJ284" i="7"/>
  <c r="CQ284" i="7"/>
  <c r="CP284" i="7"/>
  <c r="CO284" i="7"/>
  <c r="CN284" i="7"/>
  <c r="CM284" i="7"/>
  <c r="CL284" i="7"/>
  <c r="CS284" i="7"/>
  <c r="CK284" i="7"/>
  <c r="I161" i="12"/>
  <c r="H161" i="12"/>
  <c r="D182" i="12"/>
  <c r="K182" i="12" s="1"/>
  <c r="A182" i="12"/>
  <c r="B182" i="12"/>
  <c r="CF184" i="7"/>
  <c r="BU184" i="7"/>
  <c r="CR184" i="7"/>
  <c r="CG184" i="7"/>
  <c r="CL373" i="7"/>
  <c r="CS373" i="7"/>
  <c r="CK373" i="7"/>
  <c r="CJ373" i="7"/>
  <c r="CQ373" i="7"/>
  <c r="CP373" i="7"/>
  <c r="CO373" i="7"/>
  <c r="CN373" i="7"/>
  <c r="CM373" i="7"/>
  <c r="CS42" i="7"/>
  <c r="CK42" i="7"/>
  <c r="CQ42" i="7"/>
  <c r="CO42" i="7"/>
  <c r="CM42" i="7"/>
  <c r="CP42" i="7"/>
  <c r="CN42" i="7"/>
  <c r="CL42" i="7"/>
  <c r="CJ42" i="7"/>
  <c r="I116" i="12"/>
  <c r="H116" i="12"/>
  <c r="CB170" i="7"/>
  <c r="G168" i="12" s="1"/>
  <c r="BZ170" i="7"/>
  <c r="BZ273" i="7"/>
  <c r="CB273" i="7"/>
  <c r="G271" i="12" s="1"/>
  <c r="CO57" i="7"/>
  <c r="CL57" i="7"/>
  <c r="CK57" i="7"/>
  <c r="CS57" i="7"/>
  <c r="CJ57" i="7"/>
  <c r="CQ57" i="7"/>
  <c r="CP57" i="7"/>
  <c r="CN57" i="7"/>
  <c r="CM57" i="7"/>
  <c r="CB218" i="7"/>
  <c r="G216" i="12" s="1"/>
  <c r="BZ218" i="7"/>
  <c r="H362" i="12"/>
  <c r="I362" i="12"/>
  <c r="D113" i="12"/>
  <c r="K113" i="12" s="1"/>
  <c r="B113" i="12"/>
  <c r="A113" i="12"/>
  <c r="CR115" i="7"/>
  <c r="CG115" i="7"/>
  <c r="CF115" i="7"/>
  <c r="BU115" i="7"/>
  <c r="D206" i="12"/>
  <c r="K206" i="12" s="1"/>
  <c r="B206" i="12"/>
  <c r="A206" i="12"/>
  <c r="CG208" i="7"/>
  <c r="CF208" i="7"/>
  <c r="BU208" i="7"/>
  <c r="CR208" i="7"/>
  <c r="CB267" i="7"/>
  <c r="G265" i="12" s="1"/>
  <c r="BZ267" i="7"/>
  <c r="D133" i="12"/>
  <c r="K133" i="12" s="1"/>
  <c r="B133" i="12"/>
  <c r="A133" i="12"/>
  <c r="BU135" i="7"/>
  <c r="CF135" i="7"/>
  <c r="CG135" i="7"/>
  <c r="CR135" i="7"/>
  <c r="CM327" i="7"/>
  <c r="CL327" i="7"/>
  <c r="CK327" i="7"/>
  <c r="CS327" i="7"/>
  <c r="CJ327" i="7"/>
  <c r="CQ327" i="7"/>
  <c r="CP327" i="7"/>
  <c r="CO327" i="7"/>
  <c r="CN327" i="7"/>
  <c r="D262" i="12"/>
  <c r="K262" i="12" s="1"/>
  <c r="B262" i="12"/>
  <c r="A262" i="12"/>
  <c r="BU264" i="7"/>
  <c r="CR264" i="7"/>
  <c r="CG264" i="7"/>
  <c r="CF264" i="7"/>
  <c r="CS305" i="7"/>
  <c r="CK305" i="7"/>
  <c r="CJ305" i="7"/>
  <c r="CQ305" i="7"/>
  <c r="CP305" i="7"/>
  <c r="CO305" i="7"/>
  <c r="CN305" i="7"/>
  <c r="CM305" i="7"/>
  <c r="CL305" i="7"/>
  <c r="I361" i="12"/>
  <c r="H361" i="12"/>
  <c r="D145" i="12"/>
  <c r="K145" i="12" s="1"/>
  <c r="B145" i="12"/>
  <c r="A145" i="12"/>
  <c r="CG147" i="7"/>
  <c r="CF147" i="7"/>
  <c r="BU147" i="7"/>
  <c r="CR147" i="7"/>
  <c r="CB88" i="7"/>
  <c r="G86" i="12" s="1"/>
  <c r="BZ88" i="7"/>
  <c r="CS82" i="7"/>
  <c r="CK82" i="7"/>
  <c r="CQ82" i="7"/>
  <c r="CO82" i="7"/>
  <c r="CM82" i="7"/>
  <c r="CP82" i="7"/>
  <c r="CN82" i="7"/>
  <c r="CL82" i="7"/>
  <c r="CJ82" i="7"/>
  <c r="D3" i="12"/>
  <c r="K3" i="12" s="1"/>
  <c r="B3" i="12"/>
  <c r="A3" i="12"/>
  <c r="BU5" i="7"/>
  <c r="CR5" i="7"/>
  <c r="CF5" i="7"/>
  <c r="CG5" i="7"/>
  <c r="D274" i="12"/>
  <c r="K274" i="12" s="1"/>
  <c r="A274" i="12"/>
  <c r="B274" i="12"/>
  <c r="CR276" i="7"/>
  <c r="CG276" i="7"/>
  <c r="CF276" i="7"/>
  <c r="BU276" i="7"/>
  <c r="D350" i="12"/>
  <c r="K350" i="12" s="1"/>
  <c r="B350" i="12"/>
  <c r="A350" i="12"/>
  <c r="CG352" i="7"/>
  <c r="CF352" i="7"/>
  <c r="BU352" i="7"/>
  <c r="CR352" i="7"/>
  <c r="CB283" i="7"/>
  <c r="G281" i="12" s="1"/>
  <c r="BZ283" i="7"/>
  <c r="CS172" i="7"/>
  <c r="CK172" i="7"/>
  <c r="CJ172" i="7"/>
  <c r="CQ172" i="7"/>
  <c r="CP172" i="7"/>
  <c r="CO172" i="7"/>
  <c r="CN172" i="7"/>
  <c r="CL172" i="7"/>
  <c r="CM172" i="7"/>
  <c r="H32" i="12"/>
  <c r="I32" i="12"/>
  <c r="I46" i="12"/>
  <c r="H46" i="12"/>
  <c r="CB72" i="7"/>
  <c r="G70" i="12" s="1"/>
  <c r="BZ72" i="7"/>
  <c r="I301" i="12"/>
  <c r="H301" i="12"/>
  <c r="CJ292" i="7"/>
  <c r="CQ292" i="7"/>
  <c r="CP292" i="7"/>
  <c r="CO292" i="7"/>
  <c r="CN292" i="7"/>
  <c r="CM292" i="7"/>
  <c r="CL292" i="7"/>
  <c r="CS292" i="7"/>
  <c r="CK292" i="7"/>
  <c r="H2" i="12"/>
  <c r="I2" i="12"/>
  <c r="A345" i="12"/>
  <c r="D345" i="12"/>
  <c r="K345" i="12" s="1"/>
  <c r="B345" i="12"/>
  <c r="CG347" i="7"/>
  <c r="CF347" i="7"/>
  <c r="BU347" i="7"/>
  <c r="CR347" i="7"/>
  <c r="CL282" i="7"/>
  <c r="CS282" i="7"/>
  <c r="CK282" i="7"/>
  <c r="CJ282" i="7"/>
  <c r="CQ282" i="7"/>
  <c r="CP282" i="7"/>
  <c r="CO282" i="7"/>
  <c r="CN282" i="7"/>
  <c r="CM282" i="7"/>
  <c r="I106" i="12"/>
  <c r="H106" i="12"/>
  <c r="I197" i="12"/>
  <c r="H197" i="12"/>
  <c r="CN371" i="7"/>
  <c r="CM371" i="7"/>
  <c r="CL371" i="7"/>
  <c r="CS371" i="7"/>
  <c r="CK371" i="7"/>
  <c r="CJ371" i="7"/>
  <c r="CQ371" i="7"/>
  <c r="CP371" i="7"/>
  <c r="CO371" i="7"/>
  <c r="I225" i="12"/>
  <c r="H225" i="12"/>
  <c r="CL259" i="7"/>
  <c r="CS259" i="7"/>
  <c r="CK259" i="7"/>
  <c r="CJ259" i="7"/>
  <c r="CQ259" i="7"/>
  <c r="CP259" i="7"/>
  <c r="CO259" i="7"/>
  <c r="CN259" i="7"/>
  <c r="CM259" i="7"/>
  <c r="I102" i="12"/>
  <c r="H102" i="12"/>
  <c r="I329" i="12"/>
  <c r="H329" i="12"/>
  <c r="CB81" i="7"/>
  <c r="G79" i="12" s="1"/>
  <c r="BZ81" i="7"/>
  <c r="CQ380" i="7"/>
  <c r="CP380" i="7"/>
  <c r="CO380" i="7"/>
  <c r="CN380" i="7"/>
  <c r="CM380" i="7"/>
  <c r="CL380" i="7"/>
  <c r="CS380" i="7"/>
  <c r="CK380" i="7"/>
  <c r="CJ380" i="7"/>
  <c r="A327" i="12"/>
  <c r="D327" i="12"/>
  <c r="K327" i="12" s="1"/>
  <c r="B327" i="12"/>
  <c r="BU329" i="7"/>
  <c r="CG329" i="7"/>
  <c r="CF329" i="7"/>
  <c r="CR329" i="7"/>
  <c r="D166" i="12"/>
  <c r="K166" i="12" s="1"/>
  <c r="B166" i="12"/>
  <c r="A166" i="12"/>
  <c r="CF168" i="7"/>
  <c r="BU168" i="7"/>
  <c r="CR168" i="7"/>
  <c r="CG168" i="7"/>
  <c r="CQ281" i="7"/>
  <c r="CP281" i="7"/>
  <c r="CO281" i="7"/>
  <c r="CN281" i="7"/>
  <c r="CM281" i="7"/>
  <c r="CL281" i="7"/>
  <c r="CS281" i="7"/>
  <c r="CK281" i="7"/>
  <c r="CJ281" i="7"/>
  <c r="H156" i="12"/>
  <c r="I156" i="12"/>
  <c r="CB143" i="7"/>
  <c r="G141" i="12" s="1"/>
  <c r="BZ143" i="7"/>
  <c r="H344" i="12"/>
  <c r="I344" i="12"/>
  <c r="CB341" i="7"/>
  <c r="G339" i="12" s="1"/>
  <c r="BZ341" i="7"/>
  <c r="I93" i="12"/>
  <c r="H93" i="12"/>
  <c r="CB335" i="7"/>
  <c r="G333" i="12" s="1"/>
  <c r="BZ335" i="7"/>
  <c r="D230" i="12"/>
  <c r="K230" i="12" s="1"/>
  <c r="B230" i="12"/>
  <c r="A230" i="12"/>
  <c r="BU232" i="7"/>
  <c r="CG232" i="7"/>
  <c r="CF232" i="7"/>
  <c r="CR232" i="7"/>
  <c r="BZ211" i="7"/>
  <c r="CB211" i="7"/>
  <c r="G209" i="12" s="1"/>
  <c r="CM37" i="7"/>
  <c r="CS37" i="7"/>
  <c r="CK37" i="7"/>
  <c r="CQ37" i="7"/>
  <c r="CO37" i="7"/>
  <c r="CJ37" i="7"/>
  <c r="CP37" i="7"/>
  <c r="CN37" i="7"/>
  <c r="CL37" i="7"/>
  <c r="CJ237" i="7"/>
  <c r="CQ237" i="7"/>
  <c r="CP237" i="7"/>
  <c r="CO237" i="7"/>
  <c r="CN237" i="7"/>
  <c r="CM237" i="7"/>
  <c r="CL237" i="7"/>
  <c r="CS237" i="7"/>
  <c r="CK237" i="7"/>
  <c r="D127" i="12"/>
  <c r="K127" i="12" s="1"/>
  <c r="B127" i="12"/>
  <c r="A127" i="12"/>
  <c r="BU129" i="7"/>
  <c r="CR129" i="7"/>
  <c r="CG129" i="7"/>
  <c r="CF129" i="7"/>
  <c r="BZ342" i="7"/>
  <c r="CB342" i="7"/>
  <c r="G340" i="12" s="1"/>
  <c r="CB275" i="7"/>
  <c r="G273" i="12" s="1"/>
  <c r="BZ275" i="7"/>
  <c r="CQ250" i="7"/>
  <c r="CP250" i="7"/>
  <c r="CO250" i="7"/>
  <c r="CN250" i="7"/>
  <c r="CM250" i="7"/>
  <c r="CL250" i="7"/>
  <c r="CS250" i="7"/>
  <c r="CK250" i="7"/>
  <c r="CJ250" i="7"/>
  <c r="H89" i="12"/>
  <c r="I89" i="12"/>
  <c r="H292" i="12"/>
  <c r="I292" i="12"/>
  <c r="A240" i="12"/>
  <c r="D240" i="12"/>
  <c r="K240" i="12" s="1"/>
  <c r="B240" i="12"/>
  <c r="CG242" i="7"/>
  <c r="CF242" i="7"/>
  <c r="BU242" i="7"/>
  <c r="CR242" i="7"/>
  <c r="I132" i="12"/>
  <c r="H132" i="12"/>
  <c r="H68" i="12"/>
  <c r="I68" i="12"/>
  <c r="CB370" i="7"/>
  <c r="G368" i="12" s="1"/>
  <c r="BZ370" i="7"/>
  <c r="CB192" i="7"/>
  <c r="G190" i="12" s="1"/>
  <c r="BZ192" i="7"/>
  <c r="CB288" i="7"/>
  <c r="G286" i="12" s="1"/>
  <c r="BZ288" i="7"/>
  <c r="CP171" i="7"/>
  <c r="CO171" i="7"/>
  <c r="CN171" i="7"/>
  <c r="CM171" i="7"/>
  <c r="CL171" i="7"/>
  <c r="CS171" i="7"/>
  <c r="CK171" i="7"/>
  <c r="CQ171" i="7"/>
  <c r="CJ171" i="7"/>
  <c r="B330" i="12"/>
  <c r="A330" i="12"/>
  <c r="D330" i="12"/>
  <c r="K330" i="12" s="1"/>
  <c r="BU332" i="7"/>
  <c r="CR332" i="7"/>
  <c r="CF332" i="7"/>
  <c r="CG332" i="7"/>
  <c r="I165" i="12"/>
  <c r="H165" i="12"/>
  <c r="I110" i="12"/>
  <c r="H110" i="12"/>
  <c r="BZ66" i="7"/>
  <c r="CB66" i="7"/>
  <c r="G64" i="12" s="1"/>
  <c r="D264" i="12"/>
  <c r="K264" i="12" s="1"/>
  <c r="B264" i="12"/>
  <c r="A264" i="12"/>
  <c r="BU266" i="7"/>
  <c r="CG266" i="7"/>
  <c r="CF266" i="7"/>
  <c r="CR266" i="7"/>
  <c r="D253" i="12"/>
  <c r="K253" i="12" s="1"/>
  <c r="A253" i="12"/>
  <c r="B253" i="12"/>
  <c r="CG255" i="7"/>
  <c r="CF255" i="7"/>
  <c r="BU255" i="7"/>
  <c r="CR255" i="7"/>
  <c r="CB239" i="7"/>
  <c r="G237" i="12" s="1"/>
  <c r="BZ239" i="7"/>
  <c r="CB20" i="7"/>
  <c r="G18" i="12" s="1"/>
  <c r="BZ20" i="7"/>
  <c r="CP92" i="7"/>
  <c r="CO92" i="7"/>
  <c r="CN92" i="7"/>
  <c r="CM92" i="7"/>
  <c r="CL92" i="7"/>
  <c r="CS92" i="7"/>
  <c r="CK92" i="7"/>
  <c r="CQ92" i="7"/>
  <c r="CJ92" i="7"/>
  <c r="CO63" i="7"/>
  <c r="CS63" i="7"/>
  <c r="CK63" i="7"/>
  <c r="CQ63" i="7"/>
  <c r="CP63" i="7"/>
  <c r="CN63" i="7"/>
  <c r="CM63" i="7"/>
  <c r="CL63" i="7"/>
  <c r="CJ63" i="7"/>
  <c r="H307" i="12"/>
  <c r="I307" i="12"/>
  <c r="BZ318" i="7"/>
  <c r="CB318" i="7"/>
  <c r="G316" i="12" s="1"/>
  <c r="CM146" i="7"/>
  <c r="CL146" i="7"/>
  <c r="CS146" i="7"/>
  <c r="CK146" i="7"/>
  <c r="CJ146" i="7"/>
  <c r="CQ146" i="7"/>
  <c r="CP146" i="7"/>
  <c r="CN146" i="7"/>
  <c r="CO146" i="7"/>
  <c r="B291" i="12"/>
  <c r="A291" i="12"/>
  <c r="D291" i="12"/>
  <c r="K291" i="12" s="1"/>
  <c r="BU293" i="7"/>
  <c r="CR293" i="7"/>
  <c r="CG293" i="7"/>
  <c r="CF293" i="7"/>
  <c r="I331" i="12"/>
  <c r="H331" i="12"/>
  <c r="H203" i="12"/>
  <c r="I203" i="12"/>
  <c r="A289" i="12"/>
  <c r="D289" i="12"/>
  <c r="K289" i="12" s="1"/>
  <c r="B289" i="12"/>
  <c r="CF291" i="7"/>
  <c r="BU291" i="7"/>
  <c r="CR291" i="7"/>
  <c r="CG291" i="7"/>
  <c r="I222" i="12"/>
  <c r="H222" i="12"/>
  <c r="CQ323" i="7"/>
  <c r="CP323" i="7"/>
  <c r="CO323" i="7"/>
  <c r="CN323" i="7"/>
  <c r="CM323" i="7"/>
  <c r="CL323" i="7"/>
  <c r="CS323" i="7"/>
  <c r="CK323" i="7"/>
  <c r="CJ323" i="7"/>
  <c r="CP377" i="7"/>
  <c r="CO377" i="7"/>
  <c r="CN377" i="7"/>
  <c r="CM377" i="7"/>
  <c r="CL377" i="7"/>
  <c r="CS377" i="7"/>
  <c r="CK377" i="7"/>
  <c r="CJ377" i="7"/>
  <c r="CQ377" i="7"/>
  <c r="CO13" i="7"/>
  <c r="CN13" i="7"/>
  <c r="CM13" i="7"/>
  <c r="CL13" i="7"/>
  <c r="CS13" i="7"/>
  <c r="CK13" i="7"/>
  <c r="CJ13" i="7"/>
  <c r="CQ13" i="7"/>
  <c r="CP13" i="7"/>
  <c r="I377" i="12"/>
  <c r="H377" i="12"/>
  <c r="CQ31" i="7"/>
  <c r="CO31" i="7"/>
  <c r="CM31" i="7"/>
  <c r="CS31" i="7"/>
  <c r="CK31" i="7"/>
  <c r="CP31" i="7"/>
  <c r="CN31" i="7"/>
  <c r="CL31" i="7"/>
  <c r="CJ31" i="7"/>
  <c r="B88" i="12"/>
  <c r="A88" i="12"/>
  <c r="D88" i="12"/>
  <c r="K88" i="12" s="1"/>
  <c r="BU90" i="7"/>
  <c r="CR90" i="7"/>
  <c r="CG90" i="7"/>
  <c r="CF90" i="7"/>
  <c r="CB33" i="7"/>
  <c r="G31" i="12" s="1"/>
  <c r="BZ33" i="7"/>
  <c r="CM49" i="7"/>
  <c r="CL49" i="7"/>
  <c r="CS49" i="7"/>
  <c r="CK49" i="7"/>
  <c r="CJ49" i="7"/>
  <c r="CQ49" i="7"/>
  <c r="CP49" i="7"/>
  <c r="CO49" i="7"/>
  <c r="CN49" i="7"/>
  <c r="I259" i="12"/>
  <c r="H259" i="12"/>
  <c r="H20" i="12"/>
  <c r="I20" i="12"/>
  <c r="CS55" i="7"/>
  <c r="CK55" i="7"/>
  <c r="CP55" i="7"/>
  <c r="CO55" i="7"/>
  <c r="CN55" i="7"/>
  <c r="CM55" i="7"/>
  <c r="CL55" i="7"/>
  <c r="CJ55" i="7"/>
  <c r="CQ55" i="7"/>
  <c r="CM64" i="7"/>
  <c r="CS64" i="7"/>
  <c r="CK64" i="7"/>
  <c r="CQ64" i="7"/>
  <c r="CP64" i="7"/>
  <c r="CO64" i="7"/>
  <c r="CN64" i="7"/>
  <c r="CL64" i="7"/>
  <c r="CJ64" i="7"/>
  <c r="CB204" i="7"/>
  <c r="G202" i="12" s="1"/>
  <c r="BZ204" i="7"/>
  <c r="A65" i="12"/>
  <c r="D65" i="12"/>
  <c r="K65" i="12" s="1"/>
  <c r="B65" i="12"/>
  <c r="CF67" i="7"/>
  <c r="BU67" i="7"/>
  <c r="CG67" i="7"/>
  <c r="CR67" i="7"/>
  <c r="BZ169" i="7"/>
  <c r="CB169" i="7"/>
  <c r="G167" i="12" s="1"/>
  <c r="CB155" i="7"/>
  <c r="G153" i="12" s="1"/>
  <c r="BZ155" i="7"/>
  <c r="D270" i="12"/>
  <c r="K270" i="12" s="1"/>
  <c r="B270" i="12"/>
  <c r="A270" i="12"/>
  <c r="BU272" i="7"/>
  <c r="CR272" i="7"/>
  <c r="CG272" i="7"/>
  <c r="CF272" i="7"/>
  <c r="B205" i="12"/>
  <c r="D205" i="12"/>
  <c r="K205" i="12" s="1"/>
  <c r="A205" i="12"/>
  <c r="BU207" i="7"/>
  <c r="CR207" i="7"/>
  <c r="CG207" i="7"/>
  <c r="CF207" i="7"/>
  <c r="CS59" i="7"/>
  <c r="CK59" i="7"/>
  <c r="CQ59" i="7"/>
  <c r="CP59" i="7"/>
  <c r="CO59" i="7"/>
  <c r="CN59" i="7"/>
  <c r="CM59" i="7"/>
  <c r="CL59" i="7"/>
  <c r="CJ59" i="7"/>
  <c r="CB290" i="7"/>
  <c r="G288" i="12" s="1"/>
  <c r="BZ290" i="7"/>
  <c r="CP320" i="7"/>
  <c r="CO320" i="7"/>
  <c r="CN320" i="7"/>
  <c r="CM320" i="7"/>
  <c r="CL320" i="7"/>
  <c r="CS320" i="7"/>
  <c r="CK320" i="7"/>
  <c r="CJ320" i="7"/>
  <c r="CQ320" i="7"/>
  <c r="B338" i="12"/>
  <c r="D338" i="12"/>
  <c r="K338" i="12" s="1"/>
  <c r="A338" i="12"/>
  <c r="BU340" i="7"/>
  <c r="CR340" i="7"/>
  <c r="CG340" i="7"/>
  <c r="CF340" i="7"/>
  <c r="BZ234" i="7"/>
  <c r="CB234" i="7"/>
  <c r="G232" i="12" s="1"/>
  <c r="D172" i="12"/>
  <c r="K172" i="12" s="1"/>
  <c r="B172" i="12"/>
  <c r="A172" i="12"/>
  <c r="CG174" i="7"/>
  <c r="CF174" i="7"/>
  <c r="CR174" i="7"/>
  <c r="BU174" i="7"/>
  <c r="D140" i="12"/>
  <c r="K140" i="12" s="1"/>
  <c r="B140" i="12"/>
  <c r="A140" i="12"/>
  <c r="CG142" i="7"/>
  <c r="CR142" i="7"/>
  <c r="BU142" i="7"/>
  <c r="CF142" i="7"/>
  <c r="CP117" i="7"/>
  <c r="CO117" i="7"/>
  <c r="CN117" i="7"/>
  <c r="CM117" i="7"/>
  <c r="CL117" i="7"/>
  <c r="CS117" i="7"/>
  <c r="CK117" i="7"/>
  <c r="CJ117" i="7"/>
  <c r="CQ117" i="7"/>
  <c r="BZ130" i="7"/>
  <c r="CB130" i="7"/>
  <c r="G128" i="12" s="1"/>
  <c r="CM9" i="7"/>
  <c r="CL9" i="7"/>
  <c r="CS9" i="7"/>
  <c r="CK9" i="7"/>
  <c r="CJ9" i="7"/>
  <c r="CQ9" i="7"/>
  <c r="CP9" i="7"/>
  <c r="CO9" i="7"/>
  <c r="CN9" i="7"/>
  <c r="H382" i="12"/>
  <c r="I382" i="12"/>
  <c r="CB351" i="7"/>
  <c r="G349" i="12" s="1"/>
  <c r="BZ351" i="7"/>
  <c r="I87" i="12"/>
  <c r="H87" i="12"/>
  <c r="BZ102" i="7"/>
  <c r="CB102" i="7"/>
  <c r="G100" i="12" s="1"/>
  <c r="I318" i="12"/>
  <c r="H318" i="12"/>
  <c r="CB340" i="7"/>
  <c r="G338" i="12" s="1"/>
  <c r="BZ340" i="7"/>
  <c r="CP369" i="7"/>
  <c r="CO369" i="7"/>
  <c r="CN369" i="7"/>
  <c r="CM369" i="7"/>
  <c r="CL369" i="7"/>
  <c r="CS369" i="7"/>
  <c r="CK369" i="7"/>
  <c r="CJ369" i="7"/>
  <c r="CQ369" i="7"/>
  <c r="CB25" i="7"/>
  <c r="G23" i="12" s="1"/>
  <c r="BZ25" i="7"/>
  <c r="B308" i="12"/>
  <c r="D308" i="12"/>
  <c r="K308" i="12" s="1"/>
  <c r="A308" i="12"/>
  <c r="CR310" i="7"/>
  <c r="CG310" i="7"/>
  <c r="CF310" i="7"/>
  <c r="BU310" i="7"/>
  <c r="BZ174" i="7"/>
  <c r="CB174" i="7"/>
  <c r="G172" i="12" s="1"/>
  <c r="BZ142" i="7"/>
  <c r="CB142" i="7"/>
  <c r="G140" i="12" s="1"/>
  <c r="I319" i="12"/>
  <c r="H319" i="12"/>
  <c r="A343" i="12"/>
  <c r="B343" i="12"/>
  <c r="D343" i="12"/>
  <c r="K343" i="12" s="1"/>
  <c r="BU345" i="7"/>
  <c r="CR345" i="7"/>
  <c r="CG345" i="7"/>
  <c r="CF345" i="7"/>
  <c r="CM311" i="7"/>
  <c r="CL311" i="7"/>
  <c r="CS311" i="7"/>
  <c r="CK311" i="7"/>
  <c r="CJ311" i="7"/>
  <c r="CQ311" i="7"/>
  <c r="CP311" i="7"/>
  <c r="CO311" i="7"/>
  <c r="CN311" i="7"/>
  <c r="CQ260" i="7"/>
  <c r="CK260" i="7"/>
  <c r="CS260" i="7"/>
  <c r="CJ260" i="7"/>
  <c r="CP260" i="7"/>
  <c r="CO260" i="7"/>
  <c r="CN260" i="7"/>
  <c r="CM260" i="7"/>
  <c r="CL260" i="7"/>
  <c r="H10" i="12"/>
  <c r="I10" i="12"/>
  <c r="B147" i="12"/>
  <c r="D147" i="12"/>
  <c r="K147" i="12" s="1"/>
  <c r="A147" i="12"/>
  <c r="BU149" i="7"/>
  <c r="CR149" i="7"/>
  <c r="CF149" i="7"/>
  <c r="CG149" i="7"/>
  <c r="D28" i="12"/>
  <c r="K28" i="12" s="1"/>
  <c r="B28" i="12"/>
  <c r="A28" i="12"/>
  <c r="BU30" i="7"/>
  <c r="CF30" i="7"/>
  <c r="CG30" i="7"/>
  <c r="CR30" i="7"/>
  <c r="CB263" i="7"/>
  <c r="G261" i="12" s="1"/>
  <c r="BZ263" i="7"/>
  <c r="CB68" i="7"/>
  <c r="G66" i="12" s="1"/>
  <c r="BZ68" i="7"/>
  <c r="CJ15" i="7"/>
  <c r="CQ15" i="7"/>
  <c r="CP15" i="7"/>
  <c r="CO15" i="7"/>
  <c r="CN15" i="7"/>
  <c r="CM15" i="7"/>
  <c r="CL15" i="7"/>
  <c r="CS15" i="7"/>
  <c r="CK15" i="7"/>
  <c r="I294" i="12"/>
  <c r="H294" i="12"/>
  <c r="I94" i="12"/>
  <c r="H94" i="12"/>
  <c r="B221" i="12"/>
  <c r="D221" i="12"/>
  <c r="K221" i="12" s="1"/>
  <c r="A221" i="12"/>
  <c r="BU223" i="7"/>
  <c r="CR223" i="7"/>
  <c r="CG223" i="7"/>
  <c r="CF223" i="7"/>
  <c r="CS26" i="7"/>
  <c r="CK26" i="7"/>
  <c r="CQ26" i="7"/>
  <c r="CO26" i="7"/>
  <c r="CM26" i="7"/>
  <c r="CP26" i="7"/>
  <c r="CN26" i="7"/>
  <c r="CL26" i="7"/>
  <c r="CJ26" i="7"/>
  <c r="H58" i="12"/>
  <c r="I58" i="12"/>
  <c r="I200" i="12"/>
  <c r="H200" i="12"/>
  <c r="I213" i="12"/>
  <c r="H213" i="12"/>
  <c r="CB141" i="7"/>
  <c r="G139" i="12" s="1"/>
  <c r="BZ141" i="7"/>
  <c r="H312" i="12"/>
  <c r="I312" i="12"/>
  <c r="CB84" i="7"/>
  <c r="G82" i="12" s="1"/>
  <c r="BZ84" i="7"/>
  <c r="CB301" i="7"/>
  <c r="G299" i="12" s="1"/>
  <c r="BZ301" i="7"/>
  <c r="CS378" i="7"/>
  <c r="CK378" i="7"/>
  <c r="CJ378" i="7"/>
  <c r="CQ378" i="7"/>
  <c r="CP378" i="7"/>
  <c r="CO378" i="7"/>
  <c r="CN378" i="7"/>
  <c r="CM378" i="7"/>
  <c r="CL378" i="7"/>
  <c r="H60" i="12"/>
  <c r="I60" i="12"/>
  <c r="CB100" i="7"/>
  <c r="G98" i="12" s="1"/>
  <c r="BZ100" i="7"/>
  <c r="CB353" i="7"/>
  <c r="G351" i="12" s="1"/>
  <c r="BZ353" i="7"/>
  <c r="CB132" i="7"/>
  <c r="G130" i="12" s="1"/>
  <c r="BZ132" i="7"/>
  <c r="CB119" i="7"/>
  <c r="G117" i="12" s="1"/>
  <c r="BZ119" i="7"/>
  <c r="D76" i="12"/>
  <c r="K76" i="12" s="1"/>
  <c r="B76" i="12"/>
  <c r="A76" i="12"/>
  <c r="BU78" i="7"/>
  <c r="CF78" i="7"/>
  <c r="CG78" i="7"/>
  <c r="CR78" i="7"/>
  <c r="CM228" i="7"/>
  <c r="CL228" i="7"/>
  <c r="CS228" i="7"/>
  <c r="CK228" i="7"/>
  <c r="CP228" i="7"/>
  <c r="CQ228" i="7"/>
  <c r="CO228" i="7"/>
  <c r="CN228" i="7"/>
  <c r="CJ228" i="7"/>
  <c r="CM343" i="7"/>
  <c r="CL343" i="7"/>
  <c r="CS343" i="7"/>
  <c r="CK343" i="7"/>
  <c r="CJ343" i="7"/>
  <c r="CQ343" i="7"/>
  <c r="CP343" i="7"/>
  <c r="CO343" i="7"/>
  <c r="CN343" i="7"/>
  <c r="CB213" i="7"/>
  <c r="G211" i="12" s="1"/>
  <c r="BZ213" i="7"/>
  <c r="H36" i="12"/>
  <c r="I36" i="12"/>
  <c r="BZ350" i="7"/>
  <c r="CB350" i="7"/>
  <c r="G348" i="12" s="1"/>
  <c r="CM11" i="7"/>
  <c r="CL11" i="7"/>
  <c r="CS11" i="7"/>
  <c r="CK11" i="7"/>
  <c r="CJ11" i="7"/>
  <c r="CQ11" i="7"/>
  <c r="CP11" i="7"/>
  <c r="CO11" i="7"/>
  <c r="CN11" i="7"/>
  <c r="CB160" i="7"/>
  <c r="G158" i="12" s="1"/>
  <c r="BZ160" i="7"/>
  <c r="H277" i="12"/>
  <c r="I277" i="12"/>
  <c r="D215" i="12"/>
  <c r="K215" i="12" s="1"/>
  <c r="A215" i="12"/>
  <c r="B215" i="12"/>
  <c r="BU217" i="7"/>
  <c r="CR217" i="7"/>
  <c r="CG217" i="7"/>
  <c r="CF217" i="7"/>
  <c r="A359" i="12"/>
  <c r="D359" i="12"/>
  <c r="K359" i="12" s="1"/>
  <c r="B359" i="12"/>
  <c r="CF361" i="7"/>
  <c r="CR361" i="7"/>
  <c r="CG361" i="7"/>
  <c r="BU361" i="7"/>
  <c r="CB140" i="7"/>
  <c r="G138" i="12" s="1"/>
  <c r="BZ140" i="7"/>
  <c r="CB133" i="7"/>
  <c r="G131" i="12" s="1"/>
  <c r="BZ133" i="7"/>
  <c r="CQ10" i="7"/>
  <c r="CP10" i="7"/>
  <c r="CO10" i="7"/>
  <c r="CN10" i="7"/>
  <c r="CM10" i="7"/>
  <c r="CL10" i="7"/>
  <c r="CS10" i="7"/>
  <c r="CK10" i="7"/>
  <c r="CJ10" i="7"/>
  <c r="B252" i="12"/>
  <c r="D252" i="12"/>
  <c r="K252" i="12" s="1"/>
  <c r="A252" i="12"/>
  <c r="BU254" i="7"/>
  <c r="CR254" i="7"/>
  <c r="CG254" i="7"/>
  <c r="CF254" i="7"/>
  <c r="BZ53" i="7"/>
  <c r="CB53" i="7"/>
  <c r="G51" i="12" s="1"/>
  <c r="CB110" i="7"/>
  <c r="G108" i="12" s="1"/>
  <c r="BZ110" i="7"/>
  <c r="CB16" i="7"/>
  <c r="G14" i="12" s="1"/>
  <c r="BZ16" i="7"/>
  <c r="I41" i="12"/>
  <c r="H41" i="12"/>
  <c r="A184" i="12"/>
  <c r="D184" i="12"/>
  <c r="K184" i="12" s="1"/>
  <c r="B184" i="12"/>
  <c r="BU186" i="7"/>
  <c r="CR186" i="7"/>
  <c r="CG186" i="7"/>
  <c r="CF186" i="7"/>
  <c r="CB98" i="7"/>
  <c r="G96" i="12" s="1"/>
  <c r="BZ98" i="7"/>
  <c r="CO36" i="7"/>
  <c r="CM36" i="7"/>
  <c r="CS36" i="7"/>
  <c r="CK36" i="7"/>
  <c r="CQ36" i="7"/>
  <c r="CL36" i="7"/>
  <c r="CJ36" i="7"/>
  <c r="CP36" i="7"/>
  <c r="CN36" i="7"/>
  <c r="CL324" i="7"/>
  <c r="CS324" i="7"/>
  <c r="CK324" i="7"/>
  <c r="CJ324" i="7"/>
  <c r="CQ324" i="7"/>
  <c r="CP324" i="7"/>
  <c r="CO324" i="7"/>
  <c r="CN324" i="7"/>
  <c r="CM324" i="7"/>
  <c r="CQ120" i="7"/>
  <c r="CP120" i="7"/>
  <c r="CO120" i="7"/>
  <c r="CN120" i="7"/>
  <c r="CM120" i="7"/>
  <c r="CL120" i="7"/>
  <c r="CS120" i="7"/>
  <c r="CK120" i="7"/>
  <c r="CJ120" i="7"/>
  <c r="H370" i="12"/>
  <c r="I370" i="12"/>
  <c r="CM19" i="7"/>
  <c r="CS19" i="7"/>
  <c r="CK19" i="7"/>
  <c r="CQ19" i="7"/>
  <c r="CP19" i="7"/>
  <c r="CO19" i="7"/>
  <c r="CN19" i="7"/>
  <c r="CL19" i="7"/>
  <c r="CJ19" i="7"/>
  <c r="I114" i="12"/>
  <c r="H114" i="12"/>
  <c r="CB77" i="7"/>
  <c r="G75" i="12" s="1"/>
  <c r="BZ77" i="7"/>
  <c r="CB178" i="7"/>
  <c r="G176" i="12" s="1"/>
  <c r="BZ178" i="7"/>
  <c r="CB248" i="7"/>
  <c r="G246" i="12" s="1"/>
  <c r="BZ248" i="7"/>
  <c r="B364" i="12"/>
  <c r="D364" i="12"/>
  <c r="K364" i="12" s="1"/>
  <c r="A364" i="12"/>
  <c r="CF366" i="7"/>
  <c r="BU366" i="7"/>
  <c r="CR366" i="7"/>
  <c r="CG366" i="7"/>
  <c r="I149" i="12"/>
  <c r="H149" i="12"/>
  <c r="H326" i="12"/>
  <c r="I326" i="12"/>
  <c r="B193" i="12"/>
  <c r="D193" i="12"/>
  <c r="K193" i="12" s="1"/>
  <c r="A193" i="12"/>
  <c r="CR195" i="7"/>
  <c r="CG195" i="7"/>
  <c r="CF195" i="7"/>
  <c r="BU195" i="7"/>
  <c r="BZ137" i="7"/>
  <c r="CB137" i="7"/>
  <c r="G135" i="12" s="1"/>
  <c r="I43" i="12"/>
  <c r="H43" i="12"/>
  <c r="CQ190" i="7"/>
  <c r="CP190" i="7"/>
  <c r="CO190" i="7"/>
  <c r="CN190" i="7"/>
  <c r="CM190" i="7"/>
  <c r="CL190" i="7"/>
  <c r="CS190" i="7"/>
  <c r="CK190" i="7"/>
  <c r="CJ190" i="7"/>
  <c r="H44" i="12"/>
  <c r="I44" i="12"/>
  <c r="CB243" i="7"/>
  <c r="G241" i="12" s="1"/>
  <c r="BZ243" i="7"/>
  <c r="CO139" i="7"/>
  <c r="CM139" i="7"/>
  <c r="CL139" i="7"/>
  <c r="CS139" i="7"/>
  <c r="CK139" i="7"/>
  <c r="CQ139" i="7"/>
  <c r="CP139" i="7"/>
  <c r="CN139" i="7"/>
  <c r="CJ139" i="7"/>
  <c r="CB382" i="7"/>
  <c r="G380" i="12" s="1"/>
  <c r="BZ382" i="7"/>
  <c r="D269" i="12"/>
  <c r="K269" i="12" s="1"/>
  <c r="B269" i="12"/>
  <c r="A269" i="12"/>
  <c r="BU271" i="7"/>
  <c r="CR271" i="7"/>
  <c r="CG271" i="7"/>
  <c r="CF271" i="7"/>
  <c r="CM58" i="7"/>
  <c r="CO58" i="7"/>
  <c r="CN58" i="7"/>
  <c r="CL58" i="7"/>
  <c r="CK58" i="7"/>
  <c r="CS58" i="7"/>
  <c r="CJ58" i="7"/>
  <c r="CQ58" i="7"/>
  <c r="CP58" i="7"/>
  <c r="CB249" i="7"/>
  <c r="G247" i="12" s="1"/>
  <c r="BZ249" i="7"/>
  <c r="I123" i="12"/>
  <c r="H123" i="12"/>
  <c r="B185" i="12"/>
  <c r="D185" i="12"/>
  <c r="K185" i="12" s="1"/>
  <c r="A185" i="12"/>
  <c r="CG187" i="7"/>
  <c r="CF187" i="7"/>
  <c r="BU187" i="7"/>
  <c r="CR187" i="7"/>
  <c r="CM7" i="7"/>
  <c r="CL7" i="7"/>
  <c r="CS7" i="7"/>
  <c r="CK7" i="7"/>
  <c r="CJ7" i="7"/>
  <c r="CQ7" i="7"/>
  <c r="CP7" i="7"/>
  <c r="CO7" i="7"/>
  <c r="CN7" i="7"/>
  <c r="CB226" i="7"/>
  <c r="G224" i="12" s="1"/>
  <c r="BZ226" i="7"/>
  <c r="CB184" i="7"/>
  <c r="G182" i="12" s="1"/>
  <c r="BZ184" i="7"/>
  <c r="H371" i="12"/>
  <c r="I371" i="12"/>
  <c r="H243" i="12"/>
  <c r="I243" i="12"/>
  <c r="D266" i="12"/>
  <c r="K266" i="12" s="1"/>
  <c r="A266" i="12"/>
  <c r="B266" i="12"/>
  <c r="CR268" i="7"/>
  <c r="CG268" i="7"/>
  <c r="CF268" i="7"/>
  <c r="BU268" i="7"/>
  <c r="B352" i="12"/>
  <c r="A352" i="12"/>
  <c r="D352" i="12"/>
  <c r="K352" i="12" s="1"/>
  <c r="BU354" i="7"/>
  <c r="CR354" i="7"/>
  <c r="CG354" i="7"/>
  <c r="CF354" i="7"/>
  <c r="I126" i="12"/>
  <c r="H126" i="12"/>
  <c r="CO357" i="7"/>
  <c r="CN357" i="7"/>
  <c r="CM357" i="7"/>
  <c r="CL357" i="7"/>
  <c r="CS357" i="7"/>
  <c r="CK357" i="7"/>
  <c r="CJ357" i="7"/>
  <c r="CQ357" i="7"/>
  <c r="CP357" i="7"/>
  <c r="BZ115" i="7"/>
  <c r="CB115" i="7"/>
  <c r="G113" i="12" s="1"/>
  <c r="CB208" i="7"/>
  <c r="G206" i="12" s="1"/>
  <c r="BZ208" i="7"/>
  <c r="B171" i="12"/>
  <c r="A171" i="12"/>
  <c r="D171" i="12"/>
  <c r="K171" i="12" s="1"/>
  <c r="BU173" i="7"/>
  <c r="CR173" i="7"/>
  <c r="CF173" i="7"/>
  <c r="CG173" i="7"/>
  <c r="D366" i="12"/>
  <c r="K366" i="12" s="1"/>
  <c r="A366" i="12"/>
  <c r="B366" i="12"/>
  <c r="BU368" i="7"/>
  <c r="CR368" i="7"/>
  <c r="CG368" i="7"/>
  <c r="CF368" i="7"/>
  <c r="A204" i="12"/>
  <c r="D204" i="12"/>
  <c r="K204" i="12" s="1"/>
  <c r="B204" i="12"/>
  <c r="CR206" i="7"/>
  <c r="CG206" i="7"/>
  <c r="CF206" i="7"/>
  <c r="BU206" i="7"/>
  <c r="CM162" i="7"/>
  <c r="CL162" i="7"/>
  <c r="CS162" i="7"/>
  <c r="CK162" i="7"/>
  <c r="CJ162" i="7"/>
  <c r="CQ162" i="7"/>
  <c r="CP162" i="7"/>
  <c r="CN162" i="7"/>
  <c r="CO162" i="7"/>
  <c r="I325" i="12"/>
  <c r="H325" i="12"/>
  <c r="CB264" i="7"/>
  <c r="G262" i="12" s="1"/>
  <c r="BZ264" i="7"/>
  <c r="I54" i="12"/>
  <c r="H54" i="12"/>
  <c r="D16" i="12"/>
  <c r="K16" i="12" s="1"/>
  <c r="B16" i="12"/>
  <c r="A16" i="12"/>
  <c r="BU18" i="7"/>
  <c r="CR18" i="7"/>
  <c r="CG18" i="7"/>
  <c r="CF18" i="7"/>
  <c r="A297" i="12"/>
  <c r="D297" i="12"/>
  <c r="K297" i="12" s="1"/>
  <c r="B297" i="12"/>
  <c r="CG299" i="7"/>
  <c r="BU299" i="7"/>
  <c r="CR299" i="7"/>
  <c r="CF299" i="7"/>
  <c r="CB147" i="7"/>
  <c r="G145" i="12" s="1"/>
  <c r="BZ147" i="7"/>
  <c r="CS337" i="7"/>
  <c r="CK337" i="7"/>
  <c r="CJ337" i="7"/>
  <c r="CQ337" i="7"/>
  <c r="CP337" i="7"/>
  <c r="CO337" i="7"/>
  <c r="CN337" i="7"/>
  <c r="CM337" i="7"/>
  <c r="CL337" i="7"/>
  <c r="CN257" i="7"/>
  <c r="CM257" i="7"/>
  <c r="CL257" i="7"/>
  <c r="CS257" i="7"/>
  <c r="CK257" i="7"/>
  <c r="CJ257" i="7"/>
  <c r="CQ257" i="7"/>
  <c r="CP257" i="7"/>
  <c r="CO257" i="7"/>
  <c r="BZ276" i="7"/>
  <c r="CB276" i="7"/>
  <c r="G274" i="12" s="1"/>
  <c r="CB352" i="7"/>
  <c r="G350" i="12" s="1"/>
  <c r="BZ352" i="7"/>
  <c r="CL235" i="7"/>
  <c r="CS235" i="7"/>
  <c r="CK235" i="7"/>
  <c r="CJ235" i="7"/>
  <c r="CQ235" i="7"/>
  <c r="CP235" i="7"/>
  <c r="CO235" i="7"/>
  <c r="CN235" i="7"/>
  <c r="CM235" i="7"/>
  <c r="CB34" i="7"/>
  <c r="G32" i="12" s="1"/>
  <c r="BZ34" i="7"/>
  <c r="CN127" i="7"/>
  <c r="CM127" i="7"/>
  <c r="CL127" i="7"/>
  <c r="CS127" i="7"/>
  <c r="CK127" i="7"/>
  <c r="CJ127" i="7"/>
  <c r="CQ127" i="7"/>
  <c r="CP127" i="7"/>
  <c r="CO127" i="7"/>
  <c r="CO72" i="7"/>
  <c r="CM72" i="7"/>
  <c r="CS72" i="7"/>
  <c r="CK72" i="7"/>
  <c r="CQ72" i="7"/>
  <c r="CL72" i="7"/>
  <c r="CJ72" i="7"/>
  <c r="CP72" i="7"/>
  <c r="CN72" i="7"/>
  <c r="CP216" i="7"/>
  <c r="CO216" i="7"/>
  <c r="CN216" i="7"/>
  <c r="CM216" i="7"/>
  <c r="CL216" i="7"/>
  <c r="CS216" i="7"/>
  <c r="CK216" i="7"/>
  <c r="CJ216" i="7"/>
  <c r="CQ216" i="7"/>
  <c r="B346" i="12"/>
  <c r="A346" i="12"/>
  <c r="D346" i="12"/>
  <c r="K346" i="12" s="1"/>
  <c r="BU348" i="7"/>
  <c r="CR348" i="7"/>
  <c r="CG348" i="7"/>
  <c r="CF348" i="7"/>
  <c r="J2" i="12"/>
  <c r="J14" i="5"/>
  <c r="L14" i="5"/>
  <c r="K14" i="5"/>
  <c r="K16" i="5"/>
  <c r="K17" i="5" s="1"/>
  <c r="J16" i="5"/>
  <c r="J17" i="5" s="1"/>
  <c r="L16" i="5"/>
  <c r="L17" i="5" s="1"/>
  <c r="BZ347" i="7"/>
  <c r="CB347" i="7"/>
  <c r="G345" i="12" s="1"/>
  <c r="H260" i="12"/>
  <c r="I260" i="12"/>
  <c r="I280" i="12"/>
  <c r="H280" i="12"/>
  <c r="B22" i="12"/>
  <c r="D22" i="12"/>
  <c r="K22" i="12" s="1"/>
  <c r="A22" i="12"/>
  <c r="BU24" i="7"/>
  <c r="CG24" i="7"/>
  <c r="CF24" i="7"/>
  <c r="CR24" i="7"/>
  <c r="BZ199" i="7"/>
  <c r="CB199" i="7"/>
  <c r="G197" i="12" s="1"/>
  <c r="D136" i="12"/>
  <c r="K136" i="12" s="1"/>
  <c r="B136" i="12"/>
  <c r="A136" i="12"/>
  <c r="CR138" i="7"/>
  <c r="CG138" i="7"/>
  <c r="BU138" i="7"/>
  <c r="CF138" i="7"/>
  <c r="H369" i="12"/>
  <c r="I369" i="12"/>
  <c r="BZ227" i="7"/>
  <c r="CB227" i="7"/>
  <c r="G225" i="12" s="1"/>
  <c r="CL251" i="7"/>
  <c r="CS251" i="7"/>
  <c r="CK251" i="7"/>
  <c r="CJ251" i="7"/>
  <c r="CQ251" i="7"/>
  <c r="CP251" i="7"/>
  <c r="CO251" i="7"/>
  <c r="CN251" i="7"/>
  <c r="CM251" i="7"/>
  <c r="I257" i="12"/>
  <c r="H257" i="12"/>
  <c r="B329" i="12"/>
  <c r="D329" i="12"/>
  <c r="K329" i="12" s="1"/>
  <c r="A329" i="12"/>
  <c r="CG331" i="7"/>
  <c r="CF331" i="7"/>
  <c r="BU331" i="7"/>
  <c r="CR331" i="7"/>
  <c r="A263" i="12"/>
  <c r="D263" i="12"/>
  <c r="K263" i="12" s="1"/>
  <c r="B263" i="12"/>
  <c r="CG265" i="7"/>
  <c r="BU265" i="7"/>
  <c r="CR265" i="7"/>
  <c r="CF265" i="7"/>
  <c r="CL212" i="7"/>
  <c r="CS212" i="7"/>
  <c r="CK212" i="7"/>
  <c r="CJ212" i="7"/>
  <c r="CQ212" i="7"/>
  <c r="CP212" i="7"/>
  <c r="CO212" i="7"/>
  <c r="CN212" i="7"/>
  <c r="CM212" i="7"/>
  <c r="H48" i="12"/>
  <c r="I48" i="12"/>
  <c r="B218" i="12"/>
  <c r="D218" i="12"/>
  <c r="K218" i="12" s="1"/>
  <c r="A218" i="12"/>
  <c r="BU220" i="7"/>
  <c r="CR220" i="7"/>
  <c r="CG220" i="7"/>
  <c r="CF220" i="7"/>
  <c r="A180" i="12"/>
  <c r="D180" i="12"/>
  <c r="K180" i="12" s="1"/>
  <c r="B180" i="12"/>
  <c r="CG182" i="7"/>
  <c r="CF182" i="7"/>
  <c r="CR182" i="7"/>
  <c r="BU182" i="7"/>
  <c r="CB329" i="7"/>
  <c r="G327" i="12" s="1"/>
  <c r="BZ329" i="7"/>
  <c r="CB168" i="7"/>
  <c r="G166" i="12" s="1"/>
  <c r="BZ168" i="7"/>
  <c r="CQ39" i="7"/>
  <c r="CO39" i="7"/>
  <c r="CM39" i="7"/>
  <c r="CS39" i="7"/>
  <c r="CK39" i="7"/>
  <c r="CP39" i="7"/>
  <c r="CN39" i="7"/>
  <c r="CL39" i="7"/>
  <c r="CJ39" i="7"/>
  <c r="B26" i="12"/>
  <c r="D26" i="12"/>
  <c r="K26" i="12" s="1"/>
  <c r="A26" i="12"/>
  <c r="CF28" i="7"/>
  <c r="BU28" i="7"/>
  <c r="CG28" i="7"/>
  <c r="CR28" i="7"/>
  <c r="CB360" i="7"/>
  <c r="G358" i="12" s="1"/>
  <c r="BZ360" i="7"/>
  <c r="I365" i="12"/>
  <c r="H365" i="12"/>
  <c r="CB232" i="7"/>
  <c r="G230" i="12" s="1"/>
  <c r="BZ232" i="7"/>
  <c r="B155" i="12"/>
  <c r="A155" i="12"/>
  <c r="D155" i="12"/>
  <c r="K155" i="12" s="1"/>
  <c r="BU157" i="7"/>
  <c r="CR157" i="7"/>
  <c r="CF157" i="7"/>
  <c r="CG157" i="7"/>
  <c r="CQ355" i="7"/>
  <c r="CP355" i="7"/>
  <c r="CO355" i="7"/>
  <c r="CN355" i="7"/>
  <c r="CM355" i="7"/>
  <c r="CL355" i="7"/>
  <c r="CS355" i="7"/>
  <c r="CK355" i="7"/>
  <c r="CJ355" i="7"/>
  <c r="H162" i="12"/>
  <c r="I162" i="12"/>
  <c r="CN338" i="7"/>
  <c r="CM338" i="7"/>
  <c r="CL338" i="7"/>
  <c r="CS338" i="7"/>
  <c r="CK338" i="7"/>
  <c r="CJ338" i="7"/>
  <c r="CQ338" i="7"/>
  <c r="CP338" i="7"/>
  <c r="CO338" i="7"/>
  <c r="D334" i="12"/>
  <c r="K334" i="12" s="1"/>
  <c r="A334" i="12"/>
  <c r="B334" i="12"/>
  <c r="CG336" i="7"/>
  <c r="CF336" i="7"/>
  <c r="BU336" i="7"/>
  <c r="CR336" i="7"/>
  <c r="CM154" i="7"/>
  <c r="CL154" i="7"/>
  <c r="CS154" i="7"/>
  <c r="CK154" i="7"/>
  <c r="CJ154" i="7"/>
  <c r="CQ154" i="7"/>
  <c r="CP154" i="7"/>
  <c r="CN154" i="7"/>
  <c r="CO154" i="7"/>
  <c r="D19" i="12"/>
  <c r="K19" i="12" s="1"/>
  <c r="B19" i="12"/>
  <c r="A19" i="12"/>
  <c r="BU21" i="7"/>
  <c r="CF21" i="7"/>
  <c r="CG21" i="7"/>
  <c r="CR21" i="7"/>
  <c r="I25" i="12"/>
  <c r="H25" i="12"/>
  <c r="CB129" i="7"/>
  <c r="G127" i="12" s="1"/>
  <c r="BZ129" i="7"/>
  <c r="A208" i="12"/>
  <c r="B208" i="12"/>
  <c r="D208" i="12"/>
  <c r="K208" i="12" s="1"/>
  <c r="BU210" i="7"/>
  <c r="CR210" i="7"/>
  <c r="CG210" i="7"/>
  <c r="CF210" i="7"/>
  <c r="I59" i="12"/>
  <c r="H59" i="12"/>
  <c r="BZ242" i="7"/>
  <c r="CB242" i="7"/>
  <c r="G240" i="12" s="1"/>
  <c r="D132" i="12"/>
  <c r="K132" i="12" s="1"/>
  <c r="B132" i="12"/>
  <c r="A132" i="12"/>
  <c r="CR134" i="7"/>
  <c r="CG134" i="7"/>
  <c r="CF134" i="7"/>
  <c r="BU134" i="7"/>
  <c r="CS74" i="7"/>
  <c r="CK74" i="7"/>
  <c r="CQ74" i="7"/>
  <c r="CO74" i="7"/>
  <c r="CM74" i="7"/>
  <c r="CP74" i="7"/>
  <c r="CN74" i="7"/>
  <c r="CL74" i="7"/>
  <c r="CJ74" i="7"/>
  <c r="CB70" i="7"/>
  <c r="G68" i="12" s="1"/>
  <c r="BZ70" i="7"/>
  <c r="BZ105" i="7"/>
  <c r="CB105" i="7"/>
  <c r="G103" i="12" s="1"/>
  <c r="BZ334" i="7"/>
  <c r="CB334" i="7"/>
  <c r="G332" i="12" s="1"/>
  <c r="I169" i="12"/>
  <c r="H169" i="12"/>
  <c r="I63" i="12"/>
  <c r="H63" i="12"/>
  <c r="CB332" i="7"/>
  <c r="G330" i="12" s="1"/>
  <c r="BZ332" i="7"/>
  <c r="CL175" i="7"/>
  <c r="CS175" i="7"/>
  <c r="CK175" i="7"/>
  <c r="CJ175" i="7"/>
  <c r="CQ175" i="7"/>
  <c r="CP175" i="7"/>
  <c r="CO175" i="7"/>
  <c r="CM175" i="7"/>
  <c r="CN175" i="7"/>
  <c r="I101" i="12"/>
  <c r="H101" i="12"/>
  <c r="I238" i="12"/>
  <c r="H238" i="12"/>
  <c r="D64" i="12"/>
  <c r="K64" i="12" s="1"/>
  <c r="B64" i="12"/>
  <c r="A64" i="12"/>
  <c r="CF66" i="7"/>
  <c r="CG66" i="7"/>
  <c r="BU66" i="7"/>
  <c r="CR66" i="7"/>
  <c r="CB266" i="7"/>
  <c r="G264" i="12" s="1"/>
  <c r="BZ266" i="7"/>
  <c r="CB255" i="7"/>
  <c r="G253" i="12" s="1"/>
  <c r="BZ255" i="7"/>
  <c r="CS20" i="7"/>
  <c r="CK20" i="7"/>
  <c r="CQ20" i="7"/>
  <c r="CP20" i="7"/>
  <c r="CO20" i="7"/>
  <c r="CN20" i="7"/>
  <c r="CM20" i="7"/>
  <c r="CL20" i="7"/>
  <c r="CJ20" i="7"/>
  <c r="CB40" i="7"/>
  <c r="G38" i="12" s="1"/>
  <c r="BZ40" i="7"/>
  <c r="I90" i="12"/>
  <c r="H90" i="12"/>
  <c r="H144" i="12"/>
  <c r="I144" i="12"/>
  <c r="CB293" i="7"/>
  <c r="G291" i="12" s="1"/>
  <c r="BZ293" i="7"/>
  <c r="D105" i="12"/>
  <c r="K105" i="12" s="1"/>
  <c r="B105" i="12"/>
  <c r="A105" i="12"/>
  <c r="CG107" i="7"/>
  <c r="CF107" i="7"/>
  <c r="CR107" i="7"/>
  <c r="BU107" i="7"/>
  <c r="D203" i="12"/>
  <c r="K203" i="12" s="1"/>
  <c r="B203" i="12"/>
  <c r="A203" i="12"/>
  <c r="CF205" i="7"/>
  <c r="BU205" i="7"/>
  <c r="CR205" i="7"/>
  <c r="CG205" i="7"/>
  <c r="CB291" i="7"/>
  <c r="G289" i="12" s="1"/>
  <c r="BZ291" i="7"/>
  <c r="CP385" i="7"/>
  <c r="CO385" i="7"/>
  <c r="CN385" i="7"/>
  <c r="CM385" i="7"/>
  <c r="CL385" i="7"/>
  <c r="CS385" i="7"/>
  <c r="CK385" i="7"/>
  <c r="CJ385" i="7"/>
  <c r="CQ385" i="7"/>
  <c r="I375" i="12"/>
  <c r="H375" i="12"/>
  <c r="I11" i="12"/>
  <c r="H11" i="12"/>
  <c r="CN330" i="7"/>
  <c r="CL330" i="7"/>
  <c r="CS330" i="7"/>
  <c r="CK330" i="7"/>
  <c r="CQ330" i="7"/>
  <c r="CP330" i="7"/>
  <c r="CO330" i="7"/>
  <c r="CM330" i="7"/>
  <c r="CJ330" i="7"/>
  <c r="CB196" i="7"/>
  <c r="G194" i="12" s="1"/>
  <c r="BZ196" i="7"/>
  <c r="A73" i="12"/>
  <c r="D73" i="12"/>
  <c r="K73" i="12" s="1"/>
  <c r="B73" i="12"/>
  <c r="CF75" i="7"/>
  <c r="BU75" i="7"/>
  <c r="CR75" i="7"/>
  <c r="CG75" i="7"/>
  <c r="CB90" i="7"/>
  <c r="G88" i="12" s="1"/>
  <c r="BZ90" i="7"/>
  <c r="D31" i="12"/>
  <c r="K31" i="12" s="1"/>
  <c r="B31" i="12"/>
  <c r="A31" i="12"/>
  <c r="BU33" i="7"/>
  <c r="CF33" i="7"/>
  <c r="CR33" i="7"/>
  <c r="CG33" i="7"/>
  <c r="H74" i="12"/>
  <c r="I74" i="12"/>
  <c r="B107" i="12"/>
  <c r="A107" i="12"/>
  <c r="D107" i="12"/>
  <c r="K107" i="12" s="1"/>
  <c r="CF109" i="7"/>
  <c r="BU109" i="7"/>
  <c r="CR109" i="7"/>
  <c r="CG109" i="7"/>
  <c r="I47" i="12"/>
  <c r="H47" i="12"/>
  <c r="CQ47" i="7"/>
  <c r="CP47" i="7"/>
  <c r="CO47" i="7"/>
  <c r="CN47" i="7"/>
  <c r="CM47" i="7"/>
  <c r="CL47" i="7"/>
  <c r="CS47" i="7"/>
  <c r="CK47" i="7"/>
  <c r="CJ47" i="7"/>
  <c r="I256" i="12"/>
  <c r="H256" i="12"/>
  <c r="BZ22" i="7"/>
  <c r="CB22" i="7"/>
  <c r="G20" i="12" s="1"/>
  <c r="CP229" i="7"/>
  <c r="CO229" i="7"/>
  <c r="CN229" i="7"/>
  <c r="CS229" i="7"/>
  <c r="CK229" i="7"/>
  <c r="CL229" i="7"/>
  <c r="CJ229" i="7"/>
  <c r="CQ229" i="7"/>
  <c r="CM229" i="7"/>
  <c r="I53" i="12"/>
  <c r="H53" i="12"/>
  <c r="D278" i="12"/>
  <c r="K278" i="12" s="1"/>
  <c r="B278" i="12"/>
  <c r="A278" i="12"/>
  <c r="BU280" i="7"/>
  <c r="CR280" i="7"/>
  <c r="CG280" i="7"/>
  <c r="CF280" i="7"/>
  <c r="CB54" i="7"/>
  <c r="G52" i="12" s="1"/>
  <c r="BZ54" i="7"/>
  <c r="CO387" i="7"/>
  <c r="CN387" i="7"/>
  <c r="CM387" i="7"/>
  <c r="CL387" i="7"/>
  <c r="CS387" i="7"/>
  <c r="CK387" i="7"/>
  <c r="CJ387" i="7"/>
  <c r="CQ387" i="7"/>
  <c r="CP387" i="7"/>
  <c r="CB272" i="7"/>
  <c r="G270" i="12" s="1"/>
  <c r="BZ272" i="7"/>
  <c r="I33" i="12"/>
  <c r="H33" i="12"/>
  <c r="H57" i="12"/>
  <c r="I57" i="12"/>
  <c r="CM384" i="7"/>
  <c r="CL384" i="7"/>
  <c r="CS384" i="7"/>
  <c r="CK384" i="7"/>
  <c r="CJ384" i="7"/>
  <c r="CQ384" i="7"/>
  <c r="CP384" i="7"/>
  <c r="CO384" i="7"/>
  <c r="CN384" i="7"/>
  <c r="CQ166" i="7"/>
  <c r="CP166" i="7"/>
  <c r="CO166" i="7"/>
  <c r="CN166" i="7"/>
  <c r="CM166" i="7"/>
  <c r="CL166" i="7"/>
  <c r="CJ166" i="7"/>
  <c r="CS166" i="7"/>
  <c r="CK166" i="7"/>
  <c r="CB59" i="7"/>
  <c r="G57" i="12" s="1"/>
  <c r="BZ59" i="7"/>
  <c r="CL290" i="7"/>
  <c r="CS290" i="7"/>
  <c r="CK290" i="7"/>
  <c r="CJ290" i="7"/>
  <c r="CQ290" i="7"/>
  <c r="CP290" i="7"/>
  <c r="CO290" i="7"/>
  <c r="CN290" i="7"/>
  <c r="CM290" i="7"/>
  <c r="H293" i="12"/>
  <c r="I293" i="12"/>
  <c r="I115" i="12"/>
  <c r="H115" i="12"/>
  <c r="B128" i="12"/>
  <c r="A128" i="12"/>
  <c r="D128" i="12"/>
  <c r="K128" i="12" s="1"/>
  <c r="CR130" i="7"/>
  <c r="CG130" i="7"/>
  <c r="CF130" i="7"/>
  <c r="BU130" i="7"/>
  <c r="I7" i="12"/>
  <c r="H7" i="12"/>
  <c r="D310" i="12"/>
  <c r="K310" i="12" s="1"/>
  <c r="B310" i="12"/>
  <c r="A310" i="12"/>
  <c r="CG312" i="7"/>
  <c r="CF312" i="7"/>
  <c r="BU312" i="7"/>
  <c r="CR312" i="7"/>
  <c r="CQ339" i="7"/>
  <c r="CP339" i="7"/>
  <c r="CO339" i="7"/>
  <c r="CN339" i="7"/>
  <c r="CM339" i="7"/>
  <c r="CL339" i="7"/>
  <c r="CS339" i="7"/>
  <c r="CK339" i="7"/>
  <c r="CJ339" i="7"/>
  <c r="H164" i="12"/>
  <c r="I164" i="12"/>
  <c r="CN101" i="7"/>
  <c r="CQ101" i="7"/>
  <c r="CP101" i="7"/>
  <c r="CO101" i="7"/>
  <c r="CM101" i="7"/>
  <c r="CL101" i="7"/>
  <c r="CK101" i="7"/>
  <c r="CS101" i="7"/>
  <c r="CJ101" i="7"/>
  <c r="A228" i="12"/>
  <c r="D228" i="12"/>
  <c r="K228" i="12" s="1"/>
  <c r="B228" i="12"/>
  <c r="BU230" i="7"/>
  <c r="CR230" i="7"/>
  <c r="CG230" i="7"/>
  <c r="CF230" i="7"/>
  <c r="CJ193" i="7"/>
  <c r="CQ193" i="7"/>
  <c r="CP193" i="7"/>
  <c r="CO193" i="7"/>
  <c r="CN193" i="7"/>
  <c r="CM193" i="7"/>
  <c r="CL193" i="7"/>
  <c r="CS193" i="7"/>
  <c r="CK193" i="7"/>
  <c r="I300" i="12"/>
  <c r="H300" i="12"/>
  <c r="I367" i="12"/>
  <c r="H367" i="12"/>
  <c r="D23" i="12"/>
  <c r="K23" i="12" s="1"/>
  <c r="B23" i="12"/>
  <c r="A23" i="12"/>
  <c r="BU25" i="7"/>
  <c r="CF25" i="7"/>
  <c r="CR25" i="7"/>
  <c r="CG25" i="7"/>
  <c r="BZ310" i="7"/>
  <c r="CB310" i="7"/>
  <c r="G308" i="12" s="1"/>
  <c r="CS188" i="7"/>
  <c r="CK188" i="7"/>
  <c r="CJ188" i="7"/>
  <c r="CQ188" i="7"/>
  <c r="CP188" i="7"/>
  <c r="CO188" i="7"/>
  <c r="CN188" i="7"/>
  <c r="CL188" i="7"/>
  <c r="CM188" i="7"/>
  <c r="I39" i="12"/>
  <c r="H39" i="12"/>
  <c r="A311" i="12"/>
  <c r="D311" i="12"/>
  <c r="K311" i="12" s="1"/>
  <c r="B311" i="12"/>
  <c r="BU313" i="7"/>
  <c r="CR313" i="7"/>
  <c r="CG313" i="7"/>
  <c r="CF313" i="7"/>
  <c r="CB345" i="7"/>
  <c r="G343" i="12" s="1"/>
  <c r="BZ345" i="7"/>
  <c r="I309" i="12"/>
  <c r="H309" i="12"/>
  <c r="CQ359" i="7"/>
  <c r="CS359" i="7"/>
  <c r="CJ359" i="7"/>
  <c r="CP359" i="7"/>
  <c r="CO359" i="7"/>
  <c r="CN359" i="7"/>
  <c r="CM359" i="7"/>
  <c r="CL359" i="7"/>
  <c r="CK359" i="7"/>
  <c r="B324" i="12"/>
  <c r="D324" i="12"/>
  <c r="K324" i="12" s="1"/>
  <c r="A324" i="12"/>
  <c r="CR326" i="7"/>
  <c r="CG326" i="7"/>
  <c r="CF326" i="7"/>
  <c r="BU326" i="7"/>
  <c r="B276" i="12"/>
  <c r="D276" i="12"/>
  <c r="K276" i="12" s="1"/>
  <c r="A276" i="12"/>
  <c r="CG278" i="7"/>
  <c r="CF278" i="7"/>
  <c r="BU278" i="7"/>
  <c r="CR278" i="7"/>
  <c r="D174" i="12"/>
  <c r="K174" i="12" s="1"/>
  <c r="B174" i="12"/>
  <c r="A174" i="12"/>
  <c r="CF176" i="7"/>
  <c r="BU176" i="7"/>
  <c r="CR176" i="7"/>
  <c r="CG176" i="7"/>
  <c r="CB149" i="7"/>
  <c r="G147" i="12" s="1"/>
  <c r="BZ149" i="7"/>
  <c r="H183" i="12"/>
  <c r="I183" i="12"/>
  <c r="CN322" i="7"/>
  <c r="CM322" i="7"/>
  <c r="CL322" i="7"/>
  <c r="CS322" i="7"/>
  <c r="CK322" i="7"/>
  <c r="CJ322" i="7"/>
  <c r="CQ322" i="7"/>
  <c r="CP322" i="7"/>
  <c r="CO322" i="7"/>
  <c r="D302" i="12"/>
  <c r="K302" i="12" s="1"/>
  <c r="A302" i="12"/>
  <c r="B302" i="12"/>
  <c r="CG304" i="7"/>
  <c r="CF304" i="7"/>
  <c r="BU304" i="7"/>
  <c r="CR304" i="7"/>
  <c r="CS263" i="7"/>
  <c r="CK263" i="7"/>
  <c r="CJ263" i="7"/>
  <c r="CP263" i="7"/>
  <c r="CO263" i="7"/>
  <c r="CL263" i="7"/>
  <c r="CQ263" i="7"/>
  <c r="CN263" i="7"/>
  <c r="CM263" i="7"/>
  <c r="CM68" i="7"/>
  <c r="CS68" i="7"/>
  <c r="CK68" i="7"/>
  <c r="CQ68" i="7"/>
  <c r="CP68" i="7"/>
  <c r="CO68" i="7"/>
  <c r="CN68" i="7"/>
  <c r="CL68" i="7"/>
  <c r="CJ68" i="7"/>
  <c r="CQ289" i="7"/>
  <c r="CP289" i="7"/>
  <c r="CO289" i="7"/>
  <c r="CN289" i="7"/>
  <c r="CM289" i="7"/>
  <c r="CL289" i="7"/>
  <c r="CS289" i="7"/>
  <c r="CK289" i="7"/>
  <c r="CJ289" i="7"/>
  <c r="I159" i="12"/>
  <c r="H159" i="12"/>
  <c r="BZ296" i="7"/>
  <c r="CB296" i="7"/>
  <c r="G294" i="12" s="1"/>
  <c r="CJ358" i="7"/>
  <c r="CQ358" i="7"/>
  <c r="CP358" i="7"/>
  <c r="CO358" i="7"/>
  <c r="CN358" i="7"/>
  <c r="CM358" i="7"/>
  <c r="CL358" i="7"/>
  <c r="CS358" i="7"/>
  <c r="CK358" i="7"/>
  <c r="I373" i="12"/>
  <c r="H373" i="12"/>
  <c r="BZ60" i="7"/>
  <c r="CB60" i="7"/>
  <c r="G58" i="12" s="1"/>
  <c r="D124" i="12"/>
  <c r="K124" i="12" s="1"/>
  <c r="B124" i="12"/>
  <c r="A124" i="12"/>
  <c r="BU126" i="7"/>
  <c r="CR126" i="7"/>
  <c r="CG126" i="7"/>
  <c r="CF126" i="7"/>
  <c r="CN202" i="7"/>
  <c r="CM202" i="7"/>
  <c r="CS202" i="7"/>
  <c r="CK202" i="7"/>
  <c r="CJ202" i="7"/>
  <c r="CQ202" i="7"/>
  <c r="CL202" i="7"/>
  <c r="CP202" i="7"/>
  <c r="CO202" i="7"/>
  <c r="D285" i="12"/>
  <c r="K285" i="12" s="1"/>
  <c r="B285" i="12"/>
  <c r="A285" i="12"/>
  <c r="BU287" i="7"/>
  <c r="CR287" i="7"/>
  <c r="CG287" i="7"/>
  <c r="CF287" i="7"/>
  <c r="D342" i="12"/>
  <c r="K342" i="12" s="1"/>
  <c r="B342" i="12"/>
  <c r="A342" i="12"/>
  <c r="CG344" i="7"/>
  <c r="CF344" i="7"/>
  <c r="BU344" i="7"/>
  <c r="CR344" i="7"/>
  <c r="BZ62" i="7"/>
  <c r="CB62" i="7"/>
  <c r="G60" i="12" s="1"/>
  <c r="D98" i="12"/>
  <c r="K98" i="12" s="1"/>
  <c r="B98" i="12"/>
  <c r="A98" i="12"/>
  <c r="BU100" i="7"/>
  <c r="CR100" i="7"/>
  <c r="CG100" i="7"/>
  <c r="CF100" i="7"/>
  <c r="A220" i="12"/>
  <c r="D220" i="12"/>
  <c r="K220" i="12" s="1"/>
  <c r="B220" i="12"/>
  <c r="CG222" i="7"/>
  <c r="CF222" i="7"/>
  <c r="BU222" i="7"/>
  <c r="CR222" i="7"/>
  <c r="I143" i="12"/>
  <c r="H143" i="12"/>
  <c r="CN198" i="7"/>
  <c r="CM198" i="7"/>
  <c r="CK198" i="7"/>
  <c r="CJ198" i="7"/>
  <c r="CS198" i="7"/>
  <c r="CQ198" i="7"/>
  <c r="CP198" i="7"/>
  <c r="CO198" i="7"/>
  <c r="CL198" i="7"/>
  <c r="I341" i="12"/>
  <c r="H341" i="12"/>
  <c r="D122" i="12"/>
  <c r="K122" i="12" s="1"/>
  <c r="B122" i="12"/>
  <c r="A122" i="12"/>
  <c r="BU124" i="7"/>
  <c r="CR124" i="7"/>
  <c r="CG124" i="7"/>
  <c r="CF124" i="7"/>
  <c r="I71" i="12"/>
  <c r="H71" i="12"/>
  <c r="CB38" i="7"/>
  <c r="G36" i="12" s="1"/>
  <c r="BZ38" i="7"/>
  <c r="I9" i="12"/>
  <c r="H9" i="12"/>
  <c r="A212" i="12"/>
  <c r="D212" i="12"/>
  <c r="K212" i="12" s="1"/>
  <c r="B212" i="12"/>
  <c r="CR214" i="7"/>
  <c r="CG214" i="7"/>
  <c r="CF214" i="7"/>
  <c r="BU214" i="7"/>
  <c r="CB217" i="7"/>
  <c r="G215" i="12" s="1"/>
  <c r="BZ217" i="7"/>
  <c r="CS133" i="7"/>
  <c r="CK133" i="7"/>
  <c r="CQ133" i="7"/>
  <c r="CP133" i="7"/>
  <c r="CO133" i="7"/>
  <c r="CN133" i="7"/>
  <c r="CM133" i="7"/>
  <c r="CL133" i="7"/>
  <c r="CJ133" i="7"/>
  <c r="I4" i="12"/>
  <c r="H4" i="12"/>
  <c r="CB254" i="7"/>
  <c r="G252" i="12" s="1"/>
  <c r="BZ254" i="7"/>
  <c r="CN93" i="7"/>
  <c r="CM93" i="7"/>
  <c r="CL93" i="7"/>
  <c r="CS93" i="7"/>
  <c r="CK93" i="7"/>
  <c r="CJ93" i="7"/>
  <c r="CQ93" i="7"/>
  <c r="CO93" i="7"/>
  <c r="CP93" i="7"/>
  <c r="B51" i="12"/>
  <c r="D51" i="12"/>
  <c r="K51" i="12" s="1"/>
  <c r="A51" i="12"/>
  <c r="CF53" i="7"/>
  <c r="CR53" i="7"/>
  <c r="CG53" i="7"/>
  <c r="BU53" i="7"/>
  <c r="CJ153" i="7"/>
  <c r="CQ153" i="7"/>
  <c r="CP153" i="7"/>
  <c r="CO153" i="7"/>
  <c r="CN153" i="7"/>
  <c r="CM153" i="7"/>
  <c r="CS153" i="7"/>
  <c r="CK153" i="7"/>
  <c r="CL153" i="7"/>
  <c r="BZ43" i="7"/>
  <c r="CB43" i="7"/>
  <c r="G41" i="12" s="1"/>
  <c r="CB186" i="7"/>
  <c r="G184" i="12" s="1"/>
  <c r="BZ186" i="7"/>
  <c r="CM269" i="7"/>
  <c r="CL269" i="7"/>
  <c r="CS269" i="7"/>
  <c r="CK269" i="7"/>
  <c r="CJ269" i="7"/>
  <c r="CQ269" i="7"/>
  <c r="CP269" i="7"/>
  <c r="CO269" i="7"/>
  <c r="CN269" i="7"/>
  <c r="H322" i="12"/>
  <c r="I322" i="12"/>
  <c r="B268" i="12"/>
  <c r="D268" i="12"/>
  <c r="K268" i="12" s="1"/>
  <c r="A268" i="12"/>
  <c r="CG270" i="7"/>
  <c r="CF270" i="7"/>
  <c r="BU270" i="7"/>
  <c r="CR270" i="7"/>
  <c r="I192" i="12"/>
  <c r="H192" i="12"/>
  <c r="CO122" i="7"/>
  <c r="CN122" i="7"/>
  <c r="CM122" i="7"/>
  <c r="CL122" i="7"/>
  <c r="CS122" i="7"/>
  <c r="CK122" i="7"/>
  <c r="CJ122" i="7"/>
  <c r="CQ122" i="7"/>
  <c r="CP122" i="7"/>
  <c r="B75" i="12"/>
  <c r="D75" i="12"/>
  <c r="K75" i="12" s="1"/>
  <c r="A75" i="12"/>
  <c r="BU77" i="7"/>
  <c r="CF77" i="7"/>
  <c r="CR77" i="7"/>
  <c r="CG77" i="7"/>
  <c r="CB366" i="7"/>
  <c r="G364" i="12" s="1"/>
  <c r="BZ366" i="7"/>
  <c r="CJ123" i="7"/>
  <c r="CQ123" i="7"/>
  <c r="CP123" i="7"/>
  <c r="CO123" i="7"/>
  <c r="CN123" i="7"/>
  <c r="CM123" i="7"/>
  <c r="CL123" i="7"/>
  <c r="CS123" i="7"/>
  <c r="CK123" i="7"/>
  <c r="CB328" i="7"/>
  <c r="G326" i="12" s="1"/>
  <c r="BZ328" i="7"/>
  <c r="D150" i="12"/>
  <c r="K150" i="12" s="1"/>
  <c r="B150" i="12"/>
  <c r="A150" i="12"/>
  <c r="CF152" i="7"/>
  <c r="BU152" i="7"/>
  <c r="CR152" i="7"/>
  <c r="CG152" i="7"/>
  <c r="A49" i="12"/>
  <c r="D49" i="12"/>
  <c r="K49" i="12" s="1"/>
  <c r="B49" i="12"/>
  <c r="CG51" i="7"/>
  <c r="CF51" i="7"/>
  <c r="BU51" i="7"/>
  <c r="CR51" i="7"/>
  <c r="H137" i="12"/>
  <c r="I137" i="12"/>
  <c r="CL94" i="7"/>
  <c r="CS94" i="7"/>
  <c r="CK94" i="7"/>
  <c r="CJ94" i="7"/>
  <c r="CQ94" i="7"/>
  <c r="CP94" i="7"/>
  <c r="CO94" i="7"/>
  <c r="CM94" i="7"/>
  <c r="CN94" i="7"/>
  <c r="H148" i="12"/>
  <c r="I148" i="12"/>
  <c r="I77" i="12"/>
  <c r="H77" i="12"/>
  <c r="D313" i="12"/>
  <c r="K313" i="12" s="1"/>
  <c r="B313" i="12"/>
  <c r="A313" i="12"/>
  <c r="CG315" i="7"/>
  <c r="CF315" i="7"/>
  <c r="BU315" i="7"/>
  <c r="CR315" i="7"/>
  <c r="CB271" i="7"/>
  <c r="G269" i="12" s="1"/>
  <c r="BZ271" i="7"/>
  <c r="H56" i="12"/>
  <c r="I56" i="12"/>
  <c r="CJ87" i="7"/>
  <c r="CQ87" i="7"/>
  <c r="CP87" i="7"/>
  <c r="CO87" i="7"/>
  <c r="CN87" i="7"/>
  <c r="CM87" i="7"/>
  <c r="CS87" i="7"/>
  <c r="CK87" i="7"/>
  <c r="CL87" i="7"/>
  <c r="H154" i="12"/>
  <c r="I154" i="12"/>
  <c r="CB187" i="7"/>
  <c r="G185" i="12" s="1"/>
  <c r="BZ187" i="7"/>
  <c r="I5" i="12"/>
  <c r="H5" i="12"/>
  <c r="CS148" i="7"/>
  <c r="CK148" i="7"/>
  <c r="CJ148" i="7"/>
  <c r="CQ148" i="7"/>
  <c r="CP148" i="7"/>
  <c r="CO148" i="7"/>
  <c r="CN148" i="7"/>
  <c r="CL148" i="7"/>
  <c r="CM148" i="7"/>
  <c r="H282" i="12"/>
  <c r="I282" i="12"/>
  <c r="CP231" i="7"/>
  <c r="CN231" i="7"/>
  <c r="CM231" i="7"/>
  <c r="CL231" i="7"/>
  <c r="CS231" i="7"/>
  <c r="CK231" i="7"/>
  <c r="CQ231" i="7"/>
  <c r="CO231" i="7"/>
  <c r="CJ231" i="7"/>
  <c r="CN306" i="7"/>
  <c r="CM306" i="7"/>
  <c r="CL306" i="7"/>
  <c r="CS306" i="7"/>
  <c r="CK306" i="7"/>
  <c r="CJ306" i="7"/>
  <c r="CQ306" i="7"/>
  <c r="CP306" i="7"/>
  <c r="CO306" i="7"/>
  <c r="A161" i="12"/>
  <c r="D161" i="12"/>
  <c r="K161" i="12" s="1"/>
  <c r="B161" i="12"/>
  <c r="CG163" i="7"/>
  <c r="CF163" i="7"/>
  <c r="BU163" i="7"/>
  <c r="CR163" i="7"/>
  <c r="I134" i="12"/>
  <c r="H134" i="12"/>
  <c r="CL86" i="7"/>
  <c r="CS86" i="7"/>
  <c r="CK86" i="7"/>
  <c r="CJ86" i="7"/>
  <c r="CQ86" i="7"/>
  <c r="CP86" i="7"/>
  <c r="CO86" i="7"/>
  <c r="CM86" i="7"/>
  <c r="CN86" i="7"/>
  <c r="H40" i="12"/>
  <c r="I40" i="12"/>
  <c r="D116" i="12"/>
  <c r="K116" i="12" s="1"/>
  <c r="B116" i="12"/>
  <c r="A116" i="12"/>
  <c r="BU118" i="7"/>
  <c r="CR118" i="7"/>
  <c r="CG118" i="7"/>
  <c r="CF118" i="7"/>
  <c r="BZ268" i="7"/>
  <c r="CB268" i="7"/>
  <c r="G266" i="12" s="1"/>
  <c r="CM170" i="7"/>
  <c r="CL170" i="7"/>
  <c r="CS170" i="7"/>
  <c r="CK170" i="7"/>
  <c r="CJ170" i="7"/>
  <c r="CQ170" i="7"/>
  <c r="CP170" i="7"/>
  <c r="CN170" i="7"/>
  <c r="CO170" i="7"/>
  <c r="CB354" i="7"/>
  <c r="G352" i="12" s="1"/>
  <c r="BZ354" i="7"/>
  <c r="I355" i="12"/>
  <c r="H355" i="12"/>
  <c r="B362" i="12"/>
  <c r="D362" i="12"/>
  <c r="K362" i="12" s="1"/>
  <c r="A362" i="12"/>
  <c r="CG364" i="7"/>
  <c r="BU364" i="7"/>
  <c r="CF364" i="7"/>
  <c r="CR364" i="7"/>
  <c r="CB173" i="7"/>
  <c r="G171" i="12" s="1"/>
  <c r="BZ173" i="7"/>
  <c r="CB368" i="7"/>
  <c r="G366" i="12" s="1"/>
  <c r="BZ368" i="7"/>
  <c r="I133" i="12"/>
  <c r="H133" i="12"/>
  <c r="BZ206" i="7"/>
  <c r="CB206" i="7"/>
  <c r="G204" i="12" s="1"/>
  <c r="CM376" i="7"/>
  <c r="CL376" i="7"/>
  <c r="CS376" i="7"/>
  <c r="CK376" i="7"/>
  <c r="CJ376" i="7"/>
  <c r="CQ376" i="7"/>
  <c r="CP376" i="7"/>
  <c r="CO376" i="7"/>
  <c r="CN376" i="7"/>
  <c r="H160" i="12"/>
  <c r="I160" i="12"/>
  <c r="I303" i="12"/>
  <c r="H303" i="12"/>
  <c r="CB18" i="7"/>
  <c r="G16" i="12" s="1"/>
  <c r="BZ18" i="7"/>
  <c r="CN363" i="7"/>
  <c r="CM363" i="7"/>
  <c r="CS363" i="7"/>
  <c r="CK363" i="7"/>
  <c r="CQ363" i="7"/>
  <c r="CP363" i="7"/>
  <c r="CO363" i="7"/>
  <c r="CL363" i="7"/>
  <c r="CJ363" i="7"/>
  <c r="BZ299" i="7"/>
  <c r="CB299" i="7"/>
  <c r="G297" i="12" s="1"/>
  <c r="B80" i="12"/>
  <c r="A80" i="12"/>
  <c r="D80" i="12"/>
  <c r="K80" i="12" s="1"/>
  <c r="BU82" i="7"/>
  <c r="CF82" i="7"/>
  <c r="CG82" i="7"/>
  <c r="CR82" i="7"/>
  <c r="CB5" i="7"/>
  <c r="G3" i="12" s="1"/>
  <c r="BZ5" i="7"/>
  <c r="I255" i="12"/>
  <c r="H255" i="12"/>
  <c r="I233" i="12"/>
  <c r="H233" i="12"/>
  <c r="A379" i="12"/>
  <c r="D379" i="12"/>
  <c r="K379" i="12" s="1"/>
  <c r="B379" i="12"/>
  <c r="BU381" i="7"/>
  <c r="CR381" i="7"/>
  <c r="CG381" i="7"/>
  <c r="CF381" i="7"/>
  <c r="D32" i="12"/>
  <c r="K32" i="12" s="1"/>
  <c r="B32" i="12"/>
  <c r="A32" i="12"/>
  <c r="BU34" i="7"/>
  <c r="CF34" i="7"/>
  <c r="CG34" i="7"/>
  <c r="CR34" i="7"/>
  <c r="I125" i="12"/>
  <c r="H125" i="12"/>
  <c r="B46" i="12"/>
  <c r="D46" i="12"/>
  <c r="K46" i="12" s="1"/>
  <c r="A46" i="12"/>
  <c r="CF48" i="7"/>
  <c r="BU48" i="7"/>
  <c r="CR48" i="7"/>
  <c r="CG48" i="7"/>
  <c r="CS209" i="7"/>
  <c r="CK209" i="7"/>
  <c r="CJ209" i="7"/>
  <c r="CQ209" i="7"/>
  <c r="CP209" i="7"/>
  <c r="CO209" i="7"/>
  <c r="CN209" i="7"/>
  <c r="CM209" i="7"/>
  <c r="CL209" i="7"/>
  <c r="H290" i="12"/>
  <c r="I290" i="12"/>
  <c r="I214" i="12"/>
  <c r="H214" i="12"/>
  <c r="CB348" i="7"/>
  <c r="G346" i="12" s="1"/>
  <c r="BZ348" i="7"/>
  <c r="D2" i="12"/>
  <c r="K2" i="12" s="1"/>
  <c r="B2" i="12"/>
  <c r="A2" i="12"/>
  <c r="CF4" i="7"/>
  <c r="BU4" i="7"/>
  <c r="CC2" i="7"/>
  <c r="CG4" i="7"/>
  <c r="CR4" i="7"/>
  <c r="CO262" i="7"/>
  <c r="CQ262" i="7"/>
  <c r="CN262" i="7"/>
  <c r="CM262" i="7"/>
  <c r="CL262" i="7"/>
  <c r="CK262" i="7"/>
  <c r="CJ262" i="7"/>
  <c r="CS262" i="7"/>
  <c r="CP262" i="7"/>
  <c r="CS386" i="7"/>
  <c r="CK386" i="7"/>
  <c r="CJ386" i="7"/>
  <c r="CQ386" i="7"/>
  <c r="CP386" i="7"/>
  <c r="CO386" i="7"/>
  <c r="CN386" i="7"/>
  <c r="CM386" i="7"/>
  <c r="CL386" i="7"/>
  <c r="D106" i="12"/>
  <c r="K106" i="12" s="1"/>
  <c r="B106" i="12"/>
  <c r="A106" i="12"/>
  <c r="BU108" i="7"/>
  <c r="CR108" i="7"/>
  <c r="CG108" i="7"/>
  <c r="CF108" i="7"/>
  <c r="B197" i="12"/>
  <c r="A197" i="12"/>
  <c r="D197" i="12"/>
  <c r="K197" i="12" s="1"/>
  <c r="CG199" i="7"/>
  <c r="CF199" i="7"/>
  <c r="BU199" i="7"/>
  <c r="CR199" i="7"/>
  <c r="BZ138" i="7"/>
  <c r="CB138" i="7"/>
  <c r="G136" i="12" s="1"/>
  <c r="H249" i="12"/>
  <c r="I249" i="12"/>
  <c r="D27" i="12"/>
  <c r="K27" i="12" s="1"/>
  <c r="B27" i="12"/>
  <c r="A27" i="12"/>
  <c r="BU29" i="7"/>
  <c r="CF29" i="7"/>
  <c r="CG29" i="7"/>
  <c r="CR29" i="7"/>
  <c r="B354" i="12"/>
  <c r="A354" i="12"/>
  <c r="D354" i="12"/>
  <c r="K354" i="12" s="1"/>
  <c r="BU356" i="7"/>
  <c r="CR356" i="7"/>
  <c r="CG356" i="7"/>
  <c r="CF356" i="7"/>
  <c r="CO104" i="7"/>
  <c r="CN104" i="7"/>
  <c r="CL104" i="7"/>
  <c r="CK104" i="7"/>
  <c r="CJ104" i="7"/>
  <c r="CS104" i="7"/>
  <c r="CQ104" i="7"/>
  <c r="CP104" i="7"/>
  <c r="CM104" i="7"/>
  <c r="BZ331" i="7"/>
  <c r="CB331" i="7"/>
  <c r="G329" i="12" s="1"/>
  <c r="BZ265" i="7"/>
  <c r="CB265" i="7"/>
  <c r="G263" i="12" s="1"/>
  <c r="CM81" i="7"/>
  <c r="CS81" i="7"/>
  <c r="CK81" i="7"/>
  <c r="CQ81" i="7"/>
  <c r="CO81" i="7"/>
  <c r="CJ81" i="7"/>
  <c r="CP81" i="7"/>
  <c r="CN81" i="7"/>
  <c r="CL81" i="7"/>
  <c r="H210" i="12"/>
  <c r="I210" i="12"/>
  <c r="H378" i="12"/>
  <c r="I378" i="12"/>
  <c r="CB220" i="7"/>
  <c r="G218" i="12" s="1"/>
  <c r="BZ220" i="7"/>
  <c r="BZ182" i="7"/>
  <c r="CB182" i="7"/>
  <c r="G180" i="12" s="1"/>
  <c r="CM319" i="7"/>
  <c r="CL319" i="7"/>
  <c r="CS319" i="7"/>
  <c r="CK319" i="7"/>
  <c r="CJ319" i="7"/>
  <c r="CQ319" i="7"/>
  <c r="CP319" i="7"/>
  <c r="CO319" i="7"/>
  <c r="CN319" i="7"/>
  <c r="I279" i="12"/>
  <c r="H279" i="12"/>
  <c r="D156" i="12"/>
  <c r="K156" i="12" s="1"/>
  <c r="B156" i="12"/>
  <c r="A156" i="12"/>
  <c r="CG158" i="7"/>
  <c r="CF158" i="7"/>
  <c r="CR158" i="7"/>
  <c r="BU158" i="7"/>
  <c r="B344" i="12"/>
  <c r="D344" i="12"/>
  <c r="K344" i="12" s="1"/>
  <c r="A344" i="12"/>
  <c r="BU346" i="7"/>
  <c r="CR346" i="7"/>
  <c r="CG346" i="7"/>
  <c r="CF346" i="7"/>
  <c r="H358" i="12"/>
  <c r="I358" i="12"/>
  <c r="D93" i="12"/>
  <c r="K93" i="12" s="1"/>
  <c r="B93" i="12"/>
  <c r="A93" i="12"/>
  <c r="CR95" i="7"/>
  <c r="CG95" i="7"/>
  <c r="CF95" i="7"/>
  <c r="BU95" i="7"/>
  <c r="CB157" i="7"/>
  <c r="G155" i="12" s="1"/>
  <c r="BZ157" i="7"/>
  <c r="CB200" i="7"/>
  <c r="G198" i="12" s="1"/>
  <c r="BZ200" i="7"/>
  <c r="B162" i="12"/>
  <c r="D162" i="12"/>
  <c r="K162" i="12" s="1"/>
  <c r="A162" i="12"/>
  <c r="BU164" i="7"/>
  <c r="CR164" i="7"/>
  <c r="CG164" i="7"/>
  <c r="CF164" i="7"/>
  <c r="H336" i="12"/>
  <c r="I336" i="12"/>
  <c r="CB336" i="7"/>
  <c r="G334" i="12" s="1"/>
  <c r="BZ336" i="7"/>
  <c r="H152" i="12"/>
  <c r="I152" i="12"/>
  <c r="CQ219" i="7"/>
  <c r="CP219" i="7"/>
  <c r="CO219" i="7"/>
  <c r="CN219" i="7"/>
  <c r="CM219" i="7"/>
  <c r="CL219" i="7"/>
  <c r="CS219" i="7"/>
  <c r="CK219" i="7"/>
  <c r="CJ219" i="7"/>
  <c r="H235" i="12"/>
  <c r="I235" i="12"/>
  <c r="BZ27" i="7"/>
  <c r="CB27" i="7"/>
  <c r="G25" i="12" s="1"/>
  <c r="CM285" i="7"/>
  <c r="CL285" i="7"/>
  <c r="CS285" i="7"/>
  <c r="CK285" i="7"/>
  <c r="CJ285" i="7"/>
  <c r="CQ285" i="7"/>
  <c r="CP285" i="7"/>
  <c r="CO285" i="7"/>
  <c r="CN285" i="7"/>
  <c r="CB210" i="7"/>
  <c r="G208" i="12" s="1"/>
  <c r="BZ210" i="7"/>
  <c r="I248" i="12"/>
  <c r="H248" i="12"/>
  <c r="D89" i="12"/>
  <c r="K89" i="12" s="1"/>
  <c r="B89" i="12"/>
  <c r="A89" i="12"/>
  <c r="CR91" i="7"/>
  <c r="CG91" i="7"/>
  <c r="CF91" i="7"/>
  <c r="BU91" i="7"/>
  <c r="B292" i="12"/>
  <c r="D292" i="12"/>
  <c r="K292" i="12" s="1"/>
  <c r="A292" i="12"/>
  <c r="CG294" i="7"/>
  <c r="CF294" i="7"/>
  <c r="BU294" i="7"/>
  <c r="CR294" i="7"/>
  <c r="CL121" i="7"/>
  <c r="CS121" i="7"/>
  <c r="CK121" i="7"/>
  <c r="CJ121" i="7"/>
  <c r="CQ121" i="7"/>
  <c r="CP121" i="7"/>
  <c r="CO121" i="7"/>
  <c r="CN121" i="7"/>
  <c r="CM121" i="7"/>
  <c r="CB134" i="7"/>
  <c r="G132" i="12" s="1"/>
  <c r="BZ134" i="7"/>
  <c r="CO44" i="7"/>
  <c r="CN44" i="7"/>
  <c r="CM44" i="7"/>
  <c r="CL44" i="7"/>
  <c r="CS44" i="7"/>
  <c r="CK44" i="7"/>
  <c r="CQ44" i="7"/>
  <c r="CP44" i="7"/>
  <c r="CJ44" i="7"/>
  <c r="D68" i="12"/>
  <c r="K68" i="12" s="1"/>
  <c r="B68" i="12"/>
  <c r="A68" i="12"/>
  <c r="BU70" i="7"/>
  <c r="CF70" i="7"/>
  <c r="CG70" i="7"/>
  <c r="CR70" i="7"/>
  <c r="D103" i="12"/>
  <c r="K103" i="12" s="1"/>
  <c r="B103" i="12"/>
  <c r="A103" i="12"/>
  <c r="CR105" i="7"/>
  <c r="CG105" i="7"/>
  <c r="CF105" i="7"/>
  <c r="BU105" i="7"/>
  <c r="CS256" i="7"/>
  <c r="CK256" i="7"/>
  <c r="CJ256" i="7"/>
  <c r="CQ256" i="7"/>
  <c r="CP256" i="7"/>
  <c r="CO256" i="7"/>
  <c r="CN256" i="7"/>
  <c r="CM256" i="7"/>
  <c r="CL256" i="7"/>
  <c r="CS201" i="7"/>
  <c r="CK201" i="7"/>
  <c r="CP201" i="7"/>
  <c r="CO201" i="7"/>
  <c r="CN201" i="7"/>
  <c r="CQ201" i="7"/>
  <c r="CM201" i="7"/>
  <c r="CL201" i="7"/>
  <c r="CJ201" i="7"/>
  <c r="CL159" i="7"/>
  <c r="CS159" i="7"/>
  <c r="CK159" i="7"/>
  <c r="CJ159" i="7"/>
  <c r="CQ159" i="7"/>
  <c r="CP159" i="7"/>
  <c r="CO159" i="7"/>
  <c r="CM159" i="7"/>
  <c r="CN159" i="7"/>
  <c r="I173" i="12"/>
  <c r="H173" i="12"/>
  <c r="A165" i="12"/>
  <c r="D165" i="12"/>
  <c r="K165" i="12" s="1"/>
  <c r="B165" i="12"/>
  <c r="BU167" i="7"/>
  <c r="CR167" i="7"/>
  <c r="CG167" i="7"/>
  <c r="CF167" i="7"/>
  <c r="A110" i="12"/>
  <c r="D110" i="12"/>
  <c r="K110" i="12" s="1"/>
  <c r="B110" i="12"/>
  <c r="CG112" i="7"/>
  <c r="CF112" i="7"/>
  <c r="BU112" i="7"/>
  <c r="CR112" i="7"/>
  <c r="A236" i="12"/>
  <c r="B236" i="12"/>
  <c r="D236" i="12"/>
  <c r="K236" i="12" s="1"/>
  <c r="BU238" i="7"/>
  <c r="CR238" i="7"/>
  <c r="CG238" i="7"/>
  <c r="CF238" i="7"/>
  <c r="B38" i="12"/>
  <c r="A38" i="12"/>
  <c r="D38" i="12"/>
  <c r="K38" i="12" s="1"/>
  <c r="CF40" i="7"/>
  <c r="BU40" i="7"/>
  <c r="CR40" i="7"/>
  <c r="CG40" i="7"/>
  <c r="I61" i="12"/>
  <c r="H61" i="12"/>
  <c r="D307" i="12"/>
  <c r="K307" i="12" s="1"/>
  <c r="A307" i="12"/>
  <c r="B307" i="12"/>
  <c r="CF309" i="7"/>
  <c r="BU309" i="7"/>
  <c r="CR309" i="7"/>
  <c r="CG309" i="7"/>
  <c r="B306" i="12"/>
  <c r="A306" i="12"/>
  <c r="D306" i="12"/>
  <c r="K306" i="12" s="1"/>
  <c r="BU308" i="7"/>
  <c r="CR308" i="7"/>
  <c r="CG308" i="7"/>
  <c r="CF308" i="7"/>
  <c r="BZ107" i="7"/>
  <c r="CB107" i="7"/>
  <c r="G105" i="12" s="1"/>
  <c r="B331" i="12"/>
  <c r="D331" i="12"/>
  <c r="K331" i="12" s="1"/>
  <c r="A331" i="12"/>
  <c r="CF333" i="7"/>
  <c r="CR333" i="7"/>
  <c r="CG333" i="7"/>
  <c r="BU333" i="7"/>
  <c r="CB205" i="7"/>
  <c r="G203" i="12" s="1"/>
  <c r="BZ205" i="7"/>
  <c r="I321" i="12"/>
  <c r="H321" i="12"/>
  <c r="I383" i="12"/>
  <c r="H383" i="12"/>
  <c r="H328" i="12"/>
  <c r="I328" i="12"/>
  <c r="A377" i="12"/>
  <c r="B377" i="12"/>
  <c r="D377" i="12"/>
  <c r="K377" i="12" s="1"/>
  <c r="BU379" i="7"/>
  <c r="CR379" i="7"/>
  <c r="CG379" i="7"/>
  <c r="CF379" i="7"/>
  <c r="A29" i="12"/>
  <c r="D29" i="12"/>
  <c r="K29" i="12" s="1"/>
  <c r="B29" i="12"/>
  <c r="CF31" i="7"/>
  <c r="BU31" i="7"/>
  <c r="CR31" i="7"/>
  <c r="CG31" i="7"/>
  <c r="CO76" i="7"/>
  <c r="CM76" i="7"/>
  <c r="CS76" i="7"/>
  <c r="CK76" i="7"/>
  <c r="CQ76" i="7"/>
  <c r="CP76" i="7"/>
  <c r="CN76" i="7"/>
  <c r="CL76" i="7"/>
  <c r="CJ76" i="7"/>
  <c r="CB109" i="7"/>
  <c r="G107" i="12" s="1"/>
  <c r="BZ109" i="7"/>
  <c r="D20" i="12"/>
  <c r="K20" i="12" s="1"/>
  <c r="B20" i="12"/>
  <c r="A20" i="12"/>
  <c r="CF22" i="7"/>
  <c r="CG22" i="7"/>
  <c r="BU22" i="7"/>
  <c r="CR22" i="7"/>
  <c r="D227" i="12"/>
  <c r="K227" i="12" s="1"/>
  <c r="B227" i="12"/>
  <c r="A227" i="12"/>
  <c r="CG229" i="7"/>
  <c r="CF229" i="7"/>
  <c r="BU229" i="7"/>
  <c r="CR229" i="7"/>
  <c r="CL316" i="7"/>
  <c r="CS316" i="7"/>
  <c r="CK316" i="7"/>
  <c r="CJ316" i="7"/>
  <c r="CQ316" i="7"/>
  <c r="CP316" i="7"/>
  <c r="CO316" i="7"/>
  <c r="CN316" i="7"/>
  <c r="CM316" i="7"/>
  <c r="CB280" i="7"/>
  <c r="G278" i="12" s="1"/>
  <c r="BZ280" i="7"/>
  <c r="A244" i="12"/>
  <c r="D244" i="12"/>
  <c r="K244" i="12" s="1"/>
  <c r="B244" i="12"/>
  <c r="BU246" i="7"/>
  <c r="CR246" i="7"/>
  <c r="CG246" i="7"/>
  <c r="CF246" i="7"/>
  <c r="D52" i="12"/>
  <c r="K52" i="12" s="1"/>
  <c r="B52" i="12"/>
  <c r="A52" i="12"/>
  <c r="BU54" i="7"/>
  <c r="CR54" i="7"/>
  <c r="CG54" i="7"/>
  <c r="CF54" i="7"/>
  <c r="H385" i="12"/>
  <c r="I385" i="12"/>
  <c r="H65" i="12"/>
  <c r="I65" i="12"/>
  <c r="I50" i="12"/>
  <c r="H50" i="12"/>
  <c r="BZ35" i="7"/>
  <c r="CB35" i="7"/>
  <c r="G33" i="12" s="1"/>
  <c r="CN298" i="7"/>
  <c r="CS298" i="7"/>
  <c r="CK298" i="7"/>
  <c r="CP298" i="7"/>
  <c r="CO298" i="7"/>
  <c r="CQ298" i="7"/>
  <c r="CM298" i="7"/>
  <c r="CL298" i="7"/>
  <c r="CJ298" i="7"/>
  <c r="CN89" i="7"/>
  <c r="CM89" i="7"/>
  <c r="CL89" i="7"/>
  <c r="CS89" i="7"/>
  <c r="CK89" i="7"/>
  <c r="CJ89" i="7"/>
  <c r="CQ89" i="7"/>
  <c r="CO89" i="7"/>
  <c r="CP89" i="7"/>
  <c r="I311" i="12"/>
  <c r="H311" i="12"/>
  <c r="CJ253" i="7"/>
  <c r="CQ253" i="7"/>
  <c r="CP253" i="7"/>
  <c r="CO253" i="7"/>
  <c r="CN253" i="7"/>
  <c r="CM253" i="7"/>
  <c r="CL253" i="7"/>
  <c r="CS253" i="7"/>
  <c r="CK253" i="7"/>
  <c r="CM207" i="7"/>
  <c r="CL207" i="7"/>
  <c r="CS207" i="7"/>
  <c r="CK207" i="7"/>
  <c r="CJ207" i="7"/>
  <c r="CQ207" i="7"/>
  <c r="CP207" i="7"/>
  <c r="CO207" i="7"/>
  <c r="CN207" i="7"/>
  <c r="A57" i="12"/>
  <c r="D57" i="12"/>
  <c r="K57" i="12" s="1"/>
  <c r="B57" i="12"/>
  <c r="BU59" i="7"/>
  <c r="CG59" i="7"/>
  <c r="CF59" i="7"/>
  <c r="CR59" i="7"/>
  <c r="A78" i="12"/>
  <c r="D78" i="12"/>
  <c r="K78" i="12" s="1"/>
  <c r="B78" i="12"/>
  <c r="CF80" i="7"/>
  <c r="BU80" i="7"/>
  <c r="CG80" i="7"/>
  <c r="CR80" i="7"/>
  <c r="D298" i="12"/>
  <c r="K298" i="12" s="1"/>
  <c r="A298" i="12"/>
  <c r="B298" i="12"/>
  <c r="BU300" i="7"/>
  <c r="CG300" i="7"/>
  <c r="CF300" i="7"/>
  <c r="CR300" i="7"/>
  <c r="I99" i="12"/>
  <c r="H99" i="12"/>
  <c r="D318" i="12"/>
  <c r="K318" i="12" s="1"/>
  <c r="B318" i="12"/>
  <c r="A318" i="12"/>
  <c r="CG320" i="7"/>
  <c r="CF320" i="7"/>
  <c r="BU320" i="7"/>
  <c r="CR320" i="7"/>
  <c r="CQ234" i="7"/>
  <c r="CP234" i="7"/>
  <c r="CO234" i="7"/>
  <c r="CN234" i="7"/>
  <c r="CM234" i="7"/>
  <c r="CL234" i="7"/>
  <c r="CS234" i="7"/>
  <c r="CK234" i="7"/>
  <c r="CJ234" i="7"/>
  <c r="CQ142" i="7"/>
  <c r="CP142" i="7"/>
  <c r="CN142" i="7"/>
  <c r="CM142" i="7"/>
  <c r="CL142" i="7"/>
  <c r="CJ142" i="7"/>
  <c r="CS142" i="7"/>
  <c r="CO142" i="7"/>
  <c r="CK142" i="7"/>
  <c r="CL191" i="7"/>
  <c r="CS191" i="7"/>
  <c r="CK191" i="7"/>
  <c r="CJ191" i="7"/>
  <c r="CQ191" i="7"/>
  <c r="CP191" i="7"/>
  <c r="CO191" i="7"/>
  <c r="CN191" i="7"/>
  <c r="CM191" i="7"/>
  <c r="CO236" i="7"/>
  <c r="CN236" i="7"/>
  <c r="CM236" i="7"/>
  <c r="CL236" i="7"/>
  <c r="CS236" i="7"/>
  <c r="CK236" i="7"/>
  <c r="CJ236" i="7"/>
  <c r="CQ236" i="7"/>
  <c r="CP236" i="7"/>
  <c r="D10" i="12"/>
  <c r="K10" i="12" s="1"/>
  <c r="B10" i="12"/>
  <c r="A10" i="12"/>
  <c r="CG12" i="7"/>
  <c r="CF12" i="7"/>
  <c r="BU12" i="7"/>
  <c r="CR12" i="7"/>
  <c r="BZ326" i="7"/>
  <c r="CB326" i="7"/>
  <c r="G324" i="12" s="1"/>
  <c r="CB278" i="7"/>
  <c r="G276" i="12" s="1"/>
  <c r="BZ278" i="7"/>
  <c r="CB176" i="7"/>
  <c r="G174" i="12" s="1"/>
  <c r="BZ176" i="7"/>
  <c r="H320" i="12"/>
  <c r="I320" i="12"/>
  <c r="CB304" i="7"/>
  <c r="G302" i="12" s="1"/>
  <c r="BZ304" i="7"/>
  <c r="I13" i="12"/>
  <c r="H13" i="12"/>
  <c r="D294" i="12"/>
  <c r="K294" i="12" s="1"/>
  <c r="B294" i="12"/>
  <c r="A294" i="12"/>
  <c r="CG296" i="7"/>
  <c r="CR296" i="7"/>
  <c r="CF296" i="7"/>
  <c r="BU296" i="7"/>
  <c r="A94" i="12"/>
  <c r="D94" i="12"/>
  <c r="K94" i="12" s="1"/>
  <c r="B94" i="12"/>
  <c r="CG96" i="7"/>
  <c r="CF96" i="7"/>
  <c r="BU96" i="7"/>
  <c r="CR96" i="7"/>
  <c r="CM69" i="7"/>
  <c r="CS69" i="7"/>
  <c r="CK69" i="7"/>
  <c r="CQ69" i="7"/>
  <c r="CO69" i="7"/>
  <c r="CP69" i="7"/>
  <c r="CN69" i="7"/>
  <c r="CL69" i="7"/>
  <c r="CJ69" i="7"/>
  <c r="CQ71" i="7"/>
  <c r="CO71" i="7"/>
  <c r="CM71" i="7"/>
  <c r="CS71" i="7"/>
  <c r="CK71" i="7"/>
  <c r="CN71" i="7"/>
  <c r="CL71" i="7"/>
  <c r="CJ71" i="7"/>
  <c r="CP71" i="7"/>
  <c r="H24" i="12"/>
  <c r="I24" i="12"/>
  <c r="B58" i="12"/>
  <c r="A58" i="12"/>
  <c r="D58" i="12"/>
  <c r="K58" i="12" s="1"/>
  <c r="CG60" i="7"/>
  <c r="CR60" i="7"/>
  <c r="CF60" i="7"/>
  <c r="BU60" i="7"/>
  <c r="CB126" i="7"/>
  <c r="G124" i="12" s="1"/>
  <c r="BZ126" i="7"/>
  <c r="I104" i="12"/>
  <c r="H104" i="12"/>
  <c r="CQ307" i="7"/>
  <c r="CP307" i="7"/>
  <c r="CO307" i="7"/>
  <c r="CN307" i="7"/>
  <c r="CM307" i="7"/>
  <c r="CL307" i="7"/>
  <c r="CS307" i="7"/>
  <c r="CK307" i="7"/>
  <c r="CJ307" i="7"/>
  <c r="H178" i="12"/>
  <c r="I178" i="12"/>
  <c r="CN85" i="7"/>
  <c r="CM85" i="7"/>
  <c r="CL85" i="7"/>
  <c r="CS85" i="7"/>
  <c r="CK85" i="7"/>
  <c r="CJ85" i="7"/>
  <c r="CQ85" i="7"/>
  <c r="CO85" i="7"/>
  <c r="CP85" i="7"/>
  <c r="CB287" i="7"/>
  <c r="G285" i="12" s="1"/>
  <c r="BZ287" i="7"/>
  <c r="CB344" i="7"/>
  <c r="G342" i="12" s="1"/>
  <c r="BZ344" i="7"/>
  <c r="D312" i="12"/>
  <c r="K312" i="12" s="1"/>
  <c r="A312" i="12"/>
  <c r="B312" i="12"/>
  <c r="BU314" i="7"/>
  <c r="CR314" i="7"/>
  <c r="CG314" i="7"/>
  <c r="CF314" i="7"/>
  <c r="H376" i="12"/>
  <c r="I376" i="12"/>
  <c r="D60" i="12"/>
  <c r="K60" i="12" s="1"/>
  <c r="B60" i="12"/>
  <c r="A60" i="12"/>
  <c r="CG62" i="7"/>
  <c r="CR62" i="7"/>
  <c r="CF62" i="7"/>
  <c r="BU62" i="7"/>
  <c r="CB222" i="7"/>
  <c r="G220" i="12" s="1"/>
  <c r="BZ222" i="7"/>
  <c r="B363" i="12"/>
  <c r="D363" i="12"/>
  <c r="K363" i="12" s="1"/>
  <c r="A363" i="12"/>
  <c r="BU365" i="7"/>
  <c r="CG365" i="7"/>
  <c r="CF365" i="7"/>
  <c r="CR365" i="7"/>
  <c r="I226" i="12"/>
  <c r="H226" i="12"/>
  <c r="CB32" i="7"/>
  <c r="G30" i="12" s="1"/>
  <c r="BZ32" i="7"/>
  <c r="CB124" i="7"/>
  <c r="G122" i="12" s="1"/>
  <c r="BZ124" i="7"/>
  <c r="CN165" i="7"/>
  <c r="CM165" i="7"/>
  <c r="CL165" i="7"/>
  <c r="CS165" i="7"/>
  <c r="CK165" i="7"/>
  <c r="CJ165" i="7"/>
  <c r="CQ165" i="7"/>
  <c r="CO165" i="7"/>
  <c r="CP165" i="7"/>
  <c r="CB73" i="7"/>
  <c r="G71" i="12" s="1"/>
  <c r="BZ73" i="7"/>
  <c r="B275" i="12"/>
  <c r="A275" i="12"/>
  <c r="D275" i="12"/>
  <c r="K275" i="12" s="1"/>
  <c r="BU277" i="7"/>
  <c r="CR277" i="7"/>
  <c r="CG277" i="7"/>
  <c r="CF277" i="7"/>
  <c r="CO252" i="7"/>
  <c r="CN252" i="7"/>
  <c r="CM252" i="7"/>
  <c r="CL252" i="7"/>
  <c r="CS252" i="7"/>
  <c r="CK252" i="7"/>
  <c r="CJ252" i="7"/>
  <c r="CQ252" i="7"/>
  <c r="CP252" i="7"/>
  <c r="D277" i="12"/>
  <c r="K277" i="12" s="1"/>
  <c r="B277" i="12"/>
  <c r="A277" i="12"/>
  <c r="BU279" i="7"/>
  <c r="CR279" i="7"/>
  <c r="CG279" i="7"/>
  <c r="CF279" i="7"/>
  <c r="BZ214" i="7"/>
  <c r="CB214" i="7"/>
  <c r="G212" i="12" s="1"/>
  <c r="CO361" i="7"/>
  <c r="CK361" i="7"/>
  <c r="CS361" i="7"/>
  <c r="CJ361" i="7"/>
  <c r="CQ361" i="7"/>
  <c r="CP361" i="7"/>
  <c r="CN361" i="7"/>
  <c r="CM361" i="7"/>
  <c r="CL361" i="7"/>
  <c r="I8" i="12"/>
  <c r="H8" i="12"/>
  <c r="I91" i="12"/>
  <c r="H91" i="12"/>
  <c r="H201" i="12"/>
  <c r="I201" i="12"/>
  <c r="A41" i="12"/>
  <c r="B41" i="12"/>
  <c r="D41" i="12"/>
  <c r="K41" i="12" s="1"/>
  <c r="CG43" i="7"/>
  <c r="CF43" i="7"/>
  <c r="BU43" i="7"/>
  <c r="CR43" i="7"/>
  <c r="I267" i="12"/>
  <c r="H267" i="12"/>
  <c r="I118" i="12"/>
  <c r="H118" i="12"/>
  <c r="D272" i="12"/>
  <c r="K272" i="12" s="1"/>
  <c r="B272" i="12"/>
  <c r="A272" i="12"/>
  <c r="BU274" i="7"/>
  <c r="CR274" i="7"/>
  <c r="CG274" i="7"/>
  <c r="CF274" i="7"/>
  <c r="B370" i="12"/>
  <c r="D370" i="12"/>
  <c r="K370" i="12" s="1"/>
  <c r="A370" i="12"/>
  <c r="CG372" i="7"/>
  <c r="CF372" i="7"/>
  <c r="BU372" i="7"/>
  <c r="CR372" i="7"/>
  <c r="I17" i="12"/>
  <c r="H17" i="12"/>
  <c r="CB270" i="7"/>
  <c r="G268" i="12" s="1"/>
  <c r="BZ270" i="7"/>
  <c r="CJ383" i="7"/>
  <c r="CQ383" i="7"/>
  <c r="CP383" i="7"/>
  <c r="CO383" i="7"/>
  <c r="CN383" i="7"/>
  <c r="CM383" i="7"/>
  <c r="CL383" i="7"/>
  <c r="CS383" i="7"/>
  <c r="CK383" i="7"/>
  <c r="B12" i="12"/>
  <c r="A12" i="12"/>
  <c r="D12" i="12"/>
  <c r="K12" i="12" s="1"/>
  <c r="BU14" i="7"/>
  <c r="CR14" i="7"/>
  <c r="CG14" i="7"/>
  <c r="CF14" i="7"/>
  <c r="I120" i="12"/>
  <c r="H120" i="12"/>
  <c r="CM178" i="7"/>
  <c r="CL178" i="7"/>
  <c r="CS178" i="7"/>
  <c r="CK178" i="7"/>
  <c r="CJ178" i="7"/>
  <c r="CQ178" i="7"/>
  <c r="CP178" i="7"/>
  <c r="CN178" i="7"/>
  <c r="CO178" i="7"/>
  <c r="A149" i="12"/>
  <c r="D149" i="12"/>
  <c r="K149" i="12" s="1"/>
  <c r="B149" i="12"/>
  <c r="BU151" i="7"/>
  <c r="CR151" i="7"/>
  <c r="CG151" i="7"/>
  <c r="CF151" i="7"/>
  <c r="CB197" i="7"/>
  <c r="G195" i="12" s="1"/>
  <c r="BZ197" i="7"/>
  <c r="D326" i="12"/>
  <c r="K326" i="12" s="1"/>
  <c r="A326" i="12"/>
  <c r="B326" i="12"/>
  <c r="BU328" i="7"/>
  <c r="CR328" i="7"/>
  <c r="CG328" i="7"/>
  <c r="CF328" i="7"/>
  <c r="I142" i="12"/>
  <c r="H142" i="12"/>
  <c r="CB152" i="7"/>
  <c r="G150" i="12" s="1"/>
  <c r="BZ152" i="7"/>
  <c r="CQ137" i="7"/>
  <c r="CO137" i="7"/>
  <c r="CN137" i="7"/>
  <c r="CM137" i="7"/>
  <c r="CS137" i="7"/>
  <c r="CK137" i="7"/>
  <c r="CP137" i="7"/>
  <c r="CL137" i="7"/>
  <c r="CJ137" i="7"/>
  <c r="I188" i="12"/>
  <c r="H188" i="12"/>
  <c r="H81" i="12"/>
  <c r="I81" i="12"/>
  <c r="D44" i="12"/>
  <c r="K44" i="12" s="1"/>
  <c r="A44" i="12"/>
  <c r="B44" i="12"/>
  <c r="BU46" i="7"/>
  <c r="CR46" i="7"/>
  <c r="CG46" i="7"/>
  <c r="CF46" i="7"/>
  <c r="BZ51" i="7"/>
  <c r="CB51" i="7"/>
  <c r="G49" i="12" s="1"/>
  <c r="I92" i="12"/>
  <c r="H92" i="12"/>
  <c r="BZ79" i="7"/>
  <c r="CB79" i="7"/>
  <c r="G77" i="12" s="1"/>
  <c r="BZ315" i="7"/>
  <c r="CB315" i="7"/>
  <c r="G313" i="12" s="1"/>
  <c r="CB58" i="7"/>
  <c r="G56" i="12" s="1"/>
  <c r="BZ58" i="7"/>
  <c r="CQ8" i="7"/>
  <c r="CP8" i="7"/>
  <c r="CO8" i="7"/>
  <c r="CN8" i="7"/>
  <c r="CM8" i="7"/>
  <c r="CL8" i="7"/>
  <c r="CS8" i="7"/>
  <c r="CK8" i="7"/>
  <c r="CJ8" i="7"/>
  <c r="B154" i="12"/>
  <c r="D154" i="12"/>
  <c r="K154" i="12" s="1"/>
  <c r="A154" i="12"/>
  <c r="BU156" i="7"/>
  <c r="CR156" i="7"/>
  <c r="CG156" i="7"/>
  <c r="CF156" i="7"/>
  <c r="B123" i="12"/>
  <c r="A123" i="12"/>
  <c r="D123" i="12"/>
  <c r="K123" i="12" s="1"/>
  <c r="CG125" i="7"/>
  <c r="CF125" i="7"/>
  <c r="BU125" i="7"/>
  <c r="CR125" i="7"/>
  <c r="CM99" i="7"/>
  <c r="CL99" i="7"/>
  <c r="CS99" i="7"/>
  <c r="CK99" i="7"/>
  <c r="CJ99" i="7"/>
  <c r="CQ99" i="7"/>
  <c r="CP99" i="7"/>
  <c r="CO99" i="7"/>
  <c r="CN99" i="7"/>
  <c r="I229" i="12"/>
  <c r="H229" i="12"/>
  <c r="H304" i="12"/>
  <c r="I304" i="12"/>
  <c r="CB163" i="7"/>
  <c r="G161" i="12" s="1"/>
  <c r="BZ163" i="7"/>
  <c r="A134" i="12"/>
  <c r="D134" i="12"/>
  <c r="K134" i="12" s="1"/>
  <c r="B134" i="12"/>
  <c r="BU136" i="7"/>
  <c r="CR136" i="7"/>
  <c r="CG136" i="7"/>
  <c r="CF136" i="7"/>
  <c r="I84" i="12"/>
  <c r="H84" i="12"/>
  <c r="CB42" i="7"/>
  <c r="G40" i="12" s="1"/>
  <c r="BZ42" i="7"/>
  <c r="D243" i="12"/>
  <c r="K243" i="12" s="1"/>
  <c r="B243" i="12"/>
  <c r="A243" i="12"/>
  <c r="CR245" i="7"/>
  <c r="CG245" i="7"/>
  <c r="CF245" i="7"/>
  <c r="BU245" i="7"/>
  <c r="CB118" i="7"/>
  <c r="G116" i="12" s="1"/>
  <c r="BZ118" i="7"/>
  <c r="H168" i="12"/>
  <c r="I168" i="12"/>
  <c r="CQ273" i="7"/>
  <c r="CP273" i="7"/>
  <c r="CO273" i="7"/>
  <c r="CN273" i="7"/>
  <c r="CM273" i="7"/>
  <c r="CL273" i="7"/>
  <c r="CS273" i="7"/>
  <c r="CK273" i="7"/>
  <c r="CJ273" i="7"/>
  <c r="I55" i="12"/>
  <c r="H55" i="12"/>
  <c r="A126" i="12"/>
  <c r="D126" i="12"/>
  <c r="K126" i="12" s="1"/>
  <c r="B126" i="12"/>
  <c r="CG128" i="7"/>
  <c r="CF128" i="7"/>
  <c r="BU128" i="7"/>
  <c r="CR128" i="7"/>
  <c r="BZ364" i="7"/>
  <c r="CB364" i="7"/>
  <c r="G362" i="12" s="1"/>
  <c r="CO244" i="7"/>
  <c r="CN244" i="7"/>
  <c r="CM244" i="7"/>
  <c r="CL244" i="7"/>
  <c r="CS244" i="7"/>
  <c r="CK244" i="7"/>
  <c r="CJ244" i="7"/>
  <c r="CQ244" i="7"/>
  <c r="CP244" i="7"/>
  <c r="CB135" i="7"/>
  <c r="G133" i="12" s="1"/>
  <c r="BZ135" i="7"/>
  <c r="I374" i="12"/>
  <c r="H374" i="12"/>
  <c r="I262" i="12"/>
  <c r="H262" i="12"/>
  <c r="BZ56" i="7"/>
  <c r="CB56" i="7"/>
  <c r="G54" i="12" s="1"/>
  <c r="I335" i="12"/>
  <c r="H335" i="12"/>
  <c r="CN181" i="7"/>
  <c r="CM181" i="7"/>
  <c r="CL181" i="7"/>
  <c r="CS181" i="7"/>
  <c r="CK181" i="7"/>
  <c r="CJ181" i="7"/>
  <c r="CQ181" i="7"/>
  <c r="CO181" i="7"/>
  <c r="CP181" i="7"/>
  <c r="H170" i="12"/>
  <c r="I170" i="12"/>
  <c r="CB381" i="7"/>
  <c r="G379" i="12" s="1"/>
  <c r="BZ381" i="7"/>
  <c r="CB48" i="7"/>
  <c r="G46" i="12" s="1"/>
  <c r="BZ48" i="7"/>
  <c r="A301" i="12"/>
  <c r="B301" i="12"/>
  <c r="D301" i="12"/>
  <c r="K301" i="12" s="1"/>
  <c r="BU303" i="7"/>
  <c r="CR303" i="7"/>
  <c r="CG303" i="7"/>
  <c r="CF303" i="7"/>
  <c r="BZ4" i="7"/>
  <c r="CB4" i="7"/>
  <c r="D369" i="12"/>
  <c r="K369" i="12" s="1"/>
  <c r="B369" i="12"/>
  <c r="A369" i="12"/>
  <c r="BU371" i="7"/>
  <c r="CR371" i="7"/>
  <c r="CG371" i="7"/>
  <c r="CF371" i="7"/>
  <c r="CQ227" i="7"/>
  <c r="CM227" i="7"/>
  <c r="CP227" i="7"/>
  <c r="CO227" i="7"/>
  <c r="CN227" i="7"/>
  <c r="CL227" i="7"/>
  <c r="CK227" i="7"/>
  <c r="CJ227" i="7"/>
  <c r="CS227" i="7"/>
  <c r="CB356" i="7"/>
  <c r="G354" i="12" s="1"/>
  <c r="BZ356" i="7"/>
  <c r="H129" i="12"/>
  <c r="I129" i="12"/>
  <c r="D48" i="12"/>
  <c r="K48" i="12" s="1"/>
  <c r="B48" i="12"/>
  <c r="A48" i="12"/>
  <c r="BU50" i="7"/>
  <c r="CR50" i="7"/>
  <c r="CG50" i="7"/>
  <c r="CF50" i="7"/>
  <c r="I317" i="12"/>
  <c r="H317" i="12"/>
  <c r="CS329" i="7"/>
  <c r="CK329" i="7"/>
  <c r="CQ329" i="7"/>
  <c r="CP329" i="7"/>
  <c r="CN329" i="7"/>
  <c r="CM329" i="7"/>
  <c r="CL329" i="7"/>
  <c r="CJ329" i="7"/>
  <c r="CO329" i="7"/>
  <c r="A37" i="12"/>
  <c r="B37" i="12"/>
  <c r="D37" i="12"/>
  <c r="K37" i="12" s="1"/>
  <c r="CF39" i="7"/>
  <c r="BU39" i="7"/>
  <c r="CR39" i="7"/>
  <c r="CG39" i="7"/>
  <c r="I26" i="12"/>
  <c r="H26" i="12"/>
  <c r="BZ158" i="7"/>
  <c r="CB158" i="7"/>
  <c r="G156" i="12" s="1"/>
  <c r="CL183" i="7"/>
  <c r="CS183" i="7"/>
  <c r="CK183" i="7"/>
  <c r="CJ183" i="7"/>
  <c r="CQ183" i="7"/>
  <c r="CP183" i="7"/>
  <c r="CO183" i="7"/>
  <c r="CM183" i="7"/>
  <c r="CN183" i="7"/>
  <c r="CB346" i="7"/>
  <c r="G344" i="12" s="1"/>
  <c r="BZ346" i="7"/>
  <c r="CO317" i="7"/>
  <c r="CN317" i="7"/>
  <c r="CM317" i="7"/>
  <c r="CL317" i="7"/>
  <c r="CS317" i="7"/>
  <c r="CK317" i="7"/>
  <c r="CJ317" i="7"/>
  <c r="CQ317" i="7"/>
  <c r="CP317" i="7"/>
  <c r="A365" i="12"/>
  <c r="B365" i="12"/>
  <c r="D365" i="12"/>
  <c r="K365" i="12" s="1"/>
  <c r="CR367" i="7"/>
  <c r="CG367" i="7"/>
  <c r="CF367" i="7"/>
  <c r="BU367" i="7"/>
  <c r="BZ95" i="7"/>
  <c r="CB95" i="7"/>
  <c r="G93" i="12" s="1"/>
  <c r="CM335" i="7"/>
  <c r="CL335" i="7"/>
  <c r="CS335" i="7"/>
  <c r="CK335" i="7"/>
  <c r="CJ335" i="7"/>
  <c r="CQ335" i="7"/>
  <c r="CP335" i="7"/>
  <c r="CO335" i="7"/>
  <c r="CN335" i="7"/>
  <c r="CQ211" i="7"/>
  <c r="CP211" i="7"/>
  <c r="CO211" i="7"/>
  <c r="CN211" i="7"/>
  <c r="CM211" i="7"/>
  <c r="CL211" i="7"/>
  <c r="CS211" i="7"/>
  <c r="CK211" i="7"/>
  <c r="CJ211" i="7"/>
  <c r="I353" i="12"/>
  <c r="H353" i="12"/>
  <c r="CP200" i="7"/>
  <c r="CM200" i="7"/>
  <c r="CL200" i="7"/>
  <c r="CS200" i="7"/>
  <c r="CK200" i="7"/>
  <c r="CQ200" i="7"/>
  <c r="CO200" i="7"/>
  <c r="CN200" i="7"/>
  <c r="CJ200" i="7"/>
  <c r="CN189" i="7"/>
  <c r="CM189" i="7"/>
  <c r="CL189" i="7"/>
  <c r="CS189" i="7"/>
  <c r="CK189" i="7"/>
  <c r="CJ189" i="7"/>
  <c r="CQ189" i="7"/>
  <c r="CO189" i="7"/>
  <c r="CP189" i="7"/>
  <c r="CB164" i="7"/>
  <c r="G162" i="12" s="1"/>
  <c r="BZ164" i="7"/>
  <c r="D35" i="12"/>
  <c r="K35" i="12" s="1"/>
  <c r="B35" i="12"/>
  <c r="A35" i="12"/>
  <c r="BU37" i="7"/>
  <c r="CF37" i="7"/>
  <c r="CG37" i="7"/>
  <c r="CR37" i="7"/>
  <c r="I19" i="12"/>
  <c r="H19" i="12"/>
  <c r="A25" i="12"/>
  <c r="D25" i="12"/>
  <c r="K25" i="12" s="1"/>
  <c r="B25" i="12"/>
  <c r="CF27" i="7"/>
  <c r="BU27" i="7"/>
  <c r="CG27" i="7"/>
  <c r="CR27" i="7"/>
  <c r="I283" i="12"/>
  <c r="H283" i="12"/>
  <c r="CJ342" i="7"/>
  <c r="CQ342" i="7"/>
  <c r="CP342" i="7"/>
  <c r="CO342" i="7"/>
  <c r="CN342" i="7"/>
  <c r="CM342" i="7"/>
  <c r="CL342" i="7"/>
  <c r="CS342" i="7"/>
  <c r="CK342" i="7"/>
  <c r="CB61" i="7"/>
  <c r="G59" i="12" s="1"/>
  <c r="BZ61" i="7"/>
  <c r="BZ91" i="7"/>
  <c r="CB91" i="7"/>
  <c r="G89" i="12" s="1"/>
  <c r="CB294" i="7"/>
  <c r="G292" i="12" s="1"/>
  <c r="BZ294" i="7"/>
  <c r="I119" i="12"/>
  <c r="H119" i="12"/>
  <c r="D72" i="12"/>
  <c r="K72" i="12" s="1"/>
  <c r="B72" i="12"/>
  <c r="A72" i="12"/>
  <c r="BU74" i="7"/>
  <c r="CF74" i="7"/>
  <c r="CG74" i="7"/>
  <c r="CR74" i="7"/>
  <c r="CO374" i="7"/>
  <c r="CN374" i="7"/>
  <c r="CM374" i="7"/>
  <c r="CL374" i="7"/>
  <c r="CS374" i="7"/>
  <c r="CK374" i="7"/>
  <c r="CJ374" i="7"/>
  <c r="CQ374" i="7"/>
  <c r="CP374" i="7"/>
  <c r="I42" i="12"/>
  <c r="H42" i="12"/>
  <c r="CS370" i="7"/>
  <c r="CK370" i="7"/>
  <c r="CJ370" i="7"/>
  <c r="CQ370" i="7"/>
  <c r="CP370" i="7"/>
  <c r="CO370" i="7"/>
  <c r="CN370" i="7"/>
  <c r="CM370" i="7"/>
  <c r="CL370" i="7"/>
  <c r="H199" i="12"/>
  <c r="I199" i="12"/>
  <c r="A169" i="12"/>
  <c r="D169" i="12"/>
  <c r="K169" i="12" s="1"/>
  <c r="B169" i="12"/>
  <c r="CG171" i="7"/>
  <c r="CF171" i="7"/>
  <c r="BU171" i="7"/>
  <c r="CR171" i="7"/>
  <c r="CB65" i="7"/>
  <c r="G63" i="12" s="1"/>
  <c r="BZ65" i="7"/>
  <c r="CL332" i="7"/>
  <c r="CS332" i="7"/>
  <c r="CK332" i="7"/>
  <c r="CJ332" i="7"/>
  <c r="CQ332" i="7"/>
  <c r="CO332" i="7"/>
  <c r="CN332" i="7"/>
  <c r="CM332" i="7"/>
  <c r="CP332" i="7"/>
  <c r="I157" i="12"/>
  <c r="H157" i="12"/>
  <c r="CB103" i="7"/>
  <c r="G101" i="12" s="1"/>
  <c r="BZ103" i="7"/>
  <c r="CB167" i="7"/>
  <c r="G165" i="12" s="1"/>
  <c r="BZ167" i="7"/>
  <c r="A238" i="12"/>
  <c r="D238" i="12"/>
  <c r="K238" i="12" s="1"/>
  <c r="B238" i="12"/>
  <c r="BU240" i="7"/>
  <c r="CR240" i="7"/>
  <c r="CG240" i="7"/>
  <c r="CF240" i="7"/>
  <c r="BZ112" i="7"/>
  <c r="CB112" i="7"/>
  <c r="G110" i="12" s="1"/>
  <c r="CL266" i="7"/>
  <c r="CS266" i="7"/>
  <c r="CK266" i="7"/>
  <c r="CQ266" i="7"/>
  <c r="CP266" i="7"/>
  <c r="CO266" i="7"/>
  <c r="CN266" i="7"/>
  <c r="CM266" i="7"/>
  <c r="CJ266" i="7"/>
  <c r="B18" i="12"/>
  <c r="D18" i="12"/>
  <c r="K18" i="12" s="1"/>
  <c r="A18" i="12"/>
  <c r="BU20" i="7"/>
  <c r="CG20" i="7"/>
  <c r="CR20" i="7"/>
  <c r="CF20" i="7"/>
  <c r="CB238" i="7"/>
  <c r="G236" i="12" s="1"/>
  <c r="BZ238" i="7"/>
  <c r="D90" i="12"/>
  <c r="K90" i="12" s="1"/>
  <c r="B90" i="12"/>
  <c r="A90" i="12"/>
  <c r="CG92" i="7"/>
  <c r="CF92" i="7"/>
  <c r="BU92" i="7"/>
  <c r="CR92" i="7"/>
  <c r="CB309" i="7"/>
  <c r="G307" i="12" s="1"/>
  <c r="BZ309" i="7"/>
  <c r="CJ318" i="7"/>
  <c r="CQ318" i="7"/>
  <c r="CP318" i="7"/>
  <c r="CO318" i="7"/>
  <c r="CN318" i="7"/>
  <c r="CM318" i="7"/>
  <c r="CL318" i="7"/>
  <c r="CS318" i="7"/>
  <c r="CK318" i="7"/>
  <c r="CP179" i="7"/>
  <c r="CO179" i="7"/>
  <c r="CN179" i="7"/>
  <c r="CM179" i="7"/>
  <c r="CL179" i="7"/>
  <c r="CS179" i="7"/>
  <c r="CK179" i="7"/>
  <c r="CQ179" i="7"/>
  <c r="CJ179" i="7"/>
  <c r="H360" i="12"/>
  <c r="I360" i="12"/>
  <c r="CB308" i="7"/>
  <c r="G306" i="12" s="1"/>
  <c r="BZ308" i="7"/>
  <c r="BZ333" i="7"/>
  <c r="CB333" i="7"/>
  <c r="G331" i="12" s="1"/>
  <c r="A375" i="12"/>
  <c r="B375" i="12"/>
  <c r="D375" i="12"/>
  <c r="K375" i="12" s="1"/>
  <c r="CG377" i="7"/>
  <c r="CF377" i="7"/>
  <c r="BU377" i="7"/>
  <c r="CR377" i="7"/>
  <c r="D11" i="12"/>
  <c r="K11" i="12" s="1"/>
  <c r="B11" i="12"/>
  <c r="A11" i="12"/>
  <c r="CF13" i="7"/>
  <c r="BU13" i="7"/>
  <c r="CR13" i="7"/>
  <c r="CG13" i="7"/>
  <c r="A328" i="12"/>
  <c r="B328" i="12"/>
  <c r="D328" i="12"/>
  <c r="K328" i="12" s="1"/>
  <c r="BU330" i="7"/>
  <c r="CG330" i="7"/>
  <c r="CR330" i="7"/>
  <c r="CF330" i="7"/>
  <c r="CB379" i="7"/>
  <c r="G377" i="12" s="1"/>
  <c r="BZ379" i="7"/>
  <c r="H223" i="12"/>
  <c r="I223" i="12"/>
  <c r="H73" i="12"/>
  <c r="I73" i="12"/>
  <c r="I45" i="12"/>
  <c r="H45" i="12"/>
  <c r="D256" i="12"/>
  <c r="K256" i="12" s="1"/>
  <c r="B256" i="12"/>
  <c r="A256" i="12"/>
  <c r="CG258" i="7"/>
  <c r="CF258" i="7"/>
  <c r="BU258" i="7"/>
  <c r="CR258" i="7"/>
  <c r="CB229" i="7"/>
  <c r="G227" i="12" s="1"/>
  <c r="BZ229" i="7"/>
  <c r="CB55" i="7"/>
  <c r="G53" i="12" s="1"/>
  <c r="BZ55" i="7"/>
  <c r="H314" i="12"/>
  <c r="I314" i="12"/>
  <c r="CB64" i="7"/>
  <c r="G62" i="12" s="1"/>
  <c r="BZ64" i="7"/>
  <c r="CB246" i="7"/>
  <c r="G244" i="12" s="1"/>
  <c r="BZ246" i="7"/>
  <c r="CJ169" i="7"/>
  <c r="CQ169" i="7"/>
  <c r="CP169" i="7"/>
  <c r="CO169" i="7"/>
  <c r="CN169" i="7"/>
  <c r="CM169" i="7"/>
  <c r="CS169" i="7"/>
  <c r="CK169" i="7"/>
  <c r="CL169" i="7"/>
  <c r="CO325" i="7"/>
  <c r="CN325" i="7"/>
  <c r="CM325" i="7"/>
  <c r="CL325" i="7"/>
  <c r="CS325" i="7"/>
  <c r="CK325" i="7"/>
  <c r="CJ325" i="7"/>
  <c r="CQ325" i="7"/>
  <c r="CP325" i="7"/>
  <c r="A33" i="12"/>
  <c r="D33" i="12"/>
  <c r="K33" i="12" s="1"/>
  <c r="B33" i="12"/>
  <c r="CF35" i="7"/>
  <c r="BU35" i="7"/>
  <c r="CG35" i="7"/>
  <c r="CR35" i="7"/>
  <c r="D293" i="12"/>
  <c r="K293" i="12" s="1"/>
  <c r="B293" i="12"/>
  <c r="A293" i="12"/>
  <c r="CR295" i="7"/>
  <c r="CG295" i="7"/>
  <c r="CF295" i="7"/>
  <c r="BU295" i="7"/>
  <c r="I310" i="12"/>
  <c r="H310" i="12"/>
  <c r="I288" i="12"/>
  <c r="H288" i="12"/>
  <c r="CB312" i="7"/>
  <c r="G310" i="12" s="1"/>
  <c r="BZ312" i="7"/>
  <c r="D87" i="12"/>
  <c r="K87" i="12" s="1"/>
  <c r="B87" i="12"/>
  <c r="A87" i="12"/>
  <c r="BU89" i="7"/>
  <c r="CR89" i="7"/>
  <c r="CF89" i="7"/>
  <c r="CG89" i="7"/>
  <c r="CQ102" i="7"/>
  <c r="CP102" i="7"/>
  <c r="CO102" i="7"/>
  <c r="CN102" i="7"/>
  <c r="CM102" i="7"/>
  <c r="CL102" i="7"/>
  <c r="CK102" i="7"/>
  <c r="CJ102" i="7"/>
  <c r="CS102" i="7"/>
  <c r="CB230" i="7"/>
  <c r="G228" i="12" s="1"/>
  <c r="BZ230" i="7"/>
  <c r="CP286" i="7"/>
  <c r="CO286" i="7"/>
  <c r="CN286" i="7"/>
  <c r="CM286" i="7"/>
  <c r="CL286" i="7"/>
  <c r="CS286" i="7"/>
  <c r="CK286" i="7"/>
  <c r="CJ286" i="7"/>
  <c r="CQ286" i="7"/>
  <c r="CP247" i="7"/>
  <c r="CO247" i="7"/>
  <c r="CN247" i="7"/>
  <c r="CM247" i="7"/>
  <c r="CL247" i="7"/>
  <c r="CS247" i="7"/>
  <c r="CK247" i="7"/>
  <c r="CJ247" i="7"/>
  <c r="CQ247" i="7"/>
  <c r="CB41" i="7"/>
  <c r="G39" i="12" s="1"/>
  <c r="BZ41" i="7"/>
  <c r="A319" i="12"/>
  <c r="D319" i="12"/>
  <c r="K319" i="12" s="1"/>
  <c r="B319" i="12"/>
  <c r="BU321" i="7"/>
  <c r="CR321" i="7"/>
  <c r="CG321" i="7"/>
  <c r="CF321" i="7"/>
  <c r="CB313" i="7"/>
  <c r="G311" i="12" s="1"/>
  <c r="BZ313" i="7"/>
  <c r="H258" i="12"/>
  <c r="I258" i="12"/>
  <c r="CJ177" i="7"/>
  <c r="CQ177" i="7"/>
  <c r="CP177" i="7"/>
  <c r="CO177" i="7"/>
  <c r="CN177" i="7"/>
  <c r="CM177" i="7"/>
  <c r="CS177" i="7"/>
  <c r="CK177" i="7"/>
  <c r="CL177" i="7"/>
  <c r="H28" i="12"/>
  <c r="I28" i="12"/>
  <c r="H261" i="12"/>
  <c r="I261" i="12"/>
  <c r="I205" i="12"/>
  <c r="H205" i="12"/>
  <c r="CB23" i="7"/>
  <c r="G21" i="12" s="1"/>
  <c r="BZ23" i="7"/>
  <c r="B115" i="12"/>
  <c r="A115" i="12"/>
  <c r="D115" i="12"/>
  <c r="K115" i="12" s="1"/>
  <c r="CG117" i="7"/>
  <c r="CF117" i="7"/>
  <c r="BU117" i="7"/>
  <c r="CR117" i="7"/>
  <c r="I111" i="12"/>
  <c r="H111" i="12"/>
  <c r="D382" i="12"/>
  <c r="K382" i="12" s="1"/>
  <c r="B382" i="12"/>
  <c r="A382" i="12"/>
  <c r="BU384" i="7"/>
  <c r="CR384" i="7"/>
  <c r="CG384" i="7"/>
  <c r="CF384" i="7"/>
  <c r="CN17" i="7"/>
  <c r="CM17" i="7"/>
  <c r="CL17" i="7"/>
  <c r="CS17" i="7"/>
  <c r="CK17" i="7"/>
  <c r="CJ17" i="7"/>
  <c r="CQ17" i="7"/>
  <c r="CP17" i="7"/>
  <c r="CO17" i="7"/>
  <c r="CB300" i="7"/>
  <c r="G298" i="12" s="1"/>
  <c r="BZ300" i="7"/>
  <c r="CM351" i="7"/>
  <c r="CL351" i="7"/>
  <c r="CS351" i="7"/>
  <c r="CK351" i="7"/>
  <c r="CJ351" i="7"/>
  <c r="CQ351" i="7"/>
  <c r="CP351" i="7"/>
  <c r="CO351" i="7"/>
  <c r="CN351" i="7"/>
  <c r="CB89" i="7"/>
  <c r="G87" i="12" s="1"/>
  <c r="BZ89" i="7"/>
  <c r="H337" i="12"/>
  <c r="I337" i="12"/>
  <c r="CO349" i="7"/>
  <c r="CN349" i="7"/>
  <c r="CM349" i="7"/>
  <c r="CL349" i="7"/>
  <c r="CS349" i="7"/>
  <c r="CK349" i="7"/>
  <c r="CJ349" i="7"/>
  <c r="CQ349" i="7"/>
  <c r="CP349" i="7"/>
  <c r="D164" i="12"/>
  <c r="K164" i="12" s="1"/>
  <c r="B164" i="12"/>
  <c r="A164" i="12"/>
  <c r="CG166" i="7"/>
  <c r="CF166" i="7"/>
  <c r="CR166" i="7"/>
  <c r="BU166" i="7"/>
  <c r="CB320" i="7"/>
  <c r="G318" i="12" s="1"/>
  <c r="BZ320" i="7"/>
  <c r="CL340" i="7"/>
  <c r="CS340" i="7"/>
  <c r="CK340" i="7"/>
  <c r="CJ340" i="7"/>
  <c r="CQ340" i="7"/>
  <c r="CP340" i="7"/>
  <c r="CO340" i="7"/>
  <c r="CN340" i="7"/>
  <c r="CM340" i="7"/>
  <c r="CS230" i="7"/>
  <c r="CK230" i="7"/>
  <c r="CJ230" i="7"/>
  <c r="CQ230" i="7"/>
  <c r="CN230" i="7"/>
  <c r="CO230" i="7"/>
  <c r="CM230" i="7"/>
  <c r="CL230" i="7"/>
  <c r="CP230" i="7"/>
  <c r="H191" i="12"/>
  <c r="I191" i="12"/>
  <c r="H284" i="12"/>
  <c r="I284" i="12"/>
  <c r="D300" i="12"/>
  <c r="K300" i="12" s="1"/>
  <c r="B300" i="12"/>
  <c r="A300" i="12"/>
  <c r="CR302" i="7"/>
  <c r="CG302" i="7"/>
  <c r="CF302" i="7"/>
  <c r="BU302" i="7"/>
  <c r="A367" i="12"/>
  <c r="D367" i="12"/>
  <c r="K367" i="12" s="1"/>
  <c r="B367" i="12"/>
  <c r="CG369" i="7"/>
  <c r="CF369" i="7"/>
  <c r="BU369" i="7"/>
  <c r="CR369" i="7"/>
  <c r="CQ174" i="7"/>
  <c r="CP174" i="7"/>
  <c r="CO174" i="7"/>
  <c r="CN174" i="7"/>
  <c r="CM174" i="7"/>
  <c r="CL174" i="7"/>
  <c r="CJ174" i="7"/>
  <c r="CS174" i="7"/>
  <c r="CK174" i="7"/>
  <c r="I245" i="12"/>
  <c r="H245" i="12"/>
  <c r="B39" i="12"/>
  <c r="A39" i="12"/>
  <c r="D39" i="12"/>
  <c r="K39" i="12" s="1"/>
  <c r="BU41" i="7"/>
  <c r="CF41" i="7"/>
  <c r="CR41" i="7"/>
  <c r="CG41" i="7"/>
  <c r="CB321" i="7"/>
  <c r="G319" i="12" s="1"/>
  <c r="BZ321" i="7"/>
  <c r="I189" i="12"/>
  <c r="H189" i="12"/>
  <c r="I357" i="12"/>
  <c r="H357" i="12"/>
  <c r="I234" i="12"/>
  <c r="H234" i="12"/>
  <c r="BZ12" i="7"/>
  <c r="CB12" i="7"/>
  <c r="G10" i="12" s="1"/>
  <c r="CB297" i="7"/>
  <c r="G295" i="12" s="1"/>
  <c r="BZ297" i="7"/>
  <c r="D183" i="12"/>
  <c r="K183" i="12" s="1"/>
  <c r="A183" i="12"/>
  <c r="B183" i="12"/>
  <c r="CR185" i="7"/>
  <c r="CG185" i="7"/>
  <c r="CF185" i="7"/>
  <c r="BU185" i="7"/>
  <c r="CB30" i="7"/>
  <c r="G28" i="12" s="1"/>
  <c r="BZ30" i="7"/>
  <c r="I287" i="12"/>
  <c r="H287" i="12"/>
  <c r="A159" i="12"/>
  <c r="D159" i="12"/>
  <c r="K159" i="12" s="1"/>
  <c r="B159" i="12"/>
  <c r="CR161" i="7"/>
  <c r="CG161" i="7"/>
  <c r="CF161" i="7"/>
  <c r="BU161" i="7"/>
  <c r="CB96" i="7"/>
  <c r="G94" i="12" s="1"/>
  <c r="BZ96" i="7"/>
  <c r="I221" i="12"/>
  <c r="H221" i="12"/>
  <c r="H356" i="12"/>
  <c r="I356" i="12"/>
  <c r="CB26" i="7"/>
  <c r="G24" i="12" s="1"/>
  <c r="BZ26" i="7"/>
  <c r="A373" i="12"/>
  <c r="D373" i="12"/>
  <c r="K373" i="12" s="1"/>
  <c r="B373" i="12"/>
  <c r="CR375" i="7"/>
  <c r="CG375" i="7"/>
  <c r="CF375" i="7"/>
  <c r="BU375" i="7"/>
  <c r="A200" i="12"/>
  <c r="D200" i="12"/>
  <c r="K200" i="12" s="1"/>
  <c r="B200" i="12"/>
  <c r="BU202" i="7"/>
  <c r="CR202" i="7"/>
  <c r="CG202" i="7"/>
  <c r="CF202" i="7"/>
  <c r="B213" i="12"/>
  <c r="D213" i="12"/>
  <c r="K213" i="12" s="1"/>
  <c r="A213" i="12"/>
  <c r="BU215" i="7"/>
  <c r="CR215" i="7"/>
  <c r="CG215" i="7"/>
  <c r="CF215" i="7"/>
  <c r="H139" i="12"/>
  <c r="I139" i="12"/>
  <c r="B178" i="12"/>
  <c r="A178" i="12"/>
  <c r="D178" i="12"/>
  <c r="K178" i="12" s="1"/>
  <c r="BU180" i="7"/>
  <c r="CR180" i="7"/>
  <c r="CG180" i="7"/>
  <c r="CF180" i="7"/>
  <c r="I83" i="12"/>
  <c r="H83" i="12"/>
  <c r="CB314" i="7"/>
  <c r="G312" i="12" s="1"/>
  <c r="BZ314" i="7"/>
  <c r="CN111" i="7"/>
  <c r="CM111" i="7"/>
  <c r="CL111" i="7"/>
  <c r="CS111" i="7"/>
  <c r="CK111" i="7"/>
  <c r="CJ111" i="7"/>
  <c r="CQ111" i="7"/>
  <c r="CP111" i="7"/>
  <c r="CO111" i="7"/>
  <c r="CN233" i="7"/>
  <c r="CL233" i="7"/>
  <c r="CS233" i="7"/>
  <c r="CK233" i="7"/>
  <c r="CJ233" i="7"/>
  <c r="CQ233" i="7"/>
  <c r="CP233" i="7"/>
  <c r="CO233" i="7"/>
  <c r="CM233" i="7"/>
  <c r="CS353" i="7"/>
  <c r="CK353" i="7"/>
  <c r="CJ353" i="7"/>
  <c r="CQ353" i="7"/>
  <c r="CP353" i="7"/>
  <c r="CO353" i="7"/>
  <c r="CN353" i="7"/>
  <c r="CM353" i="7"/>
  <c r="CL353" i="7"/>
  <c r="CB365" i="7"/>
  <c r="G363" i="12" s="1"/>
  <c r="BZ365" i="7"/>
  <c r="D143" i="12"/>
  <c r="K143" i="12" s="1"/>
  <c r="B143" i="12"/>
  <c r="A143" i="12"/>
  <c r="CR145" i="7"/>
  <c r="CF145" i="7"/>
  <c r="BU145" i="7"/>
  <c r="CG145" i="7"/>
  <c r="B30" i="12"/>
  <c r="D30" i="12"/>
  <c r="K30" i="12" s="1"/>
  <c r="A30" i="12"/>
  <c r="CF32" i="7"/>
  <c r="BU32" i="7"/>
  <c r="CR32" i="7"/>
  <c r="CG32" i="7"/>
  <c r="I163" i="12"/>
  <c r="H163" i="12"/>
  <c r="CJ350" i="7"/>
  <c r="CQ350" i="7"/>
  <c r="CP350" i="7"/>
  <c r="CO350" i="7"/>
  <c r="CN350" i="7"/>
  <c r="CM350" i="7"/>
  <c r="CL350" i="7"/>
  <c r="CS350" i="7"/>
  <c r="CK350" i="7"/>
  <c r="CO160" i="7"/>
  <c r="CN160" i="7"/>
  <c r="CM160" i="7"/>
  <c r="CL160" i="7"/>
  <c r="CS160" i="7"/>
  <c r="CK160" i="7"/>
  <c r="CJ160" i="7"/>
  <c r="CP160" i="7"/>
  <c r="CQ160" i="7"/>
  <c r="CB277" i="7"/>
  <c r="G275" i="12" s="1"/>
  <c r="BZ277" i="7"/>
  <c r="H250" i="12"/>
  <c r="I250" i="12"/>
  <c r="CB279" i="7"/>
  <c r="G277" i="12" s="1"/>
  <c r="BZ279" i="7"/>
  <c r="B131" i="12"/>
  <c r="A131" i="12"/>
  <c r="D131" i="12"/>
  <c r="K131" i="12" s="1"/>
  <c r="BU133" i="7"/>
  <c r="CG133" i="7"/>
  <c r="CR133" i="7"/>
  <c r="CF133" i="7"/>
  <c r="B4" i="12"/>
  <c r="A4" i="12"/>
  <c r="D4" i="12"/>
  <c r="K4" i="12" s="1"/>
  <c r="CG6" i="7"/>
  <c r="CF6" i="7"/>
  <c r="BU6" i="7"/>
  <c r="CR6" i="7"/>
  <c r="CO53" i="7"/>
  <c r="CK53" i="7"/>
  <c r="CS53" i="7"/>
  <c r="CJ53" i="7"/>
  <c r="CQ53" i="7"/>
  <c r="CP53" i="7"/>
  <c r="CN53" i="7"/>
  <c r="CM53" i="7"/>
  <c r="CL53" i="7"/>
  <c r="CS110" i="7"/>
  <c r="CK110" i="7"/>
  <c r="CJ110" i="7"/>
  <c r="CQ110" i="7"/>
  <c r="CP110" i="7"/>
  <c r="CO110" i="7"/>
  <c r="CN110" i="7"/>
  <c r="CM110" i="7"/>
  <c r="CL110" i="7"/>
  <c r="I151" i="12"/>
  <c r="H151" i="12"/>
  <c r="CO114" i="7"/>
  <c r="CN114" i="7"/>
  <c r="CM114" i="7"/>
  <c r="CL114" i="7"/>
  <c r="CS114" i="7"/>
  <c r="CK114" i="7"/>
  <c r="CJ114" i="7"/>
  <c r="CQ114" i="7"/>
  <c r="CP114" i="7"/>
  <c r="CM186" i="7"/>
  <c r="CL186" i="7"/>
  <c r="CS186" i="7"/>
  <c r="CK186" i="7"/>
  <c r="CJ186" i="7"/>
  <c r="CQ186" i="7"/>
  <c r="CP186" i="7"/>
  <c r="CN186" i="7"/>
  <c r="CO186" i="7"/>
  <c r="CL98" i="7"/>
  <c r="CS98" i="7"/>
  <c r="CK98" i="7"/>
  <c r="CJ98" i="7"/>
  <c r="CQ98" i="7"/>
  <c r="CP98" i="7"/>
  <c r="CO98" i="7"/>
  <c r="CN98" i="7"/>
  <c r="CM98" i="7"/>
  <c r="CB274" i="7"/>
  <c r="G272" i="12" s="1"/>
  <c r="BZ274" i="7"/>
  <c r="BZ372" i="7"/>
  <c r="CB372" i="7"/>
  <c r="G370" i="12" s="1"/>
  <c r="CB19" i="7"/>
  <c r="G17" i="12" s="1"/>
  <c r="BZ19" i="7"/>
  <c r="CQ194" i="7"/>
  <c r="CN194" i="7"/>
  <c r="CM194" i="7"/>
  <c r="CL194" i="7"/>
  <c r="CK194" i="7"/>
  <c r="CS194" i="7"/>
  <c r="CJ194" i="7"/>
  <c r="CP194" i="7"/>
  <c r="CO194" i="7"/>
  <c r="CB116" i="7"/>
  <c r="G114" i="12" s="1"/>
  <c r="BZ116" i="7"/>
  <c r="CB14" i="7"/>
  <c r="G12" i="12" s="1"/>
  <c r="BZ14" i="7"/>
  <c r="CN241" i="7"/>
  <c r="CM241" i="7"/>
  <c r="CL241" i="7"/>
  <c r="CS241" i="7"/>
  <c r="CK241" i="7"/>
  <c r="CJ241" i="7"/>
  <c r="CQ241" i="7"/>
  <c r="CP241" i="7"/>
  <c r="CO241" i="7"/>
  <c r="I176" i="12"/>
  <c r="H176" i="12"/>
  <c r="CS248" i="7"/>
  <c r="CK248" i="7"/>
  <c r="CJ248" i="7"/>
  <c r="CQ248" i="7"/>
  <c r="CP248" i="7"/>
  <c r="CO248" i="7"/>
  <c r="CN248" i="7"/>
  <c r="CM248" i="7"/>
  <c r="CL248" i="7"/>
  <c r="H121" i="12"/>
  <c r="I121" i="12"/>
  <c r="CB151" i="7"/>
  <c r="G149" i="12" s="1"/>
  <c r="BZ151" i="7"/>
  <c r="D195" i="12"/>
  <c r="K195" i="12" s="1"/>
  <c r="B195" i="12"/>
  <c r="A195" i="12"/>
  <c r="CR197" i="7"/>
  <c r="CG197" i="7"/>
  <c r="CF197" i="7"/>
  <c r="BU197" i="7"/>
  <c r="A142" i="12"/>
  <c r="D142" i="12"/>
  <c r="K142" i="12" s="1"/>
  <c r="B142" i="12"/>
  <c r="CF144" i="7"/>
  <c r="BU144" i="7"/>
  <c r="CR144" i="7"/>
  <c r="CG144" i="7"/>
  <c r="CL195" i="7"/>
  <c r="CS195" i="7"/>
  <c r="CJ195" i="7"/>
  <c r="CQ195" i="7"/>
  <c r="CP195" i="7"/>
  <c r="CO195" i="7"/>
  <c r="CN195" i="7"/>
  <c r="CM195" i="7"/>
  <c r="CK195" i="7"/>
  <c r="A43" i="12"/>
  <c r="D43" i="12"/>
  <c r="K43" i="12" s="1"/>
  <c r="B43" i="12"/>
  <c r="BU45" i="7"/>
  <c r="CR45" i="7"/>
  <c r="CG45" i="7"/>
  <c r="CF45" i="7"/>
  <c r="CB46" i="7"/>
  <c r="G44" i="12" s="1"/>
  <c r="BZ46" i="7"/>
  <c r="CL243" i="7"/>
  <c r="CS243" i="7"/>
  <c r="CK243" i="7"/>
  <c r="CJ243" i="7"/>
  <c r="CQ243" i="7"/>
  <c r="CP243" i="7"/>
  <c r="CO243" i="7"/>
  <c r="CN243" i="7"/>
  <c r="CM243" i="7"/>
  <c r="CO221" i="7"/>
  <c r="CN221" i="7"/>
  <c r="CM221" i="7"/>
  <c r="CL221" i="7"/>
  <c r="CS221" i="7"/>
  <c r="CK221" i="7"/>
  <c r="CJ221" i="7"/>
  <c r="CQ221" i="7"/>
  <c r="CP221" i="7"/>
  <c r="D148" i="12"/>
  <c r="K148" i="12" s="1"/>
  <c r="B148" i="12"/>
  <c r="A148" i="12"/>
  <c r="CG150" i="7"/>
  <c r="CF150" i="7"/>
  <c r="CR150" i="7"/>
  <c r="BU150" i="7"/>
  <c r="D77" i="12"/>
  <c r="K77" i="12" s="1"/>
  <c r="A77" i="12"/>
  <c r="B77" i="12"/>
  <c r="CF79" i="7"/>
  <c r="BU79" i="7"/>
  <c r="CG79" i="7"/>
  <c r="CR79" i="7"/>
  <c r="I85" i="12"/>
  <c r="H85" i="12"/>
  <c r="CN97" i="7"/>
  <c r="CM97" i="7"/>
  <c r="CL97" i="7"/>
  <c r="CS97" i="7"/>
  <c r="CK97" i="7"/>
  <c r="CJ97" i="7"/>
  <c r="CQ97" i="7"/>
  <c r="CO97" i="7"/>
  <c r="CP97" i="7"/>
  <c r="CB156" i="7"/>
  <c r="G154" i="12" s="1"/>
  <c r="BZ156" i="7"/>
  <c r="CB125" i="7"/>
  <c r="G123" i="12" s="1"/>
  <c r="BZ125" i="7"/>
  <c r="H97" i="12"/>
  <c r="I97" i="12"/>
  <c r="CN226" i="7"/>
  <c r="CJ226" i="7"/>
  <c r="CS226" i="7"/>
  <c r="CQ226" i="7"/>
  <c r="CP226" i="7"/>
  <c r="CO226" i="7"/>
  <c r="CM226" i="7"/>
  <c r="CL226" i="7"/>
  <c r="CK226" i="7"/>
  <c r="D282" i="12"/>
  <c r="K282" i="12" s="1"/>
  <c r="A282" i="12"/>
  <c r="B282" i="12"/>
  <c r="CR284" i="7"/>
  <c r="CG284" i="7"/>
  <c r="CF284" i="7"/>
  <c r="BU284" i="7"/>
  <c r="CB136" i="7"/>
  <c r="G134" i="12" s="1"/>
  <c r="BZ136" i="7"/>
  <c r="CO184" i="7"/>
  <c r="CN184" i="7"/>
  <c r="CM184" i="7"/>
  <c r="CL184" i="7"/>
  <c r="CS184" i="7"/>
  <c r="CK184" i="7"/>
  <c r="CJ184" i="7"/>
  <c r="CP184" i="7"/>
  <c r="CQ184" i="7"/>
  <c r="D371" i="12"/>
  <c r="K371" i="12" s="1"/>
  <c r="B371" i="12"/>
  <c r="A371" i="12"/>
  <c r="BU373" i="7"/>
  <c r="CR373" i="7"/>
  <c r="CG373" i="7"/>
  <c r="CF373" i="7"/>
  <c r="D40" i="12"/>
  <c r="K40" i="12" s="1"/>
  <c r="B40" i="12"/>
  <c r="A40" i="12"/>
  <c r="BU42" i="7"/>
  <c r="CF42" i="7"/>
  <c r="CG42" i="7"/>
  <c r="CR42" i="7"/>
  <c r="BZ245" i="7"/>
  <c r="CB245" i="7"/>
  <c r="G243" i="12" s="1"/>
  <c r="CN218" i="7"/>
  <c r="CM218" i="7"/>
  <c r="CL218" i="7"/>
  <c r="CS218" i="7"/>
  <c r="CK218" i="7"/>
  <c r="CJ218" i="7"/>
  <c r="CQ218" i="7"/>
  <c r="CP218" i="7"/>
  <c r="CO218" i="7"/>
  <c r="BZ128" i="7"/>
  <c r="CB128" i="7"/>
  <c r="G126" i="12" s="1"/>
  <c r="D355" i="12"/>
  <c r="K355" i="12" s="1"/>
  <c r="B355" i="12"/>
  <c r="A355" i="12"/>
  <c r="CF357" i="7"/>
  <c r="BU357" i="7"/>
  <c r="CR357" i="7"/>
  <c r="CG357" i="7"/>
  <c r="CJ115" i="7"/>
  <c r="CQ115" i="7"/>
  <c r="CP115" i="7"/>
  <c r="CO115" i="7"/>
  <c r="CN115" i="7"/>
  <c r="CM115" i="7"/>
  <c r="CL115" i="7"/>
  <c r="CK115" i="7"/>
  <c r="CS115" i="7"/>
  <c r="CO267" i="7"/>
  <c r="CN267" i="7"/>
  <c r="CM267" i="7"/>
  <c r="CL267" i="7"/>
  <c r="CS267" i="7"/>
  <c r="CK267" i="7"/>
  <c r="CJ267" i="7"/>
  <c r="CQ267" i="7"/>
  <c r="CP267" i="7"/>
  <c r="I242" i="12"/>
  <c r="H242" i="12"/>
  <c r="A325" i="12"/>
  <c r="D325" i="12"/>
  <c r="K325" i="12" s="1"/>
  <c r="B325" i="12"/>
  <c r="CR327" i="7"/>
  <c r="BU327" i="7"/>
  <c r="CG327" i="7"/>
  <c r="CF327" i="7"/>
  <c r="CN264" i="7"/>
  <c r="CM264" i="7"/>
  <c r="CS264" i="7"/>
  <c r="CK264" i="7"/>
  <c r="CJ264" i="7"/>
  <c r="CP264" i="7"/>
  <c r="CO264" i="7"/>
  <c r="CQ264" i="7"/>
  <c r="CL264" i="7"/>
  <c r="A303" i="12"/>
  <c r="B303" i="12"/>
  <c r="D303" i="12"/>
  <c r="K303" i="12" s="1"/>
  <c r="BU305" i="7"/>
  <c r="CR305" i="7"/>
  <c r="CG305" i="7"/>
  <c r="CF305" i="7"/>
  <c r="A54" i="12"/>
  <c r="D54" i="12"/>
  <c r="K54" i="12" s="1"/>
  <c r="B54" i="12"/>
  <c r="CR56" i="7"/>
  <c r="CG56" i="7"/>
  <c r="CF56" i="7"/>
  <c r="BU56" i="7"/>
  <c r="B361" i="12"/>
  <c r="A361" i="12"/>
  <c r="D361" i="12"/>
  <c r="K361" i="12" s="1"/>
  <c r="BU363" i="7"/>
  <c r="CG363" i="7"/>
  <c r="CR363" i="7"/>
  <c r="CF363" i="7"/>
  <c r="CQ299" i="7"/>
  <c r="CP299" i="7"/>
  <c r="CN299" i="7"/>
  <c r="CS299" i="7"/>
  <c r="CK299" i="7"/>
  <c r="CJ299" i="7"/>
  <c r="CO299" i="7"/>
  <c r="CM299" i="7"/>
  <c r="CL299" i="7"/>
  <c r="CP88" i="7"/>
  <c r="CO88" i="7"/>
  <c r="CN88" i="7"/>
  <c r="CM88" i="7"/>
  <c r="CL88" i="7"/>
  <c r="CS88" i="7"/>
  <c r="CK88" i="7"/>
  <c r="CQ88" i="7"/>
  <c r="CJ88" i="7"/>
  <c r="I80" i="12"/>
  <c r="H80" i="12"/>
  <c r="H179" i="12"/>
  <c r="I179" i="12"/>
  <c r="CM5" i="7"/>
  <c r="CL5" i="7"/>
  <c r="CS5" i="7"/>
  <c r="CK5" i="7"/>
  <c r="CJ5" i="7"/>
  <c r="CQ5" i="7"/>
  <c r="CO5" i="7"/>
  <c r="CP5" i="7"/>
  <c r="CN5" i="7"/>
  <c r="A255" i="12"/>
  <c r="D255" i="12"/>
  <c r="K255" i="12" s="1"/>
  <c r="B255" i="12"/>
  <c r="BU257" i="7"/>
  <c r="CR257" i="7"/>
  <c r="CG257" i="7"/>
  <c r="CF257" i="7"/>
  <c r="CJ276" i="7"/>
  <c r="CQ276" i="7"/>
  <c r="CP276" i="7"/>
  <c r="CO276" i="7"/>
  <c r="CN276" i="7"/>
  <c r="CM276" i="7"/>
  <c r="CL276" i="7"/>
  <c r="CS276" i="7"/>
  <c r="CK276" i="7"/>
  <c r="CO283" i="7"/>
  <c r="CN283" i="7"/>
  <c r="CM283" i="7"/>
  <c r="CL283" i="7"/>
  <c r="CS283" i="7"/>
  <c r="CK283" i="7"/>
  <c r="CJ283" i="7"/>
  <c r="CQ283" i="7"/>
  <c r="CP283" i="7"/>
  <c r="B170" i="12"/>
  <c r="D170" i="12"/>
  <c r="K170" i="12" s="1"/>
  <c r="A170" i="12"/>
  <c r="BU172" i="7"/>
  <c r="CR172" i="7"/>
  <c r="CG172" i="7"/>
  <c r="CF172" i="7"/>
  <c r="D125" i="12"/>
  <c r="K125" i="12" s="1"/>
  <c r="B125" i="12"/>
  <c r="A125" i="12"/>
  <c r="BU127" i="7"/>
  <c r="CR127" i="7"/>
  <c r="CG127" i="7"/>
  <c r="CF127" i="7"/>
  <c r="H207" i="12"/>
  <c r="I207" i="12"/>
  <c r="CB303" i="7"/>
  <c r="G301" i="12" s="1"/>
  <c r="BZ303" i="7"/>
  <c r="D290" i="12"/>
  <c r="K290" i="12" s="1"/>
  <c r="A290" i="12"/>
  <c r="B290" i="12"/>
  <c r="CR292" i="7"/>
  <c r="CG292" i="7"/>
  <c r="CF292" i="7"/>
  <c r="BU292" i="7"/>
  <c r="D214" i="12"/>
  <c r="K214" i="12" s="1"/>
  <c r="A214" i="12"/>
  <c r="B214" i="12"/>
  <c r="CG216" i="7"/>
  <c r="CF216" i="7"/>
  <c r="BU216" i="7"/>
  <c r="CR216" i="7"/>
  <c r="CQ347" i="7"/>
  <c r="CP347" i="7"/>
  <c r="CO347" i="7"/>
  <c r="CN347" i="7"/>
  <c r="CM347" i="7"/>
  <c r="CL347" i="7"/>
  <c r="CS347" i="7"/>
  <c r="CK347" i="7"/>
  <c r="CJ347" i="7"/>
  <c r="H384" i="12"/>
  <c r="I384" i="12"/>
  <c r="D280" i="12"/>
  <c r="K280" i="12" s="1"/>
  <c r="B280" i="12"/>
  <c r="A280" i="12"/>
  <c r="BU282" i="7"/>
  <c r="CR282" i="7"/>
  <c r="CG282" i="7"/>
  <c r="CF282" i="7"/>
  <c r="CB108" i="7"/>
  <c r="G106" i="12" s="1"/>
  <c r="BZ108" i="7"/>
  <c r="H22" i="12"/>
  <c r="I22" i="12"/>
  <c r="CL138" i="7"/>
  <c r="CJ138" i="7"/>
  <c r="CQ138" i="7"/>
  <c r="CP138" i="7"/>
  <c r="CN138" i="7"/>
  <c r="CO138" i="7"/>
  <c r="CM138" i="7"/>
  <c r="CK138" i="7"/>
  <c r="CS138" i="7"/>
  <c r="CB371" i="7"/>
  <c r="G369" i="12" s="1"/>
  <c r="BZ371" i="7"/>
  <c r="A257" i="12"/>
  <c r="D257" i="12"/>
  <c r="K257" i="12" s="1"/>
  <c r="B257" i="12"/>
  <c r="BU259" i="7"/>
  <c r="CR259" i="7"/>
  <c r="CG259" i="7"/>
  <c r="CF259" i="7"/>
  <c r="I27" i="12"/>
  <c r="H27" i="12"/>
  <c r="A102" i="12"/>
  <c r="D102" i="12"/>
  <c r="K102" i="12" s="1"/>
  <c r="B102" i="12"/>
  <c r="CF104" i="7"/>
  <c r="CR104" i="7"/>
  <c r="CG104" i="7"/>
  <c r="BU104" i="7"/>
  <c r="CQ265" i="7"/>
  <c r="CP265" i="7"/>
  <c r="CN265" i="7"/>
  <c r="CM265" i="7"/>
  <c r="CS265" i="7"/>
  <c r="CK265" i="7"/>
  <c r="CJ265" i="7"/>
  <c r="CO265" i="7"/>
  <c r="CL265" i="7"/>
  <c r="CB131" i="7"/>
  <c r="G129" i="12" s="1"/>
  <c r="BZ131" i="7"/>
  <c r="D378" i="12"/>
  <c r="K378" i="12" s="1"/>
  <c r="B378" i="12"/>
  <c r="A378" i="12"/>
  <c r="CG380" i="7"/>
  <c r="CF380" i="7"/>
  <c r="BU380" i="7"/>
  <c r="CR380" i="7"/>
  <c r="CB50" i="7"/>
  <c r="G48" i="12" s="1"/>
  <c r="BZ50" i="7"/>
  <c r="CO168" i="7"/>
  <c r="CN168" i="7"/>
  <c r="CM168" i="7"/>
  <c r="CL168" i="7"/>
  <c r="CS168" i="7"/>
  <c r="CK168" i="7"/>
  <c r="CJ168" i="7"/>
  <c r="CP168" i="7"/>
  <c r="CQ168" i="7"/>
  <c r="A279" i="12"/>
  <c r="D279" i="12"/>
  <c r="K279" i="12" s="1"/>
  <c r="B279" i="12"/>
  <c r="CG281" i="7"/>
  <c r="CF281" i="7"/>
  <c r="BU281" i="7"/>
  <c r="CR281" i="7"/>
  <c r="CB28" i="7"/>
  <c r="G26" i="12" s="1"/>
  <c r="BZ28" i="7"/>
  <c r="CL143" i="7"/>
  <c r="CS143" i="7"/>
  <c r="CK143" i="7"/>
  <c r="CQ143" i="7"/>
  <c r="CP143" i="7"/>
  <c r="CO143" i="7"/>
  <c r="CM143" i="7"/>
  <c r="CN143" i="7"/>
  <c r="CJ143" i="7"/>
  <c r="I181" i="12"/>
  <c r="H181" i="12"/>
  <c r="D358" i="12"/>
  <c r="K358" i="12" s="1"/>
  <c r="A358" i="12"/>
  <c r="B358" i="12"/>
  <c r="BU360" i="7"/>
  <c r="CR360" i="7"/>
  <c r="CG360" i="7"/>
  <c r="CF360" i="7"/>
  <c r="CO341" i="7"/>
  <c r="CN341" i="7"/>
  <c r="CM341" i="7"/>
  <c r="CL341" i="7"/>
  <c r="CS341" i="7"/>
  <c r="CK341" i="7"/>
  <c r="CJ341" i="7"/>
  <c r="CQ341" i="7"/>
  <c r="CP341" i="7"/>
  <c r="H315" i="12"/>
  <c r="I315" i="12"/>
  <c r="BZ367" i="7"/>
  <c r="CB367" i="7"/>
  <c r="G365" i="12" s="1"/>
  <c r="I333" i="12"/>
  <c r="H333" i="12"/>
  <c r="CS232" i="7"/>
  <c r="CK232" i="7"/>
  <c r="CQ232" i="7"/>
  <c r="CP232" i="7"/>
  <c r="CO232" i="7"/>
  <c r="CN232" i="7"/>
  <c r="CL232" i="7"/>
  <c r="CM232" i="7"/>
  <c r="CJ232" i="7"/>
  <c r="A198" i="12"/>
  <c r="D198" i="12"/>
  <c r="K198" i="12" s="1"/>
  <c r="B198" i="12"/>
  <c r="CG200" i="7"/>
  <c r="BU200" i="7"/>
  <c r="CF200" i="7"/>
  <c r="CR200" i="7"/>
  <c r="H187" i="12"/>
  <c r="I187" i="12"/>
  <c r="D336" i="12"/>
  <c r="K336" i="12" s="1"/>
  <c r="A336" i="12"/>
  <c r="B336" i="12"/>
  <c r="BU338" i="7"/>
  <c r="CR338" i="7"/>
  <c r="CG338" i="7"/>
  <c r="CF338" i="7"/>
  <c r="I217" i="12"/>
  <c r="H217" i="12"/>
  <c r="D235" i="12"/>
  <c r="K235" i="12" s="1"/>
  <c r="B235" i="12"/>
  <c r="A235" i="12"/>
  <c r="CR237" i="7"/>
  <c r="CG237" i="7"/>
  <c r="CF237" i="7"/>
  <c r="BU237" i="7"/>
  <c r="CL129" i="7"/>
  <c r="CS129" i="7"/>
  <c r="CK129" i="7"/>
  <c r="CJ129" i="7"/>
  <c r="CQ129" i="7"/>
  <c r="CP129" i="7"/>
  <c r="CO129" i="7"/>
  <c r="CN129" i="7"/>
  <c r="CM129" i="7"/>
  <c r="CO275" i="7"/>
  <c r="CN275" i="7"/>
  <c r="CM275" i="7"/>
  <c r="CL275" i="7"/>
  <c r="CS275" i="7"/>
  <c r="CK275" i="7"/>
  <c r="CJ275" i="7"/>
  <c r="CQ275" i="7"/>
  <c r="CP275" i="7"/>
  <c r="B248" i="12"/>
  <c r="D248" i="12"/>
  <c r="K248" i="12" s="1"/>
  <c r="A248" i="12"/>
  <c r="CG250" i="7"/>
  <c r="CF250" i="7"/>
  <c r="BU250" i="7"/>
  <c r="CR250" i="7"/>
  <c r="B59" i="12"/>
  <c r="D59" i="12"/>
  <c r="K59" i="12" s="1"/>
  <c r="A59" i="12"/>
  <c r="BU61" i="7"/>
  <c r="CF61" i="7"/>
  <c r="CR61" i="7"/>
  <c r="CG61" i="7"/>
  <c r="CQ242" i="7"/>
  <c r="CP242" i="7"/>
  <c r="CO242" i="7"/>
  <c r="CN242" i="7"/>
  <c r="CM242" i="7"/>
  <c r="CL242" i="7"/>
  <c r="CS242" i="7"/>
  <c r="CK242" i="7"/>
  <c r="CJ242" i="7"/>
  <c r="I372" i="12"/>
  <c r="H372" i="12"/>
  <c r="CJ334" i="7"/>
  <c r="CQ334" i="7"/>
  <c r="CP334" i="7"/>
  <c r="CO334" i="7"/>
  <c r="CN334" i="7"/>
  <c r="CM334" i="7"/>
  <c r="CL334" i="7"/>
  <c r="CS334" i="7"/>
  <c r="CK334" i="7"/>
  <c r="I254" i="12"/>
  <c r="H254" i="12"/>
  <c r="CO192" i="7"/>
  <c r="CN192" i="7"/>
  <c r="CM192" i="7"/>
  <c r="CL192" i="7"/>
  <c r="CS192" i="7"/>
  <c r="CK192" i="7"/>
  <c r="CJ192" i="7"/>
  <c r="CQ192" i="7"/>
  <c r="CP192" i="7"/>
  <c r="CN288" i="7"/>
  <c r="CM288" i="7"/>
  <c r="CL288" i="7"/>
  <c r="CS288" i="7"/>
  <c r="CK288" i="7"/>
  <c r="CJ288" i="7"/>
  <c r="CQ288" i="7"/>
  <c r="CP288" i="7"/>
  <c r="CO288" i="7"/>
  <c r="D199" i="12"/>
  <c r="K199" i="12" s="1"/>
  <c r="A199" i="12"/>
  <c r="B199" i="12"/>
  <c r="BU201" i="7"/>
  <c r="CG201" i="7"/>
  <c r="CF201" i="7"/>
  <c r="CR201" i="7"/>
  <c r="CB171" i="7"/>
  <c r="G169" i="12" s="1"/>
  <c r="BZ171" i="7"/>
  <c r="H330" i="12"/>
  <c r="I330" i="12"/>
  <c r="A173" i="12"/>
  <c r="D173" i="12"/>
  <c r="K173" i="12" s="1"/>
  <c r="B173" i="12"/>
  <c r="BU175" i="7"/>
  <c r="CR175" i="7"/>
  <c r="CG175" i="7"/>
  <c r="CF175" i="7"/>
  <c r="D101" i="12"/>
  <c r="K101" i="12" s="1"/>
  <c r="B101" i="12"/>
  <c r="A101" i="12"/>
  <c r="BU103" i="7"/>
  <c r="CR103" i="7"/>
  <c r="CG103" i="7"/>
  <c r="CF103" i="7"/>
  <c r="CB240" i="7"/>
  <c r="G238" i="12" s="1"/>
  <c r="BZ240" i="7"/>
  <c r="I264" i="12"/>
  <c r="H264" i="12"/>
  <c r="CP239" i="7"/>
  <c r="CO239" i="7"/>
  <c r="CN239" i="7"/>
  <c r="CM239" i="7"/>
  <c r="CL239" i="7"/>
  <c r="CS239" i="7"/>
  <c r="CK239" i="7"/>
  <c r="CJ239" i="7"/>
  <c r="CQ239" i="7"/>
  <c r="I38" i="12"/>
  <c r="H38" i="12"/>
  <c r="CB92" i="7"/>
  <c r="G90" i="12" s="1"/>
  <c r="BZ92" i="7"/>
  <c r="CB63" i="7"/>
  <c r="G61" i="12" s="1"/>
  <c r="BZ63" i="7"/>
  <c r="H177" i="12"/>
  <c r="I177" i="12"/>
  <c r="CS362" i="7"/>
  <c r="CK362" i="7"/>
  <c r="CJ362" i="7"/>
  <c r="CP362" i="7"/>
  <c r="CN362" i="7"/>
  <c r="CM362" i="7"/>
  <c r="CQ362" i="7"/>
  <c r="CO362" i="7"/>
  <c r="CL362" i="7"/>
  <c r="CM293" i="7"/>
  <c r="CL293" i="7"/>
  <c r="CS293" i="7"/>
  <c r="CK293" i="7"/>
  <c r="CJ293" i="7"/>
  <c r="CQ293" i="7"/>
  <c r="CP293" i="7"/>
  <c r="CO293" i="7"/>
  <c r="CN293" i="7"/>
  <c r="BZ224" i="7"/>
  <c r="CB224" i="7"/>
  <c r="G222" i="12" s="1"/>
  <c r="B321" i="12"/>
  <c r="A321" i="12"/>
  <c r="D321" i="12"/>
  <c r="K321" i="12" s="1"/>
  <c r="CG323" i="7"/>
  <c r="CF323" i="7"/>
  <c r="BU323" i="7"/>
  <c r="CR323" i="7"/>
  <c r="A383" i="12"/>
  <c r="D383" i="12"/>
  <c r="K383" i="12" s="1"/>
  <c r="B383" i="12"/>
  <c r="CG385" i="7"/>
  <c r="CF385" i="7"/>
  <c r="BU385" i="7"/>
  <c r="CR385" i="7"/>
  <c r="CB377" i="7"/>
  <c r="G375" i="12" s="1"/>
  <c r="BZ377" i="7"/>
  <c r="CB13" i="7"/>
  <c r="G11" i="12" s="1"/>
  <c r="BZ13" i="7"/>
  <c r="CB330" i="7"/>
  <c r="G328" i="12" s="1"/>
  <c r="BZ330" i="7"/>
  <c r="B194" i="12"/>
  <c r="D194" i="12"/>
  <c r="K194" i="12" s="1"/>
  <c r="A194" i="12"/>
  <c r="CF196" i="7"/>
  <c r="BU196" i="7"/>
  <c r="CR196" i="7"/>
  <c r="CG196" i="7"/>
  <c r="I29" i="12"/>
  <c r="H29" i="12"/>
  <c r="BZ75" i="7"/>
  <c r="CB75" i="7"/>
  <c r="G73" i="12" s="1"/>
  <c r="CM33" i="7"/>
  <c r="CS33" i="7"/>
  <c r="CK33" i="7"/>
  <c r="CQ33" i="7"/>
  <c r="CO33" i="7"/>
  <c r="CP33" i="7"/>
  <c r="CN33" i="7"/>
  <c r="CL33" i="7"/>
  <c r="CJ33" i="7"/>
  <c r="D47" i="12"/>
  <c r="K47" i="12" s="1"/>
  <c r="B47" i="12"/>
  <c r="A47" i="12"/>
  <c r="BU49" i="7"/>
  <c r="CR49" i="7"/>
  <c r="CG49" i="7"/>
  <c r="CF49" i="7"/>
  <c r="CL261" i="7"/>
  <c r="CP261" i="7"/>
  <c r="CO261" i="7"/>
  <c r="CN261" i="7"/>
  <c r="CM261" i="7"/>
  <c r="CK261" i="7"/>
  <c r="CS261" i="7"/>
  <c r="CJ261" i="7"/>
  <c r="CQ261" i="7"/>
  <c r="BZ258" i="7"/>
  <c r="CB258" i="7"/>
  <c r="G256" i="12" s="1"/>
  <c r="D53" i="12"/>
  <c r="K53" i="12" s="1"/>
  <c r="A53" i="12"/>
  <c r="B53" i="12"/>
  <c r="BU55" i="7"/>
  <c r="CF55" i="7"/>
  <c r="CR55" i="7"/>
  <c r="CG55" i="7"/>
  <c r="A62" i="12"/>
  <c r="D62" i="12"/>
  <c r="K62" i="12" s="1"/>
  <c r="B62" i="12"/>
  <c r="BU64" i="7"/>
  <c r="CG64" i="7"/>
  <c r="CF64" i="7"/>
  <c r="CR64" i="7"/>
  <c r="B385" i="12"/>
  <c r="D385" i="12"/>
  <c r="K385" i="12" s="1"/>
  <c r="A385" i="12"/>
  <c r="CF387" i="7"/>
  <c r="BU387" i="7"/>
  <c r="CR387" i="7"/>
  <c r="CG387" i="7"/>
  <c r="CL204" i="7"/>
  <c r="CS204" i="7"/>
  <c r="CK204" i="7"/>
  <c r="CQ204" i="7"/>
  <c r="CP204" i="7"/>
  <c r="CO204" i="7"/>
  <c r="CM204" i="7"/>
  <c r="CN204" i="7"/>
  <c r="CJ204" i="7"/>
  <c r="CP155" i="7"/>
  <c r="CO155" i="7"/>
  <c r="CN155" i="7"/>
  <c r="CM155" i="7"/>
  <c r="CL155" i="7"/>
  <c r="CS155" i="7"/>
  <c r="CK155" i="7"/>
  <c r="CQ155" i="7"/>
  <c r="CJ155" i="7"/>
  <c r="I323" i="12"/>
  <c r="H323" i="12"/>
  <c r="BZ52" i="7"/>
  <c r="CB52" i="7"/>
  <c r="G50" i="12" s="1"/>
  <c r="I21" i="12"/>
  <c r="H21" i="12"/>
  <c r="CB17" i="7"/>
  <c r="G15" i="12" s="1"/>
  <c r="BZ17" i="7"/>
  <c r="A349" i="12"/>
  <c r="D349" i="12"/>
  <c r="K349" i="12" s="1"/>
  <c r="B349" i="12"/>
  <c r="BU351" i="7"/>
  <c r="CR351" i="7"/>
  <c r="CG351" i="7"/>
  <c r="CF351" i="7"/>
  <c r="I296" i="12"/>
  <c r="H296" i="12"/>
  <c r="CL113" i="7"/>
  <c r="CS113" i="7"/>
  <c r="CK113" i="7"/>
  <c r="CJ113" i="7"/>
  <c r="CQ113" i="7"/>
  <c r="CP113" i="7"/>
  <c r="CO113" i="7"/>
  <c r="CN113" i="7"/>
  <c r="CM113" i="7"/>
  <c r="CO23" i="7"/>
  <c r="CM23" i="7"/>
  <c r="CS23" i="7"/>
  <c r="CK23" i="7"/>
  <c r="CQ23" i="7"/>
  <c r="CP23" i="7"/>
  <c r="CN23" i="7"/>
  <c r="CL23" i="7"/>
  <c r="CJ23" i="7"/>
  <c r="B251" i="12"/>
  <c r="A251" i="12"/>
  <c r="D251" i="12"/>
  <c r="K251" i="12" s="1"/>
  <c r="CR253" i="7"/>
  <c r="CG253" i="7"/>
  <c r="CF253" i="7"/>
  <c r="BU253" i="7"/>
  <c r="CB117" i="7"/>
  <c r="G115" i="12" s="1"/>
  <c r="BZ117" i="7"/>
  <c r="D296" i="12"/>
  <c r="K296" i="12" s="1"/>
  <c r="B296" i="12"/>
  <c r="A296" i="12"/>
  <c r="BU298" i="7"/>
  <c r="CG298" i="7"/>
  <c r="CF298" i="7"/>
  <c r="CR298" i="7"/>
  <c r="CJ130" i="7"/>
  <c r="CK130" i="7"/>
  <c r="CS130" i="7"/>
  <c r="CQ130" i="7"/>
  <c r="CP130" i="7"/>
  <c r="CO130" i="7"/>
  <c r="CN130" i="7"/>
  <c r="CM130" i="7"/>
  <c r="CL130" i="7"/>
  <c r="A7" i="12"/>
  <c r="D7" i="12"/>
  <c r="K7" i="12" s="1"/>
  <c r="B7" i="12"/>
  <c r="BU9" i="7"/>
  <c r="CR9" i="7"/>
  <c r="CG9" i="7"/>
  <c r="CF9" i="7"/>
  <c r="CB384" i="7"/>
  <c r="G382" i="12" s="1"/>
  <c r="BZ384" i="7"/>
  <c r="I78" i="12"/>
  <c r="H78" i="12"/>
  <c r="I15" i="12"/>
  <c r="H15" i="12"/>
  <c r="I349" i="12"/>
  <c r="H349" i="12"/>
  <c r="D100" i="12"/>
  <c r="K100" i="12" s="1"/>
  <c r="B100" i="12"/>
  <c r="A100" i="12"/>
  <c r="CG102" i="7"/>
  <c r="CR102" i="7"/>
  <c r="BU102" i="7"/>
  <c r="CF102" i="7"/>
  <c r="H347" i="12"/>
  <c r="I347" i="12"/>
  <c r="BZ166" i="7"/>
  <c r="CB166" i="7"/>
  <c r="G164" i="12" s="1"/>
  <c r="H338" i="12"/>
  <c r="I338" i="12"/>
  <c r="I232" i="12"/>
  <c r="H232" i="12"/>
  <c r="BZ302" i="7"/>
  <c r="CB302" i="7"/>
  <c r="G300" i="12" s="1"/>
  <c r="CB369" i="7"/>
  <c r="G367" i="12" s="1"/>
  <c r="BZ369" i="7"/>
  <c r="CM25" i="7"/>
  <c r="CS25" i="7"/>
  <c r="CK25" i="7"/>
  <c r="CQ25" i="7"/>
  <c r="CO25" i="7"/>
  <c r="CP25" i="7"/>
  <c r="CN25" i="7"/>
  <c r="CL25" i="7"/>
  <c r="CJ25" i="7"/>
  <c r="CJ310" i="7"/>
  <c r="CQ310" i="7"/>
  <c r="CP310" i="7"/>
  <c r="CO310" i="7"/>
  <c r="CN310" i="7"/>
  <c r="CM310" i="7"/>
  <c r="CL310" i="7"/>
  <c r="CS310" i="7"/>
  <c r="CK310" i="7"/>
  <c r="I186" i="12"/>
  <c r="H186" i="12"/>
  <c r="CS345" i="7"/>
  <c r="CK345" i="7"/>
  <c r="CJ345" i="7"/>
  <c r="CQ345" i="7"/>
  <c r="CP345" i="7"/>
  <c r="CO345" i="7"/>
  <c r="CN345" i="7"/>
  <c r="CM345" i="7"/>
  <c r="CL345" i="7"/>
  <c r="A309" i="12"/>
  <c r="D309" i="12"/>
  <c r="K309" i="12" s="1"/>
  <c r="B309" i="12"/>
  <c r="BU311" i="7"/>
  <c r="CR311" i="7"/>
  <c r="CG311" i="7"/>
  <c r="CF311" i="7"/>
  <c r="BZ260" i="7"/>
  <c r="CB260" i="7"/>
  <c r="G258" i="12" s="1"/>
  <c r="I175" i="12"/>
  <c r="H175" i="12"/>
  <c r="CS297" i="7"/>
  <c r="CK297" i="7"/>
  <c r="CP297" i="7"/>
  <c r="CL297" i="7"/>
  <c r="CN297" i="7"/>
  <c r="CM297" i="7"/>
  <c r="CJ297" i="7"/>
  <c r="CQ297" i="7"/>
  <c r="CO297" i="7"/>
  <c r="BZ185" i="7"/>
  <c r="CB185" i="7"/>
  <c r="G183" i="12" s="1"/>
  <c r="B320" i="12"/>
  <c r="A320" i="12"/>
  <c r="D320" i="12"/>
  <c r="K320" i="12" s="1"/>
  <c r="BU322" i="7"/>
  <c r="CR322" i="7"/>
  <c r="CG322" i="7"/>
  <c r="CF322" i="7"/>
  <c r="B66" i="12"/>
  <c r="D66" i="12"/>
  <c r="K66" i="12" s="1"/>
  <c r="A66" i="12"/>
  <c r="BU68" i="7"/>
  <c r="CG68" i="7"/>
  <c r="CF68" i="7"/>
  <c r="CR68" i="7"/>
  <c r="A13" i="12"/>
  <c r="D13" i="12"/>
  <c r="K13" i="12" s="1"/>
  <c r="B13" i="12"/>
  <c r="CR15" i="7"/>
  <c r="CG15" i="7"/>
  <c r="CF15" i="7"/>
  <c r="BU15" i="7"/>
  <c r="BZ161" i="7"/>
  <c r="CB161" i="7"/>
  <c r="G159" i="12" s="1"/>
  <c r="CQ223" i="7"/>
  <c r="CM223" i="7"/>
  <c r="CL223" i="7"/>
  <c r="CK223" i="7"/>
  <c r="CS223" i="7"/>
  <c r="CJ223" i="7"/>
  <c r="CP223" i="7"/>
  <c r="CO223" i="7"/>
  <c r="CN223" i="7"/>
  <c r="D24" i="12"/>
  <c r="K24" i="12" s="1"/>
  <c r="B24" i="12"/>
  <c r="A24" i="12"/>
  <c r="BU26" i="7"/>
  <c r="CF26" i="7"/>
  <c r="CG26" i="7"/>
  <c r="CR26" i="7"/>
  <c r="BZ375" i="7"/>
  <c r="CB375" i="7"/>
  <c r="G373" i="12" s="1"/>
  <c r="CB202" i="7"/>
  <c r="G200" i="12" s="1"/>
  <c r="BZ202" i="7"/>
  <c r="H305" i="12"/>
  <c r="I305" i="12"/>
  <c r="CB215" i="7"/>
  <c r="G213" i="12" s="1"/>
  <c r="BZ215" i="7"/>
  <c r="CB180" i="7"/>
  <c r="G178" i="12" s="1"/>
  <c r="BZ180" i="7"/>
  <c r="CP84" i="7"/>
  <c r="CO84" i="7"/>
  <c r="CN84" i="7"/>
  <c r="CM84" i="7"/>
  <c r="CL84" i="7"/>
  <c r="CS84" i="7"/>
  <c r="CK84" i="7"/>
  <c r="CQ84" i="7"/>
  <c r="CJ84" i="7"/>
  <c r="B376" i="12"/>
  <c r="D376" i="12"/>
  <c r="K376" i="12" s="1"/>
  <c r="A376" i="12"/>
  <c r="BU378" i="7"/>
  <c r="CR378" i="7"/>
  <c r="CG378" i="7"/>
  <c r="CF378" i="7"/>
  <c r="I109" i="12"/>
  <c r="H109" i="12"/>
  <c r="H231" i="12"/>
  <c r="I231" i="12"/>
  <c r="CS100" i="7"/>
  <c r="CK100" i="7"/>
  <c r="CL100" i="7"/>
  <c r="CJ100" i="7"/>
  <c r="CQ100" i="7"/>
  <c r="CP100" i="7"/>
  <c r="CO100" i="7"/>
  <c r="CN100" i="7"/>
  <c r="CM100" i="7"/>
  <c r="I130" i="12"/>
  <c r="H130" i="12"/>
  <c r="CN119" i="7"/>
  <c r="CM119" i="7"/>
  <c r="CL119" i="7"/>
  <c r="CS119" i="7"/>
  <c r="CK119" i="7"/>
  <c r="CJ119" i="7"/>
  <c r="CQ119" i="7"/>
  <c r="CP119" i="7"/>
  <c r="CO119" i="7"/>
  <c r="BZ145" i="7"/>
  <c r="CB145" i="7"/>
  <c r="G143" i="12" s="1"/>
  <c r="A196" i="12"/>
  <c r="B196" i="12"/>
  <c r="D196" i="12"/>
  <c r="K196" i="12" s="1"/>
  <c r="CR198" i="7"/>
  <c r="CG198" i="7"/>
  <c r="CF198" i="7"/>
  <c r="BU198" i="7"/>
  <c r="CS78" i="7"/>
  <c r="CK78" i="7"/>
  <c r="CQ78" i="7"/>
  <c r="CO78" i="7"/>
  <c r="CM78" i="7"/>
  <c r="CP78" i="7"/>
  <c r="CN78" i="7"/>
  <c r="CL78" i="7"/>
  <c r="CJ78" i="7"/>
  <c r="A341" i="12"/>
  <c r="D341" i="12"/>
  <c r="K341" i="12" s="1"/>
  <c r="B341" i="12"/>
  <c r="BU343" i="7"/>
  <c r="CR343" i="7"/>
  <c r="CG343" i="7"/>
  <c r="CF343" i="7"/>
  <c r="CO213" i="7"/>
  <c r="CN213" i="7"/>
  <c r="CM213" i="7"/>
  <c r="CL213" i="7"/>
  <c r="CS213" i="7"/>
  <c r="CK213" i="7"/>
  <c r="CJ213" i="7"/>
  <c r="CQ213" i="7"/>
  <c r="CP213" i="7"/>
  <c r="CM73" i="7"/>
  <c r="CS73" i="7"/>
  <c r="CK73" i="7"/>
  <c r="CQ73" i="7"/>
  <c r="CO73" i="7"/>
  <c r="CJ73" i="7"/>
  <c r="CP73" i="7"/>
  <c r="CN73" i="7"/>
  <c r="CL73" i="7"/>
  <c r="CS38" i="7"/>
  <c r="CK38" i="7"/>
  <c r="CQ38" i="7"/>
  <c r="CO38" i="7"/>
  <c r="CM38" i="7"/>
  <c r="CP38" i="7"/>
  <c r="CN38" i="7"/>
  <c r="CL38" i="7"/>
  <c r="CJ38" i="7"/>
  <c r="B9" i="12"/>
  <c r="A9" i="12"/>
  <c r="D9" i="12"/>
  <c r="K9" i="12" s="1"/>
  <c r="BU11" i="7"/>
  <c r="CR11" i="7"/>
  <c r="CG11" i="7"/>
  <c r="CF11" i="7"/>
  <c r="CS217" i="7"/>
  <c r="CK217" i="7"/>
  <c r="CJ217" i="7"/>
  <c r="CQ217" i="7"/>
  <c r="CP217" i="7"/>
  <c r="CO217" i="7"/>
  <c r="CN217" i="7"/>
  <c r="CM217" i="7"/>
  <c r="CL217" i="7"/>
  <c r="D8" i="12"/>
  <c r="K8" i="12" s="1"/>
  <c r="B8" i="12"/>
  <c r="A8" i="12"/>
  <c r="CG10" i="7"/>
  <c r="CF10" i="7"/>
  <c r="BU10" i="7"/>
  <c r="CR10" i="7"/>
  <c r="BZ6" i="7"/>
  <c r="CB6" i="7"/>
  <c r="G4" i="12" s="1"/>
  <c r="CM254" i="7"/>
  <c r="CL254" i="7"/>
  <c r="CS254" i="7"/>
  <c r="CK254" i="7"/>
  <c r="CJ254" i="7"/>
  <c r="CQ254" i="7"/>
  <c r="CP254" i="7"/>
  <c r="CO254" i="7"/>
  <c r="CN254" i="7"/>
  <c r="B91" i="12"/>
  <c r="A91" i="12"/>
  <c r="D91" i="12"/>
  <c r="K91" i="12" s="1"/>
  <c r="BU93" i="7"/>
  <c r="CR93" i="7"/>
  <c r="CF93" i="7"/>
  <c r="CG93" i="7"/>
  <c r="CP16" i="7"/>
  <c r="CO16" i="7"/>
  <c r="CN16" i="7"/>
  <c r="CM16" i="7"/>
  <c r="CL16" i="7"/>
  <c r="CS16" i="7"/>
  <c r="CK16" i="7"/>
  <c r="CJ16" i="7"/>
  <c r="CQ16" i="7"/>
  <c r="I112" i="12"/>
  <c r="H112" i="12"/>
  <c r="B201" i="12"/>
  <c r="D201" i="12"/>
  <c r="K201" i="12" s="1"/>
  <c r="A201" i="12"/>
  <c r="CG203" i="7"/>
  <c r="CR203" i="7"/>
  <c r="BU203" i="7"/>
  <c r="CF203" i="7"/>
  <c r="I184" i="12"/>
  <c r="H184" i="12"/>
  <c r="I96" i="12"/>
  <c r="H96" i="12"/>
  <c r="B34" i="12"/>
  <c r="D34" i="12"/>
  <c r="K34" i="12" s="1"/>
  <c r="A34" i="12"/>
  <c r="CF36" i="7"/>
  <c r="BU36" i="7"/>
  <c r="CG36" i="7"/>
  <c r="CR36" i="7"/>
  <c r="B322" i="12"/>
  <c r="A322" i="12"/>
  <c r="D322" i="12"/>
  <c r="K322" i="12" s="1"/>
  <c r="BU324" i="7"/>
  <c r="CR324" i="7"/>
  <c r="CG324" i="7"/>
  <c r="CF324" i="7"/>
  <c r="A118" i="12"/>
  <c r="D118" i="12"/>
  <c r="K118" i="12" s="1"/>
  <c r="B118" i="12"/>
  <c r="CG120" i="7"/>
  <c r="CF120" i="7"/>
  <c r="BU120" i="7"/>
  <c r="CR120" i="7"/>
  <c r="A17" i="12"/>
  <c r="D17" i="12"/>
  <c r="K17" i="12" s="1"/>
  <c r="B17" i="12"/>
  <c r="BU19" i="7"/>
  <c r="CR19" i="7"/>
  <c r="CG19" i="7"/>
  <c r="CF19" i="7"/>
  <c r="I381" i="12"/>
  <c r="H381" i="12"/>
  <c r="D114" i="12"/>
  <c r="K114" i="12" s="1"/>
  <c r="B114" i="12"/>
  <c r="A114" i="12"/>
  <c r="BU116" i="7"/>
  <c r="CR116" i="7"/>
  <c r="CG116" i="7"/>
  <c r="CF116" i="7"/>
  <c r="H239" i="12"/>
  <c r="I239" i="12"/>
  <c r="B120" i="12"/>
  <c r="A120" i="12"/>
  <c r="D120" i="12"/>
  <c r="K120" i="12" s="1"/>
  <c r="CF122" i="7"/>
  <c r="BU122" i="7"/>
  <c r="CR122" i="7"/>
  <c r="CG122" i="7"/>
  <c r="CM77" i="7"/>
  <c r="CS77" i="7"/>
  <c r="CK77" i="7"/>
  <c r="CQ77" i="7"/>
  <c r="CO77" i="7"/>
  <c r="CP77" i="7"/>
  <c r="CN77" i="7"/>
  <c r="CL77" i="7"/>
  <c r="CJ77" i="7"/>
  <c r="CM328" i="7"/>
  <c r="CS328" i="7"/>
  <c r="CK328" i="7"/>
  <c r="CN328" i="7"/>
  <c r="CL328" i="7"/>
  <c r="CJ328" i="7"/>
  <c r="CQ328" i="7"/>
  <c r="CP328" i="7"/>
  <c r="CO328" i="7"/>
  <c r="CB144" i="7"/>
  <c r="G142" i="12" s="1"/>
  <c r="BZ144" i="7"/>
  <c r="H193" i="12"/>
  <c r="I193" i="12"/>
  <c r="CB45" i="7"/>
  <c r="G43" i="12" s="1"/>
  <c r="BZ45" i="7"/>
  <c r="A188" i="12"/>
  <c r="D188" i="12"/>
  <c r="K188" i="12" s="1"/>
  <c r="B188" i="12"/>
  <c r="CG190" i="7"/>
  <c r="CF190" i="7"/>
  <c r="BU190" i="7"/>
  <c r="CR190" i="7"/>
  <c r="D81" i="12"/>
  <c r="K81" i="12" s="1"/>
  <c r="B81" i="12"/>
  <c r="A81" i="12"/>
  <c r="CF83" i="7"/>
  <c r="BU83" i="7"/>
  <c r="CR83" i="7"/>
  <c r="CG83" i="7"/>
  <c r="I241" i="12"/>
  <c r="H241" i="12"/>
  <c r="D92" i="12"/>
  <c r="K92" i="12" s="1"/>
  <c r="B92" i="12"/>
  <c r="A92" i="12"/>
  <c r="BU94" i="7"/>
  <c r="CR94" i="7"/>
  <c r="CG94" i="7"/>
  <c r="CF94" i="7"/>
  <c r="CO382" i="7"/>
  <c r="CN382" i="7"/>
  <c r="CM382" i="7"/>
  <c r="CL382" i="7"/>
  <c r="CS382" i="7"/>
  <c r="CK382" i="7"/>
  <c r="CJ382" i="7"/>
  <c r="CQ382" i="7"/>
  <c r="CP382" i="7"/>
  <c r="H219" i="12"/>
  <c r="I219" i="12"/>
  <c r="BZ150" i="7"/>
  <c r="CB150" i="7"/>
  <c r="G148" i="12" s="1"/>
  <c r="CS271" i="7"/>
  <c r="CK271" i="7"/>
  <c r="CJ271" i="7"/>
  <c r="CQ271" i="7"/>
  <c r="CP271" i="7"/>
  <c r="CO271" i="7"/>
  <c r="CN271" i="7"/>
  <c r="CM271" i="7"/>
  <c r="CL271" i="7"/>
  <c r="I6" i="12"/>
  <c r="H6" i="12"/>
  <c r="CN249" i="7"/>
  <c r="CM249" i="7"/>
  <c r="CL249" i="7"/>
  <c r="CS249" i="7"/>
  <c r="CK249" i="7"/>
  <c r="CJ249" i="7"/>
  <c r="CQ249" i="7"/>
  <c r="CP249" i="7"/>
  <c r="CO249" i="7"/>
  <c r="I95" i="12"/>
  <c r="H95" i="12"/>
  <c r="D5" i="12"/>
  <c r="K5" i="12" s="1"/>
  <c r="B5" i="12"/>
  <c r="A5" i="12"/>
  <c r="BU7" i="7"/>
  <c r="CR7" i="7"/>
  <c r="CG7" i="7"/>
  <c r="CF7" i="7"/>
  <c r="H146" i="12"/>
  <c r="I146" i="12"/>
  <c r="BZ284" i="7"/>
  <c r="CB284" i="7"/>
  <c r="G282" i="12" s="1"/>
  <c r="B229" i="12"/>
  <c r="D229" i="12"/>
  <c r="K229" i="12" s="1"/>
  <c r="A229" i="12"/>
  <c r="CG231" i="7"/>
  <c r="BU231" i="7"/>
  <c r="CR231" i="7"/>
  <c r="CF231" i="7"/>
  <c r="A304" i="12"/>
  <c r="B304" i="12"/>
  <c r="D304" i="12"/>
  <c r="K304" i="12" s="1"/>
  <c r="BU306" i="7"/>
  <c r="CR306" i="7"/>
  <c r="CG306" i="7"/>
  <c r="CF306" i="7"/>
  <c r="D84" i="12"/>
  <c r="K84" i="12" s="1"/>
  <c r="B84" i="12"/>
  <c r="A84" i="12"/>
  <c r="BU86" i="7"/>
  <c r="CR86" i="7"/>
  <c r="CG86" i="7"/>
  <c r="CF86" i="7"/>
  <c r="CB373" i="7"/>
  <c r="G371" i="12" s="1"/>
  <c r="BZ373" i="7"/>
  <c r="CJ268" i="7"/>
  <c r="CQ268" i="7"/>
  <c r="CP268" i="7"/>
  <c r="CO268" i="7"/>
  <c r="CN268" i="7"/>
  <c r="CM268" i="7"/>
  <c r="CL268" i="7"/>
  <c r="CS268" i="7"/>
  <c r="CK268" i="7"/>
  <c r="I271" i="12"/>
  <c r="H271" i="12"/>
  <c r="CB57" i="7"/>
  <c r="G55" i="12" s="1"/>
  <c r="BZ57" i="7"/>
  <c r="I216" i="12"/>
  <c r="H216" i="12"/>
  <c r="CB357" i="7"/>
  <c r="G355" i="12" s="1"/>
  <c r="BZ357" i="7"/>
  <c r="CQ364" i="7"/>
  <c r="CP364" i="7"/>
  <c r="CN364" i="7"/>
  <c r="CM364" i="7"/>
  <c r="CL364" i="7"/>
  <c r="CS364" i="7"/>
  <c r="CK364" i="7"/>
  <c r="CJ364" i="7"/>
  <c r="CO364" i="7"/>
  <c r="CP208" i="7"/>
  <c r="CO208" i="7"/>
  <c r="CN208" i="7"/>
  <c r="CM208" i="7"/>
  <c r="CL208" i="7"/>
  <c r="CS208" i="7"/>
  <c r="CK208" i="7"/>
  <c r="CJ208" i="7"/>
  <c r="CQ208" i="7"/>
  <c r="I265" i="12"/>
  <c r="H265" i="12"/>
  <c r="CM368" i="7"/>
  <c r="CL368" i="7"/>
  <c r="CS368" i="7"/>
  <c r="CK368" i="7"/>
  <c r="CJ368" i="7"/>
  <c r="CQ368" i="7"/>
  <c r="CP368" i="7"/>
  <c r="CO368" i="7"/>
  <c r="CN368" i="7"/>
  <c r="CJ206" i="7"/>
  <c r="CQ206" i="7"/>
  <c r="CP206" i="7"/>
  <c r="CO206" i="7"/>
  <c r="CN206" i="7"/>
  <c r="CM206" i="7"/>
  <c r="CL206" i="7"/>
  <c r="CS206" i="7"/>
  <c r="CK206" i="7"/>
  <c r="CB327" i="7"/>
  <c r="G325" i="12" s="1"/>
  <c r="BZ327" i="7"/>
  <c r="CB305" i="7"/>
  <c r="G303" i="12" s="1"/>
  <c r="BZ305" i="7"/>
  <c r="CL18" i="7"/>
  <c r="CS18" i="7"/>
  <c r="CK18" i="7"/>
  <c r="CJ18" i="7"/>
  <c r="CQ18" i="7"/>
  <c r="CP18" i="7"/>
  <c r="CO18" i="7"/>
  <c r="CN18" i="7"/>
  <c r="CM18" i="7"/>
  <c r="CB363" i="7"/>
  <c r="G361" i="12" s="1"/>
  <c r="BZ363" i="7"/>
  <c r="CP147" i="7"/>
  <c r="CO147" i="7"/>
  <c r="CN147" i="7"/>
  <c r="CM147" i="7"/>
  <c r="CL147" i="7"/>
  <c r="CS147" i="7"/>
  <c r="CK147" i="7"/>
  <c r="CQ147" i="7"/>
  <c r="CJ147" i="7"/>
  <c r="I86" i="12"/>
  <c r="H86" i="12"/>
  <c r="A335" i="12"/>
  <c r="B335" i="12"/>
  <c r="D335" i="12"/>
  <c r="K335" i="12" s="1"/>
  <c r="BU337" i="7"/>
  <c r="CR337" i="7"/>
  <c r="CG337" i="7"/>
  <c r="CF337" i="7"/>
  <c r="CB82" i="7"/>
  <c r="G80" i="12" s="1"/>
  <c r="BZ82" i="7"/>
  <c r="I3" i="12"/>
  <c r="H3" i="12"/>
  <c r="CB257" i="7"/>
  <c r="G255" i="12" s="1"/>
  <c r="BZ257" i="7"/>
  <c r="CP352" i="7"/>
  <c r="CO352" i="7"/>
  <c r="CN352" i="7"/>
  <c r="CM352" i="7"/>
  <c r="CL352" i="7"/>
  <c r="CS352" i="7"/>
  <c r="CK352" i="7"/>
  <c r="CJ352" i="7"/>
  <c r="CQ352" i="7"/>
  <c r="B233" i="12"/>
  <c r="A233" i="12"/>
  <c r="D233" i="12"/>
  <c r="K233" i="12" s="1"/>
  <c r="BU235" i="7"/>
  <c r="CR235" i="7"/>
  <c r="CG235" i="7"/>
  <c r="CF235" i="7"/>
  <c r="I281" i="12"/>
  <c r="H281" i="12"/>
  <c r="CB172" i="7"/>
  <c r="G170" i="12" s="1"/>
  <c r="BZ172" i="7"/>
  <c r="CB127" i="7"/>
  <c r="G125" i="12" s="1"/>
  <c r="BZ127" i="7"/>
  <c r="A70" i="12"/>
  <c r="D70" i="12"/>
  <c r="K70" i="12" s="1"/>
  <c r="B70" i="12"/>
  <c r="CF72" i="7"/>
  <c r="BU72" i="7"/>
  <c r="CG72" i="7"/>
  <c r="CR72" i="7"/>
  <c r="BZ292" i="7"/>
  <c r="CB292" i="7"/>
  <c r="G290" i="12" s="1"/>
  <c r="CB216" i="7"/>
  <c r="G214" i="12" s="1"/>
  <c r="BZ216" i="7"/>
  <c r="CL348" i="7"/>
  <c r="CS348" i="7"/>
  <c r="CK348" i="7"/>
  <c r="CJ348" i="7"/>
  <c r="CQ348" i="7"/>
  <c r="CP348" i="7"/>
  <c r="CO348" i="7"/>
  <c r="CN348" i="7"/>
  <c r="CM348" i="7"/>
  <c r="CQ4" i="7"/>
  <c r="CO4" i="7"/>
  <c r="CN4" i="7"/>
  <c r="CM4" i="7"/>
  <c r="CS4" i="7"/>
  <c r="CK4" i="7"/>
  <c r="CL4" i="7"/>
  <c r="CJ4" i="7"/>
  <c r="CP4" i="7"/>
  <c r="CB282" i="7"/>
  <c r="G280" i="12" s="1"/>
  <c r="BZ282" i="7"/>
  <c r="CB24" i="7"/>
  <c r="G22" i="12" s="1"/>
  <c r="BZ24" i="7"/>
  <c r="CM199" i="7"/>
  <c r="CQ199" i="7"/>
  <c r="CP199" i="7"/>
  <c r="CL199" i="7"/>
  <c r="CK199" i="7"/>
  <c r="CJ199" i="7"/>
  <c r="CS199" i="7"/>
  <c r="CO199" i="7"/>
  <c r="CN199" i="7"/>
  <c r="H136" i="12"/>
  <c r="I136" i="12"/>
  <c r="B225" i="12"/>
  <c r="D225" i="12"/>
  <c r="K225" i="12" s="1"/>
  <c r="A225" i="12"/>
  <c r="BU227" i="7"/>
  <c r="CG227" i="7"/>
  <c r="CR227" i="7"/>
  <c r="CF227" i="7"/>
  <c r="D249" i="12"/>
  <c r="K249" i="12" s="1"/>
  <c r="B249" i="12"/>
  <c r="A249" i="12"/>
  <c r="BU251" i="7"/>
  <c r="CR251" i="7"/>
  <c r="CG251" i="7"/>
  <c r="CF251" i="7"/>
  <c r="CB259" i="7"/>
  <c r="G257" i="12" s="1"/>
  <c r="BZ259" i="7"/>
  <c r="CB29" i="7"/>
  <c r="G27" i="12" s="1"/>
  <c r="BZ29" i="7"/>
  <c r="BZ104" i="7"/>
  <c r="CB104" i="7"/>
  <c r="G102" i="12" s="1"/>
  <c r="CQ331" i="7"/>
  <c r="CP331" i="7"/>
  <c r="CO331" i="7"/>
  <c r="CN331" i="7"/>
  <c r="CL331" i="7"/>
  <c r="CS331" i="7"/>
  <c r="CK331" i="7"/>
  <c r="CJ331" i="7"/>
  <c r="CM331" i="7"/>
  <c r="D79" i="12"/>
  <c r="K79" i="12" s="1"/>
  <c r="A79" i="12"/>
  <c r="B79" i="12"/>
  <c r="BU81" i="7"/>
  <c r="CF81" i="7"/>
  <c r="CG81" i="7"/>
  <c r="CR81" i="7"/>
  <c r="B210" i="12"/>
  <c r="A210" i="12"/>
  <c r="D210" i="12"/>
  <c r="K210" i="12" s="1"/>
  <c r="BU212" i="7"/>
  <c r="CR212" i="7"/>
  <c r="CG212" i="7"/>
  <c r="CF212" i="7"/>
  <c r="D129" i="12"/>
  <c r="K129" i="12" s="1"/>
  <c r="B129" i="12"/>
  <c r="A129" i="12"/>
  <c r="BU131" i="7"/>
  <c r="CR131" i="7"/>
  <c r="CG131" i="7"/>
  <c r="CF131" i="7"/>
  <c r="BZ380" i="7"/>
  <c r="CB380" i="7"/>
  <c r="G378" i="12" s="1"/>
  <c r="CL220" i="7"/>
  <c r="CS220" i="7"/>
  <c r="CK220" i="7"/>
  <c r="CJ220" i="7"/>
  <c r="CQ220" i="7"/>
  <c r="CP220" i="7"/>
  <c r="CO220" i="7"/>
  <c r="CN220" i="7"/>
  <c r="CM220" i="7"/>
  <c r="CQ182" i="7"/>
  <c r="CP182" i="7"/>
  <c r="CO182" i="7"/>
  <c r="CN182" i="7"/>
  <c r="CM182" i="7"/>
  <c r="CL182" i="7"/>
  <c r="CJ182" i="7"/>
  <c r="CS182" i="7"/>
  <c r="CK182" i="7"/>
  <c r="I37" i="12"/>
  <c r="H37" i="12"/>
  <c r="BZ281" i="7"/>
  <c r="CB281" i="7"/>
  <c r="G279" i="12" s="1"/>
  <c r="CO28" i="7"/>
  <c r="CM28" i="7"/>
  <c r="CS28" i="7"/>
  <c r="CK28" i="7"/>
  <c r="CQ28" i="7"/>
  <c r="CL28" i="7"/>
  <c r="CJ28" i="7"/>
  <c r="CP28" i="7"/>
  <c r="CN28" i="7"/>
  <c r="I141" i="12"/>
  <c r="H141" i="12"/>
  <c r="H339" i="12"/>
  <c r="I339" i="12"/>
  <c r="H209" i="12"/>
  <c r="I209" i="12"/>
  <c r="B353" i="12"/>
  <c r="A353" i="12"/>
  <c r="D353" i="12"/>
  <c r="K353" i="12" s="1"/>
  <c r="CG355" i="7"/>
  <c r="CF355" i="7"/>
  <c r="BU355" i="7"/>
  <c r="CR355" i="7"/>
  <c r="CB338" i="7"/>
  <c r="G336" i="12" s="1"/>
  <c r="BZ338" i="7"/>
  <c r="I35" i="12"/>
  <c r="H35" i="12"/>
  <c r="BZ237" i="7"/>
  <c r="CB237" i="7"/>
  <c r="G235" i="12" s="1"/>
  <c r="CB21" i="7"/>
  <c r="G19" i="12" s="1"/>
  <c r="BZ21" i="7"/>
  <c r="I127" i="12"/>
  <c r="H127" i="12"/>
  <c r="I340" i="12"/>
  <c r="H340" i="12"/>
  <c r="I273" i="12"/>
  <c r="H273" i="12"/>
  <c r="BZ250" i="7"/>
  <c r="CB250" i="7"/>
  <c r="G248" i="12" s="1"/>
  <c r="CS61" i="7"/>
  <c r="CK61" i="7"/>
  <c r="CO61" i="7"/>
  <c r="CL61" i="7"/>
  <c r="CJ61" i="7"/>
  <c r="CQ61" i="7"/>
  <c r="CP61" i="7"/>
  <c r="CN61" i="7"/>
  <c r="CM61" i="7"/>
  <c r="H72" i="12"/>
  <c r="I72" i="12"/>
  <c r="B42" i="12"/>
  <c r="A42" i="12"/>
  <c r="D42" i="12"/>
  <c r="K42" i="12" s="1"/>
  <c r="CF44" i="7"/>
  <c r="BU44" i="7"/>
  <c r="CG44" i="7"/>
  <c r="CR44" i="7"/>
  <c r="CJ105" i="7"/>
  <c r="CQ105" i="7"/>
  <c r="CP105" i="7"/>
  <c r="CN105" i="7"/>
  <c r="CM105" i="7"/>
  <c r="CL105" i="7"/>
  <c r="CK105" i="7"/>
  <c r="CS105" i="7"/>
  <c r="CO105" i="7"/>
  <c r="H368" i="12"/>
  <c r="I368" i="12"/>
  <c r="I190" i="12"/>
  <c r="H190" i="12"/>
  <c r="I286" i="12"/>
  <c r="H286" i="12"/>
  <c r="CB201" i="7"/>
  <c r="G199" i="12" s="1"/>
  <c r="BZ201" i="7"/>
  <c r="CS65" i="7"/>
  <c r="CK65" i="7"/>
  <c r="CQ65" i="7"/>
  <c r="CO65" i="7"/>
  <c r="CP65" i="7"/>
  <c r="CN65" i="7"/>
  <c r="CM65" i="7"/>
  <c r="CL65" i="7"/>
  <c r="CJ65" i="7"/>
  <c r="CB159" i="7"/>
  <c r="G157" i="12" s="1"/>
  <c r="BZ159" i="7"/>
  <c r="CB175" i="7"/>
  <c r="G173" i="12" s="1"/>
  <c r="BZ175" i="7"/>
  <c r="CQ66" i="7"/>
  <c r="CO66" i="7"/>
  <c r="CM66" i="7"/>
  <c r="CL66" i="7"/>
  <c r="CK66" i="7"/>
  <c r="CJ66" i="7"/>
  <c r="CS66" i="7"/>
  <c r="CP66" i="7"/>
  <c r="CN66" i="7"/>
  <c r="CP255" i="7"/>
  <c r="CO255" i="7"/>
  <c r="CN255" i="7"/>
  <c r="CM255" i="7"/>
  <c r="CL255" i="7"/>
  <c r="CS255" i="7"/>
  <c r="CK255" i="7"/>
  <c r="CJ255" i="7"/>
  <c r="CQ255" i="7"/>
  <c r="I237" i="12"/>
  <c r="H237" i="12"/>
  <c r="CO40" i="7"/>
  <c r="CM40" i="7"/>
  <c r="CS40" i="7"/>
  <c r="CK40" i="7"/>
  <c r="CQ40" i="7"/>
  <c r="CP40" i="7"/>
  <c r="CN40" i="7"/>
  <c r="CL40" i="7"/>
  <c r="CJ40" i="7"/>
  <c r="I316" i="12"/>
  <c r="H316" i="12"/>
  <c r="D144" i="12"/>
  <c r="K144" i="12" s="1"/>
  <c r="B144" i="12"/>
  <c r="A144" i="12"/>
  <c r="BU146" i="7"/>
  <c r="CR146" i="7"/>
  <c r="CG146" i="7"/>
  <c r="CF146" i="7"/>
  <c r="I291" i="12"/>
  <c r="H291" i="12"/>
  <c r="CQ107" i="7"/>
  <c r="CP107" i="7"/>
  <c r="CO107" i="7"/>
  <c r="CN107" i="7"/>
  <c r="CS107" i="7"/>
  <c r="CM107" i="7"/>
  <c r="CL107" i="7"/>
  <c r="CK107" i="7"/>
  <c r="CJ107" i="7"/>
  <c r="CO291" i="7"/>
  <c r="CN291" i="7"/>
  <c r="CM291" i="7"/>
  <c r="CL291" i="7"/>
  <c r="CS291" i="7"/>
  <c r="CK291" i="7"/>
  <c r="CJ291" i="7"/>
  <c r="CQ291" i="7"/>
  <c r="CP291" i="7"/>
  <c r="D222" i="12"/>
  <c r="K222" i="12" s="1"/>
  <c r="B222" i="12"/>
  <c r="A222" i="12"/>
  <c r="CG224" i="7"/>
  <c r="CR224" i="7"/>
  <c r="CF224" i="7"/>
  <c r="BU224" i="7"/>
  <c r="BZ323" i="7"/>
  <c r="CB323" i="7"/>
  <c r="G321" i="12" s="1"/>
  <c r="CB385" i="7"/>
  <c r="G383" i="12" s="1"/>
  <c r="BZ385" i="7"/>
  <c r="CB225" i="7"/>
  <c r="G223" i="12" s="1"/>
  <c r="BZ225" i="7"/>
  <c r="BZ31" i="7"/>
  <c r="CB31" i="7"/>
  <c r="G29" i="12" s="1"/>
  <c r="CL90" i="7"/>
  <c r="CS90" i="7"/>
  <c r="CK90" i="7"/>
  <c r="CJ90" i="7"/>
  <c r="CQ90" i="7"/>
  <c r="CP90" i="7"/>
  <c r="CO90" i="7"/>
  <c r="CM90" i="7"/>
  <c r="CN90" i="7"/>
  <c r="CB49" i="7"/>
  <c r="G47" i="12" s="1"/>
  <c r="BZ49" i="7"/>
  <c r="A45" i="12"/>
  <c r="D45" i="12"/>
  <c r="K45" i="12" s="1"/>
  <c r="B45" i="12"/>
  <c r="CG47" i="7"/>
  <c r="CF47" i="7"/>
  <c r="BU47" i="7"/>
  <c r="CR47" i="7"/>
  <c r="CM54" i="7"/>
  <c r="CN54" i="7"/>
  <c r="CL54" i="7"/>
  <c r="CK54" i="7"/>
  <c r="CS54" i="7"/>
  <c r="CJ54" i="7"/>
  <c r="CQ54" i="7"/>
  <c r="CP54" i="7"/>
  <c r="CO54" i="7"/>
  <c r="CB387" i="7"/>
  <c r="G385" i="12" s="1"/>
  <c r="BZ387" i="7"/>
  <c r="H202" i="12"/>
  <c r="I202" i="12"/>
  <c r="I167" i="12"/>
  <c r="H167" i="12"/>
  <c r="I153" i="12"/>
  <c r="H153" i="12"/>
  <c r="CN272" i="7"/>
  <c r="CM272" i="7"/>
  <c r="CL272" i="7"/>
  <c r="CS272" i="7"/>
  <c r="CK272" i="7"/>
  <c r="CJ272" i="7"/>
  <c r="CQ272" i="7"/>
  <c r="CP272" i="7"/>
  <c r="CO272" i="7"/>
  <c r="B50" i="12"/>
  <c r="D50" i="12"/>
  <c r="K50" i="12" s="1"/>
  <c r="A50" i="12"/>
  <c r="CR52" i="7"/>
  <c r="CG52" i="7"/>
  <c r="CF52" i="7"/>
  <c r="BU52" i="7"/>
  <c r="I128" i="12"/>
  <c r="H128" i="12"/>
  <c r="D111" i="12"/>
  <c r="K111" i="12" s="1"/>
  <c r="B111" i="12"/>
  <c r="A111" i="12"/>
  <c r="BU113" i="7"/>
  <c r="CR113" i="7"/>
  <c r="CG113" i="7"/>
  <c r="CF113" i="7"/>
  <c r="CB207" i="7"/>
  <c r="G205" i="12" s="1"/>
  <c r="BZ207" i="7"/>
  <c r="CB113" i="7"/>
  <c r="G111" i="12" s="1"/>
  <c r="BZ113" i="7"/>
  <c r="H23" i="12"/>
  <c r="I23" i="12"/>
  <c r="I251" i="12"/>
  <c r="H251" i="12"/>
  <c r="D288" i="12"/>
  <c r="K288" i="12" s="1"/>
  <c r="B288" i="12"/>
  <c r="A288" i="12"/>
  <c r="BU290" i="7"/>
  <c r="CR290" i="7"/>
  <c r="CG290" i="7"/>
  <c r="CF290" i="7"/>
  <c r="A21" i="12"/>
  <c r="D21" i="12"/>
  <c r="K21" i="12" s="1"/>
  <c r="B21" i="12"/>
  <c r="CF23" i="7"/>
  <c r="BU23" i="7"/>
  <c r="CG23" i="7"/>
  <c r="CR23" i="7"/>
  <c r="BZ253" i="7"/>
  <c r="CB253" i="7"/>
  <c r="G251" i="12" s="1"/>
  <c r="CN295" i="7"/>
  <c r="CL295" i="7"/>
  <c r="CK295" i="7"/>
  <c r="CS295" i="7"/>
  <c r="CJ295" i="7"/>
  <c r="CQ295" i="7"/>
  <c r="CP295" i="7"/>
  <c r="CO295" i="7"/>
  <c r="CM295" i="7"/>
  <c r="CB298" i="7"/>
  <c r="G296" i="12" s="1"/>
  <c r="BZ298" i="7"/>
  <c r="CB9" i="7"/>
  <c r="G7" i="12" s="1"/>
  <c r="BZ9" i="7"/>
  <c r="CB80" i="7"/>
  <c r="G78" i="12" s="1"/>
  <c r="BZ80" i="7"/>
  <c r="CL300" i="7"/>
  <c r="CS300" i="7"/>
  <c r="CK300" i="7"/>
  <c r="CQ300" i="7"/>
  <c r="CP300" i="7"/>
  <c r="CN300" i="7"/>
  <c r="CM300" i="7"/>
  <c r="CJ300" i="7"/>
  <c r="CO300" i="7"/>
  <c r="D337" i="12"/>
  <c r="K337" i="12" s="1"/>
  <c r="B337" i="12"/>
  <c r="A337" i="12"/>
  <c r="CG339" i="7"/>
  <c r="CF339" i="7"/>
  <c r="BU339" i="7"/>
  <c r="CR339" i="7"/>
  <c r="B99" i="12"/>
  <c r="A99" i="12"/>
  <c r="D99" i="12"/>
  <c r="K99" i="12" s="1"/>
  <c r="CG101" i="7"/>
  <c r="CF101" i="7"/>
  <c r="BU101" i="7"/>
  <c r="CR101" i="7"/>
  <c r="D191" i="12"/>
  <c r="K191" i="12" s="1"/>
  <c r="A191" i="12"/>
  <c r="B191" i="12"/>
  <c r="CR193" i="7"/>
  <c r="CG193" i="7"/>
  <c r="CF193" i="7"/>
  <c r="BU193" i="7"/>
  <c r="B284" i="12"/>
  <c r="D284" i="12"/>
  <c r="K284" i="12" s="1"/>
  <c r="A284" i="12"/>
  <c r="CG286" i="7"/>
  <c r="CF286" i="7"/>
  <c r="BU286" i="7"/>
  <c r="CR286" i="7"/>
  <c r="H172" i="12"/>
  <c r="I172" i="12"/>
  <c r="H140" i="12"/>
  <c r="I140" i="12"/>
  <c r="B186" i="12"/>
  <c r="D186" i="12"/>
  <c r="K186" i="12" s="1"/>
  <c r="A186" i="12"/>
  <c r="BU188" i="7"/>
  <c r="CR188" i="7"/>
  <c r="CG188" i="7"/>
  <c r="CF188" i="7"/>
  <c r="B245" i="12"/>
  <c r="D245" i="12"/>
  <c r="K245" i="12" s="1"/>
  <c r="A245" i="12"/>
  <c r="CG247" i="7"/>
  <c r="CF247" i="7"/>
  <c r="BU247" i="7"/>
  <c r="CR247" i="7"/>
  <c r="CS313" i="7"/>
  <c r="CK313" i="7"/>
  <c r="CJ313" i="7"/>
  <c r="CQ313" i="7"/>
  <c r="CP313" i="7"/>
  <c r="CO313" i="7"/>
  <c r="CN313" i="7"/>
  <c r="CM313" i="7"/>
  <c r="CL313" i="7"/>
  <c r="CB311" i="7"/>
  <c r="G309" i="12" s="1"/>
  <c r="BZ311" i="7"/>
  <c r="BZ359" i="7"/>
  <c r="CB359" i="7"/>
  <c r="G357" i="12" s="1"/>
  <c r="D258" i="12"/>
  <c r="K258" i="12" s="1"/>
  <c r="A258" i="12"/>
  <c r="B258" i="12"/>
  <c r="CR260" i="7"/>
  <c r="CG260" i="7"/>
  <c r="CF260" i="7"/>
  <c r="BU260" i="7"/>
  <c r="B234" i="12"/>
  <c r="A234" i="12"/>
  <c r="D234" i="12"/>
  <c r="K234" i="12" s="1"/>
  <c r="CF236" i="7"/>
  <c r="BU236" i="7"/>
  <c r="CR236" i="7"/>
  <c r="CG236" i="7"/>
  <c r="CJ326" i="7"/>
  <c r="CQ326" i="7"/>
  <c r="CP326" i="7"/>
  <c r="CO326" i="7"/>
  <c r="CN326" i="7"/>
  <c r="CM326" i="7"/>
  <c r="CL326" i="7"/>
  <c r="CS326" i="7"/>
  <c r="CK326" i="7"/>
  <c r="CO176" i="7"/>
  <c r="CN176" i="7"/>
  <c r="CM176" i="7"/>
  <c r="CL176" i="7"/>
  <c r="CS176" i="7"/>
  <c r="CK176" i="7"/>
  <c r="CJ176" i="7"/>
  <c r="CP176" i="7"/>
  <c r="CQ176" i="7"/>
  <c r="CN149" i="7"/>
  <c r="CM149" i="7"/>
  <c r="CL149" i="7"/>
  <c r="CS149" i="7"/>
  <c r="CK149" i="7"/>
  <c r="CJ149" i="7"/>
  <c r="CQ149" i="7"/>
  <c r="CO149" i="7"/>
  <c r="CP149" i="7"/>
  <c r="A295" i="12"/>
  <c r="D295" i="12"/>
  <c r="K295" i="12" s="1"/>
  <c r="B295" i="12"/>
  <c r="BU297" i="7"/>
  <c r="CG297" i="7"/>
  <c r="CF297" i="7"/>
  <c r="CR297" i="7"/>
  <c r="CB322" i="7"/>
  <c r="G320" i="12" s="1"/>
  <c r="BZ322" i="7"/>
  <c r="D261" i="12"/>
  <c r="K261" i="12" s="1"/>
  <c r="B261" i="12"/>
  <c r="A261" i="12"/>
  <c r="BU263" i="7"/>
  <c r="CR263" i="7"/>
  <c r="CG263" i="7"/>
  <c r="CF263" i="7"/>
  <c r="A287" i="12"/>
  <c r="B287" i="12"/>
  <c r="D287" i="12"/>
  <c r="K287" i="12" s="1"/>
  <c r="CG289" i="7"/>
  <c r="CF289" i="7"/>
  <c r="BU289" i="7"/>
  <c r="CR289" i="7"/>
  <c r="BZ15" i="7"/>
  <c r="CB15" i="7"/>
  <c r="G13" i="12" s="1"/>
  <c r="CM296" i="7"/>
  <c r="CQ296" i="7"/>
  <c r="CK296" i="7"/>
  <c r="CJ296" i="7"/>
  <c r="CS296" i="7"/>
  <c r="CP296" i="7"/>
  <c r="CO296" i="7"/>
  <c r="CN296" i="7"/>
  <c r="CL296" i="7"/>
  <c r="I67" i="12"/>
  <c r="H67" i="12"/>
  <c r="I69" i="12"/>
  <c r="H69" i="12"/>
  <c r="B356" i="12"/>
  <c r="D356" i="12"/>
  <c r="K356" i="12" s="1"/>
  <c r="A356" i="12"/>
  <c r="CR358" i="7"/>
  <c r="CG358" i="7"/>
  <c r="CF358" i="7"/>
  <c r="BU358" i="7"/>
  <c r="CM60" i="7"/>
  <c r="CQ60" i="7"/>
  <c r="CN60" i="7"/>
  <c r="CL60" i="7"/>
  <c r="CK60" i="7"/>
  <c r="CJ60" i="7"/>
  <c r="CS60" i="7"/>
  <c r="CP60" i="7"/>
  <c r="CO60" i="7"/>
  <c r="CS126" i="7"/>
  <c r="CK126" i="7"/>
  <c r="CJ126" i="7"/>
  <c r="CQ126" i="7"/>
  <c r="CP126" i="7"/>
  <c r="CO126" i="7"/>
  <c r="CN126" i="7"/>
  <c r="CM126" i="7"/>
  <c r="CL126" i="7"/>
  <c r="CB106" i="7"/>
  <c r="G104" i="12" s="1"/>
  <c r="BZ106" i="7"/>
  <c r="CN141" i="7"/>
  <c r="CM141" i="7"/>
  <c r="CS141" i="7"/>
  <c r="CK141" i="7"/>
  <c r="CJ141" i="7"/>
  <c r="CQ141" i="7"/>
  <c r="CO141" i="7"/>
  <c r="CL141" i="7"/>
  <c r="CP141" i="7"/>
  <c r="B83" i="12"/>
  <c r="A83" i="12"/>
  <c r="D83" i="12"/>
  <c r="K83" i="12" s="1"/>
  <c r="BU85" i="7"/>
  <c r="CR85" i="7"/>
  <c r="CF85" i="7"/>
  <c r="CG85" i="7"/>
  <c r="CS287" i="7"/>
  <c r="CK287" i="7"/>
  <c r="CJ287" i="7"/>
  <c r="CQ287" i="7"/>
  <c r="CP287" i="7"/>
  <c r="CO287" i="7"/>
  <c r="CN287" i="7"/>
  <c r="CM287" i="7"/>
  <c r="CL287" i="7"/>
  <c r="I82" i="12"/>
  <c r="H82" i="12"/>
  <c r="CO301" i="7"/>
  <c r="CN301" i="7"/>
  <c r="CL301" i="7"/>
  <c r="CS301" i="7"/>
  <c r="CK301" i="7"/>
  <c r="CQ301" i="7"/>
  <c r="CP301" i="7"/>
  <c r="CM301" i="7"/>
  <c r="CJ301" i="7"/>
  <c r="CB378" i="7"/>
  <c r="G376" i="12" s="1"/>
  <c r="BZ378" i="7"/>
  <c r="D231" i="12"/>
  <c r="K231" i="12" s="1"/>
  <c r="B231" i="12"/>
  <c r="A231" i="12"/>
  <c r="BU233" i="7"/>
  <c r="CR233" i="7"/>
  <c r="CG233" i="7"/>
  <c r="CF233" i="7"/>
  <c r="CQ62" i="7"/>
  <c r="CM62" i="7"/>
  <c r="CJ62" i="7"/>
  <c r="CS62" i="7"/>
  <c r="CP62" i="7"/>
  <c r="CO62" i="7"/>
  <c r="CN62" i="7"/>
  <c r="CL62" i="7"/>
  <c r="CK62" i="7"/>
  <c r="I351" i="12"/>
  <c r="H351" i="12"/>
  <c r="CN222" i="7"/>
  <c r="CQ222" i="7"/>
  <c r="CP222" i="7"/>
  <c r="CO222" i="7"/>
  <c r="CM222" i="7"/>
  <c r="CL222" i="7"/>
  <c r="CK222" i="7"/>
  <c r="CS222" i="7"/>
  <c r="CJ222" i="7"/>
  <c r="I117" i="12"/>
  <c r="H117" i="12"/>
  <c r="BZ198" i="7"/>
  <c r="CB198" i="7"/>
  <c r="G196" i="12" s="1"/>
  <c r="D226" i="12"/>
  <c r="K226" i="12" s="1"/>
  <c r="B226" i="12"/>
  <c r="A226" i="12"/>
  <c r="BU228" i="7"/>
  <c r="CG228" i="7"/>
  <c r="CF228" i="7"/>
  <c r="CR228" i="7"/>
  <c r="CB343" i="7"/>
  <c r="G341" i="12" s="1"/>
  <c r="BZ343" i="7"/>
  <c r="H211" i="12"/>
  <c r="I211" i="12"/>
  <c r="I30" i="12"/>
  <c r="H30" i="12"/>
  <c r="CM124" i="7"/>
  <c r="CL124" i="7"/>
  <c r="CS124" i="7"/>
  <c r="CK124" i="7"/>
  <c r="CJ124" i="7"/>
  <c r="CQ124" i="7"/>
  <c r="CP124" i="7"/>
  <c r="CO124" i="7"/>
  <c r="CN124" i="7"/>
  <c r="B163" i="12"/>
  <c r="D163" i="12"/>
  <c r="K163" i="12" s="1"/>
  <c r="A163" i="12"/>
  <c r="BU165" i="7"/>
  <c r="CR165" i="7"/>
  <c r="CF165" i="7"/>
  <c r="CG165" i="7"/>
  <c r="H348" i="12"/>
  <c r="I348" i="12"/>
  <c r="CB11" i="7"/>
  <c r="G9" i="12" s="1"/>
  <c r="BZ11" i="7"/>
  <c r="I158" i="12"/>
  <c r="H158" i="12"/>
  <c r="D250" i="12"/>
  <c r="K250" i="12" s="1"/>
  <c r="A250" i="12"/>
  <c r="B250" i="12"/>
  <c r="CF252" i="7"/>
  <c r="BU252" i="7"/>
  <c r="CR252" i="7"/>
  <c r="CG252" i="7"/>
  <c r="CJ214" i="7"/>
  <c r="CQ214" i="7"/>
  <c r="CP214" i="7"/>
  <c r="CO214" i="7"/>
  <c r="CN214" i="7"/>
  <c r="CM214" i="7"/>
  <c r="CL214" i="7"/>
  <c r="CS214" i="7"/>
  <c r="CK214" i="7"/>
  <c r="I359" i="12"/>
  <c r="H359" i="12"/>
  <c r="CS140" i="7"/>
  <c r="CK140" i="7"/>
  <c r="CJ140" i="7"/>
  <c r="CP140" i="7"/>
  <c r="CO140" i="7"/>
  <c r="CN140" i="7"/>
  <c r="CL140" i="7"/>
  <c r="CQ140" i="7"/>
  <c r="CM140" i="7"/>
  <c r="BZ10" i="7"/>
  <c r="CB10" i="7"/>
  <c r="G8" i="12" s="1"/>
  <c r="I252" i="12"/>
  <c r="H252" i="12"/>
  <c r="CB93" i="7"/>
  <c r="G91" i="12" s="1"/>
  <c r="BZ93" i="7"/>
  <c r="I108" i="12"/>
  <c r="H108" i="12"/>
  <c r="I14" i="12"/>
  <c r="H14" i="12"/>
  <c r="A151" i="12"/>
  <c r="D151" i="12"/>
  <c r="K151" i="12" s="1"/>
  <c r="B151" i="12"/>
  <c r="CR153" i="7"/>
  <c r="CG153" i="7"/>
  <c r="CF153" i="7"/>
  <c r="BU153" i="7"/>
  <c r="BZ203" i="7"/>
  <c r="CB203" i="7"/>
  <c r="G201" i="12" s="1"/>
  <c r="B267" i="12"/>
  <c r="A267" i="12"/>
  <c r="D267" i="12"/>
  <c r="K267" i="12" s="1"/>
  <c r="BU269" i="7"/>
  <c r="CR269" i="7"/>
  <c r="CG269" i="7"/>
  <c r="CF269" i="7"/>
  <c r="CB324" i="7"/>
  <c r="G322" i="12" s="1"/>
  <c r="BZ324" i="7"/>
  <c r="BZ120" i="7"/>
  <c r="CB120" i="7"/>
  <c r="G118" i="12" s="1"/>
  <c r="BZ194" i="7"/>
  <c r="CB194" i="7"/>
  <c r="G192" i="12" s="1"/>
  <c r="CB122" i="7"/>
  <c r="G120" i="12" s="1"/>
  <c r="BZ122" i="7"/>
  <c r="I246" i="12"/>
  <c r="H246" i="12"/>
  <c r="CO366" i="7"/>
  <c r="CN366" i="7"/>
  <c r="CM366" i="7"/>
  <c r="CL366" i="7"/>
  <c r="CS366" i="7"/>
  <c r="CK366" i="7"/>
  <c r="CJ366" i="7"/>
  <c r="CQ366" i="7"/>
  <c r="CP366" i="7"/>
  <c r="D121" i="12"/>
  <c r="K121" i="12" s="1"/>
  <c r="B121" i="12"/>
  <c r="A121" i="12"/>
  <c r="CR123" i="7"/>
  <c r="CG123" i="7"/>
  <c r="CF123" i="7"/>
  <c r="BU123" i="7"/>
  <c r="CS197" i="7"/>
  <c r="CK197" i="7"/>
  <c r="CJ197" i="7"/>
  <c r="CN197" i="7"/>
  <c r="CM197" i="7"/>
  <c r="CL197" i="7"/>
  <c r="CQ197" i="7"/>
  <c r="CP197" i="7"/>
  <c r="CO197" i="7"/>
  <c r="CO152" i="7"/>
  <c r="CN152" i="7"/>
  <c r="CM152" i="7"/>
  <c r="CL152" i="7"/>
  <c r="CS152" i="7"/>
  <c r="CK152" i="7"/>
  <c r="CJ152" i="7"/>
  <c r="CP152" i="7"/>
  <c r="CQ152" i="7"/>
  <c r="I135" i="12"/>
  <c r="H135" i="12"/>
  <c r="BZ190" i="7"/>
  <c r="CB190" i="7"/>
  <c r="G188" i="12" s="1"/>
  <c r="BZ83" i="7"/>
  <c r="CB83" i="7"/>
  <c r="G81" i="12" s="1"/>
  <c r="CQ51" i="7"/>
  <c r="CP51" i="7"/>
  <c r="CO51" i="7"/>
  <c r="CN51" i="7"/>
  <c r="CM51" i="7"/>
  <c r="CL51" i="7"/>
  <c r="CS51" i="7"/>
  <c r="CK51" i="7"/>
  <c r="CJ51" i="7"/>
  <c r="CB139" i="7"/>
  <c r="G137" i="12" s="1"/>
  <c r="BZ139" i="7"/>
  <c r="CB94" i="7"/>
  <c r="G92" i="12" s="1"/>
  <c r="BZ94" i="7"/>
  <c r="I380" i="12"/>
  <c r="H380" i="12"/>
  <c r="CQ315" i="7"/>
  <c r="CP315" i="7"/>
  <c r="CO315" i="7"/>
  <c r="CN315" i="7"/>
  <c r="CM315" i="7"/>
  <c r="CL315" i="7"/>
  <c r="CS315" i="7"/>
  <c r="CK315" i="7"/>
  <c r="CJ315" i="7"/>
  <c r="D56" i="12"/>
  <c r="K56" i="12" s="1"/>
  <c r="B56" i="12"/>
  <c r="A56" i="12"/>
  <c r="BU58" i="7"/>
  <c r="CR58" i="7"/>
  <c r="CG58" i="7"/>
  <c r="CF58" i="7"/>
  <c r="D85" i="12"/>
  <c r="K85" i="12" s="1"/>
  <c r="B85" i="12"/>
  <c r="A85" i="12"/>
  <c r="CR87" i="7"/>
  <c r="CG87" i="7"/>
  <c r="CF87" i="7"/>
  <c r="BU87" i="7"/>
  <c r="I247" i="12"/>
  <c r="H247" i="12"/>
  <c r="CP187" i="7"/>
  <c r="CO187" i="7"/>
  <c r="CN187" i="7"/>
  <c r="CM187" i="7"/>
  <c r="CL187" i="7"/>
  <c r="CS187" i="7"/>
  <c r="CK187" i="7"/>
  <c r="CQ187" i="7"/>
  <c r="CJ187" i="7"/>
  <c r="CB7" i="7"/>
  <c r="G5" i="12" s="1"/>
  <c r="BZ7" i="7"/>
  <c r="B146" i="12"/>
  <c r="D146" i="12"/>
  <c r="K146" i="12" s="1"/>
  <c r="A146" i="12"/>
  <c r="BU148" i="7"/>
  <c r="CR148" i="7"/>
  <c r="CG148" i="7"/>
  <c r="CF148" i="7"/>
  <c r="I224" i="12"/>
  <c r="H224" i="12"/>
  <c r="CB231" i="7"/>
  <c r="G229" i="12" s="1"/>
  <c r="BZ231" i="7"/>
  <c r="CB306" i="7"/>
  <c r="G304" i="12" s="1"/>
  <c r="BZ306" i="7"/>
  <c r="CB86" i="7"/>
  <c r="G84" i="12" s="1"/>
  <c r="BZ86" i="7"/>
  <c r="I182" i="12"/>
  <c r="H182" i="12"/>
  <c r="CS118" i="7"/>
  <c r="CK118" i="7"/>
  <c r="CJ118" i="7"/>
  <c r="CQ118" i="7"/>
  <c r="CP118" i="7"/>
  <c r="CO118" i="7"/>
  <c r="CN118" i="7"/>
  <c r="CM118" i="7"/>
  <c r="CL118" i="7"/>
  <c r="CN354" i="7"/>
  <c r="CM354" i="7"/>
  <c r="CL354" i="7"/>
  <c r="CS354" i="7"/>
  <c r="CK354" i="7"/>
  <c r="CJ354" i="7"/>
  <c r="CQ354" i="7"/>
  <c r="CP354" i="7"/>
  <c r="CO354" i="7"/>
  <c r="A55" i="12"/>
  <c r="B55" i="12"/>
  <c r="D55" i="12"/>
  <c r="K55" i="12" s="1"/>
  <c r="CF57" i="7"/>
  <c r="CR57" i="7"/>
  <c r="CG57" i="7"/>
  <c r="BU57" i="7"/>
  <c r="H113" i="12"/>
  <c r="I113" i="12"/>
  <c r="I206" i="12"/>
  <c r="H206" i="12"/>
  <c r="CN173" i="7"/>
  <c r="CM173" i="7"/>
  <c r="CL173" i="7"/>
  <c r="CS173" i="7"/>
  <c r="CK173" i="7"/>
  <c r="CJ173" i="7"/>
  <c r="CQ173" i="7"/>
  <c r="CO173" i="7"/>
  <c r="CP173" i="7"/>
  <c r="D242" i="12"/>
  <c r="K242" i="12" s="1"/>
  <c r="B242" i="12"/>
  <c r="A242" i="12"/>
  <c r="CF244" i="7"/>
  <c r="BU244" i="7"/>
  <c r="CR244" i="7"/>
  <c r="CG244" i="7"/>
  <c r="I366" i="12"/>
  <c r="H366" i="12"/>
  <c r="CS135" i="7"/>
  <c r="CK135" i="7"/>
  <c r="CQ135" i="7"/>
  <c r="CO135" i="7"/>
  <c r="CM135" i="7"/>
  <c r="CP135" i="7"/>
  <c r="CN135" i="7"/>
  <c r="CL135" i="7"/>
  <c r="CJ135" i="7"/>
  <c r="D374" i="12"/>
  <c r="K374" i="12" s="1"/>
  <c r="B374" i="12"/>
  <c r="A374" i="12"/>
  <c r="BU376" i="7"/>
  <c r="CR376" i="7"/>
  <c r="CG376" i="7"/>
  <c r="CF376" i="7"/>
  <c r="D160" i="12"/>
  <c r="K160" i="12" s="1"/>
  <c r="B160" i="12"/>
  <c r="A160" i="12"/>
  <c r="BU162" i="7"/>
  <c r="CR162" i="7"/>
  <c r="CG162" i="7"/>
  <c r="CF162" i="7"/>
  <c r="H16" i="12"/>
  <c r="I16" i="12"/>
  <c r="H145" i="12"/>
  <c r="I145" i="12"/>
  <c r="CB337" i="7"/>
  <c r="G335" i="12" s="1"/>
  <c r="BZ337" i="7"/>
  <c r="D179" i="12"/>
  <c r="K179" i="12" s="1"/>
  <c r="B179" i="12"/>
  <c r="A179" i="12"/>
  <c r="BU181" i="7"/>
  <c r="CR181" i="7"/>
  <c r="CF181" i="7"/>
  <c r="CG181" i="7"/>
  <c r="H274" i="12"/>
  <c r="I274" i="12"/>
  <c r="H350" i="12"/>
  <c r="I350" i="12"/>
  <c r="CB235" i="7"/>
  <c r="G233" i="12" s="1"/>
  <c r="BZ235" i="7"/>
  <c r="CL381" i="7"/>
  <c r="CS381" i="7"/>
  <c r="CK381" i="7"/>
  <c r="CJ381" i="7"/>
  <c r="CQ381" i="7"/>
  <c r="CP381" i="7"/>
  <c r="CO381" i="7"/>
  <c r="CN381" i="7"/>
  <c r="CM381" i="7"/>
  <c r="CS34" i="7"/>
  <c r="CK34" i="7"/>
  <c r="CQ34" i="7"/>
  <c r="CO34" i="7"/>
  <c r="CM34" i="7"/>
  <c r="CP34" i="7"/>
  <c r="CN34" i="7"/>
  <c r="CL34" i="7"/>
  <c r="CJ34" i="7"/>
  <c r="D207" i="12"/>
  <c r="K207" i="12" s="1"/>
  <c r="B207" i="12"/>
  <c r="A207" i="12"/>
  <c r="BU209" i="7"/>
  <c r="CR209" i="7"/>
  <c r="CG209" i="7"/>
  <c r="CF209" i="7"/>
  <c r="H346" i="12"/>
  <c r="I346" i="12"/>
  <c r="H345" i="12"/>
  <c r="I345" i="12"/>
  <c r="BZ262" i="7"/>
  <c r="CB262" i="7"/>
  <c r="G260" i="12" s="1"/>
  <c r="B384" i="12"/>
  <c r="A384" i="12"/>
  <c r="D384" i="12"/>
  <c r="K384" i="12" s="1"/>
  <c r="BU386" i="7"/>
  <c r="CR386" i="7"/>
  <c r="CG386" i="7"/>
  <c r="CF386" i="7"/>
  <c r="CM24" i="7"/>
  <c r="CS24" i="7"/>
  <c r="CK24" i="7"/>
  <c r="CQ24" i="7"/>
  <c r="CP24" i="7"/>
  <c r="CO24" i="7"/>
  <c r="CN24" i="7"/>
  <c r="CL24" i="7"/>
  <c r="CJ24" i="7"/>
  <c r="CB251" i="7"/>
  <c r="G249" i="12" s="1"/>
  <c r="BZ251" i="7"/>
  <c r="CL356" i="7"/>
  <c r="CS356" i="7"/>
  <c r="CK356" i="7"/>
  <c r="CJ356" i="7"/>
  <c r="CQ356" i="7"/>
  <c r="CP356" i="7"/>
  <c r="CO356" i="7"/>
  <c r="CN356" i="7"/>
  <c r="CM356" i="7"/>
  <c r="CB212" i="7"/>
  <c r="G210" i="12" s="1"/>
  <c r="BZ212" i="7"/>
  <c r="I218" i="12"/>
  <c r="H218" i="12"/>
  <c r="A317" i="12"/>
  <c r="D317" i="12"/>
  <c r="K317" i="12" s="1"/>
  <c r="B317" i="12"/>
  <c r="BU319" i="7"/>
  <c r="CR319" i="7"/>
  <c r="CG319" i="7"/>
  <c r="CF319" i="7"/>
  <c r="I327" i="12"/>
  <c r="H327" i="12"/>
  <c r="I166" i="12"/>
  <c r="H166" i="12"/>
  <c r="BZ39" i="7"/>
  <c r="CB39" i="7"/>
  <c r="G37" i="12" s="1"/>
  <c r="CQ158" i="7"/>
  <c r="CP158" i="7"/>
  <c r="CO158" i="7"/>
  <c r="CN158" i="7"/>
  <c r="CM158" i="7"/>
  <c r="CL158" i="7"/>
  <c r="CJ158" i="7"/>
  <c r="CK158" i="7"/>
  <c r="CS158" i="7"/>
  <c r="B181" i="12"/>
  <c r="D181" i="12"/>
  <c r="K181" i="12" s="1"/>
  <c r="A181" i="12"/>
  <c r="BU183" i="7"/>
  <c r="CR183" i="7"/>
  <c r="CG183" i="7"/>
  <c r="CF183" i="7"/>
  <c r="D315" i="12"/>
  <c r="K315" i="12" s="1"/>
  <c r="B315" i="12"/>
  <c r="A315" i="12"/>
  <c r="CF317" i="7"/>
  <c r="BU317" i="7"/>
  <c r="CR317" i="7"/>
  <c r="CG317" i="7"/>
  <c r="CJ95" i="7"/>
  <c r="CQ95" i="7"/>
  <c r="CP95" i="7"/>
  <c r="CO95" i="7"/>
  <c r="CN95" i="7"/>
  <c r="CM95" i="7"/>
  <c r="CS95" i="7"/>
  <c r="CK95" i="7"/>
  <c r="CL95" i="7"/>
  <c r="CN157" i="7"/>
  <c r="CM157" i="7"/>
  <c r="CL157" i="7"/>
  <c r="CS157" i="7"/>
  <c r="CK157" i="7"/>
  <c r="CJ157" i="7"/>
  <c r="CQ157" i="7"/>
  <c r="CO157" i="7"/>
  <c r="CP157" i="7"/>
  <c r="BZ355" i="7"/>
  <c r="CB355" i="7"/>
  <c r="G353" i="12" s="1"/>
  <c r="I198" i="12"/>
  <c r="H198" i="12"/>
  <c r="D187" i="12"/>
  <c r="K187" i="12" s="1"/>
  <c r="B187" i="12"/>
  <c r="A187" i="12"/>
  <c r="BU189" i="7"/>
  <c r="CR189" i="7"/>
  <c r="CF189" i="7"/>
  <c r="CG189" i="7"/>
  <c r="CS164" i="7"/>
  <c r="CK164" i="7"/>
  <c r="CJ164" i="7"/>
  <c r="CQ164" i="7"/>
  <c r="CP164" i="7"/>
  <c r="CO164" i="7"/>
  <c r="CN164" i="7"/>
  <c r="CL164" i="7"/>
  <c r="CM164" i="7"/>
  <c r="CP336" i="7"/>
  <c r="CO336" i="7"/>
  <c r="CN336" i="7"/>
  <c r="CM336" i="7"/>
  <c r="CL336" i="7"/>
  <c r="CS336" i="7"/>
  <c r="CK336" i="7"/>
  <c r="CJ336" i="7"/>
  <c r="CQ336" i="7"/>
  <c r="D152" i="12"/>
  <c r="K152" i="12" s="1"/>
  <c r="B152" i="12"/>
  <c r="A152" i="12"/>
  <c r="BU154" i="7"/>
  <c r="CR154" i="7"/>
  <c r="CG154" i="7"/>
  <c r="CF154" i="7"/>
  <c r="B217" i="12"/>
  <c r="D217" i="12"/>
  <c r="K217" i="12" s="1"/>
  <c r="A217" i="12"/>
  <c r="CG219" i="7"/>
  <c r="CF219" i="7"/>
  <c r="BU219" i="7"/>
  <c r="CR219" i="7"/>
  <c r="CB37" i="7"/>
  <c r="G35" i="12" s="1"/>
  <c r="BZ37" i="7"/>
  <c r="CQ27" i="7"/>
  <c r="CO27" i="7"/>
  <c r="CM27" i="7"/>
  <c r="CS27" i="7"/>
  <c r="CK27" i="7"/>
  <c r="CN27" i="7"/>
  <c r="CL27" i="7"/>
  <c r="CJ27" i="7"/>
  <c r="CP27" i="7"/>
  <c r="B283" i="12"/>
  <c r="A283" i="12"/>
  <c r="D283" i="12"/>
  <c r="K283" i="12" s="1"/>
  <c r="BU285" i="7"/>
  <c r="CR285" i="7"/>
  <c r="CG285" i="7"/>
  <c r="CF285" i="7"/>
  <c r="CN210" i="7"/>
  <c r="CM210" i="7"/>
  <c r="CL210" i="7"/>
  <c r="CS210" i="7"/>
  <c r="CK210" i="7"/>
  <c r="CJ210" i="7"/>
  <c r="CQ210" i="7"/>
  <c r="CP210" i="7"/>
  <c r="CO210" i="7"/>
  <c r="CJ91" i="7"/>
  <c r="CQ91" i="7"/>
  <c r="CP91" i="7"/>
  <c r="CO91" i="7"/>
  <c r="CN91" i="7"/>
  <c r="CM91" i="7"/>
  <c r="CS91" i="7"/>
  <c r="CK91" i="7"/>
  <c r="CL91" i="7"/>
  <c r="I240" i="12"/>
  <c r="H240" i="12"/>
  <c r="D119" i="12"/>
  <c r="K119" i="12" s="1"/>
  <c r="B119" i="12"/>
  <c r="A119" i="12"/>
  <c r="BU121" i="7"/>
  <c r="CR121" i="7"/>
  <c r="CG121" i="7"/>
  <c r="CF121" i="7"/>
  <c r="CN134" i="7"/>
  <c r="CL134" i="7"/>
  <c r="CO134" i="7"/>
  <c r="CM134" i="7"/>
  <c r="CK134" i="7"/>
  <c r="CJ134" i="7"/>
  <c r="CS134" i="7"/>
  <c r="CQ134" i="7"/>
  <c r="CP134" i="7"/>
  <c r="CB74" i="7"/>
  <c r="G72" i="12" s="1"/>
  <c r="BZ74" i="7"/>
  <c r="B372" i="12"/>
  <c r="D372" i="12"/>
  <c r="K372" i="12" s="1"/>
  <c r="A372" i="12"/>
  <c r="CF374" i="7"/>
  <c r="BU374" i="7"/>
  <c r="CR374" i="7"/>
  <c r="CG374" i="7"/>
  <c r="CB44" i="7"/>
  <c r="G42" i="12" s="1"/>
  <c r="BZ44" i="7"/>
  <c r="CS70" i="7"/>
  <c r="CK70" i="7"/>
  <c r="CQ70" i="7"/>
  <c r="CO70" i="7"/>
  <c r="CM70" i="7"/>
  <c r="CP70" i="7"/>
  <c r="CN70" i="7"/>
  <c r="CL70" i="7"/>
  <c r="CJ70" i="7"/>
  <c r="B332" i="12"/>
  <c r="D332" i="12"/>
  <c r="K332" i="12" s="1"/>
  <c r="A332" i="12"/>
  <c r="CR334" i="7"/>
  <c r="CG334" i="7"/>
  <c r="CF334" i="7"/>
  <c r="BU334" i="7"/>
  <c r="D254" i="12"/>
  <c r="K254" i="12" s="1"/>
  <c r="A254" i="12"/>
  <c r="B254" i="12"/>
  <c r="BU256" i="7"/>
  <c r="CR256" i="7"/>
  <c r="CG256" i="7"/>
  <c r="CF256" i="7"/>
  <c r="A157" i="12"/>
  <c r="D157" i="12"/>
  <c r="K157" i="12" s="1"/>
  <c r="B157" i="12"/>
  <c r="BU159" i="7"/>
  <c r="CR159" i="7"/>
  <c r="CG159" i="7"/>
  <c r="CF159" i="7"/>
  <c r="CL103" i="7"/>
  <c r="CS103" i="7"/>
  <c r="CK103" i="7"/>
  <c r="CO103" i="7"/>
  <c r="CN103" i="7"/>
  <c r="CM103" i="7"/>
  <c r="CJ103" i="7"/>
  <c r="CQ103" i="7"/>
  <c r="CP103" i="7"/>
  <c r="CQ112" i="7"/>
  <c r="CP112" i="7"/>
  <c r="CO112" i="7"/>
  <c r="CN112" i="7"/>
  <c r="CM112" i="7"/>
  <c r="CL112" i="7"/>
  <c r="CS112" i="7"/>
  <c r="CK112" i="7"/>
  <c r="CJ112" i="7"/>
  <c r="I253" i="12"/>
  <c r="H253" i="12"/>
  <c r="I18" i="12"/>
  <c r="H18" i="12"/>
  <c r="CM238" i="7"/>
  <c r="CL238" i="7"/>
  <c r="CS238" i="7"/>
  <c r="CK238" i="7"/>
  <c r="CJ238" i="7"/>
  <c r="CQ238" i="7"/>
  <c r="CP238" i="7"/>
  <c r="CO238" i="7"/>
  <c r="CN238" i="7"/>
  <c r="CB146" i="7"/>
  <c r="G144" i="12" s="1"/>
  <c r="BZ146" i="7"/>
  <c r="B177" i="12"/>
  <c r="A177" i="12"/>
  <c r="D177" i="12"/>
  <c r="K177" i="12" s="1"/>
  <c r="CG179" i="7"/>
  <c r="CF179" i="7"/>
  <c r="BU179" i="7"/>
  <c r="CR179" i="7"/>
  <c r="A360" i="12"/>
  <c r="D360" i="12"/>
  <c r="K360" i="12" s="1"/>
  <c r="B360" i="12"/>
  <c r="BU362" i="7"/>
  <c r="CR362" i="7"/>
  <c r="CG362" i="7"/>
  <c r="CF362" i="7"/>
  <c r="CL308" i="7"/>
  <c r="CS308" i="7"/>
  <c r="CK308" i="7"/>
  <c r="CJ308" i="7"/>
  <c r="CQ308" i="7"/>
  <c r="CP308" i="7"/>
  <c r="CO308" i="7"/>
  <c r="CN308" i="7"/>
  <c r="CM308" i="7"/>
  <c r="I289" i="12"/>
  <c r="H289" i="12"/>
  <c r="CP224" i="7"/>
  <c r="CL224" i="7"/>
  <c r="CM224" i="7"/>
  <c r="CK224" i="7"/>
  <c r="CJ224" i="7"/>
  <c r="CS224" i="7"/>
  <c r="CQ224" i="7"/>
  <c r="CO224" i="7"/>
  <c r="CN224" i="7"/>
  <c r="CO196" i="7"/>
  <c r="CP196" i="7"/>
  <c r="CN196" i="7"/>
  <c r="CM196" i="7"/>
  <c r="CL196" i="7"/>
  <c r="CK196" i="7"/>
  <c r="CS196" i="7"/>
  <c r="CJ196" i="7"/>
  <c r="CQ196" i="7"/>
  <c r="D223" i="12"/>
  <c r="K223" i="12" s="1"/>
  <c r="B223" i="12"/>
  <c r="A223" i="12"/>
  <c r="BU225" i="7"/>
  <c r="CF225" i="7"/>
  <c r="CR225" i="7"/>
  <c r="CG225" i="7"/>
  <c r="I88" i="12"/>
  <c r="H88" i="12"/>
  <c r="CB76" i="7"/>
  <c r="G74" i="12" s="1"/>
  <c r="BZ76" i="7"/>
  <c r="CO109" i="7"/>
  <c r="CN109" i="7"/>
  <c r="CM109" i="7"/>
  <c r="CL109" i="7"/>
  <c r="CS109" i="7"/>
  <c r="CK109" i="7"/>
  <c r="CJ109" i="7"/>
  <c r="CQ109" i="7"/>
  <c r="CP109" i="7"/>
  <c r="BZ47" i="7"/>
  <c r="CB47" i="7"/>
  <c r="G45" i="12" s="1"/>
  <c r="CB261" i="7"/>
  <c r="G259" i="12" s="1"/>
  <c r="BZ261" i="7"/>
  <c r="CQ22" i="7"/>
  <c r="CO22" i="7"/>
  <c r="CM22" i="7"/>
  <c r="CL22" i="7"/>
  <c r="CK22" i="7"/>
  <c r="CJ22" i="7"/>
  <c r="CS22" i="7"/>
  <c r="CP22" i="7"/>
  <c r="CN22" i="7"/>
  <c r="B314" i="12"/>
  <c r="D314" i="12"/>
  <c r="K314" i="12" s="1"/>
  <c r="A314" i="12"/>
  <c r="BU316" i="7"/>
  <c r="CR316" i="7"/>
  <c r="CG316" i="7"/>
  <c r="CF316" i="7"/>
  <c r="CN280" i="7"/>
  <c r="CM280" i="7"/>
  <c r="CL280" i="7"/>
  <c r="CS280" i="7"/>
  <c r="CK280" i="7"/>
  <c r="CJ280" i="7"/>
  <c r="CQ280" i="7"/>
  <c r="CP280" i="7"/>
  <c r="CO280" i="7"/>
  <c r="CM246" i="7"/>
  <c r="CL246" i="7"/>
  <c r="CS246" i="7"/>
  <c r="CK246" i="7"/>
  <c r="CJ246" i="7"/>
  <c r="CQ246" i="7"/>
  <c r="CP246" i="7"/>
  <c r="CO246" i="7"/>
  <c r="CN246" i="7"/>
  <c r="H52" i="12"/>
  <c r="I52" i="12"/>
  <c r="CB67" i="7"/>
  <c r="G65" i="12" s="1"/>
  <c r="BZ67" i="7"/>
  <c r="I270" i="12"/>
  <c r="H270" i="12"/>
  <c r="D323" i="12"/>
  <c r="K323" i="12" s="1"/>
  <c r="B323" i="12"/>
  <c r="A323" i="12"/>
  <c r="CF325" i="7"/>
  <c r="BU325" i="7"/>
  <c r="CR325" i="7"/>
  <c r="CG325" i="7"/>
  <c r="CQ35" i="7"/>
  <c r="CO35" i="7"/>
  <c r="CM35" i="7"/>
  <c r="CS35" i="7"/>
  <c r="CK35" i="7"/>
  <c r="CN35" i="7"/>
  <c r="CL35" i="7"/>
  <c r="CJ35" i="7"/>
  <c r="CP35" i="7"/>
  <c r="C45" i="12" l="1"/>
  <c r="CA47" i="7"/>
  <c r="C144" i="12"/>
  <c r="CA146" i="7"/>
  <c r="C72" i="12"/>
  <c r="CA74" i="7"/>
  <c r="C260" i="12"/>
  <c r="CA262" i="7"/>
  <c r="C5" i="12"/>
  <c r="CA7" i="7"/>
  <c r="C137" i="12"/>
  <c r="CA139" i="7"/>
  <c r="C192" i="12"/>
  <c r="CA194" i="7"/>
  <c r="C78" i="12"/>
  <c r="CA80" i="7"/>
  <c r="C251" i="12"/>
  <c r="CA253" i="7"/>
  <c r="C47" i="12"/>
  <c r="CA49" i="7"/>
  <c r="C290" i="12"/>
  <c r="CA292" i="7"/>
  <c r="C125" i="12"/>
  <c r="CA127" i="7"/>
  <c r="C43" i="12"/>
  <c r="CA45" i="7"/>
  <c r="C143" i="12"/>
  <c r="CA145" i="7"/>
  <c r="C258" i="12"/>
  <c r="CA260" i="7"/>
  <c r="C300" i="12"/>
  <c r="CA302" i="7"/>
  <c r="C50" i="12"/>
  <c r="CA52" i="7"/>
  <c r="C328" i="12"/>
  <c r="CA330" i="7"/>
  <c r="C123" i="12"/>
  <c r="CA125" i="7"/>
  <c r="C272" i="12"/>
  <c r="CA274" i="7"/>
  <c r="C295" i="12"/>
  <c r="CA297" i="7"/>
  <c r="C39" i="12"/>
  <c r="CA41" i="7"/>
  <c r="C101" i="12"/>
  <c r="CA103" i="7"/>
  <c r="C89" i="12"/>
  <c r="CA91" i="7"/>
  <c r="C344" i="12"/>
  <c r="CA346" i="7"/>
  <c r="C362" i="12"/>
  <c r="CA364" i="7"/>
  <c r="C49" i="12"/>
  <c r="CA51" i="7"/>
  <c r="C195" i="12"/>
  <c r="CA197" i="7"/>
  <c r="C276" i="12"/>
  <c r="CA278" i="7"/>
  <c r="C16" i="12"/>
  <c r="CA18" i="7"/>
  <c r="C204" i="12"/>
  <c r="CA206" i="7"/>
  <c r="C352" i="12"/>
  <c r="CA354" i="7"/>
  <c r="C41" i="12"/>
  <c r="CA43" i="7"/>
  <c r="C343" i="12"/>
  <c r="CA345" i="7"/>
  <c r="C88" i="12"/>
  <c r="CA90" i="7"/>
  <c r="C96" i="12"/>
  <c r="CA98" i="7"/>
  <c r="C51" i="12"/>
  <c r="CA53" i="7"/>
  <c r="C139" i="12"/>
  <c r="CA141" i="7"/>
  <c r="C128" i="12"/>
  <c r="CA130" i="7"/>
  <c r="C216" i="12"/>
  <c r="CA218" i="7"/>
  <c r="C239" i="12"/>
  <c r="CA241" i="7"/>
  <c r="C283" i="12"/>
  <c r="CA285" i="7"/>
  <c r="C384" i="12"/>
  <c r="CA386" i="7"/>
  <c r="C179" i="12"/>
  <c r="CA181" i="7"/>
  <c r="C83" i="12"/>
  <c r="CA85" i="7"/>
  <c r="C353" i="12"/>
  <c r="CA355" i="7"/>
  <c r="C84" i="12"/>
  <c r="CA86" i="7"/>
  <c r="C91" i="12"/>
  <c r="CA93" i="7"/>
  <c r="C199" i="12"/>
  <c r="CA201" i="7"/>
  <c r="C378" i="12"/>
  <c r="CA380" i="7"/>
  <c r="C102" i="12"/>
  <c r="CA104" i="7"/>
  <c r="C280" i="12"/>
  <c r="CA282" i="7"/>
  <c r="C303" i="12"/>
  <c r="CA305" i="7"/>
  <c r="C178" i="12"/>
  <c r="CA180" i="7"/>
  <c r="C26" i="12"/>
  <c r="CA28" i="7"/>
  <c r="C126" i="12"/>
  <c r="CA128" i="7"/>
  <c r="C114" i="12"/>
  <c r="CA116" i="7"/>
  <c r="C298" i="12"/>
  <c r="CA300" i="7"/>
  <c r="C59" i="12"/>
  <c r="CA61" i="7"/>
  <c r="C161" i="12"/>
  <c r="CA163" i="7"/>
  <c r="C212" i="12"/>
  <c r="CA214" i="7"/>
  <c r="C71" i="12"/>
  <c r="CA73" i="7"/>
  <c r="C220" i="12"/>
  <c r="CA222" i="7"/>
  <c r="C278" i="12"/>
  <c r="CA280" i="7"/>
  <c r="C203" i="12"/>
  <c r="CA205" i="7"/>
  <c r="C334" i="12"/>
  <c r="CA336" i="7"/>
  <c r="C136" i="12"/>
  <c r="CA138" i="7"/>
  <c r="C60" i="12"/>
  <c r="CA62" i="7"/>
  <c r="C58" i="12"/>
  <c r="CA60" i="7"/>
  <c r="C194" i="12"/>
  <c r="CA196" i="7"/>
  <c r="C289" i="12"/>
  <c r="CA291" i="7"/>
  <c r="C291" i="12"/>
  <c r="CA293" i="7"/>
  <c r="C332" i="12"/>
  <c r="CA334" i="7"/>
  <c r="C127" i="12"/>
  <c r="CA129" i="7"/>
  <c r="C350" i="12"/>
  <c r="CA352" i="7"/>
  <c r="C262" i="12"/>
  <c r="CA264" i="7"/>
  <c r="C131" i="12"/>
  <c r="CA133" i="7"/>
  <c r="C348" i="12"/>
  <c r="CA350" i="7"/>
  <c r="C130" i="12"/>
  <c r="CA132" i="7"/>
  <c r="C232" i="12"/>
  <c r="CA234" i="7"/>
  <c r="C18" i="12"/>
  <c r="CA20" i="7"/>
  <c r="C286" i="12"/>
  <c r="CA288" i="7"/>
  <c r="C339" i="12"/>
  <c r="CA341" i="7"/>
  <c r="C79" i="12"/>
  <c r="CA81" i="7"/>
  <c r="C6" i="12"/>
  <c r="CA8" i="7"/>
  <c r="C76" i="12"/>
  <c r="CA78" i="7"/>
  <c r="C189" i="12"/>
  <c r="CA191" i="7"/>
  <c r="C323" i="12"/>
  <c r="CA325" i="7"/>
  <c r="C360" i="12"/>
  <c r="CA362" i="7"/>
  <c r="C187" i="12"/>
  <c r="CA189" i="7"/>
  <c r="C181" i="12"/>
  <c r="CA183" i="7"/>
  <c r="C121" i="12"/>
  <c r="CA123" i="7"/>
  <c r="C356" i="12"/>
  <c r="CA358" i="7"/>
  <c r="C245" i="12"/>
  <c r="CA247" i="7"/>
  <c r="C210" i="12"/>
  <c r="CA212" i="7"/>
  <c r="C118" i="12"/>
  <c r="CA120" i="7"/>
  <c r="C104" i="12"/>
  <c r="CA106" i="7"/>
  <c r="C320" i="12"/>
  <c r="CA322" i="7"/>
  <c r="C7" i="12"/>
  <c r="CA9" i="7"/>
  <c r="C321" i="12"/>
  <c r="CA323" i="7"/>
  <c r="C336" i="12"/>
  <c r="CA338" i="7"/>
  <c r="C27" i="12"/>
  <c r="CA29" i="7"/>
  <c r="C170" i="12"/>
  <c r="CA172" i="7"/>
  <c r="C80" i="12"/>
  <c r="CA82" i="7"/>
  <c r="C373" i="12"/>
  <c r="CA375" i="7"/>
  <c r="C11" i="12"/>
  <c r="CA13" i="7"/>
  <c r="C61" i="12"/>
  <c r="CA63" i="7"/>
  <c r="C154" i="12"/>
  <c r="CA156" i="7"/>
  <c r="C319" i="12"/>
  <c r="CA321" i="7"/>
  <c r="C318" i="12"/>
  <c r="CA320" i="7"/>
  <c r="C53" i="12"/>
  <c r="CA55" i="7"/>
  <c r="C307" i="12"/>
  <c r="CA309" i="7"/>
  <c r="C354" i="12"/>
  <c r="CA356" i="7"/>
  <c r="C313" i="12"/>
  <c r="CA315" i="7"/>
  <c r="C302" i="12"/>
  <c r="CA304" i="7"/>
  <c r="C107" i="12"/>
  <c r="CA109" i="7"/>
  <c r="C346" i="12"/>
  <c r="CA348" i="7"/>
  <c r="C252" i="12"/>
  <c r="CA254" i="7"/>
  <c r="C36" i="12"/>
  <c r="CA38" i="7"/>
  <c r="C57" i="12"/>
  <c r="CA59" i="7"/>
  <c r="C270" i="12"/>
  <c r="CA272" i="7"/>
  <c r="C20" i="12"/>
  <c r="CA22" i="7"/>
  <c r="C253" i="12"/>
  <c r="CA255" i="7"/>
  <c r="C330" i="12"/>
  <c r="CA332" i="7"/>
  <c r="C247" i="12"/>
  <c r="CA249" i="7"/>
  <c r="C246" i="12"/>
  <c r="CA248" i="7"/>
  <c r="C299" i="12"/>
  <c r="CA301" i="7"/>
  <c r="C338" i="12"/>
  <c r="CA340" i="7"/>
  <c r="C349" i="12"/>
  <c r="CA351" i="7"/>
  <c r="C288" i="12"/>
  <c r="CA290" i="7"/>
  <c r="C340" i="12"/>
  <c r="CA342" i="7"/>
  <c r="C175" i="12"/>
  <c r="CA177" i="7"/>
  <c r="C317" i="12"/>
  <c r="CA319" i="7"/>
  <c r="C207" i="12"/>
  <c r="CA209" i="7"/>
  <c r="C242" i="12"/>
  <c r="CA244" i="7"/>
  <c r="C146" i="12"/>
  <c r="CA148" i="7"/>
  <c r="C151" i="12"/>
  <c r="CA153" i="7"/>
  <c r="C191" i="12"/>
  <c r="CA193" i="7"/>
  <c r="C335" i="12"/>
  <c r="CA337" i="7"/>
  <c r="C304" i="12"/>
  <c r="CA306" i="7"/>
  <c r="C322" i="12"/>
  <c r="CA324" i="7"/>
  <c r="C13" i="12"/>
  <c r="CA15" i="7"/>
  <c r="C111" i="12"/>
  <c r="CA113" i="7"/>
  <c r="C279" i="12"/>
  <c r="CA281" i="7"/>
  <c r="C325" i="12"/>
  <c r="CA327" i="7"/>
  <c r="C355" i="12"/>
  <c r="CA357" i="7"/>
  <c r="C213" i="12"/>
  <c r="CA215" i="7"/>
  <c r="C183" i="12"/>
  <c r="CA185" i="7"/>
  <c r="C15" i="12"/>
  <c r="CA17" i="7"/>
  <c r="C256" i="12"/>
  <c r="CA258" i="7"/>
  <c r="C238" i="12"/>
  <c r="CA240" i="7"/>
  <c r="C365" i="12"/>
  <c r="CA367" i="7"/>
  <c r="C48" i="12"/>
  <c r="CA50" i="7"/>
  <c r="C275" i="12"/>
  <c r="CA277" i="7"/>
  <c r="C10" i="12"/>
  <c r="CA12" i="7"/>
  <c r="C377" i="12"/>
  <c r="CA379" i="7"/>
  <c r="C331" i="12"/>
  <c r="CA333" i="7"/>
  <c r="C236" i="12"/>
  <c r="CA238" i="7"/>
  <c r="C342" i="12"/>
  <c r="CA344" i="7"/>
  <c r="C324" i="12"/>
  <c r="CA326" i="7"/>
  <c r="C105" i="12"/>
  <c r="CA107" i="7"/>
  <c r="C25" i="12"/>
  <c r="CA27" i="7"/>
  <c r="C180" i="12"/>
  <c r="CA182" i="7"/>
  <c r="C366" i="12"/>
  <c r="CA368" i="7"/>
  <c r="C103" i="12"/>
  <c r="CA105" i="7"/>
  <c r="C358" i="12"/>
  <c r="CA360" i="7"/>
  <c r="C206" i="12"/>
  <c r="CA208" i="7"/>
  <c r="C14" i="12"/>
  <c r="CA16" i="7"/>
  <c r="C138" i="12"/>
  <c r="CA140" i="7"/>
  <c r="C351" i="12"/>
  <c r="CA353" i="7"/>
  <c r="C153" i="12"/>
  <c r="CA155" i="7"/>
  <c r="C237" i="12"/>
  <c r="CA239" i="7"/>
  <c r="C190" i="12"/>
  <c r="CA192" i="7"/>
  <c r="C281" i="12"/>
  <c r="CA283" i="7"/>
  <c r="C86" i="12"/>
  <c r="CA88" i="7"/>
  <c r="C193" i="12"/>
  <c r="CA195" i="7"/>
  <c r="C34" i="12"/>
  <c r="CA36" i="7"/>
  <c r="C305" i="12"/>
  <c r="CA307" i="7"/>
  <c r="C177" i="12"/>
  <c r="CA179" i="7"/>
  <c r="C372" i="12"/>
  <c r="CA374" i="7"/>
  <c r="C69" i="12"/>
  <c r="CA71" i="7"/>
  <c r="C186" i="12"/>
  <c r="CA188" i="7"/>
  <c r="C74" i="12"/>
  <c r="CA76" i="7"/>
  <c r="C259" i="12"/>
  <c r="CA261" i="7"/>
  <c r="C37" i="12"/>
  <c r="CA39" i="7"/>
  <c r="C81" i="12"/>
  <c r="CA83" i="7"/>
  <c r="C9" i="12"/>
  <c r="CA11" i="7"/>
  <c r="C341" i="12"/>
  <c r="CA343" i="7"/>
  <c r="C376" i="12"/>
  <c r="CA378" i="7"/>
  <c r="C296" i="12"/>
  <c r="CA298" i="7"/>
  <c r="C29" i="12"/>
  <c r="CA31" i="7"/>
  <c r="C173" i="12"/>
  <c r="CA175" i="7"/>
  <c r="C19" i="12"/>
  <c r="CA21" i="7"/>
  <c r="C257" i="12"/>
  <c r="CA259" i="7"/>
  <c r="H385" i="13" a="1"/>
  <c r="H385" i="13" s="1"/>
  <c r="C385" i="13"/>
  <c r="A384" i="13" a="1"/>
  <c r="A384" i="13" s="1"/>
  <c r="D383" i="13" a="1"/>
  <c r="D383" i="13" s="1"/>
  <c r="B382" i="13" a="1"/>
  <c r="B382" i="13" s="1"/>
  <c r="E381" i="13" a="1"/>
  <c r="E381" i="13" s="1"/>
  <c r="H377" i="13" a="1"/>
  <c r="H377" i="13" s="1"/>
  <c r="C377" i="13"/>
  <c r="A376" i="13" a="1"/>
  <c r="A376" i="13" s="1"/>
  <c r="D375" i="13" a="1"/>
  <c r="D375" i="13" s="1"/>
  <c r="B374" i="13" a="1"/>
  <c r="B374" i="13" s="1"/>
  <c r="E373" i="13" a="1"/>
  <c r="E373" i="13" s="1"/>
  <c r="H369" i="13" a="1"/>
  <c r="H369" i="13" s="1"/>
  <c r="C369" i="13"/>
  <c r="A368" i="13" a="1"/>
  <c r="A368" i="13" s="1"/>
  <c r="D367" i="13" a="1"/>
  <c r="D367" i="13" s="1"/>
  <c r="B366" i="13" a="1"/>
  <c r="B366" i="13" s="1"/>
  <c r="E365" i="13" a="1"/>
  <c r="E365" i="13" s="1"/>
  <c r="H361" i="13" a="1"/>
  <c r="H361" i="13" s="1"/>
  <c r="C361" i="13"/>
  <c r="A360" i="13" a="1"/>
  <c r="A360" i="13" s="1"/>
  <c r="D359" i="13" a="1"/>
  <c r="D359" i="13" s="1"/>
  <c r="B358" i="13" a="1"/>
  <c r="B358" i="13" s="1"/>
  <c r="E357" i="13" a="1"/>
  <c r="E357" i="13" s="1"/>
  <c r="H353" i="13" a="1"/>
  <c r="H353" i="13" s="1"/>
  <c r="C353" i="13"/>
  <c r="A352" i="13" a="1"/>
  <c r="A352" i="13" s="1"/>
  <c r="D351" i="13" a="1"/>
  <c r="D351" i="13" s="1"/>
  <c r="B350" i="13" a="1"/>
  <c r="B350" i="13" s="1"/>
  <c r="E349" i="13" a="1"/>
  <c r="E349" i="13" s="1"/>
  <c r="H345" i="13" a="1"/>
  <c r="H345" i="13" s="1"/>
  <c r="C345" i="13"/>
  <c r="A344" i="13" a="1"/>
  <c r="A344" i="13" s="1"/>
  <c r="D343" i="13" a="1"/>
  <c r="D343" i="13" s="1"/>
  <c r="B385" i="13" a="1"/>
  <c r="B385" i="13" s="1"/>
  <c r="E384" i="13" a="1"/>
  <c r="E384" i="13" s="1"/>
  <c r="H380" i="13" a="1"/>
  <c r="H380" i="13" s="1"/>
  <c r="C380" i="13"/>
  <c r="A379" i="13" a="1"/>
  <c r="A379" i="13" s="1"/>
  <c r="D378" i="13" a="1"/>
  <c r="D378" i="13" s="1"/>
  <c r="B377" i="13" a="1"/>
  <c r="B377" i="13" s="1"/>
  <c r="E376" i="13" a="1"/>
  <c r="E376" i="13" s="1"/>
  <c r="H372" i="13" a="1"/>
  <c r="H372" i="13" s="1"/>
  <c r="C372" i="13"/>
  <c r="A371" i="13" a="1"/>
  <c r="A371" i="13" s="1"/>
  <c r="D370" i="13" a="1"/>
  <c r="D370" i="13" s="1"/>
  <c r="B369" i="13" a="1"/>
  <c r="B369" i="13" s="1"/>
  <c r="E368" i="13" a="1"/>
  <c r="E368" i="13" s="1"/>
  <c r="H364" i="13" a="1"/>
  <c r="H364" i="13" s="1"/>
  <c r="C364" i="13"/>
  <c r="A363" i="13" a="1"/>
  <c r="A363" i="13" s="1"/>
  <c r="D362" i="13" a="1"/>
  <c r="D362" i="13" s="1"/>
  <c r="B361" i="13" a="1"/>
  <c r="B361" i="13" s="1"/>
  <c r="E360" i="13" a="1"/>
  <c r="E360" i="13" s="1"/>
  <c r="H356" i="13" a="1"/>
  <c r="H356" i="13" s="1"/>
  <c r="C356" i="13"/>
  <c r="A355" i="13" a="1"/>
  <c r="A355" i="13" s="1"/>
  <c r="D354" i="13" a="1"/>
  <c r="D354" i="13" s="1"/>
  <c r="B353" i="13" a="1"/>
  <c r="B353" i="13" s="1"/>
  <c r="E352" i="13" a="1"/>
  <c r="E352" i="13" s="1"/>
  <c r="H348" i="13" a="1"/>
  <c r="H348" i="13" s="1"/>
  <c r="C348" i="13"/>
  <c r="A347" i="13" a="1"/>
  <c r="A347" i="13" s="1"/>
  <c r="D346" i="13" a="1"/>
  <c r="D346" i="13" s="1"/>
  <c r="B345" i="13" a="1"/>
  <c r="B345" i="13" s="1"/>
  <c r="E344" i="13" a="1"/>
  <c r="E344" i="13" s="1"/>
  <c r="H340" i="13" a="1"/>
  <c r="H340" i="13" s="1"/>
  <c r="C340" i="13"/>
  <c r="A339" i="13" a="1"/>
  <c r="A339" i="13" s="1"/>
  <c r="H383" i="13" a="1"/>
  <c r="H383" i="13" s="1"/>
  <c r="A385" i="13" a="1"/>
  <c r="A385" i="13" s="1"/>
  <c r="D384" i="13" a="1"/>
  <c r="D384" i="13" s="1"/>
  <c r="B383" i="13" a="1"/>
  <c r="B383" i="13" s="1"/>
  <c r="E382" i="13" a="1"/>
  <c r="E382" i="13" s="1"/>
  <c r="H378" i="13" a="1"/>
  <c r="H378" i="13" s="1"/>
  <c r="C378" i="13"/>
  <c r="A377" i="13" a="1"/>
  <c r="A377" i="13" s="1"/>
  <c r="D376" i="13" a="1"/>
  <c r="D376" i="13" s="1"/>
  <c r="B375" i="13" a="1"/>
  <c r="B375" i="13" s="1"/>
  <c r="E374" i="13" a="1"/>
  <c r="E374" i="13" s="1"/>
  <c r="H370" i="13" a="1"/>
  <c r="H370" i="13" s="1"/>
  <c r="C370" i="13"/>
  <c r="A369" i="13" a="1"/>
  <c r="A369" i="13" s="1"/>
  <c r="D368" i="13" a="1"/>
  <c r="D368" i="13" s="1"/>
  <c r="B367" i="13" a="1"/>
  <c r="B367" i="13" s="1"/>
  <c r="E366" i="13" a="1"/>
  <c r="E366" i="13" s="1"/>
  <c r="H362" i="13" a="1"/>
  <c r="H362" i="13" s="1"/>
  <c r="C362" i="13"/>
  <c r="A361" i="13" a="1"/>
  <c r="A361" i="13" s="1"/>
  <c r="D360" i="13" a="1"/>
  <c r="D360" i="13" s="1"/>
  <c r="B359" i="13" a="1"/>
  <c r="B359" i="13" s="1"/>
  <c r="E358" i="13" a="1"/>
  <c r="E358" i="13" s="1"/>
  <c r="H354" i="13" a="1"/>
  <c r="H354" i="13" s="1"/>
  <c r="C354" i="13"/>
  <c r="A353" i="13" a="1"/>
  <c r="A353" i="13" s="1"/>
  <c r="D352" i="13" a="1"/>
  <c r="D352" i="13" s="1"/>
  <c r="B351" i="13" a="1"/>
  <c r="B351" i="13" s="1"/>
  <c r="E350" i="13" a="1"/>
  <c r="E350" i="13" s="1"/>
  <c r="H346" i="13" a="1"/>
  <c r="H346" i="13" s="1"/>
  <c r="C346" i="13"/>
  <c r="A345" i="13" a="1"/>
  <c r="A345" i="13" s="1"/>
  <c r="D344" i="13" a="1"/>
  <c r="D344" i="13" s="1"/>
  <c r="B343" i="13" a="1"/>
  <c r="B343" i="13" s="1"/>
  <c r="E342" i="13" a="1"/>
  <c r="E342" i="13" s="1"/>
  <c r="E385" i="13" a="1"/>
  <c r="E385" i="13" s="1"/>
  <c r="H381" i="13" a="1"/>
  <c r="H381" i="13" s="1"/>
  <c r="C381" i="13"/>
  <c r="A380" i="13" a="1"/>
  <c r="A380" i="13" s="1"/>
  <c r="D379" i="13" a="1"/>
  <c r="D379" i="13" s="1"/>
  <c r="B378" i="13" a="1"/>
  <c r="B378" i="13" s="1"/>
  <c r="E377" i="13" a="1"/>
  <c r="E377" i="13" s="1"/>
  <c r="H373" i="13" a="1"/>
  <c r="H373" i="13" s="1"/>
  <c r="C373" i="13"/>
  <c r="A372" i="13" a="1"/>
  <c r="A372" i="13" s="1"/>
  <c r="D371" i="13" a="1"/>
  <c r="D371" i="13" s="1"/>
  <c r="B370" i="13" a="1"/>
  <c r="B370" i="13" s="1"/>
  <c r="E369" i="13" a="1"/>
  <c r="E369" i="13" s="1"/>
  <c r="H365" i="13" a="1"/>
  <c r="H365" i="13" s="1"/>
  <c r="C365" i="13"/>
  <c r="A364" i="13" a="1"/>
  <c r="A364" i="13" s="1"/>
  <c r="D363" i="13" a="1"/>
  <c r="D363" i="13" s="1"/>
  <c r="B362" i="13" a="1"/>
  <c r="B362" i="13" s="1"/>
  <c r="E361" i="13" a="1"/>
  <c r="E361" i="13" s="1"/>
  <c r="H357" i="13" a="1"/>
  <c r="H357" i="13" s="1"/>
  <c r="C357" i="13"/>
  <c r="A356" i="13" a="1"/>
  <c r="A356" i="13" s="1"/>
  <c r="D355" i="13" a="1"/>
  <c r="D355" i="13" s="1"/>
  <c r="B354" i="13" a="1"/>
  <c r="B354" i="13" s="1"/>
  <c r="E353" i="13" a="1"/>
  <c r="E353" i="13" s="1"/>
  <c r="H349" i="13" a="1"/>
  <c r="H349" i="13" s="1"/>
  <c r="C349" i="13"/>
  <c r="A348" i="13" a="1"/>
  <c r="A348" i="13" s="1"/>
  <c r="D347" i="13" a="1"/>
  <c r="D347" i="13" s="1"/>
  <c r="B346" i="13" a="1"/>
  <c r="B346" i="13" s="1"/>
  <c r="E345" i="13" a="1"/>
  <c r="E345" i="13" s="1"/>
  <c r="H341" i="13" a="1"/>
  <c r="H341" i="13" s="1"/>
  <c r="C341" i="13"/>
  <c r="A340" i="13" a="1"/>
  <c r="A340" i="13" s="1"/>
  <c r="D339" i="13" a="1"/>
  <c r="D339" i="13" s="1"/>
  <c r="H384" i="13" a="1"/>
  <c r="H384" i="13" s="1"/>
  <c r="C384" i="13"/>
  <c r="A383" i="13" a="1"/>
  <c r="A383" i="13" s="1"/>
  <c r="D382" i="13" a="1"/>
  <c r="D382" i="13" s="1"/>
  <c r="B381" i="13" a="1"/>
  <c r="B381" i="13" s="1"/>
  <c r="E380" i="13" a="1"/>
  <c r="E380" i="13" s="1"/>
  <c r="H376" i="13" a="1"/>
  <c r="H376" i="13" s="1"/>
  <c r="C376" i="13"/>
  <c r="A375" i="13" a="1"/>
  <c r="A375" i="13" s="1"/>
  <c r="D374" i="13" a="1"/>
  <c r="D374" i="13" s="1"/>
  <c r="B373" i="13" a="1"/>
  <c r="B373" i="13" s="1"/>
  <c r="E372" i="13" a="1"/>
  <c r="E372" i="13" s="1"/>
  <c r="D385" i="13" a="1"/>
  <c r="D385" i="13" s="1"/>
  <c r="B384" i="13" a="1"/>
  <c r="B384" i="13" s="1"/>
  <c r="E383" i="13" a="1"/>
  <c r="E383" i="13" s="1"/>
  <c r="H379" i="13" a="1"/>
  <c r="H379" i="13" s="1"/>
  <c r="C379" i="13"/>
  <c r="A378" i="13" a="1"/>
  <c r="A378" i="13" s="1"/>
  <c r="D377" i="13" a="1"/>
  <c r="D377" i="13" s="1"/>
  <c r="B376" i="13" a="1"/>
  <c r="B376" i="13" s="1"/>
  <c r="E375" i="13" a="1"/>
  <c r="E375" i="13" s="1"/>
  <c r="H371" i="13" a="1"/>
  <c r="H371" i="13" s="1"/>
  <c r="C371" i="13"/>
  <c r="A370" i="13" a="1"/>
  <c r="A370" i="13" s="1"/>
  <c r="D369" i="13" a="1"/>
  <c r="D369" i="13" s="1"/>
  <c r="B368" i="13" a="1"/>
  <c r="B368" i="13" s="1"/>
  <c r="E367" i="13" a="1"/>
  <c r="E367" i="13" s="1"/>
  <c r="H363" i="13" a="1"/>
  <c r="H363" i="13" s="1"/>
  <c r="C363" i="13"/>
  <c r="A362" i="13" a="1"/>
  <c r="A362" i="13" s="1"/>
  <c r="D361" i="13" a="1"/>
  <c r="D361" i="13" s="1"/>
  <c r="B360" i="13" a="1"/>
  <c r="B360" i="13" s="1"/>
  <c r="E359" i="13" a="1"/>
  <c r="E359" i="13" s="1"/>
  <c r="H355" i="13" a="1"/>
  <c r="H355" i="13" s="1"/>
  <c r="C355" i="13"/>
  <c r="A354" i="13" a="1"/>
  <c r="A354" i="13" s="1"/>
  <c r="D353" i="13" a="1"/>
  <c r="D353" i="13" s="1"/>
  <c r="B352" i="13" a="1"/>
  <c r="B352" i="13" s="1"/>
  <c r="E351" i="13" a="1"/>
  <c r="E351" i="13" s="1"/>
  <c r="H347" i="13" a="1"/>
  <c r="H347" i="13" s="1"/>
  <c r="C347" i="13"/>
  <c r="A346" i="13" a="1"/>
  <c r="A346" i="13" s="1"/>
  <c r="D345" i="13" a="1"/>
  <c r="D345" i="13" s="1"/>
  <c r="H382" i="13" a="1"/>
  <c r="H382" i="13" s="1"/>
  <c r="C382" i="13"/>
  <c r="A381" i="13" a="1"/>
  <c r="A381" i="13" s="1"/>
  <c r="D380" i="13" a="1"/>
  <c r="D380" i="13" s="1"/>
  <c r="B379" i="13" a="1"/>
  <c r="B379" i="13" s="1"/>
  <c r="E378" i="13" a="1"/>
  <c r="E378" i="13" s="1"/>
  <c r="H374" i="13" a="1"/>
  <c r="H374" i="13" s="1"/>
  <c r="C374" i="13"/>
  <c r="A373" i="13" a="1"/>
  <c r="A373" i="13" s="1"/>
  <c r="D372" i="13" a="1"/>
  <c r="D372" i="13" s="1"/>
  <c r="B371" i="13" a="1"/>
  <c r="B371" i="13" s="1"/>
  <c r="E370" i="13" a="1"/>
  <c r="E370" i="13" s="1"/>
  <c r="H366" i="13" a="1"/>
  <c r="H366" i="13" s="1"/>
  <c r="C366" i="13"/>
  <c r="A365" i="13" a="1"/>
  <c r="A365" i="13" s="1"/>
  <c r="D364" i="13" a="1"/>
  <c r="D364" i="13" s="1"/>
  <c r="B363" i="13" a="1"/>
  <c r="B363" i="13" s="1"/>
  <c r="E362" i="13" a="1"/>
  <c r="E362" i="13" s="1"/>
  <c r="H358" i="13" a="1"/>
  <c r="H358" i="13" s="1"/>
  <c r="C358" i="13"/>
  <c r="A357" i="13" a="1"/>
  <c r="A357" i="13" s="1"/>
  <c r="D356" i="13" a="1"/>
  <c r="D356" i="13" s="1"/>
  <c r="B355" i="13" a="1"/>
  <c r="B355" i="13" s="1"/>
  <c r="E354" i="13" a="1"/>
  <c r="E354" i="13" s="1"/>
  <c r="H350" i="13" a="1"/>
  <c r="H350" i="13" s="1"/>
  <c r="C383" i="13"/>
  <c r="D373" i="13" a="1"/>
  <c r="D373" i="13" s="1"/>
  <c r="H367" i="13" a="1"/>
  <c r="H367" i="13" s="1"/>
  <c r="D365" i="13" a="1"/>
  <c r="D365" i="13" s="1"/>
  <c r="A358" i="13" a="1"/>
  <c r="A358" i="13" s="1"/>
  <c r="E355" i="13" a="1"/>
  <c r="E355" i="13" s="1"/>
  <c r="A349" i="13" a="1"/>
  <c r="A349" i="13" s="1"/>
  <c r="C344" i="13"/>
  <c r="A343" i="13" a="1"/>
  <c r="A343" i="13" s="1"/>
  <c r="B342" i="13" a="1"/>
  <c r="B342" i="13" s="1"/>
  <c r="B340" i="13" a="1"/>
  <c r="B340" i="13" s="1"/>
  <c r="E338" i="13" a="1"/>
  <c r="E338" i="13" s="1"/>
  <c r="H334" i="13" a="1"/>
  <c r="H334" i="13" s="1"/>
  <c r="C334" i="13"/>
  <c r="A333" i="13" a="1"/>
  <c r="A333" i="13" s="1"/>
  <c r="D332" i="13" a="1"/>
  <c r="D332" i="13" s="1"/>
  <c r="B331" i="13" a="1"/>
  <c r="B331" i="13" s="1"/>
  <c r="E330" i="13" a="1"/>
  <c r="E330" i="13" s="1"/>
  <c r="H326" i="13" a="1"/>
  <c r="H326" i="13" s="1"/>
  <c r="C326" i="13"/>
  <c r="A325" i="13" a="1"/>
  <c r="A325" i="13" s="1"/>
  <c r="D324" i="13" a="1"/>
  <c r="D324" i="13" s="1"/>
  <c r="B365" i="13" a="1"/>
  <c r="B365" i="13" s="1"/>
  <c r="C360" i="13"/>
  <c r="H352" i="13" a="1"/>
  <c r="H352" i="13" s="1"/>
  <c r="D350" i="13" a="1"/>
  <c r="D350" i="13" s="1"/>
  <c r="B347" i="13" a="1"/>
  <c r="B347" i="13" s="1"/>
  <c r="B344" i="13" a="1"/>
  <c r="B344" i="13" s="1"/>
  <c r="A342" i="13" a="1"/>
  <c r="A342" i="13" s="1"/>
  <c r="A341" i="13" a="1"/>
  <c r="A341" i="13" s="1"/>
  <c r="C339" i="13"/>
  <c r="H337" i="13" a="1"/>
  <c r="H337" i="13" s="1"/>
  <c r="C337" i="13"/>
  <c r="A336" i="13" a="1"/>
  <c r="A336" i="13" s="1"/>
  <c r="D335" i="13" a="1"/>
  <c r="D335" i="13" s="1"/>
  <c r="B334" i="13" a="1"/>
  <c r="B334" i="13" s="1"/>
  <c r="E333" i="13" a="1"/>
  <c r="E333" i="13" s="1"/>
  <c r="H329" i="13" a="1"/>
  <c r="H329" i="13" s="1"/>
  <c r="C329" i="13"/>
  <c r="A328" i="13" a="1"/>
  <c r="A328" i="13" s="1"/>
  <c r="D327" i="13" a="1"/>
  <c r="D327" i="13" s="1"/>
  <c r="B326" i="13" a="1"/>
  <c r="B326" i="13" s="1"/>
  <c r="E325" i="13" a="1"/>
  <c r="E325" i="13" s="1"/>
  <c r="H321" i="13" a="1"/>
  <c r="H321" i="13" s="1"/>
  <c r="C321" i="13"/>
  <c r="A320" i="13" a="1"/>
  <c r="A320" i="13" s="1"/>
  <c r="D319" i="13" a="1"/>
  <c r="D319" i="13" s="1"/>
  <c r="B318" i="13" a="1"/>
  <c r="B318" i="13" s="1"/>
  <c r="E317" i="13" a="1"/>
  <c r="E317" i="13" s="1"/>
  <c r="H313" i="13" a="1"/>
  <c r="H313" i="13" s="1"/>
  <c r="C313" i="13"/>
  <c r="A312" i="13" a="1"/>
  <c r="A312" i="13" s="1"/>
  <c r="D311" i="13" a="1"/>
  <c r="D311" i="13" s="1"/>
  <c r="B310" i="13" a="1"/>
  <c r="B310" i="13" s="1"/>
  <c r="E309" i="13" a="1"/>
  <c r="E309" i="13" s="1"/>
  <c r="H305" i="13" a="1"/>
  <c r="H305" i="13" s="1"/>
  <c r="C305" i="13"/>
  <c r="A304" i="13" a="1"/>
  <c r="A304" i="13" s="1"/>
  <c r="D303" i="13" a="1"/>
  <c r="D303" i="13" s="1"/>
  <c r="B302" i="13" a="1"/>
  <c r="B302" i="13" s="1"/>
  <c r="A382" i="13" a="1"/>
  <c r="A382" i="13" s="1"/>
  <c r="B372" i="13" a="1"/>
  <c r="B372" i="13" s="1"/>
  <c r="C367" i="13"/>
  <c r="H359" i="13" a="1"/>
  <c r="H359" i="13" s="1"/>
  <c r="D357" i="13" a="1"/>
  <c r="D357" i="13" s="1"/>
  <c r="C350" i="13"/>
  <c r="E348" i="13" a="1"/>
  <c r="E348" i="13" s="1"/>
  <c r="H342" i="13" a="1"/>
  <c r="H342" i="13" s="1"/>
  <c r="B339" i="13" a="1"/>
  <c r="B339" i="13" s="1"/>
  <c r="D338" i="13" a="1"/>
  <c r="D338" i="13" s="1"/>
  <c r="B337" i="13" a="1"/>
  <c r="B337" i="13" s="1"/>
  <c r="E336" i="13" a="1"/>
  <c r="E336" i="13" s="1"/>
  <c r="H332" i="13" a="1"/>
  <c r="H332" i="13" s="1"/>
  <c r="C332" i="13"/>
  <c r="A331" i="13" a="1"/>
  <c r="A331" i="13" s="1"/>
  <c r="D330" i="13" a="1"/>
  <c r="D330" i="13" s="1"/>
  <c r="B329" i="13" a="1"/>
  <c r="B329" i="13" s="1"/>
  <c r="E328" i="13" a="1"/>
  <c r="E328" i="13" s="1"/>
  <c r="H324" i="13" a="1"/>
  <c r="H324" i="13" s="1"/>
  <c r="C324" i="13"/>
  <c r="A323" i="13" a="1"/>
  <c r="A323" i="13" s="1"/>
  <c r="D322" i="13" a="1"/>
  <c r="D322" i="13" s="1"/>
  <c r="B321" i="13" a="1"/>
  <c r="B321" i="13" s="1"/>
  <c r="E320" i="13" a="1"/>
  <c r="E320" i="13" s="1"/>
  <c r="H316" i="13" a="1"/>
  <c r="H316" i="13" s="1"/>
  <c r="C316" i="13"/>
  <c r="A315" i="13" a="1"/>
  <c r="A315" i="13" s="1"/>
  <c r="D314" i="13" a="1"/>
  <c r="D314" i="13" s="1"/>
  <c r="B313" i="13" a="1"/>
  <c r="B313" i="13" s="1"/>
  <c r="E312" i="13" a="1"/>
  <c r="E312" i="13" s="1"/>
  <c r="H308" i="13" a="1"/>
  <c r="H308" i="13" s="1"/>
  <c r="C308" i="13"/>
  <c r="A307" i="13" a="1"/>
  <c r="A307" i="13" s="1"/>
  <c r="D306" i="13" a="1"/>
  <c r="D306" i="13" s="1"/>
  <c r="B305" i="13" a="1"/>
  <c r="B305" i="13" s="1"/>
  <c r="E304" i="13" a="1"/>
  <c r="E304" i="13" s="1"/>
  <c r="H300" i="13" a="1"/>
  <c r="H300" i="13" s="1"/>
  <c r="C300" i="13"/>
  <c r="D381" i="13" a="1"/>
  <c r="D381" i="13" s="1"/>
  <c r="A367" i="13" a="1"/>
  <c r="A367" i="13" s="1"/>
  <c r="E364" i="13" a="1"/>
  <c r="E364" i="13" s="1"/>
  <c r="B357" i="13" a="1"/>
  <c r="B357" i="13" s="1"/>
  <c r="C352" i="13"/>
  <c r="A350" i="13" a="1"/>
  <c r="A350" i="13" s="1"/>
  <c r="D348" i="13" a="1"/>
  <c r="D348" i="13" s="1"/>
  <c r="H343" i="13" a="1"/>
  <c r="H343" i="13" s="1"/>
  <c r="H339" i="13" a="1"/>
  <c r="H339" i="13" s="1"/>
  <c r="H335" i="13" a="1"/>
  <c r="H335" i="13" s="1"/>
  <c r="C335" i="13"/>
  <c r="A334" i="13" a="1"/>
  <c r="A334" i="13" s="1"/>
  <c r="D333" i="13" a="1"/>
  <c r="D333" i="13" s="1"/>
  <c r="B332" i="13" a="1"/>
  <c r="B332" i="13" s="1"/>
  <c r="E331" i="13" a="1"/>
  <c r="E331" i="13" s="1"/>
  <c r="H327" i="13" a="1"/>
  <c r="H327" i="13" s="1"/>
  <c r="C327" i="13"/>
  <c r="A326" i="13" a="1"/>
  <c r="A326" i="13" s="1"/>
  <c r="D325" i="13" a="1"/>
  <c r="D325" i="13" s="1"/>
  <c r="B324" i="13" a="1"/>
  <c r="B324" i="13" s="1"/>
  <c r="E323" i="13" a="1"/>
  <c r="E323" i="13" s="1"/>
  <c r="H319" i="13" a="1"/>
  <c r="H319" i="13" s="1"/>
  <c r="C319" i="13"/>
  <c r="A318" i="13" a="1"/>
  <c r="A318" i="13" s="1"/>
  <c r="D317" i="13" a="1"/>
  <c r="D317" i="13" s="1"/>
  <c r="B316" i="13" a="1"/>
  <c r="B316" i="13" s="1"/>
  <c r="E315" i="13" a="1"/>
  <c r="E315" i="13" s="1"/>
  <c r="H311" i="13" a="1"/>
  <c r="H311" i="13" s="1"/>
  <c r="C311" i="13"/>
  <c r="A310" i="13" a="1"/>
  <c r="A310" i="13" s="1"/>
  <c r="D309" i="13" a="1"/>
  <c r="D309" i="13" s="1"/>
  <c r="B308" i="13" a="1"/>
  <c r="B308" i="13" s="1"/>
  <c r="E307" i="13" a="1"/>
  <c r="E307" i="13" s="1"/>
  <c r="H303" i="13" a="1"/>
  <c r="H303" i="13" s="1"/>
  <c r="C303" i="13"/>
  <c r="A302" i="13" a="1"/>
  <c r="A302" i="13" s="1"/>
  <c r="H375" i="13" a="1"/>
  <c r="H375" i="13" s="1"/>
  <c r="E371" i="13" a="1"/>
  <c r="E371" i="13" s="1"/>
  <c r="B364" i="13" a="1"/>
  <c r="B364" i="13" s="1"/>
  <c r="C359" i="13"/>
  <c r="H351" i="13" a="1"/>
  <c r="H351" i="13" s="1"/>
  <c r="B348" i="13" a="1"/>
  <c r="B348" i="13" s="1"/>
  <c r="E346" i="13" a="1"/>
  <c r="E346" i="13" s="1"/>
  <c r="H344" i="13" a="1"/>
  <c r="H344" i="13" s="1"/>
  <c r="E340" i="13" a="1"/>
  <c r="E340" i="13" s="1"/>
  <c r="C338" i="13"/>
  <c r="A337" i="13" a="1"/>
  <c r="A337" i="13" s="1"/>
  <c r="D336" i="13" a="1"/>
  <c r="D336" i="13" s="1"/>
  <c r="B335" i="13" a="1"/>
  <c r="B335" i="13" s="1"/>
  <c r="E334" i="13" a="1"/>
  <c r="E334" i="13" s="1"/>
  <c r="H330" i="13" a="1"/>
  <c r="H330" i="13" s="1"/>
  <c r="C330" i="13"/>
  <c r="A329" i="13" a="1"/>
  <c r="A329" i="13" s="1"/>
  <c r="D328" i="13" a="1"/>
  <c r="D328" i="13" s="1"/>
  <c r="B327" i="13" a="1"/>
  <c r="B327" i="13" s="1"/>
  <c r="E326" i="13" a="1"/>
  <c r="E326" i="13" s="1"/>
  <c r="H322" i="13" a="1"/>
  <c r="H322" i="13" s="1"/>
  <c r="C322" i="13"/>
  <c r="A321" i="13" a="1"/>
  <c r="A321" i="13" s="1"/>
  <c r="D320" i="13" a="1"/>
  <c r="D320" i="13" s="1"/>
  <c r="B319" i="13" a="1"/>
  <c r="B319" i="13" s="1"/>
  <c r="E318" i="13" a="1"/>
  <c r="E318" i="13" s="1"/>
  <c r="H314" i="13" a="1"/>
  <c r="H314" i="13" s="1"/>
  <c r="C314" i="13"/>
  <c r="A313" i="13" a="1"/>
  <c r="A313" i="13" s="1"/>
  <c r="D312" i="13" a="1"/>
  <c r="D312" i="13" s="1"/>
  <c r="B311" i="13" a="1"/>
  <c r="B311" i="13" s="1"/>
  <c r="E310" i="13" a="1"/>
  <c r="E310" i="13" s="1"/>
  <c r="H306" i="13" a="1"/>
  <c r="H306" i="13" s="1"/>
  <c r="C306" i="13"/>
  <c r="A305" i="13" a="1"/>
  <c r="A305" i="13" s="1"/>
  <c r="D304" i="13" a="1"/>
  <c r="D304" i="13" s="1"/>
  <c r="B303" i="13" a="1"/>
  <c r="B303" i="13" s="1"/>
  <c r="B380" i="13" a="1"/>
  <c r="B380" i="13" s="1"/>
  <c r="C375" i="13"/>
  <c r="H368" i="13" a="1"/>
  <c r="H368" i="13" s="1"/>
  <c r="D366" i="13" a="1"/>
  <c r="D366" i="13" s="1"/>
  <c r="A359" i="13" a="1"/>
  <c r="A359" i="13" s="1"/>
  <c r="E356" i="13" a="1"/>
  <c r="E356" i="13" s="1"/>
  <c r="E343" i="13" a="1"/>
  <c r="E343" i="13" s="1"/>
  <c r="D342" i="13" a="1"/>
  <c r="D342" i="13" s="1"/>
  <c r="E341" i="13" a="1"/>
  <c r="E341" i="13" s="1"/>
  <c r="H338" i="13" a="1"/>
  <c r="H338" i="13" s="1"/>
  <c r="B338" i="13" a="1"/>
  <c r="B338" i="13" s="1"/>
  <c r="E337" i="13" a="1"/>
  <c r="E337" i="13" s="1"/>
  <c r="H333" i="13" a="1"/>
  <c r="H333" i="13" s="1"/>
  <c r="C333" i="13"/>
  <c r="A332" i="13" a="1"/>
  <c r="A332" i="13" s="1"/>
  <c r="D331" i="13" a="1"/>
  <c r="D331" i="13" s="1"/>
  <c r="B330" i="13" a="1"/>
  <c r="B330" i="13" s="1"/>
  <c r="E329" i="13" a="1"/>
  <c r="E329" i="13" s="1"/>
  <c r="H325" i="13" a="1"/>
  <c r="H325" i="13" s="1"/>
  <c r="C325" i="13"/>
  <c r="A324" i="13" a="1"/>
  <c r="A324" i="13" s="1"/>
  <c r="D323" i="13" a="1"/>
  <c r="D323" i="13" s="1"/>
  <c r="B322" i="13" a="1"/>
  <c r="B322" i="13" s="1"/>
  <c r="E321" i="13" a="1"/>
  <c r="E321" i="13" s="1"/>
  <c r="H317" i="13" a="1"/>
  <c r="H317" i="13" s="1"/>
  <c r="C317" i="13"/>
  <c r="A316" i="13" a="1"/>
  <c r="A316" i="13" s="1"/>
  <c r="D315" i="13" a="1"/>
  <c r="D315" i="13" s="1"/>
  <c r="B314" i="13" a="1"/>
  <c r="B314" i="13" s="1"/>
  <c r="E313" i="13" a="1"/>
  <c r="E313" i="13" s="1"/>
  <c r="H309" i="13" a="1"/>
  <c r="H309" i="13" s="1"/>
  <c r="C309" i="13"/>
  <c r="A308" i="13" a="1"/>
  <c r="A308" i="13" s="1"/>
  <c r="D307" i="13" a="1"/>
  <c r="D307" i="13" s="1"/>
  <c r="B306" i="13" a="1"/>
  <c r="B306" i="13" s="1"/>
  <c r="E379" i="13" a="1"/>
  <c r="E379" i="13" s="1"/>
  <c r="A366" i="13" a="1"/>
  <c r="A366" i="13" s="1"/>
  <c r="A374" i="13" a="1"/>
  <c r="A374" i="13" s="1"/>
  <c r="C368" i="13"/>
  <c r="H360" i="13" a="1"/>
  <c r="H360" i="13" s="1"/>
  <c r="D358" i="13" a="1"/>
  <c r="D358" i="13" s="1"/>
  <c r="A351" i="13" a="1"/>
  <c r="A351" i="13" s="1"/>
  <c r="B349" i="13" a="1"/>
  <c r="B349" i="13" s="1"/>
  <c r="E347" i="13" a="1"/>
  <c r="E347" i="13" s="1"/>
  <c r="C343" i="13"/>
  <c r="C342" i="13"/>
  <c r="B341" i="13" a="1"/>
  <c r="B341" i="13" s="1"/>
  <c r="A338" i="13" a="1"/>
  <c r="A338" i="13" s="1"/>
  <c r="D337" i="13" a="1"/>
  <c r="D337" i="13" s="1"/>
  <c r="B336" i="13" a="1"/>
  <c r="B336" i="13" s="1"/>
  <c r="E335" i="13" a="1"/>
  <c r="E335" i="13" s="1"/>
  <c r="H331" i="13" a="1"/>
  <c r="H331" i="13" s="1"/>
  <c r="E363" i="13" a="1"/>
  <c r="E363" i="13" s="1"/>
  <c r="B333" i="13" a="1"/>
  <c r="B333" i="13" s="1"/>
  <c r="A330" i="13" a="1"/>
  <c r="A330" i="13" s="1"/>
  <c r="E327" i="13" a="1"/>
  <c r="E327" i="13" s="1"/>
  <c r="B323" i="13" a="1"/>
  <c r="B323" i="13" s="1"/>
  <c r="D321" i="13" a="1"/>
  <c r="D321" i="13" s="1"/>
  <c r="C318" i="13"/>
  <c r="E311" i="13" a="1"/>
  <c r="E311" i="13" s="1"/>
  <c r="D308" i="13" a="1"/>
  <c r="D308" i="13" s="1"/>
  <c r="H302" i="13" a="1"/>
  <c r="H302" i="13" s="1"/>
  <c r="D300" i="13" a="1"/>
  <c r="D300" i="13" s="1"/>
  <c r="A299" i="13" a="1"/>
  <c r="A299" i="13" s="1"/>
  <c r="D298" i="13" a="1"/>
  <c r="D298" i="13" s="1"/>
  <c r="B297" i="13" a="1"/>
  <c r="B297" i="13" s="1"/>
  <c r="E296" i="13" a="1"/>
  <c r="E296" i="13" s="1"/>
  <c r="H292" i="13" a="1"/>
  <c r="H292" i="13" s="1"/>
  <c r="C292" i="13"/>
  <c r="A291" i="13" a="1"/>
  <c r="A291" i="13" s="1"/>
  <c r="D290" i="13" a="1"/>
  <c r="D290" i="13" s="1"/>
  <c r="B289" i="13" a="1"/>
  <c r="B289" i="13" s="1"/>
  <c r="E288" i="13" a="1"/>
  <c r="E288" i="13" s="1"/>
  <c r="H284" i="13" a="1"/>
  <c r="H284" i="13" s="1"/>
  <c r="C284" i="13"/>
  <c r="A283" i="13" a="1"/>
  <c r="A283" i="13" s="1"/>
  <c r="D282" i="13" a="1"/>
  <c r="D282" i="13" s="1"/>
  <c r="B281" i="13" a="1"/>
  <c r="B281" i="13" s="1"/>
  <c r="E280" i="13" a="1"/>
  <c r="E280" i="13" s="1"/>
  <c r="H276" i="13" a="1"/>
  <c r="H276" i="13" s="1"/>
  <c r="C276" i="13"/>
  <c r="A275" i="13" a="1"/>
  <c r="A275" i="13" s="1"/>
  <c r="D274" i="13" a="1"/>
  <c r="D274" i="13" s="1"/>
  <c r="B273" i="13" a="1"/>
  <c r="B273" i="13" s="1"/>
  <c r="E272" i="13" a="1"/>
  <c r="E272" i="13" s="1"/>
  <c r="H268" i="13" a="1"/>
  <c r="H268" i="13" s="1"/>
  <c r="C268" i="13"/>
  <c r="A267" i="13" a="1"/>
  <c r="A267" i="13" s="1"/>
  <c r="D266" i="13" a="1"/>
  <c r="D266" i="13" s="1"/>
  <c r="B265" i="13" a="1"/>
  <c r="B265" i="13" s="1"/>
  <c r="E332" i="13" a="1"/>
  <c r="E332" i="13" s="1"/>
  <c r="A327" i="13" a="1"/>
  <c r="A327" i="13" s="1"/>
  <c r="E324" i="13" a="1"/>
  <c r="E324" i="13" s="1"/>
  <c r="E319" i="13" a="1"/>
  <c r="E319" i="13" s="1"/>
  <c r="D316" i="13" a="1"/>
  <c r="D316" i="13" s="1"/>
  <c r="H312" i="13" a="1"/>
  <c r="H312" i="13" s="1"/>
  <c r="E306" i="13" a="1"/>
  <c r="E306" i="13" s="1"/>
  <c r="E302" i="13" a="1"/>
  <c r="E302" i="13" s="1"/>
  <c r="A301" i="13" a="1"/>
  <c r="A301" i="13" s="1"/>
  <c r="E299" i="13" a="1"/>
  <c r="E299" i="13" s="1"/>
  <c r="H295" i="13" a="1"/>
  <c r="H295" i="13" s="1"/>
  <c r="C295" i="13"/>
  <c r="A294" i="13" a="1"/>
  <c r="A294" i="13" s="1"/>
  <c r="D293" i="13" a="1"/>
  <c r="D293" i="13" s="1"/>
  <c r="B292" i="13" a="1"/>
  <c r="B292" i="13" s="1"/>
  <c r="E291" i="13" a="1"/>
  <c r="E291" i="13" s="1"/>
  <c r="H287" i="13" a="1"/>
  <c r="H287" i="13" s="1"/>
  <c r="C287" i="13"/>
  <c r="A286" i="13" a="1"/>
  <c r="A286" i="13" s="1"/>
  <c r="D285" i="13" a="1"/>
  <c r="D285" i="13" s="1"/>
  <c r="B284" i="13" a="1"/>
  <c r="B284" i="13" s="1"/>
  <c r="E283" i="13" a="1"/>
  <c r="E283" i="13" s="1"/>
  <c r="H279" i="13" a="1"/>
  <c r="H279" i="13" s="1"/>
  <c r="C279" i="13"/>
  <c r="A278" i="13" a="1"/>
  <c r="A278" i="13" s="1"/>
  <c r="D277" i="13" a="1"/>
  <c r="D277" i="13" s="1"/>
  <c r="B276" i="13" a="1"/>
  <c r="B276" i="13" s="1"/>
  <c r="E275" i="13" a="1"/>
  <c r="E275" i="13" s="1"/>
  <c r="H271" i="13" a="1"/>
  <c r="H271" i="13" s="1"/>
  <c r="C271" i="13"/>
  <c r="A270" i="13" a="1"/>
  <c r="A270" i="13" s="1"/>
  <c r="D269" i="13" a="1"/>
  <c r="D269" i="13" s="1"/>
  <c r="B268" i="13" a="1"/>
  <c r="B268" i="13" s="1"/>
  <c r="E267" i="13" a="1"/>
  <c r="E267" i="13" s="1"/>
  <c r="H263" i="13" a="1"/>
  <c r="H263" i="13" s="1"/>
  <c r="C263" i="13"/>
  <c r="H336" i="13" a="1"/>
  <c r="H336" i="13" s="1"/>
  <c r="D329" i="13" a="1"/>
  <c r="D329" i="13" s="1"/>
  <c r="H320" i="13" a="1"/>
  <c r="H320" i="13" s="1"/>
  <c r="E314" i="13" a="1"/>
  <c r="E314" i="13" s="1"/>
  <c r="A311" i="13" a="1"/>
  <c r="A311" i="13" s="1"/>
  <c r="H307" i="13" a="1"/>
  <c r="H307" i="13" s="1"/>
  <c r="H304" i="13" a="1"/>
  <c r="H304" i="13" s="1"/>
  <c r="B300" i="13" a="1"/>
  <c r="B300" i="13" s="1"/>
  <c r="H298" i="13" a="1"/>
  <c r="H298" i="13" s="1"/>
  <c r="C298" i="13"/>
  <c r="A297" i="13" a="1"/>
  <c r="A297" i="13" s="1"/>
  <c r="D296" i="13" a="1"/>
  <c r="D296" i="13" s="1"/>
  <c r="B295" i="13" a="1"/>
  <c r="B295" i="13" s="1"/>
  <c r="E294" i="13" a="1"/>
  <c r="E294" i="13" s="1"/>
  <c r="H290" i="13" a="1"/>
  <c r="H290" i="13" s="1"/>
  <c r="C290" i="13"/>
  <c r="A289" i="13" a="1"/>
  <c r="A289" i="13" s="1"/>
  <c r="D288" i="13" a="1"/>
  <c r="D288" i="13" s="1"/>
  <c r="B287" i="13" a="1"/>
  <c r="B287" i="13" s="1"/>
  <c r="E286" i="13" a="1"/>
  <c r="E286" i="13" s="1"/>
  <c r="H282" i="13" a="1"/>
  <c r="H282" i="13" s="1"/>
  <c r="C282" i="13"/>
  <c r="A281" i="13" a="1"/>
  <c r="A281" i="13" s="1"/>
  <c r="D280" i="13" a="1"/>
  <c r="D280" i="13" s="1"/>
  <c r="B279" i="13" a="1"/>
  <c r="B279" i="13" s="1"/>
  <c r="E278" i="13" a="1"/>
  <c r="E278" i="13" s="1"/>
  <c r="H274" i="13" a="1"/>
  <c r="H274" i="13" s="1"/>
  <c r="C274" i="13"/>
  <c r="A273" i="13" a="1"/>
  <c r="A273" i="13" s="1"/>
  <c r="D272" i="13" a="1"/>
  <c r="D272" i="13" s="1"/>
  <c r="B271" i="13" a="1"/>
  <c r="B271" i="13" s="1"/>
  <c r="E270" i="13" a="1"/>
  <c r="E270" i="13" s="1"/>
  <c r="H266" i="13" a="1"/>
  <c r="H266" i="13" s="1"/>
  <c r="C266" i="13"/>
  <c r="A265" i="13" a="1"/>
  <c r="A265" i="13" s="1"/>
  <c r="D264" i="13" a="1"/>
  <c r="D264" i="13" s="1"/>
  <c r="B263" i="13" a="1"/>
  <c r="B263" i="13" s="1"/>
  <c r="B356" i="13" a="1"/>
  <c r="B356" i="13" s="1"/>
  <c r="C336" i="13"/>
  <c r="H328" i="13" a="1"/>
  <c r="H328" i="13" s="1"/>
  <c r="D326" i="13" a="1"/>
  <c r="D326" i="13" s="1"/>
  <c r="E322" i="13" a="1"/>
  <c r="E322" i="13" s="1"/>
  <c r="A319" i="13" a="1"/>
  <c r="A319" i="13" s="1"/>
  <c r="H315" i="13" a="1"/>
  <c r="H315" i="13" s="1"/>
  <c r="B309" i="13" a="1"/>
  <c r="B309" i="13" s="1"/>
  <c r="A306" i="13" a="1"/>
  <c r="A306" i="13" s="1"/>
  <c r="E303" i="13" a="1"/>
  <c r="E303" i="13" s="1"/>
  <c r="D302" i="13" a="1"/>
  <c r="D302" i="13" s="1"/>
  <c r="E301" i="13" a="1"/>
  <c r="E301" i="13" s="1"/>
  <c r="D299" i="13" a="1"/>
  <c r="D299" i="13" s="1"/>
  <c r="B298" i="13" a="1"/>
  <c r="B298" i="13" s="1"/>
  <c r="E297" i="13" a="1"/>
  <c r="E297" i="13" s="1"/>
  <c r="H293" i="13" a="1"/>
  <c r="H293" i="13" s="1"/>
  <c r="C293" i="13"/>
  <c r="A292" i="13" a="1"/>
  <c r="A292" i="13" s="1"/>
  <c r="D291" i="13" a="1"/>
  <c r="D291" i="13" s="1"/>
  <c r="B290" i="13" a="1"/>
  <c r="B290" i="13" s="1"/>
  <c r="E289" i="13" a="1"/>
  <c r="E289" i="13" s="1"/>
  <c r="H285" i="13" a="1"/>
  <c r="H285" i="13" s="1"/>
  <c r="C285" i="13"/>
  <c r="A284" i="13" a="1"/>
  <c r="A284" i="13" s="1"/>
  <c r="D283" i="13" a="1"/>
  <c r="D283" i="13" s="1"/>
  <c r="B282" i="13" a="1"/>
  <c r="B282" i="13" s="1"/>
  <c r="E281" i="13" a="1"/>
  <c r="E281" i="13" s="1"/>
  <c r="H277" i="13" a="1"/>
  <c r="H277" i="13" s="1"/>
  <c r="C277" i="13"/>
  <c r="A276" i="13" a="1"/>
  <c r="A276" i="13" s="1"/>
  <c r="D275" i="13" a="1"/>
  <c r="D275" i="13" s="1"/>
  <c r="B274" i="13" a="1"/>
  <c r="B274" i="13" s="1"/>
  <c r="E273" i="13" a="1"/>
  <c r="E273" i="13" s="1"/>
  <c r="H269" i="13" a="1"/>
  <c r="H269" i="13" s="1"/>
  <c r="C269" i="13"/>
  <c r="A268" i="13" a="1"/>
  <c r="A268" i="13" s="1"/>
  <c r="D267" i="13" a="1"/>
  <c r="D267" i="13" s="1"/>
  <c r="B266" i="13" a="1"/>
  <c r="B266" i="13" s="1"/>
  <c r="D341" i="13" a="1"/>
  <c r="D341" i="13" s="1"/>
  <c r="C331" i="13"/>
  <c r="H323" i="13" a="1"/>
  <c r="H323" i="13" s="1"/>
  <c r="B317" i="13" a="1"/>
  <c r="B317" i="13" s="1"/>
  <c r="A314" i="13" a="1"/>
  <c r="A314" i="13" s="1"/>
  <c r="C312" i="13"/>
  <c r="H310" i="13" a="1"/>
  <c r="H310" i="13" s="1"/>
  <c r="D301" i="13" a="1"/>
  <c r="D301" i="13" s="1"/>
  <c r="A300" i="13" a="1"/>
  <c r="A300" i="13" s="1"/>
  <c r="H296" i="13" a="1"/>
  <c r="H296" i="13" s="1"/>
  <c r="C296" i="13"/>
  <c r="A295" i="13" a="1"/>
  <c r="A295" i="13" s="1"/>
  <c r="D294" i="13" a="1"/>
  <c r="D294" i="13" s="1"/>
  <c r="B293" i="13" a="1"/>
  <c r="B293" i="13" s="1"/>
  <c r="E292" i="13" a="1"/>
  <c r="E292" i="13" s="1"/>
  <c r="H288" i="13" a="1"/>
  <c r="H288" i="13" s="1"/>
  <c r="C288" i="13"/>
  <c r="A287" i="13" a="1"/>
  <c r="A287" i="13" s="1"/>
  <c r="D286" i="13" a="1"/>
  <c r="D286" i="13" s="1"/>
  <c r="B285" i="13" a="1"/>
  <c r="B285" i="13" s="1"/>
  <c r="E284" i="13" a="1"/>
  <c r="E284" i="13" s="1"/>
  <c r="H280" i="13" a="1"/>
  <c r="H280" i="13" s="1"/>
  <c r="C280" i="13"/>
  <c r="A279" i="13" a="1"/>
  <c r="A279" i="13" s="1"/>
  <c r="D278" i="13" a="1"/>
  <c r="D278" i="13" s="1"/>
  <c r="B277" i="13" a="1"/>
  <c r="B277" i="13" s="1"/>
  <c r="E276" i="13" a="1"/>
  <c r="E276" i="13" s="1"/>
  <c r="H272" i="13" a="1"/>
  <c r="H272" i="13" s="1"/>
  <c r="C272" i="13"/>
  <c r="A271" i="13" a="1"/>
  <c r="A271" i="13" s="1"/>
  <c r="D270" i="13" a="1"/>
  <c r="D270" i="13" s="1"/>
  <c r="B269" i="13" a="1"/>
  <c r="B269" i="13" s="1"/>
  <c r="E268" i="13" a="1"/>
  <c r="E268" i="13" s="1"/>
  <c r="H264" i="13" a="1"/>
  <c r="H264" i="13" s="1"/>
  <c r="C264" i="13"/>
  <c r="A263" i="13" a="1"/>
  <c r="A263" i="13" s="1"/>
  <c r="C351" i="13"/>
  <c r="D340" i="13" a="1"/>
  <c r="D340" i="13" s="1"/>
  <c r="A335" i="13" a="1"/>
  <c r="A335" i="13" s="1"/>
  <c r="C328" i="13"/>
  <c r="A322" i="13" a="1"/>
  <c r="A322" i="13" s="1"/>
  <c r="C320" i="13"/>
  <c r="H318" i="13" a="1"/>
  <c r="H318" i="13" s="1"/>
  <c r="B312" i="13" a="1"/>
  <c r="B312" i="13" s="1"/>
  <c r="D310" i="13" a="1"/>
  <c r="D310" i="13" s="1"/>
  <c r="A309" i="13" a="1"/>
  <c r="A309" i="13" s="1"/>
  <c r="C307" i="13"/>
  <c r="E305" i="13" a="1"/>
  <c r="E305" i="13" s="1"/>
  <c r="C302" i="13"/>
  <c r="C299" i="13"/>
  <c r="A298" i="13" a="1"/>
  <c r="A298" i="13" s="1"/>
  <c r="D297" i="13" a="1"/>
  <c r="D297" i="13" s="1"/>
  <c r="B296" i="13" a="1"/>
  <c r="B296" i="13" s="1"/>
  <c r="E295" i="13" a="1"/>
  <c r="E295" i="13" s="1"/>
  <c r="H291" i="13" a="1"/>
  <c r="H291" i="13" s="1"/>
  <c r="C291" i="13"/>
  <c r="A290" i="13" a="1"/>
  <c r="A290" i="13" s="1"/>
  <c r="D289" i="13" a="1"/>
  <c r="D289" i="13" s="1"/>
  <c r="B288" i="13" a="1"/>
  <c r="B288" i="13" s="1"/>
  <c r="E287" i="13" a="1"/>
  <c r="E287" i="13" s="1"/>
  <c r="H283" i="13" a="1"/>
  <c r="H283" i="13" s="1"/>
  <c r="C283" i="13"/>
  <c r="A282" i="13" a="1"/>
  <c r="A282" i="13" s="1"/>
  <c r="D281" i="13" a="1"/>
  <c r="D281" i="13" s="1"/>
  <c r="B280" i="13" a="1"/>
  <c r="B280" i="13" s="1"/>
  <c r="E279" i="13" a="1"/>
  <c r="E279" i="13" s="1"/>
  <c r="H275" i="13" a="1"/>
  <c r="H275" i="13" s="1"/>
  <c r="C275" i="13"/>
  <c r="A274" i="13" a="1"/>
  <c r="A274" i="13" s="1"/>
  <c r="D273" i="13" a="1"/>
  <c r="D273" i="13" s="1"/>
  <c r="B272" i="13" a="1"/>
  <c r="B272" i="13" s="1"/>
  <c r="E271" i="13" a="1"/>
  <c r="E271" i="13" s="1"/>
  <c r="H267" i="13" a="1"/>
  <c r="H267" i="13" s="1"/>
  <c r="C267" i="13"/>
  <c r="A266" i="13" a="1"/>
  <c r="A266" i="13" s="1"/>
  <c r="D265" i="13" a="1"/>
  <c r="D265" i="13" s="1"/>
  <c r="D349" i="13" a="1"/>
  <c r="D349" i="13" s="1"/>
  <c r="E339" i="13" a="1"/>
  <c r="E339" i="13" s="1"/>
  <c r="D334" i="13" a="1"/>
  <c r="D334" i="13" s="1"/>
  <c r="B328" i="13" a="1"/>
  <c r="B328" i="13" s="1"/>
  <c r="B320" i="13" a="1"/>
  <c r="B320" i="13" s="1"/>
  <c r="D318" i="13" a="1"/>
  <c r="D318" i="13" s="1"/>
  <c r="A317" i="13" a="1"/>
  <c r="A317" i="13" s="1"/>
  <c r="C315" i="13"/>
  <c r="E308" i="13" a="1"/>
  <c r="E308" i="13" s="1"/>
  <c r="B307" i="13" a="1"/>
  <c r="B307" i="13" s="1"/>
  <c r="C304" i="13"/>
  <c r="A303" i="13" a="1"/>
  <c r="A303" i="13" s="1"/>
  <c r="C301" i="13"/>
  <c r="E300" i="13" a="1"/>
  <c r="E300" i="13" s="1"/>
  <c r="H299" i="13" a="1"/>
  <c r="H299" i="13" s="1"/>
  <c r="B299" i="13" a="1"/>
  <c r="B299" i="13" s="1"/>
  <c r="E298" i="13" a="1"/>
  <c r="E298" i="13" s="1"/>
  <c r="H294" i="13" a="1"/>
  <c r="H294" i="13" s="1"/>
  <c r="C294" i="13"/>
  <c r="A293" i="13" a="1"/>
  <c r="A293" i="13" s="1"/>
  <c r="D292" i="13" a="1"/>
  <c r="D292" i="13" s="1"/>
  <c r="B291" i="13" a="1"/>
  <c r="B291" i="13" s="1"/>
  <c r="E290" i="13" a="1"/>
  <c r="E290" i="13" s="1"/>
  <c r="H286" i="13" a="1"/>
  <c r="H286" i="13" s="1"/>
  <c r="C286" i="13"/>
  <c r="A285" i="13" a="1"/>
  <c r="A285" i="13" s="1"/>
  <c r="D284" i="13" a="1"/>
  <c r="D284" i="13" s="1"/>
  <c r="B283" i="13" a="1"/>
  <c r="B283" i="13" s="1"/>
  <c r="E282" i="13" a="1"/>
  <c r="E282" i="13" s="1"/>
  <c r="H278" i="13" a="1"/>
  <c r="H278" i="13" s="1"/>
  <c r="C278" i="13"/>
  <c r="A277" i="13" a="1"/>
  <c r="A277" i="13" s="1"/>
  <c r="D276" i="13" a="1"/>
  <c r="D276" i="13" s="1"/>
  <c r="B275" i="13" a="1"/>
  <c r="B275" i="13" s="1"/>
  <c r="E274" i="13" a="1"/>
  <c r="E274" i="13" s="1"/>
  <c r="H270" i="13" a="1"/>
  <c r="H270" i="13" s="1"/>
  <c r="C270" i="13"/>
  <c r="A269" i="13" a="1"/>
  <c r="A269" i="13" s="1"/>
  <c r="D268" i="13" a="1"/>
  <c r="D268" i="13" s="1"/>
  <c r="B325" i="13" a="1"/>
  <c r="B325" i="13" s="1"/>
  <c r="C323" i="13"/>
  <c r="E316" i="13" a="1"/>
  <c r="E316" i="13" s="1"/>
  <c r="B315" i="13" a="1"/>
  <c r="B315" i="13" s="1"/>
  <c r="D313" i="13" a="1"/>
  <c r="D313" i="13" s="1"/>
  <c r="C310" i="13"/>
  <c r="D305" i="13" a="1"/>
  <c r="D305" i="13" s="1"/>
  <c r="B304" i="13" a="1"/>
  <c r="B304" i="13" s="1"/>
  <c r="H301" i="13" a="1"/>
  <c r="H301" i="13" s="1"/>
  <c r="B301" i="13" a="1"/>
  <c r="B301" i="13" s="1"/>
  <c r="H297" i="13" a="1"/>
  <c r="H297" i="13" s="1"/>
  <c r="C297" i="13"/>
  <c r="A296" i="13" a="1"/>
  <c r="A296" i="13" s="1"/>
  <c r="D295" i="13" a="1"/>
  <c r="D295" i="13" s="1"/>
  <c r="B294" i="13" a="1"/>
  <c r="B294" i="13" s="1"/>
  <c r="E293" i="13" a="1"/>
  <c r="E293" i="13" s="1"/>
  <c r="H289" i="13" a="1"/>
  <c r="H289" i="13" s="1"/>
  <c r="C289" i="13"/>
  <c r="A288" i="13" a="1"/>
  <c r="A288" i="13" s="1"/>
  <c r="D287" i="13" a="1"/>
  <c r="D287" i="13" s="1"/>
  <c r="B286" i="13" a="1"/>
  <c r="B286" i="13" s="1"/>
  <c r="E285" i="13" a="1"/>
  <c r="E285" i="13" s="1"/>
  <c r="H281" i="13" a="1"/>
  <c r="H281" i="13" s="1"/>
  <c r="C281" i="13"/>
  <c r="A280" i="13" a="1"/>
  <c r="A280" i="13" s="1"/>
  <c r="D279" i="13" a="1"/>
  <c r="D279" i="13" s="1"/>
  <c r="B278" i="13" a="1"/>
  <c r="B278" i="13" s="1"/>
  <c r="E277" i="13" a="1"/>
  <c r="E277" i="13" s="1"/>
  <c r="H273" i="13" a="1"/>
  <c r="H273" i="13" s="1"/>
  <c r="C273" i="13"/>
  <c r="A272" i="13" a="1"/>
  <c r="A272" i="13" s="1"/>
  <c r="D271" i="13" a="1"/>
  <c r="D271" i="13" s="1"/>
  <c r="A264" i="13" a="1"/>
  <c r="A264" i="13" s="1"/>
  <c r="C262" i="13"/>
  <c r="A261" i="13" a="1"/>
  <c r="A261" i="13" s="1"/>
  <c r="D260" i="13" a="1"/>
  <c r="D260" i="13" s="1"/>
  <c r="B259" i="13" a="1"/>
  <c r="B259" i="13" s="1"/>
  <c r="E258" i="13" a="1"/>
  <c r="E258" i="13" s="1"/>
  <c r="H254" i="13" a="1"/>
  <c r="H254" i="13" s="1"/>
  <c r="C254" i="13"/>
  <c r="A253" i="13" a="1"/>
  <c r="A253" i="13" s="1"/>
  <c r="D252" i="13" a="1"/>
  <c r="D252" i="13" s="1"/>
  <c r="B251" i="13" a="1"/>
  <c r="B251" i="13" s="1"/>
  <c r="E250" i="13" a="1"/>
  <c r="E250" i="13" s="1"/>
  <c r="H246" i="13" a="1"/>
  <c r="H246" i="13" s="1"/>
  <c r="C246" i="13"/>
  <c r="A245" i="13" a="1"/>
  <c r="A245" i="13" s="1"/>
  <c r="D244" i="13" a="1"/>
  <c r="D244" i="13" s="1"/>
  <c r="B243" i="13" a="1"/>
  <c r="B243" i="13" s="1"/>
  <c r="E242" i="13" a="1"/>
  <c r="E242" i="13" s="1"/>
  <c r="H238" i="13" a="1"/>
  <c r="H238" i="13" s="1"/>
  <c r="C238" i="13"/>
  <c r="A237" i="13" a="1"/>
  <c r="A237" i="13" s="1"/>
  <c r="D236" i="13" a="1"/>
  <c r="D236" i="13" s="1"/>
  <c r="B235" i="13" a="1"/>
  <c r="B235" i="13" s="1"/>
  <c r="E234" i="13" a="1"/>
  <c r="E234" i="13" s="1"/>
  <c r="H230" i="13" a="1"/>
  <c r="H230" i="13" s="1"/>
  <c r="C230" i="13"/>
  <c r="A229" i="13" a="1"/>
  <c r="A229" i="13" s="1"/>
  <c r="D228" i="13" a="1"/>
  <c r="D228" i="13" s="1"/>
  <c r="B227" i="13" a="1"/>
  <c r="B227" i="13" s="1"/>
  <c r="E226" i="13" a="1"/>
  <c r="E226" i="13" s="1"/>
  <c r="H222" i="13" a="1"/>
  <c r="H222" i="13" s="1"/>
  <c r="C222" i="13"/>
  <c r="A221" i="13" a="1"/>
  <c r="A221" i="13" s="1"/>
  <c r="D220" i="13" a="1"/>
  <c r="D220" i="13" s="1"/>
  <c r="B219" i="13" a="1"/>
  <c r="B219" i="13" s="1"/>
  <c r="E218" i="13" a="1"/>
  <c r="E218" i="13" s="1"/>
  <c r="H214" i="13" a="1"/>
  <c r="H214" i="13" s="1"/>
  <c r="C214" i="13"/>
  <c r="B270" i="13" a="1"/>
  <c r="B270" i="13" s="1"/>
  <c r="E266" i="13" a="1"/>
  <c r="E266" i="13" s="1"/>
  <c r="H262" i="13" a="1"/>
  <c r="H262" i="13" s="1"/>
  <c r="B262" i="13" a="1"/>
  <c r="B262" i="13" s="1"/>
  <c r="E261" i="13" a="1"/>
  <c r="E261" i="13" s="1"/>
  <c r="H257" i="13" a="1"/>
  <c r="H257" i="13" s="1"/>
  <c r="C257" i="13"/>
  <c r="A256" i="13" a="1"/>
  <c r="A256" i="13" s="1"/>
  <c r="D255" i="13" a="1"/>
  <c r="D255" i="13" s="1"/>
  <c r="B254" i="13" a="1"/>
  <c r="B254" i="13" s="1"/>
  <c r="E253" i="13" a="1"/>
  <c r="E253" i="13" s="1"/>
  <c r="H249" i="13" a="1"/>
  <c r="H249" i="13" s="1"/>
  <c r="C249" i="13"/>
  <c r="A248" i="13" a="1"/>
  <c r="A248" i="13" s="1"/>
  <c r="D247" i="13" a="1"/>
  <c r="D247" i="13" s="1"/>
  <c r="B246" i="13" a="1"/>
  <c r="B246" i="13" s="1"/>
  <c r="E245" i="13" a="1"/>
  <c r="E245" i="13" s="1"/>
  <c r="H241" i="13" a="1"/>
  <c r="H241" i="13" s="1"/>
  <c r="C241" i="13"/>
  <c r="A240" i="13" a="1"/>
  <c r="A240" i="13" s="1"/>
  <c r="D239" i="13" a="1"/>
  <c r="D239" i="13" s="1"/>
  <c r="B238" i="13" a="1"/>
  <c r="B238" i="13" s="1"/>
  <c r="E237" i="13" a="1"/>
  <c r="E237" i="13" s="1"/>
  <c r="H233" i="13" a="1"/>
  <c r="H233" i="13" s="1"/>
  <c r="C233" i="13"/>
  <c r="A232" i="13" a="1"/>
  <c r="A232" i="13" s="1"/>
  <c r="D231" i="13" a="1"/>
  <c r="D231" i="13" s="1"/>
  <c r="B230" i="13" a="1"/>
  <c r="B230" i="13" s="1"/>
  <c r="E229" i="13" a="1"/>
  <c r="E229" i="13" s="1"/>
  <c r="H225" i="13" a="1"/>
  <c r="H225" i="13" s="1"/>
  <c r="C225" i="13"/>
  <c r="A224" i="13" a="1"/>
  <c r="A224" i="13" s="1"/>
  <c r="D223" i="13" a="1"/>
  <c r="D223" i="13" s="1"/>
  <c r="B222" i="13" a="1"/>
  <c r="B222" i="13" s="1"/>
  <c r="E221" i="13" a="1"/>
  <c r="E221" i="13" s="1"/>
  <c r="E269" i="13" a="1"/>
  <c r="E269" i="13" s="1"/>
  <c r="H260" i="13" a="1"/>
  <c r="H260" i="13" s="1"/>
  <c r="C260" i="13"/>
  <c r="A259" i="13" a="1"/>
  <c r="A259" i="13" s="1"/>
  <c r="D258" i="13" a="1"/>
  <c r="D258" i="13" s="1"/>
  <c r="B257" i="13" a="1"/>
  <c r="B257" i="13" s="1"/>
  <c r="E256" i="13" a="1"/>
  <c r="E256" i="13" s="1"/>
  <c r="H252" i="13" a="1"/>
  <c r="H252" i="13" s="1"/>
  <c r="C252" i="13"/>
  <c r="A251" i="13" a="1"/>
  <c r="A251" i="13" s="1"/>
  <c r="D250" i="13" a="1"/>
  <c r="D250" i="13" s="1"/>
  <c r="B249" i="13" a="1"/>
  <c r="B249" i="13" s="1"/>
  <c r="E248" i="13" a="1"/>
  <c r="E248" i="13" s="1"/>
  <c r="H244" i="13" a="1"/>
  <c r="H244" i="13" s="1"/>
  <c r="C244" i="13"/>
  <c r="A243" i="13" a="1"/>
  <c r="A243" i="13" s="1"/>
  <c r="D242" i="13" a="1"/>
  <c r="D242" i="13" s="1"/>
  <c r="B241" i="13" a="1"/>
  <c r="B241" i="13" s="1"/>
  <c r="E240" i="13" a="1"/>
  <c r="E240" i="13" s="1"/>
  <c r="H236" i="13" a="1"/>
  <c r="H236" i="13" s="1"/>
  <c r="C236" i="13"/>
  <c r="A235" i="13" a="1"/>
  <c r="A235" i="13" s="1"/>
  <c r="D234" i="13" a="1"/>
  <c r="D234" i="13" s="1"/>
  <c r="B233" i="13" a="1"/>
  <c r="B233" i="13" s="1"/>
  <c r="E232" i="13" a="1"/>
  <c r="E232" i="13" s="1"/>
  <c r="H228" i="13" a="1"/>
  <c r="H228" i="13" s="1"/>
  <c r="C228" i="13"/>
  <c r="A227" i="13" a="1"/>
  <c r="A227" i="13" s="1"/>
  <c r="D226" i="13" a="1"/>
  <c r="D226" i="13" s="1"/>
  <c r="B225" i="13" a="1"/>
  <c r="B225" i="13" s="1"/>
  <c r="E224" i="13" a="1"/>
  <c r="E224" i="13" s="1"/>
  <c r="H220" i="13" a="1"/>
  <c r="H220" i="13" s="1"/>
  <c r="C220" i="13"/>
  <c r="A219" i="13" a="1"/>
  <c r="A219" i="13" s="1"/>
  <c r="D218" i="13" a="1"/>
  <c r="D218" i="13" s="1"/>
  <c r="B217" i="13" a="1"/>
  <c r="B217" i="13" s="1"/>
  <c r="E216" i="13" a="1"/>
  <c r="E216" i="13" s="1"/>
  <c r="H212" i="13" a="1"/>
  <c r="H212" i="13" s="1"/>
  <c r="E263" i="13" a="1"/>
  <c r="E263" i="13" s="1"/>
  <c r="A262" i="13" a="1"/>
  <c r="A262" i="13" s="1"/>
  <c r="D261" i="13" a="1"/>
  <c r="D261" i="13" s="1"/>
  <c r="B260" i="13" a="1"/>
  <c r="B260" i="13" s="1"/>
  <c r="E259" i="13" a="1"/>
  <c r="E259" i="13" s="1"/>
  <c r="H255" i="13" a="1"/>
  <c r="H255" i="13" s="1"/>
  <c r="C255" i="13"/>
  <c r="A254" i="13" a="1"/>
  <c r="A254" i="13" s="1"/>
  <c r="D253" i="13" a="1"/>
  <c r="D253" i="13" s="1"/>
  <c r="B252" i="13" a="1"/>
  <c r="B252" i="13" s="1"/>
  <c r="E251" i="13" a="1"/>
  <c r="E251" i="13" s="1"/>
  <c r="H247" i="13" a="1"/>
  <c r="H247" i="13" s="1"/>
  <c r="C247" i="13"/>
  <c r="A246" i="13" a="1"/>
  <c r="A246" i="13" s="1"/>
  <c r="D245" i="13" a="1"/>
  <c r="D245" i="13" s="1"/>
  <c r="B244" i="13" a="1"/>
  <c r="B244" i="13" s="1"/>
  <c r="E243" i="13" a="1"/>
  <c r="E243" i="13" s="1"/>
  <c r="H239" i="13" a="1"/>
  <c r="H239" i="13" s="1"/>
  <c r="C239" i="13"/>
  <c r="A238" i="13" a="1"/>
  <c r="A238" i="13" s="1"/>
  <c r="D237" i="13" a="1"/>
  <c r="D237" i="13" s="1"/>
  <c r="B236" i="13" a="1"/>
  <c r="B236" i="13" s="1"/>
  <c r="E235" i="13" a="1"/>
  <c r="E235" i="13" s="1"/>
  <c r="H231" i="13" a="1"/>
  <c r="H231" i="13" s="1"/>
  <c r="C231" i="13"/>
  <c r="A230" i="13" a="1"/>
  <c r="A230" i="13" s="1"/>
  <c r="D229" i="13" a="1"/>
  <c r="D229" i="13" s="1"/>
  <c r="B228" i="13" a="1"/>
  <c r="B228" i="13" s="1"/>
  <c r="E227" i="13" a="1"/>
  <c r="E227" i="13" s="1"/>
  <c r="H223" i="13" a="1"/>
  <c r="H223" i="13" s="1"/>
  <c r="C223" i="13"/>
  <c r="A222" i="13" a="1"/>
  <c r="A222" i="13" s="1"/>
  <c r="D221" i="13" a="1"/>
  <c r="D221" i="13" s="1"/>
  <c r="B220" i="13" a="1"/>
  <c r="B220" i="13" s="1"/>
  <c r="E219" i="13" a="1"/>
  <c r="E219" i="13" s="1"/>
  <c r="H215" i="13" a="1"/>
  <c r="H215" i="13" s="1"/>
  <c r="C215" i="13"/>
  <c r="A214" i="13" a="1"/>
  <c r="A214" i="13" s="1"/>
  <c r="H265" i="13" a="1"/>
  <c r="H265" i="13" s="1"/>
  <c r="E264" i="13" a="1"/>
  <c r="E264" i="13" s="1"/>
  <c r="E262" i="13" a="1"/>
  <c r="E262" i="13" s="1"/>
  <c r="H258" i="13" a="1"/>
  <c r="H258" i="13" s="1"/>
  <c r="C258" i="13"/>
  <c r="A257" i="13" a="1"/>
  <c r="A257" i="13" s="1"/>
  <c r="D256" i="13" a="1"/>
  <c r="D256" i="13" s="1"/>
  <c r="B255" i="13" a="1"/>
  <c r="B255" i="13" s="1"/>
  <c r="E254" i="13" a="1"/>
  <c r="E254" i="13" s="1"/>
  <c r="H250" i="13" a="1"/>
  <c r="H250" i="13" s="1"/>
  <c r="C250" i="13"/>
  <c r="A249" i="13" a="1"/>
  <c r="A249" i="13" s="1"/>
  <c r="D248" i="13" a="1"/>
  <c r="D248" i="13" s="1"/>
  <c r="B247" i="13" a="1"/>
  <c r="B247" i="13" s="1"/>
  <c r="E246" i="13" a="1"/>
  <c r="E246" i="13" s="1"/>
  <c r="H242" i="13" a="1"/>
  <c r="H242" i="13" s="1"/>
  <c r="C242" i="13"/>
  <c r="A241" i="13" a="1"/>
  <c r="A241" i="13" s="1"/>
  <c r="D240" i="13" a="1"/>
  <c r="D240" i="13" s="1"/>
  <c r="B239" i="13" a="1"/>
  <c r="B239" i="13" s="1"/>
  <c r="E238" i="13" a="1"/>
  <c r="E238" i="13" s="1"/>
  <c r="H234" i="13" a="1"/>
  <c r="H234" i="13" s="1"/>
  <c r="C234" i="13"/>
  <c r="A233" i="13" a="1"/>
  <c r="A233" i="13" s="1"/>
  <c r="D232" i="13" a="1"/>
  <c r="D232" i="13" s="1"/>
  <c r="B231" i="13" a="1"/>
  <c r="B231" i="13" s="1"/>
  <c r="E230" i="13" a="1"/>
  <c r="E230" i="13" s="1"/>
  <c r="H226" i="13" a="1"/>
  <c r="H226" i="13" s="1"/>
  <c r="C226" i="13"/>
  <c r="A225" i="13" a="1"/>
  <c r="A225" i="13" s="1"/>
  <c r="D224" i="13" a="1"/>
  <c r="D224" i="13" s="1"/>
  <c r="B223" i="13" a="1"/>
  <c r="B223" i="13" s="1"/>
  <c r="E222" i="13" a="1"/>
  <c r="E222" i="13" s="1"/>
  <c r="H218" i="13" a="1"/>
  <c r="H218" i="13" s="1"/>
  <c r="C218" i="13"/>
  <c r="A217" i="13" a="1"/>
  <c r="A217" i="13" s="1"/>
  <c r="D216" i="13" a="1"/>
  <c r="D216" i="13" s="1"/>
  <c r="E265" i="13" a="1"/>
  <c r="E265" i="13" s="1"/>
  <c r="D263" i="13" a="1"/>
  <c r="D263" i="13" s="1"/>
  <c r="H261" i="13" a="1"/>
  <c r="H261" i="13" s="1"/>
  <c r="C261" i="13"/>
  <c r="A260" i="13" a="1"/>
  <c r="A260" i="13" s="1"/>
  <c r="D259" i="13" a="1"/>
  <c r="D259" i="13" s="1"/>
  <c r="B258" i="13" a="1"/>
  <c r="B258" i="13" s="1"/>
  <c r="E257" i="13" a="1"/>
  <c r="E257" i="13" s="1"/>
  <c r="H253" i="13" a="1"/>
  <c r="H253" i="13" s="1"/>
  <c r="C253" i="13"/>
  <c r="A252" i="13" a="1"/>
  <c r="A252" i="13" s="1"/>
  <c r="D251" i="13" a="1"/>
  <c r="D251" i="13" s="1"/>
  <c r="B250" i="13" a="1"/>
  <c r="B250" i="13" s="1"/>
  <c r="E249" i="13" a="1"/>
  <c r="E249" i="13" s="1"/>
  <c r="H245" i="13" a="1"/>
  <c r="H245" i="13" s="1"/>
  <c r="C245" i="13"/>
  <c r="A244" i="13" a="1"/>
  <c r="A244" i="13" s="1"/>
  <c r="D243" i="13" a="1"/>
  <c r="D243" i="13" s="1"/>
  <c r="B242" i="13" a="1"/>
  <c r="B242" i="13" s="1"/>
  <c r="E241" i="13" a="1"/>
  <c r="E241" i="13" s="1"/>
  <c r="H237" i="13" a="1"/>
  <c r="H237" i="13" s="1"/>
  <c r="C237" i="13"/>
  <c r="A236" i="13" a="1"/>
  <c r="A236" i="13" s="1"/>
  <c r="D235" i="13" a="1"/>
  <c r="D235" i="13" s="1"/>
  <c r="B234" i="13" a="1"/>
  <c r="B234" i="13" s="1"/>
  <c r="E233" i="13" a="1"/>
  <c r="E233" i="13" s="1"/>
  <c r="H229" i="13" a="1"/>
  <c r="H229" i="13" s="1"/>
  <c r="C229" i="13"/>
  <c r="A228" i="13" a="1"/>
  <c r="A228" i="13" s="1"/>
  <c r="D227" i="13" a="1"/>
  <c r="D227" i="13" s="1"/>
  <c r="B226" i="13" a="1"/>
  <c r="B226" i="13" s="1"/>
  <c r="E225" i="13" a="1"/>
  <c r="E225" i="13" s="1"/>
  <c r="H221" i="13" a="1"/>
  <c r="H221" i="13" s="1"/>
  <c r="C221" i="13"/>
  <c r="A220" i="13" a="1"/>
  <c r="A220" i="13" s="1"/>
  <c r="D219" i="13" a="1"/>
  <c r="D219" i="13" s="1"/>
  <c r="B218" i="13" a="1"/>
  <c r="B218" i="13" s="1"/>
  <c r="E217" i="13" a="1"/>
  <c r="E217" i="13" s="1"/>
  <c r="B267" i="13" a="1"/>
  <c r="B267" i="13" s="1"/>
  <c r="C265" i="13"/>
  <c r="H259" i="13" a="1"/>
  <c r="H259" i="13" s="1"/>
  <c r="C259" i="13"/>
  <c r="A258" i="13" a="1"/>
  <c r="A258" i="13" s="1"/>
  <c r="D257" i="13" a="1"/>
  <c r="D257" i="13" s="1"/>
  <c r="B256" i="13" a="1"/>
  <c r="B256" i="13" s="1"/>
  <c r="E255" i="13" a="1"/>
  <c r="E255" i="13" s="1"/>
  <c r="H251" i="13" a="1"/>
  <c r="H251" i="13" s="1"/>
  <c r="C251" i="13"/>
  <c r="A250" i="13" a="1"/>
  <c r="A250" i="13" s="1"/>
  <c r="D249" i="13" a="1"/>
  <c r="D249" i="13" s="1"/>
  <c r="B248" i="13" a="1"/>
  <c r="B248" i="13" s="1"/>
  <c r="E247" i="13" a="1"/>
  <c r="E247" i="13" s="1"/>
  <c r="H243" i="13" a="1"/>
  <c r="H243" i="13" s="1"/>
  <c r="C243" i="13"/>
  <c r="A242" i="13" a="1"/>
  <c r="A242" i="13" s="1"/>
  <c r="D241" i="13" a="1"/>
  <c r="D241" i="13" s="1"/>
  <c r="B240" i="13" a="1"/>
  <c r="B240" i="13" s="1"/>
  <c r="E239" i="13" a="1"/>
  <c r="E239" i="13" s="1"/>
  <c r="H235" i="13" a="1"/>
  <c r="H235" i="13" s="1"/>
  <c r="C235" i="13"/>
  <c r="A234" i="13" a="1"/>
  <c r="A234" i="13" s="1"/>
  <c r="D233" i="13" a="1"/>
  <c r="D233" i="13" s="1"/>
  <c r="B232" i="13" a="1"/>
  <c r="B232" i="13" s="1"/>
  <c r="E231" i="13" a="1"/>
  <c r="E231" i="13" s="1"/>
  <c r="H227" i="13" a="1"/>
  <c r="H227" i="13" s="1"/>
  <c r="C227" i="13"/>
  <c r="A226" i="13" a="1"/>
  <c r="A226" i="13" s="1"/>
  <c r="D225" i="13" a="1"/>
  <c r="D225" i="13" s="1"/>
  <c r="B224" i="13" a="1"/>
  <c r="B224" i="13" s="1"/>
  <c r="E223" i="13" a="1"/>
  <c r="E223" i="13" s="1"/>
  <c r="H219" i="13" a="1"/>
  <c r="H219" i="13" s="1"/>
  <c r="A255" i="13" a="1"/>
  <c r="A255" i="13" s="1"/>
  <c r="B245" i="13" a="1"/>
  <c r="B245" i="13" s="1"/>
  <c r="C240" i="13"/>
  <c r="D230" i="13" a="1"/>
  <c r="D230" i="13" s="1"/>
  <c r="C217" i="13"/>
  <c r="A216" i="13" a="1"/>
  <c r="A216" i="13" s="1"/>
  <c r="A215" i="13" a="1"/>
  <c r="A215" i="13" s="1"/>
  <c r="B213" i="13" a="1"/>
  <c r="B213" i="13" s="1"/>
  <c r="H211" i="13" a="1"/>
  <c r="H211" i="13" s="1"/>
  <c r="C211" i="13"/>
  <c r="A210" i="13" a="1"/>
  <c r="A210" i="13" s="1"/>
  <c r="D209" i="13" a="1"/>
  <c r="D209" i="13" s="1"/>
  <c r="B208" i="13" a="1"/>
  <c r="B208" i="13" s="1"/>
  <c r="E207" i="13" a="1"/>
  <c r="E207" i="13" s="1"/>
  <c r="H203" i="13" a="1"/>
  <c r="H203" i="13" s="1"/>
  <c r="C203" i="13"/>
  <c r="A202" i="13" a="1"/>
  <c r="A202" i="13" s="1"/>
  <c r="D201" i="13" a="1"/>
  <c r="D201" i="13" s="1"/>
  <c r="B200" i="13" a="1"/>
  <c r="B200" i="13" s="1"/>
  <c r="E199" i="13" a="1"/>
  <c r="E199" i="13" s="1"/>
  <c r="H195" i="13" a="1"/>
  <c r="H195" i="13" s="1"/>
  <c r="C195" i="13"/>
  <c r="A194" i="13" a="1"/>
  <c r="A194" i="13" s="1"/>
  <c r="D193" i="13" a="1"/>
  <c r="D193" i="13" s="1"/>
  <c r="B192" i="13" a="1"/>
  <c r="B192" i="13" s="1"/>
  <c r="E191" i="13" a="1"/>
  <c r="E191" i="13" s="1"/>
  <c r="H187" i="13" a="1"/>
  <c r="H187" i="13" s="1"/>
  <c r="C187" i="13"/>
  <c r="A186" i="13" a="1"/>
  <c r="A186" i="13" s="1"/>
  <c r="D185" i="13" a="1"/>
  <c r="D185" i="13" s="1"/>
  <c r="B184" i="13" a="1"/>
  <c r="B184" i="13" s="1"/>
  <c r="E183" i="13" a="1"/>
  <c r="E183" i="13" s="1"/>
  <c r="H179" i="13" a="1"/>
  <c r="H179" i="13" s="1"/>
  <c r="C179" i="13"/>
  <c r="A178" i="13" a="1"/>
  <c r="A178" i="13" s="1"/>
  <c r="D177" i="13" a="1"/>
  <c r="D177" i="13" s="1"/>
  <c r="B176" i="13" a="1"/>
  <c r="B176" i="13" s="1"/>
  <c r="E175" i="13" a="1"/>
  <c r="E175" i="13" s="1"/>
  <c r="H171" i="13" a="1"/>
  <c r="H171" i="13" s="1"/>
  <c r="D254" i="13" a="1"/>
  <c r="D254" i="13" s="1"/>
  <c r="E244" i="13" a="1"/>
  <c r="E244" i="13" s="1"/>
  <c r="H224" i="13" a="1"/>
  <c r="H224" i="13" s="1"/>
  <c r="E220" i="13" a="1"/>
  <c r="E220" i="13" s="1"/>
  <c r="H213" i="13" a="1"/>
  <c r="H213" i="13" s="1"/>
  <c r="D212" i="13" a="1"/>
  <c r="D212" i="13" s="1"/>
  <c r="B211" i="13" a="1"/>
  <c r="B211" i="13" s="1"/>
  <c r="E210" i="13" a="1"/>
  <c r="E210" i="13" s="1"/>
  <c r="H206" i="13" a="1"/>
  <c r="H206" i="13" s="1"/>
  <c r="C206" i="13"/>
  <c r="A205" i="13" a="1"/>
  <c r="A205" i="13" s="1"/>
  <c r="D204" i="13" a="1"/>
  <c r="D204" i="13" s="1"/>
  <c r="B203" i="13" a="1"/>
  <c r="B203" i="13" s="1"/>
  <c r="E202" i="13" a="1"/>
  <c r="E202" i="13" s="1"/>
  <c r="H198" i="13" a="1"/>
  <c r="H198" i="13" s="1"/>
  <c r="C198" i="13"/>
  <c r="A197" i="13" a="1"/>
  <c r="A197" i="13" s="1"/>
  <c r="D196" i="13" a="1"/>
  <c r="D196" i="13" s="1"/>
  <c r="B195" i="13" a="1"/>
  <c r="B195" i="13" s="1"/>
  <c r="E194" i="13" a="1"/>
  <c r="E194" i="13" s="1"/>
  <c r="H190" i="13" a="1"/>
  <c r="H190" i="13" s="1"/>
  <c r="C190" i="13"/>
  <c r="A189" i="13" a="1"/>
  <c r="A189" i="13" s="1"/>
  <c r="D188" i="13" a="1"/>
  <c r="D188" i="13" s="1"/>
  <c r="B187" i="13" a="1"/>
  <c r="B187" i="13" s="1"/>
  <c r="E186" i="13" a="1"/>
  <c r="E186" i="13" s="1"/>
  <c r="H182" i="13" a="1"/>
  <c r="H182" i="13" s="1"/>
  <c r="C182" i="13"/>
  <c r="A181" i="13" a="1"/>
  <c r="A181" i="13" s="1"/>
  <c r="D180" i="13" a="1"/>
  <c r="D180" i="13" s="1"/>
  <c r="B179" i="13" a="1"/>
  <c r="B179" i="13" s="1"/>
  <c r="E178" i="13" a="1"/>
  <c r="E178" i="13" s="1"/>
  <c r="H174" i="13" a="1"/>
  <c r="H174" i="13" s="1"/>
  <c r="C174" i="13"/>
  <c r="A173" i="13" a="1"/>
  <c r="A173" i="13" s="1"/>
  <c r="D172" i="13" a="1"/>
  <c r="D172" i="13" s="1"/>
  <c r="B264" i="13" a="1"/>
  <c r="B264" i="13" s="1"/>
  <c r="H248" i="13" a="1"/>
  <c r="H248" i="13" s="1"/>
  <c r="A239" i="13" a="1"/>
  <c r="A239" i="13" s="1"/>
  <c r="B229" i="13" a="1"/>
  <c r="B229" i="13" s="1"/>
  <c r="C224" i="13"/>
  <c r="H216" i="13" a="1"/>
  <c r="H216" i="13" s="1"/>
  <c r="A213" i="13" a="1"/>
  <c r="A213" i="13" s="1"/>
  <c r="H209" i="13" a="1"/>
  <c r="H209" i="13" s="1"/>
  <c r="C209" i="13"/>
  <c r="A208" i="13" a="1"/>
  <c r="A208" i="13" s="1"/>
  <c r="D207" i="13" a="1"/>
  <c r="D207" i="13" s="1"/>
  <c r="B206" i="13" a="1"/>
  <c r="B206" i="13" s="1"/>
  <c r="E205" i="13" a="1"/>
  <c r="E205" i="13" s="1"/>
  <c r="H201" i="13" a="1"/>
  <c r="H201" i="13" s="1"/>
  <c r="C201" i="13"/>
  <c r="A200" i="13" a="1"/>
  <c r="A200" i="13" s="1"/>
  <c r="D199" i="13" a="1"/>
  <c r="D199" i="13" s="1"/>
  <c r="B198" i="13" a="1"/>
  <c r="B198" i="13" s="1"/>
  <c r="E197" i="13" a="1"/>
  <c r="E197" i="13" s="1"/>
  <c r="H193" i="13" a="1"/>
  <c r="H193" i="13" s="1"/>
  <c r="C193" i="13"/>
  <c r="A192" i="13" a="1"/>
  <c r="A192" i="13" s="1"/>
  <c r="D191" i="13" a="1"/>
  <c r="D191" i="13" s="1"/>
  <c r="B190" i="13" a="1"/>
  <c r="B190" i="13" s="1"/>
  <c r="E189" i="13" a="1"/>
  <c r="E189" i="13" s="1"/>
  <c r="H185" i="13" a="1"/>
  <c r="H185" i="13" s="1"/>
  <c r="C185" i="13"/>
  <c r="A184" i="13" a="1"/>
  <c r="A184" i="13" s="1"/>
  <c r="D183" i="13" a="1"/>
  <c r="D183" i="13" s="1"/>
  <c r="B182" i="13" a="1"/>
  <c r="B182" i="13" s="1"/>
  <c r="E181" i="13" a="1"/>
  <c r="E181" i="13" s="1"/>
  <c r="H177" i="13" a="1"/>
  <c r="H177" i="13" s="1"/>
  <c r="C177" i="13"/>
  <c r="A176" i="13" a="1"/>
  <c r="A176" i="13" s="1"/>
  <c r="D175" i="13" a="1"/>
  <c r="D175" i="13" s="1"/>
  <c r="B174" i="13" a="1"/>
  <c r="B174" i="13" s="1"/>
  <c r="E173" i="13" a="1"/>
  <c r="E173" i="13" s="1"/>
  <c r="B253" i="13" a="1"/>
  <c r="B253" i="13" s="1"/>
  <c r="C248" i="13"/>
  <c r="D238" i="13" a="1"/>
  <c r="D238" i="13" s="1"/>
  <c r="E228" i="13" a="1"/>
  <c r="E228" i="13" s="1"/>
  <c r="E214" i="13" a="1"/>
  <c r="E214" i="13" s="1"/>
  <c r="C212" i="13"/>
  <c r="A211" i="13" a="1"/>
  <c r="A211" i="13" s="1"/>
  <c r="D210" i="13" a="1"/>
  <c r="D210" i="13" s="1"/>
  <c r="B209" i="13" a="1"/>
  <c r="B209" i="13" s="1"/>
  <c r="E208" i="13" a="1"/>
  <c r="E208" i="13" s="1"/>
  <c r="H204" i="13" a="1"/>
  <c r="H204" i="13" s="1"/>
  <c r="C204" i="13"/>
  <c r="A203" i="13" a="1"/>
  <c r="A203" i="13" s="1"/>
  <c r="D202" i="13" a="1"/>
  <c r="D202" i="13" s="1"/>
  <c r="B201" i="13" a="1"/>
  <c r="B201" i="13" s="1"/>
  <c r="E200" i="13" a="1"/>
  <c r="E200" i="13" s="1"/>
  <c r="H196" i="13" a="1"/>
  <c r="H196" i="13" s="1"/>
  <c r="C196" i="13"/>
  <c r="A195" i="13" a="1"/>
  <c r="A195" i="13" s="1"/>
  <c r="D194" i="13" a="1"/>
  <c r="D194" i="13" s="1"/>
  <c r="B193" i="13" a="1"/>
  <c r="B193" i="13" s="1"/>
  <c r="E192" i="13" a="1"/>
  <c r="E192" i="13" s="1"/>
  <c r="H188" i="13" a="1"/>
  <c r="H188" i="13" s="1"/>
  <c r="C188" i="13"/>
  <c r="A187" i="13" a="1"/>
  <c r="A187" i="13" s="1"/>
  <c r="D186" i="13" a="1"/>
  <c r="D186" i="13" s="1"/>
  <c r="B185" i="13" a="1"/>
  <c r="B185" i="13" s="1"/>
  <c r="E184" i="13" a="1"/>
  <c r="E184" i="13" s="1"/>
  <c r="H180" i="13" a="1"/>
  <c r="H180" i="13" s="1"/>
  <c r="C180" i="13"/>
  <c r="A179" i="13" a="1"/>
  <c r="A179" i="13" s="1"/>
  <c r="D178" i="13" a="1"/>
  <c r="D178" i="13" s="1"/>
  <c r="B177" i="13" a="1"/>
  <c r="B177" i="13" s="1"/>
  <c r="E176" i="13" a="1"/>
  <c r="E176" i="13" s="1"/>
  <c r="H172" i="13" a="1"/>
  <c r="H172" i="13" s="1"/>
  <c r="C172" i="13"/>
  <c r="A171" i="13" a="1"/>
  <c r="A171" i="13" s="1"/>
  <c r="D170" i="13" a="1"/>
  <c r="D170" i="13" s="1"/>
  <c r="D262" i="13" a="1"/>
  <c r="D262" i="13" s="1"/>
  <c r="E252" i="13" a="1"/>
  <c r="E252" i="13" s="1"/>
  <c r="H232" i="13" a="1"/>
  <c r="H232" i="13" s="1"/>
  <c r="A223" i="13" a="1"/>
  <c r="A223" i="13" s="1"/>
  <c r="A218" i="13" a="1"/>
  <c r="A218" i="13" s="1"/>
  <c r="E215" i="13" a="1"/>
  <c r="E215" i="13" s="1"/>
  <c r="E213" i="13" a="1"/>
  <c r="E213" i="13" s="1"/>
  <c r="B212" i="13" a="1"/>
  <c r="B212" i="13" s="1"/>
  <c r="E211" i="13" a="1"/>
  <c r="E211" i="13" s="1"/>
  <c r="H207" i="13" a="1"/>
  <c r="H207" i="13" s="1"/>
  <c r="C207" i="13"/>
  <c r="A206" i="13" a="1"/>
  <c r="A206" i="13" s="1"/>
  <c r="D205" i="13" a="1"/>
  <c r="D205" i="13" s="1"/>
  <c r="B204" i="13" a="1"/>
  <c r="B204" i="13" s="1"/>
  <c r="E203" i="13" a="1"/>
  <c r="E203" i="13" s="1"/>
  <c r="H199" i="13" a="1"/>
  <c r="H199" i="13" s="1"/>
  <c r="C199" i="13"/>
  <c r="A198" i="13" a="1"/>
  <c r="A198" i="13" s="1"/>
  <c r="D197" i="13" a="1"/>
  <c r="D197" i="13" s="1"/>
  <c r="B196" i="13" a="1"/>
  <c r="B196" i="13" s="1"/>
  <c r="E195" i="13" a="1"/>
  <c r="E195" i="13" s="1"/>
  <c r="H191" i="13" a="1"/>
  <c r="H191" i="13" s="1"/>
  <c r="C191" i="13"/>
  <c r="A190" i="13" a="1"/>
  <c r="A190" i="13" s="1"/>
  <c r="D189" i="13" a="1"/>
  <c r="D189" i="13" s="1"/>
  <c r="B188" i="13" a="1"/>
  <c r="B188" i="13" s="1"/>
  <c r="E187" i="13" a="1"/>
  <c r="E187" i="13" s="1"/>
  <c r="H183" i="13" a="1"/>
  <c r="H183" i="13" s="1"/>
  <c r="C183" i="13"/>
  <c r="A182" i="13" a="1"/>
  <c r="A182" i="13" s="1"/>
  <c r="D181" i="13" a="1"/>
  <c r="D181" i="13" s="1"/>
  <c r="H256" i="13" a="1"/>
  <c r="H256" i="13" s="1"/>
  <c r="A247" i="13" a="1"/>
  <c r="A247" i="13" s="1"/>
  <c r="B237" i="13" a="1"/>
  <c r="B237" i="13" s="1"/>
  <c r="C232" i="13"/>
  <c r="D222" i="13" a="1"/>
  <c r="D222" i="13" s="1"/>
  <c r="H217" i="13" a="1"/>
  <c r="H217" i="13" s="1"/>
  <c r="D215" i="13" a="1"/>
  <c r="D215" i="13" s="1"/>
  <c r="D214" i="13" a="1"/>
  <c r="D214" i="13" s="1"/>
  <c r="D213" i="13" a="1"/>
  <c r="D213" i="13" s="1"/>
  <c r="H210" i="13" a="1"/>
  <c r="H210" i="13" s="1"/>
  <c r="C210" i="13"/>
  <c r="A209" i="13" a="1"/>
  <c r="A209" i="13" s="1"/>
  <c r="D208" i="13" a="1"/>
  <c r="D208" i="13" s="1"/>
  <c r="B207" i="13" a="1"/>
  <c r="B207" i="13" s="1"/>
  <c r="E206" i="13" a="1"/>
  <c r="E206" i="13" s="1"/>
  <c r="H202" i="13" a="1"/>
  <c r="H202" i="13" s="1"/>
  <c r="C202" i="13"/>
  <c r="A201" i="13" a="1"/>
  <c r="A201" i="13" s="1"/>
  <c r="D200" i="13" a="1"/>
  <c r="D200" i="13" s="1"/>
  <c r="B199" i="13" a="1"/>
  <c r="B199" i="13" s="1"/>
  <c r="B261" i="13" a="1"/>
  <c r="B261" i="13" s="1"/>
  <c r="C256" i="13"/>
  <c r="D246" i="13" a="1"/>
  <c r="D246" i="13" s="1"/>
  <c r="E236" i="13" a="1"/>
  <c r="E236" i="13" s="1"/>
  <c r="C219" i="13"/>
  <c r="C216" i="13"/>
  <c r="B215" i="13" a="1"/>
  <c r="B215" i="13" s="1"/>
  <c r="A212" i="13" a="1"/>
  <c r="A212" i="13" s="1"/>
  <c r="D211" i="13" a="1"/>
  <c r="D211" i="13" s="1"/>
  <c r="B210" i="13" a="1"/>
  <c r="B210" i="13" s="1"/>
  <c r="E209" i="13" a="1"/>
  <c r="E209" i="13" s="1"/>
  <c r="H205" i="13" a="1"/>
  <c r="H205" i="13" s="1"/>
  <c r="E260" i="13" a="1"/>
  <c r="E260" i="13" s="1"/>
  <c r="H240" i="13" a="1"/>
  <c r="H240" i="13" s="1"/>
  <c r="A231" i="13" a="1"/>
  <c r="A231" i="13" s="1"/>
  <c r="B221" i="13" a="1"/>
  <c r="B221" i="13" s="1"/>
  <c r="D217" i="13" a="1"/>
  <c r="D217" i="13" s="1"/>
  <c r="B216" i="13" a="1"/>
  <c r="B216" i="13" s="1"/>
  <c r="B214" i="13" a="1"/>
  <c r="B214" i="13" s="1"/>
  <c r="C213" i="13"/>
  <c r="E212" i="13" a="1"/>
  <c r="E212" i="13" s="1"/>
  <c r="H208" i="13" a="1"/>
  <c r="H208" i="13" s="1"/>
  <c r="C208" i="13"/>
  <c r="A207" i="13" a="1"/>
  <c r="A207" i="13" s="1"/>
  <c r="D206" i="13" a="1"/>
  <c r="D206" i="13" s="1"/>
  <c r="B205" i="13" a="1"/>
  <c r="B205" i="13" s="1"/>
  <c r="E204" i="13" a="1"/>
  <c r="E204" i="13" s="1"/>
  <c r="H200" i="13" a="1"/>
  <c r="H200" i="13" s="1"/>
  <c r="C200" i="13"/>
  <c r="A199" i="13" a="1"/>
  <c r="A199" i="13" s="1"/>
  <c r="D198" i="13" a="1"/>
  <c r="D198" i="13" s="1"/>
  <c r="B197" i="13" a="1"/>
  <c r="B197" i="13" s="1"/>
  <c r="E196" i="13" a="1"/>
  <c r="E196" i="13" s="1"/>
  <c r="H192" i="13" a="1"/>
  <c r="H192" i="13" s="1"/>
  <c r="C192" i="13"/>
  <c r="A191" i="13" a="1"/>
  <c r="A191" i="13" s="1"/>
  <c r="D190" i="13" a="1"/>
  <c r="D190" i="13" s="1"/>
  <c r="B189" i="13" a="1"/>
  <c r="B189" i="13" s="1"/>
  <c r="E188" i="13" a="1"/>
  <c r="E188" i="13" s="1"/>
  <c r="H184" i="13" a="1"/>
  <c r="H184" i="13" s="1"/>
  <c r="C184" i="13"/>
  <c r="A183" i="13" a="1"/>
  <c r="A183" i="13" s="1"/>
  <c r="D182" i="13" a="1"/>
  <c r="D182" i="13" s="1"/>
  <c r="B181" i="13" a="1"/>
  <c r="B181" i="13" s="1"/>
  <c r="E180" i="13" a="1"/>
  <c r="E180" i="13" s="1"/>
  <c r="H176" i="13" a="1"/>
  <c r="H176" i="13" s="1"/>
  <c r="C176" i="13"/>
  <c r="A175" i="13" a="1"/>
  <c r="A175" i="13" s="1"/>
  <c r="D174" i="13" a="1"/>
  <c r="D174" i="13" s="1"/>
  <c r="B173" i="13" a="1"/>
  <c r="B173" i="13" s="1"/>
  <c r="C205" i="13"/>
  <c r="C197" i="13"/>
  <c r="H189" i="13" a="1"/>
  <c r="H189" i="13" s="1"/>
  <c r="D187" i="13" a="1"/>
  <c r="D187" i="13" s="1"/>
  <c r="B175" i="13" a="1"/>
  <c r="B175" i="13" s="1"/>
  <c r="D173" i="13" a="1"/>
  <c r="D173" i="13" s="1"/>
  <c r="H168" i="13" a="1"/>
  <c r="H168" i="13" s="1"/>
  <c r="C168" i="13"/>
  <c r="A167" i="13" a="1"/>
  <c r="A167" i="13" s="1"/>
  <c r="D166" i="13" a="1"/>
  <c r="D166" i="13" s="1"/>
  <c r="B165" i="13" a="1"/>
  <c r="B165" i="13" s="1"/>
  <c r="E164" i="13" a="1"/>
  <c r="E164" i="13" s="1"/>
  <c r="H160" i="13" a="1"/>
  <c r="H160" i="13" s="1"/>
  <c r="C160" i="13"/>
  <c r="A159" i="13" a="1"/>
  <c r="A159" i="13" s="1"/>
  <c r="D158" i="13" a="1"/>
  <c r="D158" i="13" s="1"/>
  <c r="B157" i="13" a="1"/>
  <c r="B157" i="13" s="1"/>
  <c r="E156" i="13" a="1"/>
  <c r="E156" i="13" s="1"/>
  <c r="H152" i="13" a="1"/>
  <c r="H152" i="13" s="1"/>
  <c r="C152" i="13"/>
  <c r="A151" i="13" a="1"/>
  <c r="A151" i="13" s="1"/>
  <c r="D150" i="13" a="1"/>
  <c r="D150" i="13" s="1"/>
  <c r="B149" i="13" a="1"/>
  <c r="B149" i="13" s="1"/>
  <c r="E148" i="13" a="1"/>
  <c r="E148" i="13" s="1"/>
  <c r="H144" i="13" a="1"/>
  <c r="H144" i="13" s="1"/>
  <c r="C144" i="13"/>
  <c r="A143" i="13" a="1"/>
  <c r="A143" i="13" s="1"/>
  <c r="D142" i="13" a="1"/>
  <c r="D142" i="13" s="1"/>
  <c r="B141" i="13" a="1"/>
  <c r="B141" i="13" s="1"/>
  <c r="E140" i="13" a="1"/>
  <c r="E140" i="13" s="1"/>
  <c r="H136" i="13" a="1"/>
  <c r="H136" i="13" s="1"/>
  <c r="C136" i="13"/>
  <c r="A135" i="13" a="1"/>
  <c r="A135" i="13" s="1"/>
  <c r="D134" i="13" a="1"/>
  <c r="D134" i="13" s="1"/>
  <c r="B133" i="13" a="1"/>
  <c r="B133" i="13" s="1"/>
  <c r="E132" i="13" a="1"/>
  <c r="E132" i="13" s="1"/>
  <c r="H128" i="13" a="1"/>
  <c r="H128" i="13" s="1"/>
  <c r="C128" i="13"/>
  <c r="A127" i="13" a="1"/>
  <c r="A127" i="13" s="1"/>
  <c r="D126" i="13" a="1"/>
  <c r="D126" i="13" s="1"/>
  <c r="C194" i="13"/>
  <c r="H186" i="13" a="1"/>
  <c r="H186" i="13" s="1"/>
  <c r="D184" i="13" a="1"/>
  <c r="D184" i="13" s="1"/>
  <c r="A180" i="13" a="1"/>
  <c r="A180" i="13" s="1"/>
  <c r="C178" i="13"/>
  <c r="B172" i="13" a="1"/>
  <c r="B172" i="13" s="1"/>
  <c r="D171" i="13" a="1"/>
  <c r="D171" i="13" s="1"/>
  <c r="A170" i="13" a="1"/>
  <c r="A170" i="13" s="1"/>
  <c r="D169" i="13" a="1"/>
  <c r="D169" i="13" s="1"/>
  <c r="B168" i="13" a="1"/>
  <c r="B168" i="13" s="1"/>
  <c r="E167" i="13" a="1"/>
  <c r="E167" i="13" s="1"/>
  <c r="H163" i="13" a="1"/>
  <c r="H163" i="13" s="1"/>
  <c r="C163" i="13"/>
  <c r="A162" i="13" a="1"/>
  <c r="A162" i="13" s="1"/>
  <c r="D161" i="13" a="1"/>
  <c r="D161" i="13" s="1"/>
  <c r="B160" i="13" a="1"/>
  <c r="B160" i="13" s="1"/>
  <c r="E159" i="13" a="1"/>
  <c r="E159" i="13" s="1"/>
  <c r="H155" i="13" a="1"/>
  <c r="H155" i="13" s="1"/>
  <c r="C155" i="13"/>
  <c r="A154" i="13" a="1"/>
  <c r="A154" i="13" s="1"/>
  <c r="D153" i="13" a="1"/>
  <c r="D153" i="13" s="1"/>
  <c r="B152" i="13" a="1"/>
  <c r="B152" i="13" s="1"/>
  <c r="E151" i="13" a="1"/>
  <c r="E151" i="13" s="1"/>
  <c r="H147" i="13" a="1"/>
  <c r="H147" i="13" s="1"/>
  <c r="C147" i="13"/>
  <c r="A146" i="13" a="1"/>
  <c r="A146" i="13" s="1"/>
  <c r="D145" i="13" a="1"/>
  <c r="D145" i="13" s="1"/>
  <c r="B144" i="13" a="1"/>
  <c r="B144" i="13" s="1"/>
  <c r="E143" i="13" a="1"/>
  <c r="E143" i="13" s="1"/>
  <c r="H139" i="13" a="1"/>
  <c r="H139" i="13" s="1"/>
  <c r="C139" i="13"/>
  <c r="A138" i="13" a="1"/>
  <c r="A138" i="13" s="1"/>
  <c r="D137" i="13" a="1"/>
  <c r="D137" i="13" s="1"/>
  <c r="B136" i="13" a="1"/>
  <c r="B136" i="13" s="1"/>
  <c r="E135" i="13" a="1"/>
  <c r="E135" i="13" s="1"/>
  <c r="H131" i="13" a="1"/>
  <c r="H131" i="13" s="1"/>
  <c r="C131" i="13"/>
  <c r="A130" i="13" a="1"/>
  <c r="A130" i="13" s="1"/>
  <c r="A204" i="13" a="1"/>
  <c r="A204" i="13" s="1"/>
  <c r="B194" i="13" a="1"/>
  <c r="B194" i="13" s="1"/>
  <c r="C189" i="13"/>
  <c r="H181" i="13" a="1"/>
  <c r="H181" i="13" s="1"/>
  <c r="E179" i="13" a="1"/>
  <c r="E179" i="13" s="1"/>
  <c r="B178" i="13" a="1"/>
  <c r="B178" i="13" s="1"/>
  <c r="D176" i="13" a="1"/>
  <c r="D176" i="13" s="1"/>
  <c r="C173" i="13"/>
  <c r="H166" i="13" a="1"/>
  <c r="H166" i="13" s="1"/>
  <c r="C166" i="13"/>
  <c r="A165" i="13" a="1"/>
  <c r="A165" i="13" s="1"/>
  <c r="D164" i="13" a="1"/>
  <c r="D164" i="13" s="1"/>
  <c r="B163" i="13" a="1"/>
  <c r="B163" i="13" s="1"/>
  <c r="E162" i="13" a="1"/>
  <c r="E162" i="13" s="1"/>
  <c r="H158" i="13" a="1"/>
  <c r="H158" i="13" s="1"/>
  <c r="C158" i="13"/>
  <c r="A157" i="13" a="1"/>
  <c r="A157" i="13" s="1"/>
  <c r="D156" i="13" a="1"/>
  <c r="D156" i="13" s="1"/>
  <c r="B155" i="13" a="1"/>
  <c r="B155" i="13" s="1"/>
  <c r="E154" i="13" a="1"/>
  <c r="E154" i="13" s="1"/>
  <c r="H150" i="13" a="1"/>
  <c r="H150" i="13" s="1"/>
  <c r="C150" i="13"/>
  <c r="A149" i="13" a="1"/>
  <c r="A149" i="13" s="1"/>
  <c r="D148" i="13" a="1"/>
  <c r="D148" i="13" s="1"/>
  <c r="B147" i="13" a="1"/>
  <c r="B147" i="13" s="1"/>
  <c r="E146" i="13" a="1"/>
  <c r="E146" i="13" s="1"/>
  <c r="H142" i="13" a="1"/>
  <c r="H142" i="13" s="1"/>
  <c r="C142" i="13"/>
  <c r="A141" i="13" a="1"/>
  <c r="A141" i="13" s="1"/>
  <c r="D140" i="13" a="1"/>
  <c r="D140" i="13" s="1"/>
  <c r="B139" i="13" a="1"/>
  <c r="B139" i="13" s="1"/>
  <c r="E138" i="13" a="1"/>
  <c r="E138" i="13" s="1"/>
  <c r="H134" i="13" a="1"/>
  <c r="H134" i="13" s="1"/>
  <c r="C134" i="13"/>
  <c r="A133" i="13" a="1"/>
  <c r="A133" i="13" s="1"/>
  <c r="D132" i="13" a="1"/>
  <c r="D132" i="13" s="1"/>
  <c r="B131" i="13" a="1"/>
  <c r="B131" i="13" s="1"/>
  <c r="E130" i="13" a="1"/>
  <c r="E130" i="13" s="1"/>
  <c r="D203" i="13" a="1"/>
  <c r="D203" i="13" s="1"/>
  <c r="E198" i="13" a="1"/>
  <c r="E198" i="13" s="1"/>
  <c r="B191" i="13" a="1"/>
  <c r="B191" i="13" s="1"/>
  <c r="C186" i="13"/>
  <c r="E174" i="13" a="1"/>
  <c r="E174" i="13" s="1"/>
  <c r="A172" i="13" a="1"/>
  <c r="A172" i="13" s="1"/>
  <c r="C171" i="13"/>
  <c r="E170" i="13" a="1"/>
  <c r="E170" i="13" s="1"/>
  <c r="H169" i="13" a="1"/>
  <c r="H169" i="13" s="1"/>
  <c r="C169" i="13"/>
  <c r="A168" i="13" a="1"/>
  <c r="A168" i="13" s="1"/>
  <c r="D167" i="13" a="1"/>
  <c r="D167" i="13" s="1"/>
  <c r="B166" i="13" a="1"/>
  <c r="B166" i="13" s="1"/>
  <c r="E165" i="13" a="1"/>
  <c r="E165" i="13" s="1"/>
  <c r="H161" i="13" a="1"/>
  <c r="H161" i="13" s="1"/>
  <c r="C161" i="13"/>
  <c r="A160" i="13" a="1"/>
  <c r="A160" i="13" s="1"/>
  <c r="D159" i="13" a="1"/>
  <c r="D159" i="13" s="1"/>
  <c r="B158" i="13" a="1"/>
  <c r="B158" i="13" s="1"/>
  <c r="E157" i="13" a="1"/>
  <c r="E157" i="13" s="1"/>
  <c r="H153" i="13" a="1"/>
  <c r="H153" i="13" s="1"/>
  <c r="C153" i="13"/>
  <c r="A152" i="13" a="1"/>
  <c r="A152" i="13" s="1"/>
  <c r="D151" i="13" a="1"/>
  <c r="D151" i="13" s="1"/>
  <c r="B150" i="13" a="1"/>
  <c r="B150" i="13" s="1"/>
  <c r="E149" i="13" a="1"/>
  <c r="E149" i="13" s="1"/>
  <c r="H145" i="13" a="1"/>
  <c r="H145" i="13" s="1"/>
  <c r="C145" i="13"/>
  <c r="A144" i="13" a="1"/>
  <c r="A144" i="13" s="1"/>
  <c r="D143" i="13" a="1"/>
  <c r="D143" i="13" s="1"/>
  <c r="B142" i="13" a="1"/>
  <c r="B142" i="13" s="1"/>
  <c r="E141" i="13" a="1"/>
  <c r="E141" i="13" s="1"/>
  <c r="H137" i="13" a="1"/>
  <c r="H137" i="13" s="1"/>
  <c r="C137" i="13"/>
  <c r="A136" i="13" a="1"/>
  <c r="A136" i="13" s="1"/>
  <c r="D135" i="13" a="1"/>
  <c r="D135" i="13" s="1"/>
  <c r="B134" i="13" a="1"/>
  <c r="B134" i="13" s="1"/>
  <c r="E133" i="13" a="1"/>
  <c r="E133" i="13" s="1"/>
  <c r="H129" i="13" a="1"/>
  <c r="H129" i="13" s="1"/>
  <c r="A196" i="13" a="1"/>
  <c r="A196" i="13" s="1"/>
  <c r="E193" i="13" a="1"/>
  <c r="E193" i="13" s="1"/>
  <c r="B186" i="13" a="1"/>
  <c r="B186" i="13" s="1"/>
  <c r="C181" i="13"/>
  <c r="D179" i="13" a="1"/>
  <c r="D179" i="13" s="1"/>
  <c r="H175" i="13" a="1"/>
  <c r="H175" i="13" s="1"/>
  <c r="B171" i="13" a="1"/>
  <c r="B171" i="13" s="1"/>
  <c r="B169" i="13" a="1"/>
  <c r="B169" i="13" s="1"/>
  <c r="E168" i="13" a="1"/>
  <c r="E168" i="13" s="1"/>
  <c r="H164" i="13" a="1"/>
  <c r="H164" i="13" s="1"/>
  <c r="C164" i="13"/>
  <c r="A163" i="13" a="1"/>
  <c r="A163" i="13" s="1"/>
  <c r="D162" i="13" a="1"/>
  <c r="D162" i="13" s="1"/>
  <c r="B161" i="13" a="1"/>
  <c r="B161" i="13" s="1"/>
  <c r="E160" i="13" a="1"/>
  <c r="E160" i="13" s="1"/>
  <c r="H156" i="13" a="1"/>
  <c r="H156" i="13" s="1"/>
  <c r="C156" i="13"/>
  <c r="A155" i="13" a="1"/>
  <c r="A155" i="13" s="1"/>
  <c r="D154" i="13" a="1"/>
  <c r="D154" i="13" s="1"/>
  <c r="B153" i="13" a="1"/>
  <c r="B153" i="13" s="1"/>
  <c r="E152" i="13" a="1"/>
  <c r="E152" i="13" s="1"/>
  <c r="H148" i="13" a="1"/>
  <c r="H148" i="13" s="1"/>
  <c r="C148" i="13"/>
  <c r="A147" i="13" a="1"/>
  <c r="A147" i="13" s="1"/>
  <c r="D146" i="13" a="1"/>
  <c r="D146" i="13" s="1"/>
  <c r="B145" i="13" a="1"/>
  <c r="B145" i="13" s="1"/>
  <c r="E144" i="13" a="1"/>
  <c r="E144" i="13" s="1"/>
  <c r="H140" i="13" a="1"/>
  <c r="H140" i="13" s="1"/>
  <c r="C140" i="13"/>
  <c r="A139" i="13" a="1"/>
  <c r="A139" i="13" s="1"/>
  <c r="D138" i="13" a="1"/>
  <c r="D138" i="13" s="1"/>
  <c r="B137" i="13" a="1"/>
  <c r="B137" i="13" s="1"/>
  <c r="E136" i="13" a="1"/>
  <c r="E136" i="13" s="1"/>
  <c r="H132" i="13" a="1"/>
  <c r="H132" i="13" s="1"/>
  <c r="C132" i="13"/>
  <c r="A131" i="13" a="1"/>
  <c r="A131" i="13" s="1"/>
  <c r="D130" i="13" a="1"/>
  <c r="D130" i="13" s="1"/>
  <c r="B129" i="13" a="1"/>
  <c r="B129" i="13" s="1"/>
  <c r="B202" i="13" a="1"/>
  <c r="B202" i="13" s="1"/>
  <c r="A193" i="13" a="1"/>
  <c r="A193" i="13" s="1"/>
  <c r="E190" i="13" a="1"/>
  <c r="E190" i="13" s="1"/>
  <c r="B183" i="13" a="1"/>
  <c r="B183" i="13" s="1"/>
  <c r="E177" i="13" a="1"/>
  <c r="E177" i="13" s="1"/>
  <c r="A174" i="13" a="1"/>
  <c r="A174" i="13" s="1"/>
  <c r="H167" i="13" a="1"/>
  <c r="H167" i="13" s="1"/>
  <c r="C167" i="13"/>
  <c r="A166" i="13" a="1"/>
  <c r="A166" i="13" s="1"/>
  <c r="D165" i="13" a="1"/>
  <c r="D165" i="13" s="1"/>
  <c r="B164" i="13" a="1"/>
  <c r="B164" i="13" s="1"/>
  <c r="E163" i="13" a="1"/>
  <c r="E163" i="13" s="1"/>
  <c r="H159" i="13" a="1"/>
  <c r="H159" i="13" s="1"/>
  <c r="C159" i="13"/>
  <c r="A158" i="13" a="1"/>
  <c r="A158" i="13" s="1"/>
  <c r="D157" i="13" a="1"/>
  <c r="D157" i="13" s="1"/>
  <c r="B156" i="13" a="1"/>
  <c r="B156" i="13" s="1"/>
  <c r="E155" i="13" a="1"/>
  <c r="E155" i="13" s="1"/>
  <c r="H151" i="13" a="1"/>
  <c r="H151" i="13" s="1"/>
  <c r="C151" i="13"/>
  <c r="A150" i="13" a="1"/>
  <c r="A150" i="13" s="1"/>
  <c r="D149" i="13" a="1"/>
  <c r="D149" i="13" s="1"/>
  <c r="B148" i="13" a="1"/>
  <c r="B148" i="13" s="1"/>
  <c r="E147" i="13" a="1"/>
  <c r="E147" i="13" s="1"/>
  <c r="H143" i="13" a="1"/>
  <c r="H143" i="13" s="1"/>
  <c r="C143" i="13"/>
  <c r="A142" i="13" a="1"/>
  <c r="A142" i="13" s="1"/>
  <c r="D141" i="13" a="1"/>
  <c r="D141" i="13" s="1"/>
  <c r="B140" i="13" a="1"/>
  <c r="B140" i="13" s="1"/>
  <c r="E139" i="13" a="1"/>
  <c r="E139" i="13" s="1"/>
  <c r="H135" i="13" a="1"/>
  <c r="H135" i="13" s="1"/>
  <c r="C135" i="13"/>
  <c r="A134" i="13" a="1"/>
  <c r="A134" i="13" s="1"/>
  <c r="D133" i="13" a="1"/>
  <c r="D133" i="13" s="1"/>
  <c r="B132" i="13" a="1"/>
  <c r="B132" i="13" s="1"/>
  <c r="E131" i="13" a="1"/>
  <c r="E131" i="13" s="1"/>
  <c r="E201" i="13" a="1"/>
  <c r="E201" i="13" s="1"/>
  <c r="H197" i="13" a="1"/>
  <c r="H197" i="13" s="1"/>
  <c r="D195" i="13" a="1"/>
  <c r="D195" i="13" s="1"/>
  <c r="A188" i="13" a="1"/>
  <c r="A188" i="13" s="1"/>
  <c r="E185" i="13" a="1"/>
  <c r="E185" i="13" s="1"/>
  <c r="H178" i="13" a="1"/>
  <c r="H178" i="13" s="1"/>
  <c r="C170" i="13"/>
  <c r="A169" i="13" a="1"/>
  <c r="A169" i="13" s="1"/>
  <c r="D168" i="13" a="1"/>
  <c r="D168" i="13" s="1"/>
  <c r="B167" i="13" a="1"/>
  <c r="B167" i="13" s="1"/>
  <c r="E166" i="13" a="1"/>
  <c r="E166" i="13" s="1"/>
  <c r="H162" i="13" a="1"/>
  <c r="H162" i="13" s="1"/>
  <c r="C162" i="13"/>
  <c r="A161" i="13" a="1"/>
  <c r="A161" i="13" s="1"/>
  <c r="D160" i="13" a="1"/>
  <c r="D160" i="13" s="1"/>
  <c r="B159" i="13" a="1"/>
  <c r="B159" i="13" s="1"/>
  <c r="E158" i="13" a="1"/>
  <c r="E158" i="13" s="1"/>
  <c r="H154" i="13" a="1"/>
  <c r="H154" i="13" s="1"/>
  <c r="C154" i="13"/>
  <c r="A153" i="13" a="1"/>
  <c r="A153" i="13" s="1"/>
  <c r="D152" i="13" a="1"/>
  <c r="D152" i="13" s="1"/>
  <c r="B151" i="13" a="1"/>
  <c r="B151" i="13" s="1"/>
  <c r="E150" i="13" a="1"/>
  <c r="E150" i="13" s="1"/>
  <c r="H146" i="13" a="1"/>
  <c r="H146" i="13" s="1"/>
  <c r="C146" i="13"/>
  <c r="A145" i="13" a="1"/>
  <c r="A145" i="13" s="1"/>
  <c r="D144" i="13" a="1"/>
  <c r="D144" i="13" s="1"/>
  <c r="B143" i="13" a="1"/>
  <c r="B143" i="13" s="1"/>
  <c r="E142" i="13" a="1"/>
  <c r="E142" i="13" s="1"/>
  <c r="H138" i="13" a="1"/>
  <c r="H138" i="13" s="1"/>
  <c r="C138" i="13"/>
  <c r="A137" i="13" a="1"/>
  <c r="A137" i="13" s="1"/>
  <c r="D136" i="13" a="1"/>
  <c r="D136" i="13" s="1"/>
  <c r="B135" i="13" a="1"/>
  <c r="B135" i="13" s="1"/>
  <c r="E134" i="13" a="1"/>
  <c r="E134" i="13" s="1"/>
  <c r="H130" i="13" a="1"/>
  <c r="H130" i="13" s="1"/>
  <c r="C130" i="13"/>
  <c r="A129" i="13" a="1"/>
  <c r="A129" i="13" s="1"/>
  <c r="H194" i="13" a="1"/>
  <c r="H194" i="13" s="1"/>
  <c r="D192" i="13" a="1"/>
  <c r="D192" i="13" s="1"/>
  <c r="A185" i="13" a="1"/>
  <c r="A185" i="13" s="1"/>
  <c r="E182" i="13" a="1"/>
  <c r="E182" i="13" s="1"/>
  <c r="B180" i="13" a="1"/>
  <c r="B180" i="13" s="1"/>
  <c r="A177" i="13" a="1"/>
  <c r="A177" i="13" s="1"/>
  <c r="C175" i="13"/>
  <c r="H173" i="13" a="1"/>
  <c r="H173" i="13" s="1"/>
  <c r="E172" i="13" a="1"/>
  <c r="E172" i="13" s="1"/>
  <c r="E171" i="13" a="1"/>
  <c r="E171" i="13" s="1"/>
  <c r="H170" i="13" a="1"/>
  <c r="H170" i="13" s="1"/>
  <c r="B170" i="13" a="1"/>
  <c r="B170" i="13" s="1"/>
  <c r="E169" i="13" a="1"/>
  <c r="E169" i="13" s="1"/>
  <c r="H165" i="13" a="1"/>
  <c r="H165" i="13" s="1"/>
  <c r="C165" i="13"/>
  <c r="A164" i="13" a="1"/>
  <c r="A164" i="13" s="1"/>
  <c r="D163" i="13" a="1"/>
  <c r="D163" i="13" s="1"/>
  <c r="B162" i="13" a="1"/>
  <c r="B162" i="13" s="1"/>
  <c r="E161" i="13" a="1"/>
  <c r="E161" i="13" s="1"/>
  <c r="H157" i="13" a="1"/>
  <c r="H157" i="13" s="1"/>
  <c r="C157" i="13"/>
  <c r="A156" i="13" a="1"/>
  <c r="A156" i="13" s="1"/>
  <c r="D155" i="13" a="1"/>
  <c r="D155" i="13" s="1"/>
  <c r="B154" i="13" a="1"/>
  <c r="B154" i="13" s="1"/>
  <c r="E153" i="13" a="1"/>
  <c r="E153" i="13" s="1"/>
  <c r="H149" i="13" a="1"/>
  <c r="H149" i="13" s="1"/>
  <c r="C149" i="13"/>
  <c r="A148" i="13" a="1"/>
  <c r="A148" i="13" s="1"/>
  <c r="D147" i="13" a="1"/>
  <c r="D147" i="13" s="1"/>
  <c r="B146" i="13" a="1"/>
  <c r="B146" i="13" s="1"/>
  <c r="E145" i="13" a="1"/>
  <c r="E145" i="13" s="1"/>
  <c r="H141" i="13" a="1"/>
  <c r="H141" i="13" s="1"/>
  <c r="C141" i="13"/>
  <c r="A140" i="13" a="1"/>
  <c r="A140" i="13" s="1"/>
  <c r="D139" i="13" a="1"/>
  <c r="D139" i="13" s="1"/>
  <c r="H133" i="13" a="1"/>
  <c r="H133" i="13" s="1"/>
  <c r="D129" i="13" a="1"/>
  <c r="D129" i="13" s="1"/>
  <c r="B128" i="13" a="1"/>
  <c r="B128" i="13" s="1"/>
  <c r="D127" i="13" a="1"/>
  <c r="D127" i="13" s="1"/>
  <c r="A126" i="13" a="1"/>
  <c r="A126" i="13" s="1"/>
  <c r="D125" i="13" a="1"/>
  <c r="D125" i="13" s="1"/>
  <c r="B124" i="13" a="1"/>
  <c r="B124" i="13" s="1"/>
  <c r="E123" i="13" a="1"/>
  <c r="E123" i="13" s="1"/>
  <c r="H119" i="13" a="1"/>
  <c r="H119" i="13" s="1"/>
  <c r="C119" i="13"/>
  <c r="A118" i="13" a="1"/>
  <c r="A118" i="13" s="1"/>
  <c r="D117" i="13" a="1"/>
  <c r="D117" i="13" s="1"/>
  <c r="B116" i="13" a="1"/>
  <c r="B116" i="13" s="1"/>
  <c r="E115" i="13" a="1"/>
  <c r="E115" i="13" s="1"/>
  <c r="H111" i="13" a="1"/>
  <c r="H111" i="13" s="1"/>
  <c r="C111" i="13"/>
  <c r="A110" i="13" a="1"/>
  <c r="A110" i="13" s="1"/>
  <c r="D109" i="13" a="1"/>
  <c r="D109" i="13" s="1"/>
  <c r="B108" i="13" a="1"/>
  <c r="B108" i="13" s="1"/>
  <c r="E107" i="13" a="1"/>
  <c r="E107" i="13" s="1"/>
  <c r="H103" i="13" a="1"/>
  <c r="H103" i="13" s="1"/>
  <c r="C103" i="13"/>
  <c r="A102" i="13" a="1"/>
  <c r="A102" i="13" s="1"/>
  <c r="D101" i="13" a="1"/>
  <c r="D101" i="13" s="1"/>
  <c r="B100" i="13" a="1"/>
  <c r="B100" i="13" s="1"/>
  <c r="E99" i="13" a="1"/>
  <c r="E99" i="13" s="1"/>
  <c r="H95" i="13" a="1"/>
  <c r="H95" i="13" s="1"/>
  <c r="C95" i="13"/>
  <c r="A94" i="13" a="1"/>
  <c r="A94" i="13" s="1"/>
  <c r="D93" i="13" a="1"/>
  <c r="D93" i="13" s="1"/>
  <c r="B92" i="13" a="1"/>
  <c r="B92" i="13" s="1"/>
  <c r="E91" i="13" a="1"/>
  <c r="E91" i="13" s="1"/>
  <c r="H87" i="13" a="1"/>
  <c r="H87" i="13" s="1"/>
  <c r="C87" i="13"/>
  <c r="A86" i="13" a="1"/>
  <c r="A86" i="13" s="1"/>
  <c r="D85" i="13" a="1"/>
  <c r="D85" i="13" s="1"/>
  <c r="B84" i="13" a="1"/>
  <c r="B84" i="13" s="1"/>
  <c r="B138" i="13" a="1"/>
  <c r="B138" i="13" s="1"/>
  <c r="C133" i="13"/>
  <c r="C129" i="13"/>
  <c r="A128" i="13" a="1"/>
  <c r="A128" i="13" s="1"/>
  <c r="H122" i="13" a="1"/>
  <c r="H122" i="13" s="1"/>
  <c r="C122" i="13"/>
  <c r="A121" i="13" a="1"/>
  <c r="A121" i="13" s="1"/>
  <c r="D120" i="13" a="1"/>
  <c r="D120" i="13" s="1"/>
  <c r="B119" i="13" a="1"/>
  <c r="B119" i="13" s="1"/>
  <c r="E118" i="13" a="1"/>
  <c r="E118" i="13" s="1"/>
  <c r="H114" i="13" a="1"/>
  <c r="H114" i="13" s="1"/>
  <c r="C114" i="13"/>
  <c r="A113" i="13" a="1"/>
  <c r="A113" i="13" s="1"/>
  <c r="D112" i="13" a="1"/>
  <c r="D112" i="13" s="1"/>
  <c r="B111" i="13" a="1"/>
  <c r="B111" i="13" s="1"/>
  <c r="E110" i="13" a="1"/>
  <c r="E110" i="13" s="1"/>
  <c r="H106" i="13" a="1"/>
  <c r="H106" i="13" s="1"/>
  <c r="C106" i="13"/>
  <c r="A105" i="13" a="1"/>
  <c r="A105" i="13" s="1"/>
  <c r="D104" i="13" a="1"/>
  <c r="D104" i="13" s="1"/>
  <c r="B103" i="13" a="1"/>
  <c r="B103" i="13" s="1"/>
  <c r="E102" i="13" a="1"/>
  <c r="E102" i="13" s="1"/>
  <c r="H98" i="13" a="1"/>
  <c r="H98" i="13" s="1"/>
  <c r="C98" i="13"/>
  <c r="A97" i="13" a="1"/>
  <c r="A97" i="13" s="1"/>
  <c r="D96" i="13" a="1"/>
  <c r="D96" i="13" s="1"/>
  <c r="B95" i="13" a="1"/>
  <c r="B95" i="13" s="1"/>
  <c r="E94" i="13" a="1"/>
  <c r="E94" i="13" s="1"/>
  <c r="H90" i="13" a="1"/>
  <c r="H90" i="13" s="1"/>
  <c r="C90" i="13"/>
  <c r="A89" i="13" a="1"/>
  <c r="A89" i="13" s="1"/>
  <c r="D88" i="13" a="1"/>
  <c r="D88" i="13" s="1"/>
  <c r="B87" i="13" a="1"/>
  <c r="B87" i="13" s="1"/>
  <c r="E86" i="13" a="1"/>
  <c r="E86" i="13" s="1"/>
  <c r="H82" i="13" a="1"/>
  <c r="H82" i="13" s="1"/>
  <c r="C82" i="13"/>
  <c r="A81" i="13" a="1"/>
  <c r="A81" i="13" s="1"/>
  <c r="D80" i="13" a="1"/>
  <c r="D80" i="13" s="1"/>
  <c r="B79" i="13" a="1"/>
  <c r="B79" i="13" s="1"/>
  <c r="E137" i="13" a="1"/>
  <c r="E137" i="13" s="1"/>
  <c r="C127" i="13"/>
  <c r="E126" i="13" a="1"/>
  <c r="E126" i="13" s="1"/>
  <c r="H125" i="13" a="1"/>
  <c r="H125" i="13" s="1"/>
  <c r="C125" i="13"/>
  <c r="A124" i="13" a="1"/>
  <c r="A124" i="13" s="1"/>
  <c r="D123" i="13" a="1"/>
  <c r="D123" i="13" s="1"/>
  <c r="B122" i="13" a="1"/>
  <c r="B122" i="13" s="1"/>
  <c r="E121" i="13" a="1"/>
  <c r="E121" i="13" s="1"/>
  <c r="H117" i="13" a="1"/>
  <c r="H117" i="13" s="1"/>
  <c r="C117" i="13"/>
  <c r="A116" i="13" a="1"/>
  <c r="A116" i="13" s="1"/>
  <c r="D115" i="13" a="1"/>
  <c r="D115" i="13" s="1"/>
  <c r="B114" i="13" a="1"/>
  <c r="B114" i="13" s="1"/>
  <c r="E113" i="13" a="1"/>
  <c r="E113" i="13" s="1"/>
  <c r="H109" i="13" a="1"/>
  <c r="H109" i="13" s="1"/>
  <c r="C109" i="13"/>
  <c r="A108" i="13" a="1"/>
  <c r="A108" i="13" s="1"/>
  <c r="D107" i="13" a="1"/>
  <c r="D107" i="13" s="1"/>
  <c r="B106" i="13" a="1"/>
  <c r="B106" i="13" s="1"/>
  <c r="E105" i="13" a="1"/>
  <c r="E105" i="13" s="1"/>
  <c r="H101" i="13" a="1"/>
  <c r="H101" i="13" s="1"/>
  <c r="C101" i="13"/>
  <c r="A100" i="13" a="1"/>
  <c r="A100" i="13" s="1"/>
  <c r="D99" i="13" a="1"/>
  <c r="D99" i="13" s="1"/>
  <c r="B98" i="13" a="1"/>
  <c r="B98" i="13" s="1"/>
  <c r="E97" i="13" a="1"/>
  <c r="E97" i="13" s="1"/>
  <c r="H93" i="13" a="1"/>
  <c r="H93" i="13" s="1"/>
  <c r="C93" i="13"/>
  <c r="A92" i="13" a="1"/>
  <c r="A92" i="13" s="1"/>
  <c r="D91" i="13" a="1"/>
  <c r="D91" i="13" s="1"/>
  <c r="B90" i="13" a="1"/>
  <c r="B90" i="13" s="1"/>
  <c r="E89" i="13" a="1"/>
  <c r="E89" i="13" s="1"/>
  <c r="H85" i="13" a="1"/>
  <c r="H85" i="13" s="1"/>
  <c r="C85" i="13"/>
  <c r="A84" i="13" a="1"/>
  <c r="A84" i="13" s="1"/>
  <c r="D83" i="13" a="1"/>
  <c r="D83" i="13" s="1"/>
  <c r="B82" i="13" a="1"/>
  <c r="B82" i="13" s="1"/>
  <c r="E81" i="13" a="1"/>
  <c r="E81" i="13" s="1"/>
  <c r="A132" i="13" a="1"/>
  <c r="A132" i="13" s="1"/>
  <c r="H127" i="13" a="1"/>
  <c r="H127" i="13" s="1"/>
  <c r="B127" i="13" a="1"/>
  <c r="B127" i="13" s="1"/>
  <c r="B125" i="13" a="1"/>
  <c r="B125" i="13" s="1"/>
  <c r="E124" i="13" a="1"/>
  <c r="E124" i="13" s="1"/>
  <c r="H120" i="13" a="1"/>
  <c r="H120" i="13" s="1"/>
  <c r="C120" i="13"/>
  <c r="A119" i="13" a="1"/>
  <c r="A119" i="13" s="1"/>
  <c r="D118" i="13" a="1"/>
  <c r="D118" i="13" s="1"/>
  <c r="B117" i="13" a="1"/>
  <c r="B117" i="13" s="1"/>
  <c r="E116" i="13" a="1"/>
  <c r="E116" i="13" s="1"/>
  <c r="H112" i="13" a="1"/>
  <c r="H112" i="13" s="1"/>
  <c r="C112" i="13"/>
  <c r="A111" i="13" a="1"/>
  <c r="A111" i="13" s="1"/>
  <c r="D110" i="13" a="1"/>
  <c r="D110" i="13" s="1"/>
  <c r="B109" i="13" a="1"/>
  <c r="B109" i="13" s="1"/>
  <c r="E108" i="13" a="1"/>
  <c r="E108" i="13" s="1"/>
  <c r="H104" i="13" a="1"/>
  <c r="H104" i="13" s="1"/>
  <c r="C104" i="13"/>
  <c r="A103" i="13" a="1"/>
  <c r="A103" i="13" s="1"/>
  <c r="D102" i="13" a="1"/>
  <c r="D102" i="13" s="1"/>
  <c r="B101" i="13" a="1"/>
  <c r="B101" i="13" s="1"/>
  <c r="E100" i="13" a="1"/>
  <c r="E100" i="13" s="1"/>
  <c r="H96" i="13" a="1"/>
  <c r="H96" i="13" s="1"/>
  <c r="C96" i="13"/>
  <c r="A95" i="13" a="1"/>
  <c r="A95" i="13" s="1"/>
  <c r="D94" i="13" a="1"/>
  <c r="D94" i="13" s="1"/>
  <c r="B93" i="13" a="1"/>
  <c r="B93" i="13" s="1"/>
  <c r="E92" i="13" a="1"/>
  <c r="E92" i="13" s="1"/>
  <c r="H88" i="13" a="1"/>
  <c r="H88" i="13" s="1"/>
  <c r="C88" i="13"/>
  <c r="A87" i="13" a="1"/>
  <c r="A87" i="13" s="1"/>
  <c r="D86" i="13" a="1"/>
  <c r="D86" i="13" s="1"/>
  <c r="B85" i="13" a="1"/>
  <c r="B85" i="13" s="1"/>
  <c r="E84" i="13" a="1"/>
  <c r="E84" i="13" s="1"/>
  <c r="H80" i="13" a="1"/>
  <c r="H80" i="13" s="1"/>
  <c r="D131" i="13" a="1"/>
  <c r="D131" i="13" s="1"/>
  <c r="H123" i="13" a="1"/>
  <c r="H123" i="13" s="1"/>
  <c r="C123" i="13"/>
  <c r="A122" i="13" a="1"/>
  <c r="A122" i="13" s="1"/>
  <c r="D121" i="13" a="1"/>
  <c r="D121" i="13" s="1"/>
  <c r="B120" i="13" a="1"/>
  <c r="B120" i="13" s="1"/>
  <c r="E119" i="13" a="1"/>
  <c r="E119" i="13" s="1"/>
  <c r="H115" i="13" a="1"/>
  <c r="H115" i="13" s="1"/>
  <c r="C115" i="13"/>
  <c r="A114" i="13" a="1"/>
  <c r="A114" i="13" s="1"/>
  <c r="D113" i="13" a="1"/>
  <c r="D113" i="13" s="1"/>
  <c r="B112" i="13" a="1"/>
  <c r="B112" i="13" s="1"/>
  <c r="E111" i="13" a="1"/>
  <c r="E111" i="13" s="1"/>
  <c r="H107" i="13" a="1"/>
  <c r="H107" i="13" s="1"/>
  <c r="C107" i="13"/>
  <c r="A106" i="13" a="1"/>
  <c r="A106" i="13" s="1"/>
  <c r="D105" i="13" a="1"/>
  <c r="D105" i="13" s="1"/>
  <c r="B104" i="13" a="1"/>
  <c r="B104" i="13" s="1"/>
  <c r="E103" i="13" a="1"/>
  <c r="E103" i="13" s="1"/>
  <c r="H99" i="13" a="1"/>
  <c r="H99" i="13" s="1"/>
  <c r="C99" i="13"/>
  <c r="A98" i="13" a="1"/>
  <c r="A98" i="13" s="1"/>
  <c r="D97" i="13" a="1"/>
  <c r="D97" i="13" s="1"/>
  <c r="B96" i="13" a="1"/>
  <c r="B96" i="13" s="1"/>
  <c r="E95" i="13" a="1"/>
  <c r="E95" i="13" s="1"/>
  <c r="H91" i="13" a="1"/>
  <c r="H91" i="13" s="1"/>
  <c r="C91" i="13"/>
  <c r="A90" i="13" a="1"/>
  <c r="A90" i="13" s="1"/>
  <c r="D89" i="13" a="1"/>
  <c r="D89" i="13" s="1"/>
  <c r="B88" i="13" a="1"/>
  <c r="B88" i="13" s="1"/>
  <c r="E87" i="13" a="1"/>
  <c r="E87" i="13" s="1"/>
  <c r="H83" i="13" a="1"/>
  <c r="H83" i="13" s="1"/>
  <c r="C83" i="13"/>
  <c r="A82" i="13" a="1"/>
  <c r="A82" i="13" s="1"/>
  <c r="D81" i="13" a="1"/>
  <c r="D81" i="13" s="1"/>
  <c r="B80" i="13" a="1"/>
  <c r="B80" i="13" s="1"/>
  <c r="E79" i="13" a="1"/>
  <c r="E79" i="13" s="1"/>
  <c r="H75" i="13" a="1"/>
  <c r="H75" i="13" s="1"/>
  <c r="E128" i="13" a="1"/>
  <c r="E128" i="13" s="1"/>
  <c r="C126" i="13"/>
  <c r="A125" i="13" a="1"/>
  <c r="A125" i="13" s="1"/>
  <c r="D124" i="13" a="1"/>
  <c r="D124" i="13" s="1"/>
  <c r="B123" i="13" a="1"/>
  <c r="B123" i="13" s="1"/>
  <c r="E122" i="13" a="1"/>
  <c r="E122" i="13" s="1"/>
  <c r="H118" i="13" a="1"/>
  <c r="H118" i="13" s="1"/>
  <c r="C118" i="13"/>
  <c r="A117" i="13" a="1"/>
  <c r="A117" i="13" s="1"/>
  <c r="D116" i="13" a="1"/>
  <c r="D116" i="13" s="1"/>
  <c r="B115" i="13" a="1"/>
  <c r="B115" i="13" s="1"/>
  <c r="E114" i="13" a="1"/>
  <c r="E114" i="13" s="1"/>
  <c r="H110" i="13" a="1"/>
  <c r="H110" i="13" s="1"/>
  <c r="C110" i="13"/>
  <c r="A109" i="13" a="1"/>
  <c r="A109" i="13" s="1"/>
  <c r="D108" i="13" a="1"/>
  <c r="D108" i="13" s="1"/>
  <c r="B107" i="13" a="1"/>
  <c r="B107" i="13" s="1"/>
  <c r="E106" i="13" a="1"/>
  <c r="E106" i="13" s="1"/>
  <c r="H102" i="13" a="1"/>
  <c r="H102" i="13" s="1"/>
  <c r="C102" i="13"/>
  <c r="A101" i="13" a="1"/>
  <c r="A101" i="13" s="1"/>
  <c r="D100" i="13" a="1"/>
  <c r="D100" i="13" s="1"/>
  <c r="B99" i="13" a="1"/>
  <c r="B99" i="13" s="1"/>
  <c r="E98" i="13" a="1"/>
  <c r="E98" i="13" s="1"/>
  <c r="H94" i="13" a="1"/>
  <c r="H94" i="13" s="1"/>
  <c r="C94" i="13"/>
  <c r="A93" i="13" a="1"/>
  <c r="A93" i="13" s="1"/>
  <c r="D92" i="13" a="1"/>
  <c r="D92" i="13" s="1"/>
  <c r="B91" i="13" a="1"/>
  <c r="B91" i="13" s="1"/>
  <c r="E90" i="13" a="1"/>
  <c r="E90" i="13" s="1"/>
  <c r="H86" i="13" a="1"/>
  <c r="H86" i="13" s="1"/>
  <c r="C86" i="13"/>
  <c r="A85" i="13" a="1"/>
  <c r="A85" i="13" s="1"/>
  <c r="D84" i="13" a="1"/>
  <c r="D84" i="13" s="1"/>
  <c r="E129" i="13" a="1"/>
  <c r="E129" i="13" s="1"/>
  <c r="H124" i="13" a="1"/>
  <c r="H124" i="13" s="1"/>
  <c r="C124" i="13"/>
  <c r="A123" i="13" a="1"/>
  <c r="A123" i="13" s="1"/>
  <c r="D122" i="13" a="1"/>
  <c r="D122" i="13" s="1"/>
  <c r="B121" i="13" a="1"/>
  <c r="B121" i="13" s="1"/>
  <c r="E120" i="13" a="1"/>
  <c r="E120" i="13" s="1"/>
  <c r="H116" i="13" a="1"/>
  <c r="H116" i="13" s="1"/>
  <c r="C116" i="13"/>
  <c r="A115" i="13" a="1"/>
  <c r="A115" i="13" s="1"/>
  <c r="D114" i="13" a="1"/>
  <c r="D114" i="13" s="1"/>
  <c r="B113" i="13" a="1"/>
  <c r="B113" i="13" s="1"/>
  <c r="E112" i="13" a="1"/>
  <c r="E112" i="13" s="1"/>
  <c r="H108" i="13" a="1"/>
  <c r="H108" i="13" s="1"/>
  <c r="C108" i="13"/>
  <c r="A107" i="13" a="1"/>
  <c r="A107" i="13" s="1"/>
  <c r="D106" i="13" a="1"/>
  <c r="D106" i="13" s="1"/>
  <c r="B105" i="13" a="1"/>
  <c r="B105" i="13" s="1"/>
  <c r="E104" i="13" a="1"/>
  <c r="E104" i="13" s="1"/>
  <c r="H100" i="13" a="1"/>
  <c r="H100" i="13" s="1"/>
  <c r="C100" i="13"/>
  <c r="A99" i="13" a="1"/>
  <c r="A99" i="13" s="1"/>
  <c r="D98" i="13" a="1"/>
  <c r="D98" i="13" s="1"/>
  <c r="B97" i="13" a="1"/>
  <c r="B97" i="13" s="1"/>
  <c r="E96" i="13" a="1"/>
  <c r="E96" i="13" s="1"/>
  <c r="H92" i="13" a="1"/>
  <c r="H92" i="13" s="1"/>
  <c r="C92" i="13"/>
  <c r="A91" i="13" a="1"/>
  <c r="A91" i="13" s="1"/>
  <c r="D90" i="13" a="1"/>
  <c r="D90" i="13" s="1"/>
  <c r="B89" i="13" a="1"/>
  <c r="B89" i="13" s="1"/>
  <c r="E88" i="13" a="1"/>
  <c r="E88" i="13" s="1"/>
  <c r="H84" i="13" a="1"/>
  <c r="H84" i="13" s="1"/>
  <c r="C84" i="13"/>
  <c r="A83" i="13" a="1"/>
  <c r="A83" i="13" s="1"/>
  <c r="D82" i="13" a="1"/>
  <c r="D82" i="13" s="1"/>
  <c r="B81" i="13" a="1"/>
  <c r="B81" i="13" s="1"/>
  <c r="E80" i="13" a="1"/>
  <c r="E80" i="13" s="1"/>
  <c r="D119" i="13" a="1"/>
  <c r="D119" i="13" s="1"/>
  <c r="E109" i="13" a="1"/>
  <c r="E109" i="13" s="1"/>
  <c r="H89" i="13" a="1"/>
  <c r="H89" i="13" s="1"/>
  <c r="E82" i="13" a="1"/>
  <c r="E82" i="13" s="1"/>
  <c r="A80" i="13" a="1"/>
  <c r="A80" i="13" s="1"/>
  <c r="A79" i="13" a="1"/>
  <c r="A79" i="13" s="1"/>
  <c r="B78" i="13" a="1"/>
  <c r="B78" i="13" s="1"/>
  <c r="C75" i="13"/>
  <c r="A74" i="13" a="1"/>
  <c r="A74" i="13" s="1"/>
  <c r="D73" i="13" a="1"/>
  <c r="D73" i="13" s="1"/>
  <c r="B72" i="13" a="1"/>
  <c r="B72" i="13" s="1"/>
  <c r="E71" i="13" a="1"/>
  <c r="E71" i="13" s="1"/>
  <c r="H67" i="13" a="1"/>
  <c r="H67" i="13" s="1"/>
  <c r="C67" i="13"/>
  <c r="A66" i="13" a="1"/>
  <c r="A66" i="13" s="1"/>
  <c r="D65" i="13" a="1"/>
  <c r="D65" i="13" s="1"/>
  <c r="B64" i="13" a="1"/>
  <c r="B64" i="13" s="1"/>
  <c r="E63" i="13" a="1"/>
  <c r="E63" i="13" s="1"/>
  <c r="H59" i="13" a="1"/>
  <c r="H59" i="13" s="1"/>
  <c r="C59" i="13"/>
  <c r="A58" i="13" a="1"/>
  <c r="A58" i="13" s="1"/>
  <c r="D57" i="13" a="1"/>
  <c r="D57" i="13" s="1"/>
  <c r="B56" i="13" a="1"/>
  <c r="B56" i="13" s="1"/>
  <c r="E55" i="13" a="1"/>
  <c r="E55" i="13" s="1"/>
  <c r="H51" i="13" a="1"/>
  <c r="H51" i="13" s="1"/>
  <c r="C51" i="13"/>
  <c r="A50" i="13" a="1"/>
  <c r="A50" i="13" s="1"/>
  <c r="D49" i="13" a="1"/>
  <c r="D49" i="13" s="1"/>
  <c r="B48" i="13" a="1"/>
  <c r="B48" i="13" s="1"/>
  <c r="E47" i="13" a="1"/>
  <c r="E47" i="13" s="1"/>
  <c r="H43" i="13" a="1"/>
  <c r="H43" i="13" s="1"/>
  <c r="C43" i="13"/>
  <c r="A42" i="13" a="1"/>
  <c r="A42" i="13" s="1"/>
  <c r="D41" i="13" a="1"/>
  <c r="D41" i="13" s="1"/>
  <c r="B40" i="13" a="1"/>
  <c r="B40" i="13" s="1"/>
  <c r="E39" i="13" a="1"/>
  <c r="E39" i="13" s="1"/>
  <c r="H35" i="13" a="1"/>
  <c r="H35" i="13" s="1"/>
  <c r="C35" i="13"/>
  <c r="A34" i="13" a="1"/>
  <c r="A34" i="13" s="1"/>
  <c r="B130" i="13" a="1"/>
  <c r="B130" i="13" s="1"/>
  <c r="H113" i="13" a="1"/>
  <c r="H113" i="13" s="1"/>
  <c r="A104" i="13" a="1"/>
  <c r="A104" i="13" s="1"/>
  <c r="B94" i="13" a="1"/>
  <c r="B94" i="13" s="1"/>
  <c r="C89" i="13"/>
  <c r="H79" i="13" a="1"/>
  <c r="H79" i="13" s="1"/>
  <c r="H78" i="13" a="1"/>
  <c r="H78" i="13" s="1"/>
  <c r="A78" i="13" a="1"/>
  <c r="A78" i="13" s="1"/>
  <c r="C77" i="13"/>
  <c r="E76" i="13" a="1"/>
  <c r="E76" i="13" s="1"/>
  <c r="B75" i="13" a="1"/>
  <c r="B75" i="13" s="1"/>
  <c r="E74" i="13" a="1"/>
  <c r="E74" i="13" s="1"/>
  <c r="H70" i="13" a="1"/>
  <c r="H70" i="13" s="1"/>
  <c r="C70" i="13"/>
  <c r="A69" i="13" a="1"/>
  <c r="A69" i="13" s="1"/>
  <c r="D68" i="13" a="1"/>
  <c r="D68" i="13" s="1"/>
  <c r="B67" i="13" a="1"/>
  <c r="B67" i="13" s="1"/>
  <c r="E66" i="13" a="1"/>
  <c r="E66" i="13" s="1"/>
  <c r="H62" i="13" a="1"/>
  <c r="H62" i="13" s="1"/>
  <c r="C62" i="13"/>
  <c r="A61" i="13" a="1"/>
  <c r="A61" i="13" s="1"/>
  <c r="D60" i="13" a="1"/>
  <c r="D60" i="13" s="1"/>
  <c r="B59" i="13" a="1"/>
  <c r="B59" i="13" s="1"/>
  <c r="E58" i="13" a="1"/>
  <c r="E58" i="13" s="1"/>
  <c r="H54" i="13" a="1"/>
  <c r="H54" i="13" s="1"/>
  <c r="C54" i="13"/>
  <c r="A53" i="13" a="1"/>
  <c r="A53" i="13" s="1"/>
  <c r="D52" i="13" a="1"/>
  <c r="D52" i="13" s="1"/>
  <c r="B51" i="13" a="1"/>
  <c r="B51" i="13" s="1"/>
  <c r="E50" i="13" a="1"/>
  <c r="E50" i="13" s="1"/>
  <c r="H46" i="13" a="1"/>
  <c r="H46" i="13" s="1"/>
  <c r="C46" i="13"/>
  <c r="A45" i="13" a="1"/>
  <c r="A45" i="13" s="1"/>
  <c r="D44" i="13" a="1"/>
  <c r="D44" i="13" s="1"/>
  <c r="B43" i="13" a="1"/>
  <c r="B43" i="13" s="1"/>
  <c r="E42" i="13" a="1"/>
  <c r="E42" i="13" s="1"/>
  <c r="H38" i="13" a="1"/>
  <c r="H38" i="13" s="1"/>
  <c r="C38" i="13"/>
  <c r="A37" i="13" a="1"/>
  <c r="A37" i="13" s="1"/>
  <c r="D36" i="13" a="1"/>
  <c r="D36" i="13" s="1"/>
  <c r="D128" i="13" a="1"/>
  <c r="D128" i="13" s="1"/>
  <c r="B118" i="13" a="1"/>
  <c r="B118" i="13" s="1"/>
  <c r="C113" i="13"/>
  <c r="D103" i="13" a="1"/>
  <c r="D103" i="13" s="1"/>
  <c r="E93" i="13" a="1"/>
  <c r="E93" i="13" s="1"/>
  <c r="B77" i="13" a="1"/>
  <c r="B77" i="13" s="1"/>
  <c r="D76" i="13" a="1"/>
  <c r="D76" i="13" s="1"/>
  <c r="H73" i="13" a="1"/>
  <c r="H73" i="13" s="1"/>
  <c r="C73" i="13"/>
  <c r="A72" i="13" a="1"/>
  <c r="A72" i="13" s="1"/>
  <c r="D71" i="13" a="1"/>
  <c r="D71" i="13" s="1"/>
  <c r="B70" i="13" a="1"/>
  <c r="B70" i="13" s="1"/>
  <c r="E69" i="13" a="1"/>
  <c r="E69" i="13" s="1"/>
  <c r="H65" i="13" a="1"/>
  <c r="H65" i="13" s="1"/>
  <c r="C65" i="13"/>
  <c r="A64" i="13" a="1"/>
  <c r="A64" i="13" s="1"/>
  <c r="D63" i="13" a="1"/>
  <c r="D63" i="13" s="1"/>
  <c r="B62" i="13" a="1"/>
  <c r="B62" i="13" s="1"/>
  <c r="E61" i="13" a="1"/>
  <c r="E61" i="13" s="1"/>
  <c r="H57" i="13" a="1"/>
  <c r="H57" i="13" s="1"/>
  <c r="C57" i="13"/>
  <c r="A56" i="13" a="1"/>
  <c r="A56" i="13" s="1"/>
  <c r="D55" i="13" a="1"/>
  <c r="D55" i="13" s="1"/>
  <c r="B54" i="13" a="1"/>
  <c r="B54" i="13" s="1"/>
  <c r="E53" i="13" a="1"/>
  <c r="E53" i="13" s="1"/>
  <c r="H49" i="13" a="1"/>
  <c r="H49" i="13" s="1"/>
  <c r="C49" i="13"/>
  <c r="A48" i="13" a="1"/>
  <c r="A48" i="13" s="1"/>
  <c r="D47" i="13" a="1"/>
  <c r="D47" i="13" s="1"/>
  <c r="B46" i="13" a="1"/>
  <c r="B46" i="13" s="1"/>
  <c r="E45" i="13" a="1"/>
  <c r="E45" i="13" s="1"/>
  <c r="H41" i="13" a="1"/>
  <c r="H41" i="13" s="1"/>
  <c r="C41" i="13"/>
  <c r="A40" i="13" a="1"/>
  <c r="A40" i="13" s="1"/>
  <c r="D39" i="13" a="1"/>
  <c r="D39" i="13" s="1"/>
  <c r="B38" i="13" a="1"/>
  <c r="B38" i="13" s="1"/>
  <c r="E37" i="13" a="1"/>
  <c r="E37" i="13" s="1"/>
  <c r="H33" i="13" a="1"/>
  <c r="H33" i="13" s="1"/>
  <c r="C33" i="13"/>
  <c r="A32" i="13" a="1"/>
  <c r="A32" i="13" s="1"/>
  <c r="D31" i="13" a="1"/>
  <c r="D31" i="13" s="1"/>
  <c r="E127" i="13" a="1"/>
  <c r="E127" i="13" s="1"/>
  <c r="E117" i="13" a="1"/>
  <c r="E117" i="13" s="1"/>
  <c r="H97" i="13" a="1"/>
  <c r="H97" i="13" s="1"/>
  <c r="A88" i="13" a="1"/>
  <c r="A88" i="13" s="1"/>
  <c r="H77" i="13" a="1"/>
  <c r="H77" i="13" s="1"/>
  <c r="A77" i="13" a="1"/>
  <c r="A77" i="13" s="1"/>
  <c r="A75" i="13" a="1"/>
  <c r="A75" i="13" s="1"/>
  <c r="D74" i="13" a="1"/>
  <c r="D74" i="13" s="1"/>
  <c r="B73" i="13" a="1"/>
  <c r="B73" i="13" s="1"/>
  <c r="E72" i="13" a="1"/>
  <c r="E72" i="13" s="1"/>
  <c r="H68" i="13" a="1"/>
  <c r="H68" i="13" s="1"/>
  <c r="C68" i="13"/>
  <c r="A67" i="13" a="1"/>
  <c r="A67" i="13" s="1"/>
  <c r="D66" i="13" a="1"/>
  <c r="D66" i="13" s="1"/>
  <c r="B65" i="13" a="1"/>
  <c r="B65" i="13" s="1"/>
  <c r="E64" i="13" a="1"/>
  <c r="E64" i="13" s="1"/>
  <c r="H60" i="13" a="1"/>
  <c r="H60" i="13" s="1"/>
  <c r="C60" i="13"/>
  <c r="A59" i="13" a="1"/>
  <c r="A59" i="13" s="1"/>
  <c r="D58" i="13" a="1"/>
  <c r="D58" i="13" s="1"/>
  <c r="B57" i="13" a="1"/>
  <c r="B57" i="13" s="1"/>
  <c r="E56" i="13" a="1"/>
  <c r="E56" i="13" s="1"/>
  <c r="H52" i="13" a="1"/>
  <c r="H52" i="13" s="1"/>
  <c r="C52" i="13"/>
  <c r="A51" i="13" a="1"/>
  <c r="A51" i="13" s="1"/>
  <c r="D50" i="13" a="1"/>
  <c r="D50" i="13" s="1"/>
  <c r="B49" i="13" a="1"/>
  <c r="B49" i="13" s="1"/>
  <c r="E48" i="13" a="1"/>
  <c r="E48" i="13" s="1"/>
  <c r="H44" i="13" a="1"/>
  <c r="H44" i="13" s="1"/>
  <c r="C44" i="13"/>
  <c r="A43" i="13" a="1"/>
  <c r="A43" i="13" s="1"/>
  <c r="D42" i="13" a="1"/>
  <c r="D42" i="13" s="1"/>
  <c r="B41" i="13" a="1"/>
  <c r="B41" i="13" s="1"/>
  <c r="E40" i="13" a="1"/>
  <c r="E40" i="13" s="1"/>
  <c r="H36" i="13" a="1"/>
  <c r="H36" i="13" s="1"/>
  <c r="C36" i="13"/>
  <c r="A35" i="13" a="1"/>
  <c r="A35" i="13" s="1"/>
  <c r="D34" i="13" a="1"/>
  <c r="D34" i="13" s="1"/>
  <c r="H126" i="13" a="1"/>
  <c r="H126" i="13" s="1"/>
  <c r="H121" i="13" a="1"/>
  <c r="H121" i="13" s="1"/>
  <c r="A112" i="13" a="1"/>
  <c r="A112" i="13" s="1"/>
  <c r="B102" i="13" a="1"/>
  <c r="B102" i="13" s="1"/>
  <c r="C97" i="13"/>
  <c r="D87" i="13" a="1"/>
  <c r="D87" i="13" s="1"/>
  <c r="E83" i="13" a="1"/>
  <c r="E83" i="13" s="1"/>
  <c r="H81" i="13" a="1"/>
  <c r="H81" i="13" s="1"/>
  <c r="E78" i="13" a="1"/>
  <c r="E78" i="13" s="1"/>
  <c r="C76" i="13"/>
  <c r="E75" i="13" a="1"/>
  <c r="E75" i="13" s="1"/>
  <c r="H71" i="13" a="1"/>
  <c r="H71" i="13" s="1"/>
  <c r="C71" i="13"/>
  <c r="A70" i="13" a="1"/>
  <c r="A70" i="13" s="1"/>
  <c r="D69" i="13" a="1"/>
  <c r="D69" i="13" s="1"/>
  <c r="B68" i="13" a="1"/>
  <c r="B68" i="13" s="1"/>
  <c r="E67" i="13" a="1"/>
  <c r="E67" i="13" s="1"/>
  <c r="H63" i="13" a="1"/>
  <c r="H63" i="13" s="1"/>
  <c r="C63" i="13"/>
  <c r="A62" i="13" a="1"/>
  <c r="A62" i="13" s="1"/>
  <c r="D61" i="13" a="1"/>
  <c r="D61" i="13" s="1"/>
  <c r="B60" i="13" a="1"/>
  <c r="B60" i="13" s="1"/>
  <c r="E59" i="13" a="1"/>
  <c r="E59" i="13" s="1"/>
  <c r="H55" i="13" a="1"/>
  <c r="H55" i="13" s="1"/>
  <c r="C55" i="13"/>
  <c r="A54" i="13" a="1"/>
  <c r="A54" i="13" s="1"/>
  <c r="D53" i="13" a="1"/>
  <c r="D53" i="13" s="1"/>
  <c r="B52" i="13" a="1"/>
  <c r="B52" i="13" s="1"/>
  <c r="E51" i="13" a="1"/>
  <c r="E51" i="13" s="1"/>
  <c r="H47" i="13" a="1"/>
  <c r="H47" i="13" s="1"/>
  <c r="C47" i="13"/>
  <c r="A46" i="13" a="1"/>
  <c r="A46" i="13" s="1"/>
  <c r="D45" i="13" a="1"/>
  <c r="D45" i="13" s="1"/>
  <c r="B44" i="13" a="1"/>
  <c r="B44" i="13" s="1"/>
  <c r="E43" i="13" a="1"/>
  <c r="E43" i="13" s="1"/>
  <c r="H39" i="13" a="1"/>
  <c r="H39" i="13" s="1"/>
  <c r="C39" i="13"/>
  <c r="A38" i="13" a="1"/>
  <c r="A38" i="13" s="1"/>
  <c r="D37" i="13" a="1"/>
  <c r="D37" i="13" s="1"/>
  <c r="B36" i="13" a="1"/>
  <c r="B36" i="13" s="1"/>
  <c r="E35" i="13" a="1"/>
  <c r="E35" i="13" s="1"/>
  <c r="B126" i="13" a="1"/>
  <c r="B126" i="13" s="1"/>
  <c r="C121" i="13"/>
  <c r="D111" i="13" a="1"/>
  <c r="D111" i="13" s="1"/>
  <c r="E101" i="13" a="1"/>
  <c r="E101" i="13" s="1"/>
  <c r="B83" i="13" a="1"/>
  <c r="B83" i="13" s="1"/>
  <c r="D79" i="13" a="1"/>
  <c r="D79" i="13" s="1"/>
  <c r="H76" i="13" a="1"/>
  <c r="H76" i="13" s="1"/>
  <c r="B76" i="13" a="1"/>
  <c r="B76" i="13" s="1"/>
  <c r="H74" i="13" a="1"/>
  <c r="H74" i="13" s="1"/>
  <c r="C74" i="13"/>
  <c r="A73" i="13" a="1"/>
  <c r="A73" i="13" s="1"/>
  <c r="D72" i="13" a="1"/>
  <c r="D72" i="13" s="1"/>
  <c r="B71" i="13" a="1"/>
  <c r="B71" i="13" s="1"/>
  <c r="E70" i="13" a="1"/>
  <c r="E70" i="13" s="1"/>
  <c r="H66" i="13" a="1"/>
  <c r="H66" i="13" s="1"/>
  <c r="C66" i="13"/>
  <c r="A65" i="13" a="1"/>
  <c r="A65" i="13" s="1"/>
  <c r="D64" i="13" a="1"/>
  <c r="D64" i="13" s="1"/>
  <c r="B63" i="13" a="1"/>
  <c r="B63" i="13" s="1"/>
  <c r="E62" i="13" a="1"/>
  <c r="E62" i="13" s="1"/>
  <c r="H58" i="13" a="1"/>
  <c r="H58" i="13" s="1"/>
  <c r="C58" i="13"/>
  <c r="A57" i="13" a="1"/>
  <c r="A57" i="13" s="1"/>
  <c r="D56" i="13" a="1"/>
  <c r="D56" i="13" s="1"/>
  <c r="B55" i="13" a="1"/>
  <c r="B55" i="13" s="1"/>
  <c r="E54" i="13" a="1"/>
  <c r="E54" i="13" s="1"/>
  <c r="H50" i="13" a="1"/>
  <c r="H50" i="13" s="1"/>
  <c r="C50" i="13"/>
  <c r="A49" i="13" a="1"/>
  <c r="A49" i="13" s="1"/>
  <c r="D48" i="13" a="1"/>
  <c r="D48" i="13" s="1"/>
  <c r="B47" i="13" a="1"/>
  <c r="B47" i="13" s="1"/>
  <c r="E46" i="13" a="1"/>
  <c r="E46" i="13" s="1"/>
  <c r="H42" i="13" a="1"/>
  <c r="H42" i="13" s="1"/>
  <c r="C42" i="13"/>
  <c r="A41" i="13" a="1"/>
  <c r="A41" i="13" s="1"/>
  <c r="D40" i="13" a="1"/>
  <c r="D40" i="13" s="1"/>
  <c r="B39" i="13" a="1"/>
  <c r="B39" i="13" s="1"/>
  <c r="E38" i="13" a="1"/>
  <c r="E38" i="13" s="1"/>
  <c r="H34" i="13" a="1"/>
  <c r="H34" i="13" s="1"/>
  <c r="E125" i="13" a="1"/>
  <c r="E125" i="13" s="1"/>
  <c r="H105" i="13" a="1"/>
  <c r="H105" i="13" s="1"/>
  <c r="A96" i="13" a="1"/>
  <c r="A96" i="13" s="1"/>
  <c r="B86" i="13" a="1"/>
  <c r="B86" i="13" s="1"/>
  <c r="C80" i="13"/>
  <c r="C79" i="13"/>
  <c r="D78" i="13" a="1"/>
  <c r="D78" i="13" s="1"/>
  <c r="E77" i="13" a="1"/>
  <c r="E77" i="13" s="1"/>
  <c r="D75" i="13" a="1"/>
  <c r="D75" i="13" s="1"/>
  <c r="B74" i="13" a="1"/>
  <c r="B74" i="13" s="1"/>
  <c r="E73" i="13" a="1"/>
  <c r="E73" i="13" s="1"/>
  <c r="H69" i="13" a="1"/>
  <c r="H69" i="13" s="1"/>
  <c r="C69" i="13"/>
  <c r="A68" i="13" a="1"/>
  <c r="A68" i="13" s="1"/>
  <c r="D67" i="13" a="1"/>
  <c r="D67" i="13" s="1"/>
  <c r="B66" i="13" a="1"/>
  <c r="B66" i="13" s="1"/>
  <c r="E65" i="13" a="1"/>
  <c r="E65" i="13" s="1"/>
  <c r="H61" i="13" a="1"/>
  <c r="H61" i="13" s="1"/>
  <c r="C61" i="13"/>
  <c r="A60" i="13" a="1"/>
  <c r="A60" i="13" s="1"/>
  <c r="D59" i="13" a="1"/>
  <c r="D59" i="13" s="1"/>
  <c r="B58" i="13" a="1"/>
  <c r="B58" i="13" s="1"/>
  <c r="E57" i="13" a="1"/>
  <c r="E57" i="13" s="1"/>
  <c r="H53" i="13" a="1"/>
  <c r="H53" i="13" s="1"/>
  <c r="C53" i="13"/>
  <c r="A52" i="13" a="1"/>
  <c r="A52" i="13" s="1"/>
  <c r="D51" i="13" a="1"/>
  <c r="D51" i="13" s="1"/>
  <c r="B50" i="13" a="1"/>
  <c r="B50" i="13" s="1"/>
  <c r="E49" i="13" a="1"/>
  <c r="E49" i="13" s="1"/>
  <c r="H45" i="13" a="1"/>
  <c r="H45" i="13" s="1"/>
  <c r="C45" i="13"/>
  <c r="A44" i="13" a="1"/>
  <c r="A44" i="13" s="1"/>
  <c r="D43" i="13" a="1"/>
  <c r="D43" i="13" s="1"/>
  <c r="B42" i="13" a="1"/>
  <c r="B42" i="13" s="1"/>
  <c r="E41" i="13" a="1"/>
  <c r="E41" i="13" s="1"/>
  <c r="H37" i="13" a="1"/>
  <c r="H37" i="13" s="1"/>
  <c r="C37" i="13"/>
  <c r="A36" i="13" a="1"/>
  <c r="A36" i="13" s="1"/>
  <c r="D35" i="13" a="1"/>
  <c r="D35" i="13" s="1"/>
  <c r="B34" i="13" a="1"/>
  <c r="B34" i="13" s="1"/>
  <c r="A120" i="13" a="1"/>
  <c r="A120" i="13" s="1"/>
  <c r="B110" i="13" a="1"/>
  <c r="B110" i="13" s="1"/>
  <c r="C105" i="13"/>
  <c r="D95" i="13" a="1"/>
  <c r="D95" i="13" s="1"/>
  <c r="E85" i="13" a="1"/>
  <c r="E85" i="13" s="1"/>
  <c r="C81" i="13"/>
  <c r="C78" i="13"/>
  <c r="D77" i="13" a="1"/>
  <c r="D77" i="13" s="1"/>
  <c r="A76" i="13" a="1"/>
  <c r="A76" i="13" s="1"/>
  <c r="H72" i="13" a="1"/>
  <c r="H72" i="13" s="1"/>
  <c r="C72" i="13"/>
  <c r="A71" i="13" a="1"/>
  <c r="A71" i="13" s="1"/>
  <c r="D70" i="13" a="1"/>
  <c r="D70" i="13" s="1"/>
  <c r="B69" i="13" a="1"/>
  <c r="B69" i="13" s="1"/>
  <c r="E68" i="13" a="1"/>
  <c r="E68" i="13" s="1"/>
  <c r="H64" i="13" a="1"/>
  <c r="H64" i="13" s="1"/>
  <c r="C64" i="13"/>
  <c r="A63" i="13" a="1"/>
  <c r="A63" i="13" s="1"/>
  <c r="D62" i="13" a="1"/>
  <c r="D62" i="13" s="1"/>
  <c r="B61" i="13" a="1"/>
  <c r="B61" i="13" s="1"/>
  <c r="E60" i="13" a="1"/>
  <c r="E60" i="13" s="1"/>
  <c r="H56" i="13" a="1"/>
  <c r="H56" i="13" s="1"/>
  <c r="C56" i="13"/>
  <c r="A55" i="13" a="1"/>
  <c r="A55" i="13" s="1"/>
  <c r="D54" i="13" a="1"/>
  <c r="D54" i="13" s="1"/>
  <c r="B53" i="13" a="1"/>
  <c r="B53" i="13" s="1"/>
  <c r="E52" i="13" a="1"/>
  <c r="E52" i="13" s="1"/>
  <c r="H48" i="13" a="1"/>
  <c r="H48" i="13" s="1"/>
  <c r="C48" i="13"/>
  <c r="A47" i="13" a="1"/>
  <c r="A47" i="13" s="1"/>
  <c r="D46" i="13" a="1"/>
  <c r="D46" i="13" s="1"/>
  <c r="B45" i="13" a="1"/>
  <c r="B45" i="13" s="1"/>
  <c r="E44" i="13" a="1"/>
  <c r="E44" i="13" s="1"/>
  <c r="H40" i="13" a="1"/>
  <c r="H40" i="13" s="1"/>
  <c r="C40" i="13"/>
  <c r="A39" i="13" a="1"/>
  <c r="A39" i="13" s="1"/>
  <c r="D38" i="13" a="1"/>
  <c r="D38" i="13" s="1"/>
  <c r="B37" i="13" a="1"/>
  <c r="B37" i="13" s="1"/>
  <c r="E36" i="13" a="1"/>
  <c r="E36" i="13" s="1"/>
  <c r="H32" i="13" a="1"/>
  <c r="H32" i="13" s="1"/>
  <c r="B32" i="13" a="1"/>
  <c r="B32" i="13" s="1"/>
  <c r="B30" i="13" a="1"/>
  <c r="B30" i="13" s="1"/>
  <c r="E29" i="13" a="1"/>
  <c r="E29" i="13" s="1"/>
  <c r="H25" i="13" a="1"/>
  <c r="H25" i="13" s="1"/>
  <c r="C25" i="13"/>
  <c r="A24" i="13" a="1"/>
  <c r="A24" i="13" s="1"/>
  <c r="D23" i="13" a="1"/>
  <c r="D23" i="13" s="1"/>
  <c r="B22" i="13" a="1"/>
  <c r="B22" i="13" s="1"/>
  <c r="E21" i="13" a="1"/>
  <c r="E21" i="13" s="1"/>
  <c r="H17" i="13" a="1"/>
  <c r="H17" i="13" s="1"/>
  <c r="C17" i="13"/>
  <c r="A16" i="13" a="1"/>
  <c r="A16" i="13" s="1"/>
  <c r="D15" i="13" a="1"/>
  <c r="D15" i="13" s="1"/>
  <c r="B14" i="13" a="1"/>
  <c r="B14" i="13" s="1"/>
  <c r="E13" i="13" a="1"/>
  <c r="E13" i="13" s="1"/>
  <c r="H9" i="13" a="1"/>
  <c r="H9" i="13" s="1"/>
  <c r="C9" i="13"/>
  <c r="A8" i="13" a="1"/>
  <c r="A8" i="13" s="1"/>
  <c r="D7" i="13" a="1"/>
  <c r="D7" i="13" s="1"/>
  <c r="B6" i="13" a="1"/>
  <c r="B6" i="13" s="1"/>
  <c r="E5" i="13" a="1"/>
  <c r="E5" i="13" s="1"/>
  <c r="B35" i="13" a="1"/>
  <c r="B35" i="13" s="1"/>
  <c r="H28" i="13" a="1"/>
  <c r="H28" i="13" s="1"/>
  <c r="C28" i="13"/>
  <c r="A27" i="13" a="1"/>
  <c r="A27" i="13" s="1"/>
  <c r="D26" i="13" a="1"/>
  <c r="D26" i="13" s="1"/>
  <c r="B25" i="13" a="1"/>
  <c r="B25" i="13" s="1"/>
  <c r="E24" i="13" a="1"/>
  <c r="E24" i="13" s="1"/>
  <c r="H20" i="13" a="1"/>
  <c r="H20" i="13" s="1"/>
  <c r="C20" i="13"/>
  <c r="A19" i="13" a="1"/>
  <c r="A19" i="13" s="1"/>
  <c r="D18" i="13" a="1"/>
  <c r="D18" i="13" s="1"/>
  <c r="B17" i="13" a="1"/>
  <c r="B17" i="13" s="1"/>
  <c r="E16" i="13" a="1"/>
  <c r="E16" i="13" s="1"/>
  <c r="H12" i="13" a="1"/>
  <c r="H12" i="13" s="1"/>
  <c r="C12" i="13"/>
  <c r="A11" i="13" a="1"/>
  <c r="A11" i="13" s="1"/>
  <c r="D10" i="13" a="1"/>
  <c r="D10" i="13" s="1"/>
  <c r="B9" i="13" a="1"/>
  <c r="B9" i="13" s="1"/>
  <c r="E8" i="13" a="1"/>
  <c r="E8" i="13" s="1"/>
  <c r="H4" i="13" a="1"/>
  <c r="H4" i="13" s="1"/>
  <c r="C4" i="13"/>
  <c r="A3" i="13" a="1"/>
  <c r="A3" i="13" s="1"/>
  <c r="E33" i="13" a="1"/>
  <c r="E33" i="13" s="1"/>
  <c r="C31" i="13"/>
  <c r="A30" i="13" a="1"/>
  <c r="A30" i="13" s="1"/>
  <c r="D29" i="13" a="1"/>
  <c r="D29" i="13" s="1"/>
  <c r="B28" i="13" a="1"/>
  <c r="B28" i="13" s="1"/>
  <c r="E27" i="13" a="1"/>
  <c r="E27" i="13" s="1"/>
  <c r="H23" i="13" a="1"/>
  <c r="H23" i="13" s="1"/>
  <c r="C23" i="13"/>
  <c r="A22" i="13" a="1"/>
  <c r="A22" i="13" s="1"/>
  <c r="D21" i="13" a="1"/>
  <c r="D21" i="13" s="1"/>
  <c r="B20" i="13" a="1"/>
  <c r="B20" i="13" s="1"/>
  <c r="E19" i="13" a="1"/>
  <c r="E19" i="13" s="1"/>
  <c r="H15" i="13" a="1"/>
  <c r="H15" i="13" s="1"/>
  <c r="C15" i="13"/>
  <c r="A14" i="13" a="1"/>
  <c r="A14" i="13" s="1"/>
  <c r="D13" i="13" a="1"/>
  <c r="D13" i="13" s="1"/>
  <c r="B12" i="13" a="1"/>
  <c r="B12" i="13" s="1"/>
  <c r="E11" i="13" a="1"/>
  <c r="E11" i="13" s="1"/>
  <c r="H7" i="13" a="1"/>
  <c r="H7" i="13" s="1"/>
  <c r="C7" i="13"/>
  <c r="A6" i="13" a="1"/>
  <c r="A6" i="13" s="1"/>
  <c r="D5" i="13" a="1"/>
  <c r="D5" i="13" s="1"/>
  <c r="B4" i="13" a="1"/>
  <c r="B4" i="13" s="1"/>
  <c r="E34" i="13" a="1"/>
  <c r="E34" i="13" s="1"/>
  <c r="D33" i="13" a="1"/>
  <c r="D33" i="13" s="1"/>
  <c r="E32" i="13" a="1"/>
  <c r="E32" i="13" s="1"/>
  <c r="H31" i="13" a="1"/>
  <c r="H31" i="13" s="1"/>
  <c r="B31" i="13" a="1"/>
  <c r="B31" i="13" s="1"/>
  <c r="E30" i="13" a="1"/>
  <c r="E30" i="13" s="1"/>
  <c r="H26" i="13" a="1"/>
  <c r="H26" i="13" s="1"/>
  <c r="C26" i="13"/>
  <c r="A25" i="13" a="1"/>
  <c r="A25" i="13" s="1"/>
  <c r="D24" i="13" a="1"/>
  <c r="D24" i="13" s="1"/>
  <c r="B23" i="13" a="1"/>
  <c r="B23" i="13" s="1"/>
  <c r="E22" i="13" a="1"/>
  <c r="E22" i="13" s="1"/>
  <c r="H18" i="13" a="1"/>
  <c r="H18" i="13" s="1"/>
  <c r="C18" i="13"/>
  <c r="A17" i="13" a="1"/>
  <c r="A17" i="13" s="1"/>
  <c r="D16" i="13" a="1"/>
  <c r="D16" i="13" s="1"/>
  <c r="B15" i="13" a="1"/>
  <c r="B15" i="13" s="1"/>
  <c r="E14" i="13" a="1"/>
  <c r="E14" i="13" s="1"/>
  <c r="H10" i="13" a="1"/>
  <c r="H10" i="13" s="1"/>
  <c r="C10" i="13"/>
  <c r="A9" i="13" a="1"/>
  <c r="A9" i="13" s="1"/>
  <c r="H29" i="13" a="1"/>
  <c r="H29" i="13" s="1"/>
  <c r="C29" i="13"/>
  <c r="A28" i="13" a="1"/>
  <c r="A28" i="13" s="1"/>
  <c r="D27" i="13" a="1"/>
  <c r="D27" i="13" s="1"/>
  <c r="B26" i="13" a="1"/>
  <c r="B26" i="13" s="1"/>
  <c r="E25" i="13" a="1"/>
  <c r="E25" i="13" s="1"/>
  <c r="H21" i="13" a="1"/>
  <c r="H21" i="13" s="1"/>
  <c r="C21" i="13"/>
  <c r="A20" i="13" a="1"/>
  <c r="A20" i="13" s="1"/>
  <c r="D19" i="13" a="1"/>
  <c r="D19" i="13" s="1"/>
  <c r="B18" i="13" a="1"/>
  <c r="B18" i="13" s="1"/>
  <c r="E17" i="13" a="1"/>
  <c r="E17" i="13" s="1"/>
  <c r="H13" i="13" a="1"/>
  <c r="H13" i="13" s="1"/>
  <c r="C13" i="13"/>
  <c r="A12" i="13" a="1"/>
  <c r="A12" i="13" s="1"/>
  <c r="D11" i="13" a="1"/>
  <c r="D11" i="13" s="1"/>
  <c r="B10" i="13" a="1"/>
  <c r="B10" i="13" s="1"/>
  <c r="E9" i="13" a="1"/>
  <c r="E9" i="13" s="1"/>
  <c r="H5" i="13" a="1"/>
  <c r="H5" i="13" s="1"/>
  <c r="C5" i="13"/>
  <c r="A4" i="13" a="1"/>
  <c r="A4" i="13" s="1"/>
  <c r="D3" i="13" a="1"/>
  <c r="D3" i="13" s="1"/>
  <c r="B2" i="13" a="1"/>
  <c r="B2" i="13" s="1"/>
  <c r="C34" i="13"/>
  <c r="B33" i="13" a="1"/>
  <c r="B33" i="13" s="1"/>
  <c r="D32" i="13" a="1"/>
  <c r="D32" i="13" s="1"/>
  <c r="A31" i="13" a="1"/>
  <c r="A31" i="13" s="1"/>
  <c r="D30" i="13" a="1"/>
  <c r="D30" i="13" s="1"/>
  <c r="B29" i="13" a="1"/>
  <c r="B29" i="13" s="1"/>
  <c r="E28" i="13" a="1"/>
  <c r="E28" i="13" s="1"/>
  <c r="H24" i="13" a="1"/>
  <c r="H24" i="13" s="1"/>
  <c r="C24" i="13"/>
  <c r="A23" i="13" a="1"/>
  <c r="A23" i="13" s="1"/>
  <c r="D22" i="13" a="1"/>
  <c r="D22" i="13" s="1"/>
  <c r="B21" i="13" a="1"/>
  <c r="B21" i="13" s="1"/>
  <c r="E20" i="13" a="1"/>
  <c r="E20" i="13" s="1"/>
  <c r="H16" i="13" a="1"/>
  <c r="H16" i="13" s="1"/>
  <c r="C16" i="13"/>
  <c r="A15" i="13" a="1"/>
  <c r="A15" i="13" s="1"/>
  <c r="D14" i="13" a="1"/>
  <c r="D14" i="13" s="1"/>
  <c r="B13" i="13" a="1"/>
  <c r="B13" i="13" s="1"/>
  <c r="E12" i="13" a="1"/>
  <c r="E12" i="13" s="1"/>
  <c r="H8" i="13" a="1"/>
  <c r="H8" i="13" s="1"/>
  <c r="H27" i="13" a="1"/>
  <c r="H27" i="13" s="1"/>
  <c r="C27" i="13"/>
  <c r="A26" i="13" a="1"/>
  <c r="A26" i="13" s="1"/>
  <c r="D25" i="13" a="1"/>
  <c r="D25" i="13" s="1"/>
  <c r="B24" i="13" a="1"/>
  <c r="B24" i="13" s="1"/>
  <c r="E23" i="13" a="1"/>
  <c r="E23" i="13" s="1"/>
  <c r="H19" i="13" a="1"/>
  <c r="H19" i="13" s="1"/>
  <c r="C19" i="13"/>
  <c r="A18" i="13" a="1"/>
  <c r="A18" i="13" s="1"/>
  <c r="D17" i="13" a="1"/>
  <c r="D17" i="13" s="1"/>
  <c r="B16" i="13" a="1"/>
  <c r="B16" i="13" s="1"/>
  <c r="E15" i="13" a="1"/>
  <c r="E15" i="13" s="1"/>
  <c r="H11" i="13" a="1"/>
  <c r="H11" i="13" s="1"/>
  <c r="C11" i="13"/>
  <c r="A10" i="13" a="1"/>
  <c r="A10" i="13" s="1"/>
  <c r="D9" i="13" a="1"/>
  <c r="D9" i="13" s="1"/>
  <c r="B8" i="13" a="1"/>
  <c r="B8" i="13" s="1"/>
  <c r="E7" i="13" a="1"/>
  <c r="E7" i="13" s="1"/>
  <c r="H3" i="13" a="1"/>
  <c r="H3" i="13" s="1"/>
  <c r="C3" i="13"/>
  <c r="A2" i="13" a="1"/>
  <c r="A2" i="13" s="1"/>
  <c r="D28" i="13" a="1"/>
  <c r="D28" i="13" s="1"/>
  <c r="E18" i="13" a="1"/>
  <c r="E18" i="13" s="1"/>
  <c r="A7" i="13" a="1"/>
  <c r="A7" i="13" s="1"/>
  <c r="E2" i="13" a="1"/>
  <c r="E2" i="13" s="1"/>
  <c r="A33" i="13" a="1"/>
  <c r="A33" i="13" s="1"/>
  <c r="H22" i="13" a="1"/>
  <c r="H22" i="13" s="1"/>
  <c r="A13" i="13" a="1"/>
  <c r="A13" i="13" s="1"/>
  <c r="D8" i="13" a="1"/>
  <c r="D8" i="13" s="1"/>
  <c r="H6" i="13" a="1"/>
  <c r="H6" i="13" s="1"/>
  <c r="C32" i="13"/>
  <c r="B27" i="13" a="1"/>
  <c r="B27" i="13" s="1"/>
  <c r="C22" i="13"/>
  <c r="D12" i="13" a="1"/>
  <c r="D12" i="13" s="1"/>
  <c r="C8" i="13"/>
  <c r="E6" i="13" a="1"/>
  <c r="E6" i="13" s="1"/>
  <c r="A5" i="13" a="1"/>
  <c r="A5" i="13" s="1"/>
  <c r="E31" i="13" a="1"/>
  <c r="E31" i="13" s="1"/>
  <c r="E26" i="13" a="1"/>
  <c r="E26" i="13" s="1"/>
  <c r="D6" i="13" a="1"/>
  <c r="D6" i="13" s="1"/>
  <c r="C2" i="13"/>
  <c r="H30" i="13" a="1"/>
  <c r="H30" i="13" s="1"/>
  <c r="A21" i="13" a="1"/>
  <c r="A21" i="13" s="1"/>
  <c r="B11" i="13" a="1"/>
  <c r="B11" i="13" s="1"/>
  <c r="C6" i="13"/>
  <c r="E4" i="13" a="1"/>
  <c r="E4" i="13" s="1"/>
  <c r="B3" i="13" a="1"/>
  <c r="B3" i="13" s="1"/>
  <c r="C30" i="13"/>
  <c r="D20" i="13" a="1"/>
  <c r="D20" i="13" s="1"/>
  <c r="E10" i="13" a="1"/>
  <c r="E10" i="13" s="1"/>
  <c r="D4" i="13" a="1"/>
  <c r="D4" i="13" s="1"/>
  <c r="H14" i="13" a="1"/>
  <c r="H14" i="13" s="1"/>
  <c r="H2" i="13" a="1"/>
  <c r="H2" i="13" s="1"/>
  <c r="A29" i="13" a="1"/>
  <c r="A29" i="13" s="1"/>
  <c r="B19" i="13" a="1"/>
  <c r="B19" i="13" s="1"/>
  <c r="C14" i="13"/>
  <c r="B7" i="13" a="1"/>
  <c r="B7" i="13" s="1"/>
  <c r="B5" i="13" a="1"/>
  <c r="B5" i="13" s="1"/>
  <c r="E3" i="13" a="1"/>
  <c r="E3" i="13" s="1"/>
  <c r="D2" i="13" a="1"/>
  <c r="D2" i="13" s="1"/>
  <c r="C371" i="12"/>
  <c r="CA373" i="7"/>
  <c r="C282" i="12"/>
  <c r="CA284" i="7"/>
  <c r="C142" i="12"/>
  <c r="CA144" i="7"/>
  <c r="C159" i="12"/>
  <c r="CA161" i="7"/>
  <c r="C375" i="12"/>
  <c r="CA377" i="7"/>
  <c r="C90" i="12"/>
  <c r="CA92" i="7"/>
  <c r="C129" i="12"/>
  <c r="CA131" i="7"/>
  <c r="C106" i="12"/>
  <c r="CA108" i="7"/>
  <c r="C243" i="12"/>
  <c r="CA245" i="7"/>
  <c r="C134" i="12"/>
  <c r="CA136" i="7"/>
  <c r="C17" i="12"/>
  <c r="CA19" i="7"/>
  <c r="C312" i="12"/>
  <c r="CA314" i="7"/>
  <c r="C94" i="12"/>
  <c r="CA96" i="7"/>
  <c r="C21" i="12"/>
  <c r="CA23" i="7"/>
  <c r="C228" i="12"/>
  <c r="CA230" i="7"/>
  <c r="C244" i="12"/>
  <c r="CA246" i="7"/>
  <c r="C227" i="12"/>
  <c r="CA229" i="7"/>
  <c r="C306" i="12"/>
  <c r="CA308" i="7"/>
  <c r="C156" i="12"/>
  <c r="CA158" i="7"/>
  <c r="G2" i="12"/>
  <c r="K12" i="5"/>
  <c r="C133" i="12"/>
  <c r="CA135" i="7"/>
  <c r="C77" i="12"/>
  <c r="CA79" i="7"/>
  <c r="C268" i="12"/>
  <c r="CA270" i="7"/>
  <c r="C122" i="12"/>
  <c r="CA124" i="7"/>
  <c r="C33" i="12"/>
  <c r="CA35" i="7"/>
  <c r="C132" i="12"/>
  <c r="CA134" i="7"/>
  <c r="C198" i="12"/>
  <c r="CA200" i="7"/>
  <c r="C218" i="12"/>
  <c r="CA220" i="7"/>
  <c r="C263" i="12"/>
  <c r="CA265" i="7"/>
  <c r="C3" i="12"/>
  <c r="CA5" i="7"/>
  <c r="C266" i="12"/>
  <c r="CA268" i="7"/>
  <c r="C326" i="12"/>
  <c r="CA328" i="7"/>
  <c r="C264" i="12"/>
  <c r="CA266" i="7"/>
  <c r="C68" i="12"/>
  <c r="CA70" i="7"/>
  <c r="C225" i="12"/>
  <c r="CA227" i="7"/>
  <c r="C345" i="12"/>
  <c r="CA347" i="7"/>
  <c r="C274" i="12"/>
  <c r="CA276" i="7"/>
  <c r="C182" i="12"/>
  <c r="CA184" i="7"/>
  <c r="C380" i="12"/>
  <c r="CA382" i="7"/>
  <c r="C176" i="12"/>
  <c r="CA178" i="7"/>
  <c r="C211" i="12"/>
  <c r="CA213" i="7"/>
  <c r="C82" i="12"/>
  <c r="CA84" i="7"/>
  <c r="C316" i="12"/>
  <c r="CA318" i="7"/>
  <c r="C64" i="12"/>
  <c r="CA66" i="7"/>
  <c r="C70" i="12"/>
  <c r="CA72" i="7"/>
  <c r="C271" i="12"/>
  <c r="CA273" i="7"/>
  <c r="C97" i="12"/>
  <c r="CA99" i="7"/>
  <c r="C109" i="12"/>
  <c r="CA111" i="7"/>
  <c r="C347" i="12"/>
  <c r="CA349" i="7"/>
  <c r="C217" i="12"/>
  <c r="CA219" i="7"/>
  <c r="C160" i="12"/>
  <c r="CA162" i="7"/>
  <c r="C250" i="12"/>
  <c r="CA252" i="7"/>
  <c r="C231" i="12"/>
  <c r="CA233" i="7"/>
  <c r="C67" i="12"/>
  <c r="CA69" i="7"/>
  <c r="C99" i="12"/>
  <c r="CA101" i="7"/>
  <c r="J12" i="5"/>
  <c r="C35" i="12"/>
  <c r="CA37" i="7"/>
  <c r="C249" i="12"/>
  <c r="CA251" i="7"/>
  <c r="C229" i="12"/>
  <c r="CA231" i="7"/>
  <c r="C120" i="12"/>
  <c r="CA122" i="7"/>
  <c r="C201" i="12"/>
  <c r="CA203" i="7"/>
  <c r="C357" i="12"/>
  <c r="CA359" i="7"/>
  <c r="C205" i="12"/>
  <c r="CA207" i="7"/>
  <c r="C223" i="12"/>
  <c r="CA225" i="7"/>
  <c r="C248" i="12"/>
  <c r="CA250" i="7"/>
  <c r="C214" i="12"/>
  <c r="CA216" i="7"/>
  <c r="C148" i="12"/>
  <c r="CA150" i="7"/>
  <c r="C4" i="12"/>
  <c r="CA6" i="7"/>
  <c r="C367" i="12"/>
  <c r="CA369" i="7"/>
  <c r="C222" i="12"/>
  <c r="CA224" i="7"/>
  <c r="C169" i="12"/>
  <c r="CA171" i="7"/>
  <c r="C63" i="12"/>
  <c r="CA65" i="7"/>
  <c r="C292" i="12"/>
  <c r="CA294" i="7"/>
  <c r="C2" i="12"/>
  <c r="CA4" i="7"/>
  <c r="K24" i="5"/>
  <c r="T23" i="3"/>
  <c r="C46" i="12"/>
  <c r="CA48" i="7"/>
  <c r="C116" i="12"/>
  <c r="CA118" i="7"/>
  <c r="C150" i="12"/>
  <c r="CA152" i="7"/>
  <c r="C285" i="12"/>
  <c r="CA287" i="7"/>
  <c r="C124" i="12"/>
  <c r="CA126" i="7"/>
  <c r="C171" i="12"/>
  <c r="CA173" i="7"/>
  <c r="C184" i="12"/>
  <c r="CA186" i="7"/>
  <c r="C308" i="12"/>
  <c r="CA310" i="7"/>
  <c r="C52" i="12"/>
  <c r="CA54" i="7"/>
  <c r="C166" i="12"/>
  <c r="CA168" i="7"/>
  <c r="C108" i="12"/>
  <c r="CA110" i="7"/>
  <c r="C158" i="12"/>
  <c r="CA160" i="7"/>
  <c r="C98" i="12"/>
  <c r="CA100" i="7"/>
  <c r="C66" i="12"/>
  <c r="CA68" i="7"/>
  <c r="C140" i="12"/>
  <c r="CA142" i="7"/>
  <c r="C368" i="12"/>
  <c r="CA370" i="7"/>
  <c r="C209" i="12"/>
  <c r="CA211" i="7"/>
  <c r="C333" i="12"/>
  <c r="CA335" i="7"/>
  <c r="C141" i="12"/>
  <c r="CA143" i="7"/>
  <c r="C168" i="12"/>
  <c r="CA170" i="7"/>
  <c r="C219" i="12"/>
  <c r="CA221" i="7"/>
  <c r="C112" i="12"/>
  <c r="CA114" i="7"/>
  <c r="C119" i="12"/>
  <c r="CA121" i="7"/>
  <c r="C152" i="12"/>
  <c r="CA154" i="7"/>
  <c r="C234" i="12"/>
  <c r="CA236" i="7"/>
  <c r="C65" i="12"/>
  <c r="CA67" i="7"/>
  <c r="C42" i="12"/>
  <c r="CA44" i="7"/>
  <c r="C233" i="12"/>
  <c r="CA235" i="7"/>
  <c r="C92" i="12"/>
  <c r="CA94" i="7"/>
  <c r="C188" i="12"/>
  <c r="CA190" i="7"/>
  <c r="C8" i="12"/>
  <c r="CA10" i="7"/>
  <c r="C196" i="12"/>
  <c r="CA198" i="7"/>
  <c r="C309" i="12"/>
  <c r="CA311" i="7"/>
  <c r="C385" i="12"/>
  <c r="CA387" i="7"/>
  <c r="C157" i="12"/>
  <c r="CA159" i="7"/>
  <c r="C255" i="12"/>
  <c r="CA257" i="7"/>
  <c r="C361" i="12"/>
  <c r="CA363" i="7"/>
  <c r="C164" i="12"/>
  <c r="CA166" i="7"/>
  <c r="C382" i="12"/>
  <c r="CA384" i="7"/>
  <c r="C73" i="12"/>
  <c r="CA75" i="7"/>
  <c r="C301" i="12"/>
  <c r="CA303" i="7"/>
  <c r="C24" i="12"/>
  <c r="CA26" i="7"/>
  <c r="C87" i="12"/>
  <c r="CA89" i="7"/>
  <c r="C310" i="12"/>
  <c r="CA312" i="7"/>
  <c r="C62" i="12"/>
  <c r="CA64" i="7"/>
  <c r="C110" i="12"/>
  <c r="CA112" i="7"/>
  <c r="C165" i="12"/>
  <c r="CA167" i="7"/>
  <c r="C162" i="12"/>
  <c r="CA164" i="7"/>
  <c r="C40" i="12"/>
  <c r="CA42" i="7"/>
  <c r="C30" i="12"/>
  <c r="CA32" i="7"/>
  <c r="C174" i="12"/>
  <c r="CA176" i="7"/>
  <c r="C155" i="12"/>
  <c r="CA157" i="7"/>
  <c r="C329" i="12"/>
  <c r="CA331" i="7"/>
  <c r="C297" i="12"/>
  <c r="CA299" i="7"/>
  <c r="C269" i="12"/>
  <c r="CA271" i="7"/>
  <c r="C294" i="12"/>
  <c r="CA296" i="7"/>
  <c r="C147" i="12"/>
  <c r="CA149" i="7"/>
  <c r="C32" i="12"/>
  <c r="CA34" i="7"/>
  <c r="C113" i="12"/>
  <c r="CA115" i="7"/>
  <c r="C224" i="12"/>
  <c r="CA226" i="7"/>
  <c r="C75" i="12"/>
  <c r="CA77" i="7"/>
  <c r="C167" i="12"/>
  <c r="CA169" i="7"/>
  <c r="C202" i="12"/>
  <c r="CA204" i="7"/>
  <c r="C265" i="12"/>
  <c r="CA267" i="7"/>
  <c r="C381" i="12"/>
  <c r="CA383" i="7"/>
  <c r="C359" i="12"/>
  <c r="CA361" i="7"/>
  <c r="C293" i="12"/>
  <c r="CA295" i="7"/>
  <c r="C254" i="12"/>
  <c r="CA256" i="7"/>
  <c r="C315" i="12"/>
  <c r="CA317" i="7"/>
  <c r="C374" i="12"/>
  <c r="CA376" i="7"/>
  <c r="C85" i="12"/>
  <c r="CA87" i="7"/>
  <c r="C163" i="12"/>
  <c r="CA165" i="7"/>
  <c r="C337" i="12"/>
  <c r="CA339" i="7"/>
  <c r="C383" i="12"/>
  <c r="CA385" i="7"/>
  <c r="C235" i="12"/>
  <c r="CA237" i="7"/>
  <c r="C22" i="12"/>
  <c r="CA24" i="7"/>
  <c r="C55" i="12"/>
  <c r="CA57" i="7"/>
  <c r="C200" i="12"/>
  <c r="CA202" i="7"/>
  <c r="C115" i="12"/>
  <c r="CA117" i="7"/>
  <c r="C369" i="12"/>
  <c r="CA371" i="7"/>
  <c r="C44" i="12"/>
  <c r="CA46" i="7"/>
  <c r="C149" i="12"/>
  <c r="CA151" i="7"/>
  <c r="C12" i="12"/>
  <c r="CA14" i="7"/>
  <c r="C370" i="12"/>
  <c r="CA372" i="7"/>
  <c r="C277" i="12"/>
  <c r="CA279" i="7"/>
  <c r="C363" i="12"/>
  <c r="CA365" i="7"/>
  <c r="C28" i="12"/>
  <c r="CA30" i="7"/>
  <c r="C311" i="12"/>
  <c r="CA313" i="7"/>
  <c r="C93" i="12"/>
  <c r="CA95" i="7"/>
  <c r="C379" i="12"/>
  <c r="CA381" i="7"/>
  <c r="C54" i="12"/>
  <c r="CA56" i="7"/>
  <c r="C56" i="12"/>
  <c r="CA58" i="7"/>
  <c r="C208" i="12"/>
  <c r="CA210" i="7"/>
  <c r="C185" i="12"/>
  <c r="CA187" i="7"/>
  <c r="C364" i="12"/>
  <c r="CA366" i="7"/>
  <c r="C215" i="12"/>
  <c r="CA217" i="7"/>
  <c r="C38" i="12"/>
  <c r="CA40" i="7"/>
  <c r="C240" i="12"/>
  <c r="CA242" i="7"/>
  <c r="C230" i="12"/>
  <c r="CA232" i="7"/>
  <c r="C327" i="12"/>
  <c r="CA329" i="7"/>
  <c r="C197" i="12"/>
  <c r="CA199" i="7"/>
  <c r="C145" i="12"/>
  <c r="CA147" i="7"/>
  <c r="C241" i="12"/>
  <c r="CA243" i="7"/>
  <c r="C135" i="12"/>
  <c r="CA137" i="7"/>
  <c r="C117" i="12"/>
  <c r="CA119" i="7"/>
  <c r="C261" i="12"/>
  <c r="CA263" i="7"/>
  <c r="C172" i="12"/>
  <c r="CA174" i="7"/>
  <c r="C23" i="12"/>
  <c r="CA25" i="7"/>
  <c r="C100" i="12"/>
  <c r="CA102" i="7"/>
  <c r="C31" i="12"/>
  <c r="CA33" i="7"/>
  <c r="C273" i="12"/>
  <c r="CA275" i="7"/>
  <c r="C95" i="12"/>
  <c r="CA97" i="7"/>
  <c r="C226" i="12"/>
  <c r="CA228" i="7"/>
  <c r="C221" i="12"/>
  <c r="CA223" i="7"/>
  <c r="C314" i="12"/>
  <c r="CA316" i="7"/>
  <c r="C267" i="12"/>
  <c r="CA269" i="7"/>
  <c r="C287" i="12"/>
  <c r="CA289" i="7"/>
  <c r="C284" i="12"/>
  <c r="CA286" i="7"/>
  <c r="K21" i="5" l="1"/>
  <c r="K22" i="5" s="1"/>
  <c r="G6" i="13"/>
  <c r="F6" i="13"/>
  <c r="G9" i="13"/>
  <c r="F9" i="13"/>
  <c r="F16" i="13"/>
  <c r="G16" i="13"/>
  <c r="G26" i="13"/>
  <c r="F26" i="13"/>
  <c r="F42" i="13"/>
  <c r="G42" i="13"/>
  <c r="F74" i="13"/>
  <c r="G74" i="13"/>
  <c r="G31" i="13"/>
  <c r="F31" i="13"/>
  <c r="G63" i="13"/>
  <c r="F63" i="13"/>
  <c r="G128" i="13"/>
  <c r="F128" i="13"/>
  <c r="G65" i="13"/>
  <c r="F65" i="13"/>
  <c r="G90" i="13"/>
  <c r="F90" i="13"/>
  <c r="G122" i="13"/>
  <c r="F122" i="13"/>
  <c r="G89" i="13"/>
  <c r="F89" i="13"/>
  <c r="G121" i="13"/>
  <c r="F121" i="13"/>
  <c r="F86" i="13"/>
  <c r="G86" i="13"/>
  <c r="F118" i="13"/>
  <c r="G118" i="13"/>
  <c r="G85" i="13"/>
  <c r="F85" i="13"/>
  <c r="G117" i="13"/>
  <c r="F117" i="13"/>
  <c r="F127" i="13"/>
  <c r="G127" i="13"/>
  <c r="G155" i="13"/>
  <c r="F155" i="13"/>
  <c r="G152" i="13"/>
  <c r="F152" i="13"/>
  <c r="G138" i="13"/>
  <c r="F138" i="13"/>
  <c r="F143" i="13"/>
  <c r="G143" i="13"/>
  <c r="G132" i="13"/>
  <c r="F132" i="13"/>
  <c r="G164" i="13"/>
  <c r="F164" i="13"/>
  <c r="G134" i="13"/>
  <c r="F134" i="13"/>
  <c r="G166" i="13"/>
  <c r="F166" i="13"/>
  <c r="G214" i="13"/>
  <c r="F214" i="13"/>
  <c r="G181" i="13"/>
  <c r="F181" i="13"/>
  <c r="G180" i="13"/>
  <c r="F180" i="13"/>
  <c r="G212" i="13"/>
  <c r="F212" i="13"/>
  <c r="G225" i="13"/>
  <c r="F225" i="13"/>
  <c r="G257" i="13"/>
  <c r="F257" i="13"/>
  <c r="F219" i="13"/>
  <c r="G219" i="13"/>
  <c r="G251" i="13"/>
  <c r="F251" i="13"/>
  <c r="G232" i="13"/>
  <c r="F232" i="13"/>
  <c r="F245" i="13"/>
  <c r="G245" i="13"/>
  <c r="F226" i="13"/>
  <c r="G226" i="13"/>
  <c r="F258" i="13"/>
  <c r="G258" i="13"/>
  <c r="G236" i="13"/>
  <c r="F236" i="13"/>
  <c r="G295" i="13"/>
  <c r="F295" i="13"/>
  <c r="G292" i="13"/>
  <c r="F292" i="13"/>
  <c r="G278" i="13"/>
  <c r="F278" i="13"/>
  <c r="G341" i="13"/>
  <c r="F341" i="13"/>
  <c r="F275" i="13"/>
  <c r="G275" i="13"/>
  <c r="G264" i="13"/>
  <c r="F264" i="13"/>
  <c r="G296" i="13"/>
  <c r="F296" i="13"/>
  <c r="G269" i="13"/>
  <c r="F269" i="13"/>
  <c r="G321" i="13"/>
  <c r="F321" i="13"/>
  <c r="G307" i="13"/>
  <c r="F307" i="13"/>
  <c r="F325" i="13"/>
  <c r="G325" i="13"/>
  <c r="G311" i="13"/>
  <c r="F311" i="13"/>
  <c r="G356" i="13"/>
  <c r="F356" i="13"/>
  <c r="F369" i="13"/>
  <c r="G369" i="13"/>
  <c r="F368" i="13"/>
  <c r="G368" i="13"/>
  <c r="F362" i="13"/>
  <c r="G362" i="13"/>
  <c r="G351" i="13"/>
  <c r="F351" i="13"/>
  <c r="G383" i="13"/>
  <c r="F383" i="13"/>
  <c r="G22" i="13"/>
  <c r="F22" i="13"/>
  <c r="G5" i="13"/>
  <c r="F5" i="13"/>
  <c r="G54" i="13"/>
  <c r="F54" i="13"/>
  <c r="G43" i="13"/>
  <c r="F43" i="13"/>
  <c r="G75" i="13"/>
  <c r="F75" i="13"/>
  <c r="G56" i="13"/>
  <c r="F56" i="13"/>
  <c r="G45" i="13"/>
  <c r="F45" i="13"/>
  <c r="G36" i="13"/>
  <c r="F36" i="13"/>
  <c r="G68" i="13"/>
  <c r="F68" i="13"/>
  <c r="G100" i="13"/>
  <c r="F100" i="13"/>
  <c r="F91" i="13"/>
  <c r="G91" i="13"/>
  <c r="F123" i="13"/>
  <c r="G123" i="13"/>
  <c r="G80" i="13"/>
  <c r="F80" i="13"/>
  <c r="G112" i="13"/>
  <c r="F112" i="13"/>
  <c r="G157" i="13"/>
  <c r="F157" i="13"/>
  <c r="G137" i="13"/>
  <c r="F137" i="13"/>
  <c r="G169" i="13"/>
  <c r="F169" i="13"/>
  <c r="G182" i="13"/>
  <c r="F182" i="13"/>
  <c r="G246" i="13"/>
  <c r="F246" i="13"/>
  <c r="G215" i="13"/>
  <c r="F215" i="13"/>
  <c r="F194" i="13"/>
  <c r="G194" i="13"/>
  <c r="F199" i="13"/>
  <c r="G199" i="13"/>
  <c r="G177" i="13"/>
  <c r="F177" i="13"/>
  <c r="G209" i="13"/>
  <c r="F209" i="13"/>
  <c r="G230" i="13"/>
  <c r="F230" i="13"/>
  <c r="G247" i="13"/>
  <c r="F247" i="13"/>
  <c r="G313" i="13"/>
  <c r="F313" i="13"/>
  <c r="G281" i="13"/>
  <c r="F281" i="13"/>
  <c r="G301" i="13"/>
  <c r="F301" i="13"/>
  <c r="G266" i="13"/>
  <c r="F266" i="13"/>
  <c r="G298" i="13"/>
  <c r="F298" i="13"/>
  <c r="G337" i="13"/>
  <c r="F337" i="13"/>
  <c r="G358" i="13"/>
  <c r="F358" i="13"/>
  <c r="F312" i="13"/>
  <c r="G312" i="13"/>
  <c r="G330" i="13"/>
  <c r="F330" i="13"/>
  <c r="G365" i="13"/>
  <c r="F365" i="13"/>
  <c r="F339" i="13"/>
  <c r="G339" i="13"/>
  <c r="G371" i="13"/>
  <c r="F371" i="13"/>
  <c r="F32" i="13"/>
  <c r="G32" i="13"/>
  <c r="G19" i="13"/>
  <c r="F19" i="13"/>
  <c r="G28" i="13"/>
  <c r="F28" i="13"/>
  <c r="G18" i="13"/>
  <c r="F18" i="13"/>
  <c r="G77" i="13"/>
  <c r="F77" i="13"/>
  <c r="F34" i="13"/>
  <c r="G34" i="13"/>
  <c r="F66" i="13"/>
  <c r="G66" i="13"/>
  <c r="G55" i="13"/>
  <c r="F55" i="13"/>
  <c r="F76" i="13"/>
  <c r="G76" i="13"/>
  <c r="G57" i="13"/>
  <c r="F57" i="13"/>
  <c r="G82" i="13"/>
  <c r="F82" i="13"/>
  <c r="G114" i="13"/>
  <c r="F114" i="13"/>
  <c r="F81" i="13"/>
  <c r="G81" i="13"/>
  <c r="G113" i="13"/>
  <c r="F113" i="13"/>
  <c r="F110" i="13"/>
  <c r="G110" i="13"/>
  <c r="G109" i="13"/>
  <c r="F109" i="13"/>
  <c r="G129" i="13"/>
  <c r="F129" i="13"/>
  <c r="G147" i="13"/>
  <c r="F147" i="13"/>
  <c r="G144" i="13"/>
  <c r="F144" i="13"/>
  <c r="G195" i="13"/>
  <c r="F195" i="13"/>
  <c r="G130" i="13"/>
  <c r="F130" i="13"/>
  <c r="G162" i="13"/>
  <c r="F162" i="13"/>
  <c r="G179" i="13"/>
  <c r="F179" i="13"/>
  <c r="F135" i="13"/>
  <c r="G135" i="13"/>
  <c r="F167" i="13"/>
  <c r="G167" i="13"/>
  <c r="G156" i="13"/>
  <c r="F156" i="13"/>
  <c r="G126" i="13"/>
  <c r="F126" i="13"/>
  <c r="G158" i="13"/>
  <c r="F158" i="13"/>
  <c r="G205" i="13"/>
  <c r="F205" i="13"/>
  <c r="G238" i="13"/>
  <c r="F238" i="13"/>
  <c r="G172" i="13"/>
  <c r="F172" i="13"/>
  <c r="G204" i="13"/>
  <c r="F204" i="13"/>
  <c r="G249" i="13"/>
  <c r="F249" i="13"/>
  <c r="G243" i="13"/>
  <c r="F243" i="13"/>
  <c r="F263" i="13"/>
  <c r="G263" i="13"/>
  <c r="G224" i="13"/>
  <c r="F224" i="13"/>
  <c r="G256" i="13"/>
  <c r="F256" i="13"/>
  <c r="F237" i="13"/>
  <c r="G237" i="13"/>
  <c r="G218" i="13"/>
  <c r="F218" i="13"/>
  <c r="F250" i="13"/>
  <c r="G250" i="13"/>
  <c r="G228" i="13"/>
  <c r="F228" i="13"/>
  <c r="G260" i="13"/>
  <c r="F260" i="13"/>
  <c r="G287" i="13"/>
  <c r="F287" i="13"/>
  <c r="G284" i="13"/>
  <c r="F284" i="13"/>
  <c r="G334" i="13"/>
  <c r="F334" i="13"/>
  <c r="G270" i="13"/>
  <c r="F270" i="13"/>
  <c r="F267" i="13"/>
  <c r="G267" i="13"/>
  <c r="F299" i="13"/>
  <c r="G299" i="13"/>
  <c r="G288" i="13"/>
  <c r="F288" i="13"/>
  <c r="G329" i="13"/>
  <c r="F329" i="13"/>
  <c r="G293" i="13"/>
  <c r="F293" i="13"/>
  <c r="G331" i="13"/>
  <c r="F331" i="13"/>
  <c r="G342" i="13"/>
  <c r="F342" i="13"/>
  <c r="G317" i="13"/>
  <c r="F317" i="13"/>
  <c r="G381" i="13"/>
  <c r="F381" i="13"/>
  <c r="G303" i="13"/>
  <c r="F303" i="13"/>
  <c r="G335" i="13"/>
  <c r="F335" i="13"/>
  <c r="G380" i="13"/>
  <c r="F380" i="13"/>
  <c r="F361" i="13"/>
  <c r="G361" i="13"/>
  <c r="F360" i="13"/>
  <c r="G360" i="13"/>
  <c r="F354" i="13"/>
  <c r="G354" i="13"/>
  <c r="G343" i="13"/>
  <c r="F343" i="13"/>
  <c r="G375" i="13"/>
  <c r="F375" i="13"/>
  <c r="G11" i="13"/>
  <c r="F11" i="13"/>
  <c r="G23" i="13"/>
  <c r="F23" i="13"/>
  <c r="G46" i="13"/>
  <c r="F46" i="13"/>
  <c r="G35" i="13"/>
  <c r="F35" i="13"/>
  <c r="G67" i="13"/>
  <c r="F67" i="13"/>
  <c r="G78" i="13"/>
  <c r="F78" i="13"/>
  <c r="G48" i="13"/>
  <c r="F48" i="13"/>
  <c r="G79" i="13"/>
  <c r="F79" i="13"/>
  <c r="G37" i="13"/>
  <c r="F37" i="13"/>
  <c r="G69" i="13"/>
  <c r="F69" i="13"/>
  <c r="G60" i="13"/>
  <c r="F60" i="13"/>
  <c r="G92" i="13"/>
  <c r="F92" i="13"/>
  <c r="G124" i="13"/>
  <c r="F124" i="13"/>
  <c r="F83" i="13"/>
  <c r="G83" i="13"/>
  <c r="F115" i="13"/>
  <c r="G115" i="13"/>
  <c r="G104" i="13"/>
  <c r="F104" i="13"/>
  <c r="G149" i="13"/>
  <c r="F149" i="13"/>
  <c r="G161" i="13"/>
  <c r="F161" i="13"/>
  <c r="F171" i="13"/>
  <c r="G171" i="13"/>
  <c r="G174" i="13"/>
  <c r="F174" i="13"/>
  <c r="G206" i="13"/>
  <c r="F206" i="13"/>
  <c r="G217" i="13"/>
  <c r="F217" i="13"/>
  <c r="G211" i="13"/>
  <c r="F211" i="13"/>
  <c r="G208" i="13"/>
  <c r="F208" i="13"/>
  <c r="G222" i="13"/>
  <c r="F222" i="13"/>
  <c r="F186" i="13"/>
  <c r="G186" i="13"/>
  <c r="F191" i="13"/>
  <c r="G191" i="13"/>
  <c r="G201" i="13"/>
  <c r="F201" i="13"/>
  <c r="G239" i="13"/>
  <c r="F239" i="13"/>
  <c r="G273" i="13"/>
  <c r="F273" i="13"/>
  <c r="G340" i="13"/>
  <c r="F340" i="13"/>
  <c r="G326" i="13"/>
  <c r="F326" i="13"/>
  <c r="G316" i="13"/>
  <c r="F316" i="13"/>
  <c r="G290" i="13"/>
  <c r="F290" i="13"/>
  <c r="G300" i="13"/>
  <c r="F300" i="13"/>
  <c r="F304" i="13"/>
  <c r="G304" i="13"/>
  <c r="G336" i="13"/>
  <c r="F336" i="13"/>
  <c r="G322" i="13"/>
  <c r="F322" i="13"/>
  <c r="G350" i="13"/>
  <c r="F350" i="13"/>
  <c r="G373" i="13"/>
  <c r="F373" i="13"/>
  <c r="G363" i="13"/>
  <c r="F363" i="13"/>
  <c r="F8" i="13"/>
  <c r="G8" i="13"/>
  <c r="G14" i="13"/>
  <c r="F14" i="13"/>
  <c r="G29" i="13"/>
  <c r="F29" i="13"/>
  <c r="F2" i="13"/>
  <c r="G2" i="13"/>
  <c r="G25" i="13"/>
  <c r="F25" i="13"/>
  <c r="G10" i="13"/>
  <c r="F10" i="13"/>
  <c r="G87" i="13"/>
  <c r="F87" i="13"/>
  <c r="F58" i="13"/>
  <c r="G58" i="13"/>
  <c r="G47" i="13"/>
  <c r="F47" i="13"/>
  <c r="G49" i="13"/>
  <c r="F49" i="13"/>
  <c r="G106" i="13"/>
  <c r="F106" i="13"/>
  <c r="G105" i="13"/>
  <c r="F105" i="13"/>
  <c r="G131" i="13"/>
  <c r="F131" i="13"/>
  <c r="F102" i="13"/>
  <c r="G102" i="13"/>
  <c r="G101" i="13"/>
  <c r="F101" i="13"/>
  <c r="G139" i="13"/>
  <c r="F139" i="13"/>
  <c r="G136" i="13"/>
  <c r="F136" i="13"/>
  <c r="G168" i="13"/>
  <c r="F168" i="13"/>
  <c r="G154" i="13"/>
  <c r="F154" i="13"/>
  <c r="F159" i="13"/>
  <c r="G159" i="13"/>
  <c r="G148" i="13"/>
  <c r="F148" i="13"/>
  <c r="G150" i="13"/>
  <c r="F150" i="13"/>
  <c r="G173" i="13"/>
  <c r="F173" i="13"/>
  <c r="G197" i="13"/>
  <c r="F197" i="13"/>
  <c r="G196" i="13"/>
  <c r="F196" i="13"/>
  <c r="G241" i="13"/>
  <c r="F241" i="13"/>
  <c r="G235" i="13"/>
  <c r="F235" i="13"/>
  <c r="G216" i="13"/>
  <c r="F216" i="13"/>
  <c r="G248" i="13"/>
  <c r="F248" i="13"/>
  <c r="F229" i="13"/>
  <c r="G229" i="13"/>
  <c r="F261" i="13"/>
  <c r="G261" i="13"/>
  <c r="F242" i="13"/>
  <c r="G242" i="13"/>
  <c r="G220" i="13"/>
  <c r="F220" i="13"/>
  <c r="G252" i="13"/>
  <c r="F252" i="13"/>
  <c r="G279" i="13"/>
  <c r="F279" i="13"/>
  <c r="G276" i="13"/>
  <c r="F276" i="13"/>
  <c r="G349" i="13"/>
  <c r="F349" i="13"/>
  <c r="G310" i="13"/>
  <c r="F310" i="13"/>
  <c r="G294" i="13"/>
  <c r="F294" i="13"/>
  <c r="F291" i="13"/>
  <c r="G291" i="13"/>
  <c r="G302" i="13"/>
  <c r="F302" i="13"/>
  <c r="G280" i="13"/>
  <c r="F280" i="13"/>
  <c r="G285" i="13"/>
  <c r="F285" i="13"/>
  <c r="G323" i="13"/>
  <c r="F323" i="13"/>
  <c r="G309" i="13"/>
  <c r="F309" i="13"/>
  <c r="G348" i="13"/>
  <c r="F348" i="13"/>
  <c r="G357" i="13"/>
  <c r="F357" i="13"/>
  <c r="G327" i="13"/>
  <c r="F327" i="13"/>
  <c r="G372" i="13"/>
  <c r="F372" i="13"/>
  <c r="F353" i="13"/>
  <c r="G353" i="13"/>
  <c r="G385" i="13"/>
  <c r="F385" i="13"/>
  <c r="F352" i="13"/>
  <c r="G352" i="13"/>
  <c r="F384" i="13"/>
  <c r="G384" i="13"/>
  <c r="F346" i="13"/>
  <c r="G346" i="13"/>
  <c r="G378" i="13"/>
  <c r="F378" i="13"/>
  <c r="G367" i="13"/>
  <c r="F367" i="13"/>
  <c r="G3" i="13"/>
  <c r="F3" i="13"/>
  <c r="G21" i="13"/>
  <c r="F21" i="13"/>
  <c r="G15" i="13"/>
  <c r="F15" i="13"/>
  <c r="G38" i="13"/>
  <c r="F38" i="13"/>
  <c r="G70" i="13"/>
  <c r="F70" i="13"/>
  <c r="G59" i="13"/>
  <c r="F59" i="13"/>
  <c r="G40" i="13"/>
  <c r="F40" i="13"/>
  <c r="G72" i="13"/>
  <c r="F72" i="13"/>
  <c r="G61" i="13"/>
  <c r="F61" i="13"/>
  <c r="G103" i="13"/>
  <c r="F103" i="13"/>
  <c r="G52" i="13"/>
  <c r="F52" i="13"/>
  <c r="G84" i="13"/>
  <c r="F84" i="13"/>
  <c r="G116" i="13"/>
  <c r="F116" i="13"/>
  <c r="F107" i="13"/>
  <c r="G107" i="13"/>
  <c r="G96" i="13"/>
  <c r="F96" i="13"/>
  <c r="G192" i="13"/>
  <c r="F192" i="13"/>
  <c r="G141" i="13"/>
  <c r="F141" i="13"/>
  <c r="G203" i="13"/>
  <c r="F203" i="13"/>
  <c r="G176" i="13"/>
  <c r="F176" i="13"/>
  <c r="G153" i="13"/>
  <c r="F153" i="13"/>
  <c r="G198" i="13"/>
  <c r="F198" i="13"/>
  <c r="G200" i="13"/>
  <c r="F200" i="13"/>
  <c r="F178" i="13"/>
  <c r="G178" i="13"/>
  <c r="F210" i="13"/>
  <c r="G210" i="13"/>
  <c r="F183" i="13"/>
  <c r="G183" i="13"/>
  <c r="G254" i="13"/>
  <c r="F254" i="13"/>
  <c r="G193" i="13"/>
  <c r="F193" i="13"/>
  <c r="G231" i="13"/>
  <c r="F231" i="13"/>
  <c r="G265" i="13"/>
  <c r="F265" i="13"/>
  <c r="G297" i="13"/>
  <c r="F297" i="13"/>
  <c r="G282" i="13"/>
  <c r="F282" i="13"/>
  <c r="G308" i="13"/>
  <c r="F308" i="13"/>
  <c r="G328" i="13"/>
  <c r="F328" i="13"/>
  <c r="G314" i="13"/>
  <c r="F314" i="13"/>
  <c r="G332" i="13"/>
  <c r="F332" i="13"/>
  <c r="G382" i="13"/>
  <c r="F382" i="13"/>
  <c r="G355" i="13"/>
  <c r="F355" i="13"/>
  <c r="F4" i="13"/>
  <c r="G4" i="13"/>
  <c r="G12" i="13"/>
  <c r="F12" i="13"/>
  <c r="G17" i="13"/>
  <c r="F17" i="13"/>
  <c r="F24" i="13"/>
  <c r="G24" i="13"/>
  <c r="G33" i="13"/>
  <c r="F33" i="13"/>
  <c r="G95" i="13"/>
  <c r="F95" i="13"/>
  <c r="G111" i="13"/>
  <c r="F111" i="13"/>
  <c r="F50" i="13"/>
  <c r="G50" i="13"/>
  <c r="G39" i="13"/>
  <c r="F39" i="13"/>
  <c r="G71" i="13"/>
  <c r="F71" i="13"/>
  <c r="G41" i="13"/>
  <c r="F41" i="13"/>
  <c r="G73" i="13"/>
  <c r="F73" i="13"/>
  <c r="G98" i="13"/>
  <c r="F98" i="13"/>
  <c r="G97" i="13"/>
  <c r="F97" i="13"/>
  <c r="F94" i="13"/>
  <c r="G94" i="13"/>
  <c r="G93" i="13"/>
  <c r="F93" i="13"/>
  <c r="G125" i="13"/>
  <c r="F125" i="13"/>
  <c r="G163" i="13"/>
  <c r="F163" i="13"/>
  <c r="G160" i="13"/>
  <c r="F160" i="13"/>
  <c r="G146" i="13"/>
  <c r="F146" i="13"/>
  <c r="F151" i="13"/>
  <c r="G151" i="13"/>
  <c r="G140" i="13"/>
  <c r="F140" i="13"/>
  <c r="G142" i="13"/>
  <c r="F142" i="13"/>
  <c r="G187" i="13"/>
  <c r="F187" i="13"/>
  <c r="G189" i="13"/>
  <c r="F189" i="13"/>
  <c r="F262" i="13"/>
  <c r="G262" i="13"/>
  <c r="G188" i="13"/>
  <c r="F188" i="13"/>
  <c r="G233" i="13"/>
  <c r="F233" i="13"/>
  <c r="G227" i="13"/>
  <c r="F227" i="13"/>
  <c r="G259" i="13"/>
  <c r="F259" i="13"/>
  <c r="G240" i="13"/>
  <c r="F240" i="13"/>
  <c r="F221" i="13"/>
  <c r="G221" i="13"/>
  <c r="F253" i="13"/>
  <c r="G253" i="13"/>
  <c r="F234" i="13"/>
  <c r="G234" i="13"/>
  <c r="G244" i="13"/>
  <c r="F244" i="13"/>
  <c r="G271" i="13"/>
  <c r="F271" i="13"/>
  <c r="G268" i="13"/>
  <c r="F268" i="13"/>
  <c r="G286" i="13"/>
  <c r="F286" i="13"/>
  <c r="F283" i="13"/>
  <c r="G283" i="13"/>
  <c r="G272" i="13"/>
  <c r="F272" i="13"/>
  <c r="G277" i="13"/>
  <c r="F277" i="13"/>
  <c r="G315" i="13"/>
  <c r="F315" i="13"/>
  <c r="G366" i="13"/>
  <c r="F366" i="13"/>
  <c r="F333" i="13"/>
  <c r="G333" i="13"/>
  <c r="G319" i="13"/>
  <c r="F319" i="13"/>
  <c r="G364" i="13"/>
  <c r="F364" i="13"/>
  <c r="F345" i="13"/>
  <c r="G345" i="13"/>
  <c r="F377" i="13"/>
  <c r="G377" i="13"/>
  <c r="F344" i="13"/>
  <c r="G344" i="13"/>
  <c r="F376" i="13"/>
  <c r="G376" i="13"/>
  <c r="F370" i="13"/>
  <c r="G370" i="13"/>
  <c r="G359" i="13"/>
  <c r="F359" i="13"/>
  <c r="G20" i="13"/>
  <c r="F20" i="13"/>
  <c r="G30" i="13"/>
  <c r="F30" i="13"/>
  <c r="G27" i="13"/>
  <c r="F27" i="13"/>
  <c r="G13" i="13"/>
  <c r="F13" i="13"/>
  <c r="G7" i="13"/>
  <c r="F7" i="13"/>
  <c r="G62" i="13"/>
  <c r="F62" i="13"/>
  <c r="G51" i="13"/>
  <c r="F51" i="13"/>
  <c r="G64" i="13"/>
  <c r="F64" i="13"/>
  <c r="G53" i="13"/>
  <c r="F53" i="13"/>
  <c r="G44" i="13"/>
  <c r="F44" i="13"/>
  <c r="G119" i="13"/>
  <c r="F119" i="13"/>
  <c r="G108" i="13"/>
  <c r="F108" i="13"/>
  <c r="F99" i="13"/>
  <c r="G99" i="13"/>
  <c r="G88" i="13"/>
  <c r="F88" i="13"/>
  <c r="G120" i="13"/>
  <c r="F120" i="13"/>
  <c r="G133" i="13"/>
  <c r="F133" i="13"/>
  <c r="G165" i="13"/>
  <c r="F165" i="13"/>
  <c r="G145" i="13"/>
  <c r="F145" i="13"/>
  <c r="G184" i="13"/>
  <c r="F184" i="13"/>
  <c r="G190" i="13"/>
  <c r="F190" i="13"/>
  <c r="F213" i="13"/>
  <c r="G213" i="13"/>
  <c r="G170" i="13"/>
  <c r="F170" i="13"/>
  <c r="F202" i="13"/>
  <c r="G202" i="13"/>
  <c r="F175" i="13"/>
  <c r="G175" i="13"/>
  <c r="G207" i="13"/>
  <c r="F207" i="13"/>
  <c r="G185" i="13"/>
  <c r="F185" i="13"/>
  <c r="G223" i="13"/>
  <c r="F223" i="13"/>
  <c r="G255" i="13"/>
  <c r="F255" i="13"/>
  <c r="G305" i="13"/>
  <c r="F305" i="13"/>
  <c r="G318" i="13"/>
  <c r="F318" i="13"/>
  <c r="G289" i="13"/>
  <c r="F289" i="13"/>
  <c r="G274" i="13"/>
  <c r="F274" i="13"/>
  <c r="F320" i="13"/>
  <c r="G320" i="13"/>
  <c r="F306" i="13"/>
  <c r="G306" i="13"/>
  <c r="F338" i="13"/>
  <c r="G338" i="13"/>
  <c r="G324" i="13"/>
  <c r="F324" i="13"/>
  <c r="G374" i="13"/>
  <c r="F374" i="13"/>
  <c r="G347" i="13"/>
  <c r="F347" i="13"/>
  <c r="G379" i="13"/>
  <c r="F379" i="13"/>
</calcChain>
</file>

<file path=xl/sharedStrings.xml><?xml version="1.0" encoding="utf-8"?>
<sst xmlns="http://schemas.openxmlformats.org/spreadsheetml/2006/main" count="6130" uniqueCount="575">
  <si>
    <t>Lane</t>
  </si>
  <si>
    <t>Library Name</t>
  </si>
  <si>
    <t>Country</t>
  </si>
  <si>
    <t>Multiplex Key(s)</t>
  </si>
  <si>
    <t>Plate Barcode</t>
  </si>
  <si>
    <t>Wells</t>
  </si>
  <si>
    <t>Library Size</t>
  </si>
  <si>
    <t>Conc.</t>
  </si>
  <si>
    <t>Conc. Unit (nM or ng/µl)</t>
  </si>
  <si>
    <t>Volume (uL)</t>
  </si>
  <si>
    <t>Loading Conc. pM</t>
  </si>
  <si>
    <t>PhiX</t>
  </si>
  <si>
    <t># OF LANES</t>
  </si>
  <si>
    <t>A04</t>
  </si>
  <si>
    <t>nM</t>
  </si>
  <si>
    <t>B04</t>
  </si>
  <si>
    <t>C04</t>
  </si>
  <si>
    <t>D04</t>
  </si>
  <si>
    <t>E04</t>
  </si>
  <si>
    <t>F04</t>
  </si>
  <si>
    <t>A03</t>
  </si>
  <si>
    <t>B01</t>
  </si>
  <si>
    <t>C07</t>
  </si>
  <si>
    <t>D07</t>
  </si>
  <si>
    <t>SAMPLE NAME</t>
  </si>
  <si>
    <r>
      <rPr>
        <b/>
        <sz val="11"/>
        <color rgb="FF0070C0"/>
        <rFont val="Calibri"/>
        <family val="2"/>
        <charset val="1"/>
      </rPr>
      <t xml:space="preserve">    &lt;---2 weeks &amp; +
</t>
    </r>
    <r>
      <rPr>
        <b/>
        <sz val="11"/>
        <color rgb="FF000000"/>
        <rFont val="Calibri"/>
        <family val="2"/>
        <charset val="1"/>
      </rPr>
      <t xml:space="preserve">
STOCK SAMPLE  BARCODE</t>
    </r>
  </si>
  <si>
    <t>LIB PREP
(ARRAY)
CCI</t>
  </si>
  <si>
    <t>RUN
(MPS)
CCI</t>
  </si>
  <si>
    <t>PI</t>
  </si>
  <si>
    <t>PROJECT</t>
  </si>
  <si>
    <t>LIBRARY TYPE</t>
  </si>
  <si>
    <t>SEQUENCING TYPE</t>
  </si>
  <si>
    <t>INDEX</t>
  </si>
  <si>
    <t>LIB PREP BATCH</t>
  </si>
  <si>
    <t>LIB PREP TECH</t>
  </si>
  <si>
    <t>LIB START DATE
(dd-mmm-yyyy)</t>
  </si>
  <si>
    <t>LibQC FILENAME</t>
  </si>
  <si>
    <t>LIB SIZE (bp)</t>
  </si>
  <si>
    <t>[qPCR] (nM)</t>
  </si>
  <si>
    <t>[qPCR] (ng/ul)</t>
  </si>
  <si>
    <t>[PICOGREEN]
(ng/ul)</t>
  </si>
  <si>
    <t>PICO/qPCR
RATIO</t>
  </si>
  <si>
    <t>LIB QC STATUS</t>
  </si>
  <si>
    <t>LIBRARY COMMENTS</t>
  </si>
  <si>
    <t>FINAL LIB TRANSFER DATE
(dd-mmm-yyyy)</t>
  </si>
  <si>
    <t xml:space="preserve"> BARCODE  LIBRARY STORAGE PLATE</t>
  </si>
  <si>
    <t xml:space="preserve"> COORD.
 LIBRARY STORAGE PLATE</t>
  </si>
  <si>
    <t>PRIORITY</t>
  </si>
  <si>
    <t>pM</t>
  </si>
  <si>
    <t>Conc. Unit</t>
  </si>
  <si>
    <t>cBot</t>
  </si>
  <si>
    <t>RUN NAME</t>
  </si>
  <si>
    <t>HiSeq</t>
  </si>
  <si>
    <t>FC</t>
  </si>
  <si>
    <t>LANE</t>
  </si>
  <si>
    <t>RUN DATE
(dd-mmm-yyyy)</t>
  </si>
  <si>
    <t>RUN  COMMENTS</t>
  </si>
  <si>
    <t>DATA QC</t>
  </si>
  <si>
    <t>RAW CLUSTER DENSITY</t>
  </si>
  <si>
    <t>PF
 CLUSTER DENSITY</t>
  </si>
  <si>
    <t>INVOICE</t>
  </si>
  <si>
    <t>Cluster generation on cBot for HiSeq Run</t>
  </si>
  <si>
    <t>HS-Run_Template</t>
  </si>
  <si>
    <t>All cells shaded in green have to be filled by operator before each step is started</t>
  </si>
  <si>
    <t xml:space="preserve">RUN </t>
  </si>
  <si>
    <t>10095-10098</t>
  </si>
  <si>
    <t>On Janus</t>
  </si>
  <si>
    <t>Date:</t>
  </si>
  <si>
    <t>21 mars 2018</t>
  </si>
  <si>
    <t>PhiX Recipes</t>
  </si>
  <si>
    <t>Recipe</t>
  </si>
  <si>
    <t>Well</t>
  </si>
  <si>
    <t>[ ]</t>
  </si>
  <si>
    <t>Technician:</t>
  </si>
  <si>
    <t>Janick</t>
  </si>
  <si>
    <t>A</t>
  </si>
  <si>
    <t>B</t>
  </si>
  <si>
    <t>C</t>
  </si>
  <si>
    <t>Well on Janus</t>
  </si>
  <si>
    <t>Conc. (nM)</t>
  </si>
  <si>
    <t>Validations:</t>
  </si>
  <si>
    <t>Vol PhiX</t>
  </si>
  <si>
    <t>-</t>
  </si>
  <si>
    <t>Vol RSB</t>
  </si>
  <si>
    <t>NaOH Preparation from 2 N Stock</t>
  </si>
  <si>
    <t>Conc. PhiX Stock</t>
  </si>
  <si>
    <t>Vol. at 2N</t>
  </si>
  <si>
    <t>Vol. of dH2O</t>
  </si>
  <si>
    <t>Min Pool Volume</t>
  </si>
  <si>
    <t>Final Volume</t>
  </si>
  <si>
    <t>µl</t>
  </si>
  <si>
    <t>Conc. NaOH Stock</t>
  </si>
  <si>
    <t>Vol Needed</t>
  </si>
  <si>
    <t>Min. Final Volume</t>
  </si>
  <si>
    <t>N</t>
  </si>
  <si>
    <t>Dilution for 3 nM</t>
  </si>
  <si>
    <t>Dilution for x nM</t>
  </si>
  <si>
    <t>Denaturation</t>
  </si>
  <si>
    <t>Sample</t>
  </si>
  <si>
    <t>#MPS</t>
  </si>
  <si>
    <t>Index</t>
  </si>
  <si>
    <t>Batch Name</t>
  </si>
  <si>
    <t>Identifier</t>
  </si>
  <si>
    <t>Position</t>
  </si>
  <si>
    <t>Dilution (pM)</t>
  </si>
  <si>
    <t>%PhiX</t>
  </si>
  <si>
    <t>Concentration (nM)</t>
  </si>
  <si>
    <t>Volume of sample for 1 nM (µl)</t>
  </si>
  <si>
    <t>Volume of RSB (µl)</t>
  </si>
  <si>
    <t>Bypass</t>
  </si>
  <si>
    <t>volume of sample for 3 nM (µl)</t>
  </si>
  <si>
    <t>Volume of EB (µl)</t>
  </si>
  <si>
    <t>Vol RSB (µl)</t>
  </si>
  <si>
    <t>Volume of sample (µl)</t>
  </si>
  <si>
    <t>Volume of PhiX (µl)</t>
  </si>
  <si>
    <t>Total Volume (µl)</t>
  </si>
  <si>
    <t>Conc. NaOH Denat. (N)</t>
  </si>
  <si>
    <t>Pooling to do</t>
  </si>
  <si>
    <t>PhiX Recipe to use</t>
  </si>
  <si>
    <t>[] PhiX Min</t>
  </si>
  <si>
    <t>[] PhiX Max</t>
  </si>
  <si>
    <t>Diff</t>
  </si>
  <si>
    <t>Moy</t>
  </si>
  <si>
    <t>SBS 10-pack for all 4 runs</t>
  </si>
  <si>
    <t>RunPrep:</t>
  </si>
  <si>
    <t>Réactifs Name</t>
  </si>
  <si>
    <t>#lot</t>
  </si>
  <si>
    <t>Flowcell ID</t>
  </si>
  <si>
    <t>HHKWFCCXY</t>
  </si>
  <si>
    <t>cBot:</t>
  </si>
  <si>
    <t>Optimus Prime</t>
  </si>
  <si>
    <t>HHJTJCCXY</t>
  </si>
  <si>
    <t>Twiki-2</t>
  </si>
  <si>
    <t>Flowcell Lot</t>
  </si>
  <si>
    <t>Sequencer:</t>
  </si>
  <si>
    <t>Tazmania</t>
  </si>
  <si>
    <t>Faroe</t>
  </si>
  <si>
    <t>PhiX control</t>
  </si>
  <si>
    <t>NaOH 2N</t>
  </si>
  <si>
    <t>cBot cartridge PE</t>
  </si>
  <si>
    <t>cBot kit</t>
  </si>
  <si>
    <t>PE Clusters Kit</t>
  </si>
  <si>
    <t>Manifold</t>
  </si>
  <si>
    <t>HHJHYCCXY</t>
  </si>
  <si>
    <t>Astro</t>
  </si>
  <si>
    <t>HHJNWCCXY</t>
  </si>
  <si>
    <t>Wall-e</t>
  </si>
  <si>
    <t>RUN:</t>
  </si>
  <si>
    <t>Strips Aligment</t>
  </si>
  <si>
    <t>Janus Deck</t>
  </si>
  <si>
    <t>Tips 50</t>
  </si>
  <si>
    <t>4 Trough</t>
  </si>
  <si>
    <t>Wash Station</t>
  </si>
  <si>
    <t>Vol. RSB :</t>
  </si>
  <si>
    <t>Vol. Tris-HCl :</t>
  </si>
  <si>
    <t>Tips 200</t>
  </si>
  <si>
    <t>Intermediate Dilution</t>
  </si>
  <si>
    <t>Tube Rack 1</t>
  </si>
  <si>
    <t>Pools1</t>
  </si>
  <si>
    <t>Tube Rack 2</t>
  </si>
  <si>
    <t>Dil1</t>
  </si>
  <si>
    <t>Dil2</t>
  </si>
  <si>
    <t>Dil3</t>
  </si>
  <si>
    <t>Strips</t>
  </si>
  <si>
    <t>Denaturation1</t>
  </si>
  <si>
    <t>Trash</t>
  </si>
  <si>
    <t>Vol. PhiX 10 nM</t>
  </si>
  <si>
    <t>Vol. RSB</t>
  </si>
  <si>
    <t>Dynamic Columns</t>
  </si>
  <si>
    <t>Sample Name</t>
  </si>
  <si>
    <t>Source Name on Janus Deck</t>
  </si>
  <si>
    <t>Flow Cell</t>
  </si>
  <si>
    <t>Flow Cell Lane</t>
  </si>
  <si>
    <t>Size (bp)</t>
  </si>
  <si>
    <t>Bio-analyzer (ng/ul)</t>
  </si>
  <si>
    <t>Commentaire Lib</t>
  </si>
  <si>
    <t>Commentraire Run</t>
  </si>
  <si>
    <t>QC Used in TrackIt</t>
  </si>
  <si>
    <t>Selection</t>
  </si>
  <si>
    <t>Concentration for calculations (ng/µl)</t>
  </si>
  <si>
    <t>Concentration for calculations (nM)</t>
  </si>
  <si>
    <t>Library stock (µl)</t>
  </si>
  <si>
    <t>Volume (µl) to bring up to volume</t>
  </si>
  <si>
    <t>Volume (µl) dilution</t>
  </si>
  <si>
    <t>Flag concentrations less than 1 nM</t>
  </si>
  <si>
    <t>Final Dilution Concentration (pM)</t>
  </si>
  <si>
    <t>Vol DNA for Pipettable volume (µl)</t>
  </si>
  <si>
    <t>Vol NaOH (µl)</t>
  </si>
  <si>
    <t>Vol 200 mM Tris-HCl</t>
  </si>
  <si>
    <t>Vol ExAMP (µl)</t>
  </si>
  <si>
    <t>Final total volume (µl)</t>
  </si>
  <si>
    <t>count nb of same index in same lane</t>
  </si>
  <si>
    <t>Conc. NaOH Denat (N)</t>
  </si>
  <si>
    <t>Conc. NaOH Final (N)</t>
  </si>
  <si>
    <t>Pooling Ratio</t>
  </si>
  <si>
    <t>To Pool</t>
  </si>
  <si>
    <t># lane</t>
  </si>
  <si>
    <t>Calculated lanes</t>
  </si>
  <si>
    <t>Lane Control / FlowCell</t>
  </si>
  <si>
    <t>Lane Code</t>
  </si>
  <si>
    <t>NB for Index Validation</t>
  </si>
  <si>
    <t>Index Validation</t>
  </si>
  <si>
    <t>Length of lane</t>
  </si>
  <si>
    <t>Manual Validation</t>
  </si>
  <si>
    <t>K</t>
  </si>
  <si>
    <t>W</t>
  </si>
  <si>
    <t>X</t>
  </si>
  <si>
    <t>I</t>
  </si>
  <si>
    <t>O</t>
  </si>
  <si>
    <t>P</t>
  </si>
  <si>
    <t>Q</t>
  </si>
  <si>
    <t>AI</t>
  </si>
  <si>
    <t>U</t>
  </si>
  <si>
    <t>AA</t>
  </si>
  <si>
    <t>Z</t>
  </si>
  <si>
    <t>AB</t>
  </si>
  <si>
    <t>AG</t>
  </si>
  <si>
    <t>J</t>
  </si>
  <si>
    <t>Total number of plates:</t>
  </si>
  <si>
    <t>Total number of Flow Cells:</t>
  </si>
  <si>
    <t>Total number of Flow Cell Lanes:</t>
  </si>
  <si>
    <t>Minimum pipettable volume:</t>
  </si>
  <si>
    <t>Extra Volume for Robot</t>
  </si>
  <si>
    <t>Mininum Total dilution volume</t>
  </si>
  <si>
    <t>Conc. PhiX</t>
  </si>
  <si>
    <t>ul</t>
  </si>
  <si>
    <t>&lt;= 4nM</t>
  </si>
  <si>
    <t>Based on TrackIT</t>
  </si>
  <si>
    <t>TrackIT Row</t>
  </si>
  <si>
    <t>Run Type</t>
  </si>
  <si>
    <t>Plate Name conversion</t>
  </si>
  <si>
    <t>Flow-Cells lanes:</t>
  </si>
  <si>
    <t>Comptage Flow Cells Virtuel</t>
  </si>
  <si>
    <t>Intermediate Denaturation</t>
  </si>
  <si>
    <t>Main Dilution</t>
  </si>
  <si>
    <t>Direct Denaturation</t>
  </si>
  <si>
    <t>Pool Index</t>
  </si>
  <si>
    <t>Pooling Main Samples</t>
  </si>
  <si>
    <t>Denaturation Process</t>
  </si>
  <si>
    <t>Transfer on strips</t>
  </si>
  <si>
    <t>Sources</t>
  </si>
  <si>
    <t>#Digits</t>
  </si>
  <si>
    <t>FlowCell Lanes from TrackIT</t>
  </si>
  <si>
    <t>Lanes</t>
  </si>
  <si>
    <t>Nb Sample to pool</t>
  </si>
  <si>
    <t>FlowCell Lanes Calculated</t>
  </si>
  <si>
    <t># Lane</t>
  </si>
  <si>
    <t>Position on deck</t>
  </si>
  <si>
    <t>Dilution Intermediaire</t>
  </si>
  <si>
    <t>Compteur:</t>
  </si>
  <si>
    <t>Dilution Plates</t>
  </si>
  <si>
    <t>Compteur</t>
  </si>
  <si>
    <t>Coordinates</t>
  </si>
  <si>
    <t>Coordinates Table</t>
  </si>
  <si>
    <t>Compteur pooled samples</t>
  </si>
  <si>
    <t>Compteur non-pooled</t>
  </si>
  <si>
    <t>Compteur nb de Denaturation</t>
  </si>
  <si>
    <t>Source1</t>
  </si>
  <si>
    <t>Plate Name</t>
  </si>
  <si>
    <t>Plate Coordinate</t>
  </si>
  <si>
    <t>Src Barcode</t>
  </si>
  <si>
    <t>Src Name on deck</t>
  </si>
  <si>
    <t>Src Coordinate</t>
  </si>
  <si>
    <t>Vol DNA</t>
  </si>
  <si>
    <t>Vol Diluant</t>
  </si>
  <si>
    <t>Vol Dilution (Main)</t>
  </si>
  <si>
    <t>Vol Diluent 2</t>
  </si>
  <si>
    <t>Vol DNA (µl)</t>
  </si>
  <si>
    <t>FlowCells</t>
  </si>
  <si>
    <t>Vol NAOH</t>
  </si>
  <si>
    <t>Vol HT1</t>
  </si>
  <si>
    <t>Ratio on pool</t>
  </si>
  <si>
    <t>PoolName</t>
  </si>
  <si>
    <t>Coordinate</t>
  </si>
  <si>
    <t>Pool Vol</t>
  </si>
  <si>
    <t>Final Lane Conc. Needed (pM)</t>
  </si>
  <si>
    <t>Ratio on lane</t>
  </si>
  <si>
    <t>Dst Coordinate</t>
  </si>
  <si>
    <t>Vol 200 mM Tris-HCl (µl)</t>
  </si>
  <si>
    <t>Source Well PhiX</t>
  </si>
  <si>
    <t>Volume final(µl)</t>
  </si>
  <si>
    <t>Plate destination</t>
  </si>
  <si>
    <t>Coord. Destination</t>
  </si>
  <si>
    <t>TrackIT Lane</t>
  </si>
  <si>
    <t>Vol to transfer</t>
  </si>
  <si>
    <t>vol ExAmp</t>
  </si>
  <si>
    <t>Source2</t>
  </si>
  <si>
    <t>Dil-100nM</t>
  </si>
  <si>
    <t>A01</t>
  </si>
  <si>
    <t>Pool01</t>
  </si>
  <si>
    <t>Source3</t>
  </si>
  <si>
    <t>Pool02</t>
  </si>
  <si>
    <t>Source4</t>
  </si>
  <si>
    <t>C01</t>
  </si>
  <si>
    <t>Pool03</t>
  </si>
  <si>
    <t>Source5</t>
  </si>
  <si>
    <t>D01</t>
  </si>
  <si>
    <t>Pool04</t>
  </si>
  <si>
    <t>Source6</t>
  </si>
  <si>
    <t>E01</t>
  </si>
  <si>
    <t>Pool05</t>
  </si>
  <si>
    <t>Source7</t>
  </si>
  <si>
    <t>F01</t>
  </si>
  <si>
    <t>Pool06</t>
  </si>
  <si>
    <t>Source8</t>
  </si>
  <si>
    <t>G01</t>
  </si>
  <si>
    <t>Pool07</t>
  </si>
  <si>
    <t>Source9</t>
  </si>
  <si>
    <t>H01</t>
  </si>
  <si>
    <t>Pool08</t>
  </si>
  <si>
    <t>Source10</t>
  </si>
  <si>
    <t>A02</t>
  </si>
  <si>
    <t>Pool09</t>
  </si>
  <si>
    <t>B02</t>
  </si>
  <si>
    <t>Pool10</t>
  </si>
  <si>
    <t>Compteur TrackIT Lanes</t>
  </si>
  <si>
    <t>C02</t>
  </si>
  <si>
    <t>Pool11</t>
  </si>
  <si>
    <t>D02</t>
  </si>
  <si>
    <t>Pool12</t>
  </si>
  <si>
    <t>E02</t>
  </si>
  <si>
    <t>Pool13</t>
  </si>
  <si>
    <t>F02</t>
  </si>
  <si>
    <t>Pool14</t>
  </si>
  <si>
    <t>G02</t>
  </si>
  <si>
    <t>Pool15</t>
  </si>
  <si>
    <t>H02</t>
  </si>
  <si>
    <t>Pool16</t>
  </si>
  <si>
    <t>Pool17</t>
  </si>
  <si>
    <t>B03</t>
  </si>
  <si>
    <t>Pool18</t>
  </si>
  <si>
    <t>C03</t>
  </si>
  <si>
    <t>Pool19</t>
  </si>
  <si>
    <t>D03</t>
  </si>
  <si>
    <t>Pool20</t>
  </si>
  <si>
    <t>E03</t>
  </si>
  <si>
    <t>Pool21</t>
  </si>
  <si>
    <t>F03</t>
  </si>
  <si>
    <t>Pool22</t>
  </si>
  <si>
    <t>G03</t>
  </si>
  <si>
    <t>Pool23</t>
  </si>
  <si>
    <t>H03</t>
  </si>
  <si>
    <t>Pool24</t>
  </si>
  <si>
    <t>Pool25</t>
  </si>
  <si>
    <t>Pool26</t>
  </si>
  <si>
    <t>Pool27</t>
  </si>
  <si>
    <t>Pool28</t>
  </si>
  <si>
    <t>Pool29</t>
  </si>
  <si>
    <t>Pool30</t>
  </si>
  <si>
    <t>G04</t>
  </si>
  <si>
    <t>Pool31</t>
  </si>
  <si>
    <t>H04</t>
  </si>
  <si>
    <t>Pool32</t>
  </si>
  <si>
    <t>A05</t>
  </si>
  <si>
    <t>Pool33</t>
  </si>
  <si>
    <t>B05</t>
  </si>
  <si>
    <t>Pool34</t>
  </si>
  <si>
    <t>C05</t>
  </si>
  <si>
    <t>Pool35</t>
  </si>
  <si>
    <t>D05</t>
  </si>
  <si>
    <t>Pool36</t>
  </si>
  <si>
    <t>E05</t>
  </si>
  <si>
    <t>Pool37</t>
  </si>
  <si>
    <t>F05</t>
  </si>
  <si>
    <t>Pool38</t>
  </si>
  <si>
    <t>G05</t>
  </si>
  <si>
    <t>Pool39</t>
  </si>
  <si>
    <t>H05</t>
  </si>
  <si>
    <t>Pool40</t>
  </si>
  <si>
    <t>A06</t>
  </si>
  <si>
    <t>Pool41</t>
  </si>
  <si>
    <t>B06</t>
  </si>
  <si>
    <t>Pool42</t>
  </si>
  <si>
    <t>C06</t>
  </si>
  <si>
    <t>Pool43</t>
  </si>
  <si>
    <t>D06</t>
  </si>
  <si>
    <t>Pool44</t>
  </si>
  <si>
    <t>E06</t>
  </si>
  <si>
    <t>Pool45</t>
  </si>
  <si>
    <t>F06</t>
  </si>
  <si>
    <t>Pool46</t>
  </si>
  <si>
    <t>G06</t>
  </si>
  <si>
    <t>Pool47</t>
  </si>
  <si>
    <t>H06</t>
  </si>
  <si>
    <t>Pool48</t>
  </si>
  <si>
    <t>A07</t>
  </si>
  <si>
    <t>Pool49</t>
  </si>
  <si>
    <t>B07</t>
  </si>
  <si>
    <t>Pool50</t>
  </si>
  <si>
    <t>Pool51</t>
  </si>
  <si>
    <t>Pool52</t>
  </si>
  <si>
    <t>E07</t>
  </si>
  <si>
    <t>Pool53</t>
  </si>
  <si>
    <t>F07</t>
  </si>
  <si>
    <t>Pool54</t>
  </si>
  <si>
    <t>G07</t>
  </si>
  <si>
    <t>Pool55</t>
  </si>
  <si>
    <t>H07</t>
  </si>
  <si>
    <t>Pool56</t>
  </si>
  <si>
    <t>A08</t>
  </si>
  <si>
    <t>Pool57</t>
  </si>
  <si>
    <t>B08</t>
  </si>
  <si>
    <t>Pool58</t>
  </si>
  <si>
    <t>C08</t>
  </si>
  <si>
    <t>Pool59</t>
  </si>
  <si>
    <t>D08</t>
  </si>
  <si>
    <t>Pool60</t>
  </si>
  <si>
    <t>E08</t>
  </si>
  <si>
    <t>Pool61</t>
  </si>
  <si>
    <t>F08</t>
  </si>
  <si>
    <t>Pool62</t>
  </si>
  <si>
    <t>G08</t>
  </si>
  <si>
    <t>Pool63</t>
  </si>
  <si>
    <t>H08</t>
  </si>
  <si>
    <t>Pool64</t>
  </si>
  <si>
    <t>A09</t>
  </si>
  <si>
    <t>Pool65</t>
  </si>
  <si>
    <t>B09</t>
  </si>
  <si>
    <t>Pool66</t>
  </si>
  <si>
    <t>C09</t>
  </si>
  <si>
    <t>Pool67</t>
  </si>
  <si>
    <t>D09</t>
  </si>
  <si>
    <t>Pool68</t>
  </si>
  <si>
    <t>E09</t>
  </si>
  <si>
    <t>Pool69</t>
  </si>
  <si>
    <t>F09</t>
  </si>
  <si>
    <t>Pool70</t>
  </si>
  <si>
    <t>G09</t>
  </si>
  <si>
    <t>Pool71</t>
  </si>
  <si>
    <t>H09</t>
  </si>
  <si>
    <t>Pool72</t>
  </si>
  <si>
    <t>A10</t>
  </si>
  <si>
    <t>Pool73</t>
  </si>
  <si>
    <t>B10</t>
  </si>
  <si>
    <t>Pool74</t>
  </si>
  <si>
    <t>C10</t>
  </si>
  <si>
    <t>Pool75</t>
  </si>
  <si>
    <t>D10</t>
  </si>
  <si>
    <t>Pool76</t>
  </si>
  <si>
    <t>E10</t>
  </si>
  <si>
    <t>Pool77</t>
  </si>
  <si>
    <t>F10</t>
  </si>
  <si>
    <t>Pool78</t>
  </si>
  <si>
    <t>G10</t>
  </si>
  <si>
    <t>Pool79</t>
  </si>
  <si>
    <t>H10</t>
  </si>
  <si>
    <t>Pool80</t>
  </si>
  <si>
    <t>A11</t>
  </si>
  <si>
    <t>Pool81</t>
  </si>
  <si>
    <t>B11</t>
  </si>
  <si>
    <t>Pool82</t>
  </si>
  <si>
    <t>C11</t>
  </si>
  <si>
    <t>Pool83</t>
  </si>
  <si>
    <t>D11</t>
  </si>
  <si>
    <t>Pool84</t>
  </si>
  <si>
    <t>E11</t>
  </si>
  <si>
    <t>Pool85</t>
  </si>
  <si>
    <t>F11</t>
  </si>
  <si>
    <t>Pool86</t>
  </si>
  <si>
    <t>G11</t>
  </si>
  <si>
    <t>Pool87</t>
  </si>
  <si>
    <t>H11</t>
  </si>
  <si>
    <t>Pool88</t>
  </si>
  <si>
    <t>A12</t>
  </si>
  <si>
    <t>Pool89</t>
  </si>
  <si>
    <t>B12</t>
  </si>
  <si>
    <t>Pool90</t>
  </si>
  <si>
    <t>C12</t>
  </si>
  <si>
    <t>Pool91</t>
  </si>
  <si>
    <t>D12</t>
  </si>
  <si>
    <t>Pool92</t>
  </si>
  <si>
    <t>E12</t>
  </si>
  <si>
    <t>Pool93</t>
  </si>
  <si>
    <t>F12</t>
  </si>
  <si>
    <t>Pool94</t>
  </si>
  <si>
    <t>G12</t>
  </si>
  <si>
    <t>Pool95</t>
  </si>
  <si>
    <t>H12</t>
  </si>
  <si>
    <t>Pool96</t>
  </si>
  <si>
    <t>Dil4</t>
  </si>
  <si>
    <t>DstNameForDiluent</t>
  </si>
  <si>
    <t>DstWellForDiluent</t>
  </si>
  <si>
    <t>DiluentVol</t>
  </si>
  <si>
    <t>SrcBarcode</t>
  </si>
  <si>
    <t>SrcName</t>
  </si>
  <si>
    <t>SrcWell</t>
  </si>
  <si>
    <t>DstNameIntermediate</t>
  </si>
  <si>
    <t>DstWellIntermediate</t>
  </si>
  <si>
    <t>LibVoltoIntermediate</t>
  </si>
  <si>
    <t>DstNameMainDil</t>
  </si>
  <si>
    <t>DstWellMainDil</t>
  </si>
  <si>
    <t>VolToMainDil</t>
  </si>
  <si>
    <t>DstName</t>
  </si>
  <si>
    <t>DstWell</t>
  </si>
  <si>
    <t>DNAVol</t>
  </si>
  <si>
    <t>LibVol</t>
  </si>
  <si>
    <t>NaOHVol</t>
  </si>
  <si>
    <t>VolTris-HCl</t>
  </si>
  <si>
    <t>VolPhiX</t>
  </si>
  <si>
    <t>SrcPhiX</t>
  </si>
  <si>
    <t>SrcWellPhiX</t>
  </si>
  <si>
    <t>PoolMix Vol</t>
  </si>
  <si>
    <t>StripName</t>
  </si>
  <si>
    <t>StripWell</t>
  </si>
  <si>
    <t>AliquotVol</t>
  </si>
  <si>
    <t>ExAMPSrc</t>
  </si>
  <si>
    <t>ExAMPWell</t>
  </si>
  <si>
    <t>ExAMPVol</t>
  </si>
  <si>
    <t>EXPSrc</t>
  </si>
  <si>
    <t>EXP1Well</t>
  </si>
  <si>
    <t>EXP1Vol</t>
  </si>
  <si>
    <t>EXP2Well</t>
  </si>
  <si>
    <t>EXP2Vol</t>
  </si>
  <si>
    <t>EXP3Well</t>
  </si>
  <si>
    <t>EXP3Vol</t>
  </si>
  <si>
    <t>Date</t>
  </si>
  <si>
    <t>Version</t>
  </si>
  <si>
    <t>Action</t>
  </si>
  <si>
    <t>2.0.21</t>
  </si>
  <si>
    <t>First release of the HS-Run Template preparation file for Janus.</t>
  </si>
  <si>
    <t>2.0.22</t>
  </si>
  <si>
    <t>Clean-up of any unused things.</t>
  </si>
  <si>
    <t>2.0.23</t>
  </si>
  <si>
    <t>For direct denaturation, the total volume can be edited from the "Cluster" Tab. A macro rename the tab for csv files.</t>
  </si>
  <si>
    <t>2.0.26</t>
  </si>
  <si>
    <t>Bug correction in the pool index matrix</t>
  </si>
  <si>
    <t>2.0.27</t>
  </si>
  <si>
    <t>Bug correction in the lanes matrix.</t>
  </si>
  <si>
    <t>2.1.0</t>
  </si>
  <si>
    <t>2.2.0</t>
  </si>
  <si>
    <t>Addition of specific volume for pool mixing in denaturation tab.</t>
  </si>
  <si>
    <t>2.4.4</t>
  </si>
  <si>
    <t>Mise en prod pour HS 2000 et 2500.</t>
  </si>
  <si>
    <t>2.4.5</t>
  </si>
  <si>
    <t>Correction de bugs mineurs</t>
  </si>
  <si>
    <t>2.4.6</t>
  </si>
  <si>
    <t>Correction de bugs mineurs sur affichage de messages d'erreur.</t>
  </si>
  <si>
    <t>3.0.10</t>
  </si>
  <si>
    <t>Version adaptée pour HS X&amp;4000, dans tous les onglet sauf csv à vérifier.</t>
  </si>
  <si>
    <t>3.0.11</t>
  </si>
  <si>
    <t>Version en adaptation pour la génération des csv.</t>
  </si>
  <si>
    <t>3.2.0</t>
  </si>
  <si>
    <t>Version mise en test pour validation sur Janus</t>
  </si>
  <si>
    <t>3.2.1</t>
  </si>
  <si>
    <t>Correction dans les recettes de PhiX et NaOH.</t>
  </si>
  <si>
    <t>3.2.3</t>
  </si>
  <si>
    <t>Augmentation des extra volume dans l'onglet "PRINT".</t>
  </si>
  <si>
    <t>Mise en prod pour test de la version pour HSX4000.</t>
  </si>
  <si>
    <t>3.4.0</t>
  </si>
  <si>
    <t>Ajout d'un outil permettant de calculer les recettes de PhiX automatiquement.</t>
  </si>
  <si>
    <t>3.4.1</t>
  </si>
  <si>
    <t>Ajout d'un onglet pour la production d'un csv pour la preparation du ExAMP.</t>
  </si>
  <si>
    <t>3.4.2</t>
  </si>
  <si>
    <t>Reformattage de l'onglet TransOnStrip pour l'ajout du ExAMP.</t>
  </si>
  <si>
    <t>3.4.3</t>
  </si>
  <si>
    <t>Mise en test production.</t>
  </si>
  <si>
    <t>3.4.4</t>
  </si>
  <si>
    <t>Ajout de la représentation des tube rack dans l'onglet "PRINT".</t>
  </si>
  <si>
    <t>3.4.5</t>
  </si>
  <si>
    <t>Ajutement du volume de PHiX stock à 2 µl lorsque possible.</t>
  </si>
  <si>
    <t>3.4.6</t>
  </si>
  <si>
    <t>Correction de bug dans dans les volumes de PHiX quand le %PHiX est à zéro.</t>
  </si>
  <si>
    <t>3.4.7</t>
  </si>
  <si>
    <t>Correction du warning au niveau du nb de plaques maximal</t>
  </si>
  <si>
    <t>Correction de l'affichage des librairies à pooler dans l'onglet Cluster</t>
  </si>
  <si>
    <t>3.4.8</t>
  </si>
  <si>
    <t>Correction du calcul de l'extra robot dans la partie dénaturation de l'onglet ListandConversion</t>
  </si>
  <si>
    <t>3.4.9</t>
  </si>
  <si>
    <t>Vérification et correction de tous les volumes de la dénaturation.</t>
  </si>
  <si>
    <t>3.4.10</t>
  </si>
  <si>
    <t>Ajustement de l'onglet PRINT pour changer l'emplacement des racks 24 tubes et de la plaque de dilution intermdiaire.</t>
  </si>
  <si>
    <t>3.4.11</t>
  </si>
  <si>
    <t>Correction des volumes de PHiX à préparer dans l'onglet PRINT.</t>
  </si>
  <si>
    <t>Run McGill(Strip Tube Container  Name)</t>
  </si>
  <si>
    <t>Plate Barcode(Lib plate Barcode)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</si>
</sst>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d\-mmm\-yyyy;@"/>
    <numFmt numFmtId="165" formatCode="dd/mm/yyyy"/>
    <numFmt numFmtId="166" formatCode="0.000"/>
    <numFmt numFmtId="167" formatCode="0.0"/>
    <numFmt numFmtId="168" formatCode="0.0000"/>
    <numFmt numFmtId="169" formatCode="dd/mmm/yy"/>
  </numFmts>
  <fonts count="25" x14ac:knownFonts="1"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b/>
      <sz val="10"/>
      <name val="Arial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0070C0"/>
      <name val="Calibri"/>
      <family val="2"/>
      <charset val="1"/>
    </font>
    <font>
      <b/>
      <u/>
      <sz val="11"/>
      <color rgb="FF0000FF"/>
      <name val="Calibri"/>
      <family val="2"/>
      <charset val="1"/>
    </font>
    <font>
      <u/>
      <sz val="9.35"/>
      <color rgb="FF0000FF"/>
      <name val="Calibri"/>
      <family val="2"/>
      <charset val="1"/>
    </font>
    <font>
      <b/>
      <sz val="12"/>
      <name val="Arial"/>
      <family val="2"/>
      <charset val="1"/>
    </font>
    <font>
      <sz val="36"/>
      <color rgb="FFFF0000"/>
      <name val="Arial"/>
      <family val="2"/>
      <charset val="1"/>
    </font>
    <font>
      <sz val="36"/>
      <color rgb="FFFFFF00"/>
      <name val="Arial"/>
      <family val="2"/>
      <charset val="1"/>
    </font>
    <font>
      <sz val="10"/>
      <name val="Verdana"/>
      <family val="2"/>
      <charset val="1"/>
    </font>
    <font>
      <b/>
      <sz val="10"/>
      <name val="Verdana"/>
      <family val="2"/>
      <charset val="1"/>
    </font>
    <font>
      <b/>
      <sz val="10"/>
      <color rgb="FFD9D9D9"/>
      <name val="Arial"/>
      <family val="2"/>
      <charset val="1"/>
    </font>
    <font>
      <sz val="11"/>
      <name val="Arial"/>
      <family val="2"/>
      <charset val="1"/>
    </font>
    <font>
      <sz val="11"/>
      <name val="Calibri"/>
      <family val="2"/>
      <charset val="1"/>
    </font>
    <font>
      <sz val="10"/>
      <color rgb="FFFF0000"/>
      <name val="Arial"/>
      <family val="2"/>
      <charset val="1"/>
    </font>
    <font>
      <b/>
      <sz val="10"/>
      <color rgb="FFFF0000"/>
      <name val="Arial"/>
      <family val="2"/>
      <charset val="1"/>
    </font>
    <font>
      <b/>
      <sz val="12"/>
      <name val="Verdana"/>
      <family val="2"/>
      <charset val="1"/>
    </font>
    <font>
      <sz val="12"/>
      <name val="Arial"/>
      <family val="2"/>
      <charset val="1"/>
    </font>
    <font>
      <b/>
      <sz val="11"/>
      <color rgb="FFFFFFFF"/>
      <name val="Arial"/>
      <family val="2"/>
      <charset val="1"/>
    </font>
    <font>
      <b/>
      <sz val="11"/>
      <name val="Arial"/>
      <family val="2"/>
      <charset val="1"/>
    </font>
    <font>
      <b/>
      <sz val="13"/>
      <name val="Arial"/>
      <family val="2"/>
      <charset val="1"/>
    </font>
    <font>
      <sz val="14"/>
      <name val="Arial"/>
      <family val="2"/>
      <charset val="1"/>
    </font>
    <font>
      <b/>
      <sz val="11"/>
      <name val="Calibri"/>
      <family val="2"/>
      <charset val="1"/>
    </font>
    <font>
      <sz val="10"/>
      <name val="Arial"/>
      <family val="2"/>
      <charset val="1"/>
    </font>
  </fonts>
  <fills count="30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FF0000"/>
        <bgColor rgb="FF9C0006"/>
      </patternFill>
    </fill>
    <fill>
      <patternFill patternType="solid">
        <fgColor rgb="FFFFFF00"/>
        <bgColor rgb="FFADFF2F"/>
      </patternFill>
    </fill>
    <fill>
      <patternFill patternType="solid">
        <fgColor rgb="FF92D050"/>
        <bgColor rgb="FFC3D69B"/>
      </patternFill>
    </fill>
    <fill>
      <patternFill patternType="solid">
        <fgColor rgb="FFD9D9D9"/>
        <bgColor rgb="FFD7E4BD"/>
      </patternFill>
    </fill>
    <fill>
      <patternFill patternType="solid">
        <fgColor rgb="FFBFBFBF"/>
        <bgColor rgb="FFC4BD97"/>
      </patternFill>
    </fill>
    <fill>
      <patternFill patternType="solid">
        <fgColor rgb="FF558ED5"/>
        <bgColor rgb="FF85847F"/>
      </patternFill>
    </fill>
    <fill>
      <patternFill patternType="solid">
        <fgColor rgb="FF00B050"/>
        <bgColor rgb="FF008080"/>
      </patternFill>
    </fill>
    <fill>
      <patternFill patternType="solid">
        <fgColor rgb="FF93CDDD"/>
        <bgColor rgb="FFADD8E6"/>
      </patternFill>
    </fill>
    <fill>
      <patternFill patternType="solid">
        <fgColor rgb="FFFFC000"/>
        <bgColor rgb="FFFFFF00"/>
      </patternFill>
    </fill>
    <fill>
      <patternFill patternType="solid">
        <fgColor rgb="FFC3D69B"/>
        <bgColor rgb="FFD7E4BD"/>
      </patternFill>
    </fill>
    <fill>
      <patternFill patternType="solid">
        <fgColor rgb="FFB9CDE5"/>
        <bgColor rgb="FFB0C4DE"/>
      </patternFill>
    </fill>
    <fill>
      <patternFill patternType="solid">
        <fgColor rgb="FFB3A2C7"/>
        <bgColor rgb="FFBFBFBF"/>
      </patternFill>
    </fill>
    <fill>
      <patternFill patternType="solid">
        <fgColor rgb="FFC6D9F1"/>
        <bgColor rgb="FFB7DEE8"/>
      </patternFill>
    </fill>
    <fill>
      <patternFill patternType="solid">
        <fgColor rgb="FF002060"/>
        <bgColor rgb="FF000080"/>
      </patternFill>
    </fill>
    <fill>
      <patternFill patternType="solid">
        <fgColor rgb="FF00B0F0"/>
        <bgColor rgb="FF0070C0"/>
      </patternFill>
    </fill>
    <fill>
      <patternFill patternType="solid">
        <fgColor rgb="FFFF6699"/>
        <bgColor rgb="FFB3A2C7"/>
      </patternFill>
    </fill>
    <fill>
      <patternFill patternType="solid">
        <fgColor rgb="FFDCE6F2"/>
        <bgColor rgb="FFD9D9D9"/>
      </patternFill>
    </fill>
    <fill>
      <patternFill patternType="solid">
        <fgColor rgb="FF0070C0"/>
        <bgColor rgb="FF008080"/>
      </patternFill>
    </fill>
    <fill>
      <patternFill patternType="solid">
        <fgColor rgb="FFD7E4BD"/>
        <bgColor rgb="FFD9D9D9"/>
      </patternFill>
    </fill>
    <fill>
      <patternFill patternType="solid">
        <fgColor rgb="FFF2DCDB"/>
        <bgColor rgb="FFD9D9D9"/>
      </patternFill>
    </fill>
    <fill>
      <patternFill patternType="solid">
        <fgColor rgb="FFC4BD97"/>
        <bgColor rgb="FFBFBFBF"/>
      </patternFill>
    </fill>
    <fill>
      <patternFill patternType="solid">
        <fgColor rgb="FF8EB4E3"/>
        <bgColor rgb="FF93CDDD"/>
      </patternFill>
    </fill>
    <fill>
      <patternFill patternType="solid">
        <fgColor rgb="FFE6B9B8"/>
        <bgColor rgb="FFFFC7CE"/>
      </patternFill>
    </fill>
    <fill>
      <patternFill patternType="solid">
        <fgColor rgb="FFEBF1DE"/>
        <bgColor rgb="FFF2F2F2"/>
      </patternFill>
    </fill>
    <fill>
      <patternFill patternType="solid">
        <fgColor rgb="FF85847F"/>
        <bgColor rgb="FF558ED5"/>
      </patternFill>
    </fill>
    <fill>
      <patternFill patternType="solid">
        <fgColor rgb="FFF2F2F2"/>
        <bgColor rgb="FFEBF1DE"/>
      </patternFill>
    </fill>
    <fill>
      <patternFill patternType="solid">
        <fgColor rgb="FFFF5050"/>
        <bgColor indexed="64"/>
      </patternFill>
    </fill>
  </fills>
  <borders count="6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9" fontId="24" fillId="0" borderId="0" applyBorder="0" applyProtection="0"/>
    <xf numFmtId="0" fontId="6" fillId="0" borderId="0" applyBorder="0" applyProtection="0"/>
    <xf numFmtId="0" fontId="1" fillId="4" borderId="0"/>
  </cellStyleXfs>
  <cellXfs count="636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/>
    <xf numFmtId="0" fontId="0" fillId="4" borderId="0" xfId="0" applyFill="1" applyAlignment="1"/>
    <xf numFmtId="0" fontId="3" fillId="6" borderId="1" xfId="0" applyFont="1" applyFill="1" applyBorder="1" applyAlignment="1">
      <alignment wrapText="1"/>
    </xf>
    <xf numFmtId="0" fontId="4" fillId="6" borderId="2" xfId="0" applyFont="1" applyFill="1" applyBorder="1" applyAlignment="1">
      <alignment wrapText="1"/>
    </xf>
    <xf numFmtId="0" fontId="3" fillId="6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vertical="center" wrapText="1"/>
    </xf>
    <xf numFmtId="164" fontId="3" fillId="6" borderId="2" xfId="0" applyNumberFormat="1" applyFont="1" applyFill="1" applyBorder="1" applyAlignment="1">
      <alignment vertical="top" wrapText="1"/>
    </xf>
    <xf numFmtId="0" fontId="5" fillId="6" borderId="2" xfId="2" applyFont="1" applyFill="1" applyBorder="1" applyAlignment="1" applyProtection="1">
      <alignment vertical="center" wrapText="1"/>
    </xf>
    <xf numFmtId="164" fontId="3" fillId="6" borderId="2" xfId="0" applyNumberFormat="1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5" fillId="5" borderId="2" xfId="2" applyFont="1" applyFill="1" applyBorder="1" applyAlignment="1" applyProtection="1">
      <alignment vertical="center" wrapText="1"/>
    </xf>
    <xf numFmtId="164" fontId="3" fillId="5" borderId="2" xfId="0" applyNumberFormat="1" applyFont="1" applyFill="1" applyBorder="1" applyAlignment="1">
      <alignment vertical="center" wrapText="1"/>
    </xf>
    <xf numFmtId="0" fontId="3" fillId="8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vertical="center" wrapText="1"/>
    </xf>
    <xf numFmtId="0" fontId="3" fillId="10" borderId="3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0" borderId="4" xfId="0" applyFont="1" applyBorder="1" applyAlignment="1"/>
    <xf numFmtId="0" fontId="0" fillId="0" borderId="0" xfId="0" applyFont="1" applyBorder="1" applyAlignment="1"/>
    <xf numFmtId="0" fontId="0" fillId="0" borderId="5" xfId="0" applyFont="1" applyBorder="1" applyAlignment="1"/>
    <xf numFmtId="0" fontId="0" fillId="0" borderId="0" xfId="0" applyFont="1" applyBorder="1" applyAlignment="1">
      <alignment vertical="center"/>
    </xf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0" xfId="0" applyProtection="1"/>
    <xf numFmtId="49" fontId="0" fillId="0" borderId="0" xfId="0" applyNumberFormat="1" applyProtection="1"/>
    <xf numFmtId="0" fontId="0" fillId="0" borderId="0" xfId="0" applyAlignment="1" applyProtection="1">
      <alignment horizontal="center"/>
    </xf>
    <xf numFmtId="0" fontId="7" fillId="11" borderId="9" xfId="0" applyFont="1" applyFill="1" applyBorder="1" applyProtection="1"/>
    <xf numFmtId="0" fontId="7" fillId="11" borderId="10" xfId="0" applyFont="1" applyFill="1" applyBorder="1" applyProtection="1"/>
    <xf numFmtId="0" fontId="7" fillId="11" borderId="10" xfId="0" applyFont="1" applyFill="1" applyBorder="1" applyAlignment="1" applyProtection="1">
      <alignment horizontal="left"/>
    </xf>
    <xf numFmtId="0" fontId="0" fillId="11" borderId="11" xfId="0" applyFill="1" applyBorder="1" applyProtection="1"/>
    <xf numFmtId="0" fontId="0" fillId="0" borderId="0" xfId="0" applyBorder="1" applyProtection="1"/>
    <xf numFmtId="0" fontId="7" fillId="0" borderId="0" xfId="0" applyFont="1" applyBorder="1" applyProtection="1"/>
    <xf numFmtId="0" fontId="7" fillId="0" borderId="0" xfId="0" applyFont="1" applyBorder="1" applyAlignment="1" applyProtection="1">
      <alignment horizontal="left"/>
    </xf>
    <xf numFmtId="49" fontId="0" fillId="0" borderId="0" xfId="0" applyNumberFormat="1" applyProtection="1"/>
    <xf numFmtId="0" fontId="0" fillId="0" borderId="0" xfId="0" applyProtection="1"/>
    <xf numFmtId="0" fontId="0" fillId="0" borderId="0" xfId="0" applyAlignment="1" applyProtection="1">
      <alignment horizontal="center"/>
    </xf>
    <xf numFmtId="0" fontId="0" fillId="12" borderId="0" xfId="0" applyFont="1" applyFill="1" applyBorder="1" applyProtection="1"/>
    <xf numFmtId="0" fontId="7" fillId="12" borderId="0" xfId="0" applyFont="1" applyFill="1" applyBorder="1" applyProtection="1"/>
    <xf numFmtId="0" fontId="0" fillId="12" borderId="0" xfId="0" applyFill="1" applyBorder="1" applyProtection="1"/>
    <xf numFmtId="0" fontId="7" fillId="12" borderId="0" xfId="0" applyFont="1" applyFill="1" applyBorder="1" applyAlignment="1" applyProtection="1">
      <alignment horizontal="left"/>
    </xf>
    <xf numFmtId="0" fontId="0" fillId="0" borderId="0" xfId="0" applyBorder="1" applyAlignment="1" applyProtection="1">
      <alignment horizontal="center"/>
    </xf>
    <xf numFmtId="0" fontId="9" fillId="0" borderId="0" xfId="0" applyFont="1" applyAlignment="1" applyProtection="1">
      <alignment horizontal="center" vertical="center"/>
    </xf>
    <xf numFmtId="0" fontId="7" fillId="0" borderId="0" xfId="0" applyFont="1" applyAlignment="1" applyProtection="1">
      <alignment horizontal="center"/>
    </xf>
    <xf numFmtId="165" fontId="7" fillId="0" borderId="12" xfId="0" applyNumberFormat="1" applyFont="1" applyBorder="1" applyAlignment="1" applyProtection="1">
      <alignment horizontal="left"/>
      <protection locked="0"/>
    </xf>
    <xf numFmtId="0" fontId="0" fillId="0" borderId="0" xfId="0" applyFont="1" applyProtection="1"/>
    <xf numFmtId="0" fontId="10" fillId="0" borderId="0" xfId="0" applyFont="1" applyProtection="1"/>
    <xf numFmtId="164" fontId="0" fillId="12" borderId="12" xfId="0" applyNumberFormat="1" applyFont="1" applyFill="1" applyBorder="1" applyProtection="1">
      <protection locked="0"/>
    </xf>
    <xf numFmtId="165" fontId="10" fillId="0" borderId="0" xfId="0" applyNumberFormat="1" applyFont="1" applyProtection="1"/>
    <xf numFmtId="0" fontId="0" fillId="0" borderId="4" xfId="0" applyFont="1" applyBorder="1" applyAlignment="1" applyProtection="1">
      <alignment horizontal="center"/>
    </xf>
    <xf numFmtId="0" fontId="0" fillId="0" borderId="5" xfId="0" applyFont="1" applyBorder="1" applyAlignment="1" applyProtection="1">
      <alignment horizontal="center"/>
    </xf>
    <xf numFmtId="0" fontId="0" fillId="0" borderId="13" xfId="0" applyFont="1" applyBorder="1" applyAlignment="1" applyProtection="1">
      <alignment horizontal="center"/>
    </xf>
    <xf numFmtId="0" fontId="0" fillId="12" borderId="12" xfId="0" applyFont="1" applyFill="1" applyBorder="1" applyProtection="1">
      <protection locked="0"/>
    </xf>
    <xf numFmtId="0" fontId="2" fillId="11" borderId="4" xfId="0" applyFont="1" applyFill="1" applyBorder="1" applyAlignment="1" applyProtection="1">
      <alignment horizontal="center"/>
    </xf>
    <xf numFmtId="0" fontId="2" fillId="11" borderId="0" xfId="0" applyFont="1" applyFill="1" applyBorder="1" applyAlignment="1" applyProtection="1">
      <alignment horizontal="center"/>
    </xf>
    <xf numFmtId="0" fontId="2" fillId="11" borderId="5" xfId="0" applyFont="1" applyFill="1" applyBorder="1" applyAlignment="1" applyProtection="1">
      <alignment horizontal="center"/>
    </xf>
    <xf numFmtId="0" fontId="0" fillId="0" borderId="14" xfId="0" applyBorder="1" applyAlignment="1" applyProtection="1">
      <alignment horizontal="center"/>
    </xf>
    <xf numFmtId="0" fontId="0" fillId="0" borderId="0" xfId="0" applyFont="1" applyBorder="1" applyProtection="1">
      <protection locked="0"/>
    </xf>
    <xf numFmtId="0" fontId="0" fillId="11" borderId="15" xfId="0" applyFont="1" applyFill="1" applyBorder="1" applyProtection="1"/>
    <xf numFmtId="0" fontId="0" fillId="0" borderId="0" xfId="0" applyFont="1" applyBorder="1" applyProtection="1"/>
    <xf numFmtId="0" fontId="2" fillId="11" borderId="16" xfId="0" applyFont="1" applyFill="1" applyBorder="1" applyAlignment="1" applyProtection="1">
      <alignment horizontal="right"/>
    </xf>
    <xf numFmtId="166" fontId="2" fillId="13" borderId="16" xfId="0" applyNumberFormat="1" applyFont="1" applyFill="1" applyBorder="1" applyAlignment="1" applyProtection="1">
      <alignment horizontal="center"/>
    </xf>
    <xf numFmtId="166" fontId="2" fillId="13" borderId="17" xfId="0" applyNumberFormat="1" applyFont="1" applyFill="1" applyBorder="1" applyAlignment="1" applyProtection="1">
      <alignment horizontal="center"/>
    </xf>
    <xf numFmtId="166" fontId="2" fillId="13" borderId="18" xfId="0" applyNumberFormat="1" applyFont="1" applyFill="1" applyBorder="1" applyAlignment="1" applyProtection="1">
      <alignment horizontal="center"/>
    </xf>
    <xf numFmtId="0" fontId="0" fillId="0" borderId="6" xfId="0" applyBorder="1" applyAlignment="1" applyProtection="1">
      <alignment horizontal="center"/>
    </xf>
    <xf numFmtId="0" fontId="0" fillId="0" borderId="8" xfId="0" applyBorder="1" applyAlignment="1" applyProtection="1">
      <alignment horizontal="center"/>
    </xf>
    <xf numFmtId="0" fontId="0" fillId="0" borderId="19" xfId="0" applyFont="1" applyBorder="1" applyAlignment="1" applyProtection="1">
      <alignment horizontal="center"/>
    </xf>
    <xf numFmtId="0" fontId="10" fillId="0" borderId="0" xfId="0" applyFont="1" applyBorder="1" applyProtection="1"/>
    <xf numFmtId="0" fontId="10" fillId="0" borderId="0" xfId="0" applyFont="1" applyBorder="1" applyProtection="1">
      <protection locked="0"/>
    </xf>
    <xf numFmtId="0" fontId="2" fillId="11" borderId="4" xfId="0" applyFont="1" applyFill="1" applyBorder="1" applyAlignment="1" applyProtection="1">
      <alignment horizontal="right"/>
    </xf>
    <xf numFmtId="167" fontId="0" fillId="0" borderId="4" xfId="0" applyNumberFormat="1" applyBorder="1" applyAlignment="1" applyProtection="1">
      <alignment horizontal="center"/>
    </xf>
    <xf numFmtId="167" fontId="0" fillId="0" borderId="0" xfId="0" applyNumberFormat="1" applyBorder="1" applyAlignment="1" applyProtection="1">
      <alignment horizontal="center"/>
    </xf>
    <xf numFmtId="167" fontId="0" fillId="0" borderId="5" xfId="0" applyNumberFormat="1" applyBorder="1" applyAlignment="1" applyProtection="1">
      <alignment horizontal="center"/>
    </xf>
    <xf numFmtId="0" fontId="0" fillId="0" borderId="0" xfId="0" applyFont="1" applyAlignment="1" applyProtection="1">
      <alignment horizontal="center"/>
    </xf>
    <xf numFmtId="0" fontId="2" fillId="11" borderId="6" xfId="0" applyFont="1" applyFill="1" applyBorder="1" applyAlignment="1" applyProtection="1">
      <alignment horizontal="right"/>
    </xf>
    <xf numFmtId="167" fontId="0" fillId="0" borderId="6" xfId="0" applyNumberFormat="1" applyBorder="1" applyAlignment="1" applyProtection="1">
      <alignment horizontal="center"/>
    </xf>
    <xf numFmtId="167" fontId="0" fillId="0" borderId="7" xfId="0" applyNumberFormat="1" applyBorder="1" applyAlignment="1" applyProtection="1">
      <alignment horizontal="center"/>
    </xf>
    <xf numFmtId="1" fontId="0" fillId="0" borderId="8" xfId="0" applyNumberFormat="1" applyBorder="1" applyAlignment="1" applyProtection="1">
      <alignment horizontal="center"/>
    </xf>
    <xf numFmtId="0" fontId="10" fillId="0" borderId="0" xfId="0" applyFont="1" applyBorder="1" applyAlignment="1" applyProtection="1"/>
    <xf numFmtId="0" fontId="0" fillId="0" borderId="0" xfId="0" applyProtection="1"/>
    <xf numFmtId="0" fontId="2" fillId="14" borderId="20" xfId="0" applyFont="1" applyFill="1" applyBorder="1" applyProtection="1"/>
    <xf numFmtId="0" fontId="0" fillId="14" borderId="21" xfId="0" applyFill="1" applyBorder="1" applyAlignment="1" applyProtection="1"/>
    <xf numFmtId="0" fontId="0" fillId="14" borderId="22" xfId="0" applyFill="1" applyBorder="1" applyAlignment="1" applyProtection="1"/>
    <xf numFmtId="0" fontId="0" fillId="0" borderId="0" xfId="0" applyBorder="1" applyAlignment="1" applyProtection="1"/>
    <xf numFmtId="0" fontId="12" fillId="2" borderId="16" xfId="0" applyFont="1" applyFill="1" applyBorder="1" applyProtection="1"/>
    <xf numFmtId="0" fontId="12" fillId="2" borderId="18" xfId="0" applyFont="1" applyFill="1" applyBorder="1" applyProtection="1"/>
    <xf numFmtId="0" fontId="0" fillId="0" borderId="0" xfId="0" applyFont="1" applyBorder="1" applyAlignment="1" applyProtection="1">
      <alignment horizontal="center"/>
    </xf>
    <xf numFmtId="0" fontId="0" fillId="0" borderId="16" xfId="0" applyBorder="1" applyProtection="1"/>
    <xf numFmtId="0" fontId="0" fillId="0" borderId="17" xfId="0" applyBorder="1" applyProtection="1"/>
    <xf numFmtId="0" fontId="0" fillId="0" borderId="18" xfId="0" applyBorder="1" applyProtection="1"/>
    <xf numFmtId="0" fontId="12" fillId="2" borderId="6" xfId="0" applyFont="1" applyFill="1" applyBorder="1" applyProtection="1"/>
    <xf numFmtId="0" fontId="12" fillId="2" borderId="8" xfId="0" applyFont="1" applyFill="1" applyBorder="1" applyProtection="1"/>
    <xf numFmtId="0" fontId="2" fillId="0" borderId="0" xfId="0" applyFont="1" applyBorder="1" applyAlignment="1" applyProtection="1">
      <alignment horizontal="center"/>
    </xf>
    <xf numFmtId="0" fontId="0" fillId="0" borderId="0" xfId="0" applyFont="1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10" fillId="0" borderId="0" xfId="0" applyFont="1" applyBorder="1" applyProtection="1"/>
    <xf numFmtId="0" fontId="0" fillId="0" borderId="4" xfId="0" applyFont="1" applyBorder="1" applyProtection="1"/>
    <xf numFmtId="0" fontId="2" fillId="13" borderId="0" xfId="0" applyFont="1" applyFill="1" applyBorder="1" applyAlignment="1" applyProtection="1">
      <alignment horizontal="center"/>
      <protection locked="0"/>
    </xf>
    <xf numFmtId="0" fontId="0" fillId="0" borderId="0" xfId="0" applyBorder="1" applyProtection="1"/>
    <xf numFmtId="0" fontId="0" fillId="0" borderId="5" xfId="0" applyBorder="1" applyProtection="1"/>
    <xf numFmtId="0" fontId="0" fillId="0" borderId="0" xfId="0" applyBorder="1" applyAlignment="1" applyProtection="1">
      <alignment horizontal="center"/>
    </xf>
    <xf numFmtId="0" fontId="2" fillId="11" borderId="16" xfId="0" applyFont="1" applyFill="1" applyBorder="1"/>
    <xf numFmtId="0" fontId="2" fillId="11" borderId="18" xfId="0" applyFont="1" applyFill="1" applyBorder="1"/>
    <xf numFmtId="0" fontId="0" fillId="0" borderId="4" xfId="0" applyBorder="1" applyProtection="1"/>
    <xf numFmtId="0" fontId="2" fillId="0" borderId="4" xfId="0" applyFont="1" applyBorder="1"/>
    <xf numFmtId="0" fontId="2" fillId="0" borderId="5" xfId="0" applyFont="1" applyBorder="1"/>
    <xf numFmtId="0" fontId="0" fillId="0" borderId="0" xfId="0" applyFont="1" applyBorder="1" applyProtection="1"/>
    <xf numFmtId="0" fontId="0" fillId="0" borderId="6" xfId="0" applyFont="1" applyBorder="1" applyProtection="1"/>
    <xf numFmtId="0" fontId="0" fillId="0" borderId="7" xfId="0" applyBorder="1" applyAlignment="1" applyProtection="1">
      <alignment horizontal="center"/>
    </xf>
    <xf numFmtId="0" fontId="0" fillId="0" borderId="7" xfId="0" applyBorder="1" applyProtection="1"/>
    <xf numFmtId="0" fontId="0" fillId="0" borderId="8" xfId="0" applyBorder="1" applyProtection="1"/>
    <xf numFmtId="0" fontId="2" fillId="15" borderId="6" xfId="0" applyFont="1" applyFill="1" applyBorder="1"/>
    <xf numFmtId="0" fontId="2" fillId="0" borderId="8" xfId="0" applyFont="1" applyBorder="1"/>
    <xf numFmtId="0" fontId="11" fillId="0" borderId="0" xfId="0" applyFont="1" applyBorder="1" applyAlignment="1" applyProtection="1">
      <alignment horizontal="center"/>
    </xf>
    <xf numFmtId="0" fontId="2" fillId="14" borderId="16" xfId="0" applyFont="1" applyFill="1" applyBorder="1" applyProtection="1"/>
    <xf numFmtId="0" fontId="2" fillId="14" borderId="17" xfId="0" applyFont="1" applyFill="1" applyBorder="1" applyProtection="1"/>
    <xf numFmtId="0" fontId="2" fillId="0" borderId="0" xfId="0" applyFont="1" applyBorder="1" applyAlignment="1" applyProtection="1"/>
    <xf numFmtId="0" fontId="2" fillId="11" borderId="16" xfId="0" applyFont="1" applyFill="1" applyBorder="1" applyProtection="1"/>
    <xf numFmtId="0" fontId="2" fillId="11" borderId="18" xfId="0" applyFont="1" applyFill="1" applyBorder="1" applyProtection="1"/>
    <xf numFmtId="0" fontId="2" fillId="2" borderId="4" xfId="0" applyFont="1" applyFill="1" applyBorder="1" applyProtection="1"/>
    <xf numFmtId="0" fontId="2" fillId="2" borderId="0" xfId="0" applyFont="1" applyFill="1" applyBorder="1" applyProtection="1"/>
    <xf numFmtId="0" fontId="2" fillId="2" borderId="5" xfId="0" applyFont="1" applyFill="1" applyBorder="1" applyProtection="1"/>
    <xf numFmtId="0" fontId="2" fillId="0" borderId="0" xfId="0" applyFont="1" applyBorder="1" applyProtection="1"/>
    <xf numFmtId="0" fontId="2" fillId="13" borderId="6" xfId="0" applyFont="1" applyFill="1" applyBorder="1" applyProtection="1">
      <protection locked="0"/>
    </xf>
    <xf numFmtId="0" fontId="2" fillId="2" borderId="7" xfId="0" applyFont="1" applyFill="1" applyBorder="1" applyProtection="1"/>
    <xf numFmtId="0" fontId="2" fillId="0" borderId="6" xfId="0" applyFont="1" applyBorder="1" applyProtection="1">
      <protection locked="0"/>
    </xf>
    <xf numFmtId="0" fontId="2" fillId="2" borderId="8" xfId="0" applyFont="1" applyFill="1" applyBorder="1" applyProtection="1"/>
    <xf numFmtId="0" fontId="11" fillId="0" borderId="0" xfId="0" applyFont="1" applyBorder="1" applyProtection="1"/>
    <xf numFmtId="0" fontId="10" fillId="0" borderId="0" xfId="0" applyFont="1" applyBorder="1" applyAlignment="1" applyProtection="1">
      <alignment horizontal="center"/>
    </xf>
    <xf numFmtId="0" fontId="0" fillId="0" borderId="20" xfId="0" applyBorder="1" applyAlignment="1" applyProtection="1">
      <alignment horizontal="center"/>
    </xf>
    <xf numFmtId="0" fontId="0" fillId="0" borderId="22" xfId="0" applyBorder="1" applyAlignment="1" applyProtection="1">
      <alignment horizontal="center"/>
    </xf>
    <xf numFmtId="0" fontId="0" fillId="0" borderId="21" xfId="0" applyBorder="1" applyAlignment="1" applyProtection="1">
      <alignment horizontal="center"/>
    </xf>
    <xf numFmtId="0" fontId="10" fillId="11" borderId="13" xfId="0" applyFont="1" applyFill="1" applyBorder="1" applyAlignment="1" applyProtection="1">
      <alignment horizontal="center" vertical="center"/>
    </xf>
    <xf numFmtId="0" fontId="10" fillId="11" borderId="23" xfId="0" applyFont="1" applyFill="1" applyBorder="1" applyAlignment="1" applyProtection="1">
      <alignment horizontal="center" vertical="center"/>
    </xf>
    <xf numFmtId="0" fontId="10" fillId="11" borderId="13" xfId="0" applyFont="1" applyFill="1" applyBorder="1" applyAlignment="1" applyProtection="1">
      <alignment horizontal="center" vertical="center" wrapText="1"/>
    </xf>
    <xf numFmtId="0" fontId="10" fillId="11" borderId="16" xfId="0" applyFont="1" applyFill="1" applyBorder="1" applyAlignment="1" applyProtection="1">
      <alignment horizontal="center" vertical="center" wrapText="1"/>
    </xf>
    <xf numFmtId="0" fontId="10" fillId="11" borderId="17" xfId="0" applyFont="1" applyFill="1" applyBorder="1" applyAlignment="1" applyProtection="1">
      <alignment horizontal="center" vertical="center" wrapText="1"/>
    </xf>
    <xf numFmtId="0" fontId="10" fillId="11" borderId="1" xfId="0" applyFont="1" applyFill="1" applyBorder="1" applyAlignment="1" applyProtection="1">
      <alignment horizontal="center" vertical="center" wrapText="1"/>
    </xf>
    <xf numFmtId="0" fontId="10" fillId="11" borderId="2" xfId="0" applyFont="1" applyFill="1" applyBorder="1" applyAlignment="1" applyProtection="1">
      <alignment horizontal="center" vertical="center" wrapText="1"/>
    </xf>
    <xf numFmtId="0" fontId="10" fillId="11" borderId="3" xfId="0" applyFont="1" applyFill="1" applyBorder="1" applyAlignment="1" applyProtection="1">
      <alignment horizontal="center" vertical="center" wrapText="1"/>
    </xf>
    <xf numFmtId="0" fontId="10" fillId="0" borderId="24" xfId="0" applyFont="1" applyBorder="1" applyAlignment="1" applyProtection="1">
      <alignment horizontal="center" vertical="center"/>
    </xf>
    <xf numFmtId="0" fontId="13" fillId="0" borderId="25" xfId="0" applyFont="1" applyBorder="1" applyAlignment="1" applyProtection="1">
      <alignment horizontal="center" vertical="center"/>
    </xf>
    <xf numFmtId="0" fontId="14" fillId="0" borderId="25" xfId="0" applyFont="1" applyBorder="1" applyAlignment="1" applyProtection="1">
      <alignment horizontal="center" vertical="center"/>
    </xf>
    <xf numFmtId="0" fontId="0" fillId="15" borderId="25" xfId="0" applyFill="1" applyBorder="1" applyAlignment="1" applyProtection="1">
      <alignment horizontal="left" vertical="center"/>
    </xf>
    <xf numFmtId="1" fontId="0" fillId="15" borderId="25" xfId="0" applyNumberFormat="1" applyFill="1" applyBorder="1" applyAlignment="1" applyProtection="1">
      <alignment horizontal="center" vertical="center"/>
    </xf>
    <xf numFmtId="167" fontId="0" fillId="15" borderId="25" xfId="0" applyNumberFormat="1" applyFill="1" applyBorder="1" applyAlignment="1" applyProtection="1">
      <alignment horizontal="center" vertical="center"/>
    </xf>
    <xf numFmtId="0" fontId="10" fillId="0" borderId="25" xfId="0" applyFont="1" applyBorder="1" applyAlignment="1" applyProtection="1">
      <alignment horizontal="center" vertical="center"/>
    </xf>
    <xf numFmtId="9" fontId="10" fillId="0" borderId="25" xfId="0" applyNumberFormat="1" applyFont="1" applyBorder="1" applyAlignment="1" applyProtection="1">
      <alignment horizontal="center" vertical="center"/>
    </xf>
    <xf numFmtId="0" fontId="10" fillId="12" borderId="25" xfId="0" applyFont="1" applyFill="1" applyBorder="1" applyAlignment="1" applyProtection="1">
      <alignment horizontal="center" vertical="center"/>
    </xf>
    <xf numFmtId="2" fontId="0" fillId="0" borderId="25" xfId="0" applyNumberFormat="1" applyBorder="1" applyAlignment="1" applyProtection="1">
      <alignment horizontal="center" vertical="center"/>
    </xf>
    <xf numFmtId="167" fontId="0" fillId="0" borderId="25" xfId="0" applyNumberFormat="1" applyBorder="1" applyAlignment="1" applyProtection="1">
      <alignment horizontal="center" vertical="center"/>
    </xf>
    <xf numFmtId="167" fontId="15" fillId="0" borderId="25" xfId="0" applyNumberFormat="1" applyFont="1" applyBorder="1" applyAlignment="1" applyProtection="1">
      <alignment horizontal="center" vertical="center"/>
      <protection locked="0"/>
    </xf>
    <xf numFmtId="167" fontId="15" fillId="0" borderId="26" xfId="0" applyNumberFormat="1" applyFont="1" applyBorder="1" applyAlignment="1" applyProtection="1">
      <alignment horizontal="center" vertical="center"/>
      <protection locked="0"/>
    </xf>
    <xf numFmtId="2" fontId="0" fillId="0" borderId="27" xfId="0" applyNumberFormat="1" applyBorder="1" applyAlignment="1" applyProtection="1">
      <alignment horizontal="center" vertical="center"/>
    </xf>
    <xf numFmtId="166" fontId="0" fillId="0" borderId="26" xfId="0" applyNumberFormat="1" applyBorder="1" applyAlignment="1" applyProtection="1">
      <alignment horizontal="center" vertical="center"/>
    </xf>
    <xf numFmtId="0" fontId="0" fillId="0" borderId="28" xfId="0" applyBorder="1" applyAlignment="1" applyProtection="1">
      <alignment horizontal="center"/>
    </xf>
    <xf numFmtId="0" fontId="2" fillId="13" borderId="28" xfId="0" applyFont="1" applyFill="1" applyBorder="1" applyAlignment="1" applyProtection="1">
      <alignment horizontal="center"/>
    </xf>
    <xf numFmtId="0" fontId="0" fillId="0" borderId="17" xfId="0" applyBorder="1" applyAlignment="1" applyProtection="1">
      <alignment horizontal="center"/>
    </xf>
    <xf numFmtId="166" fontId="0" fillId="0" borderId="17" xfId="0" applyNumberFormat="1" applyBorder="1" applyAlignment="1" applyProtection="1">
      <alignment horizontal="center"/>
    </xf>
    <xf numFmtId="0" fontId="10" fillId="0" borderId="29" xfId="0" applyFont="1" applyBorder="1" applyAlignment="1" applyProtection="1">
      <alignment horizontal="center" vertical="center"/>
    </xf>
    <xf numFmtId="0" fontId="13" fillId="0" borderId="12" xfId="0" applyFont="1" applyBorder="1" applyAlignment="1" applyProtection="1">
      <alignment horizontal="center" vertical="center"/>
    </xf>
    <xf numFmtId="0" fontId="14" fillId="0" borderId="12" xfId="0" applyFont="1" applyBorder="1" applyAlignment="1" applyProtection="1">
      <alignment horizontal="center" vertical="center"/>
    </xf>
    <xf numFmtId="0" fontId="0" fillId="15" borderId="12" xfId="0" applyFill="1" applyBorder="1" applyAlignment="1" applyProtection="1">
      <alignment horizontal="left" vertical="center"/>
    </xf>
    <xf numFmtId="1" fontId="0" fillId="15" borderId="12" xfId="0" applyNumberFormat="1" applyFill="1" applyBorder="1" applyAlignment="1" applyProtection="1">
      <alignment horizontal="center" vertical="center"/>
    </xf>
    <xf numFmtId="167" fontId="0" fillId="15" borderId="12" xfId="0" applyNumberFormat="1" applyFill="1" applyBorder="1" applyAlignment="1" applyProtection="1">
      <alignment horizontal="center" vertical="center"/>
    </xf>
    <xf numFmtId="0" fontId="10" fillId="0" borderId="12" xfId="0" applyFont="1" applyBorder="1" applyAlignment="1" applyProtection="1">
      <alignment horizontal="center" vertical="center"/>
    </xf>
    <xf numFmtId="9" fontId="10" fillId="0" borderId="12" xfId="0" applyNumberFormat="1" applyFont="1" applyBorder="1" applyAlignment="1" applyProtection="1">
      <alignment horizontal="center" vertical="center"/>
    </xf>
    <xf numFmtId="0" fontId="10" fillId="12" borderId="12" xfId="0" applyFont="1" applyFill="1" applyBorder="1" applyAlignment="1" applyProtection="1">
      <alignment horizontal="center" vertical="center"/>
    </xf>
    <xf numFmtId="2" fontId="0" fillId="0" borderId="12" xfId="0" applyNumberFormat="1" applyBorder="1" applyAlignment="1" applyProtection="1">
      <alignment horizontal="center" vertical="center"/>
    </xf>
    <xf numFmtId="167" fontId="0" fillId="0" borderId="12" xfId="0" applyNumberFormat="1" applyBorder="1" applyAlignment="1" applyProtection="1">
      <alignment horizontal="center" vertical="center"/>
    </xf>
    <xf numFmtId="167" fontId="15" fillId="0" borderId="12" xfId="0" applyNumberFormat="1" applyFont="1" applyBorder="1" applyAlignment="1" applyProtection="1">
      <alignment horizontal="center" vertical="center"/>
      <protection locked="0"/>
    </xf>
    <xf numFmtId="2" fontId="0" fillId="0" borderId="11" xfId="0" applyNumberFormat="1" applyBorder="1" applyAlignment="1" applyProtection="1">
      <alignment horizontal="center" vertical="center"/>
    </xf>
    <xf numFmtId="166" fontId="0" fillId="0" borderId="30" xfId="0" applyNumberFormat="1" applyBorder="1" applyAlignment="1" applyProtection="1">
      <alignment horizontal="center" vertical="center"/>
    </xf>
    <xf numFmtId="0" fontId="0" fillId="0" borderId="31" xfId="0" applyBorder="1" applyAlignment="1" applyProtection="1">
      <alignment horizontal="center"/>
    </xf>
    <xf numFmtId="0" fontId="2" fillId="13" borderId="31" xfId="0" applyFont="1" applyFill="1" applyBorder="1" applyAlignment="1" applyProtection="1">
      <alignment horizontal="center"/>
    </xf>
    <xf numFmtId="166" fontId="0" fillId="0" borderId="0" xfId="0" applyNumberFormat="1" applyBorder="1" applyAlignment="1" applyProtection="1">
      <alignment horizontal="center"/>
    </xf>
    <xf numFmtId="0" fontId="10" fillId="0" borderId="32" xfId="0" applyFont="1" applyBorder="1" applyAlignment="1" applyProtection="1">
      <alignment horizontal="center" vertical="center"/>
    </xf>
    <xf numFmtId="0" fontId="13" fillId="0" borderId="33" xfId="0" applyFont="1" applyBorder="1" applyAlignment="1" applyProtection="1">
      <alignment horizontal="center" vertical="center"/>
    </xf>
    <xf numFmtId="0" fontId="14" fillId="0" borderId="33" xfId="0" applyFont="1" applyBorder="1" applyAlignment="1" applyProtection="1">
      <alignment horizontal="center" vertical="center"/>
    </xf>
    <xf numFmtId="0" fontId="0" fillId="15" borderId="33" xfId="0" applyFill="1" applyBorder="1" applyAlignment="1" applyProtection="1">
      <alignment horizontal="left" vertical="center"/>
    </xf>
    <xf numFmtId="1" fontId="0" fillId="15" borderId="33" xfId="0" applyNumberFormat="1" applyFill="1" applyBorder="1" applyAlignment="1" applyProtection="1">
      <alignment horizontal="center" vertical="center"/>
    </xf>
    <xf numFmtId="167" fontId="0" fillId="15" borderId="33" xfId="0" applyNumberFormat="1" applyFill="1" applyBorder="1" applyAlignment="1" applyProtection="1">
      <alignment horizontal="center" vertical="center"/>
    </xf>
    <xf numFmtId="0" fontId="10" fillId="0" borderId="33" xfId="0" applyFont="1" applyBorder="1" applyAlignment="1" applyProtection="1">
      <alignment horizontal="center" vertical="center"/>
    </xf>
    <xf numFmtId="9" fontId="10" fillId="0" borderId="33" xfId="0" applyNumberFormat="1" applyFont="1" applyBorder="1" applyAlignment="1" applyProtection="1">
      <alignment horizontal="center" vertical="center"/>
    </xf>
    <xf numFmtId="0" fontId="10" fillId="12" borderId="33" xfId="0" applyFont="1" applyFill="1" applyBorder="1" applyAlignment="1" applyProtection="1">
      <alignment horizontal="center" vertical="center"/>
    </xf>
    <xf numFmtId="2" fontId="0" fillId="0" borderId="33" xfId="0" applyNumberFormat="1" applyBorder="1" applyAlignment="1" applyProtection="1">
      <alignment horizontal="center" vertical="center"/>
    </xf>
    <xf numFmtId="167" fontId="0" fillId="0" borderId="33" xfId="0" applyNumberFormat="1" applyBorder="1" applyAlignment="1" applyProtection="1">
      <alignment horizontal="center" vertical="center"/>
    </xf>
    <xf numFmtId="167" fontId="15" fillId="0" borderId="33" xfId="0" applyNumberFormat="1" applyFont="1" applyBorder="1" applyAlignment="1" applyProtection="1">
      <alignment horizontal="center" vertical="center"/>
      <protection locked="0"/>
    </xf>
    <xf numFmtId="2" fontId="0" fillId="0" borderId="34" xfId="0" applyNumberFormat="1" applyBorder="1" applyAlignment="1" applyProtection="1">
      <alignment horizontal="center" vertical="center"/>
    </xf>
    <xf numFmtId="166" fontId="0" fillId="0" borderId="35" xfId="0" applyNumberFormat="1" applyBorder="1" applyAlignment="1" applyProtection="1">
      <alignment horizontal="center" vertical="center"/>
    </xf>
    <xf numFmtId="0" fontId="0" fillId="0" borderId="36" xfId="0" applyBorder="1" applyAlignment="1" applyProtection="1">
      <alignment horizontal="center"/>
    </xf>
    <xf numFmtId="0" fontId="2" fillId="13" borderId="36" xfId="0" applyFont="1" applyFill="1" applyBorder="1" applyAlignment="1" applyProtection="1">
      <alignment horizontal="center"/>
    </xf>
    <xf numFmtId="166" fontId="0" fillId="0" borderId="7" xfId="0" applyNumberFormat="1" applyBorder="1" applyAlignment="1" applyProtection="1">
      <alignment horizontal="center"/>
    </xf>
    <xf numFmtId="0" fontId="10" fillId="0" borderId="37" xfId="0" applyFont="1" applyBorder="1" applyAlignment="1" applyProtection="1">
      <alignment horizontal="center" vertical="center"/>
    </xf>
    <xf numFmtId="0" fontId="13" fillId="0" borderId="38" xfId="0" applyFont="1" applyBorder="1" applyAlignment="1" applyProtection="1">
      <alignment horizontal="center" vertical="center"/>
    </xf>
    <xf numFmtId="0" fontId="14" fillId="0" borderId="38" xfId="0" applyFont="1" applyBorder="1" applyAlignment="1" applyProtection="1">
      <alignment horizontal="center" vertical="center"/>
    </xf>
    <xf numFmtId="0" fontId="0" fillId="15" borderId="38" xfId="0" applyFill="1" applyBorder="1" applyAlignment="1" applyProtection="1">
      <alignment horizontal="left" vertical="center"/>
    </xf>
    <xf numFmtId="1" fontId="0" fillId="15" borderId="38" xfId="0" applyNumberFormat="1" applyFill="1" applyBorder="1" applyAlignment="1" applyProtection="1">
      <alignment horizontal="center" vertical="center"/>
    </xf>
    <xf numFmtId="167" fontId="0" fillId="15" borderId="38" xfId="0" applyNumberFormat="1" applyFill="1" applyBorder="1" applyAlignment="1" applyProtection="1">
      <alignment horizontal="center" vertical="center"/>
    </xf>
    <xf numFmtId="0" fontId="10" fillId="0" borderId="38" xfId="0" applyFont="1" applyBorder="1" applyAlignment="1" applyProtection="1">
      <alignment horizontal="center" vertical="center"/>
    </xf>
    <xf numFmtId="9" fontId="10" fillId="0" borderId="38" xfId="0" applyNumberFormat="1" applyFont="1" applyBorder="1" applyAlignment="1" applyProtection="1">
      <alignment horizontal="center" vertical="center"/>
    </xf>
    <xf numFmtId="0" fontId="10" fillId="12" borderId="38" xfId="0" applyFont="1" applyFill="1" applyBorder="1" applyAlignment="1" applyProtection="1">
      <alignment horizontal="center" vertical="center"/>
    </xf>
    <xf numFmtId="2" fontId="0" fillId="0" borderId="38" xfId="0" applyNumberFormat="1" applyBorder="1" applyAlignment="1" applyProtection="1">
      <alignment horizontal="center" vertical="center"/>
    </xf>
    <xf numFmtId="167" fontId="0" fillId="0" borderId="38" xfId="0" applyNumberFormat="1" applyBorder="1" applyAlignment="1" applyProtection="1">
      <alignment horizontal="center" vertical="center"/>
    </xf>
    <xf numFmtId="167" fontId="15" fillId="0" borderId="38" xfId="0" applyNumberFormat="1" applyFont="1" applyBorder="1" applyAlignment="1" applyProtection="1">
      <alignment horizontal="center" vertical="center"/>
      <protection locked="0"/>
    </xf>
    <xf numFmtId="2" fontId="0" fillId="0" borderId="39" xfId="0" applyNumberFormat="1" applyBorder="1" applyAlignment="1" applyProtection="1">
      <alignment horizontal="center" vertical="center"/>
    </xf>
    <xf numFmtId="166" fontId="0" fillId="0" borderId="40" xfId="0" applyNumberFormat="1" applyBorder="1" applyAlignment="1" applyProtection="1">
      <alignment horizontal="center" vertical="center"/>
    </xf>
    <xf numFmtId="0" fontId="0" fillId="0" borderId="41" xfId="0" applyBorder="1" applyAlignment="1" applyProtection="1">
      <alignment horizontal="center"/>
    </xf>
    <xf numFmtId="0" fontId="2" fillId="13" borderId="41" xfId="0" applyFont="1" applyFill="1" applyBorder="1" applyAlignment="1" applyProtection="1">
      <alignment horizontal="center"/>
    </xf>
    <xf numFmtId="166" fontId="0" fillId="0" borderId="0" xfId="0" applyNumberFormat="1" applyAlignment="1" applyProtection="1">
      <alignment horizontal="center"/>
    </xf>
    <xf numFmtId="0" fontId="13" fillId="0" borderId="12" xfId="0" applyFont="1" applyBorder="1" applyAlignment="1" applyProtection="1">
      <alignment horizontal="left" vertical="center"/>
    </xf>
    <xf numFmtId="0" fontId="10" fillId="0" borderId="42" xfId="0" applyFont="1" applyBorder="1" applyAlignment="1" applyProtection="1">
      <alignment horizontal="center" vertical="center"/>
    </xf>
    <xf numFmtId="0" fontId="13" fillId="0" borderId="43" xfId="0" applyFont="1" applyBorder="1" applyAlignment="1" applyProtection="1">
      <alignment horizontal="left" vertical="center"/>
    </xf>
    <xf numFmtId="0" fontId="14" fillId="0" borderId="43" xfId="0" applyFont="1" applyBorder="1" applyAlignment="1" applyProtection="1">
      <alignment horizontal="center" vertical="center"/>
    </xf>
    <xf numFmtId="0" fontId="0" fillId="15" borderId="43" xfId="0" applyFill="1" applyBorder="1" applyAlignment="1" applyProtection="1">
      <alignment horizontal="left" vertical="center"/>
    </xf>
    <xf numFmtId="1" fontId="0" fillId="15" borderId="43" xfId="0" applyNumberFormat="1" applyFill="1" applyBorder="1" applyAlignment="1" applyProtection="1">
      <alignment horizontal="center" vertical="center"/>
    </xf>
    <xf numFmtId="167" fontId="0" fillId="15" borderId="43" xfId="0" applyNumberFormat="1" applyFill="1" applyBorder="1" applyAlignment="1" applyProtection="1">
      <alignment horizontal="center" vertical="center"/>
    </xf>
    <xf numFmtId="0" fontId="10" fillId="0" borderId="43" xfId="0" applyFont="1" applyBorder="1" applyAlignment="1" applyProtection="1">
      <alignment horizontal="center" vertical="center"/>
    </xf>
    <xf numFmtId="9" fontId="10" fillId="0" borderId="43" xfId="0" applyNumberFormat="1" applyFont="1" applyBorder="1" applyAlignment="1" applyProtection="1">
      <alignment horizontal="center" vertical="center"/>
    </xf>
    <xf numFmtId="0" fontId="10" fillId="12" borderId="43" xfId="0" applyFont="1" applyFill="1" applyBorder="1" applyAlignment="1" applyProtection="1">
      <alignment horizontal="center" vertical="center"/>
    </xf>
    <xf numFmtId="2" fontId="0" fillId="0" borderId="43" xfId="0" applyNumberFormat="1" applyBorder="1" applyAlignment="1" applyProtection="1">
      <alignment horizontal="center" vertical="center"/>
    </xf>
    <xf numFmtId="167" fontId="0" fillId="0" borderId="43" xfId="0" applyNumberFormat="1" applyBorder="1" applyAlignment="1" applyProtection="1">
      <alignment horizontal="center" vertical="center"/>
    </xf>
    <xf numFmtId="167" fontId="15" fillId="0" borderId="43" xfId="0" applyNumberFormat="1" applyFont="1" applyBorder="1" applyAlignment="1" applyProtection="1">
      <alignment horizontal="center" vertical="center"/>
      <protection locked="0"/>
    </xf>
    <xf numFmtId="2" fontId="0" fillId="0" borderId="44" xfId="0" applyNumberFormat="1" applyBorder="1" applyAlignment="1" applyProtection="1">
      <alignment horizontal="center" vertical="center"/>
    </xf>
    <xf numFmtId="166" fontId="0" fillId="0" borderId="45" xfId="0" applyNumberFormat="1" applyBorder="1" applyAlignment="1" applyProtection="1">
      <alignment horizontal="center" vertical="center"/>
    </xf>
    <xf numFmtId="0" fontId="0" fillId="0" borderId="46" xfId="0" applyBorder="1" applyAlignment="1" applyProtection="1">
      <alignment horizontal="center"/>
    </xf>
    <xf numFmtId="0" fontId="2" fillId="13" borderId="46" xfId="0" applyFont="1" applyFill="1" applyBorder="1" applyAlignment="1" applyProtection="1">
      <alignment horizontal="center"/>
    </xf>
    <xf numFmtId="0" fontId="13" fillId="0" borderId="25" xfId="0" applyFont="1" applyBorder="1" applyAlignment="1" applyProtection="1">
      <alignment horizontal="left" vertical="center"/>
    </xf>
    <xf numFmtId="167" fontId="15" fillId="0" borderId="3" xfId="0" applyNumberFormat="1" applyFont="1" applyBorder="1" applyAlignment="1" applyProtection="1">
      <alignment horizontal="center" vertical="center"/>
      <protection locked="0"/>
    </xf>
    <xf numFmtId="166" fontId="0" fillId="0" borderId="25" xfId="0" applyNumberFormat="1" applyBorder="1" applyAlignment="1" applyProtection="1">
      <alignment horizontal="center" vertical="center"/>
    </xf>
    <xf numFmtId="0" fontId="0" fillId="0" borderId="25" xfId="0" applyBorder="1" applyAlignment="1" applyProtection="1">
      <alignment horizontal="center"/>
    </xf>
    <xf numFmtId="0" fontId="2" fillId="13" borderId="25" xfId="0" applyFont="1" applyFill="1" applyBorder="1" applyAlignment="1" applyProtection="1">
      <alignment horizontal="center"/>
    </xf>
    <xf numFmtId="0" fontId="0" fillId="0" borderId="25" xfId="0" applyBorder="1" applyProtection="1"/>
    <xf numFmtId="166" fontId="0" fillId="0" borderId="25" xfId="0" applyNumberFormat="1" applyBorder="1" applyAlignment="1" applyProtection="1">
      <alignment horizontal="center"/>
    </xf>
    <xf numFmtId="166" fontId="0" fillId="0" borderId="12" xfId="0" applyNumberFormat="1" applyBorder="1" applyAlignment="1" applyProtection="1">
      <alignment horizontal="center" vertical="center"/>
    </xf>
    <xf numFmtId="0" fontId="0" fillId="0" borderId="12" xfId="0" applyBorder="1" applyAlignment="1" applyProtection="1">
      <alignment horizontal="center"/>
    </xf>
    <xf numFmtId="0" fontId="2" fillId="13" borderId="12" xfId="0" applyFont="1" applyFill="1" applyBorder="1" applyAlignment="1" applyProtection="1">
      <alignment horizontal="center"/>
    </xf>
    <xf numFmtId="0" fontId="0" fillId="0" borderId="12" xfId="0" applyBorder="1" applyProtection="1"/>
    <xf numFmtId="166" fontId="0" fillId="0" borderId="12" xfId="0" applyNumberFormat="1" applyBorder="1" applyAlignment="1" applyProtection="1">
      <alignment horizontal="center"/>
    </xf>
    <xf numFmtId="1" fontId="0" fillId="13" borderId="12" xfId="0" applyNumberFormat="1" applyFill="1" applyBorder="1" applyAlignment="1" applyProtection="1">
      <alignment horizontal="center" vertical="center"/>
    </xf>
    <xf numFmtId="1" fontId="0" fillId="13" borderId="43" xfId="0" applyNumberFormat="1" applyFill="1" applyBorder="1" applyAlignment="1" applyProtection="1">
      <alignment horizontal="center" vertical="center"/>
    </xf>
    <xf numFmtId="166" fontId="0" fillId="0" borderId="43" xfId="0" applyNumberFormat="1" applyBorder="1" applyAlignment="1" applyProtection="1">
      <alignment horizontal="center" vertical="center"/>
    </xf>
    <xf numFmtId="0" fontId="0" fillId="0" borderId="43" xfId="0" applyBorder="1" applyAlignment="1" applyProtection="1">
      <alignment horizontal="center"/>
    </xf>
    <xf numFmtId="0" fontId="2" fillId="13" borderId="43" xfId="0" applyFont="1" applyFill="1" applyBorder="1" applyAlignment="1" applyProtection="1">
      <alignment horizontal="center"/>
    </xf>
    <xf numFmtId="0" fontId="0" fillId="0" borderId="43" xfId="0" applyBorder="1" applyProtection="1"/>
    <xf numFmtId="166" fontId="0" fillId="0" borderId="43" xfId="0" applyNumberFormat="1" applyBorder="1" applyAlignment="1" applyProtection="1">
      <alignment horizontal="center"/>
    </xf>
    <xf numFmtId="0" fontId="10" fillId="4" borderId="24" xfId="0" applyFont="1" applyFill="1" applyBorder="1" applyAlignment="1" applyProtection="1">
      <alignment horizontal="center" vertical="center"/>
    </xf>
    <xf numFmtId="1" fontId="0" fillId="4" borderId="25" xfId="0" applyNumberFormat="1" applyFill="1" applyBorder="1" applyAlignment="1" applyProtection="1">
      <alignment horizontal="center" vertical="center"/>
    </xf>
    <xf numFmtId="0" fontId="10" fillId="4" borderId="29" xfId="0" applyFont="1" applyFill="1" applyBorder="1" applyAlignment="1" applyProtection="1">
      <alignment horizontal="center" vertical="center"/>
    </xf>
    <xf numFmtId="1" fontId="0" fillId="4" borderId="12" xfId="0" applyNumberFormat="1" applyFill="1" applyBorder="1" applyAlignment="1" applyProtection="1">
      <alignment horizontal="center" vertical="center"/>
    </xf>
    <xf numFmtId="0" fontId="10" fillId="4" borderId="32" xfId="0" applyFont="1" applyFill="1" applyBorder="1" applyAlignment="1" applyProtection="1">
      <alignment horizontal="center" vertical="center"/>
    </xf>
    <xf numFmtId="0" fontId="13" fillId="0" borderId="33" xfId="0" applyFont="1" applyBorder="1" applyAlignment="1" applyProtection="1">
      <alignment horizontal="left" vertical="center"/>
    </xf>
    <xf numFmtId="1" fontId="0" fillId="4" borderId="33" xfId="0" applyNumberFormat="1" applyFill="1" applyBorder="1" applyAlignment="1" applyProtection="1">
      <alignment horizontal="center" vertical="center"/>
    </xf>
    <xf numFmtId="166" fontId="0" fillId="0" borderId="33" xfId="0" applyNumberFormat="1" applyBorder="1" applyAlignment="1" applyProtection="1">
      <alignment horizontal="center" vertical="center"/>
    </xf>
    <xf numFmtId="0" fontId="0" fillId="0" borderId="33" xfId="0" applyBorder="1" applyAlignment="1" applyProtection="1">
      <alignment horizontal="center"/>
    </xf>
    <xf numFmtId="0" fontId="2" fillId="13" borderId="33" xfId="0" applyFont="1" applyFill="1" applyBorder="1" applyAlignment="1" applyProtection="1">
      <alignment horizontal="center"/>
    </xf>
    <xf numFmtId="0" fontId="0" fillId="0" borderId="33" xfId="0" applyBorder="1" applyProtection="1"/>
    <xf numFmtId="166" fontId="0" fillId="0" borderId="33" xfId="0" applyNumberFormat="1" applyBorder="1" applyAlignment="1" applyProtection="1">
      <alignment horizontal="center"/>
    </xf>
    <xf numFmtId="0" fontId="13" fillId="0" borderId="38" xfId="0" applyFont="1" applyBorder="1" applyAlignment="1" applyProtection="1">
      <alignment horizontal="left" vertical="center"/>
    </xf>
    <xf numFmtId="0" fontId="10" fillId="12" borderId="38" xfId="0" applyFont="1" applyFill="1" applyBorder="1" applyAlignment="1" applyProtection="1">
      <alignment horizontal="left" vertical="center"/>
    </xf>
    <xf numFmtId="167" fontId="15" fillId="0" borderId="40" xfId="0" applyNumberFormat="1" applyFont="1" applyBorder="1" applyAlignment="1" applyProtection="1">
      <alignment horizontal="center" vertical="center"/>
      <protection locked="0"/>
    </xf>
    <xf numFmtId="0" fontId="10" fillId="12" borderId="12" xfId="0" applyFont="1" applyFill="1" applyBorder="1" applyAlignment="1" applyProtection="1">
      <alignment horizontal="left" vertical="center"/>
    </xf>
    <xf numFmtId="167" fontId="15" fillId="0" borderId="30" xfId="0" applyNumberFormat="1" applyFont="1" applyBorder="1" applyAlignment="1" applyProtection="1">
      <alignment horizontal="center" vertical="center"/>
      <protection locked="0"/>
    </xf>
    <xf numFmtId="0" fontId="10" fillId="12" borderId="33" xfId="0" applyFont="1" applyFill="1" applyBorder="1" applyAlignment="1" applyProtection="1">
      <alignment horizontal="left" vertical="center"/>
    </xf>
    <xf numFmtId="167" fontId="15" fillId="0" borderId="35" xfId="0" applyNumberFormat="1" applyFont="1" applyBorder="1" applyAlignment="1" applyProtection="1">
      <alignment horizontal="center" vertical="center"/>
      <protection locked="0"/>
    </xf>
    <xf numFmtId="0" fontId="16" fillId="0" borderId="0" xfId="0" applyFont="1" applyBorder="1" applyAlignment="1">
      <alignment horizontal="center"/>
    </xf>
    <xf numFmtId="0" fontId="2" fillId="4" borderId="0" xfId="0" applyFont="1" applyFill="1"/>
    <xf numFmtId="0" fontId="2" fillId="3" borderId="12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0" xfId="0" applyFont="1"/>
    <xf numFmtId="0" fontId="0" fillId="0" borderId="0" xfId="0" applyFont="1"/>
    <xf numFmtId="0" fontId="2" fillId="0" borderId="1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17" fillId="5" borderId="20" xfId="0" applyFont="1" applyFill="1" applyBorder="1" applyAlignment="1" applyProtection="1"/>
    <xf numFmtId="0" fontId="18" fillId="0" borderId="0" xfId="0" applyFont="1" applyProtection="1"/>
    <xf numFmtId="0" fontId="7" fillId="0" borderId="24" xfId="0" applyFont="1" applyBorder="1" applyAlignment="1" applyProtection="1">
      <alignment horizontal="center"/>
    </xf>
    <xf numFmtId="0" fontId="7" fillId="0" borderId="25" xfId="0" applyFont="1" applyBorder="1" applyAlignment="1" applyProtection="1">
      <alignment horizontal="center"/>
    </xf>
    <xf numFmtId="0" fontId="7" fillId="0" borderId="25" xfId="0" applyFont="1" applyBorder="1" applyAlignment="1" applyProtection="1">
      <alignment horizontal="center"/>
    </xf>
    <xf numFmtId="0" fontId="7" fillId="0" borderId="26" xfId="0" applyFont="1" applyBorder="1" applyAlignment="1" applyProtection="1">
      <alignment horizontal="center"/>
    </xf>
    <xf numFmtId="0" fontId="7" fillId="0" borderId="32" xfId="0" applyFont="1" applyBorder="1" applyAlignment="1" applyProtection="1">
      <alignment horizontal="center"/>
    </xf>
    <xf numFmtId="0" fontId="7" fillId="0" borderId="33" xfId="0" applyFont="1" applyBorder="1" applyAlignment="1" applyProtection="1">
      <alignment horizontal="center"/>
    </xf>
    <xf numFmtId="0" fontId="7" fillId="0" borderId="33" xfId="0" applyFont="1" applyBorder="1" applyAlignment="1" applyProtection="1">
      <alignment horizontal="center"/>
    </xf>
    <xf numFmtId="0" fontId="7" fillId="0" borderId="33" xfId="0" applyFont="1" applyBorder="1" applyAlignment="1" applyProtection="1">
      <alignment horizontal="center"/>
    </xf>
    <xf numFmtId="0" fontId="7" fillId="0" borderId="35" xfId="0" applyFont="1" applyBorder="1" applyAlignment="1" applyProtection="1">
      <alignment horizontal="center"/>
    </xf>
    <xf numFmtId="49" fontId="19" fillId="16" borderId="24" xfId="0" applyNumberFormat="1" applyFont="1" applyFill="1" applyBorder="1" applyAlignment="1" applyProtection="1">
      <alignment horizontal="center" vertical="center"/>
    </xf>
    <xf numFmtId="49" fontId="19" fillId="16" borderId="25" xfId="0" applyNumberFormat="1" applyFont="1" applyFill="1" applyBorder="1" applyAlignment="1" applyProtection="1">
      <alignment horizontal="center" vertical="center"/>
    </xf>
    <xf numFmtId="0" fontId="20" fillId="3" borderId="25" xfId="0" applyFont="1" applyFill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0" fillId="0" borderId="0" xfId="0" applyFont="1" applyBorder="1" applyAlignment="1" applyProtection="1">
      <alignment horizontal="center" vertical="center"/>
    </xf>
    <xf numFmtId="49" fontId="20" fillId="0" borderId="0" xfId="0" applyNumberFormat="1" applyFont="1" applyBorder="1" applyAlignment="1" applyProtection="1">
      <alignment horizontal="center" vertical="center"/>
    </xf>
    <xf numFmtId="0" fontId="21" fillId="5" borderId="13" xfId="0" applyFont="1" applyFill="1" applyBorder="1" applyAlignment="1" applyProtection="1">
      <alignment horizontal="center" vertical="center" wrapText="1"/>
    </xf>
    <xf numFmtId="49" fontId="20" fillId="17" borderId="29" xfId="0" applyNumberFormat="1" applyFont="1" applyFill="1" applyBorder="1" applyAlignment="1" applyProtection="1">
      <alignment horizontal="center" vertical="center"/>
    </xf>
    <xf numFmtId="0" fontId="20" fillId="0" borderId="12" xfId="0" applyFont="1" applyBorder="1" applyAlignment="1" applyProtection="1">
      <alignment horizontal="center" vertical="center"/>
    </xf>
    <xf numFmtId="0" fontId="20" fillId="0" borderId="12" xfId="0" applyFont="1" applyBorder="1" applyAlignment="1" applyProtection="1">
      <alignment horizontal="center" vertical="center" wrapText="1"/>
    </xf>
    <xf numFmtId="0" fontId="20" fillId="18" borderId="30" xfId="0" applyFont="1" applyFill="1" applyBorder="1" applyAlignment="1" applyProtection="1">
      <alignment horizontal="center" vertical="center"/>
    </xf>
    <xf numFmtId="0" fontId="20" fillId="0" borderId="0" xfId="0" applyFont="1" applyBorder="1" applyAlignment="1" applyProtection="1">
      <alignment horizontal="center" vertical="center" wrapText="1"/>
    </xf>
    <xf numFmtId="168" fontId="22" fillId="0" borderId="14" xfId="0" applyNumberFormat="1" applyFont="1" applyBorder="1" applyAlignment="1" applyProtection="1">
      <alignment horizontal="center" vertical="center"/>
    </xf>
    <xf numFmtId="0" fontId="22" fillId="0" borderId="14" xfId="0" applyFont="1" applyBorder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20" fillId="0" borderId="0" xfId="0" applyFont="1" applyBorder="1" applyAlignment="1" applyProtection="1">
      <alignment horizontal="center" vertical="center"/>
    </xf>
    <xf numFmtId="0" fontId="21" fillId="5" borderId="16" xfId="0" applyFont="1" applyFill="1" applyBorder="1" applyAlignment="1" applyProtection="1">
      <alignment horizontal="center" vertical="center" wrapText="1"/>
    </xf>
    <xf numFmtId="0" fontId="21" fillId="5" borderId="17" xfId="0" applyFont="1" applyFill="1" applyBorder="1" applyAlignment="1" applyProtection="1">
      <alignment horizontal="center" vertical="center" wrapText="1"/>
    </xf>
    <xf numFmtId="0" fontId="21" fillId="5" borderId="18" xfId="0" applyFont="1" applyFill="1" applyBorder="1" applyAlignment="1" applyProtection="1">
      <alignment horizontal="center" vertical="center" wrapText="1"/>
    </xf>
    <xf numFmtId="49" fontId="20" fillId="19" borderId="32" xfId="0" applyNumberFormat="1" applyFont="1" applyFill="1" applyBorder="1" applyAlignment="1" applyProtection="1">
      <alignment horizontal="center" vertical="center"/>
    </xf>
    <xf numFmtId="49" fontId="20" fillId="19" borderId="33" xfId="0" applyNumberFormat="1" applyFont="1" applyFill="1" applyBorder="1" applyAlignment="1" applyProtection="1">
      <alignment horizontal="center" vertical="center"/>
    </xf>
    <xf numFmtId="0" fontId="20" fillId="20" borderId="33" xfId="0" applyFont="1" applyFill="1" applyBorder="1" applyAlignment="1" applyProtection="1">
      <alignment horizontal="center" vertical="center"/>
    </xf>
    <xf numFmtId="0" fontId="20" fillId="19" borderId="33" xfId="0" applyFont="1" applyFill="1" applyBorder="1" applyAlignment="1" applyProtection="1">
      <alignment horizontal="center" vertical="center"/>
    </xf>
    <xf numFmtId="49" fontId="20" fillId="0" borderId="35" xfId="0" applyNumberFormat="1" applyFont="1" applyBorder="1" applyAlignment="1" applyProtection="1">
      <alignment horizontal="center" vertical="center"/>
    </xf>
    <xf numFmtId="0" fontId="22" fillId="0" borderId="4" xfId="0" applyFont="1" applyBorder="1" applyAlignment="1" applyProtection="1">
      <alignment horizontal="center" vertical="center"/>
    </xf>
    <xf numFmtId="0" fontId="22" fillId="0" borderId="0" xfId="0" applyFont="1" applyBorder="1" applyAlignment="1" applyProtection="1">
      <alignment horizontal="center" vertical="center"/>
    </xf>
    <xf numFmtId="0" fontId="22" fillId="0" borderId="5" xfId="0" applyFont="1" applyBorder="1" applyAlignment="1" applyProtection="1">
      <alignment horizontal="center" vertical="center"/>
    </xf>
    <xf numFmtId="49" fontId="20" fillId="0" borderId="15" xfId="0" applyNumberFormat="1" applyFont="1" applyBorder="1" applyAlignment="1" applyProtection="1">
      <alignment horizontal="left"/>
    </xf>
    <xf numFmtId="0" fontId="20" fillId="0" borderId="16" xfId="0" applyFont="1" applyBorder="1" applyProtection="1"/>
    <xf numFmtId="167" fontId="22" fillId="0" borderId="0" xfId="0" applyNumberFormat="1" applyFont="1" applyBorder="1" applyAlignment="1" applyProtection="1">
      <alignment horizontal="center"/>
    </xf>
    <xf numFmtId="167" fontId="22" fillId="0" borderId="5" xfId="0" applyNumberFormat="1" applyFont="1" applyBorder="1" applyAlignment="1" applyProtection="1">
      <alignment horizontal="center"/>
    </xf>
    <xf numFmtId="0" fontId="2" fillId="18" borderId="38" xfId="0" applyFont="1" applyFill="1" applyBorder="1" applyAlignment="1" applyProtection="1">
      <alignment horizontal="center" vertical="center"/>
    </xf>
    <xf numFmtId="0" fontId="2" fillId="18" borderId="12" xfId="0" applyFont="1" applyFill="1" applyBorder="1" applyAlignment="1" applyProtection="1">
      <alignment horizontal="center" vertical="center"/>
    </xf>
    <xf numFmtId="0" fontId="20" fillId="0" borderId="6" xfId="0" applyFont="1" applyBorder="1" applyProtection="1"/>
    <xf numFmtId="167" fontId="22" fillId="0" borderId="7" xfId="0" applyNumberFormat="1" applyFont="1" applyBorder="1" applyAlignment="1" applyProtection="1">
      <alignment horizontal="center"/>
    </xf>
    <xf numFmtId="167" fontId="22" fillId="0" borderId="8" xfId="0" applyNumberFormat="1" applyFont="1" applyBorder="1" applyAlignment="1" applyProtection="1">
      <alignment horizontal="center"/>
    </xf>
    <xf numFmtId="0" fontId="2" fillId="18" borderId="43" xfId="0" applyFont="1" applyFill="1" applyBorder="1" applyAlignment="1" applyProtection="1">
      <alignment horizontal="center" vertical="center"/>
    </xf>
    <xf numFmtId="0" fontId="20" fillId="0" borderId="4" xfId="0" applyFont="1" applyBorder="1" applyProtection="1"/>
    <xf numFmtId="0" fontId="13" fillId="0" borderId="5" xfId="0" applyFont="1" applyBorder="1" applyProtection="1"/>
    <xf numFmtId="0" fontId="22" fillId="0" borderId="0" xfId="0" applyFont="1" applyBorder="1" applyAlignment="1" applyProtection="1">
      <alignment horizontal="center"/>
    </xf>
    <xf numFmtId="0" fontId="22" fillId="0" borderId="7" xfId="0" applyFont="1" applyBorder="1" applyAlignment="1" applyProtection="1">
      <alignment horizontal="center"/>
    </xf>
    <xf numFmtId="0" fontId="18" fillId="0" borderId="8" xfId="0" applyFont="1" applyBorder="1" applyProtection="1"/>
    <xf numFmtId="0" fontId="0" fillId="0" borderId="0" xfId="0" applyAlignment="1">
      <alignment horizontal="left"/>
    </xf>
    <xf numFmtId="0" fontId="0" fillId="0" borderId="0" xfId="0" applyFont="1" applyAlignment="1">
      <alignment wrapText="1"/>
    </xf>
    <xf numFmtId="0" fontId="0" fillId="0" borderId="13" xfId="0" applyFont="1" applyBorder="1" applyAlignment="1">
      <alignment horizontal="left" vertical="top" wrapText="1"/>
    </xf>
    <xf numFmtId="0" fontId="0" fillId="0" borderId="15" xfId="0" applyFont="1" applyBorder="1" applyAlignment="1">
      <alignment horizontal="left" vertical="top" wrapText="1"/>
    </xf>
    <xf numFmtId="0" fontId="0" fillId="0" borderId="13" xfId="0" applyFont="1" applyBorder="1" applyAlignment="1">
      <alignment horizontal="center" vertical="top" wrapText="1"/>
    </xf>
    <xf numFmtId="0" fontId="0" fillId="21" borderId="13" xfId="0" applyFont="1" applyFill="1" applyBorder="1" applyAlignment="1">
      <alignment horizontal="left" vertical="top" wrapText="1"/>
    </xf>
    <xf numFmtId="0" fontId="0" fillId="0" borderId="13" xfId="0" applyFont="1" applyBorder="1" applyAlignment="1">
      <alignment horizontal="left" vertical="top" wrapText="1"/>
    </xf>
    <xf numFmtId="0" fontId="0" fillId="21" borderId="16" xfId="0" applyFont="1" applyFill="1" applyBorder="1" applyAlignment="1">
      <alignment horizontal="left" vertical="top" wrapText="1"/>
    </xf>
    <xf numFmtId="0" fontId="0" fillId="0" borderId="13" xfId="0" applyFont="1" applyBorder="1" applyAlignment="1">
      <alignment horizontal="center" vertical="top" wrapText="1"/>
    </xf>
    <xf numFmtId="0" fontId="0" fillId="0" borderId="15" xfId="0" applyFont="1" applyBorder="1" applyAlignment="1">
      <alignment horizontal="center" vertical="top" wrapText="1"/>
    </xf>
    <xf numFmtId="0" fontId="0" fillId="0" borderId="16" xfId="0" applyFont="1" applyBorder="1" applyAlignment="1">
      <alignment horizontal="left" vertical="top" wrapText="1"/>
    </xf>
    <xf numFmtId="0" fontId="0" fillId="0" borderId="16" xfId="0" applyFont="1" applyBorder="1" applyAlignment="1">
      <alignment wrapText="1"/>
    </xf>
    <xf numFmtId="0" fontId="0" fillId="0" borderId="15" xfId="0" applyFont="1" applyBorder="1" applyAlignment="1">
      <alignment wrapText="1"/>
    </xf>
    <xf numFmtId="0" fontId="0" fillId="0" borderId="18" xfId="0" applyFont="1" applyBorder="1" applyAlignment="1">
      <alignment horizontal="left" wrapText="1"/>
    </xf>
    <xf numFmtId="0" fontId="0" fillId="0" borderId="15" xfId="0" applyFont="1" applyBorder="1" applyAlignment="1">
      <alignment horizontal="center" vertical="top" wrapText="1"/>
    </xf>
    <xf numFmtId="0" fontId="0" fillId="0" borderId="0" xfId="0" applyFont="1" applyBorder="1" applyAlignment="1">
      <alignment horizontal="center" vertical="top" wrapText="1"/>
    </xf>
    <xf numFmtId="0" fontId="0" fillId="0" borderId="0" xfId="0" applyBorder="1" applyAlignment="1">
      <alignment wrapText="1"/>
    </xf>
    <xf numFmtId="0" fontId="0" fillId="0" borderId="15" xfId="0" applyFont="1" applyBorder="1" applyAlignment="1">
      <alignment horizontal="center" wrapText="1"/>
    </xf>
    <xf numFmtId="0" fontId="0" fillId="0" borderId="47" xfId="0" applyFont="1" applyBorder="1" applyAlignment="1">
      <alignment wrapText="1"/>
    </xf>
    <xf numFmtId="0" fontId="0" fillId="0" borderId="48" xfId="0" applyFont="1" applyBorder="1" applyAlignment="1">
      <alignment wrapText="1"/>
    </xf>
    <xf numFmtId="0" fontId="0" fillId="0" borderId="49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47" xfId="0" applyFont="1" applyBorder="1"/>
    <xf numFmtId="0" fontId="0" fillId="0" borderId="48" xfId="0" applyFont="1" applyBorder="1"/>
    <xf numFmtId="0" fontId="0" fillId="0" borderId="48" xfId="0" applyFont="1" applyBorder="1" applyAlignment="1">
      <alignment horizontal="center"/>
    </xf>
    <xf numFmtId="0" fontId="0" fillId="0" borderId="49" xfId="0" applyBorder="1" applyAlignment="1">
      <alignment horizontal="left"/>
    </xf>
    <xf numFmtId="0" fontId="0" fillId="0" borderId="15" xfId="0" applyBorder="1"/>
    <xf numFmtId="0" fontId="0" fillId="0" borderId="0" xfId="0" applyBorder="1"/>
    <xf numFmtId="0" fontId="0" fillId="0" borderId="0" xfId="0" applyFont="1" applyBorder="1"/>
    <xf numFmtId="0" fontId="2" fillId="0" borderId="0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wrapText="1"/>
    </xf>
    <xf numFmtId="0" fontId="2" fillId="0" borderId="16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0" xfId="0" applyFont="1" applyBorder="1" applyAlignment="1">
      <alignment horizontal="center" wrapText="1"/>
    </xf>
    <xf numFmtId="0" fontId="2" fillId="0" borderId="0" xfId="0" applyFont="1" applyBorder="1"/>
    <xf numFmtId="0" fontId="0" fillId="0" borderId="0" xfId="0" applyAlignment="1"/>
    <xf numFmtId="0" fontId="0" fillId="0" borderId="0" xfId="0" applyAlignment="1">
      <alignment horizontal="center" wrapText="1"/>
    </xf>
    <xf numFmtId="0" fontId="0" fillId="0" borderId="19" xfId="0" applyBorder="1" applyAlignment="1">
      <alignment horizontal="center" wrapText="1"/>
    </xf>
    <xf numFmtId="0" fontId="0" fillId="0" borderId="1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13" borderId="6" xfId="0" applyFill="1" applyBorder="1" applyAlignment="1" applyProtection="1">
      <alignment vertical="center"/>
      <protection locked="0"/>
    </xf>
    <xf numFmtId="0" fontId="3" fillId="0" borderId="8" xfId="0" applyFont="1" applyBorder="1" applyAlignment="1">
      <alignment vertical="center"/>
    </xf>
    <xf numFmtId="0" fontId="2" fillId="13" borderId="4" xfId="0" applyFont="1" applyFill="1" applyBorder="1"/>
    <xf numFmtId="0" fontId="2" fillId="2" borderId="4" xfId="0" applyFont="1" applyFill="1" applyBorder="1"/>
    <xf numFmtId="0" fontId="0" fillId="0" borderId="6" xfId="0" applyBorder="1"/>
    <xf numFmtId="0" fontId="0" fillId="0" borderId="8" xfId="0" applyBorder="1"/>
    <xf numFmtId="0" fontId="0" fillId="0" borderId="7" xfId="0" applyBorder="1"/>
    <xf numFmtId="0" fontId="0" fillId="0" borderId="4" xfId="0" applyBorder="1"/>
    <xf numFmtId="0" fontId="0" fillId="0" borderId="5" xfId="0" applyBorder="1"/>
    <xf numFmtId="0" fontId="0" fillId="0" borderId="20" xfId="0" applyFont="1" applyBorder="1" applyAlignment="1"/>
    <xf numFmtId="0" fontId="0" fillId="0" borderId="22" xfId="0" applyFont="1" applyBorder="1" applyAlignment="1"/>
    <xf numFmtId="0" fontId="0" fillId="0" borderId="21" xfId="0" applyBorder="1" applyAlignment="1">
      <alignment horizontal="center"/>
    </xf>
    <xf numFmtId="0" fontId="0" fillId="0" borderId="6" xfId="0" applyBorder="1" applyAlignment="1"/>
    <xf numFmtId="0" fontId="0" fillId="0" borderId="8" xfId="0" applyFont="1" applyBorder="1" applyAlignment="1"/>
    <xf numFmtId="0" fontId="0" fillId="0" borderId="20" xfId="0" applyBorder="1" applyAlignment="1"/>
    <xf numFmtId="0" fontId="0" fillId="0" borderId="14" xfId="0" applyBorder="1"/>
    <xf numFmtId="0" fontId="0" fillId="0" borderId="15" xfId="0" applyBorder="1" applyAlignment="1">
      <alignment horizontal="left" vertical="top" wrapText="1"/>
    </xf>
    <xf numFmtId="0" fontId="0" fillId="0" borderId="13" xfId="0" applyBorder="1" applyAlignment="1">
      <alignment horizontal="center" vertical="top" wrapText="1"/>
    </xf>
    <xf numFmtId="0" fontId="0" fillId="6" borderId="13" xfId="0" applyFill="1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47" xfId="0" applyBorder="1" applyAlignment="1">
      <alignment horizontal="center" vertical="top" wrapText="1"/>
    </xf>
    <xf numFmtId="0" fontId="0" fillId="0" borderId="49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0" xfId="0" applyBorder="1" applyAlignment="1">
      <alignment horizontal="left" vertical="top" wrapText="1"/>
    </xf>
    <xf numFmtId="0" fontId="0" fillId="0" borderId="12" xfId="0" applyBorder="1" applyAlignment="1">
      <alignment horizontal="center" vertical="top" wrapText="1"/>
    </xf>
    <xf numFmtId="0" fontId="0" fillId="0" borderId="38" xfId="0" applyBorder="1" applyAlignment="1">
      <alignment horizontal="left" vertical="top" wrapText="1"/>
    </xf>
    <xf numFmtId="0" fontId="0" fillId="0" borderId="38" xfId="0" applyFont="1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0" xfId="0"/>
    <xf numFmtId="0" fontId="0" fillId="0" borderId="38" xfId="0" applyBorder="1"/>
    <xf numFmtId="0" fontId="0" fillId="0" borderId="38" xfId="0" applyBorder="1" applyAlignment="1">
      <alignment horizontal="center"/>
    </xf>
    <xf numFmtId="0" fontId="0" fillId="21" borderId="38" xfId="0" applyFill="1" applyBorder="1"/>
    <xf numFmtId="2" fontId="0" fillId="0" borderId="38" xfId="0" applyNumberFormat="1" applyBorder="1"/>
    <xf numFmtId="2" fontId="1" fillId="0" borderId="12" xfId="3" applyNumberFormat="1" applyFont="1" applyFill="1" applyBorder="1"/>
    <xf numFmtId="167" fontId="0" fillId="21" borderId="38" xfId="0" applyNumberFormat="1" applyFill="1" applyBorder="1"/>
    <xf numFmtId="2" fontId="0" fillId="0" borderId="38" xfId="0" applyNumberFormat="1" applyBorder="1" applyAlignment="1"/>
    <xf numFmtId="167" fontId="0" fillId="0" borderId="50" xfId="0" applyNumberFormat="1" applyFont="1" applyBorder="1"/>
    <xf numFmtId="167" fontId="0" fillId="0" borderId="50" xfId="0" applyNumberFormat="1" applyBorder="1"/>
    <xf numFmtId="167" fontId="0" fillId="21" borderId="51" xfId="0" applyNumberFormat="1" applyFill="1" applyBorder="1"/>
    <xf numFmtId="167" fontId="0" fillId="0" borderId="24" xfId="0" applyNumberFormat="1" applyBorder="1" applyAlignment="1">
      <alignment horizontal="center"/>
    </xf>
    <xf numFmtId="9" fontId="0" fillId="0" borderId="25" xfId="1" applyFont="1" applyBorder="1" applyAlignment="1" applyProtection="1">
      <alignment horizontal="center"/>
    </xf>
    <xf numFmtId="2" fontId="0" fillId="0" borderId="25" xfId="0" applyNumberFormat="1" applyBorder="1" applyAlignment="1">
      <alignment horizontal="center"/>
    </xf>
    <xf numFmtId="167" fontId="0" fillId="0" borderId="25" xfId="0" applyNumberFormat="1" applyBorder="1" applyAlignment="1">
      <alignment horizontal="center"/>
    </xf>
    <xf numFmtId="2" fontId="0" fillId="6" borderId="25" xfId="0" applyNumberFormat="1" applyFill="1" applyBorder="1" applyAlignment="1">
      <alignment horizontal="center"/>
    </xf>
    <xf numFmtId="167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5" xfId="0" applyBorder="1" applyAlignment="1">
      <alignment horizontal="left"/>
    </xf>
    <xf numFmtId="0" fontId="0" fillId="0" borderId="25" xfId="0" applyBorder="1" applyAlignment="1">
      <alignment horizontal="center"/>
    </xf>
    <xf numFmtId="166" fontId="0" fillId="0" borderId="26" xfId="0" applyNumberFormat="1" applyBorder="1" applyAlignment="1">
      <alignment horizontal="center"/>
    </xf>
    <xf numFmtId="0" fontId="0" fillId="0" borderId="28" xfId="0" applyBorder="1" applyAlignment="1">
      <alignment horizontal="center"/>
    </xf>
    <xf numFmtId="166" fontId="0" fillId="0" borderId="39" xfId="0" applyNumberFormat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0" xfId="0" applyBorder="1"/>
    <xf numFmtId="0" fontId="0" fillId="0" borderId="12" xfId="0" applyBorder="1" applyAlignment="1">
      <alignment horizontal="center"/>
    </xf>
    <xf numFmtId="0" fontId="0" fillId="0" borderId="12" xfId="0" applyBorder="1"/>
    <xf numFmtId="167" fontId="0" fillId="21" borderId="52" xfId="0" applyNumberFormat="1" applyFill="1" applyBorder="1"/>
    <xf numFmtId="167" fontId="0" fillId="0" borderId="29" xfId="0" applyNumberFormat="1" applyBorder="1" applyAlignment="1">
      <alignment horizontal="center"/>
    </xf>
    <xf numFmtId="9" fontId="0" fillId="0" borderId="12" xfId="1" applyFont="1" applyBorder="1" applyAlignment="1" applyProtection="1">
      <alignment horizontal="center"/>
    </xf>
    <xf numFmtId="2" fontId="0" fillId="0" borderId="12" xfId="0" applyNumberFormat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2" fontId="0" fillId="6" borderId="12" xfId="0" applyNumberFormat="1" applyFill="1" applyBorder="1" applyAlignment="1">
      <alignment horizontal="center"/>
    </xf>
    <xf numFmtId="167" fontId="0" fillId="0" borderId="30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31" xfId="0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7" fontId="0" fillId="0" borderId="32" xfId="0" applyNumberFormat="1" applyBorder="1" applyAlignment="1">
      <alignment horizontal="center"/>
    </xf>
    <xf numFmtId="9" fontId="0" fillId="0" borderId="33" xfId="1" applyFont="1" applyBorder="1" applyAlignment="1" applyProtection="1">
      <alignment horizontal="center"/>
    </xf>
    <xf numFmtId="2" fontId="0" fillId="0" borderId="33" xfId="0" applyNumberFormat="1" applyBorder="1" applyAlignment="1">
      <alignment horizontal="center"/>
    </xf>
    <xf numFmtId="167" fontId="0" fillId="0" borderId="33" xfId="0" applyNumberFormat="1" applyBorder="1" applyAlignment="1">
      <alignment horizontal="center"/>
    </xf>
    <xf numFmtId="2" fontId="0" fillId="6" borderId="33" xfId="0" applyNumberFormat="1" applyFill="1" applyBorder="1" applyAlignment="1">
      <alignment horizontal="center"/>
    </xf>
    <xf numFmtId="167" fontId="0" fillId="0" borderId="35" xfId="0" applyNumberFormat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3" xfId="0" applyBorder="1" applyAlignment="1">
      <alignment horizontal="left"/>
    </xf>
    <xf numFmtId="0" fontId="0" fillId="0" borderId="33" xfId="0" applyBorder="1" applyAlignment="1">
      <alignment horizontal="center"/>
    </xf>
    <xf numFmtId="0" fontId="0" fillId="0" borderId="36" xfId="0" applyBorder="1" applyAlignment="1">
      <alignment horizontal="center"/>
    </xf>
    <xf numFmtId="166" fontId="0" fillId="0" borderId="34" xfId="0" applyNumberFormat="1" applyBorder="1" applyAlignment="1">
      <alignment horizontal="center"/>
    </xf>
    <xf numFmtId="0" fontId="0" fillId="0" borderId="53" xfId="0" applyFon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67" fontId="0" fillId="0" borderId="54" xfId="0" applyNumberFormat="1" applyBorder="1" applyAlignment="1">
      <alignment horizontal="center"/>
    </xf>
    <xf numFmtId="0" fontId="0" fillId="0" borderId="54" xfId="0" applyFont="1" applyBorder="1"/>
    <xf numFmtId="2" fontId="0" fillId="6" borderId="38" xfId="0" applyNumberFormat="1" applyFill="1" applyBorder="1" applyAlignment="1">
      <alignment horizontal="center"/>
    </xf>
    <xf numFmtId="167" fontId="0" fillId="0" borderId="40" xfId="0" applyNumberForma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Border="1" applyAlignment="1"/>
    <xf numFmtId="0" fontId="0" fillId="26" borderId="22" xfId="0" applyFill="1" applyBorder="1"/>
    <xf numFmtId="0" fontId="2" fillId="0" borderId="0" xfId="0" applyFont="1" applyBorder="1" applyAlignment="1">
      <alignment horizontal="center"/>
    </xf>
    <xf numFmtId="0" fontId="23" fillId="0" borderId="16" xfId="0" applyFont="1" applyBorder="1" applyAlignment="1"/>
    <xf numFmtId="0" fontId="2" fillId="0" borderId="17" xfId="0" applyFont="1" applyBorder="1" applyAlignment="1">
      <alignment horizontal="left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/>
    <xf numFmtId="0" fontId="2" fillId="0" borderId="0" xfId="0" applyFont="1" applyBorder="1" applyAlignment="1"/>
    <xf numFmtId="0" fontId="2" fillId="0" borderId="17" xfId="0" applyFont="1" applyBorder="1" applyAlignment="1"/>
    <xf numFmtId="0" fontId="2" fillId="0" borderId="20" xfId="0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2" fillId="0" borderId="20" xfId="0" applyFont="1" applyBorder="1" applyAlignment="1">
      <alignment horizontal="left"/>
    </xf>
    <xf numFmtId="0" fontId="2" fillId="0" borderId="22" xfId="0" applyFont="1" applyBorder="1" applyAlignment="1">
      <alignment horizontal="center"/>
    </xf>
    <xf numFmtId="0" fontId="2" fillId="0" borderId="17" xfId="0" applyFont="1" applyBorder="1" applyAlignment="1">
      <alignment horizontal="left"/>
    </xf>
    <xf numFmtId="0" fontId="0" fillId="0" borderId="18" xfId="0" applyBorder="1"/>
    <xf numFmtId="0" fontId="2" fillId="0" borderId="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6" xfId="0" applyFont="1" applyBorder="1" applyAlignment="1">
      <alignment horizontal="left"/>
    </xf>
    <xf numFmtId="0" fontId="2" fillId="0" borderId="8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6" xfId="0" applyFont="1" applyBorder="1"/>
    <xf numFmtId="0" fontId="2" fillId="0" borderId="8" xfId="0" applyFont="1" applyBorder="1" applyAlignment="1">
      <alignment horizontal="left"/>
    </xf>
    <xf numFmtId="0" fontId="2" fillId="0" borderId="7" xfId="0" applyFont="1" applyBorder="1"/>
    <xf numFmtId="0" fontId="0" fillId="0" borderId="4" xfId="0" applyFont="1" applyBorder="1" applyAlignment="1">
      <alignment horizontal="center"/>
    </xf>
    <xf numFmtId="0" fontId="0" fillId="0" borderId="5" xfId="0" applyFont="1" applyBorder="1"/>
    <xf numFmtId="0" fontId="0" fillId="0" borderId="0" xfId="0" applyBorder="1" applyAlignment="1">
      <alignment horizontal="left"/>
    </xf>
    <xf numFmtId="0" fontId="0" fillId="0" borderId="0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7" xfId="0" applyFont="1" applyBorder="1" applyAlignment="1">
      <alignment horizontal="center"/>
    </xf>
    <xf numFmtId="1" fontId="2" fillId="0" borderId="7" xfId="0" applyNumberFormat="1" applyFont="1" applyBorder="1" applyAlignment="1">
      <alignment horizontal="center"/>
    </xf>
    <xf numFmtId="1" fontId="2" fillId="0" borderId="8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2" fillId="0" borderId="8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Font="1" applyBorder="1" applyAlignment="1">
      <alignment horizontal="center"/>
    </xf>
    <xf numFmtId="2" fontId="0" fillId="0" borderId="17" xfId="0" applyNumberFormat="1" applyFont="1" applyBorder="1" applyAlignment="1">
      <alignment horizontal="center"/>
    </xf>
    <xf numFmtId="1" fontId="0" fillId="0" borderId="17" xfId="0" applyNumberForma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8" xfId="0" applyFont="1" applyBorder="1"/>
    <xf numFmtId="0" fontId="0" fillId="0" borderId="13" xfId="0" applyFont="1" applyBorder="1"/>
    <xf numFmtId="0" fontId="0" fillId="0" borderId="0" xfId="0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Font="1" applyBorder="1" applyAlignment="1">
      <alignment horizontal="center"/>
    </xf>
    <xf numFmtId="2" fontId="0" fillId="0" borderId="7" xfId="0" applyNumberFormat="1" applyFon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167" fontId="0" fillId="0" borderId="7" xfId="0" applyNumberFormat="1" applyBorder="1" applyAlignment="1">
      <alignment horizontal="center"/>
    </xf>
    <xf numFmtId="0" fontId="0" fillId="27" borderId="0" xfId="0" applyFont="1" applyFill="1" applyAlignment="1">
      <alignment horizontal="center"/>
    </xf>
    <xf numFmtId="0" fontId="0" fillId="27" borderId="0" xfId="0" applyFont="1" applyFill="1" applyBorder="1" applyAlignment="1">
      <alignment horizontal="center"/>
    </xf>
    <xf numFmtId="0" fontId="0" fillId="0" borderId="7" xfId="0" applyBorder="1" applyAlignment="1">
      <alignment horizontal="left"/>
    </xf>
    <xf numFmtId="0" fontId="0" fillId="27" borderId="7" xfId="0" applyFont="1" applyFill="1" applyBorder="1" applyAlignment="1">
      <alignment horizontal="center"/>
    </xf>
    <xf numFmtId="0" fontId="1" fillId="0" borderId="0" xfId="3" applyNumberFormat="1" applyFont="1" applyFill="1" applyAlignment="1">
      <alignment horizontal="center"/>
    </xf>
    <xf numFmtId="0" fontId="1" fillId="0" borderId="0" xfId="3" applyNumberFormat="1" applyFont="1" applyFill="1"/>
    <xf numFmtId="0" fontId="1" fillId="23" borderId="16" xfId="3" applyNumberFormat="1" applyFont="1" applyFill="1" applyBorder="1" applyAlignment="1">
      <alignment horizontal="center"/>
    </xf>
    <xf numFmtId="0" fontId="1" fillId="23" borderId="17" xfId="3" applyNumberFormat="1" applyFont="1" applyFill="1" applyBorder="1" applyAlignment="1">
      <alignment horizontal="center"/>
    </xf>
    <xf numFmtId="0" fontId="1" fillId="23" borderId="18" xfId="3" applyNumberFormat="1" applyFont="1" applyFill="1" applyBorder="1" applyAlignment="1">
      <alignment horizontal="center"/>
    </xf>
    <xf numFmtId="0" fontId="1" fillId="0" borderId="16" xfId="3" applyNumberFormat="1" applyFont="1" applyFill="1" applyBorder="1" applyAlignment="1">
      <alignment horizontal="center"/>
    </xf>
    <xf numFmtId="0" fontId="1" fillId="0" borderId="17" xfId="3" applyNumberFormat="1" applyFont="1" applyFill="1" applyBorder="1" applyAlignment="1">
      <alignment horizontal="center"/>
    </xf>
    <xf numFmtId="167" fontId="1" fillId="0" borderId="18" xfId="3" applyNumberFormat="1" applyFont="1" applyFill="1" applyBorder="1" applyAlignment="1">
      <alignment horizontal="center"/>
    </xf>
    <xf numFmtId="0" fontId="1" fillId="0" borderId="4" xfId="3" applyNumberFormat="1" applyFont="1" applyFill="1" applyBorder="1" applyAlignment="1">
      <alignment horizontal="center"/>
    </xf>
    <xf numFmtId="0" fontId="1" fillId="0" borderId="0" xfId="3" applyNumberFormat="1" applyFont="1" applyFill="1" applyBorder="1" applyAlignment="1">
      <alignment horizontal="center"/>
    </xf>
    <xf numFmtId="167" fontId="1" fillId="0" borderId="5" xfId="3" applyNumberFormat="1" applyFont="1" applyFill="1" applyBorder="1" applyAlignment="1">
      <alignment horizontal="center"/>
    </xf>
    <xf numFmtId="0" fontId="1" fillId="0" borderId="0" xfId="3" applyNumberFormat="1" applyFont="1" applyFill="1"/>
    <xf numFmtId="0" fontId="1" fillId="0" borderId="6" xfId="3" applyNumberFormat="1" applyFont="1" applyFill="1" applyBorder="1" applyAlignment="1">
      <alignment horizontal="center"/>
    </xf>
    <xf numFmtId="0" fontId="1" fillId="0" borderId="7" xfId="3" applyNumberFormat="1" applyFont="1" applyFill="1" applyBorder="1" applyAlignment="1">
      <alignment horizontal="center"/>
    </xf>
    <xf numFmtId="167" fontId="1" fillId="0" borderId="8" xfId="3" applyNumberFormat="1" applyFont="1" applyFill="1" applyBorder="1" applyAlignment="1">
      <alignment horizontal="center"/>
    </xf>
    <xf numFmtId="0" fontId="1" fillId="23" borderId="55" xfId="3" applyNumberFormat="1" applyFont="1" applyFill="1" applyBorder="1"/>
    <xf numFmtId="0" fontId="1" fillId="23" borderId="56" xfId="3" applyNumberFormat="1" applyFont="1" applyFill="1" applyBorder="1"/>
    <xf numFmtId="0" fontId="1" fillId="23" borderId="44" xfId="3" applyNumberFormat="1" applyFont="1" applyFill="1" applyBorder="1"/>
    <xf numFmtId="0" fontId="1" fillId="0" borderId="57" xfId="3" applyNumberFormat="1" applyFont="1" applyFill="1" applyBorder="1" applyAlignment="1">
      <alignment horizontal="center"/>
    </xf>
    <xf numFmtId="2" fontId="1" fillId="0" borderId="0" xfId="3" applyNumberFormat="1" applyFont="1" applyFill="1" applyBorder="1" applyAlignment="1">
      <alignment horizontal="center"/>
    </xf>
    <xf numFmtId="0" fontId="1" fillId="0" borderId="58" xfId="3" applyNumberFormat="1" applyFont="1" applyFill="1" applyBorder="1" applyAlignment="1">
      <alignment horizontal="center"/>
    </xf>
    <xf numFmtId="0" fontId="1" fillId="0" borderId="50" xfId="3" applyNumberFormat="1" applyFont="1" applyFill="1" applyBorder="1" applyAlignment="1">
      <alignment horizontal="center"/>
    </xf>
    <xf numFmtId="0" fontId="1" fillId="0" borderId="59" xfId="3" applyNumberFormat="1" applyFont="1" applyFill="1" applyBorder="1" applyAlignment="1">
      <alignment horizontal="center"/>
    </xf>
    <xf numFmtId="2" fontId="1" fillId="0" borderId="59" xfId="3" applyNumberFormat="1" applyFont="1" applyFill="1" applyBorder="1" applyAlignment="1">
      <alignment horizontal="center"/>
    </xf>
    <xf numFmtId="0" fontId="1" fillId="0" borderId="39" xfId="3" applyNumberFormat="1" applyFont="1" applyFill="1" applyBorder="1" applyAlignment="1">
      <alignment horizontal="center"/>
    </xf>
    <xf numFmtId="0" fontId="1" fillId="24" borderId="16" xfId="3" applyNumberFormat="1" applyFont="1" applyFill="1" applyBorder="1"/>
    <xf numFmtId="0" fontId="1" fillId="24" borderId="17" xfId="3" applyNumberFormat="1" applyFont="1" applyFill="1" applyBorder="1"/>
    <xf numFmtId="0" fontId="1" fillId="24" borderId="18" xfId="3" applyNumberFormat="1" applyFont="1" applyFill="1" applyBorder="1"/>
    <xf numFmtId="2" fontId="1" fillId="0" borderId="5" xfId="3" applyNumberFormat="1" applyFont="1" applyFill="1" applyBorder="1" applyAlignment="1">
      <alignment horizontal="center"/>
    </xf>
    <xf numFmtId="0" fontId="1" fillId="25" borderId="0" xfId="3" applyNumberFormat="1" applyFont="1" applyFill="1" applyAlignment="1">
      <alignment horizontal="center"/>
    </xf>
    <xf numFmtId="0" fontId="1" fillId="0" borderId="18" xfId="3" applyNumberFormat="1" applyFont="1" applyFill="1" applyBorder="1" applyAlignment="1">
      <alignment horizontal="center"/>
    </xf>
    <xf numFmtId="0" fontId="1" fillId="0" borderId="5" xfId="3" applyNumberFormat="1" applyFont="1" applyFill="1" applyBorder="1" applyAlignment="1">
      <alignment horizontal="center"/>
    </xf>
    <xf numFmtId="0" fontId="1" fillId="0" borderId="8" xfId="3" applyNumberFormat="1" applyFont="1" applyFill="1" applyBorder="1" applyAlignment="1">
      <alignment horizontal="center"/>
    </xf>
    <xf numFmtId="0" fontId="1" fillId="14" borderId="16" xfId="3" applyNumberFormat="1" applyFont="1" applyFill="1" applyBorder="1" applyAlignment="1">
      <alignment horizontal="center"/>
    </xf>
    <xf numFmtId="0" fontId="1" fillId="14" borderId="17" xfId="3" applyNumberFormat="1" applyFont="1" applyFill="1" applyBorder="1" applyAlignment="1">
      <alignment horizontal="center"/>
    </xf>
    <xf numFmtId="0" fontId="1" fillId="25" borderId="17" xfId="3" applyNumberFormat="1" applyFont="1" applyFill="1" applyBorder="1" applyAlignment="1">
      <alignment horizontal="center"/>
    </xf>
    <xf numFmtId="0" fontId="1" fillId="25" borderId="18" xfId="3" applyNumberFormat="1" applyFont="1" applyFill="1" applyBorder="1" applyAlignment="1">
      <alignment horizontal="center"/>
    </xf>
    <xf numFmtId="1" fontId="1" fillId="0" borderId="0" xfId="3" applyNumberFormat="1" applyFont="1" applyFill="1" applyBorder="1" applyAlignment="1">
      <alignment horizontal="center"/>
    </xf>
    <xf numFmtId="2" fontId="1" fillId="0" borderId="7" xfId="3" applyNumberFormat="1" applyFont="1" applyFill="1" applyBorder="1" applyAlignment="1">
      <alignment horizontal="center"/>
    </xf>
    <xf numFmtId="1" fontId="1" fillId="0" borderId="7" xfId="3" applyNumberFormat="1" applyFont="1" applyFill="1" applyBorder="1" applyAlignment="1">
      <alignment horizontal="center"/>
    </xf>
    <xf numFmtId="0" fontId="1" fillId="5" borderId="16" xfId="3" applyNumberFormat="1" applyFont="1" applyFill="1" applyBorder="1" applyAlignment="1">
      <alignment horizontal="center"/>
    </xf>
    <xf numFmtId="0" fontId="1" fillId="5" borderId="17" xfId="3" applyNumberFormat="1" applyFont="1" applyFill="1" applyBorder="1" applyAlignment="1">
      <alignment horizontal="center"/>
    </xf>
    <xf numFmtId="0" fontId="1" fillId="5" borderId="18" xfId="3" applyNumberFormat="1" applyFont="1" applyFill="1" applyBorder="1" applyAlignment="1">
      <alignment horizontal="center"/>
    </xf>
    <xf numFmtId="0" fontId="0" fillId="19" borderId="16" xfId="0" applyFont="1" applyFill="1" applyBorder="1"/>
    <xf numFmtId="0" fontId="0" fillId="19" borderId="17" xfId="0" applyFont="1" applyFill="1" applyBorder="1"/>
    <xf numFmtId="0" fontId="0" fillId="22" borderId="17" xfId="0" applyFont="1" applyFill="1" applyBorder="1"/>
    <xf numFmtId="0" fontId="0" fillId="26" borderId="17" xfId="0" applyFont="1" applyFill="1" applyBorder="1"/>
    <xf numFmtId="0" fontId="0" fillId="28" borderId="18" xfId="0" applyFont="1" applyFill="1" applyBorder="1"/>
    <xf numFmtId="0" fontId="0" fillId="0" borderId="7" xfId="0" applyBorder="1"/>
    <xf numFmtId="0" fontId="0" fillId="0" borderId="20" xfId="0" applyFont="1" applyBorder="1"/>
    <xf numFmtId="0" fontId="0" fillId="0" borderId="21" xfId="0" applyFont="1" applyBorder="1"/>
    <xf numFmtId="0" fontId="0" fillId="0" borderId="21" xfId="0" applyBorder="1"/>
    <xf numFmtId="169" fontId="0" fillId="0" borderId="0" xfId="0" applyNumberFormat="1"/>
    <xf numFmtId="169" fontId="0" fillId="0" borderId="0" xfId="0" applyNumberFormat="1" applyFont="1"/>
    <xf numFmtId="165" fontId="0" fillId="0" borderId="0" xfId="0" applyNumberFormat="1"/>
    <xf numFmtId="0" fontId="0" fillId="29" borderId="0" xfId="0" applyFill="1" applyAlignment="1">
      <alignment horizontal="center"/>
    </xf>
    <xf numFmtId="0" fontId="11" fillId="0" borderId="19" xfId="0" applyFont="1" applyBorder="1" applyAlignment="1" applyProtection="1">
      <alignment horizontal="center"/>
    </xf>
    <xf numFmtId="0" fontId="2" fillId="14" borderId="13" xfId="0" applyFont="1" applyFill="1" applyBorder="1" applyAlignment="1" applyProtection="1">
      <alignment horizontal="center"/>
    </xf>
    <xf numFmtId="0" fontId="7" fillId="11" borderId="15" xfId="0" applyFont="1" applyFill="1" applyBorder="1" applyAlignment="1" applyProtection="1">
      <alignment horizontal="center" vertical="center"/>
    </xf>
    <xf numFmtId="0" fontId="8" fillId="0" borderId="0" xfId="0" applyFont="1" applyBorder="1" applyAlignment="1" applyProtection="1">
      <alignment horizontal="center" vertical="center" wrapText="1"/>
    </xf>
    <xf numFmtId="0" fontId="2" fillId="0" borderId="13" xfId="0" applyFont="1" applyBorder="1" applyAlignment="1" applyProtection="1">
      <alignment horizontal="center"/>
    </xf>
    <xf numFmtId="0" fontId="2" fillId="11" borderId="13" xfId="0" applyFont="1" applyFill="1" applyBorder="1" applyAlignment="1" applyProtection="1">
      <alignment horizontal="center"/>
    </xf>
    <xf numFmtId="0" fontId="11" fillId="0" borderId="13" xfId="0" applyFont="1" applyBorder="1" applyAlignment="1" applyProtection="1">
      <alignment horizontal="center" vertical="center"/>
    </xf>
    <xf numFmtId="0" fontId="11" fillId="0" borderId="14" xfId="0" applyFont="1" applyBorder="1" applyAlignment="1" applyProtection="1">
      <alignment horizontal="center"/>
    </xf>
    <xf numFmtId="165" fontId="17" fillId="5" borderId="22" xfId="0" applyNumberFormat="1" applyFont="1" applyFill="1" applyBorder="1" applyAlignment="1" applyProtection="1">
      <alignment horizontal="center"/>
    </xf>
    <xf numFmtId="0" fontId="17" fillId="5" borderId="15" xfId="0" applyFont="1" applyFill="1" applyBorder="1" applyAlignment="1" applyProtection="1">
      <alignment horizontal="left"/>
    </xf>
    <xf numFmtId="0" fontId="17" fillId="5" borderId="13" xfId="0" applyFont="1" applyFill="1" applyBorder="1" applyAlignment="1" applyProtection="1">
      <alignment horizontal="left"/>
    </xf>
    <xf numFmtId="0" fontId="21" fillId="5" borderId="13" xfId="0" applyFont="1" applyFill="1" applyBorder="1" applyAlignment="1" applyProtection="1">
      <alignment horizontal="center" vertical="center" wrapText="1"/>
    </xf>
    <xf numFmtId="0" fontId="0" fillId="0" borderId="20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2" fillId="0" borderId="13" xfId="0" applyFont="1" applyBorder="1" applyAlignment="1">
      <alignment horizontal="center" wrapText="1"/>
    </xf>
    <xf numFmtId="9" fontId="2" fillId="13" borderId="19" xfId="1" applyFont="1" applyFill="1" applyBorder="1" applyAlignment="1" applyProtection="1">
      <alignment horizontal="center" vertical="center"/>
    </xf>
    <xf numFmtId="0" fontId="2" fillId="0" borderId="15" xfId="0" applyFont="1" applyBorder="1" applyAlignment="1">
      <alignment horizontal="center"/>
    </xf>
    <xf numFmtId="0" fontId="2" fillId="0" borderId="13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25" borderId="15" xfId="0" applyFont="1" applyFill="1" applyBorder="1" applyAlignment="1">
      <alignment horizontal="center"/>
    </xf>
    <xf numFmtId="0" fontId="2" fillId="26" borderId="7" xfId="0" applyFont="1" applyFill="1" applyBorder="1" applyAlignment="1">
      <alignment horizontal="center"/>
    </xf>
    <xf numFmtId="0" fontId="2" fillId="26" borderId="20" xfId="0" applyFont="1" applyFill="1" applyBorder="1" applyAlignment="1">
      <alignment horizontal="center"/>
    </xf>
    <xf numFmtId="0" fontId="2" fillId="14" borderId="15" xfId="0" applyFont="1" applyFill="1" applyBorder="1" applyAlignment="1">
      <alignment horizontal="center"/>
    </xf>
    <xf numFmtId="0" fontId="2" fillId="5" borderId="15" xfId="0" applyFont="1" applyFill="1" applyBorder="1" applyAlignment="1">
      <alignment horizontal="center"/>
    </xf>
    <xf numFmtId="0" fontId="23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22" borderId="15" xfId="0" applyFont="1" applyFill="1" applyBorder="1" applyAlignment="1">
      <alignment horizontal="center"/>
    </xf>
    <xf numFmtId="0" fontId="2" fillId="23" borderId="13" xfId="0" applyFont="1" applyFill="1" applyBorder="1" applyAlignment="1">
      <alignment horizontal="center"/>
    </xf>
    <xf numFmtId="0" fontId="2" fillId="24" borderId="13" xfId="0" applyFont="1" applyFill="1" applyBorder="1" applyAlignment="1">
      <alignment horizontal="center"/>
    </xf>
  </cellXfs>
  <cellStyles count="4">
    <cellStyle name="Explanatory Text" xfId="3" builtinId="53" customBuiltin="1"/>
    <cellStyle name="Hyperlink" xfId="2" builtinId="8"/>
    <cellStyle name="Normal" xfId="0" builtinId="0"/>
    <cellStyle name="Percent" xfId="1" builtinId="5"/>
  </cellStyles>
  <dxfs count="39">
    <dxf>
      <fill>
        <patternFill>
          <bgColor rgb="FFFF00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B7DEE8"/>
        </patternFill>
      </fill>
    </dxf>
    <dxf>
      <fill>
        <patternFill>
          <bgColor rgb="FFB7DEE8"/>
        </patternFill>
      </fill>
    </dxf>
    <dxf>
      <fill>
        <patternFill>
          <bgColor rgb="FFB7DEE8"/>
        </patternFill>
      </fill>
    </dxf>
    <dxf>
      <fill>
        <patternFill>
          <bgColor rgb="FFB7DEE8"/>
        </patternFill>
      </fill>
    </dxf>
    <dxf>
      <fill>
        <patternFill>
          <bgColor rgb="FFB7DEE8"/>
        </patternFill>
      </fill>
    </dxf>
    <dxf>
      <fill>
        <patternFill>
          <bgColor rgb="FFB7DEE8"/>
        </patternFill>
      </fill>
    </dxf>
    <dxf>
      <fill>
        <patternFill>
          <bgColor rgb="FFB7DEE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B7DEE8"/>
        </patternFill>
      </fill>
    </dxf>
    <dxf>
      <fill>
        <patternFill>
          <bgColor rgb="FFB7DEE8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B7DEE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rgb="FFFFFFFF"/>
        </patternFill>
      </fill>
    </dxf>
    <dxf>
      <fill>
        <patternFill>
          <bgColor rgb="FFC3D69B"/>
        </patternFill>
      </fill>
    </dxf>
    <dxf>
      <fill>
        <patternFill>
          <bgColor rgb="FFC3D69B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B7DEE8"/>
      <rgbColor rgb="FF9C0006"/>
      <rgbColor rgb="FF006100"/>
      <rgbColor rgb="FF000080"/>
      <rgbColor rgb="FF9C6500"/>
      <rgbColor rgb="FF800080"/>
      <rgbColor rgb="FFD7E4BD"/>
      <rgbColor rgb="FFBFBFBF"/>
      <rgbColor rgb="FF85847F"/>
      <rgbColor rgb="FF8EB4E3"/>
      <rgbColor rgb="FF7030A0"/>
      <rgbColor rgb="FFEBF1DE"/>
      <rgbColor rgb="FFDCE6F2"/>
      <rgbColor rgb="FF660066"/>
      <rgbColor rgb="FFFF6699"/>
      <rgbColor rgb="FF0070C0"/>
      <rgbColor rgb="FFC6D9F1"/>
      <rgbColor rgb="FF000080"/>
      <rgbColor rgb="FFFF00FF"/>
      <rgbColor rgb="FFADFF2F"/>
      <rgbColor rgb="FFB9CDE5"/>
      <rgbColor rgb="FF800080"/>
      <rgbColor rgb="FF800000"/>
      <rgbColor rgb="FF008080"/>
      <rgbColor rgb="FF0000FF"/>
      <rgbColor rgb="FF00B0F0"/>
      <rgbColor rgb="FFF2F2F2"/>
      <rgbColor rgb="FFC6EFCE"/>
      <rgbColor rgb="FFFFEB9C"/>
      <rgbColor rgb="FF93CDDD"/>
      <rgbColor rgb="FFE6B9B8"/>
      <rgbColor rgb="FFB3A2C7"/>
      <rgbColor rgb="FFFFC7CE"/>
      <rgbColor rgb="FFB0C4DE"/>
      <rgbColor rgb="FFADD8E6"/>
      <rgbColor rgb="FF92D050"/>
      <rgbColor rgb="FFFFC000"/>
      <rgbColor rgb="FFC3D69B"/>
      <rgbColor rgb="FFD9D9D9"/>
      <rgbColor rgb="FF558ED5"/>
      <rgbColor rgb="FFC4BD97"/>
      <rgbColor rgb="FF002060"/>
      <rgbColor rgb="FF00B050"/>
      <rgbColor rgb="FF003300"/>
      <rgbColor rgb="FF333300"/>
      <rgbColor rgb="FF993300"/>
      <rgbColor rgb="FFF2DCDB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\Genomique\MPS\Solexa\MPS\Solexa\RunTracking-HS" TargetMode="External"/><Relationship Id="rId1" Type="http://schemas.openxmlformats.org/officeDocument/2006/relationships/hyperlink" Target="\Genomique\MPS\Solexa\MPS\Solexa\LibraryQ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11"/>
  <sheetViews>
    <sheetView tabSelected="1" zoomScale="85" zoomScaleNormal="85" workbookViewId="0"/>
  </sheetViews>
  <sheetFormatPr defaultRowHeight="12.5" x14ac:dyDescent="0.5"/>
  <cols>
    <col min="1" max="1" width="11.1796875"/>
    <col min="2" max="2" width="21.54296875" customWidth="1"/>
    <col min="3" max="3" width="40.6796875"/>
    <col min="4" max="4" width="11.1796875"/>
    <col min="5" max="5" width="22.04296875"/>
    <col min="6" max="6" width="24.953125"/>
    <col min="7" max="8" width="11.1796875"/>
    <col min="9" max="9" width="13.6328125"/>
    <col min="10" max="10" width="11.86328125"/>
    <col min="11" max="1025" width="11.1796875"/>
  </cols>
  <sheetData>
    <row r="1" spans="1:14" ht="25" x14ac:dyDescent="0.5">
      <c r="A1" s="1" t="s">
        <v>0</v>
      </c>
      <c r="B1" s="1" t="s">
        <v>573</v>
      </c>
      <c r="C1" s="2" t="s">
        <v>1</v>
      </c>
      <c r="D1" s="3" t="s">
        <v>2</v>
      </c>
      <c r="E1" s="4" t="s">
        <v>3</v>
      </c>
      <c r="F1" s="2" t="s">
        <v>574</v>
      </c>
      <c r="G1" s="4" t="s">
        <v>5</v>
      </c>
      <c r="H1" s="2" t="s">
        <v>6</v>
      </c>
      <c r="I1" s="5" t="s">
        <v>7</v>
      </c>
      <c r="J1" s="6" t="s">
        <v>8</v>
      </c>
      <c r="K1" s="2" t="s">
        <v>9</v>
      </c>
      <c r="L1" s="6" t="s">
        <v>10</v>
      </c>
      <c r="M1" s="7" t="s">
        <v>11</v>
      </c>
      <c r="N1" s="8" t="s">
        <v>12</v>
      </c>
    </row>
    <row r="2" spans="1:14" x14ac:dyDescent="0.5">
      <c r="A2" s="9"/>
      <c r="B2" s="9"/>
      <c r="C2" s="9"/>
      <c r="D2" s="9"/>
      <c r="E2" s="9"/>
      <c r="F2" s="9"/>
      <c r="G2" s="601"/>
      <c r="H2" s="9"/>
      <c r="I2" s="10"/>
      <c r="J2" s="10"/>
      <c r="K2" s="9"/>
      <c r="L2" s="9"/>
      <c r="M2" s="9"/>
      <c r="N2" s="9"/>
    </row>
    <row r="3" spans="1:14" x14ac:dyDescent="0.5">
      <c r="A3" s="9"/>
      <c r="B3" s="9"/>
      <c r="C3" s="9"/>
      <c r="D3" s="9"/>
      <c r="E3" s="9"/>
      <c r="F3" s="9"/>
      <c r="G3" s="601"/>
      <c r="H3" s="9"/>
      <c r="I3" s="10"/>
      <c r="J3" s="10"/>
      <c r="K3" s="9"/>
      <c r="L3" s="9"/>
      <c r="M3" s="9"/>
      <c r="N3" s="9"/>
    </row>
    <row r="4" spans="1:14" x14ac:dyDescent="0.5">
      <c r="A4" s="9"/>
      <c r="B4" s="9"/>
      <c r="C4" s="9"/>
      <c r="D4" s="9"/>
      <c r="E4" s="9"/>
      <c r="F4" s="9"/>
      <c r="G4" s="601"/>
      <c r="H4" s="9"/>
      <c r="I4" s="10"/>
      <c r="J4" s="10"/>
      <c r="K4" s="9"/>
      <c r="L4" s="9"/>
      <c r="M4" s="9"/>
      <c r="N4" s="9"/>
    </row>
    <row r="5" spans="1:14" x14ac:dyDescent="0.5">
      <c r="A5" s="9"/>
      <c r="B5" s="9"/>
      <c r="C5" s="9"/>
      <c r="D5" s="9"/>
      <c r="E5" s="9"/>
      <c r="F5" s="9"/>
      <c r="G5" s="601"/>
      <c r="H5" s="9"/>
      <c r="I5" s="10"/>
      <c r="J5" s="10"/>
      <c r="K5" s="9"/>
      <c r="L5" s="9"/>
      <c r="M5" s="9"/>
      <c r="N5" s="9"/>
    </row>
    <row r="6" spans="1:14" x14ac:dyDescent="0.5">
      <c r="A6" s="9"/>
      <c r="B6" s="9"/>
      <c r="C6" s="9"/>
      <c r="D6" s="9"/>
      <c r="E6" s="9"/>
      <c r="F6" s="9"/>
      <c r="G6" s="601"/>
      <c r="H6" s="9"/>
      <c r="I6" s="10"/>
      <c r="J6" s="10"/>
      <c r="K6" s="9"/>
      <c r="L6" s="9"/>
      <c r="M6" s="9"/>
      <c r="N6" s="9"/>
    </row>
    <row r="7" spans="1:14" x14ac:dyDescent="0.5">
      <c r="A7" s="9"/>
      <c r="B7" s="9"/>
      <c r="C7" s="9"/>
      <c r="D7" s="9"/>
      <c r="E7" s="9"/>
      <c r="F7" s="9"/>
      <c r="G7" s="601"/>
      <c r="H7" s="9"/>
      <c r="I7" s="10"/>
      <c r="J7" s="10"/>
      <c r="K7" s="9"/>
      <c r="L7" s="9"/>
      <c r="M7" s="9"/>
      <c r="N7" s="9"/>
    </row>
    <row r="8" spans="1:14" x14ac:dyDescent="0.5">
      <c r="A8" s="9"/>
      <c r="B8" s="9"/>
      <c r="C8" s="9"/>
      <c r="D8" s="9"/>
      <c r="E8" s="9"/>
      <c r="F8" s="9"/>
      <c r="G8" s="601"/>
      <c r="H8" s="9"/>
      <c r="I8" s="10"/>
      <c r="J8" s="10"/>
      <c r="K8" s="9"/>
      <c r="L8" s="9"/>
      <c r="M8" s="9"/>
      <c r="N8" s="9"/>
    </row>
    <row r="9" spans="1:14" x14ac:dyDescent="0.5">
      <c r="A9" s="9"/>
      <c r="B9" s="9"/>
      <c r="C9" s="9"/>
      <c r="D9" s="9"/>
      <c r="E9" s="9"/>
      <c r="F9" s="9"/>
      <c r="G9" s="601"/>
      <c r="H9" s="9"/>
      <c r="I9" s="10"/>
      <c r="J9" s="10"/>
      <c r="K9" s="9"/>
      <c r="L9" s="9"/>
      <c r="M9" s="9"/>
      <c r="N9" s="9"/>
    </row>
    <row r="10" spans="1:14" ht="12.25" customHeight="1" x14ac:dyDescent="0.5">
      <c r="A10" s="9"/>
      <c r="B10" s="9"/>
      <c r="C10" s="9"/>
      <c r="D10" s="9"/>
      <c r="E10" s="9"/>
      <c r="F10" s="9"/>
      <c r="G10" s="601"/>
      <c r="H10" s="9"/>
      <c r="I10" s="9"/>
      <c r="J10" s="10"/>
      <c r="K10" s="9"/>
      <c r="L10" s="9"/>
      <c r="M10" s="9"/>
      <c r="N10" s="9"/>
    </row>
    <row r="11" spans="1:14" x14ac:dyDescent="0.5">
      <c r="A11" s="9"/>
      <c r="B11" s="9"/>
      <c r="C11" s="9"/>
      <c r="D11" s="9"/>
      <c r="E11" s="9"/>
      <c r="F11" s="9"/>
      <c r="G11" s="601"/>
      <c r="H11" s="9"/>
      <c r="I11" s="9"/>
      <c r="J11" s="10"/>
      <c r="K11" s="9"/>
      <c r="L11" s="9"/>
      <c r="M11" s="9"/>
      <c r="N11" s="9"/>
    </row>
  </sheetData>
  <dataValidations count="1">
    <dataValidation type="list" allowBlank="1" showInputMessage="1" showErrorMessage="1" sqref="J2:J11">
      <formula1>"ng/ul,nM"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MK97"/>
  <sheetViews>
    <sheetView zoomScale="85" zoomScaleNormal="85" workbookViewId="0">
      <pane xSplit="2" ySplit="1" topLeftCell="H2" activePane="bottomRight" state="frozen"/>
      <selection pane="topRight" activeCell="H1" sqref="H1"/>
      <selection pane="bottomLeft" activeCell="A2" sqref="A2"/>
      <selection pane="bottomRight" activeCell="P1" sqref="P1"/>
    </sheetView>
  </sheetViews>
  <sheetFormatPr defaultRowHeight="12.5" x14ac:dyDescent="0.5"/>
  <cols>
    <col min="1" max="1" width="26.04296875" style="11"/>
    <col min="2" max="2" width="17.26953125" style="11"/>
    <col min="3" max="8" width="9.04296875" style="11"/>
    <col min="9" max="9" width="9.04296875" style="12"/>
    <col min="10" max="12" width="9.04296875" style="11"/>
    <col min="13" max="13" width="12.6796875" style="11"/>
    <col min="14" max="22" width="9.04296875" style="11"/>
    <col min="23" max="23" width="15.1328125" style="11"/>
    <col min="24" max="26" width="9.04296875" style="11"/>
    <col min="27" max="27" width="13.08984375" style="11"/>
    <col min="28" max="1025" width="9.04296875" style="11"/>
  </cols>
  <sheetData>
    <row r="1" spans="1:39" s="27" customFormat="1" ht="60" customHeight="1" x14ac:dyDescent="0.65">
      <c r="A1" s="13" t="s">
        <v>24</v>
      </c>
      <c r="B1" s="14" t="s">
        <v>25</v>
      </c>
      <c r="C1" s="15" t="s">
        <v>26</v>
      </c>
      <c r="D1" s="15" t="s">
        <v>27</v>
      </c>
      <c r="E1" s="15" t="s">
        <v>28</v>
      </c>
      <c r="F1" s="15" t="s">
        <v>29</v>
      </c>
      <c r="G1" s="16" t="s">
        <v>30</v>
      </c>
      <c r="H1" s="16" t="s">
        <v>31</v>
      </c>
      <c r="I1" s="17" t="s">
        <v>12</v>
      </c>
      <c r="J1" s="15" t="s">
        <v>32</v>
      </c>
      <c r="K1" s="15" t="s">
        <v>33</v>
      </c>
      <c r="L1" s="16" t="s">
        <v>34</v>
      </c>
      <c r="M1" s="18" t="s">
        <v>35</v>
      </c>
      <c r="N1" s="19" t="s">
        <v>36</v>
      </c>
      <c r="O1" s="15" t="s">
        <v>37</v>
      </c>
      <c r="P1" s="15" t="s">
        <v>38</v>
      </c>
      <c r="Q1" s="15" t="s">
        <v>39</v>
      </c>
      <c r="R1" s="15" t="s">
        <v>40</v>
      </c>
      <c r="S1" s="15" t="s">
        <v>41</v>
      </c>
      <c r="T1" s="16" t="s">
        <v>42</v>
      </c>
      <c r="U1" s="15" t="s">
        <v>43</v>
      </c>
      <c r="V1" s="20" t="s">
        <v>44</v>
      </c>
      <c r="W1" s="15" t="s">
        <v>45</v>
      </c>
      <c r="X1" s="15" t="s">
        <v>46</v>
      </c>
      <c r="Y1" s="21" t="s">
        <v>47</v>
      </c>
      <c r="Z1" s="21" t="s">
        <v>48</v>
      </c>
      <c r="AA1" s="21" t="s">
        <v>49</v>
      </c>
      <c r="AB1" s="21" t="s">
        <v>11</v>
      </c>
      <c r="AC1" s="21" t="s">
        <v>50</v>
      </c>
      <c r="AD1" s="22" t="s">
        <v>51</v>
      </c>
      <c r="AE1" s="21" t="s">
        <v>52</v>
      </c>
      <c r="AF1" s="21" t="s">
        <v>53</v>
      </c>
      <c r="AG1" s="21" t="s">
        <v>54</v>
      </c>
      <c r="AH1" s="23" t="s">
        <v>55</v>
      </c>
      <c r="AI1" s="21" t="s">
        <v>56</v>
      </c>
      <c r="AJ1" s="21" t="s">
        <v>57</v>
      </c>
      <c r="AK1" s="24" t="s">
        <v>58</v>
      </c>
      <c r="AL1" s="25" t="s">
        <v>59</v>
      </c>
      <c r="AM1" s="26" t="s">
        <v>60</v>
      </c>
    </row>
    <row r="2" spans="1:39" s="29" customFormat="1" x14ac:dyDescent="0.5">
      <c r="A2" s="28" t="str">
        <f>IF(LibraryDataEntry!C2="","",LibraryDataEntry!C2)</f>
        <v/>
      </c>
      <c r="B2" s="29" t="str">
        <f>IF(LibraryDataEntry!F2="","",CONCATENATE(LibraryDataEntry!F2,"-",LibraryDataEntry!G2))</f>
        <v/>
      </c>
      <c r="I2" s="29" t="str">
        <f>IF(LibraryDataEntry!N2="","",LibraryDataEntry!N2)</f>
        <v/>
      </c>
      <c r="J2" s="29" t="str">
        <f>IF(LibraryDataEntry!E2="","",LibraryDataEntry!E2)</f>
        <v/>
      </c>
      <c r="O2" s="29" t="str">
        <f>IF(LibraryDataEntry!H2="","",LibraryDataEntry!H2)</f>
        <v/>
      </c>
      <c r="P2" s="29" t="str">
        <f>IF(LibraryDataEntry!J2="nM",LibraryDataEntry!I2,"")</f>
        <v/>
      </c>
      <c r="Q2" s="29" t="str">
        <f>IF(LibraryDataEntry!J2="ng/ul",LibraryDataEntry!I2,"")</f>
        <v/>
      </c>
      <c r="W2" s="29" t="str">
        <f>IF(LibraryDataEntry!F2="","",LibraryDataEntry!F2)</f>
        <v/>
      </c>
      <c r="X2" s="29" t="str">
        <f>IF(LibraryDataEntry!G2="","",LibraryDataEntry!G2)</f>
        <v/>
      </c>
      <c r="Z2" s="29" t="str">
        <f>IF(LibraryDataEntry!L2="","",LibraryDataEntry!L2)</f>
        <v/>
      </c>
      <c r="AA2" s="29" t="str">
        <f>IF(LibraryDataEntry!J2="","",LibraryDataEntry!J2)</f>
        <v/>
      </c>
      <c r="AB2" s="29" t="str">
        <f>IF(LibraryDataEntry!M2="","",LibraryDataEntry!M2)</f>
        <v/>
      </c>
      <c r="AD2" s="29" t="str">
        <f>IF(LibraryDataEntry!B2="","",CONCATENATE(RIGHT(LibraryDataEntry!B2,4),"HS"))</f>
        <v/>
      </c>
      <c r="AG2" s="29" t="str">
        <f>IF(LibraryDataEntry!A2="","",LibraryDataEntry!A2)</f>
        <v/>
      </c>
      <c r="AM2" s="30"/>
    </row>
    <row r="3" spans="1:39" s="29" customFormat="1" x14ac:dyDescent="0.5">
      <c r="A3" s="28" t="str">
        <f>IF(LibraryDataEntry!C3="","",LibraryDataEntry!C3)</f>
        <v/>
      </c>
      <c r="B3" s="29" t="str">
        <f>IF(LibraryDataEntry!F3="","",CONCATENATE(LibraryDataEntry!F3,"-",LibraryDataEntry!G3))</f>
        <v/>
      </c>
      <c r="I3" s="29" t="str">
        <f>IF(LibraryDataEntry!N3="","",LibraryDataEntry!N3)</f>
        <v/>
      </c>
      <c r="J3" s="29" t="str">
        <f>IF(LibraryDataEntry!E3="","",LibraryDataEntry!E3)</f>
        <v/>
      </c>
      <c r="O3" s="29" t="str">
        <f>IF(LibraryDataEntry!H3="","",LibraryDataEntry!H3)</f>
        <v/>
      </c>
      <c r="P3" s="29" t="str">
        <f>IF(LibraryDataEntry!J3="nM",LibraryDataEntry!I3,"")</f>
        <v/>
      </c>
      <c r="Q3" s="29" t="str">
        <f>IF(LibraryDataEntry!J3="ng/ul",LibraryDataEntry!I3,"")</f>
        <v/>
      </c>
      <c r="W3" s="29" t="str">
        <f>IF(LibraryDataEntry!F3="","",LibraryDataEntry!F3)</f>
        <v/>
      </c>
      <c r="X3" s="29" t="str">
        <f>IF(LibraryDataEntry!G3="","",LibraryDataEntry!G3)</f>
        <v/>
      </c>
      <c r="Z3" s="29" t="str">
        <f>IF(LibraryDataEntry!L3="","",LibraryDataEntry!L3)</f>
        <v/>
      </c>
      <c r="AA3" s="29" t="str">
        <f>IF(LibraryDataEntry!J3="","",LibraryDataEntry!J3)</f>
        <v/>
      </c>
      <c r="AB3" s="29" t="str">
        <f>IF(LibraryDataEntry!M3="","",LibraryDataEntry!M3)</f>
        <v/>
      </c>
      <c r="AD3" s="29" t="str">
        <f>IF(LibraryDataEntry!B3="","",CONCATENATE(RIGHT(LibraryDataEntry!B3,4),"HS"))</f>
        <v/>
      </c>
      <c r="AG3" s="29" t="str">
        <f>IF(LibraryDataEntry!A3="","",LibraryDataEntry!A3)</f>
        <v/>
      </c>
      <c r="AM3" s="30"/>
    </row>
    <row r="4" spans="1:39" s="29" customFormat="1" x14ac:dyDescent="0.5">
      <c r="A4" s="28" t="str">
        <f>IF(LibraryDataEntry!C4="","",LibraryDataEntry!C4)</f>
        <v/>
      </c>
      <c r="B4" s="29" t="str">
        <f>IF(LibraryDataEntry!F4="","",CONCATENATE(LibraryDataEntry!F4,"-",LibraryDataEntry!G4))</f>
        <v/>
      </c>
      <c r="I4" s="29" t="str">
        <f>IF(LibraryDataEntry!N4="","",LibraryDataEntry!N4)</f>
        <v/>
      </c>
      <c r="J4" s="29" t="str">
        <f>IF(LibraryDataEntry!E4="","",LibraryDataEntry!E4)</f>
        <v/>
      </c>
      <c r="O4" s="29" t="str">
        <f>IF(LibraryDataEntry!H4="","",LibraryDataEntry!H4)</f>
        <v/>
      </c>
      <c r="P4" s="29" t="str">
        <f>IF(LibraryDataEntry!J4="nM",LibraryDataEntry!I4,"")</f>
        <v/>
      </c>
      <c r="Q4" s="29" t="str">
        <f>IF(LibraryDataEntry!J4="ng/ul",LibraryDataEntry!I4,"")</f>
        <v/>
      </c>
      <c r="W4" s="29" t="str">
        <f>IF(LibraryDataEntry!F4="","",LibraryDataEntry!F4)</f>
        <v/>
      </c>
      <c r="X4" s="29" t="str">
        <f>IF(LibraryDataEntry!G4="","",LibraryDataEntry!G4)</f>
        <v/>
      </c>
      <c r="Z4" s="29" t="str">
        <f>IF(LibraryDataEntry!L4="","",LibraryDataEntry!L4)</f>
        <v/>
      </c>
      <c r="AA4" s="29" t="str">
        <f>IF(LibraryDataEntry!J4="","",LibraryDataEntry!J4)</f>
        <v/>
      </c>
      <c r="AB4" s="29" t="str">
        <f>IF(LibraryDataEntry!M4="","",LibraryDataEntry!M4)</f>
        <v/>
      </c>
      <c r="AD4" s="29" t="str">
        <f>IF(LibraryDataEntry!B4="","",CONCATENATE(RIGHT(LibraryDataEntry!B4,4),"HS"))</f>
        <v/>
      </c>
      <c r="AG4" s="29" t="str">
        <f>IF(LibraryDataEntry!A4="","",LibraryDataEntry!A4)</f>
        <v/>
      </c>
      <c r="AM4" s="30"/>
    </row>
    <row r="5" spans="1:39" s="29" customFormat="1" x14ac:dyDescent="0.5">
      <c r="A5" s="28" t="str">
        <f>IF(LibraryDataEntry!C5="","",LibraryDataEntry!C5)</f>
        <v/>
      </c>
      <c r="B5" s="29" t="str">
        <f>IF(LibraryDataEntry!F5="","",CONCATENATE(LibraryDataEntry!F5,"-",LibraryDataEntry!G5))</f>
        <v/>
      </c>
      <c r="I5" s="29" t="str">
        <f>IF(LibraryDataEntry!N5="","",LibraryDataEntry!N5)</f>
        <v/>
      </c>
      <c r="J5" s="29" t="str">
        <f>IF(LibraryDataEntry!E5="","",LibraryDataEntry!E5)</f>
        <v/>
      </c>
      <c r="O5" s="29" t="str">
        <f>IF(LibraryDataEntry!H5="","",LibraryDataEntry!H5)</f>
        <v/>
      </c>
      <c r="P5" s="29" t="str">
        <f>IF(LibraryDataEntry!J5="nM",LibraryDataEntry!I5,"")</f>
        <v/>
      </c>
      <c r="Q5" s="29" t="str">
        <f>IF(LibraryDataEntry!J5="ng/ul",LibraryDataEntry!I5,"")</f>
        <v/>
      </c>
      <c r="W5" s="29" t="str">
        <f>IF(LibraryDataEntry!F5="","",LibraryDataEntry!F5)</f>
        <v/>
      </c>
      <c r="X5" s="29" t="str">
        <f>IF(LibraryDataEntry!G5="","",LibraryDataEntry!G5)</f>
        <v/>
      </c>
      <c r="Z5" s="29" t="str">
        <f>IF(LibraryDataEntry!L5="","",LibraryDataEntry!L5)</f>
        <v/>
      </c>
      <c r="AA5" s="29" t="str">
        <f>IF(LibraryDataEntry!J5="","",LibraryDataEntry!J5)</f>
        <v/>
      </c>
      <c r="AB5" s="29" t="str">
        <f>IF(LibraryDataEntry!M5="","",LibraryDataEntry!M5)</f>
        <v/>
      </c>
      <c r="AD5" s="29" t="str">
        <f>IF(LibraryDataEntry!B5="","",CONCATENATE(RIGHT(LibraryDataEntry!B5,4),"HS"))</f>
        <v/>
      </c>
      <c r="AG5" s="29" t="str">
        <f>IF(LibraryDataEntry!A5="","",LibraryDataEntry!A5)</f>
        <v/>
      </c>
      <c r="AM5" s="30"/>
    </row>
    <row r="6" spans="1:39" s="29" customFormat="1" x14ac:dyDescent="0.5">
      <c r="A6" s="28" t="str">
        <f>IF(LibraryDataEntry!C6="","",LibraryDataEntry!C6)</f>
        <v/>
      </c>
      <c r="B6" s="29" t="str">
        <f>IF(LibraryDataEntry!F6="","",CONCATENATE(LibraryDataEntry!F6,"-",LibraryDataEntry!G6))</f>
        <v/>
      </c>
      <c r="I6" s="29" t="str">
        <f>IF(LibraryDataEntry!N6="","",LibraryDataEntry!N6)</f>
        <v/>
      </c>
      <c r="J6" s="29" t="str">
        <f>IF(LibraryDataEntry!E6="","",LibraryDataEntry!E6)</f>
        <v/>
      </c>
      <c r="O6" s="29" t="str">
        <f>IF(LibraryDataEntry!H6="","",LibraryDataEntry!H6)</f>
        <v/>
      </c>
      <c r="P6" s="29" t="str">
        <f>IF(LibraryDataEntry!J6="nM",LibraryDataEntry!I6,"")</f>
        <v/>
      </c>
      <c r="Q6" s="29" t="str">
        <f>IF(LibraryDataEntry!J6="ng/ul",LibraryDataEntry!I6,"")</f>
        <v/>
      </c>
      <c r="W6" s="29" t="str">
        <f>IF(LibraryDataEntry!F6="","",LibraryDataEntry!F6)</f>
        <v/>
      </c>
      <c r="X6" s="29" t="str">
        <f>IF(LibraryDataEntry!G6="","",LibraryDataEntry!G6)</f>
        <v/>
      </c>
      <c r="Z6" s="29" t="str">
        <f>IF(LibraryDataEntry!L6="","",LibraryDataEntry!L6)</f>
        <v/>
      </c>
      <c r="AA6" s="29" t="str">
        <f>IF(LibraryDataEntry!J6="","",LibraryDataEntry!J6)</f>
        <v/>
      </c>
      <c r="AB6" s="29" t="str">
        <f>IF(LibraryDataEntry!M6="","",LibraryDataEntry!M6)</f>
        <v/>
      </c>
      <c r="AD6" s="29" t="str">
        <f>IF(LibraryDataEntry!B6="","",CONCATENATE(RIGHT(LibraryDataEntry!B6,4),"HS"))</f>
        <v/>
      </c>
      <c r="AG6" s="29" t="str">
        <f>IF(LibraryDataEntry!A6="","",LibraryDataEntry!A6)</f>
        <v/>
      </c>
      <c r="AM6" s="30"/>
    </row>
    <row r="7" spans="1:39" s="29" customFormat="1" x14ac:dyDescent="0.5">
      <c r="A7" s="28" t="str">
        <f>IF(LibraryDataEntry!C7="","",LibraryDataEntry!C7)</f>
        <v/>
      </c>
      <c r="B7" s="29" t="str">
        <f>IF(LibraryDataEntry!F7="","",CONCATENATE(LibraryDataEntry!F7,"-",LibraryDataEntry!G7))</f>
        <v/>
      </c>
      <c r="I7" s="29" t="str">
        <f>IF(LibraryDataEntry!N7="","",LibraryDataEntry!N7)</f>
        <v/>
      </c>
      <c r="J7" s="29" t="str">
        <f>IF(LibraryDataEntry!E7="","",LibraryDataEntry!E7)</f>
        <v/>
      </c>
      <c r="O7" s="29" t="str">
        <f>IF(LibraryDataEntry!H7="","",LibraryDataEntry!H7)</f>
        <v/>
      </c>
      <c r="P7" s="29" t="str">
        <f>IF(LibraryDataEntry!J7="nM",LibraryDataEntry!I7,"")</f>
        <v/>
      </c>
      <c r="Q7" s="29" t="str">
        <f>IF(LibraryDataEntry!J7="ng/ul",LibraryDataEntry!I7,"")</f>
        <v/>
      </c>
      <c r="W7" s="29" t="str">
        <f>IF(LibraryDataEntry!F7="","",LibraryDataEntry!F7)</f>
        <v/>
      </c>
      <c r="X7" s="29" t="str">
        <f>IF(LibraryDataEntry!G7="","",LibraryDataEntry!G7)</f>
        <v/>
      </c>
      <c r="Z7" s="29" t="str">
        <f>IF(LibraryDataEntry!L7="","",LibraryDataEntry!L7)</f>
        <v/>
      </c>
      <c r="AA7" s="29" t="str">
        <f>IF(LibraryDataEntry!J7="","",LibraryDataEntry!J7)</f>
        <v/>
      </c>
      <c r="AB7" s="29" t="str">
        <f>IF(LibraryDataEntry!M7="","",LibraryDataEntry!M7)</f>
        <v/>
      </c>
      <c r="AD7" s="29" t="str">
        <f>IF(LibraryDataEntry!B7="","",CONCATENATE(RIGHT(LibraryDataEntry!B7,4),"HS"))</f>
        <v/>
      </c>
      <c r="AG7" s="29" t="str">
        <f>IF(LibraryDataEntry!A7="","",LibraryDataEntry!A7)</f>
        <v/>
      </c>
      <c r="AM7" s="30"/>
    </row>
    <row r="8" spans="1:39" s="29" customFormat="1" x14ac:dyDescent="0.5">
      <c r="A8" s="28" t="str">
        <f>IF(LibraryDataEntry!C8="","",LibraryDataEntry!C8)</f>
        <v/>
      </c>
      <c r="B8" s="29" t="str">
        <f>IF(LibraryDataEntry!F8="","",CONCATENATE(LibraryDataEntry!F8,"-",LibraryDataEntry!G8))</f>
        <v/>
      </c>
      <c r="I8" s="29" t="str">
        <f>IF(LibraryDataEntry!N8="","",LibraryDataEntry!N8)</f>
        <v/>
      </c>
      <c r="J8" s="29" t="str">
        <f>IF(LibraryDataEntry!E8="","",LibraryDataEntry!E8)</f>
        <v/>
      </c>
      <c r="O8" s="29" t="str">
        <f>IF(LibraryDataEntry!H8="","",LibraryDataEntry!H8)</f>
        <v/>
      </c>
      <c r="P8" s="29" t="str">
        <f>IF(LibraryDataEntry!J8="nM",LibraryDataEntry!I8,"")</f>
        <v/>
      </c>
      <c r="Q8" s="29" t="str">
        <f>IF(LibraryDataEntry!J8="ng/ul",LibraryDataEntry!I8,"")</f>
        <v/>
      </c>
      <c r="W8" s="29" t="str">
        <f>IF(LibraryDataEntry!F8="","",LibraryDataEntry!F8)</f>
        <v/>
      </c>
      <c r="X8" s="29" t="str">
        <f>IF(LibraryDataEntry!G8="","",LibraryDataEntry!G8)</f>
        <v/>
      </c>
      <c r="Z8" s="29" t="str">
        <f>IF(LibraryDataEntry!L8="","",LibraryDataEntry!L8)</f>
        <v/>
      </c>
      <c r="AA8" s="29" t="str">
        <f>IF(LibraryDataEntry!J8="","",LibraryDataEntry!J8)</f>
        <v/>
      </c>
      <c r="AB8" s="29" t="str">
        <f>IF(LibraryDataEntry!M8="","",LibraryDataEntry!M8)</f>
        <v/>
      </c>
      <c r="AD8" s="29" t="str">
        <f>IF(LibraryDataEntry!B8="","",CONCATENATE(RIGHT(LibraryDataEntry!B8,4),"HS"))</f>
        <v/>
      </c>
      <c r="AG8" s="29" t="str">
        <f>IF(LibraryDataEntry!A8="","",LibraryDataEntry!A8)</f>
        <v/>
      </c>
      <c r="AM8" s="30"/>
    </row>
    <row r="9" spans="1:39" s="29" customFormat="1" x14ac:dyDescent="0.5">
      <c r="A9" s="28" t="str">
        <f>IF(LibraryDataEntry!C9="","",LibraryDataEntry!C9)</f>
        <v/>
      </c>
      <c r="B9" s="29" t="str">
        <f>IF(LibraryDataEntry!F9="","",CONCATENATE(LibraryDataEntry!F9,"-",LibraryDataEntry!G9))</f>
        <v/>
      </c>
      <c r="I9" s="29" t="str">
        <f>IF(LibraryDataEntry!N9="","",LibraryDataEntry!N9)</f>
        <v/>
      </c>
      <c r="J9" s="29" t="str">
        <f>IF(LibraryDataEntry!E9="","",LibraryDataEntry!E9)</f>
        <v/>
      </c>
      <c r="O9" s="29" t="str">
        <f>IF(LibraryDataEntry!H9="","",LibraryDataEntry!H9)</f>
        <v/>
      </c>
      <c r="P9" s="29" t="str">
        <f>IF(LibraryDataEntry!J9="nM",LibraryDataEntry!I9,"")</f>
        <v/>
      </c>
      <c r="Q9" s="29" t="str">
        <f>IF(LibraryDataEntry!J9="ng/ul",LibraryDataEntry!I9,"")</f>
        <v/>
      </c>
      <c r="W9" s="29" t="str">
        <f>IF(LibraryDataEntry!F9="","",LibraryDataEntry!F9)</f>
        <v/>
      </c>
      <c r="X9" s="29" t="str">
        <f>IF(LibraryDataEntry!G9="","",LibraryDataEntry!G9)</f>
        <v/>
      </c>
      <c r="Z9" s="29" t="str">
        <f>IF(LibraryDataEntry!L9="","",LibraryDataEntry!L9)</f>
        <v/>
      </c>
      <c r="AA9" s="29" t="str">
        <f>IF(LibraryDataEntry!J9="","",LibraryDataEntry!J9)</f>
        <v/>
      </c>
      <c r="AB9" s="29" t="str">
        <f>IF(LibraryDataEntry!M9="","",LibraryDataEntry!M9)</f>
        <v/>
      </c>
      <c r="AD9" s="29" t="str">
        <f>IF(LibraryDataEntry!B9="","",CONCATENATE(RIGHT(LibraryDataEntry!B9,4),"HS"))</f>
        <v/>
      </c>
      <c r="AG9" s="29" t="str">
        <f>IF(LibraryDataEntry!A9="","",LibraryDataEntry!A9)</f>
        <v/>
      </c>
      <c r="AM9" s="30"/>
    </row>
    <row r="10" spans="1:39" s="29" customFormat="1" x14ac:dyDescent="0.5">
      <c r="A10" s="28" t="str">
        <f>IF(LibraryDataEntry!C10="","",LibraryDataEntry!C10)</f>
        <v/>
      </c>
      <c r="B10" s="29" t="str">
        <f>IF(LibraryDataEntry!F10="","",CONCATENATE(LibraryDataEntry!F10,"-",LibraryDataEntry!G10))</f>
        <v/>
      </c>
      <c r="I10" s="29" t="str">
        <f>IF(LibraryDataEntry!N10="","",LibraryDataEntry!N10)</f>
        <v/>
      </c>
      <c r="J10" s="29" t="str">
        <f>IF(LibraryDataEntry!E10="","",LibraryDataEntry!E10)</f>
        <v/>
      </c>
      <c r="O10" s="29" t="str">
        <f>IF(LibraryDataEntry!H10="","",LibraryDataEntry!H10)</f>
        <v/>
      </c>
      <c r="P10" s="29" t="str">
        <f>IF(LibraryDataEntry!J10="nM",LibraryDataEntry!I10,"")</f>
        <v/>
      </c>
      <c r="Q10" s="29" t="str">
        <f>IF(LibraryDataEntry!J10="ng/ul",LibraryDataEntry!I10,"")</f>
        <v/>
      </c>
      <c r="W10" s="29" t="str">
        <f>IF(LibraryDataEntry!F10="","",LibraryDataEntry!F10)</f>
        <v/>
      </c>
      <c r="X10" s="29" t="str">
        <f>IF(LibraryDataEntry!G10="","",LibraryDataEntry!G10)</f>
        <v/>
      </c>
      <c r="Z10" s="29" t="str">
        <f>IF(LibraryDataEntry!L10="","",LibraryDataEntry!L10)</f>
        <v/>
      </c>
      <c r="AA10" s="29" t="str">
        <f>IF(LibraryDataEntry!J10="","",LibraryDataEntry!J10)</f>
        <v/>
      </c>
      <c r="AB10" s="29" t="str">
        <f>IF(LibraryDataEntry!M10="","",LibraryDataEntry!M10)</f>
        <v/>
      </c>
      <c r="AD10" s="29" t="str">
        <f>IF(LibraryDataEntry!B10="","",CONCATENATE(RIGHT(LibraryDataEntry!B10,4),"HS"))</f>
        <v/>
      </c>
      <c r="AG10" s="29" t="str">
        <f>IF(LibraryDataEntry!A10="","",LibraryDataEntry!A10)</f>
        <v/>
      </c>
      <c r="AM10" s="30"/>
    </row>
    <row r="11" spans="1:39" s="29" customFormat="1" x14ac:dyDescent="0.5">
      <c r="A11" s="28" t="str">
        <f>IF(LibraryDataEntry!C11="","",LibraryDataEntry!C11)</f>
        <v/>
      </c>
      <c r="B11" s="29" t="str">
        <f>IF(LibraryDataEntry!F11="","",CONCATENATE(LibraryDataEntry!F11,"-",LibraryDataEntry!G11))</f>
        <v/>
      </c>
      <c r="I11" s="29" t="str">
        <f>IF(LibraryDataEntry!N11="","",LibraryDataEntry!N11)</f>
        <v/>
      </c>
      <c r="J11" s="29" t="str">
        <f>IF(LibraryDataEntry!E11="","",LibraryDataEntry!E11)</f>
        <v/>
      </c>
      <c r="O11" s="29" t="str">
        <f>IF(LibraryDataEntry!H11="","",LibraryDataEntry!H11)</f>
        <v/>
      </c>
      <c r="P11" s="29" t="str">
        <f>IF(LibraryDataEntry!J11="nM",LibraryDataEntry!I11,"")</f>
        <v/>
      </c>
      <c r="Q11" s="29" t="str">
        <f>IF(LibraryDataEntry!J11="ng/ul",LibraryDataEntry!I11,"")</f>
        <v/>
      </c>
      <c r="W11" s="29" t="str">
        <f>IF(LibraryDataEntry!F11="","",LibraryDataEntry!F11)</f>
        <v/>
      </c>
      <c r="X11" s="29" t="str">
        <f>IF(LibraryDataEntry!G11="","",LibraryDataEntry!G11)</f>
        <v/>
      </c>
      <c r="Z11" s="29" t="str">
        <f>IF(LibraryDataEntry!L11="","",LibraryDataEntry!L11)</f>
        <v/>
      </c>
      <c r="AA11" s="29" t="str">
        <f>IF(LibraryDataEntry!J11="","",LibraryDataEntry!J11)</f>
        <v/>
      </c>
      <c r="AB11" s="29" t="str">
        <f>IF(LibraryDataEntry!M11="","",LibraryDataEntry!M11)</f>
        <v/>
      </c>
      <c r="AD11" s="29" t="str">
        <f>IF(LibraryDataEntry!B11="","",CONCATENATE(RIGHT(LibraryDataEntry!B11,4),"HS"))</f>
        <v/>
      </c>
      <c r="AG11" s="29" t="str">
        <f>IF(LibraryDataEntry!A11="","",LibraryDataEntry!A11)</f>
        <v/>
      </c>
      <c r="AM11" s="30"/>
    </row>
    <row r="12" spans="1:39" s="29" customFormat="1" x14ac:dyDescent="0.5">
      <c r="A12" s="28" t="str">
        <f>IF(LibraryDataEntry!C12="","",LibraryDataEntry!C12)</f>
        <v/>
      </c>
      <c r="B12" s="29" t="str">
        <f>IF(LibraryDataEntry!F12="","",CONCATENATE(LibraryDataEntry!F12,"-",LibraryDataEntry!G12))</f>
        <v/>
      </c>
      <c r="I12" s="29" t="str">
        <f>IF(LibraryDataEntry!N12="","",LibraryDataEntry!N12)</f>
        <v/>
      </c>
      <c r="J12" s="29" t="str">
        <f>IF(LibraryDataEntry!E12="","",LibraryDataEntry!E12)</f>
        <v/>
      </c>
      <c r="O12" s="29" t="str">
        <f>IF(LibraryDataEntry!H12="","",LibraryDataEntry!H12)</f>
        <v/>
      </c>
      <c r="P12" s="29" t="str">
        <f>IF(LibraryDataEntry!J12="nM",LibraryDataEntry!I12,"")</f>
        <v/>
      </c>
      <c r="Q12" s="29" t="str">
        <f>IF(LibraryDataEntry!J12="ng/ul",LibraryDataEntry!I12,"")</f>
        <v/>
      </c>
      <c r="W12" s="29" t="str">
        <f>IF(LibraryDataEntry!F12="","",LibraryDataEntry!F12)</f>
        <v/>
      </c>
      <c r="X12" s="29" t="str">
        <f>IF(LibraryDataEntry!G12="","",LibraryDataEntry!G12)</f>
        <v/>
      </c>
      <c r="Z12" s="29" t="str">
        <f>IF(LibraryDataEntry!L12="","",LibraryDataEntry!L12)</f>
        <v/>
      </c>
      <c r="AA12" s="29" t="str">
        <f>IF(LibraryDataEntry!J12="","",LibraryDataEntry!J12)</f>
        <v/>
      </c>
      <c r="AB12" s="29" t="str">
        <f>IF(LibraryDataEntry!M12="","",LibraryDataEntry!M12)</f>
        <v/>
      </c>
      <c r="AD12" s="29" t="str">
        <f>IF(LibraryDataEntry!B12="","",CONCATENATE(RIGHT(LibraryDataEntry!B12,4),"HS"))</f>
        <v/>
      </c>
      <c r="AG12" s="29" t="str">
        <f>IF(LibraryDataEntry!A12="","",LibraryDataEntry!A12)</f>
        <v/>
      </c>
      <c r="AM12" s="30"/>
    </row>
    <row r="13" spans="1:39" s="29" customFormat="1" x14ac:dyDescent="0.5">
      <c r="A13" s="28" t="str">
        <f>IF(LibraryDataEntry!C13="","",LibraryDataEntry!C13)</f>
        <v/>
      </c>
      <c r="B13" s="29" t="str">
        <f>IF(LibraryDataEntry!F13="","",CONCATENATE(LibraryDataEntry!F13,"-",LibraryDataEntry!G13))</f>
        <v/>
      </c>
      <c r="I13" s="29" t="str">
        <f>IF(LibraryDataEntry!N13="","",LibraryDataEntry!N13)</f>
        <v/>
      </c>
      <c r="J13" s="29" t="str">
        <f>IF(LibraryDataEntry!E13="","",LibraryDataEntry!E13)</f>
        <v/>
      </c>
      <c r="O13" s="29" t="str">
        <f>IF(LibraryDataEntry!H13="","",LibraryDataEntry!H13)</f>
        <v/>
      </c>
      <c r="P13" s="29" t="str">
        <f>IF(LibraryDataEntry!J13="nM",LibraryDataEntry!I13,"")</f>
        <v/>
      </c>
      <c r="Q13" s="29" t="str">
        <f>IF(LibraryDataEntry!J13="ng/ul",LibraryDataEntry!I13,"")</f>
        <v/>
      </c>
      <c r="W13" s="29" t="str">
        <f>IF(LibraryDataEntry!F13="","",LibraryDataEntry!F13)</f>
        <v/>
      </c>
      <c r="X13" s="29" t="str">
        <f>IF(LibraryDataEntry!G13="","",LibraryDataEntry!G13)</f>
        <v/>
      </c>
      <c r="Z13" s="29" t="str">
        <f>IF(LibraryDataEntry!L13="","",LibraryDataEntry!L13)</f>
        <v/>
      </c>
      <c r="AA13" s="29" t="str">
        <f>IF(LibraryDataEntry!J13="","",LibraryDataEntry!J13)</f>
        <v/>
      </c>
      <c r="AB13" s="29" t="str">
        <f>IF(LibraryDataEntry!M13="","",LibraryDataEntry!M13)</f>
        <v/>
      </c>
      <c r="AD13" s="29" t="str">
        <f>IF(LibraryDataEntry!B13="","",CONCATENATE(RIGHT(LibraryDataEntry!B13,4),"HS"))</f>
        <v/>
      </c>
      <c r="AG13" s="29" t="str">
        <f>IF(LibraryDataEntry!A13="","",LibraryDataEntry!A13)</f>
        <v/>
      </c>
      <c r="AM13" s="30"/>
    </row>
    <row r="14" spans="1:39" s="29" customFormat="1" x14ac:dyDescent="0.5">
      <c r="A14" s="28" t="str">
        <f>IF(LibraryDataEntry!C14="","",LibraryDataEntry!C14)</f>
        <v/>
      </c>
      <c r="B14" s="29" t="str">
        <f>IF(LibraryDataEntry!F14="","",CONCATENATE(LibraryDataEntry!F14,"-",LibraryDataEntry!G14))</f>
        <v/>
      </c>
      <c r="I14" s="29" t="str">
        <f>IF(LibraryDataEntry!N14="","",LibraryDataEntry!N14)</f>
        <v/>
      </c>
      <c r="J14" s="29" t="str">
        <f>IF(LibraryDataEntry!E14="","",LibraryDataEntry!E14)</f>
        <v/>
      </c>
      <c r="O14" s="29" t="str">
        <f>IF(LibraryDataEntry!H14="","",LibraryDataEntry!H14)</f>
        <v/>
      </c>
      <c r="P14" s="29" t="str">
        <f>IF(LibraryDataEntry!J14="nM",LibraryDataEntry!I14,"")</f>
        <v/>
      </c>
      <c r="Q14" s="29" t="str">
        <f>IF(LibraryDataEntry!J14="ng/ul",LibraryDataEntry!I14,"")</f>
        <v/>
      </c>
      <c r="W14" s="29" t="str">
        <f>IF(LibraryDataEntry!F14="","",LibraryDataEntry!F14)</f>
        <v/>
      </c>
      <c r="X14" s="29" t="str">
        <f>IF(LibraryDataEntry!G14="","",LibraryDataEntry!G14)</f>
        <v/>
      </c>
      <c r="Z14" s="29" t="str">
        <f>IF(LibraryDataEntry!L14="","",LibraryDataEntry!L14)</f>
        <v/>
      </c>
      <c r="AA14" s="29" t="str">
        <f>IF(LibraryDataEntry!J14="","",LibraryDataEntry!J14)</f>
        <v/>
      </c>
      <c r="AB14" s="29" t="str">
        <f>IF(LibraryDataEntry!M14="","",LibraryDataEntry!M14)</f>
        <v/>
      </c>
      <c r="AC14" s="31"/>
      <c r="AD14" s="29" t="str">
        <f>IF(LibraryDataEntry!B14="","",CONCATENATE(RIGHT(LibraryDataEntry!B14,4),"HS"))</f>
        <v/>
      </c>
      <c r="AG14" s="29" t="str">
        <f>IF(LibraryDataEntry!A14="","",LibraryDataEntry!A14)</f>
        <v/>
      </c>
      <c r="AJ14" s="31"/>
      <c r="AM14" s="30"/>
    </row>
    <row r="15" spans="1:39" s="29" customFormat="1" x14ac:dyDescent="0.5">
      <c r="A15" s="28" t="str">
        <f>IF(LibraryDataEntry!C15="","",LibraryDataEntry!C15)</f>
        <v/>
      </c>
      <c r="B15" s="29" t="str">
        <f>IF(LibraryDataEntry!F15="","",CONCATENATE(LibraryDataEntry!F15,"-",LibraryDataEntry!G15))</f>
        <v/>
      </c>
      <c r="I15" s="29" t="str">
        <f>IF(LibraryDataEntry!N15="","",LibraryDataEntry!N15)</f>
        <v/>
      </c>
      <c r="J15" s="29" t="str">
        <f>IF(LibraryDataEntry!E15="","",LibraryDataEntry!E15)</f>
        <v/>
      </c>
      <c r="O15" s="29" t="str">
        <f>IF(LibraryDataEntry!H15="","",LibraryDataEntry!H15)</f>
        <v/>
      </c>
      <c r="P15" s="29" t="str">
        <f>IF(LibraryDataEntry!J15="nM",LibraryDataEntry!I15,"")</f>
        <v/>
      </c>
      <c r="Q15" s="29" t="str">
        <f>IF(LibraryDataEntry!J15="ng/ul",LibraryDataEntry!I15,"")</f>
        <v/>
      </c>
      <c r="W15" s="29" t="str">
        <f>IF(LibraryDataEntry!F15="","",LibraryDataEntry!F15)</f>
        <v/>
      </c>
      <c r="X15" s="29" t="str">
        <f>IF(LibraryDataEntry!G15="","",LibraryDataEntry!G15)</f>
        <v/>
      </c>
      <c r="Z15" s="29" t="str">
        <f>IF(LibraryDataEntry!L15="","",LibraryDataEntry!L15)</f>
        <v/>
      </c>
      <c r="AA15" s="29" t="str">
        <f>IF(LibraryDataEntry!J15="","",LibraryDataEntry!J15)</f>
        <v/>
      </c>
      <c r="AB15" s="29" t="str">
        <f>IF(LibraryDataEntry!M15="","",LibraryDataEntry!M15)</f>
        <v/>
      </c>
      <c r="AC15" s="31"/>
      <c r="AD15" s="29" t="str">
        <f>IF(LibraryDataEntry!B15="","",CONCATENATE(RIGHT(LibraryDataEntry!B15,4),"HS"))</f>
        <v/>
      </c>
      <c r="AG15" s="29" t="str">
        <f>IF(LibraryDataEntry!A15="","",LibraryDataEntry!A15)</f>
        <v/>
      </c>
      <c r="AJ15" s="31"/>
      <c r="AM15" s="30"/>
    </row>
    <row r="16" spans="1:39" s="29" customFormat="1" x14ac:dyDescent="0.5">
      <c r="A16" s="28" t="str">
        <f>IF(LibraryDataEntry!C16="","",LibraryDataEntry!C16)</f>
        <v/>
      </c>
      <c r="B16" s="29" t="str">
        <f>IF(LibraryDataEntry!F16="","",CONCATENATE(LibraryDataEntry!F16,"-",LibraryDataEntry!G16))</f>
        <v/>
      </c>
      <c r="I16" s="29" t="str">
        <f>IF(LibraryDataEntry!N16="","",LibraryDataEntry!N16)</f>
        <v/>
      </c>
      <c r="J16" s="29" t="str">
        <f>IF(LibraryDataEntry!E16="","",LibraryDataEntry!E16)</f>
        <v/>
      </c>
      <c r="O16" s="29" t="str">
        <f>IF(LibraryDataEntry!H16="","",LibraryDataEntry!H16)</f>
        <v/>
      </c>
      <c r="P16" s="29" t="str">
        <f>IF(LibraryDataEntry!J16="nM",LibraryDataEntry!I16,"")</f>
        <v/>
      </c>
      <c r="Q16" s="29" t="str">
        <f>IF(LibraryDataEntry!J16="ng/ul",LibraryDataEntry!I16,"")</f>
        <v/>
      </c>
      <c r="W16" s="29" t="str">
        <f>IF(LibraryDataEntry!F16="","",LibraryDataEntry!F16)</f>
        <v/>
      </c>
      <c r="X16" s="29" t="str">
        <f>IF(LibraryDataEntry!G16="","",LibraryDataEntry!G16)</f>
        <v/>
      </c>
      <c r="Z16" s="29" t="str">
        <f>IF(LibraryDataEntry!L16="","",LibraryDataEntry!L16)</f>
        <v/>
      </c>
      <c r="AA16" s="29" t="str">
        <f>IF(LibraryDataEntry!J16="","",LibraryDataEntry!J16)</f>
        <v/>
      </c>
      <c r="AB16" s="29" t="str">
        <f>IF(LibraryDataEntry!M16="","",LibraryDataEntry!M16)</f>
        <v/>
      </c>
      <c r="AC16" s="31"/>
      <c r="AD16" s="29" t="str">
        <f>IF(LibraryDataEntry!B16="","",CONCATENATE(RIGHT(LibraryDataEntry!B16,4),"HS"))</f>
        <v/>
      </c>
      <c r="AG16" s="29" t="str">
        <f>IF(LibraryDataEntry!A16="","",LibraryDataEntry!A16)</f>
        <v/>
      </c>
      <c r="AJ16" s="31"/>
      <c r="AM16" s="30"/>
    </row>
    <row r="17" spans="1:39" s="29" customFormat="1" x14ac:dyDescent="0.5">
      <c r="A17" s="28" t="str">
        <f>IF(LibraryDataEntry!C17="","",LibraryDataEntry!C17)</f>
        <v/>
      </c>
      <c r="B17" s="29" t="str">
        <f>IF(LibraryDataEntry!F17="","",CONCATENATE(LibraryDataEntry!F17,"-",LibraryDataEntry!G17))</f>
        <v/>
      </c>
      <c r="I17" s="29" t="str">
        <f>IF(LibraryDataEntry!N17="","",LibraryDataEntry!N17)</f>
        <v/>
      </c>
      <c r="J17" s="29" t="str">
        <f>IF(LibraryDataEntry!E17="","",LibraryDataEntry!E17)</f>
        <v/>
      </c>
      <c r="O17" s="29" t="str">
        <f>IF(LibraryDataEntry!H17="","",LibraryDataEntry!H17)</f>
        <v/>
      </c>
      <c r="P17" s="29" t="str">
        <f>IF(LibraryDataEntry!J17="nM",LibraryDataEntry!I17,"")</f>
        <v/>
      </c>
      <c r="Q17" s="29" t="str">
        <f>IF(LibraryDataEntry!J17="ng/ul",LibraryDataEntry!I17,"")</f>
        <v/>
      </c>
      <c r="W17" s="29" t="str">
        <f>IF(LibraryDataEntry!F17="","",LibraryDataEntry!F17)</f>
        <v/>
      </c>
      <c r="X17" s="29" t="str">
        <f>IF(LibraryDataEntry!G17="","",LibraryDataEntry!G17)</f>
        <v/>
      </c>
      <c r="Z17" s="29" t="str">
        <f>IF(LibraryDataEntry!L17="","",LibraryDataEntry!L17)</f>
        <v/>
      </c>
      <c r="AA17" s="29" t="str">
        <f>IF(LibraryDataEntry!J17="","",LibraryDataEntry!J17)</f>
        <v/>
      </c>
      <c r="AB17" s="29" t="str">
        <f>IF(LibraryDataEntry!M17="","",LibraryDataEntry!M17)</f>
        <v/>
      </c>
      <c r="AC17" s="31"/>
      <c r="AD17" s="29" t="str">
        <f>IF(LibraryDataEntry!B17="","",CONCATENATE(RIGHT(LibraryDataEntry!B17,4),"HS"))</f>
        <v/>
      </c>
      <c r="AG17" s="29" t="str">
        <f>IF(LibraryDataEntry!A17="","",LibraryDataEntry!A17)</f>
        <v/>
      </c>
      <c r="AJ17" s="31"/>
      <c r="AM17" s="30"/>
    </row>
    <row r="18" spans="1:39" s="29" customFormat="1" x14ac:dyDescent="0.5">
      <c r="A18" s="28" t="str">
        <f>IF(LibraryDataEntry!C18="","",LibraryDataEntry!C18)</f>
        <v/>
      </c>
      <c r="B18" s="29" t="str">
        <f>IF(LibraryDataEntry!F18="","",CONCATENATE(LibraryDataEntry!F18,"-",LibraryDataEntry!G18))</f>
        <v/>
      </c>
      <c r="I18" s="29" t="str">
        <f>IF(LibraryDataEntry!N18="","",LibraryDataEntry!N18)</f>
        <v/>
      </c>
      <c r="J18" s="29" t="str">
        <f>IF(LibraryDataEntry!E18="","",LibraryDataEntry!E18)</f>
        <v/>
      </c>
      <c r="O18" s="29" t="str">
        <f>IF(LibraryDataEntry!H18="","",LibraryDataEntry!H18)</f>
        <v/>
      </c>
      <c r="P18" s="29" t="str">
        <f>IF(LibraryDataEntry!J18="nM",LibraryDataEntry!I18,"")</f>
        <v/>
      </c>
      <c r="Q18" s="29" t="str">
        <f>IF(LibraryDataEntry!J18="ng/ul",LibraryDataEntry!I18,"")</f>
        <v/>
      </c>
      <c r="W18" s="29" t="str">
        <f>IF(LibraryDataEntry!F18="","",LibraryDataEntry!F18)</f>
        <v/>
      </c>
      <c r="X18" s="29" t="str">
        <f>IF(LibraryDataEntry!G18="","",LibraryDataEntry!G18)</f>
        <v/>
      </c>
      <c r="Z18" s="29" t="str">
        <f>IF(LibraryDataEntry!L18="","",LibraryDataEntry!L18)</f>
        <v/>
      </c>
      <c r="AA18" s="29" t="str">
        <f>IF(LibraryDataEntry!J18="","",LibraryDataEntry!J18)</f>
        <v/>
      </c>
      <c r="AB18" s="29" t="str">
        <f>IF(LibraryDataEntry!M18="","",LibraryDataEntry!M18)</f>
        <v/>
      </c>
      <c r="AC18" s="31"/>
      <c r="AD18" s="29" t="str">
        <f>IF(LibraryDataEntry!B18="","",CONCATENATE(RIGHT(LibraryDataEntry!B18,4),"HS"))</f>
        <v/>
      </c>
      <c r="AG18" s="29" t="str">
        <f>IF(LibraryDataEntry!A18="","",LibraryDataEntry!A18)</f>
        <v/>
      </c>
      <c r="AJ18" s="31"/>
      <c r="AM18" s="30"/>
    </row>
    <row r="19" spans="1:39" s="29" customFormat="1" x14ac:dyDescent="0.5">
      <c r="A19" s="28" t="str">
        <f>IF(LibraryDataEntry!C19="","",LibraryDataEntry!C19)</f>
        <v/>
      </c>
      <c r="B19" s="29" t="str">
        <f>IF(LibraryDataEntry!F19="","",CONCATENATE(LibraryDataEntry!F19,"-",LibraryDataEntry!G19))</f>
        <v/>
      </c>
      <c r="I19" s="29" t="str">
        <f>IF(LibraryDataEntry!N19="","",LibraryDataEntry!N19)</f>
        <v/>
      </c>
      <c r="J19" s="29" t="str">
        <f>IF(LibraryDataEntry!E19="","",LibraryDataEntry!E19)</f>
        <v/>
      </c>
      <c r="O19" s="29" t="str">
        <f>IF(LibraryDataEntry!H19="","",LibraryDataEntry!H19)</f>
        <v/>
      </c>
      <c r="P19" s="29" t="str">
        <f>IF(LibraryDataEntry!J19="nM",LibraryDataEntry!I19,"")</f>
        <v/>
      </c>
      <c r="Q19" s="29" t="str">
        <f>IF(LibraryDataEntry!J19="ng/ul",LibraryDataEntry!I19,"")</f>
        <v/>
      </c>
      <c r="W19" s="29" t="str">
        <f>IF(LibraryDataEntry!F19="","",LibraryDataEntry!F19)</f>
        <v/>
      </c>
      <c r="X19" s="29" t="str">
        <f>IF(LibraryDataEntry!G19="","",LibraryDataEntry!G19)</f>
        <v/>
      </c>
      <c r="Z19" s="29" t="str">
        <f>IF(LibraryDataEntry!L19="","",LibraryDataEntry!L19)</f>
        <v/>
      </c>
      <c r="AA19" s="29" t="str">
        <f>IF(LibraryDataEntry!J19="","",LibraryDataEntry!J19)</f>
        <v/>
      </c>
      <c r="AB19" s="29" t="str">
        <f>IF(LibraryDataEntry!M19="","",LibraryDataEntry!M19)</f>
        <v/>
      </c>
      <c r="AC19" s="31"/>
      <c r="AD19" s="29" t="str">
        <f>IF(LibraryDataEntry!B19="","",CONCATENATE(RIGHT(LibraryDataEntry!B19,4),"HS"))</f>
        <v/>
      </c>
      <c r="AG19" s="29" t="str">
        <f>IF(LibraryDataEntry!A19="","",LibraryDataEntry!A19)</f>
        <v/>
      </c>
      <c r="AJ19" s="31"/>
      <c r="AM19" s="30"/>
    </row>
    <row r="20" spans="1:39" s="29" customFormat="1" x14ac:dyDescent="0.5">
      <c r="A20" s="28" t="str">
        <f>IF(LibraryDataEntry!C20="","",LibraryDataEntry!C20)</f>
        <v/>
      </c>
      <c r="B20" s="29" t="str">
        <f>IF(LibraryDataEntry!F20="","",CONCATENATE(LibraryDataEntry!F20,"-",LibraryDataEntry!G20))</f>
        <v/>
      </c>
      <c r="I20" s="29" t="str">
        <f>IF(LibraryDataEntry!N20="","",LibraryDataEntry!N20)</f>
        <v/>
      </c>
      <c r="J20" s="29" t="str">
        <f>IF(LibraryDataEntry!E20="","",LibraryDataEntry!E20)</f>
        <v/>
      </c>
      <c r="O20" s="29" t="str">
        <f>IF(LibraryDataEntry!H20="","",LibraryDataEntry!H20)</f>
        <v/>
      </c>
      <c r="P20" s="29" t="str">
        <f>IF(LibraryDataEntry!J20="nM",LibraryDataEntry!I20,"")</f>
        <v/>
      </c>
      <c r="Q20" s="29" t="str">
        <f>IF(LibraryDataEntry!J20="ng/ul",LibraryDataEntry!I20,"")</f>
        <v/>
      </c>
      <c r="W20" s="29" t="str">
        <f>IF(LibraryDataEntry!F20="","",LibraryDataEntry!F20)</f>
        <v/>
      </c>
      <c r="X20" s="29" t="str">
        <f>IF(LibraryDataEntry!G20="","",LibraryDataEntry!G20)</f>
        <v/>
      </c>
      <c r="Z20" s="29" t="str">
        <f>IF(LibraryDataEntry!L20="","",LibraryDataEntry!L20)</f>
        <v/>
      </c>
      <c r="AA20" s="29" t="str">
        <f>IF(LibraryDataEntry!J20="","",LibraryDataEntry!J20)</f>
        <v/>
      </c>
      <c r="AB20" s="29" t="str">
        <f>IF(LibraryDataEntry!M20="","",LibraryDataEntry!M20)</f>
        <v/>
      </c>
      <c r="AC20" s="31"/>
      <c r="AD20" s="29" t="str">
        <f>IF(LibraryDataEntry!B20="","",CONCATENATE(RIGHT(LibraryDataEntry!B20,4),"HS"))</f>
        <v/>
      </c>
      <c r="AG20" s="29" t="str">
        <f>IF(LibraryDataEntry!A20="","",LibraryDataEntry!A20)</f>
        <v/>
      </c>
      <c r="AJ20" s="31"/>
      <c r="AM20" s="30"/>
    </row>
    <row r="21" spans="1:39" s="29" customFormat="1" x14ac:dyDescent="0.5">
      <c r="A21" s="28" t="str">
        <f>IF(LibraryDataEntry!C21="","",LibraryDataEntry!C21)</f>
        <v/>
      </c>
      <c r="B21" s="29" t="str">
        <f>IF(LibraryDataEntry!F21="","",CONCATENATE(LibraryDataEntry!F21,"-",LibraryDataEntry!G21))</f>
        <v/>
      </c>
      <c r="I21" s="29" t="str">
        <f>IF(LibraryDataEntry!N21="","",LibraryDataEntry!N21)</f>
        <v/>
      </c>
      <c r="J21" s="29" t="str">
        <f>IF(LibraryDataEntry!E21="","",LibraryDataEntry!E21)</f>
        <v/>
      </c>
      <c r="O21" s="29" t="str">
        <f>IF(LibraryDataEntry!H21="","",LibraryDataEntry!H21)</f>
        <v/>
      </c>
      <c r="P21" s="29" t="str">
        <f>IF(LibraryDataEntry!J21="nM",LibraryDataEntry!I21,"")</f>
        <v/>
      </c>
      <c r="Q21" s="29" t="str">
        <f>IF(LibraryDataEntry!J21="ng/ul",LibraryDataEntry!I21,"")</f>
        <v/>
      </c>
      <c r="W21" s="29" t="str">
        <f>IF(LibraryDataEntry!F21="","",LibraryDataEntry!F21)</f>
        <v/>
      </c>
      <c r="X21" s="29" t="str">
        <f>IF(LibraryDataEntry!G21="","",LibraryDataEntry!G21)</f>
        <v/>
      </c>
      <c r="Z21" s="29" t="str">
        <f>IF(LibraryDataEntry!L21="","",LibraryDataEntry!L21)</f>
        <v/>
      </c>
      <c r="AA21" s="29" t="str">
        <f>IF(LibraryDataEntry!J21="","",LibraryDataEntry!J21)</f>
        <v/>
      </c>
      <c r="AB21" s="29" t="str">
        <f>IF(LibraryDataEntry!M21="","",LibraryDataEntry!M21)</f>
        <v/>
      </c>
      <c r="AC21" s="31"/>
      <c r="AD21" s="29" t="str">
        <f>IF(LibraryDataEntry!B21="","",CONCATENATE(RIGHT(LibraryDataEntry!B21,4),"HS"))</f>
        <v/>
      </c>
      <c r="AG21" s="29" t="str">
        <f>IF(LibraryDataEntry!A21="","",LibraryDataEntry!A21)</f>
        <v/>
      </c>
      <c r="AJ21" s="31"/>
      <c r="AM21" s="30"/>
    </row>
    <row r="22" spans="1:39" s="29" customFormat="1" x14ac:dyDescent="0.5">
      <c r="A22" s="28" t="str">
        <f>IF(LibraryDataEntry!C22="","",LibraryDataEntry!C22)</f>
        <v/>
      </c>
      <c r="B22" s="29" t="str">
        <f>IF(LibraryDataEntry!F22="","",CONCATENATE(LibraryDataEntry!F22,"-",LibraryDataEntry!G22))</f>
        <v/>
      </c>
      <c r="I22" s="29" t="str">
        <f>IF(LibraryDataEntry!N22="","",LibraryDataEntry!N22)</f>
        <v/>
      </c>
      <c r="J22" s="29" t="str">
        <f>IF(LibraryDataEntry!E22="","",LibraryDataEntry!E22)</f>
        <v/>
      </c>
      <c r="O22" s="29" t="str">
        <f>IF(LibraryDataEntry!H22="","",LibraryDataEntry!H22)</f>
        <v/>
      </c>
      <c r="P22" s="29" t="str">
        <f>IF(LibraryDataEntry!J22="nM",LibraryDataEntry!I22,"")</f>
        <v/>
      </c>
      <c r="Q22" s="29" t="str">
        <f>IF(LibraryDataEntry!J22="ng/ul",LibraryDataEntry!I22,"")</f>
        <v/>
      </c>
      <c r="W22" s="29" t="str">
        <f>IF(LibraryDataEntry!F22="","",LibraryDataEntry!F22)</f>
        <v/>
      </c>
      <c r="X22" s="29" t="str">
        <f>IF(LibraryDataEntry!G22="","",LibraryDataEntry!G22)</f>
        <v/>
      </c>
      <c r="Z22" s="29" t="str">
        <f>IF(LibraryDataEntry!L22="","",LibraryDataEntry!L22)</f>
        <v/>
      </c>
      <c r="AA22" s="29" t="str">
        <f>IF(LibraryDataEntry!J22="","",LibraryDataEntry!J22)</f>
        <v/>
      </c>
      <c r="AB22" s="29" t="str">
        <f>IF(LibraryDataEntry!M22="","",LibraryDataEntry!M22)</f>
        <v/>
      </c>
      <c r="AC22" s="31"/>
      <c r="AD22" s="29" t="str">
        <f>IF(LibraryDataEntry!B22="","",CONCATENATE(RIGHT(LibraryDataEntry!B22,4),"HS"))</f>
        <v/>
      </c>
      <c r="AG22" s="29" t="str">
        <f>IF(LibraryDataEntry!A22="","",LibraryDataEntry!A22)</f>
        <v/>
      </c>
      <c r="AJ22" s="31"/>
      <c r="AM22" s="30"/>
    </row>
    <row r="23" spans="1:39" s="29" customFormat="1" x14ac:dyDescent="0.5">
      <c r="A23" s="28" t="str">
        <f>IF(LibraryDataEntry!C23="","",LibraryDataEntry!C23)</f>
        <v/>
      </c>
      <c r="B23" s="29" t="str">
        <f>IF(LibraryDataEntry!F23="","",CONCATENATE(LibraryDataEntry!F23,"-",LibraryDataEntry!G23))</f>
        <v/>
      </c>
      <c r="I23" s="29" t="str">
        <f>IF(LibraryDataEntry!N23="","",LibraryDataEntry!N23)</f>
        <v/>
      </c>
      <c r="J23" s="29" t="str">
        <f>IF(LibraryDataEntry!E23="","",LibraryDataEntry!E23)</f>
        <v/>
      </c>
      <c r="O23" s="29" t="str">
        <f>IF(LibraryDataEntry!H23="","",LibraryDataEntry!H23)</f>
        <v/>
      </c>
      <c r="P23" s="29" t="str">
        <f>IF(LibraryDataEntry!J23="nM",LibraryDataEntry!I23,"")</f>
        <v/>
      </c>
      <c r="Q23" s="29" t="str">
        <f>IF(LibraryDataEntry!J23="ng/ul",LibraryDataEntry!I23,"")</f>
        <v/>
      </c>
      <c r="W23" s="29" t="str">
        <f>IF(LibraryDataEntry!F23="","",LibraryDataEntry!F23)</f>
        <v/>
      </c>
      <c r="X23" s="29" t="str">
        <f>IF(LibraryDataEntry!G23="","",LibraryDataEntry!G23)</f>
        <v/>
      </c>
      <c r="Z23" s="29" t="str">
        <f>IF(LibraryDataEntry!L23="","",LibraryDataEntry!L23)</f>
        <v/>
      </c>
      <c r="AA23" s="29" t="str">
        <f>IF(LibraryDataEntry!J23="","",LibraryDataEntry!J23)</f>
        <v/>
      </c>
      <c r="AB23" s="29" t="str">
        <f>IF(LibraryDataEntry!M23="","",LibraryDataEntry!M23)</f>
        <v/>
      </c>
      <c r="AC23" s="31"/>
      <c r="AD23" s="29" t="str">
        <f>IF(LibraryDataEntry!B23="","",CONCATENATE(RIGHT(LibraryDataEntry!B23,4),"HS"))</f>
        <v/>
      </c>
      <c r="AG23" s="29" t="str">
        <f>IF(LibraryDataEntry!A23="","",LibraryDataEntry!A23)</f>
        <v/>
      </c>
      <c r="AJ23" s="31"/>
      <c r="AM23" s="30"/>
    </row>
    <row r="24" spans="1:39" s="29" customFormat="1" x14ac:dyDescent="0.5">
      <c r="A24" s="28" t="str">
        <f>IF(LibraryDataEntry!C24="","",LibraryDataEntry!C24)</f>
        <v/>
      </c>
      <c r="B24" s="29" t="str">
        <f>IF(LibraryDataEntry!F24="","",CONCATENATE(LibraryDataEntry!F24,"-",LibraryDataEntry!G24))</f>
        <v/>
      </c>
      <c r="I24" s="29" t="str">
        <f>IF(LibraryDataEntry!N24="","",LibraryDataEntry!N24)</f>
        <v/>
      </c>
      <c r="J24" s="29" t="str">
        <f>IF(LibraryDataEntry!E24="","",LibraryDataEntry!E24)</f>
        <v/>
      </c>
      <c r="O24" s="29" t="str">
        <f>IF(LibraryDataEntry!H24="","",LibraryDataEntry!H24)</f>
        <v/>
      </c>
      <c r="P24" s="29" t="str">
        <f>IF(LibraryDataEntry!J24="nM",LibraryDataEntry!I24,"")</f>
        <v/>
      </c>
      <c r="Q24" s="29" t="str">
        <f>IF(LibraryDataEntry!J24="ng/ul",LibraryDataEntry!I24,"")</f>
        <v/>
      </c>
      <c r="W24" s="29" t="str">
        <f>IF(LibraryDataEntry!F24="","",LibraryDataEntry!F24)</f>
        <v/>
      </c>
      <c r="X24" s="29" t="str">
        <f>IF(LibraryDataEntry!G24="","",LibraryDataEntry!G24)</f>
        <v/>
      </c>
      <c r="Z24" s="29" t="str">
        <f>IF(LibraryDataEntry!L24="","",LibraryDataEntry!L24)</f>
        <v/>
      </c>
      <c r="AA24" s="29" t="str">
        <f>IF(LibraryDataEntry!J24="","",LibraryDataEntry!J24)</f>
        <v/>
      </c>
      <c r="AB24" s="29" t="str">
        <f>IF(LibraryDataEntry!M24="","",LibraryDataEntry!M24)</f>
        <v/>
      </c>
      <c r="AC24" s="31"/>
      <c r="AD24" s="29" t="str">
        <f>IF(LibraryDataEntry!B24="","",CONCATENATE(RIGHT(LibraryDataEntry!B24,4),"HS"))</f>
        <v/>
      </c>
      <c r="AG24" s="29" t="str">
        <f>IF(LibraryDataEntry!A24="","",LibraryDataEntry!A24)</f>
        <v/>
      </c>
      <c r="AJ24" s="31"/>
      <c r="AM24" s="30"/>
    </row>
    <row r="25" spans="1:39" s="29" customFormat="1" x14ac:dyDescent="0.5">
      <c r="A25" s="28" t="str">
        <f>IF(LibraryDataEntry!C25="","",LibraryDataEntry!C25)</f>
        <v/>
      </c>
      <c r="B25" s="29" t="str">
        <f>IF(LibraryDataEntry!F25="","",CONCATENATE(LibraryDataEntry!F25,"-",LibraryDataEntry!G25))</f>
        <v/>
      </c>
      <c r="I25" s="29" t="str">
        <f>IF(LibraryDataEntry!N25="","",LibraryDataEntry!N25)</f>
        <v/>
      </c>
      <c r="J25" s="29" t="str">
        <f>IF(LibraryDataEntry!E25="","",LibraryDataEntry!E25)</f>
        <v/>
      </c>
      <c r="O25" s="29" t="str">
        <f>IF(LibraryDataEntry!H25="","",LibraryDataEntry!H25)</f>
        <v/>
      </c>
      <c r="P25" s="29" t="str">
        <f>IF(LibraryDataEntry!J25="nM",LibraryDataEntry!I25,"")</f>
        <v/>
      </c>
      <c r="Q25" s="29" t="str">
        <f>IF(LibraryDataEntry!J25="ng/ul",LibraryDataEntry!I25,"")</f>
        <v/>
      </c>
      <c r="W25" s="29" t="str">
        <f>IF(LibraryDataEntry!F25="","",LibraryDataEntry!F25)</f>
        <v/>
      </c>
      <c r="X25" s="29" t="str">
        <f>IF(LibraryDataEntry!G25="","",LibraryDataEntry!G25)</f>
        <v/>
      </c>
      <c r="Z25" s="29" t="str">
        <f>IF(LibraryDataEntry!L25="","",LibraryDataEntry!L25)</f>
        <v/>
      </c>
      <c r="AA25" s="29" t="str">
        <f>IF(LibraryDataEntry!J25="","",LibraryDataEntry!J25)</f>
        <v/>
      </c>
      <c r="AB25" s="29" t="str">
        <f>IF(LibraryDataEntry!M25="","",LibraryDataEntry!M25)</f>
        <v/>
      </c>
      <c r="AC25" s="31"/>
      <c r="AD25" s="29" t="str">
        <f>IF(LibraryDataEntry!B25="","",CONCATENATE(RIGHT(LibraryDataEntry!B25,4),"HS"))</f>
        <v/>
      </c>
      <c r="AG25" s="29" t="str">
        <f>IF(LibraryDataEntry!A25="","",LibraryDataEntry!A25)</f>
        <v/>
      </c>
      <c r="AJ25" s="31"/>
      <c r="AM25" s="30"/>
    </row>
    <row r="26" spans="1:39" s="29" customFormat="1" x14ac:dyDescent="0.5">
      <c r="A26" s="28" t="str">
        <f>IF(LibraryDataEntry!C26="","",LibraryDataEntry!C26)</f>
        <v/>
      </c>
      <c r="B26" s="29" t="str">
        <f>IF(LibraryDataEntry!F26="","",CONCATENATE(LibraryDataEntry!F26,"-",LibraryDataEntry!G26))</f>
        <v/>
      </c>
      <c r="I26" s="29" t="str">
        <f>IF(LibraryDataEntry!N26="","",LibraryDataEntry!N26)</f>
        <v/>
      </c>
      <c r="J26" s="29" t="str">
        <f>IF(LibraryDataEntry!E26="","",LibraryDataEntry!E26)</f>
        <v/>
      </c>
      <c r="O26" s="29" t="str">
        <f>IF(LibraryDataEntry!H26="","",LibraryDataEntry!H26)</f>
        <v/>
      </c>
      <c r="P26" s="29" t="str">
        <f>IF(LibraryDataEntry!J26="nM",LibraryDataEntry!I26,"")</f>
        <v/>
      </c>
      <c r="Q26" s="29" t="str">
        <f>IF(LibraryDataEntry!J26="ng/ul",LibraryDataEntry!I26,"")</f>
        <v/>
      </c>
      <c r="W26" s="29" t="str">
        <f>IF(LibraryDataEntry!F26="","",LibraryDataEntry!F26)</f>
        <v/>
      </c>
      <c r="X26" s="29" t="str">
        <f>IF(LibraryDataEntry!G26="","",LibraryDataEntry!G26)</f>
        <v/>
      </c>
      <c r="Z26" s="29" t="str">
        <f>IF(LibraryDataEntry!L26="","",LibraryDataEntry!L26)</f>
        <v/>
      </c>
      <c r="AA26" s="29" t="str">
        <f>IF(LibraryDataEntry!J26="","",LibraryDataEntry!J26)</f>
        <v/>
      </c>
      <c r="AB26" s="29" t="str">
        <f>IF(LibraryDataEntry!M26="","",LibraryDataEntry!M26)</f>
        <v/>
      </c>
      <c r="AC26" s="31"/>
      <c r="AD26" s="29" t="str">
        <f>IF(LibraryDataEntry!B26="","",CONCATENATE(RIGHT(LibraryDataEntry!B26,4),"HS"))</f>
        <v/>
      </c>
      <c r="AG26" s="29" t="str">
        <f>IF(LibraryDataEntry!A26="","",LibraryDataEntry!A26)</f>
        <v/>
      </c>
      <c r="AJ26" s="31"/>
      <c r="AM26" s="30"/>
    </row>
    <row r="27" spans="1:39" s="29" customFormat="1" x14ac:dyDescent="0.5">
      <c r="A27" s="28" t="str">
        <f>IF(LibraryDataEntry!C27="","",LibraryDataEntry!C27)</f>
        <v/>
      </c>
      <c r="B27" s="29" t="str">
        <f>IF(LibraryDataEntry!F27="","",CONCATENATE(LibraryDataEntry!F27,"-",LibraryDataEntry!G27))</f>
        <v/>
      </c>
      <c r="I27" s="29" t="str">
        <f>IF(LibraryDataEntry!N27="","",LibraryDataEntry!N27)</f>
        <v/>
      </c>
      <c r="J27" s="29" t="str">
        <f>IF(LibraryDataEntry!E27="","",LibraryDataEntry!E27)</f>
        <v/>
      </c>
      <c r="O27" s="29" t="str">
        <f>IF(LibraryDataEntry!H27="","",LibraryDataEntry!H27)</f>
        <v/>
      </c>
      <c r="P27" s="29" t="str">
        <f>IF(LibraryDataEntry!J27="nM",LibraryDataEntry!I27,"")</f>
        <v/>
      </c>
      <c r="Q27" s="29" t="str">
        <f>IF(LibraryDataEntry!J27="ng/ul",LibraryDataEntry!I27,"")</f>
        <v/>
      </c>
      <c r="W27" s="29" t="str">
        <f>IF(LibraryDataEntry!F27="","",LibraryDataEntry!F27)</f>
        <v/>
      </c>
      <c r="X27" s="29" t="str">
        <f>IF(LibraryDataEntry!G27="","",LibraryDataEntry!G27)</f>
        <v/>
      </c>
      <c r="Z27" s="29" t="str">
        <f>IF(LibraryDataEntry!L27="","",LibraryDataEntry!L27)</f>
        <v/>
      </c>
      <c r="AA27" s="29" t="str">
        <f>IF(LibraryDataEntry!J27="","",LibraryDataEntry!J27)</f>
        <v/>
      </c>
      <c r="AB27" s="29" t="str">
        <f>IF(LibraryDataEntry!M27="","",LibraryDataEntry!M27)</f>
        <v/>
      </c>
      <c r="AC27" s="31"/>
      <c r="AD27" s="29" t="str">
        <f>IF(LibraryDataEntry!B27="","",CONCATENATE(RIGHT(LibraryDataEntry!B27,4),"HS"))</f>
        <v/>
      </c>
      <c r="AG27" s="29" t="str">
        <f>IF(LibraryDataEntry!A27="","",LibraryDataEntry!A27)</f>
        <v/>
      </c>
      <c r="AJ27" s="31"/>
      <c r="AM27" s="30"/>
    </row>
    <row r="28" spans="1:39" s="29" customFormat="1" x14ac:dyDescent="0.5">
      <c r="A28" s="28" t="str">
        <f>IF(LibraryDataEntry!C28="","",LibraryDataEntry!C28)</f>
        <v/>
      </c>
      <c r="B28" s="29" t="str">
        <f>IF(LibraryDataEntry!F28="","",CONCATENATE(LibraryDataEntry!F28,"-",LibraryDataEntry!G28))</f>
        <v/>
      </c>
      <c r="I28" s="29" t="str">
        <f>IF(LibraryDataEntry!N28="","",LibraryDataEntry!N28)</f>
        <v/>
      </c>
      <c r="J28" s="29" t="str">
        <f>IF(LibraryDataEntry!E28="","",LibraryDataEntry!E28)</f>
        <v/>
      </c>
      <c r="O28" s="29" t="str">
        <f>IF(LibraryDataEntry!H28="","",LibraryDataEntry!H28)</f>
        <v/>
      </c>
      <c r="P28" s="29" t="str">
        <f>IF(LibraryDataEntry!J28="nM",LibraryDataEntry!I28,"")</f>
        <v/>
      </c>
      <c r="Q28" s="29" t="str">
        <f>IF(LibraryDataEntry!J28="ng/ul",LibraryDataEntry!I28,"")</f>
        <v/>
      </c>
      <c r="W28" s="29" t="str">
        <f>IF(LibraryDataEntry!F28="","",LibraryDataEntry!F28)</f>
        <v/>
      </c>
      <c r="X28" s="29" t="str">
        <f>IF(LibraryDataEntry!G28="","",LibraryDataEntry!G28)</f>
        <v/>
      </c>
      <c r="Z28" s="29" t="str">
        <f>IF(LibraryDataEntry!L28="","",LibraryDataEntry!L28)</f>
        <v/>
      </c>
      <c r="AA28" s="29" t="str">
        <f>IF(LibraryDataEntry!J28="","",LibraryDataEntry!J28)</f>
        <v/>
      </c>
      <c r="AB28" s="29" t="str">
        <f>IF(LibraryDataEntry!M28="","",LibraryDataEntry!M28)</f>
        <v/>
      </c>
      <c r="AC28" s="31"/>
      <c r="AD28" s="29" t="str">
        <f>IF(LibraryDataEntry!B28="","",CONCATENATE(RIGHT(LibraryDataEntry!B28,4),"HS"))</f>
        <v/>
      </c>
      <c r="AG28" s="29" t="str">
        <f>IF(LibraryDataEntry!A28="","",LibraryDataEntry!A28)</f>
        <v/>
      </c>
      <c r="AJ28" s="31"/>
      <c r="AM28" s="30"/>
    </row>
    <row r="29" spans="1:39" s="29" customFormat="1" x14ac:dyDescent="0.5">
      <c r="A29" s="28" t="str">
        <f>IF(LibraryDataEntry!C29="","",LibraryDataEntry!C29)</f>
        <v/>
      </c>
      <c r="B29" s="29" t="str">
        <f>IF(LibraryDataEntry!F29="","",CONCATENATE(LibraryDataEntry!F29,"-",LibraryDataEntry!G29))</f>
        <v/>
      </c>
      <c r="I29" s="29" t="str">
        <f>IF(LibraryDataEntry!N29="","",LibraryDataEntry!N29)</f>
        <v/>
      </c>
      <c r="J29" s="29" t="str">
        <f>IF(LibraryDataEntry!E29="","",LibraryDataEntry!E29)</f>
        <v/>
      </c>
      <c r="O29" s="29" t="str">
        <f>IF(LibraryDataEntry!H29="","",LibraryDataEntry!H29)</f>
        <v/>
      </c>
      <c r="P29" s="29" t="str">
        <f>IF(LibraryDataEntry!J29="nM",LibraryDataEntry!I29,"")</f>
        <v/>
      </c>
      <c r="Q29" s="29" t="str">
        <f>IF(LibraryDataEntry!J29="ng/ul",LibraryDataEntry!I29,"")</f>
        <v/>
      </c>
      <c r="W29" s="29" t="str">
        <f>IF(LibraryDataEntry!F29="","",LibraryDataEntry!F29)</f>
        <v/>
      </c>
      <c r="X29" s="29" t="str">
        <f>IF(LibraryDataEntry!G29="","",LibraryDataEntry!G29)</f>
        <v/>
      </c>
      <c r="Z29" s="29" t="str">
        <f>IF(LibraryDataEntry!L29="","",LibraryDataEntry!L29)</f>
        <v/>
      </c>
      <c r="AA29" s="29" t="str">
        <f>IF(LibraryDataEntry!J29="","",LibraryDataEntry!J29)</f>
        <v/>
      </c>
      <c r="AB29" s="29" t="str">
        <f>IF(LibraryDataEntry!M29="","",LibraryDataEntry!M29)</f>
        <v/>
      </c>
      <c r="AC29" s="31"/>
      <c r="AD29" s="29" t="str">
        <f>IF(LibraryDataEntry!B29="","",CONCATENATE(RIGHT(LibraryDataEntry!B29,4),"HS"))</f>
        <v/>
      </c>
      <c r="AG29" s="29" t="str">
        <f>IF(LibraryDataEntry!A29="","",LibraryDataEntry!A29)</f>
        <v/>
      </c>
      <c r="AJ29" s="31"/>
      <c r="AM29" s="30"/>
    </row>
    <row r="30" spans="1:39" s="29" customFormat="1" x14ac:dyDescent="0.5">
      <c r="A30" s="28" t="str">
        <f>IF(LibraryDataEntry!C30="","",LibraryDataEntry!C30)</f>
        <v/>
      </c>
      <c r="B30" s="29" t="str">
        <f>IF(LibraryDataEntry!F30="","",CONCATENATE(LibraryDataEntry!F30,"-",LibraryDataEntry!G30))</f>
        <v/>
      </c>
      <c r="I30" s="29" t="str">
        <f>IF(LibraryDataEntry!N30="","",LibraryDataEntry!N30)</f>
        <v/>
      </c>
      <c r="J30" s="29" t="str">
        <f>IF(LibraryDataEntry!E30="","",LibraryDataEntry!E30)</f>
        <v/>
      </c>
      <c r="O30" s="29" t="str">
        <f>IF(LibraryDataEntry!H30="","",LibraryDataEntry!H30)</f>
        <v/>
      </c>
      <c r="P30" s="29" t="str">
        <f>IF(LibraryDataEntry!J30="nM",LibraryDataEntry!I30,"")</f>
        <v/>
      </c>
      <c r="Q30" s="29" t="str">
        <f>IF(LibraryDataEntry!J30="ng/ul",LibraryDataEntry!I30,"")</f>
        <v/>
      </c>
      <c r="W30" s="29" t="str">
        <f>IF(LibraryDataEntry!F30="","",LibraryDataEntry!F30)</f>
        <v/>
      </c>
      <c r="X30" s="29" t="str">
        <f>IF(LibraryDataEntry!G30="","",LibraryDataEntry!G30)</f>
        <v/>
      </c>
      <c r="Z30" s="29" t="str">
        <f>IF(LibraryDataEntry!L30="","",LibraryDataEntry!L30)</f>
        <v/>
      </c>
      <c r="AA30" s="29" t="str">
        <f>IF(LibraryDataEntry!J30="","",LibraryDataEntry!J30)</f>
        <v/>
      </c>
      <c r="AB30" s="29" t="str">
        <f>IF(LibraryDataEntry!M30="","",LibraryDataEntry!M30)</f>
        <v/>
      </c>
      <c r="AC30" s="31"/>
      <c r="AD30" s="29" t="str">
        <f>IF(LibraryDataEntry!B30="","",CONCATENATE(RIGHT(LibraryDataEntry!B30,4),"HS"))</f>
        <v/>
      </c>
      <c r="AG30" s="29" t="str">
        <f>IF(LibraryDataEntry!A30="","",LibraryDataEntry!A30)</f>
        <v/>
      </c>
      <c r="AJ30" s="31"/>
      <c r="AM30" s="30"/>
    </row>
    <row r="31" spans="1:39" s="29" customFormat="1" x14ac:dyDescent="0.5">
      <c r="A31" s="28" t="str">
        <f>IF(LibraryDataEntry!C31="","",LibraryDataEntry!C31)</f>
        <v/>
      </c>
      <c r="B31" s="29" t="str">
        <f>IF(LibraryDataEntry!F31="","",CONCATENATE(LibraryDataEntry!F31,"-",LibraryDataEntry!G31))</f>
        <v/>
      </c>
      <c r="I31" s="29" t="str">
        <f>IF(LibraryDataEntry!N31="","",LibraryDataEntry!N31)</f>
        <v/>
      </c>
      <c r="J31" s="29" t="str">
        <f>IF(LibraryDataEntry!E31="","",LibraryDataEntry!E31)</f>
        <v/>
      </c>
      <c r="O31" s="29" t="str">
        <f>IF(LibraryDataEntry!H31="","",LibraryDataEntry!H31)</f>
        <v/>
      </c>
      <c r="P31" s="29" t="str">
        <f>IF(LibraryDataEntry!J31="nM",LibraryDataEntry!I31,"")</f>
        <v/>
      </c>
      <c r="Q31" s="29" t="str">
        <f>IF(LibraryDataEntry!J31="ng/ul",LibraryDataEntry!I31,"")</f>
        <v/>
      </c>
      <c r="W31" s="29" t="str">
        <f>IF(LibraryDataEntry!F31="","",LibraryDataEntry!F31)</f>
        <v/>
      </c>
      <c r="X31" s="29" t="str">
        <f>IF(LibraryDataEntry!G31="","",LibraryDataEntry!G31)</f>
        <v/>
      </c>
      <c r="Z31" s="29" t="str">
        <f>IF(LibraryDataEntry!L31="","",LibraryDataEntry!L31)</f>
        <v/>
      </c>
      <c r="AA31" s="29" t="str">
        <f>IF(LibraryDataEntry!J31="","",LibraryDataEntry!J31)</f>
        <v/>
      </c>
      <c r="AB31" s="29" t="str">
        <f>IF(LibraryDataEntry!M31="","",LibraryDataEntry!M31)</f>
        <v/>
      </c>
      <c r="AC31" s="31"/>
      <c r="AD31" s="29" t="str">
        <f>IF(LibraryDataEntry!B31="","",CONCATENATE(RIGHT(LibraryDataEntry!B31,4),"HS"))</f>
        <v/>
      </c>
      <c r="AG31" s="29" t="str">
        <f>IF(LibraryDataEntry!A31="","",LibraryDataEntry!A31)</f>
        <v/>
      </c>
      <c r="AJ31" s="31"/>
      <c r="AM31" s="30"/>
    </row>
    <row r="32" spans="1:39" s="29" customFormat="1" x14ac:dyDescent="0.5">
      <c r="A32" s="28" t="str">
        <f>IF(LibraryDataEntry!C32="","",LibraryDataEntry!C32)</f>
        <v/>
      </c>
      <c r="B32" s="29" t="str">
        <f>IF(LibraryDataEntry!F32="","",CONCATENATE(LibraryDataEntry!F32,"-",LibraryDataEntry!G32))</f>
        <v/>
      </c>
      <c r="I32" s="29" t="str">
        <f>IF(LibraryDataEntry!N32="","",LibraryDataEntry!N32)</f>
        <v/>
      </c>
      <c r="J32" s="29" t="str">
        <f>IF(LibraryDataEntry!E32="","",LibraryDataEntry!E32)</f>
        <v/>
      </c>
      <c r="O32" s="29" t="str">
        <f>IF(LibraryDataEntry!H32="","",LibraryDataEntry!H32)</f>
        <v/>
      </c>
      <c r="P32" s="29" t="str">
        <f>IF(LibraryDataEntry!J32="nM",LibraryDataEntry!I32,"")</f>
        <v/>
      </c>
      <c r="Q32" s="29" t="str">
        <f>IF(LibraryDataEntry!J32="ng/ul",LibraryDataEntry!I32,"")</f>
        <v/>
      </c>
      <c r="W32" s="29" t="str">
        <f>IF(LibraryDataEntry!F32="","",LibraryDataEntry!F32)</f>
        <v/>
      </c>
      <c r="X32" s="29" t="str">
        <f>IF(LibraryDataEntry!G32="","",LibraryDataEntry!G32)</f>
        <v/>
      </c>
      <c r="Z32" s="29" t="str">
        <f>IF(LibraryDataEntry!L32="","",LibraryDataEntry!L32)</f>
        <v/>
      </c>
      <c r="AA32" s="29" t="str">
        <f>IF(LibraryDataEntry!J32="","",LibraryDataEntry!J32)</f>
        <v/>
      </c>
      <c r="AB32" s="29" t="str">
        <f>IF(LibraryDataEntry!M32="","",LibraryDataEntry!M32)</f>
        <v/>
      </c>
      <c r="AC32" s="31"/>
      <c r="AD32" s="29" t="str">
        <f>IF(LibraryDataEntry!B32="","",CONCATENATE(RIGHT(LibraryDataEntry!B32,4),"HS"))</f>
        <v/>
      </c>
      <c r="AG32" s="29" t="str">
        <f>IF(LibraryDataEntry!A32="","",LibraryDataEntry!A32)</f>
        <v/>
      </c>
      <c r="AJ32" s="31"/>
      <c r="AM32" s="30"/>
    </row>
    <row r="33" spans="1:39" s="29" customFormat="1" x14ac:dyDescent="0.5">
      <c r="A33" s="28" t="str">
        <f>IF(LibraryDataEntry!C33="","",LibraryDataEntry!C33)</f>
        <v/>
      </c>
      <c r="B33" s="29" t="str">
        <f>IF(LibraryDataEntry!F33="","",CONCATENATE(LibraryDataEntry!F33,"-",LibraryDataEntry!G33))</f>
        <v/>
      </c>
      <c r="I33" s="29" t="str">
        <f>IF(LibraryDataEntry!N33="","",LibraryDataEntry!N33)</f>
        <v/>
      </c>
      <c r="J33" s="29" t="str">
        <f>IF(LibraryDataEntry!E33="","",LibraryDataEntry!E33)</f>
        <v/>
      </c>
      <c r="O33" s="29" t="str">
        <f>IF(LibraryDataEntry!H33="","",LibraryDataEntry!H33)</f>
        <v/>
      </c>
      <c r="P33" s="29" t="str">
        <f>IF(LibraryDataEntry!J33="nM",LibraryDataEntry!I33,"")</f>
        <v/>
      </c>
      <c r="Q33" s="29" t="str">
        <f>IF(LibraryDataEntry!J33="ng/ul",LibraryDataEntry!I33,"")</f>
        <v/>
      </c>
      <c r="W33" s="29" t="str">
        <f>IF(LibraryDataEntry!F33="","",LibraryDataEntry!F33)</f>
        <v/>
      </c>
      <c r="X33" s="29" t="str">
        <f>IF(LibraryDataEntry!G33="","",LibraryDataEntry!G33)</f>
        <v/>
      </c>
      <c r="Z33" s="29" t="str">
        <f>IF(LibraryDataEntry!L33="","",LibraryDataEntry!L33)</f>
        <v/>
      </c>
      <c r="AA33" s="29" t="str">
        <f>IF(LibraryDataEntry!J33="","",LibraryDataEntry!J33)</f>
        <v/>
      </c>
      <c r="AB33" s="29" t="str">
        <f>IF(LibraryDataEntry!M33="","",LibraryDataEntry!M33)</f>
        <v/>
      </c>
      <c r="AC33" s="31"/>
      <c r="AD33" s="29" t="str">
        <f>IF(LibraryDataEntry!B33="","",CONCATENATE(RIGHT(LibraryDataEntry!B33,4),"HS"))</f>
        <v/>
      </c>
      <c r="AG33" s="29" t="str">
        <f>IF(LibraryDataEntry!A33="","",LibraryDataEntry!A33)</f>
        <v/>
      </c>
      <c r="AJ33" s="31"/>
      <c r="AM33" s="30"/>
    </row>
    <row r="34" spans="1:39" s="29" customFormat="1" x14ac:dyDescent="0.5">
      <c r="A34" s="28" t="str">
        <f>IF(LibraryDataEntry!C34="","",LibraryDataEntry!C34)</f>
        <v/>
      </c>
      <c r="B34" s="29" t="str">
        <f>IF(LibraryDataEntry!F34="","",CONCATENATE(LibraryDataEntry!F34,"-",LibraryDataEntry!G34))</f>
        <v/>
      </c>
      <c r="I34" s="29" t="str">
        <f>IF(LibraryDataEntry!N34="","",LibraryDataEntry!N34)</f>
        <v/>
      </c>
      <c r="J34" s="29" t="str">
        <f>IF(LibraryDataEntry!E34="","",LibraryDataEntry!E34)</f>
        <v/>
      </c>
      <c r="O34" s="29" t="str">
        <f>IF(LibraryDataEntry!H34="","",LibraryDataEntry!H34)</f>
        <v/>
      </c>
      <c r="P34" s="29" t="str">
        <f>IF(LibraryDataEntry!J34="nM",LibraryDataEntry!I34,"")</f>
        <v/>
      </c>
      <c r="Q34" s="29" t="str">
        <f>IF(LibraryDataEntry!J34="ng/ul",LibraryDataEntry!I34,"")</f>
        <v/>
      </c>
      <c r="W34" s="29" t="str">
        <f>IF(LibraryDataEntry!F34="","",LibraryDataEntry!F34)</f>
        <v/>
      </c>
      <c r="X34" s="29" t="str">
        <f>IF(LibraryDataEntry!G34="","",LibraryDataEntry!G34)</f>
        <v/>
      </c>
      <c r="Z34" s="29" t="str">
        <f>IF(LibraryDataEntry!L34="","",LibraryDataEntry!L34)</f>
        <v/>
      </c>
      <c r="AA34" s="29" t="str">
        <f>IF(LibraryDataEntry!J34="","",LibraryDataEntry!J34)</f>
        <v/>
      </c>
      <c r="AB34" s="29" t="str">
        <f>IF(LibraryDataEntry!M34="","",LibraryDataEntry!M34)</f>
        <v/>
      </c>
      <c r="AC34" s="31"/>
      <c r="AD34" s="29" t="str">
        <f>IF(LibraryDataEntry!B34="","",CONCATENATE(RIGHT(LibraryDataEntry!B34,4),"HS"))</f>
        <v/>
      </c>
      <c r="AG34" s="29" t="str">
        <f>IF(LibraryDataEntry!A34="","",LibraryDataEntry!A34)</f>
        <v/>
      </c>
      <c r="AJ34" s="31"/>
      <c r="AM34" s="30"/>
    </row>
    <row r="35" spans="1:39" s="29" customFormat="1" x14ac:dyDescent="0.5">
      <c r="A35" s="28" t="str">
        <f>IF(LibraryDataEntry!C35="","",LibraryDataEntry!C35)</f>
        <v/>
      </c>
      <c r="B35" s="29" t="str">
        <f>IF(LibraryDataEntry!F35="","",CONCATENATE(LibraryDataEntry!F35,"-",LibraryDataEntry!G35))</f>
        <v/>
      </c>
      <c r="I35" s="29" t="str">
        <f>IF(LibraryDataEntry!N35="","",LibraryDataEntry!N35)</f>
        <v/>
      </c>
      <c r="J35" s="29" t="str">
        <f>IF(LibraryDataEntry!E35="","",LibraryDataEntry!E35)</f>
        <v/>
      </c>
      <c r="O35" s="29" t="str">
        <f>IF(LibraryDataEntry!H35="","",LibraryDataEntry!H35)</f>
        <v/>
      </c>
      <c r="P35" s="29" t="str">
        <f>IF(LibraryDataEntry!J35="nM",LibraryDataEntry!I35,"")</f>
        <v/>
      </c>
      <c r="Q35" s="29" t="str">
        <f>IF(LibraryDataEntry!J35="ng/ul",LibraryDataEntry!I35,"")</f>
        <v/>
      </c>
      <c r="W35" s="29" t="str">
        <f>IF(LibraryDataEntry!F35="","",LibraryDataEntry!F35)</f>
        <v/>
      </c>
      <c r="X35" s="29" t="str">
        <f>IF(LibraryDataEntry!G35="","",LibraryDataEntry!G35)</f>
        <v/>
      </c>
      <c r="Z35" s="29" t="str">
        <f>IF(LibraryDataEntry!L35="","",LibraryDataEntry!L35)</f>
        <v/>
      </c>
      <c r="AA35" s="29" t="str">
        <f>IF(LibraryDataEntry!J35="","",LibraryDataEntry!J35)</f>
        <v/>
      </c>
      <c r="AB35" s="29" t="str">
        <f>IF(LibraryDataEntry!M35="","",LibraryDataEntry!M35)</f>
        <v/>
      </c>
      <c r="AC35" s="31"/>
      <c r="AD35" s="29" t="str">
        <f>IF(LibraryDataEntry!B35="","",CONCATENATE(RIGHT(LibraryDataEntry!B35,4),"HS"))</f>
        <v/>
      </c>
      <c r="AG35" s="29" t="str">
        <f>IF(LibraryDataEntry!A35="","",LibraryDataEntry!A35)</f>
        <v/>
      </c>
      <c r="AJ35" s="31"/>
      <c r="AM35" s="30"/>
    </row>
    <row r="36" spans="1:39" s="29" customFormat="1" x14ac:dyDescent="0.5">
      <c r="A36" s="28" t="str">
        <f>IF(LibraryDataEntry!C36="","",LibraryDataEntry!C36)</f>
        <v/>
      </c>
      <c r="B36" s="29" t="str">
        <f>IF(LibraryDataEntry!F36="","",CONCATENATE(LibraryDataEntry!F36,"-",LibraryDataEntry!G36))</f>
        <v/>
      </c>
      <c r="I36" s="29" t="str">
        <f>IF(LibraryDataEntry!N36="","",LibraryDataEntry!N36)</f>
        <v/>
      </c>
      <c r="J36" s="29" t="str">
        <f>IF(LibraryDataEntry!E36="","",LibraryDataEntry!E36)</f>
        <v/>
      </c>
      <c r="O36" s="29" t="str">
        <f>IF(LibraryDataEntry!H36="","",LibraryDataEntry!H36)</f>
        <v/>
      </c>
      <c r="P36" s="29" t="str">
        <f>IF(LibraryDataEntry!J36="nM",LibraryDataEntry!I36,"")</f>
        <v/>
      </c>
      <c r="Q36" s="29" t="str">
        <f>IF(LibraryDataEntry!J36="ng/ul",LibraryDataEntry!I36,"")</f>
        <v/>
      </c>
      <c r="W36" s="29" t="str">
        <f>IF(LibraryDataEntry!F36="","",LibraryDataEntry!F36)</f>
        <v/>
      </c>
      <c r="X36" s="29" t="str">
        <f>IF(LibraryDataEntry!G36="","",LibraryDataEntry!G36)</f>
        <v/>
      </c>
      <c r="Z36" s="29" t="str">
        <f>IF(LibraryDataEntry!L36="","",LibraryDataEntry!L36)</f>
        <v/>
      </c>
      <c r="AA36" s="29" t="str">
        <f>IF(LibraryDataEntry!J36="","",LibraryDataEntry!J36)</f>
        <v/>
      </c>
      <c r="AB36" s="29" t="str">
        <f>IF(LibraryDataEntry!M36="","",LibraryDataEntry!M36)</f>
        <v/>
      </c>
      <c r="AC36" s="31"/>
      <c r="AD36" s="29" t="str">
        <f>IF(LibraryDataEntry!B36="","",CONCATENATE(RIGHT(LibraryDataEntry!B36,4),"HS"))</f>
        <v/>
      </c>
      <c r="AG36" s="29" t="str">
        <f>IF(LibraryDataEntry!A36="","",LibraryDataEntry!A36)</f>
        <v/>
      </c>
      <c r="AJ36" s="31"/>
      <c r="AM36" s="30"/>
    </row>
    <row r="37" spans="1:39" s="29" customFormat="1" x14ac:dyDescent="0.5">
      <c r="A37" s="28" t="str">
        <f>IF(LibraryDataEntry!C37="","",LibraryDataEntry!C37)</f>
        <v/>
      </c>
      <c r="B37" s="29" t="str">
        <f>IF(LibraryDataEntry!F37="","",CONCATENATE(LibraryDataEntry!F37,"-",LibraryDataEntry!G37))</f>
        <v/>
      </c>
      <c r="I37" s="29" t="str">
        <f>IF(LibraryDataEntry!N37="","",LibraryDataEntry!N37)</f>
        <v/>
      </c>
      <c r="J37" s="29" t="str">
        <f>IF(LibraryDataEntry!E37="","",LibraryDataEntry!E37)</f>
        <v/>
      </c>
      <c r="O37" s="29" t="str">
        <f>IF(LibraryDataEntry!H37="","",LibraryDataEntry!H37)</f>
        <v/>
      </c>
      <c r="P37" s="29" t="str">
        <f>IF(LibraryDataEntry!J37="nM",LibraryDataEntry!I37,"")</f>
        <v/>
      </c>
      <c r="Q37" s="29" t="str">
        <f>IF(LibraryDataEntry!J37="ng/ul",LibraryDataEntry!I37,"")</f>
        <v/>
      </c>
      <c r="W37" s="29" t="str">
        <f>IF(LibraryDataEntry!F37="","",LibraryDataEntry!F37)</f>
        <v/>
      </c>
      <c r="X37" s="29" t="str">
        <f>IF(LibraryDataEntry!G37="","",LibraryDataEntry!G37)</f>
        <v/>
      </c>
      <c r="Z37" s="29" t="str">
        <f>IF(LibraryDataEntry!L37="","",LibraryDataEntry!L37)</f>
        <v/>
      </c>
      <c r="AA37" s="29" t="str">
        <f>IF(LibraryDataEntry!J37="","",LibraryDataEntry!J37)</f>
        <v/>
      </c>
      <c r="AB37" s="29" t="str">
        <f>IF(LibraryDataEntry!M37="","",LibraryDataEntry!M37)</f>
        <v/>
      </c>
      <c r="AC37" s="31"/>
      <c r="AD37" s="29" t="str">
        <f>IF(LibraryDataEntry!B37="","",CONCATENATE(RIGHT(LibraryDataEntry!B37,4),"HS"))</f>
        <v/>
      </c>
      <c r="AG37" s="29" t="str">
        <f>IF(LibraryDataEntry!A37="","",LibraryDataEntry!A37)</f>
        <v/>
      </c>
      <c r="AJ37" s="31"/>
      <c r="AM37" s="30"/>
    </row>
    <row r="38" spans="1:39" s="29" customFormat="1" x14ac:dyDescent="0.5">
      <c r="A38" s="28" t="str">
        <f>IF(LibraryDataEntry!C38="","",LibraryDataEntry!C38)</f>
        <v/>
      </c>
      <c r="B38" s="29" t="str">
        <f>IF(LibraryDataEntry!F38="","",CONCATENATE(LibraryDataEntry!F38,"-",LibraryDataEntry!G38))</f>
        <v/>
      </c>
      <c r="I38" s="29" t="str">
        <f>IF(LibraryDataEntry!N38="","",LibraryDataEntry!N38)</f>
        <v/>
      </c>
      <c r="J38" s="29" t="str">
        <f>IF(LibraryDataEntry!E38="","",LibraryDataEntry!E38)</f>
        <v/>
      </c>
      <c r="O38" s="29" t="str">
        <f>IF(LibraryDataEntry!H38="","",LibraryDataEntry!H38)</f>
        <v/>
      </c>
      <c r="P38" s="29" t="str">
        <f>IF(LibraryDataEntry!J38="nM",LibraryDataEntry!I38,"")</f>
        <v/>
      </c>
      <c r="Q38" s="29" t="str">
        <f>IF(LibraryDataEntry!J38="ng/ul",LibraryDataEntry!I38,"")</f>
        <v/>
      </c>
      <c r="W38" s="29" t="str">
        <f>IF(LibraryDataEntry!F38="","",LibraryDataEntry!F38)</f>
        <v/>
      </c>
      <c r="X38" s="29" t="str">
        <f>IF(LibraryDataEntry!G38="","",LibraryDataEntry!G38)</f>
        <v/>
      </c>
      <c r="Z38" s="29" t="str">
        <f>IF(LibraryDataEntry!L38="","",LibraryDataEntry!L38)</f>
        <v/>
      </c>
      <c r="AA38" s="29" t="str">
        <f>IF(LibraryDataEntry!J38="","",LibraryDataEntry!J38)</f>
        <v/>
      </c>
      <c r="AB38" s="29" t="str">
        <f>IF(LibraryDataEntry!M38="","",LibraryDataEntry!M38)</f>
        <v/>
      </c>
      <c r="AC38" s="31"/>
      <c r="AD38" s="29" t="str">
        <f>IF(LibraryDataEntry!B38="","",CONCATENATE(RIGHT(LibraryDataEntry!B38,4),"HS"))</f>
        <v/>
      </c>
      <c r="AG38" s="29" t="str">
        <f>IF(LibraryDataEntry!A38="","",LibraryDataEntry!A38)</f>
        <v/>
      </c>
      <c r="AJ38" s="31"/>
      <c r="AM38" s="30"/>
    </row>
    <row r="39" spans="1:39" s="29" customFormat="1" x14ac:dyDescent="0.5">
      <c r="A39" s="28" t="str">
        <f>IF(LibraryDataEntry!C39="","",LibraryDataEntry!C39)</f>
        <v/>
      </c>
      <c r="B39" s="29" t="str">
        <f>IF(LibraryDataEntry!F39="","",CONCATENATE(LibraryDataEntry!F39,"-",LibraryDataEntry!G39))</f>
        <v/>
      </c>
      <c r="I39" s="29" t="str">
        <f>IF(LibraryDataEntry!N39="","",LibraryDataEntry!N39)</f>
        <v/>
      </c>
      <c r="J39" s="29" t="str">
        <f>IF(LibraryDataEntry!E39="","",LibraryDataEntry!E39)</f>
        <v/>
      </c>
      <c r="O39" s="29" t="str">
        <f>IF(LibraryDataEntry!H39="","",LibraryDataEntry!H39)</f>
        <v/>
      </c>
      <c r="P39" s="29" t="str">
        <f>IF(LibraryDataEntry!J39="nM",LibraryDataEntry!I39,"")</f>
        <v/>
      </c>
      <c r="Q39" s="29" t="str">
        <f>IF(LibraryDataEntry!J39="ng/ul",LibraryDataEntry!I39,"")</f>
        <v/>
      </c>
      <c r="W39" s="29" t="str">
        <f>IF(LibraryDataEntry!F39="","",LibraryDataEntry!F39)</f>
        <v/>
      </c>
      <c r="X39" s="29" t="str">
        <f>IF(LibraryDataEntry!G39="","",LibraryDataEntry!G39)</f>
        <v/>
      </c>
      <c r="Z39" s="29" t="str">
        <f>IF(LibraryDataEntry!L39="","",LibraryDataEntry!L39)</f>
        <v/>
      </c>
      <c r="AA39" s="29" t="str">
        <f>IF(LibraryDataEntry!J39="","",LibraryDataEntry!J39)</f>
        <v/>
      </c>
      <c r="AB39" s="29" t="str">
        <f>IF(LibraryDataEntry!M39="","",LibraryDataEntry!M39)</f>
        <v/>
      </c>
      <c r="AC39" s="31"/>
      <c r="AD39" s="29" t="str">
        <f>IF(LibraryDataEntry!B39="","",CONCATENATE(RIGHT(LibraryDataEntry!B39,4),"HS"))</f>
        <v/>
      </c>
      <c r="AG39" s="29" t="str">
        <f>IF(LibraryDataEntry!A39="","",LibraryDataEntry!A39)</f>
        <v/>
      </c>
      <c r="AJ39" s="31"/>
      <c r="AM39" s="30"/>
    </row>
    <row r="40" spans="1:39" s="29" customFormat="1" x14ac:dyDescent="0.5">
      <c r="A40" s="28" t="str">
        <f>IF(LibraryDataEntry!C40="","",LibraryDataEntry!C40)</f>
        <v/>
      </c>
      <c r="B40" s="29" t="str">
        <f>IF(LibraryDataEntry!F40="","",CONCATENATE(LibraryDataEntry!F40,"-",LibraryDataEntry!G40))</f>
        <v/>
      </c>
      <c r="I40" s="29" t="str">
        <f>IF(LibraryDataEntry!N40="","",LibraryDataEntry!N40)</f>
        <v/>
      </c>
      <c r="J40" s="29" t="str">
        <f>IF(LibraryDataEntry!E40="","",LibraryDataEntry!E40)</f>
        <v/>
      </c>
      <c r="O40" s="29" t="str">
        <f>IF(LibraryDataEntry!H40="","",LibraryDataEntry!H40)</f>
        <v/>
      </c>
      <c r="P40" s="29" t="str">
        <f>IF(LibraryDataEntry!J40="nM",LibraryDataEntry!I40,"")</f>
        <v/>
      </c>
      <c r="Q40" s="29" t="str">
        <f>IF(LibraryDataEntry!J40="ng/ul",LibraryDataEntry!I40,"")</f>
        <v/>
      </c>
      <c r="W40" s="29" t="str">
        <f>IF(LibraryDataEntry!F40="","",LibraryDataEntry!F40)</f>
        <v/>
      </c>
      <c r="X40" s="29" t="str">
        <f>IF(LibraryDataEntry!G40="","",LibraryDataEntry!G40)</f>
        <v/>
      </c>
      <c r="Z40" s="29" t="str">
        <f>IF(LibraryDataEntry!L40="","",LibraryDataEntry!L40)</f>
        <v/>
      </c>
      <c r="AA40" s="29" t="str">
        <f>IF(LibraryDataEntry!J40="","",LibraryDataEntry!J40)</f>
        <v/>
      </c>
      <c r="AB40" s="29" t="str">
        <f>IF(LibraryDataEntry!M40="","",LibraryDataEntry!M40)</f>
        <v/>
      </c>
      <c r="AC40" s="31"/>
      <c r="AD40" s="29" t="str">
        <f>IF(LibraryDataEntry!B40="","",CONCATENATE(RIGHT(LibraryDataEntry!B40,4),"HS"))</f>
        <v/>
      </c>
      <c r="AG40" s="29" t="str">
        <f>IF(LibraryDataEntry!A40="","",LibraryDataEntry!A40)</f>
        <v/>
      </c>
      <c r="AJ40" s="31"/>
      <c r="AM40" s="30"/>
    </row>
    <row r="41" spans="1:39" s="29" customFormat="1" x14ac:dyDescent="0.5">
      <c r="A41" s="28" t="str">
        <f>IF(LibraryDataEntry!C41="","",LibraryDataEntry!C41)</f>
        <v/>
      </c>
      <c r="B41" s="29" t="str">
        <f>IF(LibraryDataEntry!F41="","",CONCATENATE(LibraryDataEntry!F41,"-",LibraryDataEntry!G41))</f>
        <v/>
      </c>
      <c r="I41" s="29" t="str">
        <f>IF(LibraryDataEntry!N41="","",LibraryDataEntry!N41)</f>
        <v/>
      </c>
      <c r="J41" s="29" t="str">
        <f>IF(LibraryDataEntry!E41="","",LibraryDataEntry!E41)</f>
        <v/>
      </c>
      <c r="O41" s="29" t="str">
        <f>IF(LibraryDataEntry!H41="","",LibraryDataEntry!H41)</f>
        <v/>
      </c>
      <c r="P41" s="29" t="str">
        <f>IF(LibraryDataEntry!J41="nM",LibraryDataEntry!I41,"")</f>
        <v/>
      </c>
      <c r="Q41" s="29" t="str">
        <f>IF(LibraryDataEntry!J41="ng/ul",LibraryDataEntry!I41,"")</f>
        <v/>
      </c>
      <c r="W41" s="29" t="str">
        <f>IF(LibraryDataEntry!F41="","",LibraryDataEntry!F41)</f>
        <v/>
      </c>
      <c r="X41" s="29" t="str">
        <f>IF(LibraryDataEntry!G41="","",LibraryDataEntry!G41)</f>
        <v/>
      </c>
      <c r="Z41" s="29" t="str">
        <f>IF(LibraryDataEntry!L41="","",LibraryDataEntry!L41)</f>
        <v/>
      </c>
      <c r="AA41" s="29" t="str">
        <f>IF(LibraryDataEntry!J41="","",LibraryDataEntry!J41)</f>
        <v/>
      </c>
      <c r="AB41" s="29" t="str">
        <f>IF(LibraryDataEntry!M41="","",LibraryDataEntry!M41)</f>
        <v/>
      </c>
      <c r="AC41" s="31"/>
      <c r="AD41" s="29" t="str">
        <f>IF(LibraryDataEntry!B41="","",CONCATENATE(RIGHT(LibraryDataEntry!B41,4),"HS"))</f>
        <v/>
      </c>
      <c r="AG41" s="29" t="str">
        <f>IF(LibraryDataEntry!A41="","",LibraryDataEntry!A41)</f>
        <v/>
      </c>
      <c r="AJ41" s="31"/>
      <c r="AM41" s="30"/>
    </row>
    <row r="42" spans="1:39" s="29" customFormat="1" x14ac:dyDescent="0.5">
      <c r="A42" s="28" t="str">
        <f>IF(LibraryDataEntry!C42="","",LibraryDataEntry!C42)</f>
        <v/>
      </c>
      <c r="B42" s="29" t="str">
        <f>IF(LibraryDataEntry!F42="","",CONCATENATE(LibraryDataEntry!F42,"-",LibraryDataEntry!G42))</f>
        <v/>
      </c>
      <c r="I42" s="29" t="str">
        <f>IF(LibraryDataEntry!N42="","",LibraryDataEntry!N42)</f>
        <v/>
      </c>
      <c r="J42" s="29" t="str">
        <f>IF(LibraryDataEntry!E42="","",LibraryDataEntry!E42)</f>
        <v/>
      </c>
      <c r="O42" s="29" t="str">
        <f>IF(LibraryDataEntry!H42="","",LibraryDataEntry!H42)</f>
        <v/>
      </c>
      <c r="P42" s="29" t="str">
        <f>IF(LibraryDataEntry!J42="nM",LibraryDataEntry!I42,"")</f>
        <v/>
      </c>
      <c r="Q42" s="29" t="str">
        <f>IF(LibraryDataEntry!J42="ng/ul",LibraryDataEntry!I42,"")</f>
        <v/>
      </c>
      <c r="W42" s="29" t="str">
        <f>IF(LibraryDataEntry!F42="","",LibraryDataEntry!F42)</f>
        <v/>
      </c>
      <c r="X42" s="29" t="str">
        <f>IF(LibraryDataEntry!G42="","",LibraryDataEntry!G42)</f>
        <v/>
      </c>
      <c r="Z42" s="29" t="str">
        <f>IF(LibraryDataEntry!L42="","",LibraryDataEntry!L42)</f>
        <v/>
      </c>
      <c r="AA42" s="29" t="str">
        <f>IF(LibraryDataEntry!J42="","",LibraryDataEntry!J42)</f>
        <v/>
      </c>
      <c r="AB42" s="29" t="str">
        <f>IF(LibraryDataEntry!M42="","",LibraryDataEntry!M42)</f>
        <v/>
      </c>
      <c r="AC42" s="31"/>
      <c r="AD42" s="29" t="str">
        <f>IF(LibraryDataEntry!B42="","",CONCATENATE(RIGHT(LibraryDataEntry!B42,4),"HS"))</f>
        <v/>
      </c>
      <c r="AG42" s="29" t="str">
        <f>IF(LibraryDataEntry!A42="","",LibraryDataEntry!A42)</f>
        <v/>
      </c>
      <c r="AJ42" s="31"/>
      <c r="AM42" s="30"/>
    </row>
    <row r="43" spans="1:39" s="29" customFormat="1" x14ac:dyDescent="0.5">
      <c r="A43" s="28" t="str">
        <f>IF(LibraryDataEntry!C43="","",LibraryDataEntry!C43)</f>
        <v/>
      </c>
      <c r="B43" s="29" t="str">
        <f>IF(LibraryDataEntry!F43="","",CONCATENATE(LibraryDataEntry!F43,"-",LibraryDataEntry!G43))</f>
        <v/>
      </c>
      <c r="I43" s="29" t="str">
        <f>IF(LibraryDataEntry!N43="","",LibraryDataEntry!N43)</f>
        <v/>
      </c>
      <c r="J43" s="29" t="str">
        <f>IF(LibraryDataEntry!E43="","",LibraryDataEntry!E43)</f>
        <v/>
      </c>
      <c r="O43" s="29" t="str">
        <f>IF(LibraryDataEntry!H43="","",LibraryDataEntry!H43)</f>
        <v/>
      </c>
      <c r="P43" s="29" t="str">
        <f>IF(LibraryDataEntry!J43="nM",LibraryDataEntry!I43,"")</f>
        <v/>
      </c>
      <c r="Q43" s="29" t="str">
        <f>IF(LibraryDataEntry!J43="ng/ul",LibraryDataEntry!I43,"")</f>
        <v/>
      </c>
      <c r="W43" s="29" t="str">
        <f>IF(LibraryDataEntry!F43="","",LibraryDataEntry!F43)</f>
        <v/>
      </c>
      <c r="X43" s="29" t="str">
        <f>IF(LibraryDataEntry!G43="","",LibraryDataEntry!G43)</f>
        <v/>
      </c>
      <c r="Z43" s="29" t="str">
        <f>IF(LibraryDataEntry!L43="","",LibraryDataEntry!L43)</f>
        <v/>
      </c>
      <c r="AA43" s="29" t="str">
        <f>IF(LibraryDataEntry!J43="","",LibraryDataEntry!J43)</f>
        <v/>
      </c>
      <c r="AB43" s="29" t="str">
        <f>IF(LibraryDataEntry!M43="","",LibraryDataEntry!M43)</f>
        <v/>
      </c>
      <c r="AC43" s="31"/>
      <c r="AD43" s="29" t="str">
        <f>IF(LibraryDataEntry!B43="","",CONCATENATE(RIGHT(LibraryDataEntry!B43,4),"HS"))</f>
        <v/>
      </c>
      <c r="AG43" s="29" t="str">
        <f>IF(LibraryDataEntry!A43="","",LibraryDataEntry!A43)</f>
        <v/>
      </c>
      <c r="AJ43" s="31"/>
      <c r="AM43" s="30"/>
    </row>
    <row r="44" spans="1:39" s="29" customFormat="1" x14ac:dyDescent="0.5">
      <c r="A44" s="28" t="str">
        <f>IF(LibraryDataEntry!C44="","",LibraryDataEntry!C44)</f>
        <v/>
      </c>
      <c r="B44" s="29" t="str">
        <f>IF(LibraryDataEntry!F44="","",CONCATENATE(LibraryDataEntry!F44,"-",LibraryDataEntry!G44))</f>
        <v/>
      </c>
      <c r="I44" s="29" t="str">
        <f>IF(LibraryDataEntry!N44="","",LibraryDataEntry!N44)</f>
        <v/>
      </c>
      <c r="J44" s="29" t="str">
        <f>IF(LibraryDataEntry!E44="","",LibraryDataEntry!E44)</f>
        <v/>
      </c>
      <c r="O44" s="29" t="str">
        <f>IF(LibraryDataEntry!H44="","",LibraryDataEntry!H44)</f>
        <v/>
      </c>
      <c r="P44" s="29" t="str">
        <f>IF(LibraryDataEntry!J44="nM",LibraryDataEntry!I44,"")</f>
        <v/>
      </c>
      <c r="Q44" s="29" t="str">
        <f>IF(LibraryDataEntry!J44="ng/ul",LibraryDataEntry!I44,"")</f>
        <v/>
      </c>
      <c r="W44" s="29" t="str">
        <f>IF(LibraryDataEntry!F44="","",LibraryDataEntry!F44)</f>
        <v/>
      </c>
      <c r="X44" s="29" t="str">
        <f>IF(LibraryDataEntry!G44="","",LibraryDataEntry!G44)</f>
        <v/>
      </c>
      <c r="Z44" s="29" t="str">
        <f>IF(LibraryDataEntry!L44="","",LibraryDataEntry!L44)</f>
        <v/>
      </c>
      <c r="AA44" s="29" t="str">
        <f>IF(LibraryDataEntry!J44="","",LibraryDataEntry!J44)</f>
        <v/>
      </c>
      <c r="AB44" s="29" t="str">
        <f>IF(LibraryDataEntry!M44="","",LibraryDataEntry!M44)</f>
        <v/>
      </c>
      <c r="AC44" s="31"/>
      <c r="AD44" s="29" t="str">
        <f>IF(LibraryDataEntry!B44="","",CONCATENATE(RIGHT(LibraryDataEntry!B44,4),"HS"))</f>
        <v/>
      </c>
      <c r="AG44" s="29" t="str">
        <f>IF(LibraryDataEntry!A44="","",LibraryDataEntry!A44)</f>
        <v/>
      </c>
      <c r="AJ44" s="31"/>
      <c r="AM44" s="30"/>
    </row>
    <row r="45" spans="1:39" s="29" customFormat="1" x14ac:dyDescent="0.5">
      <c r="A45" s="28" t="str">
        <f>IF(LibraryDataEntry!C45="","",LibraryDataEntry!C45)</f>
        <v/>
      </c>
      <c r="B45" s="29" t="str">
        <f>IF(LibraryDataEntry!F45="","",CONCATENATE(LibraryDataEntry!F45,"-",LibraryDataEntry!G45))</f>
        <v/>
      </c>
      <c r="I45" s="29" t="str">
        <f>IF(LibraryDataEntry!N45="","",LibraryDataEntry!N45)</f>
        <v/>
      </c>
      <c r="J45" s="29" t="str">
        <f>IF(LibraryDataEntry!E45="","",LibraryDataEntry!E45)</f>
        <v/>
      </c>
      <c r="O45" s="29" t="str">
        <f>IF(LibraryDataEntry!H45="","",LibraryDataEntry!H45)</f>
        <v/>
      </c>
      <c r="P45" s="29" t="str">
        <f>IF(LibraryDataEntry!J45="nM",LibraryDataEntry!I45,"")</f>
        <v/>
      </c>
      <c r="Q45" s="29" t="str">
        <f>IF(LibraryDataEntry!J45="ng/ul",LibraryDataEntry!I45,"")</f>
        <v/>
      </c>
      <c r="W45" s="29" t="str">
        <f>IF(LibraryDataEntry!F45="","",LibraryDataEntry!F45)</f>
        <v/>
      </c>
      <c r="X45" s="29" t="str">
        <f>IF(LibraryDataEntry!G45="","",LibraryDataEntry!G45)</f>
        <v/>
      </c>
      <c r="Z45" s="29" t="str">
        <f>IF(LibraryDataEntry!L45="","",LibraryDataEntry!L45)</f>
        <v/>
      </c>
      <c r="AA45" s="29" t="str">
        <f>IF(LibraryDataEntry!J45="","",LibraryDataEntry!J45)</f>
        <v/>
      </c>
      <c r="AB45" s="29" t="str">
        <f>IF(LibraryDataEntry!M45="","",LibraryDataEntry!M45)</f>
        <v/>
      </c>
      <c r="AC45" s="31"/>
      <c r="AD45" s="29" t="str">
        <f>IF(LibraryDataEntry!B45="","",CONCATENATE(RIGHT(LibraryDataEntry!B45,4),"HS"))</f>
        <v/>
      </c>
      <c r="AG45" s="29" t="str">
        <f>IF(LibraryDataEntry!A45="","",LibraryDataEntry!A45)</f>
        <v/>
      </c>
      <c r="AJ45" s="31"/>
      <c r="AM45" s="30"/>
    </row>
    <row r="46" spans="1:39" s="29" customFormat="1" x14ac:dyDescent="0.5">
      <c r="A46" s="28" t="str">
        <f>IF(LibraryDataEntry!C46="","",LibraryDataEntry!C46)</f>
        <v/>
      </c>
      <c r="B46" s="29" t="str">
        <f>IF(LibraryDataEntry!F46="","",CONCATENATE(LibraryDataEntry!F46,"-",LibraryDataEntry!G46))</f>
        <v/>
      </c>
      <c r="I46" s="29" t="str">
        <f>IF(LibraryDataEntry!N46="","",LibraryDataEntry!N46)</f>
        <v/>
      </c>
      <c r="J46" s="29" t="str">
        <f>IF(LibraryDataEntry!E46="","",LibraryDataEntry!E46)</f>
        <v/>
      </c>
      <c r="O46" s="29" t="str">
        <f>IF(LibraryDataEntry!H46="","",LibraryDataEntry!H46)</f>
        <v/>
      </c>
      <c r="P46" s="29" t="str">
        <f>IF(LibraryDataEntry!J46="nM",LibraryDataEntry!I46,"")</f>
        <v/>
      </c>
      <c r="Q46" s="29" t="str">
        <f>IF(LibraryDataEntry!J46="ng/ul",LibraryDataEntry!I46,"")</f>
        <v/>
      </c>
      <c r="W46" s="29" t="str">
        <f>IF(LibraryDataEntry!F46="","",LibraryDataEntry!F46)</f>
        <v/>
      </c>
      <c r="X46" s="29" t="str">
        <f>IF(LibraryDataEntry!G46="","",LibraryDataEntry!G46)</f>
        <v/>
      </c>
      <c r="Z46" s="29" t="str">
        <f>IF(LibraryDataEntry!L46="","",LibraryDataEntry!L46)</f>
        <v/>
      </c>
      <c r="AA46" s="29" t="str">
        <f>IF(LibraryDataEntry!J46="","",LibraryDataEntry!J46)</f>
        <v/>
      </c>
      <c r="AB46" s="29" t="str">
        <f>IF(LibraryDataEntry!M46="","",LibraryDataEntry!M46)</f>
        <v/>
      </c>
      <c r="AC46" s="31"/>
      <c r="AD46" s="29" t="str">
        <f>IF(LibraryDataEntry!B46="","",CONCATENATE(RIGHT(LibraryDataEntry!B46,4),"HS"))</f>
        <v/>
      </c>
      <c r="AG46" s="29" t="str">
        <f>IF(LibraryDataEntry!A46="","",LibraryDataEntry!A46)</f>
        <v/>
      </c>
      <c r="AJ46" s="31"/>
      <c r="AM46" s="30"/>
    </row>
    <row r="47" spans="1:39" s="29" customFormat="1" x14ac:dyDescent="0.5">
      <c r="A47" s="28" t="str">
        <f>IF(LibraryDataEntry!C47="","",LibraryDataEntry!C47)</f>
        <v/>
      </c>
      <c r="B47" s="29" t="str">
        <f>IF(LibraryDataEntry!F47="","",CONCATENATE(LibraryDataEntry!F47,"-",LibraryDataEntry!G47))</f>
        <v/>
      </c>
      <c r="I47" s="29" t="str">
        <f>IF(LibraryDataEntry!N47="","",LibraryDataEntry!N47)</f>
        <v/>
      </c>
      <c r="J47" s="29" t="str">
        <f>IF(LibraryDataEntry!E47="","",LibraryDataEntry!E47)</f>
        <v/>
      </c>
      <c r="O47" s="29" t="str">
        <f>IF(LibraryDataEntry!H47="","",LibraryDataEntry!H47)</f>
        <v/>
      </c>
      <c r="P47" s="29" t="str">
        <f>IF(LibraryDataEntry!J47="nM",LibraryDataEntry!I47,"")</f>
        <v/>
      </c>
      <c r="Q47" s="29" t="str">
        <f>IF(LibraryDataEntry!J47="ng/ul",LibraryDataEntry!I47,"")</f>
        <v/>
      </c>
      <c r="W47" s="29" t="str">
        <f>IF(LibraryDataEntry!F47="","",LibraryDataEntry!F47)</f>
        <v/>
      </c>
      <c r="X47" s="29" t="str">
        <f>IF(LibraryDataEntry!G47="","",LibraryDataEntry!G47)</f>
        <v/>
      </c>
      <c r="Z47" s="29" t="str">
        <f>IF(LibraryDataEntry!L47="","",LibraryDataEntry!L47)</f>
        <v/>
      </c>
      <c r="AA47" s="29" t="str">
        <f>IF(LibraryDataEntry!J47="","",LibraryDataEntry!J47)</f>
        <v/>
      </c>
      <c r="AB47" s="29" t="str">
        <f>IF(LibraryDataEntry!M47="","",LibraryDataEntry!M47)</f>
        <v/>
      </c>
      <c r="AC47" s="31"/>
      <c r="AD47" s="29" t="str">
        <f>IF(LibraryDataEntry!B47="","",CONCATENATE(RIGHT(LibraryDataEntry!B47,4),"HS"))</f>
        <v/>
      </c>
      <c r="AG47" s="29" t="str">
        <f>IF(LibraryDataEntry!A47="","",LibraryDataEntry!A47)</f>
        <v/>
      </c>
      <c r="AJ47" s="31"/>
      <c r="AM47" s="30"/>
    </row>
    <row r="48" spans="1:39" s="29" customFormat="1" x14ac:dyDescent="0.5">
      <c r="A48" s="28" t="str">
        <f>IF(LibraryDataEntry!C48="","",LibraryDataEntry!C48)</f>
        <v/>
      </c>
      <c r="B48" s="29" t="str">
        <f>IF(LibraryDataEntry!F48="","",CONCATENATE(LibraryDataEntry!F48,"-",LibraryDataEntry!G48))</f>
        <v/>
      </c>
      <c r="I48" s="29" t="str">
        <f>IF(LibraryDataEntry!N48="","",LibraryDataEntry!N48)</f>
        <v/>
      </c>
      <c r="J48" s="29" t="str">
        <f>IF(LibraryDataEntry!E48="","",LibraryDataEntry!E48)</f>
        <v/>
      </c>
      <c r="O48" s="29" t="str">
        <f>IF(LibraryDataEntry!H48="","",LibraryDataEntry!H48)</f>
        <v/>
      </c>
      <c r="P48" s="29" t="str">
        <f>IF(LibraryDataEntry!J48="nM",LibraryDataEntry!I48,"")</f>
        <v/>
      </c>
      <c r="Q48" s="29" t="str">
        <f>IF(LibraryDataEntry!J48="ng/ul",LibraryDataEntry!I48,"")</f>
        <v/>
      </c>
      <c r="W48" s="29" t="str">
        <f>IF(LibraryDataEntry!F48="","",LibraryDataEntry!F48)</f>
        <v/>
      </c>
      <c r="X48" s="29" t="str">
        <f>IF(LibraryDataEntry!G48="","",LibraryDataEntry!G48)</f>
        <v/>
      </c>
      <c r="Z48" s="29" t="str">
        <f>IF(LibraryDataEntry!L48="","",LibraryDataEntry!L48)</f>
        <v/>
      </c>
      <c r="AA48" s="29" t="str">
        <f>IF(LibraryDataEntry!J48="","",LibraryDataEntry!J48)</f>
        <v/>
      </c>
      <c r="AB48" s="29" t="str">
        <f>IF(LibraryDataEntry!M48="","",LibraryDataEntry!M48)</f>
        <v/>
      </c>
      <c r="AC48" s="31"/>
      <c r="AD48" s="29" t="str">
        <f>IF(LibraryDataEntry!B48="","",CONCATENATE(RIGHT(LibraryDataEntry!B48,4),"HS"))</f>
        <v/>
      </c>
      <c r="AG48" s="29" t="str">
        <f>IF(LibraryDataEntry!A48="","",LibraryDataEntry!A48)</f>
        <v/>
      </c>
      <c r="AJ48" s="31"/>
      <c r="AM48" s="30"/>
    </row>
    <row r="49" spans="1:39" s="29" customFormat="1" x14ac:dyDescent="0.5">
      <c r="A49" s="28" t="str">
        <f>IF(LibraryDataEntry!C49="","",LibraryDataEntry!C49)</f>
        <v/>
      </c>
      <c r="B49" s="29" t="str">
        <f>IF(LibraryDataEntry!F49="","",CONCATENATE(LibraryDataEntry!F49,"-",LibraryDataEntry!G49))</f>
        <v/>
      </c>
      <c r="I49" s="29" t="str">
        <f>IF(LibraryDataEntry!N49="","",LibraryDataEntry!N49)</f>
        <v/>
      </c>
      <c r="J49" s="29" t="str">
        <f>IF(LibraryDataEntry!E49="","",LibraryDataEntry!E49)</f>
        <v/>
      </c>
      <c r="O49" s="29" t="str">
        <f>IF(LibraryDataEntry!H49="","",LibraryDataEntry!H49)</f>
        <v/>
      </c>
      <c r="P49" s="29" t="str">
        <f>IF(LibraryDataEntry!J49="nM",LibraryDataEntry!I49,"")</f>
        <v/>
      </c>
      <c r="Q49" s="29" t="str">
        <f>IF(LibraryDataEntry!J49="ng/ul",LibraryDataEntry!I49,"")</f>
        <v/>
      </c>
      <c r="W49" s="29" t="str">
        <f>IF(LibraryDataEntry!F49="","",LibraryDataEntry!F49)</f>
        <v/>
      </c>
      <c r="X49" s="29" t="str">
        <f>IF(LibraryDataEntry!G49="","",LibraryDataEntry!G49)</f>
        <v/>
      </c>
      <c r="Z49" s="29" t="str">
        <f>IF(LibraryDataEntry!L49="","",LibraryDataEntry!L49)</f>
        <v/>
      </c>
      <c r="AA49" s="29" t="str">
        <f>IF(LibraryDataEntry!J49="","",LibraryDataEntry!J49)</f>
        <v/>
      </c>
      <c r="AB49" s="29" t="str">
        <f>IF(LibraryDataEntry!M49="","",LibraryDataEntry!M49)</f>
        <v/>
      </c>
      <c r="AC49" s="31"/>
      <c r="AD49" s="29" t="str">
        <f>IF(LibraryDataEntry!B49="","",CONCATENATE(RIGHT(LibraryDataEntry!B49,4),"HS"))</f>
        <v/>
      </c>
      <c r="AG49" s="29" t="str">
        <f>IF(LibraryDataEntry!A49="","",LibraryDataEntry!A49)</f>
        <v/>
      </c>
      <c r="AJ49" s="31"/>
      <c r="AM49" s="30"/>
    </row>
    <row r="50" spans="1:39" s="29" customFormat="1" x14ac:dyDescent="0.5">
      <c r="A50" s="28" t="str">
        <f>IF(LibraryDataEntry!C50="","",LibraryDataEntry!C50)</f>
        <v/>
      </c>
      <c r="B50" s="29" t="str">
        <f>IF(LibraryDataEntry!F50="","",CONCATENATE(LibraryDataEntry!F50,"-",LibraryDataEntry!G50))</f>
        <v/>
      </c>
      <c r="I50" s="29" t="str">
        <f>IF(LibraryDataEntry!N50="","",LibraryDataEntry!N50)</f>
        <v/>
      </c>
      <c r="J50" s="29" t="str">
        <f>IF(LibraryDataEntry!E50="","",LibraryDataEntry!E50)</f>
        <v/>
      </c>
      <c r="O50" s="29" t="str">
        <f>IF(LibraryDataEntry!H50="","",LibraryDataEntry!H50)</f>
        <v/>
      </c>
      <c r="P50" s="29" t="str">
        <f>IF(LibraryDataEntry!J50="nM",LibraryDataEntry!I50,"")</f>
        <v/>
      </c>
      <c r="Q50" s="29" t="str">
        <f>IF(LibraryDataEntry!J50="ng/ul",LibraryDataEntry!I50,"")</f>
        <v/>
      </c>
      <c r="W50" s="29" t="str">
        <f>IF(LibraryDataEntry!F50="","",LibraryDataEntry!F50)</f>
        <v/>
      </c>
      <c r="X50" s="29" t="str">
        <f>IF(LibraryDataEntry!G50="","",LibraryDataEntry!G50)</f>
        <v/>
      </c>
      <c r="Z50" s="29" t="str">
        <f>IF(LibraryDataEntry!L50="","",LibraryDataEntry!L50)</f>
        <v/>
      </c>
      <c r="AA50" s="29" t="str">
        <f>IF(LibraryDataEntry!J50="","",LibraryDataEntry!J50)</f>
        <v/>
      </c>
      <c r="AB50" s="29" t="str">
        <f>IF(LibraryDataEntry!M50="","",LibraryDataEntry!M50)</f>
        <v/>
      </c>
      <c r="AC50" s="31"/>
      <c r="AD50" s="29" t="str">
        <f>IF(LibraryDataEntry!B50="","",CONCATENATE(RIGHT(LibraryDataEntry!B50,4),"HS"))</f>
        <v/>
      </c>
      <c r="AG50" s="29" t="str">
        <f>IF(LibraryDataEntry!A50="","",LibraryDataEntry!A50)</f>
        <v/>
      </c>
      <c r="AJ50" s="31"/>
      <c r="AM50" s="30"/>
    </row>
    <row r="51" spans="1:39" s="29" customFormat="1" x14ac:dyDescent="0.5">
      <c r="A51" s="28" t="str">
        <f>IF(LibraryDataEntry!C51="","",LibraryDataEntry!C51)</f>
        <v/>
      </c>
      <c r="B51" s="29" t="str">
        <f>IF(LibraryDataEntry!F51="","",CONCATENATE(LibraryDataEntry!F51,"-",LibraryDataEntry!G51))</f>
        <v/>
      </c>
      <c r="I51" s="29" t="str">
        <f>IF(LibraryDataEntry!N51="","",LibraryDataEntry!N51)</f>
        <v/>
      </c>
      <c r="J51" s="29" t="str">
        <f>IF(LibraryDataEntry!E51="","",LibraryDataEntry!E51)</f>
        <v/>
      </c>
      <c r="O51" s="29" t="str">
        <f>IF(LibraryDataEntry!H51="","",LibraryDataEntry!H51)</f>
        <v/>
      </c>
      <c r="P51" s="29" t="str">
        <f>IF(LibraryDataEntry!J51="nM",LibraryDataEntry!I51,"")</f>
        <v/>
      </c>
      <c r="Q51" s="29" t="str">
        <f>IF(LibraryDataEntry!J51="ng/ul",LibraryDataEntry!I51,"")</f>
        <v/>
      </c>
      <c r="W51" s="29" t="str">
        <f>IF(LibraryDataEntry!F51="","",LibraryDataEntry!F51)</f>
        <v/>
      </c>
      <c r="X51" s="29" t="str">
        <f>IF(LibraryDataEntry!G51="","",LibraryDataEntry!G51)</f>
        <v/>
      </c>
      <c r="Z51" s="29" t="str">
        <f>IF(LibraryDataEntry!L51="","",LibraryDataEntry!L51)</f>
        <v/>
      </c>
      <c r="AA51" s="29" t="str">
        <f>IF(LibraryDataEntry!J51="","",LibraryDataEntry!J51)</f>
        <v/>
      </c>
      <c r="AB51" s="29" t="str">
        <f>IF(LibraryDataEntry!M51="","",LibraryDataEntry!M51)</f>
        <v/>
      </c>
      <c r="AC51" s="31"/>
      <c r="AD51" s="29" t="str">
        <f>IF(LibraryDataEntry!B51="","",CONCATENATE(RIGHT(LibraryDataEntry!B51,4),"HS"))</f>
        <v/>
      </c>
      <c r="AG51" s="29" t="str">
        <f>IF(LibraryDataEntry!A51="","",LibraryDataEntry!A51)</f>
        <v/>
      </c>
      <c r="AJ51" s="31"/>
      <c r="AM51" s="30"/>
    </row>
    <row r="52" spans="1:39" s="29" customFormat="1" x14ac:dyDescent="0.5">
      <c r="A52" s="28" t="str">
        <f>IF(LibraryDataEntry!C52="","",LibraryDataEntry!C52)</f>
        <v/>
      </c>
      <c r="B52" s="29" t="str">
        <f>IF(LibraryDataEntry!F52="","",CONCATENATE(LibraryDataEntry!F52,"-",LibraryDataEntry!G52))</f>
        <v/>
      </c>
      <c r="I52" s="29" t="str">
        <f>IF(LibraryDataEntry!N52="","",LibraryDataEntry!N52)</f>
        <v/>
      </c>
      <c r="J52" s="29" t="str">
        <f>IF(LibraryDataEntry!E52="","",LibraryDataEntry!E52)</f>
        <v/>
      </c>
      <c r="O52" s="29" t="str">
        <f>IF(LibraryDataEntry!H52="","",LibraryDataEntry!H52)</f>
        <v/>
      </c>
      <c r="P52" s="29" t="str">
        <f>IF(LibraryDataEntry!J52="nM",LibraryDataEntry!I52,"")</f>
        <v/>
      </c>
      <c r="Q52" s="29" t="str">
        <f>IF(LibraryDataEntry!J52="ng/ul",LibraryDataEntry!I52,"")</f>
        <v/>
      </c>
      <c r="W52" s="29" t="str">
        <f>IF(LibraryDataEntry!F52="","",LibraryDataEntry!F52)</f>
        <v/>
      </c>
      <c r="X52" s="29" t="str">
        <f>IF(LibraryDataEntry!G52="","",LibraryDataEntry!G52)</f>
        <v/>
      </c>
      <c r="Z52" s="29" t="str">
        <f>IF(LibraryDataEntry!L52="","",LibraryDataEntry!L52)</f>
        <v/>
      </c>
      <c r="AA52" s="29" t="str">
        <f>IF(LibraryDataEntry!J52="","",LibraryDataEntry!J52)</f>
        <v/>
      </c>
      <c r="AB52" s="29" t="str">
        <f>IF(LibraryDataEntry!M52="","",LibraryDataEntry!M52)</f>
        <v/>
      </c>
      <c r="AC52" s="31"/>
      <c r="AD52" s="29" t="str">
        <f>IF(LibraryDataEntry!B52="","",CONCATENATE(RIGHT(LibraryDataEntry!B52,4),"HS"))</f>
        <v/>
      </c>
      <c r="AG52" s="29" t="str">
        <f>IF(LibraryDataEntry!A52="","",LibraryDataEntry!A52)</f>
        <v/>
      </c>
      <c r="AJ52" s="31"/>
      <c r="AM52" s="30"/>
    </row>
    <row r="53" spans="1:39" s="29" customFormat="1" x14ac:dyDescent="0.5">
      <c r="A53" s="28" t="str">
        <f>IF(LibraryDataEntry!C53="","",LibraryDataEntry!C53)</f>
        <v/>
      </c>
      <c r="B53" s="29" t="str">
        <f>IF(LibraryDataEntry!F53="","",CONCATENATE(LibraryDataEntry!F53,"-",LibraryDataEntry!G53))</f>
        <v/>
      </c>
      <c r="I53" s="29" t="str">
        <f>IF(LibraryDataEntry!N53="","",LibraryDataEntry!N53)</f>
        <v/>
      </c>
      <c r="J53" s="29" t="str">
        <f>IF(LibraryDataEntry!E53="","",LibraryDataEntry!E53)</f>
        <v/>
      </c>
      <c r="O53" s="29" t="str">
        <f>IF(LibraryDataEntry!H53="","",LibraryDataEntry!H53)</f>
        <v/>
      </c>
      <c r="P53" s="29" t="str">
        <f>IF(LibraryDataEntry!J53="nM",LibraryDataEntry!I53,"")</f>
        <v/>
      </c>
      <c r="Q53" s="29" t="str">
        <f>IF(LibraryDataEntry!J53="ng/ul",LibraryDataEntry!I53,"")</f>
        <v/>
      </c>
      <c r="W53" s="29" t="str">
        <f>IF(LibraryDataEntry!F53="","",LibraryDataEntry!F53)</f>
        <v/>
      </c>
      <c r="X53" s="29" t="str">
        <f>IF(LibraryDataEntry!G53="","",LibraryDataEntry!G53)</f>
        <v/>
      </c>
      <c r="Z53" s="29" t="str">
        <f>IF(LibraryDataEntry!L53="","",LibraryDataEntry!L53)</f>
        <v/>
      </c>
      <c r="AA53" s="29" t="str">
        <f>IF(LibraryDataEntry!J53="","",LibraryDataEntry!J53)</f>
        <v/>
      </c>
      <c r="AB53" s="29" t="str">
        <f>IF(LibraryDataEntry!M53="","",LibraryDataEntry!M53)</f>
        <v/>
      </c>
      <c r="AC53" s="31"/>
      <c r="AD53" s="29" t="str">
        <f>IF(LibraryDataEntry!B53="","",CONCATENATE(RIGHT(LibraryDataEntry!B53,4),"HS"))</f>
        <v/>
      </c>
      <c r="AG53" s="29" t="str">
        <f>IF(LibraryDataEntry!A53="","",LibraryDataEntry!A53)</f>
        <v/>
      </c>
      <c r="AJ53" s="31"/>
      <c r="AM53" s="30"/>
    </row>
    <row r="54" spans="1:39" s="29" customFormat="1" x14ac:dyDescent="0.5">
      <c r="A54" s="28" t="str">
        <f>IF(LibraryDataEntry!C54="","",LibraryDataEntry!C54)</f>
        <v/>
      </c>
      <c r="B54" s="29" t="str">
        <f>IF(LibraryDataEntry!F54="","",CONCATENATE(LibraryDataEntry!F54,"-",LibraryDataEntry!G54))</f>
        <v/>
      </c>
      <c r="I54" s="29" t="str">
        <f>IF(LibraryDataEntry!N54="","",LibraryDataEntry!N54)</f>
        <v/>
      </c>
      <c r="J54" s="29" t="str">
        <f>IF(LibraryDataEntry!E54="","",LibraryDataEntry!E54)</f>
        <v/>
      </c>
      <c r="O54" s="29" t="str">
        <f>IF(LibraryDataEntry!H54="","",LibraryDataEntry!H54)</f>
        <v/>
      </c>
      <c r="P54" s="29" t="str">
        <f>IF(LibraryDataEntry!J54="nM",LibraryDataEntry!I54,"")</f>
        <v/>
      </c>
      <c r="Q54" s="29" t="str">
        <f>IF(LibraryDataEntry!J54="ng/ul",LibraryDataEntry!I54,"")</f>
        <v/>
      </c>
      <c r="W54" s="29" t="str">
        <f>IF(LibraryDataEntry!F54="","",LibraryDataEntry!F54)</f>
        <v/>
      </c>
      <c r="X54" s="29" t="str">
        <f>IF(LibraryDataEntry!G54="","",LibraryDataEntry!G54)</f>
        <v/>
      </c>
      <c r="Z54" s="29" t="str">
        <f>IF(LibraryDataEntry!L54="","",LibraryDataEntry!L54)</f>
        <v/>
      </c>
      <c r="AA54" s="29" t="str">
        <f>IF(LibraryDataEntry!J54="","",LibraryDataEntry!J54)</f>
        <v/>
      </c>
      <c r="AB54" s="29" t="str">
        <f>IF(LibraryDataEntry!M54="","",LibraryDataEntry!M54)</f>
        <v/>
      </c>
      <c r="AC54" s="31"/>
      <c r="AD54" s="29" t="str">
        <f>IF(LibraryDataEntry!B54="","",CONCATENATE(RIGHT(LibraryDataEntry!B54,4),"HS"))</f>
        <v/>
      </c>
      <c r="AG54" s="29" t="str">
        <f>IF(LibraryDataEntry!A54="","",LibraryDataEntry!A54)</f>
        <v/>
      </c>
      <c r="AJ54" s="31"/>
      <c r="AM54" s="30"/>
    </row>
    <row r="55" spans="1:39" s="29" customFormat="1" x14ac:dyDescent="0.5">
      <c r="A55" s="28" t="str">
        <f>IF(LibraryDataEntry!C55="","",LibraryDataEntry!C55)</f>
        <v/>
      </c>
      <c r="B55" s="29" t="str">
        <f>IF(LibraryDataEntry!F55="","",CONCATENATE(LibraryDataEntry!F55,"-",LibraryDataEntry!G55))</f>
        <v/>
      </c>
      <c r="I55" s="29" t="str">
        <f>IF(LibraryDataEntry!N55="","",LibraryDataEntry!N55)</f>
        <v/>
      </c>
      <c r="J55" s="29" t="str">
        <f>IF(LibraryDataEntry!E55="","",LibraryDataEntry!E55)</f>
        <v/>
      </c>
      <c r="O55" s="29" t="str">
        <f>IF(LibraryDataEntry!H55="","",LibraryDataEntry!H55)</f>
        <v/>
      </c>
      <c r="P55" s="29" t="str">
        <f>IF(LibraryDataEntry!J55="nM",LibraryDataEntry!I55,"")</f>
        <v/>
      </c>
      <c r="Q55" s="29" t="str">
        <f>IF(LibraryDataEntry!J55="ng/ul",LibraryDataEntry!I55,"")</f>
        <v/>
      </c>
      <c r="W55" s="29" t="str">
        <f>IF(LibraryDataEntry!F55="","",LibraryDataEntry!F55)</f>
        <v/>
      </c>
      <c r="X55" s="29" t="str">
        <f>IF(LibraryDataEntry!G55="","",LibraryDataEntry!G55)</f>
        <v/>
      </c>
      <c r="Z55" s="29" t="str">
        <f>IF(LibraryDataEntry!L55="","",LibraryDataEntry!L55)</f>
        <v/>
      </c>
      <c r="AA55" s="29" t="str">
        <f>IF(LibraryDataEntry!J55="","",LibraryDataEntry!J55)</f>
        <v/>
      </c>
      <c r="AB55" s="29" t="str">
        <f>IF(LibraryDataEntry!M55="","",LibraryDataEntry!M55)</f>
        <v/>
      </c>
      <c r="AC55" s="31"/>
      <c r="AD55" s="29" t="str">
        <f>IF(LibraryDataEntry!B55="","",CONCATENATE(RIGHT(LibraryDataEntry!B55,4),"HS"))</f>
        <v/>
      </c>
      <c r="AG55" s="29" t="str">
        <f>IF(LibraryDataEntry!A55="","",LibraryDataEntry!A55)</f>
        <v/>
      </c>
      <c r="AJ55" s="31"/>
      <c r="AM55" s="30"/>
    </row>
    <row r="56" spans="1:39" s="29" customFormat="1" x14ac:dyDescent="0.5">
      <c r="A56" s="28" t="str">
        <f>IF(LibraryDataEntry!C56="","",LibraryDataEntry!C56)</f>
        <v/>
      </c>
      <c r="B56" s="29" t="str">
        <f>IF(LibraryDataEntry!F56="","",CONCATENATE(LibraryDataEntry!F56,"-",LibraryDataEntry!G56))</f>
        <v/>
      </c>
      <c r="I56" s="29" t="str">
        <f>IF(LibraryDataEntry!N56="","",LibraryDataEntry!N56)</f>
        <v/>
      </c>
      <c r="J56" s="29" t="str">
        <f>IF(LibraryDataEntry!E56="","",LibraryDataEntry!E56)</f>
        <v/>
      </c>
      <c r="O56" s="29" t="str">
        <f>IF(LibraryDataEntry!H56="","",LibraryDataEntry!H56)</f>
        <v/>
      </c>
      <c r="P56" s="29" t="str">
        <f>IF(LibraryDataEntry!J56="nM",LibraryDataEntry!I56,"")</f>
        <v/>
      </c>
      <c r="Q56" s="29" t="str">
        <f>IF(LibraryDataEntry!J56="ng/ul",LibraryDataEntry!I56,"")</f>
        <v/>
      </c>
      <c r="W56" s="29" t="str">
        <f>IF(LibraryDataEntry!F56="","",LibraryDataEntry!F56)</f>
        <v/>
      </c>
      <c r="X56" s="29" t="str">
        <f>IF(LibraryDataEntry!G56="","",LibraryDataEntry!G56)</f>
        <v/>
      </c>
      <c r="Z56" s="29" t="str">
        <f>IF(LibraryDataEntry!L56="","",LibraryDataEntry!L56)</f>
        <v/>
      </c>
      <c r="AA56" s="29" t="str">
        <f>IF(LibraryDataEntry!J56="","",LibraryDataEntry!J56)</f>
        <v/>
      </c>
      <c r="AB56" s="29" t="str">
        <f>IF(LibraryDataEntry!M56="","",LibraryDataEntry!M56)</f>
        <v/>
      </c>
      <c r="AC56" s="31"/>
      <c r="AD56" s="29" t="str">
        <f>IF(LibraryDataEntry!B56="","",CONCATENATE(RIGHT(LibraryDataEntry!B56,4),"HS"))</f>
        <v/>
      </c>
      <c r="AG56" s="29" t="str">
        <f>IF(LibraryDataEntry!A56="","",LibraryDataEntry!A56)</f>
        <v/>
      </c>
      <c r="AJ56" s="31"/>
      <c r="AM56" s="30"/>
    </row>
    <row r="57" spans="1:39" s="29" customFormat="1" x14ac:dyDescent="0.5">
      <c r="A57" s="28" t="str">
        <f>IF(LibraryDataEntry!C57="","",LibraryDataEntry!C57)</f>
        <v/>
      </c>
      <c r="B57" s="29" t="str">
        <f>IF(LibraryDataEntry!F57="","",CONCATENATE(LibraryDataEntry!F57,"-",LibraryDataEntry!G57))</f>
        <v/>
      </c>
      <c r="I57" s="29" t="str">
        <f>IF(LibraryDataEntry!N57="","",LibraryDataEntry!N57)</f>
        <v/>
      </c>
      <c r="J57" s="29" t="str">
        <f>IF(LibraryDataEntry!E57="","",LibraryDataEntry!E57)</f>
        <v/>
      </c>
      <c r="O57" s="29" t="str">
        <f>IF(LibraryDataEntry!H57="","",LibraryDataEntry!H57)</f>
        <v/>
      </c>
      <c r="P57" s="29" t="str">
        <f>IF(LibraryDataEntry!J57="nM",LibraryDataEntry!I57,"")</f>
        <v/>
      </c>
      <c r="Q57" s="29" t="str">
        <f>IF(LibraryDataEntry!J57="ng/ul",LibraryDataEntry!I57,"")</f>
        <v/>
      </c>
      <c r="W57" s="29" t="str">
        <f>IF(LibraryDataEntry!F57="","",LibraryDataEntry!F57)</f>
        <v/>
      </c>
      <c r="X57" s="29" t="str">
        <f>IF(LibraryDataEntry!G57="","",LibraryDataEntry!G57)</f>
        <v/>
      </c>
      <c r="Z57" s="29" t="str">
        <f>IF(LibraryDataEntry!L57="","",LibraryDataEntry!L57)</f>
        <v/>
      </c>
      <c r="AA57" s="29" t="str">
        <f>IF(LibraryDataEntry!J57="","",LibraryDataEntry!J57)</f>
        <v/>
      </c>
      <c r="AB57" s="29" t="str">
        <f>IF(LibraryDataEntry!M57="","",LibraryDataEntry!M57)</f>
        <v/>
      </c>
      <c r="AC57" s="31"/>
      <c r="AD57" s="29" t="str">
        <f>IF(LibraryDataEntry!B57="","",CONCATENATE(RIGHT(LibraryDataEntry!B57,4),"HS"))</f>
        <v/>
      </c>
      <c r="AG57" s="29" t="str">
        <f>IF(LibraryDataEntry!A57="","",LibraryDataEntry!A57)</f>
        <v/>
      </c>
      <c r="AJ57" s="31"/>
      <c r="AM57" s="30"/>
    </row>
    <row r="58" spans="1:39" s="29" customFormat="1" x14ac:dyDescent="0.5">
      <c r="A58" s="28" t="str">
        <f>IF(LibraryDataEntry!C58="","",LibraryDataEntry!C58)</f>
        <v/>
      </c>
      <c r="B58" s="29" t="str">
        <f>IF(LibraryDataEntry!F58="","",CONCATENATE(LibraryDataEntry!F58,"-",LibraryDataEntry!G58))</f>
        <v/>
      </c>
      <c r="I58" s="29" t="str">
        <f>IF(LibraryDataEntry!N58="","",LibraryDataEntry!N58)</f>
        <v/>
      </c>
      <c r="J58" s="29" t="str">
        <f>IF(LibraryDataEntry!E58="","",LibraryDataEntry!E58)</f>
        <v/>
      </c>
      <c r="O58" s="29" t="str">
        <f>IF(LibraryDataEntry!H58="","",LibraryDataEntry!H58)</f>
        <v/>
      </c>
      <c r="P58" s="29" t="str">
        <f>IF(LibraryDataEntry!J58="nM",LibraryDataEntry!I58,"")</f>
        <v/>
      </c>
      <c r="Q58" s="29" t="str">
        <f>IF(LibraryDataEntry!J58="ng/ul",LibraryDataEntry!I58,"")</f>
        <v/>
      </c>
      <c r="W58" s="29" t="str">
        <f>IF(LibraryDataEntry!F58="","",LibraryDataEntry!F58)</f>
        <v/>
      </c>
      <c r="X58" s="29" t="str">
        <f>IF(LibraryDataEntry!G58="","",LibraryDataEntry!G58)</f>
        <v/>
      </c>
      <c r="Z58" s="29" t="str">
        <f>IF(LibraryDataEntry!L58="","",LibraryDataEntry!L58)</f>
        <v/>
      </c>
      <c r="AA58" s="29" t="str">
        <f>IF(LibraryDataEntry!J58="","",LibraryDataEntry!J58)</f>
        <v/>
      </c>
      <c r="AB58" s="29" t="str">
        <f>IF(LibraryDataEntry!M58="","",LibraryDataEntry!M58)</f>
        <v/>
      </c>
      <c r="AC58" s="31"/>
      <c r="AD58" s="29" t="str">
        <f>IF(LibraryDataEntry!B58="","",CONCATENATE(RIGHT(LibraryDataEntry!B58,4),"HS"))</f>
        <v/>
      </c>
      <c r="AG58" s="29" t="str">
        <f>IF(LibraryDataEntry!A58="","",LibraryDataEntry!A58)</f>
        <v/>
      </c>
      <c r="AJ58" s="31"/>
      <c r="AM58" s="30"/>
    </row>
    <row r="59" spans="1:39" s="29" customFormat="1" x14ac:dyDescent="0.5">
      <c r="A59" s="28" t="str">
        <f>IF(LibraryDataEntry!C59="","",LibraryDataEntry!C59)</f>
        <v/>
      </c>
      <c r="B59" s="29" t="str">
        <f>IF(LibraryDataEntry!F59="","",CONCATENATE(LibraryDataEntry!F59,"-",LibraryDataEntry!G59))</f>
        <v/>
      </c>
      <c r="I59" s="29" t="str">
        <f>IF(LibraryDataEntry!N59="","",LibraryDataEntry!N59)</f>
        <v/>
      </c>
      <c r="J59" s="29" t="str">
        <f>IF(LibraryDataEntry!E59="","",LibraryDataEntry!E59)</f>
        <v/>
      </c>
      <c r="O59" s="29" t="str">
        <f>IF(LibraryDataEntry!H59="","",LibraryDataEntry!H59)</f>
        <v/>
      </c>
      <c r="P59" s="29" t="str">
        <f>IF(LibraryDataEntry!J59="nM",LibraryDataEntry!I59,"")</f>
        <v/>
      </c>
      <c r="Q59" s="29" t="str">
        <f>IF(LibraryDataEntry!J59="ng/ul",LibraryDataEntry!I59,"")</f>
        <v/>
      </c>
      <c r="W59" s="29" t="str">
        <f>IF(LibraryDataEntry!F59="","",LibraryDataEntry!F59)</f>
        <v/>
      </c>
      <c r="X59" s="29" t="str">
        <f>IF(LibraryDataEntry!G59="","",LibraryDataEntry!G59)</f>
        <v/>
      </c>
      <c r="Z59" s="29" t="str">
        <f>IF(LibraryDataEntry!L59="","",LibraryDataEntry!L59)</f>
        <v/>
      </c>
      <c r="AA59" s="29" t="str">
        <f>IF(LibraryDataEntry!J59="","",LibraryDataEntry!J59)</f>
        <v/>
      </c>
      <c r="AB59" s="29" t="str">
        <f>IF(LibraryDataEntry!M59="","",LibraryDataEntry!M59)</f>
        <v/>
      </c>
      <c r="AC59" s="31"/>
      <c r="AD59" s="29" t="str">
        <f>IF(LibraryDataEntry!B59="","",CONCATENATE(RIGHT(LibraryDataEntry!B59,4),"HS"))</f>
        <v/>
      </c>
      <c r="AG59" s="29" t="str">
        <f>IF(LibraryDataEntry!A59="","",LibraryDataEntry!A59)</f>
        <v/>
      </c>
      <c r="AJ59" s="31"/>
      <c r="AM59" s="30"/>
    </row>
    <row r="60" spans="1:39" s="29" customFormat="1" x14ac:dyDescent="0.5">
      <c r="A60" s="28" t="str">
        <f>IF(LibraryDataEntry!C60="","",LibraryDataEntry!C60)</f>
        <v/>
      </c>
      <c r="B60" s="29" t="str">
        <f>IF(LibraryDataEntry!F60="","",CONCATENATE(LibraryDataEntry!F60,"-",LibraryDataEntry!G60))</f>
        <v/>
      </c>
      <c r="I60" s="29" t="str">
        <f>IF(LibraryDataEntry!N60="","",LibraryDataEntry!N60)</f>
        <v/>
      </c>
      <c r="J60" s="29" t="str">
        <f>IF(LibraryDataEntry!E60="","",LibraryDataEntry!E60)</f>
        <v/>
      </c>
      <c r="O60" s="29" t="str">
        <f>IF(LibraryDataEntry!H60="","",LibraryDataEntry!H60)</f>
        <v/>
      </c>
      <c r="P60" s="29" t="str">
        <f>IF(LibraryDataEntry!J60="nM",LibraryDataEntry!I60,"")</f>
        <v/>
      </c>
      <c r="Q60" s="29" t="str">
        <f>IF(LibraryDataEntry!J60="ng/ul",LibraryDataEntry!I60,"")</f>
        <v/>
      </c>
      <c r="W60" s="29" t="str">
        <f>IF(LibraryDataEntry!F60="","",LibraryDataEntry!F60)</f>
        <v/>
      </c>
      <c r="X60" s="29" t="str">
        <f>IF(LibraryDataEntry!G60="","",LibraryDataEntry!G60)</f>
        <v/>
      </c>
      <c r="Z60" s="29" t="str">
        <f>IF(LibraryDataEntry!L60="","",LibraryDataEntry!L60)</f>
        <v/>
      </c>
      <c r="AA60" s="29" t="str">
        <f>IF(LibraryDataEntry!J60="","",LibraryDataEntry!J60)</f>
        <v/>
      </c>
      <c r="AB60" s="29" t="str">
        <f>IF(LibraryDataEntry!M60="","",LibraryDataEntry!M60)</f>
        <v/>
      </c>
      <c r="AC60" s="31"/>
      <c r="AD60" s="29" t="str">
        <f>IF(LibraryDataEntry!B60="","",CONCATENATE(RIGHT(LibraryDataEntry!B60,4),"HS"))</f>
        <v/>
      </c>
      <c r="AG60" s="29" t="str">
        <f>IF(LibraryDataEntry!A60="","",LibraryDataEntry!A60)</f>
        <v/>
      </c>
      <c r="AJ60" s="31"/>
      <c r="AM60" s="30"/>
    </row>
    <row r="61" spans="1:39" s="29" customFormat="1" x14ac:dyDescent="0.5">
      <c r="A61" s="28" t="str">
        <f>IF(LibraryDataEntry!C61="","",LibraryDataEntry!C61)</f>
        <v/>
      </c>
      <c r="B61" s="29" t="str">
        <f>IF(LibraryDataEntry!F61="","",CONCATENATE(LibraryDataEntry!F61,"-",LibraryDataEntry!G61))</f>
        <v/>
      </c>
      <c r="I61" s="29" t="str">
        <f>IF(LibraryDataEntry!N61="","",LibraryDataEntry!N61)</f>
        <v/>
      </c>
      <c r="J61" s="29" t="str">
        <f>IF(LibraryDataEntry!E61="","",LibraryDataEntry!E61)</f>
        <v/>
      </c>
      <c r="O61" s="29" t="str">
        <f>IF(LibraryDataEntry!H61="","",LibraryDataEntry!H61)</f>
        <v/>
      </c>
      <c r="P61" s="29" t="str">
        <f>IF(LibraryDataEntry!J61="nM",LibraryDataEntry!I61,"")</f>
        <v/>
      </c>
      <c r="Q61" s="29" t="str">
        <f>IF(LibraryDataEntry!J61="ng/ul",LibraryDataEntry!I61,"")</f>
        <v/>
      </c>
      <c r="W61" s="29" t="str">
        <f>IF(LibraryDataEntry!F61="","",LibraryDataEntry!F61)</f>
        <v/>
      </c>
      <c r="X61" s="29" t="str">
        <f>IF(LibraryDataEntry!G61="","",LibraryDataEntry!G61)</f>
        <v/>
      </c>
      <c r="Z61" s="29" t="str">
        <f>IF(LibraryDataEntry!L61="","",LibraryDataEntry!L61)</f>
        <v/>
      </c>
      <c r="AA61" s="29" t="str">
        <f>IF(LibraryDataEntry!J61="","",LibraryDataEntry!J61)</f>
        <v/>
      </c>
      <c r="AB61" s="29" t="str">
        <f>IF(LibraryDataEntry!M61="","",LibraryDataEntry!M61)</f>
        <v/>
      </c>
      <c r="AC61" s="31"/>
      <c r="AD61" s="29" t="str">
        <f>IF(LibraryDataEntry!B61="","",CONCATENATE(RIGHT(LibraryDataEntry!B61,4),"HS"))</f>
        <v/>
      </c>
      <c r="AG61" s="29" t="str">
        <f>IF(LibraryDataEntry!A61="","",LibraryDataEntry!A61)</f>
        <v/>
      </c>
      <c r="AJ61" s="31"/>
      <c r="AM61" s="30"/>
    </row>
    <row r="62" spans="1:39" s="29" customFormat="1" x14ac:dyDescent="0.5">
      <c r="A62" s="28" t="str">
        <f>IF(LibraryDataEntry!C62="","",LibraryDataEntry!C62)</f>
        <v/>
      </c>
      <c r="B62" s="29" t="str">
        <f>IF(LibraryDataEntry!F62="","",CONCATENATE(LibraryDataEntry!F62,"-",LibraryDataEntry!G62))</f>
        <v/>
      </c>
      <c r="I62" s="29" t="str">
        <f>IF(LibraryDataEntry!N62="","",LibraryDataEntry!N62)</f>
        <v/>
      </c>
      <c r="J62" s="29" t="str">
        <f>IF(LibraryDataEntry!E62="","",LibraryDataEntry!E62)</f>
        <v/>
      </c>
      <c r="O62" s="29" t="str">
        <f>IF(LibraryDataEntry!H62="","",LibraryDataEntry!H62)</f>
        <v/>
      </c>
      <c r="P62" s="29" t="str">
        <f>IF(LibraryDataEntry!J62="nM",LibraryDataEntry!I62,"")</f>
        <v/>
      </c>
      <c r="Q62" s="29" t="str">
        <f>IF(LibraryDataEntry!J62="ng/ul",LibraryDataEntry!I62,"")</f>
        <v/>
      </c>
      <c r="W62" s="29" t="str">
        <f>IF(LibraryDataEntry!F62="","",LibraryDataEntry!F62)</f>
        <v/>
      </c>
      <c r="X62" s="29" t="str">
        <f>IF(LibraryDataEntry!G62="","",LibraryDataEntry!G62)</f>
        <v/>
      </c>
      <c r="Z62" s="29" t="str">
        <f>IF(LibraryDataEntry!L62="","",LibraryDataEntry!L62)</f>
        <v/>
      </c>
      <c r="AA62" s="29" t="str">
        <f>IF(LibraryDataEntry!J62="","",LibraryDataEntry!J62)</f>
        <v/>
      </c>
      <c r="AB62" s="29" t="str">
        <f>IF(LibraryDataEntry!M62="","",LibraryDataEntry!M62)</f>
        <v/>
      </c>
      <c r="AC62" s="31"/>
      <c r="AD62" s="29" t="str">
        <f>IF(LibraryDataEntry!B62="","",CONCATENATE(RIGHT(LibraryDataEntry!B62,4),"HS"))</f>
        <v/>
      </c>
      <c r="AG62" s="29" t="str">
        <f>IF(LibraryDataEntry!A62="","",LibraryDataEntry!A62)</f>
        <v/>
      </c>
      <c r="AJ62" s="31"/>
      <c r="AM62" s="30"/>
    </row>
    <row r="63" spans="1:39" s="29" customFormat="1" x14ac:dyDescent="0.5">
      <c r="A63" s="28" t="str">
        <f>IF(LibraryDataEntry!C63="","",LibraryDataEntry!C63)</f>
        <v/>
      </c>
      <c r="B63" s="29" t="str">
        <f>IF(LibraryDataEntry!F63="","",CONCATENATE(LibraryDataEntry!F63,"-",LibraryDataEntry!G63))</f>
        <v/>
      </c>
      <c r="I63" s="29" t="str">
        <f>IF(LibraryDataEntry!N63="","",LibraryDataEntry!N63)</f>
        <v/>
      </c>
      <c r="J63" s="29" t="str">
        <f>IF(LibraryDataEntry!E63="","",LibraryDataEntry!E63)</f>
        <v/>
      </c>
      <c r="O63" s="29" t="str">
        <f>IF(LibraryDataEntry!H63="","",LibraryDataEntry!H63)</f>
        <v/>
      </c>
      <c r="P63" s="29" t="str">
        <f>IF(LibraryDataEntry!J63="nM",LibraryDataEntry!I63,"")</f>
        <v/>
      </c>
      <c r="Q63" s="29" t="str">
        <f>IF(LibraryDataEntry!J63="ng/ul",LibraryDataEntry!I63,"")</f>
        <v/>
      </c>
      <c r="W63" s="29" t="str">
        <f>IF(LibraryDataEntry!F63="","",LibraryDataEntry!F63)</f>
        <v/>
      </c>
      <c r="X63" s="29" t="str">
        <f>IF(LibraryDataEntry!G63="","",LibraryDataEntry!G63)</f>
        <v/>
      </c>
      <c r="Z63" s="29" t="str">
        <f>IF(LibraryDataEntry!L63="","",LibraryDataEntry!L63)</f>
        <v/>
      </c>
      <c r="AA63" s="29" t="str">
        <f>IF(LibraryDataEntry!J63="","",LibraryDataEntry!J63)</f>
        <v/>
      </c>
      <c r="AB63" s="29" t="str">
        <f>IF(LibraryDataEntry!M63="","",LibraryDataEntry!M63)</f>
        <v/>
      </c>
      <c r="AC63" s="31"/>
      <c r="AD63" s="29" t="str">
        <f>IF(LibraryDataEntry!B63="","",CONCATENATE(RIGHT(LibraryDataEntry!B63,4),"HS"))</f>
        <v/>
      </c>
      <c r="AG63" s="29" t="str">
        <f>IF(LibraryDataEntry!A63="","",LibraryDataEntry!A63)</f>
        <v/>
      </c>
      <c r="AJ63" s="31"/>
      <c r="AM63" s="30"/>
    </row>
    <row r="64" spans="1:39" s="29" customFormat="1" x14ac:dyDescent="0.5">
      <c r="A64" s="28" t="str">
        <f>IF(LibraryDataEntry!C64="","",LibraryDataEntry!C64)</f>
        <v/>
      </c>
      <c r="B64" s="29" t="str">
        <f>IF(LibraryDataEntry!F64="","",CONCATENATE(LibraryDataEntry!F64,"-",LibraryDataEntry!G64))</f>
        <v/>
      </c>
      <c r="I64" s="29" t="str">
        <f>IF(LibraryDataEntry!N64="","",LibraryDataEntry!N64)</f>
        <v/>
      </c>
      <c r="J64" s="29" t="str">
        <f>IF(LibraryDataEntry!E64="","",LibraryDataEntry!E64)</f>
        <v/>
      </c>
      <c r="O64" s="29" t="str">
        <f>IF(LibraryDataEntry!H64="","",LibraryDataEntry!H64)</f>
        <v/>
      </c>
      <c r="P64" s="29" t="str">
        <f>IF(LibraryDataEntry!J64="nM",LibraryDataEntry!I64,"")</f>
        <v/>
      </c>
      <c r="Q64" s="29" t="str">
        <f>IF(LibraryDataEntry!J64="ng/ul",LibraryDataEntry!I64,"")</f>
        <v/>
      </c>
      <c r="W64" s="29" t="str">
        <f>IF(LibraryDataEntry!F64="","",LibraryDataEntry!F64)</f>
        <v/>
      </c>
      <c r="X64" s="29" t="str">
        <f>IF(LibraryDataEntry!G64="","",LibraryDataEntry!G64)</f>
        <v/>
      </c>
      <c r="Z64" s="29" t="str">
        <f>IF(LibraryDataEntry!L64="","",LibraryDataEntry!L64)</f>
        <v/>
      </c>
      <c r="AA64" s="29" t="str">
        <f>IF(LibraryDataEntry!J64="","",LibraryDataEntry!J64)</f>
        <v/>
      </c>
      <c r="AB64" s="29" t="str">
        <f>IF(LibraryDataEntry!M64="","",LibraryDataEntry!M64)</f>
        <v/>
      </c>
      <c r="AC64" s="31"/>
      <c r="AD64" s="29" t="str">
        <f>IF(LibraryDataEntry!B64="","",CONCATENATE(RIGHT(LibraryDataEntry!B64,4),"HS"))</f>
        <v/>
      </c>
      <c r="AG64" s="29" t="str">
        <f>IF(LibraryDataEntry!A64="","",LibraryDataEntry!A64)</f>
        <v/>
      </c>
      <c r="AJ64" s="31"/>
      <c r="AM64" s="30"/>
    </row>
    <row r="65" spans="1:39" s="29" customFormat="1" x14ac:dyDescent="0.5">
      <c r="A65" s="28" t="str">
        <f>IF(LibraryDataEntry!C65="","",LibraryDataEntry!C65)</f>
        <v/>
      </c>
      <c r="B65" s="29" t="str">
        <f>IF(LibraryDataEntry!F65="","",CONCATENATE(LibraryDataEntry!F65,"-",LibraryDataEntry!G65))</f>
        <v/>
      </c>
      <c r="I65" s="29" t="str">
        <f>IF(LibraryDataEntry!N65="","",LibraryDataEntry!N65)</f>
        <v/>
      </c>
      <c r="J65" s="29" t="str">
        <f>IF(LibraryDataEntry!E65="","",LibraryDataEntry!E65)</f>
        <v/>
      </c>
      <c r="O65" s="29" t="str">
        <f>IF(LibraryDataEntry!H65="","",LibraryDataEntry!H65)</f>
        <v/>
      </c>
      <c r="P65" s="29" t="str">
        <f>IF(LibraryDataEntry!J65="nM",LibraryDataEntry!I65,"")</f>
        <v/>
      </c>
      <c r="Q65" s="29" t="str">
        <f>IF(LibraryDataEntry!J65="ng/ul",LibraryDataEntry!I65,"")</f>
        <v/>
      </c>
      <c r="W65" s="29" t="str">
        <f>IF(LibraryDataEntry!F65="","",LibraryDataEntry!F65)</f>
        <v/>
      </c>
      <c r="X65" s="29" t="str">
        <f>IF(LibraryDataEntry!G65="","",LibraryDataEntry!G65)</f>
        <v/>
      </c>
      <c r="Z65" s="29" t="str">
        <f>IF(LibraryDataEntry!L65="","",LibraryDataEntry!L65)</f>
        <v/>
      </c>
      <c r="AA65" s="29" t="str">
        <f>IF(LibraryDataEntry!J65="","",LibraryDataEntry!J65)</f>
        <v/>
      </c>
      <c r="AB65" s="29" t="str">
        <f>IF(LibraryDataEntry!M65="","",LibraryDataEntry!M65)</f>
        <v/>
      </c>
      <c r="AC65" s="31"/>
      <c r="AD65" s="29" t="str">
        <f>IF(LibraryDataEntry!B65="","",CONCATENATE(RIGHT(LibraryDataEntry!B65,4),"HS"))</f>
        <v/>
      </c>
      <c r="AG65" s="29" t="str">
        <f>IF(LibraryDataEntry!A65="","",LibraryDataEntry!A65)</f>
        <v/>
      </c>
      <c r="AJ65" s="31"/>
      <c r="AM65" s="30"/>
    </row>
    <row r="66" spans="1:39" s="29" customFormat="1" x14ac:dyDescent="0.5">
      <c r="A66" s="28" t="str">
        <f>IF(LibraryDataEntry!C66="","",LibraryDataEntry!C66)</f>
        <v/>
      </c>
      <c r="B66" s="29" t="str">
        <f>IF(LibraryDataEntry!F66="","",CONCATENATE(LibraryDataEntry!F66,"-",LibraryDataEntry!G66))</f>
        <v/>
      </c>
      <c r="I66" s="29" t="str">
        <f>IF(LibraryDataEntry!N66="","",LibraryDataEntry!N66)</f>
        <v/>
      </c>
      <c r="J66" s="29" t="str">
        <f>IF(LibraryDataEntry!E66="","",LibraryDataEntry!E66)</f>
        <v/>
      </c>
      <c r="O66" s="29" t="str">
        <f>IF(LibraryDataEntry!H66="","",LibraryDataEntry!H66)</f>
        <v/>
      </c>
      <c r="P66" s="29" t="str">
        <f>IF(LibraryDataEntry!J66="nM",LibraryDataEntry!I66,"")</f>
        <v/>
      </c>
      <c r="Q66" s="29" t="str">
        <f>IF(LibraryDataEntry!J66="ng/ul",LibraryDataEntry!I66,"")</f>
        <v/>
      </c>
      <c r="W66" s="29" t="str">
        <f>IF(LibraryDataEntry!F66="","",LibraryDataEntry!F66)</f>
        <v/>
      </c>
      <c r="X66" s="29" t="str">
        <f>IF(LibraryDataEntry!G66="","",LibraryDataEntry!G66)</f>
        <v/>
      </c>
      <c r="Z66" s="29" t="str">
        <f>IF(LibraryDataEntry!L66="","",LibraryDataEntry!L66)</f>
        <v/>
      </c>
      <c r="AA66" s="29" t="str">
        <f>IF(LibraryDataEntry!J66="","",LibraryDataEntry!J66)</f>
        <v/>
      </c>
      <c r="AB66" s="29" t="str">
        <f>IF(LibraryDataEntry!M66="","",LibraryDataEntry!M66)</f>
        <v/>
      </c>
      <c r="AC66" s="31"/>
      <c r="AD66" s="29" t="str">
        <f>IF(LibraryDataEntry!B66="","",CONCATENATE(RIGHT(LibraryDataEntry!B66,4),"HS"))</f>
        <v/>
      </c>
      <c r="AG66" s="29" t="str">
        <f>IF(LibraryDataEntry!A66="","",LibraryDataEntry!A66)</f>
        <v/>
      </c>
      <c r="AJ66" s="31"/>
      <c r="AM66" s="30"/>
    </row>
    <row r="67" spans="1:39" s="29" customFormat="1" x14ac:dyDescent="0.5">
      <c r="A67" s="28" t="str">
        <f>IF(LibraryDataEntry!C67="","",LibraryDataEntry!C67)</f>
        <v/>
      </c>
      <c r="B67" s="29" t="str">
        <f>IF(LibraryDataEntry!F67="","",CONCATENATE(LibraryDataEntry!F67,"-",LibraryDataEntry!G67))</f>
        <v/>
      </c>
      <c r="I67" s="29" t="str">
        <f>IF(LibraryDataEntry!N67="","",LibraryDataEntry!N67)</f>
        <v/>
      </c>
      <c r="J67" s="29" t="str">
        <f>IF(LibraryDataEntry!E67="","",LibraryDataEntry!E67)</f>
        <v/>
      </c>
      <c r="O67" s="29" t="str">
        <f>IF(LibraryDataEntry!H67="","",LibraryDataEntry!H67)</f>
        <v/>
      </c>
      <c r="P67" s="29" t="str">
        <f>IF(LibraryDataEntry!J67="nM",LibraryDataEntry!I67,"")</f>
        <v/>
      </c>
      <c r="Q67" s="29" t="str">
        <f>IF(LibraryDataEntry!J67="ng/ul",LibraryDataEntry!I67,"")</f>
        <v/>
      </c>
      <c r="W67" s="29" t="str">
        <f>IF(LibraryDataEntry!F67="","",LibraryDataEntry!F67)</f>
        <v/>
      </c>
      <c r="X67" s="29" t="str">
        <f>IF(LibraryDataEntry!G67="","",LibraryDataEntry!G67)</f>
        <v/>
      </c>
      <c r="Z67" s="29" t="str">
        <f>IF(LibraryDataEntry!L67="","",LibraryDataEntry!L67)</f>
        <v/>
      </c>
      <c r="AA67" s="29" t="str">
        <f>IF(LibraryDataEntry!J67="","",LibraryDataEntry!J67)</f>
        <v/>
      </c>
      <c r="AB67" s="29" t="str">
        <f>IF(LibraryDataEntry!M67="","",LibraryDataEntry!M67)</f>
        <v/>
      </c>
      <c r="AC67" s="31"/>
      <c r="AD67" s="29" t="str">
        <f>IF(LibraryDataEntry!B67="","",CONCATENATE(RIGHT(LibraryDataEntry!B67,4),"HS"))</f>
        <v/>
      </c>
      <c r="AG67" s="29" t="str">
        <f>IF(LibraryDataEntry!A67="","",LibraryDataEntry!A67)</f>
        <v/>
      </c>
      <c r="AJ67" s="31"/>
      <c r="AM67" s="30"/>
    </row>
    <row r="68" spans="1:39" s="29" customFormat="1" x14ac:dyDescent="0.5">
      <c r="A68" s="28" t="str">
        <f>IF(LibraryDataEntry!C68="","",LibraryDataEntry!C68)</f>
        <v/>
      </c>
      <c r="B68" s="29" t="str">
        <f>IF(LibraryDataEntry!F68="","",CONCATENATE(LibraryDataEntry!F68,"-",LibraryDataEntry!G68))</f>
        <v/>
      </c>
      <c r="I68" s="29" t="str">
        <f>IF(LibraryDataEntry!N68="","",LibraryDataEntry!N68)</f>
        <v/>
      </c>
      <c r="J68" s="29" t="str">
        <f>IF(LibraryDataEntry!E68="","",LibraryDataEntry!E68)</f>
        <v/>
      </c>
      <c r="O68" s="29" t="str">
        <f>IF(LibraryDataEntry!H68="","",LibraryDataEntry!H68)</f>
        <v/>
      </c>
      <c r="P68" s="29" t="str">
        <f>IF(LibraryDataEntry!J68="nM",LibraryDataEntry!I68,"")</f>
        <v/>
      </c>
      <c r="Q68" s="29" t="str">
        <f>IF(LibraryDataEntry!J68="ng/ul",LibraryDataEntry!I68,"")</f>
        <v/>
      </c>
      <c r="W68" s="29" t="str">
        <f>IF(LibraryDataEntry!F68="","",LibraryDataEntry!F68)</f>
        <v/>
      </c>
      <c r="X68" s="29" t="str">
        <f>IF(LibraryDataEntry!G68="","",LibraryDataEntry!G68)</f>
        <v/>
      </c>
      <c r="Z68" s="29" t="str">
        <f>IF(LibraryDataEntry!L68="","",LibraryDataEntry!L68)</f>
        <v/>
      </c>
      <c r="AA68" s="29" t="str">
        <f>IF(LibraryDataEntry!J68="","",LibraryDataEntry!J68)</f>
        <v/>
      </c>
      <c r="AB68" s="29" t="str">
        <f>IF(LibraryDataEntry!M68="","",LibraryDataEntry!M68)</f>
        <v/>
      </c>
      <c r="AC68" s="31"/>
      <c r="AD68" s="29" t="str">
        <f>IF(LibraryDataEntry!B68="","",CONCATENATE(RIGHT(LibraryDataEntry!B68,4),"HS"))</f>
        <v/>
      </c>
      <c r="AG68" s="29" t="str">
        <f>IF(LibraryDataEntry!A68="","",LibraryDataEntry!A68)</f>
        <v/>
      </c>
      <c r="AJ68" s="31"/>
      <c r="AM68" s="30"/>
    </row>
    <row r="69" spans="1:39" s="29" customFormat="1" x14ac:dyDescent="0.5">
      <c r="A69" s="28" t="str">
        <f>IF(LibraryDataEntry!C69="","",LibraryDataEntry!C69)</f>
        <v/>
      </c>
      <c r="B69" s="29" t="str">
        <f>IF(LibraryDataEntry!F69="","",CONCATENATE(LibraryDataEntry!F69,"-",LibraryDataEntry!G69))</f>
        <v/>
      </c>
      <c r="I69" s="29" t="str">
        <f>IF(LibraryDataEntry!N69="","",LibraryDataEntry!N69)</f>
        <v/>
      </c>
      <c r="J69" s="29" t="str">
        <f>IF(LibraryDataEntry!E69="","",LibraryDataEntry!E69)</f>
        <v/>
      </c>
      <c r="O69" s="29" t="str">
        <f>IF(LibraryDataEntry!H69="","",LibraryDataEntry!H69)</f>
        <v/>
      </c>
      <c r="P69" s="29" t="str">
        <f>IF(LibraryDataEntry!J69="nM",LibraryDataEntry!I69,"")</f>
        <v/>
      </c>
      <c r="Q69" s="29" t="str">
        <f>IF(LibraryDataEntry!J69="ng/ul",LibraryDataEntry!I69,"")</f>
        <v/>
      </c>
      <c r="W69" s="29" t="str">
        <f>IF(LibraryDataEntry!F69="","",LibraryDataEntry!F69)</f>
        <v/>
      </c>
      <c r="X69" s="29" t="str">
        <f>IF(LibraryDataEntry!G69="","",LibraryDataEntry!G69)</f>
        <v/>
      </c>
      <c r="Z69" s="29" t="str">
        <f>IF(LibraryDataEntry!L69="","",LibraryDataEntry!L69)</f>
        <v/>
      </c>
      <c r="AA69" s="29" t="str">
        <f>IF(LibraryDataEntry!J69="","",LibraryDataEntry!J69)</f>
        <v/>
      </c>
      <c r="AB69" s="29" t="str">
        <f>IF(LibraryDataEntry!M69="","",LibraryDataEntry!M69)</f>
        <v/>
      </c>
      <c r="AC69" s="31"/>
      <c r="AD69" s="29" t="str">
        <f>IF(LibraryDataEntry!B69="","",CONCATENATE(RIGHT(LibraryDataEntry!B69,4),"HS"))</f>
        <v/>
      </c>
      <c r="AG69" s="29" t="str">
        <f>IF(LibraryDataEntry!A69="","",LibraryDataEntry!A69)</f>
        <v/>
      </c>
      <c r="AJ69" s="31"/>
      <c r="AM69" s="30"/>
    </row>
    <row r="70" spans="1:39" s="29" customFormat="1" x14ac:dyDescent="0.5">
      <c r="A70" s="28" t="str">
        <f>IF(LibraryDataEntry!C70="","",LibraryDataEntry!C70)</f>
        <v/>
      </c>
      <c r="B70" s="29" t="str">
        <f>IF(LibraryDataEntry!F70="","",CONCATENATE(LibraryDataEntry!F70,"-",LibraryDataEntry!G70))</f>
        <v/>
      </c>
      <c r="I70" s="29" t="str">
        <f>IF(LibraryDataEntry!N70="","",LibraryDataEntry!N70)</f>
        <v/>
      </c>
      <c r="J70" s="29" t="str">
        <f>IF(LibraryDataEntry!E70="","",LibraryDataEntry!E70)</f>
        <v/>
      </c>
      <c r="O70" s="29" t="str">
        <f>IF(LibraryDataEntry!H70="","",LibraryDataEntry!H70)</f>
        <v/>
      </c>
      <c r="P70" s="29" t="str">
        <f>IF(LibraryDataEntry!J70="nM",LibraryDataEntry!I70,"")</f>
        <v/>
      </c>
      <c r="Q70" s="29" t="str">
        <f>IF(LibraryDataEntry!J70="ng/ul",LibraryDataEntry!I70,"")</f>
        <v/>
      </c>
      <c r="W70" s="29" t="str">
        <f>IF(LibraryDataEntry!F70="","",LibraryDataEntry!F70)</f>
        <v/>
      </c>
      <c r="X70" s="29" t="str">
        <f>IF(LibraryDataEntry!G70="","",LibraryDataEntry!G70)</f>
        <v/>
      </c>
      <c r="Z70" s="29" t="str">
        <f>IF(LibraryDataEntry!L70="","",LibraryDataEntry!L70)</f>
        <v/>
      </c>
      <c r="AA70" s="29" t="str">
        <f>IF(LibraryDataEntry!J70="","",LibraryDataEntry!J70)</f>
        <v/>
      </c>
      <c r="AB70" s="29" t="str">
        <f>IF(LibraryDataEntry!M70="","",LibraryDataEntry!M70)</f>
        <v/>
      </c>
      <c r="AC70" s="31"/>
      <c r="AD70" s="29" t="str">
        <f>IF(LibraryDataEntry!B70="","",CONCATENATE(RIGHT(LibraryDataEntry!B70,4),"HS"))</f>
        <v/>
      </c>
      <c r="AG70" s="29" t="str">
        <f>IF(LibraryDataEntry!A70="","",LibraryDataEntry!A70)</f>
        <v/>
      </c>
      <c r="AJ70" s="31"/>
      <c r="AM70" s="30"/>
    </row>
    <row r="71" spans="1:39" s="29" customFormat="1" x14ac:dyDescent="0.5">
      <c r="A71" s="28" t="str">
        <f>IF(LibraryDataEntry!C71="","",LibraryDataEntry!C71)</f>
        <v/>
      </c>
      <c r="B71" s="29" t="str">
        <f>IF(LibraryDataEntry!F71="","",CONCATENATE(LibraryDataEntry!F71,"-",LibraryDataEntry!G71))</f>
        <v/>
      </c>
      <c r="I71" s="29" t="str">
        <f>IF(LibraryDataEntry!N71="","",LibraryDataEntry!N71)</f>
        <v/>
      </c>
      <c r="J71" s="29" t="str">
        <f>IF(LibraryDataEntry!E71="","",LibraryDataEntry!E71)</f>
        <v/>
      </c>
      <c r="O71" s="29" t="str">
        <f>IF(LibraryDataEntry!H71="","",LibraryDataEntry!H71)</f>
        <v/>
      </c>
      <c r="P71" s="29" t="str">
        <f>IF(LibraryDataEntry!J71="nM",LibraryDataEntry!I71,"")</f>
        <v/>
      </c>
      <c r="Q71" s="29" t="str">
        <f>IF(LibraryDataEntry!J71="ng/ul",LibraryDataEntry!I71,"")</f>
        <v/>
      </c>
      <c r="W71" s="29" t="str">
        <f>IF(LibraryDataEntry!F71="","",LibraryDataEntry!F71)</f>
        <v/>
      </c>
      <c r="X71" s="29" t="str">
        <f>IF(LibraryDataEntry!G71="","",LibraryDataEntry!G71)</f>
        <v/>
      </c>
      <c r="Z71" s="29" t="str">
        <f>IF(LibraryDataEntry!L71="","",LibraryDataEntry!L71)</f>
        <v/>
      </c>
      <c r="AA71" s="29" t="str">
        <f>IF(LibraryDataEntry!J71="","",LibraryDataEntry!J71)</f>
        <v/>
      </c>
      <c r="AB71" s="29" t="str">
        <f>IF(LibraryDataEntry!M71="","",LibraryDataEntry!M71)</f>
        <v/>
      </c>
      <c r="AC71" s="31"/>
      <c r="AD71" s="29" t="str">
        <f>IF(LibraryDataEntry!B71="","",CONCATENATE(RIGHT(LibraryDataEntry!B71,4),"HS"))</f>
        <v/>
      </c>
      <c r="AG71" s="29" t="str">
        <f>IF(LibraryDataEntry!A71="","",LibraryDataEntry!A71)</f>
        <v/>
      </c>
      <c r="AJ71" s="31"/>
      <c r="AM71" s="30"/>
    </row>
    <row r="72" spans="1:39" s="29" customFormat="1" x14ac:dyDescent="0.5">
      <c r="A72" s="28" t="str">
        <f>IF(LibraryDataEntry!C72="","",LibraryDataEntry!C72)</f>
        <v/>
      </c>
      <c r="B72" s="29" t="str">
        <f>IF(LibraryDataEntry!F72="","",CONCATENATE(LibraryDataEntry!F72,"-",LibraryDataEntry!G72))</f>
        <v/>
      </c>
      <c r="I72" s="29" t="str">
        <f>IF(LibraryDataEntry!N72="","",LibraryDataEntry!N72)</f>
        <v/>
      </c>
      <c r="J72" s="29" t="str">
        <f>IF(LibraryDataEntry!E72="","",LibraryDataEntry!E72)</f>
        <v/>
      </c>
      <c r="O72" s="29" t="str">
        <f>IF(LibraryDataEntry!H72="","",LibraryDataEntry!H72)</f>
        <v/>
      </c>
      <c r="P72" s="29" t="str">
        <f>IF(LibraryDataEntry!J72="nM",LibraryDataEntry!I72,"")</f>
        <v/>
      </c>
      <c r="Q72" s="29" t="str">
        <f>IF(LibraryDataEntry!J72="ng/ul",LibraryDataEntry!I72,"")</f>
        <v/>
      </c>
      <c r="W72" s="29" t="str">
        <f>IF(LibraryDataEntry!F72="","",LibraryDataEntry!F72)</f>
        <v/>
      </c>
      <c r="X72" s="29" t="str">
        <f>IF(LibraryDataEntry!G72="","",LibraryDataEntry!G72)</f>
        <v/>
      </c>
      <c r="Z72" s="29" t="str">
        <f>IF(LibraryDataEntry!L72="","",LibraryDataEntry!L72)</f>
        <v/>
      </c>
      <c r="AA72" s="29" t="str">
        <f>IF(LibraryDataEntry!J72="","",LibraryDataEntry!J72)</f>
        <v/>
      </c>
      <c r="AB72" s="29" t="str">
        <f>IF(LibraryDataEntry!M72="","",LibraryDataEntry!M72)</f>
        <v/>
      </c>
      <c r="AC72" s="31"/>
      <c r="AD72" s="29" t="str">
        <f>IF(LibraryDataEntry!B72="","",CONCATENATE(RIGHT(LibraryDataEntry!B72,4),"HS"))</f>
        <v/>
      </c>
      <c r="AG72" s="29" t="str">
        <f>IF(LibraryDataEntry!A72="","",LibraryDataEntry!A72)</f>
        <v/>
      </c>
      <c r="AJ72" s="31"/>
      <c r="AM72" s="30"/>
    </row>
    <row r="73" spans="1:39" s="29" customFormat="1" x14ac:dyDescent="0.5">
      <c r="A73" s="28" t="str">
        <f>IF(LibraryDataEntry!C73="","",LibraryDataEntry!C73)</f>
        <v/>
      </c>
      <c r="B73" s="29" t="str">
        <f>IF(LibraryDataEntry!F73="","",CONCATENATE(LibraryDataEntry!F73,"-",LibraryDataEntry!G73))</f>
        <v/>
      </c>
      <c r="I73" s="29" t="str">
        <f>IF(LibraryDataEntry!N73="","",LibraryDataEntry!N73)</f>
        <v/>
      </c>
      <c r="J73" s="29" t="str">
        <f>IF(LibraryDataEntry!E73="","",LibraryDataEntry!E73)</f>
        <v/>
      </c>
      <c r="O73" s="29" t="str">
        <f>IF(LibraryDataEntry!H73="","",LibraryDataEntry!H73)</f>
        <v/>
      </c>
      <c r="P73" s="29" t="str">
        <f>IF(LibraryDataEntry!J73="nM",LibraryDataEntry!I73,"")</f>
        <v/>
      </c>
      <c r="Q73" s="29" t="str">
        <f>IF(LibraryDataEntry!J73="ng/ul",LibraryDataEntry!I73,"")</f>
        <v/>
      </c>
      <c r="W73" s="29" t="str">
        <f>IF(LibraryDataEntry!F73="","",LibraryDataEntry!F73)</f>
        <v/>
      </c>
      <c r="X73" s="29" t="str">
        <f>IF(LibraryDataEntry!G73="","",LibraryDataEntry!G73)</f>
        <v/>
      </c>
      <c r="Z73" s="29" t="str">
        <f>IF(LibraryDataEntry!L73="","",LibraryDataEntry!L73)</f>
        <v/>
      </c>
      <c r="AA73" s="29" t="str">
        <f>IF(LibraryDataEntry!J73="","",LibraryDataEntry!J73)</f>
        <v/>
      </c>
      <c r="AB73" s="29" t="str">
        <f>IF(LibraryDataEntry!M73="","",LibraryDataEntry!M73)</f>
        <v/>
      </c>
      <c r="AC73" s="31"/>
      <c r="AD73" s="29" t="str">
        <f>IF(LibraryDataEntry!B73="","",CONCATENATE(RIGHT(LibraryDataEntry!B73,4),"HS"))</f>
        <v/>
      </c>
      <c r="AG73" s="29" t="str">
        <f>IF(LibraryDataEntry!A73="","",LibraryDataEntry!A73)</f>
        <v/>
      </c>
      <c r="AJ73" s="31"/>
      <c r="AM73" s="30"/>
    </row>
    <row r="74" spans="1:39" s="29" customFormat="1" x14ac:dyDescent="0.5">
      <c r="A74" s="28" t="str">
        <f>IF(LibraryDataEntry!C74="","",LibraryDataEntry!C74)</f>
        <v/>
      </c>
      <c r="B74" s="29" t="str">
        <f>IF(LibraryDataEntry!F74="","",CONCATENATE(LibraryDataEntry!F74,"-",LibraryDataEntry!G74))</f>
        <v/>
      </c>
      <c r="I74" s="29" t="str">
        <f>IF(LibraryDataEntry!N74="","",LibraryDataEntry!N74)</f>
        <v/>
      </c>
      <c r="J74" s="29" t="str">
        <f>IF(LibraryDataEntry!E74="","",LibraryDataEntry!E74)</f>
        <v/>
      </c>
      <c r="O74" s="29" t="str">
        <f>IF(LibraryDataEntry!H74="","",LibraryDataEntry!H74)</f>
        <v/>
      </c>
      <c r="P74" s="29" t="str">
        <f>IF(LibraryDataEntry!J74="nM",LibraryDataEntry!I74,"")</f>
        <v/>
      </c>
      <c r="Q74" s="29" t="str">
        <f>IF(LibraryDataEntry!J74="ng/ul",LibraryDataEntry!I74,"")</f>
        <v/>
      </c>
      <c r="W74" s="29" t="str">
        <f>IF(LibraryDataEntry!F74="","",LibraryDataEntry!F74)</f>
        <v/>
      </c>
      <c r="X74" s="29" t="str">
        <f>IF(LibraryDataEntry!G74="","",LibraryDataEntry!G74)</f>
        <v/>
      </c>
      <c r="Z74" s="29" t="str">
        <f>IF(LibraryDataEntry!L74="","",LibraryDataEntry!L74)</f>
        <v/>
      </c>
      <c r="AA74" s="29" t="str">
        <f>IF(LibraryDataEntry!J74="","",LibraryDataEntry!J74)</f>
        <v/>
      </c>
      <c r="AB74" s="29" t="str">
        <f>IF(LibraryDataEntry!M74="","",LibraryDataEntry!M74)</f>
        <v/>
      </c>
      <c r="AC74" s="31"/>
      <c r="AD74" s="29" t="str">
        <f>IF(LibraryDataEntry!B74="","",CONCATENATE(RIGHT(LibraryDataEntry!B74,4),"HS"))</f>
        <v/>
      </c>
      <c r="AG74" s="29" t="str">
        <f>IF(LibraryDataEntry!A74="","",LibraryDataEntry!A74)</f>
        <v/>
      </c>
      <c r="AJ74" s="31"/>
      <c r="AM74" s="30"/>
    </row>
    <row r="75" spans="1:39" s="29" customFormat="1" x14ac:dyDescent="0.5">
      <c r="A75" s="28" t="str">
        <f>IF(LibraryDataEntry!C75="","",LibraryDataEntry!C75)</f>
        <v/>
      </c>
      <c r="B75" s="29" t="str">
        <f>IF(LibraryDataEntry!F75="","",CONCATENATE(LibraryDataEntry!F75,"-",LibraryDataEntry!G75))</f>
        <v/>
      </c>
      <c r="I75" s="29" t="str">
        <f>IF(LibraryDataEntry!N75="","",LibraryDataEntry!N75)</f>
        <v/>
      </c>
      <c r="J75" s="29" t="str">
        <f>IF(LibraryDataEntry!E75="","",LibraryDataEntry!E75)</f>
        <v/>
      </c>
      <c r="O75" s="29" t="str">
        <f>IF(LibraryDataEntry!H75="","",LibraryDataEntry!H75)</f>
        <v/>
      </c>
      <c r="P75" s="29" t="str">
        <f>IF(LibraryDataEntry!J75="nM",LibraryDataEntry!I75,"")</f>
        <v/>
      </c>
      <c r="Q75" s="29" t="str">
        <f>IF(LibraryDataEntry!J75="ng/ul",LibraryDataEntry!I75,"")</f>
        <v/>
      </c>
      <c r="W75" s="29" t="str">
        <f>IF(LibraryDataEntry!F75="","",LibraryDataEntry!F75)</f>
        <v/>
      </c>
      <c r="X75" s="29" t="str">
        <f>IF(LibraryDataEntry!G75="","",LibraryDataEntry!G75)</f>
        <v/>
      </c>
      <c r="Z75" s="29" t="str">
        <f>IF(LibraryDataEntry!L75="","",LibraryDataEntry!L75)</f>
        <v/>
      </c>
      <c r="AA75" s="29" t="str">
        <f>IF(LibraryDataEntry!J75="","",LibraryDataEntry!J75)</f>
        <v/>
      </c>
      <c r="AB75" s="29" t="str">
        <f>IF(LibraryDataEntry!M75="","",LibraryDataEntry!M75)</f>
        <v/>
      </c>
      <c r="AC75" s="31"/>
      <c r="AD75" s="29" t="str">
        <f>IF(LibraryDataEntry!B75="","",CONCATENATE(RIGHT(LibraryDataEntry!B75,4),"HS"))</f>
        <v/>
      </c>
      <c r="AG75" s="29" t="str">
        <f>IF(LibraryDataEntry!A75="","",LibraryDataEntry!A75)</f>
        <v/>
      </c>
      <c r="AJ75" s="31"/>
      <c r="AM75" s="30"/>
    </row>
    <row r="76" spans="1:39" s="29" customFormat="1" x14ac:dyDescent="0.5">
      <c r="A76" s="28" t="str">
        <f>IF(LibraryDataEntry!C76="","",LibraryDataEntry!C76)</f>
        <v/>
      </c>
      <c r="B76" s="29" t="str">
        <f>IF(LibraryDataEntry!F76="","",CONCATENATE(LibraryDataEntry!F76,"-",LibraryDataEntry!G76))</f>
        <v/>
      </c>
      <c r="I76" s="29" t="str">
        <f>IF(LibraryDataEntry!N76="","",LibraryDataEntry!N76)</f>
        <v/>
      </c>
      <c r="J76" s="29" t="str">
        <f>IF(LibraryDataEntry!E76="","",LibraryDataEntry!E76)</f>
        <v/>
      </c>
      <c r="O76" s="29" t="str">
        <f>IF(LibraryDataEntry!H76="","",LibraryDataEntry!H76)</f>
        <v/>
      </c>
      <c r="P76" s="29" t="str">
        <f>IF(LibraryDataEntry!J76="nM",LibraryDataEntry!I76,"")</f>
        <v/>
      </c>
      <c r="Q76" s="29" t="str">
        <f>IF(LibraryDataEntry!J76="ng/ul",LibraryDataEntry!I76,"")</f>
        <v/>
      </c>
      <c r="W76" s="29" t="str">
        <f>IF(LibraryDataEntry!F76="","",LibraryDataEntry!F76)</f>
        <v/>
      </c>
      <c r="X76" s="29" t="str">
        <f>IF(LibraryDataEntry!G76="","",LibraryDataEntry!G76)</f>
        <v/>
      </c>
      <c r="Z76" s="29" t="str">
        <f>IF(LibraryDataEntry!L76="","",LibraryDataEntry!L76)</f>
        <v/>
      </c>
      <c r="AA76" s="29" t="str">
        <f>IF(LibraryDataEntry!J76="","",LibraryDataEntry!J76)</f>
        <v/>
      </c>
      <c r="AB76" s="29" t="str">
        <f>IF(LibraryDataEntry!M76="","",LibraryDataEntry!M76)</f>
        <v/>
      </c>
      <c r="AC76" s="31"/>
      <c r="AD76" s="29" t="str">
        <f>IF(LibraryDataEntry!B76="","",CONCATENATE(RIGHT(LibraryDataEntry!B76,4),"HS"))</f>
        <v/>
      </c>
      <c r="AG76" s="29" t="str">
        <f>IF(LibraryDataEntry!A76="","",LibraryDataEntry!A76)</f>
        <v/>
      </c>
      <c r="AJ76" s="31"/>
      <c r="AM76" s="30"/>
    </row>
    <row r="77" spans="1:39" s="29" customFormat="1" x14ac:dyDescent="0.5">
      <c r="A77" s="28" t="str">
        <f>IF(LibraryDataEntry!C77="","",LibraryDataEntry!C77)</f>
        <v/>
      </c>
      <c r="B77" s="29" t="str">
        <f>IF(LibraryDataEntry!F77="","",CONCATENATE(LibraryDataEntry!F77,"-",LibraryDataEntry!G77))</f>
        <v/>
      </c>
      <c r="I77" s="29" t="str">
        <f>IF(LibraryDataEntry!N77="","",LibraryDataEntry!N77)</f>
        <v/>
      </c>
      <c r="J77" s="29" t="str">
        <f>IF(LibraryDataEntry!E77="","",LibraryDataEntry!E77)</f>
        <v/>
      </c>
      <c r="O77" s="29" t="str">
        <f>IF(LibraryDataEntry!H77="","",LibraryDataEntry!H77)</f>
        <v/>
      </c>
      <c r="P77" s="29" t="str">
        <f>IF(LibraryDataEntry!J77="nM",LibraryDataEntry!I77,"")</f>
        <v/>
      </c>
      <c r="Q77" s="29" t="str">
        <f>IF(LibraryDataEntry!J77="ng/ul",LibraryDataEntry!I77,"")</f>
        <v/>
      </c>
      <c r="W77" s="29" t="str">
        <f>IF(LibraryDataEntry!F77="","",LibraryDataEntry!F77)</f>
        <v/>
      </c>
      <c r="X77" s="29" t="str">
        <f>IF(LibraryDataEntry!G77="","",LibraryDataEntry!G77)</f>
        <v/>
      </c>
      <c r="Z77" s="29" t="str">
        <f>IF(LibraryDataEntry!L77="","",LibraryDataEntry!L77)</f>
        <v/>
      </c>
      <c r="AA77" s="29" t="str">
        <f>IF(LibraryDataEntry!J77="","",LibraryDataEntry!J77)</f>
        <v/>
      </c>
      <c r="AB77" s="29" t="str">
        <f>IF(LibraryDataEntry!M77="","",LibraryDataEntry!M77)</f>
        <v/>
      </c>
      <c r="AC77"/>
      <c r="AD77" s="29" t="str">
        <f>IF(LibraryDataEntry!B77="","",CONCATENATE(RIGHT(LibraryDataEntry!B77,4),"HS"))</f>
        <v/>
      </c>
      <c r="AG77" s="29" t="str">
        <f>IF(LibraryDataEntry!A77="","",LibraryDataEntry!A77)</f>
        <v/>
      </c>
      <c r="AJ77"/>
      <c r="AM77" s="30"/>
    </row>
    <row r="78" spans="1:39" s="29" customFormat="1" x14ac:dyDescent="0.5">
      <c r="A78" s="28" t="str">
        <f>IF(LibraryDataEntry!C78="","",LibraryDataEntry!C78)</f>
        <v/>
      </c>
      <c r="B78" s="29" t="str">
        <f>IF(LibraryDataEntry!F78="","",CONCATENATE(LibraryDataEntry!F78,"-",LibraryDataEntry!G78))</f>
        <v/>
      </c>
      <c r="I78" s="29" t="str">
        <f>IF(LibraryDataEntry!N78="","",LibraryDataEntry!N78)</f>
        <v/>
      </c>
      <c r="J78" s="29" t="str">
        <f>IF(LibraryDataEntry!E78="","",LibraryDataEntry!E78)</f>
        <v/>
      </c>
      <c r="O78" s="29" t="str">
        <f>IF(LibraryDataEntry!H78="","",LibraryDataEntry!H78)</f>
        <v/>
      </c>
      <c r="P78" s="29" t="str">
        <f>IF(LibraryDataEntry!J78="nM",LibraryDataEntry!I78,"")</f>
        <v/>
      </c>
      <c r="Q78" s="29" t="str">
        <f>IF(LibraryDataEntry!J78="ng/ul",LibraryDataEntry!I78,"")</f>
        <v/>
      </c>
      <c r="W78" s="29" t="str">
        <f>IF(LibraryDataEntry!F78="","",LibraryDataEntry!F78)</f>
        <v/>
      </c>
      <c r="X78" s="29" t="str">
        <f>IF(LibraryDataEntry!G78="","",LibraryDataEntry!G78)</f>
        <v/>
      </c>
      <c r="Z78" s="29" t="str">
        <f>IF(LibraryDataEntry!L78="","",LibraryDataEntry!L78)</f>
        <v/>
      </c>
      <c r="AA78" s="29" t="str">
        <f>IF(LibraryDataEntry!J78="","",LibraryDataEntry!J78)</f>
        <v/>
      </c>
      <c r="AB78" s="29" t="str">
        <f>IF(LibraryDataEntry!M78="","",LibraryDataEntry!M78)</f>
        <v/>
      </c>
      <c r="AC78"/>
      <c r="AD78" s="29" t="str">
        <f>IF(LibraryDataEntry!B78="","",CONCATENATE(RIGHT(LibraryDataEntry!B78,4),"HS"))</f>
        <v/>
      </c>
      <c r="AG78" s="29" t="str">
        <f>IF(LibraryDataEntry!A78="","",LibraryDataEntry!A78)</f>
        <v/>
      </c>
      <c r="AJ78"/>
      <c r="AM78" s="30"/>
    </row>
    <row r="79" spans="1:39" s="29" customFormat="1" x14ac:dyDescent="0.5">
      <c r="A79" s="28" t="str">
        <f>IF(LibraryDataEntry!C79="","",LibraryDataEntry!C79)</f>
        <v/>
      </c>
      <c r="B79" s="29" t="str">
        <f>IF(LibraryDataEntry!F79="","",CONCATENATE(LibraryDataEntry!F79,"-",LibraryDataEntry!G79))</f>
        <v/>
      </c>
      <c r="I79" s="29" t="str">
        <f>IF(LibraryDataEntry!N79="","",LibraryDataEntry!N79)</f>
        <v/>
      </c>
      <c r="J79" s="29" t="str">
        <f>IF(LibraryDataEntry!E79="","",LibraryDataEntry!E79)</f>
        <v/>
      </c>
      <c r="O79" s="29" t="str">
        <f>IF(LibraryDataEntry!H79="","",LibraryDataEntry!H79)</f>
        <v/>
      </c>
      <c r="P79" s="29" t="str">
        <f>IF(LibraryDataEntry!J79="nM",LibraryDataEntry!I79,"")</f>
        <v/>
      </c>
      <c r="Q79" s="29" t="str">
        <f>IF(LibraryDataEntry!J79="ng/ul",LibraryDataEntry!I79,"")</f>
        <v/>
      </c>
      <c r="W79" s="29" t="str">
        <f>IF(LibraryDataEntry!F79="","",LibraryDataEntry!F79)</f>
        <v/>
      </c>
      <c r="X79" s="29" t="str">
        <f>IF(LibraryDataEntry!G79="","",LibraryDataEntry!G79)</f>
        <v/>
      </c>
      <c r="Z79" s="29" t="str">
        <f>IF(LibraryDataEntry!L79="","",LibraryDataEntry!L79)</f>
        <v/>
      </c>
      <c r="AA79" s="29" t="str">
        <f>IF(LibraryDataEntry!J79="","",LibraryDataEntry!J79)</f>
        <v/>
      </c>
      <c r="AB79" s="29" t="str">
        <f>IF(LibraryDataEntry!M79="","",LibraryDataEntry!M79)</f>
        <v/>
      </c>
      <c r="AC79"/>
      <c r="AD79" s="29" t="str">
        <f>IF(LibraryDataEntry!B79="","",CONCATENATE(RIGHT(LibraryDataEntry!B79,4),"HS"))</f>
        <v/>
      </c>
      <c r="AG79" s="29" t="str">
        <f>IF(LibraryDataEntry!A79="","",LibraryDataEntry!A79)</f>
        <v/>
      </c>
      <c r="AJ79"/>
      <c r="AM79" s="30"/>
    </row>
    <row r="80" spans="1:39" s="29" customFormat="1" x14ac:dyDescent="0.5">
      <c r="A80" s="28" t="str">
        <f>IF(LibraryDataEntry!C80="","",LibraryDataEntry!C80)</f>
        <v/>
      </c>
      <c r="B80" s="29" t="str">
        <f>IF(LibraryDataEntry!F80="","",CONCATENATE(LibraryDataEntry!F80,"-",LibraryDataEntry!G80))</f>
        <v/>
      </c>
      <c r="I80" s="29" t="str">
        <f>IF(LibraryDataEntry!N80="","",LibraryDataEntry!N80)</f>
        <v/>
      </c>
      <c r="J80" s="29" t="str">
        <f>IF(LibraryDataEntry!E80="","",LibraryDataEntry!E80)</f>
        <v/>
      </c>
      <c r="O80" s="29" t="str">
        <f>IF(LibraryDataEntry!H80="","",LibraryDataEntry!H80)</f>
        <v/>
      </c>
      <c r="P80" s="29" t="str">
        <f>IF(LibraryDataEntry!J80="nM",LibraryDataEntry!I80,"")</f>
        <v/>
      </c>
      <c r="Q80" s="29" t="str">
        <f>IF(LibraryDataEntry!J80="ng/ul",LibraryDataEntry!I80,"")</f>
        <v/>
      </c>
      <c r="W80" s="29" t="str">
        <f>IF(LibraryDataEntry!F80="","",LibraryDataEntry!F80)</f>
        <v/>
      </c>
      <c r="X80" s="29" t="str">
        <f>IF(LibraryDataEntry!G80="","",LibraryDataEntry!G80)</f>
        <v/>
      </c>
      <c r="Z80" s="29" t="str">
        <f>IF(LibraryDataEntry!L80="","",LibraryDataEntry!L80)</f>
        <v/>
      </c>
      <c r="AA80" s="29" t="str">
        <f>IF(LibraryDataEntry!J80="","",LibraryDataEntry!J80)</f>
        <v/>
      </c>
      <c r="AB80" s="29" t="str">
        <f>IF(LibraryDataEntry!M80="","",LibraryDataEntry!M80)</f>
        <v/>
      </c>
      <c r="AC80"/>
      <c r="AD80" s="29" t="str">
        <f>IF(LibraryDataEntry!B80="","",CONCATENATE(RIGHT(LibraryDataEntry!B80,4),"HS"))</f>
        <v/>
      </c>
      <c r="AG80" s="29" t="str">
        <f>IF(LibraryDataEntry!A80="","",LibraryDataEntry!A80)</f>
        <v/>
      </c>
      <c r="AJ80"/>
      <c r="AM80" s="30"/>
    </row>
    <row r="81" spans="1:39" s="29" customFormat="1" x14ac:dyDescent="0.5">
      <c r="A81" s="28" t="str">
        <f>IF(LibraryDataEntry!C81="","",LibraryDataEntry!C81)</f>
        <v/>
      </c>
      <c r="B81" s="29" t="str">
        <f>IF(LibraryDataEntry!F81="","",CONCATENATE(LibraryDataEntry!F81,"-",LibraryDataEntry!G81))</f>
        <v/>
      </c>
      <c r="I81" s="29" t="str">
        <f>IF(LibraryDataEntry!N81="","",LibraryDataEntry!N81)</f>
        <v/>
      </c>
      <c r="J81" s="29" t="str">
        <f>IF(LibraryDataEntry!E81="","",LibraryDataEntry!E81)</f>
        <v/>
      </c>
      <c r="O81" s="29" t="str">
        <f>IF(LibraryDataEntry!H81="","",LibraryDataEntry!H81)</f>
        <v/>
      </c>
      <c r="P81" s="29" t="str">
        <f>IF(LibraryDataEntry!J81="nM",LibraryDataEntry!I81,"")</f>
        <v/>
      </c>
      <c r="Q81" s="29" t="str">
        <f>IF(LibraryDataEntry!J81="ng/ul",LibraryDataEntry!I81,"")</f>
        <v/>
      </c>
      <c r="W81" s="29" t="str">
        <f>IF(LibraryDataEntry!F81="","",LibraryDataEntry!F81)</f>
        <v/>
      </c>
      <c r="X81" s="29" t="str">
        <f>IF(LibraryDataEntry!G81="","",LibraryDataEntry!G81)</f>
        <v/>
      </c>
      <c r="Z81" s="29" t="str">
        <f>IF(LibraryDataEntry!L81="","",LibraryDataEntry!L81)</f>
        <v/>
      </c>
      <c r="AA81" s="29" t="str">
        <f>IF(LibraryDataEntry!J81="","",LibraryDataEntry!J81)</f>
        <v/>
      </c>
      <c r="AB81" s="29" t="str">
        <f>IF(LibraryDataEntry!M81="","",LibraryDataEntry!M81)</f>
        <v/>
      </c>
      <c r="AC81"/>
      <c r="AD81" s="29" t="str">
        <f>IF(LibraryDataEntry!B81="","",CONCATENATE(RIGHT(LibraryDataEntry!B81,4),"HS"))</f>
        <v/>
      </c>
      <c r="AG81" s="29" t="str">
        <f>IF(LibraryDataEntry!A81="","",LibraryDataEntry!A81)</f>
        <v/>
      </c>
      <c r="AJ81"/>
      <c r="AM81" s="30"/>
    </row>
    <row r="82" spans="1:39" s="29" customFormat="1" x14ac:dyDescent="0.5">
      <c r="A82" s="28" t="str">
        <f>IF(LibraryDataEntry!C82="","",LibraryDataEntry!C82)</f>
        <v/>
      </c>
      <c r="B82" s="29" t="str">
        <f>IF(LibraryDataEntry!F82="","",CONCATENATE(LibraryDataEntry!F82,"-",LibraryDataEntry!G82))</f>
        <v/>
      </c>
      <c r="I82" s="29" t="str">
        <f>IF(LibraryDataEntry!N82="","",LibraryDataEntry!N82)</f>
        <v/>
      </c>
      <c r="J82" s="29" t="str">
        <f>IF(LibraryDataEntry!E82="","",LibraryDataEntry!E82)</f>
        <v/>
      </c>
      <c r="O82" s="29" t="str">
        <f>IF(LibraryDataEntry!H82="","",LibraryDataEntry!H82)</f>
        <v/>
      </c>
      <c r="P82" s="29" t="str">
        <f>IF(LibraryDataEntry!J82="nM",LibraryDataEntry!I82,"")</f>
        <v/>
      </c>
      <c r="Q82" s="29" t="str">
        <f>IF(LibraryDataEntry!J82="ng/ul",LibraryDataEntry!I82,"")</f>
        <v/>
      </c>
      <c r="W82" s="29" t="str">
        <f>IF(LibraryDataEntry!F82="","",LibraryDataEntry!F82)</f>
        <v/>
      </c>
      <c r="X82" s="29" t="str">
        <f>IF(LibraryDataEntry!G82="","",LibraryDataEntry!G82)</f>
        <v/>
      </c>
      <c r="Z82" s="29" t="str">
        <f>IF(LibraryDataEntry!L82="","",LibraryDataEntry!L82)</f>
        <v/>
      </c>
      <c r="AA82" s="29" t="str">
        <f>IF(LibraryDataEntry!J82="","",LibraryDataEntry!J82)</f>
        <v/>
      </c>
      <c r="AB82" s="29" t="str">
        <f>IF(LibraryDataEntry!M82="","",LibraryDataEntry!M82)</f>
        <v/>
      </c>
      <c r="AC82"/>
      <c r="AD82" s="29" t="str">
        <f>IF(LibraryDataEntry!B82="","",CONCATENATE(RIGHT(LibraryDataEntry!B82,4),"HS"))</f>
        <v/>
      </c>
      <c r="AG82" s="29" t="str">
        <f>IF(LibraryDataEntry!A82="","",LibraryDataEntry!A82)</f>
        <v/>
      </c>
      <c r="AJ82"/>
      <c r="AM82" s="30"/>
    </row>
    <row r="83" spans="1:39" s="29" customFormat="1" x14ac:dyDescent="0.5">
      <c r="A83" s="28" t="str">
        <f>IF(LibraryDataEntry!C83="","",LibraryDataEntry!C83)</f>
        <v/>
      </c>
      <c r="B83" s="29" t="str">
        <f>IF(LibraryDataEntry!F83="","",CONCATENATE(LibraryDataEntry!F83,"-",LibraryDataEntry!G83))</f>
        <v/>
      </c>
      <c r="I83" s="29" t="str">
        <f>IF(LibraryDataEntry!N83="","",LibraryDataEntry!N83)</f>
        <v/>
      </c>
      <c r="J83" s="29" t="str">
        <f>IF(LibraryDataEntry!E83="","",LibraryDataEntry!E83)</f>
        <v/>
      </c>
      <c r="O83" s="29" t="str">
        <f>IF(LibraryDataEntry!H83="","",LibraryDataEntry!H83)</f>
        <v/>
      </c>
      <c r="P83" s="29" t="str">
        <f>IF(LibraryDataEntry!J83="nM",LibraryDataEntry!I83,"")</f>
        <v/>
      </c>
      <c r="Q83" s="29" t="str">
        <f>IF(LibraryDataEntry!J83="ng/ul",LibraryDataEntry!I83,"")</f>
        <v/>
      </c>
      <c r="W83" s="29" t="str">
        <f>IF(LibraryDataEntry!F83="","",LibraryDataEntry!F83)</f>
        <v/>
      </c>
      <c r="X83" s="29" t="str">
        <f>IF(LibraryDataEntry!G83="","",LibraryDataEntry!G83)</f>
        <v/>
      </c>
      <c r="Z83" s="29" t="str">
        <f>IF(LibraryDataEntry!L83="","",LibraryDataEntry!L83)</f>
        <v/>
      </c>
      <c r="AA83" s="29" t="str">
        <f>IF(LibraryDataEntry!J83="","",LibraryDataEntry!J83)</f>
        <v/>
      </c>
      <c r="AB83" s="29" t="str">
        <f>IF(LibraryDataEntry!M83="","",LibraryDataEntry!M83)</f>
        <v/>
      </c>
      <c r="AC83"/>
      <c r="AD83" s="29" t="str">
        <f>IF(LibraryDataEntry!B83="","",CONCATENATE(RIGHT(LibraryDataEntry!B83,4),"HS"))</f>
        <v/>
      </c>
      <c r="AG83" s="29" t="str">
        <f>IF(LibraryDataEntry!A83="","",LibraryDataEntry!A83)</f>
        <v/>
      </c>
      <c r="AJ83"/>
      <c r="AM83" s="30"/>
    </row>
    <row r="84" spans="1:39" s="29" customFormat="1" x14ac:dyDescent="0.5">
      <c r="A84" s="28" t="str">
        <f>IF(LibraryDataEntry!C84="","",LibraryDataEntry!C84)</f>
        <v/>
      </c>
      <c r="B84" s="29" t="str">
        <f>IF(LibraryDataEntry!F84="","",CONCATENATE(LibraryDataEntry!F84,"-",LibraryDataEntry!G84))</f>
        <v/>
      </c>
      <c r="I84" s="29" t="str">
        <f>IF(LibraryDataEntry!N84="","",LibraryDataEntry!N84)</f>
        <v/>
      </c>
      <c r="J84" s="29" t="str">
        <f>IF(LibraryDataEntry!E84="","",LibraryDataEntry!E84)</f>
        <v/>
      </c>
      <c r="O84" s="29" t="str">
        <f>IF(LibraryDataEntry!H84="","",LibraryDataEntry!H84)</f>
        <v/>
      </c>
      <c r="P84" s="29" t="str">
        <f>IF(LibraryDataEntry!J84="nM",LibraryDataEntry!I84,"")</f>
        <v/>
      </c>
      <c r="Q84" s="29" t="str">
        <f>IF(LibraryDataEntry!J84="ng/ul",LibraryDataEntry!I84,"")</f>
        <v/>
      </c>
      <c r="W84" s="29" t="str">
        <f>IF(LibraryDataEntry!F84="","",LibraryDataEntry!F84)</f>
        <v/>
      </c>
      <c r="X84" s="29" t="str">
        <f>IF(LibraryDataEntry!G84="","",LibraryDataEntry!G84)</f>
        <v/>
      </c>
      <c r="Z84" s="29" t="str">
        <f>IF(LibraryDataEntry!L84="","",LibraryDataEntry!L84)</f>
        <v/>
      </c>
      <c r="AA84" s="29" t="str">
        <f>IF(LibraryDataEntry!J84="","",LibraryDataEntry!J84)</f>
        <v/>
      </c>
      <c r="AB84" s="29" t="str">
        <f>IF(LibraryDataEntry!M84="","",LibraryDataEntry!M84)</f>
        <v/>
      </c>
      <c r="AC84"/>
      <c r="AD84" s="29" t="str">
        <f>IF(LibraryDataEntry!B84="","",CONCATENATE(RIGHT(LibraryDataEntry!B84,4),"HS"))</f>
        <v/>
      </c>
      <c r="AG84" s="29" t="str">
        <f>IF(LibraryDataEntry!A84="","",LibraryDataEntry!A84)</f>
        <v/>
      </c>
      <c r="AJ84"/>
      <c r="AM84" s="30"/>
    </row>
    <row r="85" spans="1:39" s="29" customFormat="1" x14ac:dyDescent="0.5">
      <c r="A85" s="28" t="str">
        <f>IF(LibraryDataEntry!C85="","",LibraryDataEntry!C85)</f>
        <v/>
      </c>
      <c r="B85" s="29" t="str">
        <f>IF(LibraryDataEntry!F85="","",CONCATENATE(LibraryDataEntry!F85,"-",LibraryDataEntry!G85))</f>
        <v/>
      </c>
      <c r="I85" s="29" t="str">
        <f>IF(LibraryDataEntry!N85="","",LibraryDataEntry!N85)</f>
        <v/>
      </c>
      <c r="J85" s="29" t="str">
        <f>IF(LibraryDataEntry!E85="","",LibraryDataEntry!E85)</f>
        <v/>
      </c>
      <c r="O85" s="29" t="str">
        <f>IF(LibraryDataEntry!H85="","",LibraryDataEntry!H85)</f>
        <v/>
      </c>
      <c r="P85" s="29" t="str">
        <f>IF(LibraryDataEntry!J85="nM",LibraryDataEntry!I85,"")</f>
        <v/>
      </c>
      <c r="Q85" s="29" t="str">
        <f>IF(LibraryDataEntry!J85="ng/ul",LibraryDataEntry!I85,"")</f>
        <v/>
      </c>
      <c r="W85" s="29" t="str">
        <f>IF(LibraryDataEntry!F85="","",LibraryDataEntry!F85)</f>
        <v/>
      </c>
      <c r="X85" s="29" t="str">
        <f>IF(LibraryDataEntry!G85="","",LibraryDataEntry!G85)</f>
        <v/>
      </c>
      <c r="Z85" s="29" t="str">
        <f>IF(LibraryDataEntry!L85="","",LibraryDataEntry!L85)</f>
        <v/>
      </c>
      <c r="AA85" s="29" t="str">
        <f>IF(LibraryDataEntry!J85="","",LibraryDataEntry!J85)</f>
        <v/>
      </c>
      <c r="AB85" s="29" t="str">
        <f>IF(LibraryDataEntry!M85="","",LibraryDataEntry!M85)</f>
        <v/>
      </c>
      <c r="AC85"/>
      <c r="AD85" s="29" t="str">
        <f>IF(LibraryDataEntry!B85="","",CONCATENATE(RIGHT(LibraryDataEntry!B85,4),"HS"))</f>
        <v/>
      </c>
      <c r="AG85" s="29" t="str">
        <f>IF(LibraryDataEntry!A85="","",LibraryDataEntry!A85)</f>
        <v/>
      </c>
      <c r="AJ85"/>
      <c r="AM85" s="30"/>
    </row>
    <row r="86" spans="1:39" s="29" customFormat="1" x14ac:dyDescent="0.5">
      <c r="A86" s="28" t="str">
        <f>IF(LibraryDataEntry!C86="","",LibraryDataEntry!C86)</f>
        <v/>
      </c>
      <c r="B86" s="29" t="str">
        <f>IF(LibraryDataEntry!F86="","",CONCATENATE(LibraryDataEntry!F86,"-",LibraryDataEntry!G86))</f>
        <v/>
      </c>
      <c r="I86" s="29" t="str">
        <f>IF(LibraryDataEntry!N86="","",LibraryDataEntry!N86)</f>
        <v/>
      </c>
      <c r="J86" s="29" t="str">
        <f>IF(LibraryDataEntry!E86="","",LibraryDataEntry!E86)</f>
        <v/>
      </c>
      <c r="O86" s="29" t="str">
        <f>IF(LibraryDataEntry!H86="","",LibraryDataEntry!H86)</f>
        <v/>
      </c>
      <c r="P86" s="29" t="str">
        <f>IF(LibraryDataEntry!J86="nM",LibraryDataEntry!I86,"")</f>
        <v/>
      </c>
      <c r="Q86" s="29" t="str">
        <f>IF(LibraryDataEntry!J86="ng/ul",LibraryDataEntry!I86,"")</f>
        <v/>
      </c>
      <c r="W86" s="29" t="str">
        <f>IF(LibraryDataEntry!F86="","",LibraryDataEntry!F86)</f>
        <v/>
      </c>
      <c r="X86" s="29" t="str">
        <f>IF(LibraryDataEntry!G86="","",LibraryDataEntry!G86)</f>
        <v/>
      </c>
      <c r="Z86" s="29" t="str">
        <f>IF(LibraryDataEntry!L86="","",LibraryDataEntry!L86)</f>
        <v/>
      </c>
      <c r="AA86" s="29" t="str">
        <f>IF(LibraryDataEntry!J86="","",LibraryDataEntry!J86)</f>
        <v/>
      </c>
      <c r="AB86" s="29" t="str">
        <f>IF(LibraryDataEntry!M86="","",LibraryDataEntry!M86)</f>
        <v/>
      </c>
      <c r="AC86"/>
      <c r="AD86" s="29" t="str">
        <f>IF(LibraryDataEntry!B86="","",CONCATENATE(RIGHT(LibraryDataEntry!B86,4),"HS"))</f>
        <v/>
      </c>
      <c r="AG86" s="29" t="str">
        <f>IF(LibraryDataEntry!A86="","",LibraryDataEntry!A86)</f>
        <v/>
      </c>
      <c r="AJ86"/>
      <c r="AM86" s="30"/>
    </row>
    <row r="87" spans="1:39" s="29" customFormat="1" x14ac:dyDescent="0.5">
      <c r="A87" s="28" t="str">
        <f>IF(LibraryDataEntry!C87="","",LibraryDataEntry!C87)</f>
        <v/>
      </c>
      <c r="B87" s="29" t="str">
        <f>IF(LibraryDataEntry!F87="","",CONCATENATE(LibraryDataEntry!F87,"-",LibraryDataEntry!G87))</f>
        <v/>
      </c>
      <c r="I87" s="29" t="str">
        <f>IF(LibraryDataEntry!N87="","",LibraryDataEntry!N87)</f>
        <v/>
      </c>
      <c r="J87" s="29" t="str">
        <f>IF(LibraryDataEntry!E87="","",LibraryDataEntry!E87)</f>
        <v/>
      </c>
      <c r="O87" s="29" t="str">
        <f>IF(LibraryDataEntry!H87="","",LibraryDataEntry!H87)</f>
        <v/>
      </c>
      <c r="P87" s="29" t="str">
        <f>IF(LibraryDataEntry!J87="nM",LibraryDataEntry!I87,"")</f>
        <v/>
      </c>
      <c r="Q87" s="29" t="str">
        <f>IF(LibraryDataEntry!J87="ng/ul",LibraryDataEntry!I87,"")</f>
        <v/>
      </c>
      <c r="W87" s="29" t="str">
        <f>IF(LibraryDataEntry!F87="","",LibraryDataEntry!F87)</f>
        <v/>
      </c>
      <c r="X87" s="29" t="str">
        <f>IF(LibraryDataEntry!G87="","",LibraryDataEntry!G87)</f>
        <v/>
      </c>
      <c r="Z87" s="29" t="str">
        <f>IF(LibraryDataEntry!L87="","",LibraryDataEntry!L87)</f>
        <v/>
      </c>
      <c r="AA87" s="29" t="str">
        <f>IF(LibraryDataEntry!J87="","",LibraryDataEntry!J87)</f>
        <v/>
      </c>
      <c r="AB87" s="29" t="str">
        <f>IF(LibraryDataEntry!M87="","",LibraryDataEntry!M87)</f>
        <v/>
      </c>
      <c r="AC87"/>
      <c r="AD87" s="29" t="str">
        <f>IF(LibraryDataEntry!B87="","",CONCATENATE(RIGHT(LibraryDataEntry!B87,4),"HS"))</f>
        <v/>
      </c>
      <c r="AG87" s="29" t="str">
        <f>IF(LibraryDataEntry!A87="","",LibraryDataEntry!A87)</f>
        <v/>
      </c>
      <c r="AJ87"/>
      <c r="AM87" s="30"/>
    </row>
    <row r="88" spans="1:39" s="29" customFormat="1" x14ac:dyDescent="0.5">
      <c r="A88" s="28" t="str">
        <f>IF(LibraryDataEntry!C88="","",LibraryDataEntry!C88)</f>
        <v/>
      </c>
      <c r="B88" s="29" t="str">
        <f>IF(LibraryDataEntry!F88="","",CONCATENATE(LibraryDataEntry!F88,"-",LibraryDataEntry!G88))</f>
        <v/>
      </c>
      <c r="I88" s="29" t="str">
        <f>IF(LibraryDataEntry!N88="","",LibraryDataEntry!N88)</f>
        <v/>
      </c>
      <c r="J88" s="29" t="str">
        <f>IF(LibraryDataEntry!E88="","",LibraryDataEntry!E88)</f>
        <v/>
      </c>
      <c r="O88" s="29" t="str">
        <f>IF(LibraryDataEntry!H88="","",LibraryDataEntry!H88)</f>
        <v/>
      </c>
      <c r="P88" s="29" t="str">
        <f>IF(LibraryDataEntry!J88="nM",LibraryDataEntry!I88,"")</f>
        <v/>
      </c>
      <c r="Q88" s="29" t="str">
        <f>IF(LibraryDataEntry!J88="ng/ul",LibraryDataEntry!I88,"")</f>
        <v/>
      </c>
      <c r="W88" s="29" t="str">
        <f>IF(LibraryDataEntry!F88="","",LibraryDataEntry!F88)</f>
        <v/>
      </c>
      <c r="X88" s="29" t="str">
        <f>IF(LibraryDataEntry!G88="","",LibraryDataEntry!G88)</f>
        <v/>
      </c>
      <c r="Z88" s="29" t="str">
        <f>IF(LibraryDataEntry!L88="","",LibraryDataEntry!L88)</f>
        <v/>
      </c>
      <c r="AA88" s="29" t="str">
        <f>IF(LibraryDataEntry!J88="","",LibraryDataEntry!J88)</f>
        <v/>
      </c>
      <c r="AB88" s="29" t="str">
        <f>IF(LibraryDataEntry!M88="","",LibraryDataEntry!M88)</f>
        <v/>
      </c>
      <c r="AC88"/>
      <c r="AD88" s="29" t="str">
        <f>IF(LibraryDataEntry!B88="","",CONCATENATE(RIGHT(LibraryDataEntry!B88,4),"HS"))</f>
        <v/>
      </c>
      <c r="AG88" s="29" t="str">
        <f>IF(LibraryDataEntry!A88="","",LibraryDataEntry!A88)</f>
        <v/>
      </c>
      <c r="AJ88"/>
      <c r="AM88" s="30"/>
    </row>
    <row r="89" spans="1:39" s="29" customFormat="1" x14ac:dyDescent="0.5">
      <c r="A89" s="28" t="str">
        <f>IF(LibraryDataEntry!C89="","",LibraryDataEntry!C89)</f>
        <v/>
      </c>
      <c r="B89" s="29" t="str">
        <f>IF(LibraryDataEntry!F89="","",CONCATENATE(LibraryDataEntry!F89,"-",LibraryDataEntry!G89))</f>
        <v/>
      </c>
      <c r="I89" s="29" t="str">
        <f>IF(LibraryDataEntry!N89="","",LibraryDataEntry!N89)</f>
        <v/>
      </c>
      <c r="J89" s="29" t="str">
        <f>IF(LibraryDataEntry!E89="","",LibraryDataEntry!E89)</f>
        <v/>
      </c>
      <c r="O89" s="29" t="str">
        <f>IF(LibraryDataEntry!H89="","",LibraryDataEntry!H89)</f>
        <v/>
      </c>
      <c r="P89" s="29" t="str">
        <f>IF(LibraryDataEntry!J89="nM",LibraryDataEntry!I89,"")</f>
        <v/>
      </c>
      <c r="Q89" s="29" t="str">
        <f>IF(LibraryDataEntry!J89="ng/ul",LibraryDataEntry!I89,"")</f>
        <v/>
      </c>
      <c r="W89" s="29" t="str">
        <f>IF(LibraryDataEntry!F89="","",LibraryDataEntry!F89)</f>
        <v/>
      </c>
      <c r="X89" s="29" t="str">
        <f>IF(LibraryDataEntry!G89="","",LibraryDataEntry!G89)</f>
        <v/>
      </c>
      <c r="Z89" s="29" t="str">
        <f>IF(LibraryDataEntry!L89="","",LibraryDataEntry!L89)</f>
        <v/>
      </c>
      <c r="AA89" s="29" t="str">
        <f>IF(LibraryDataEntry!J89="","",LibraryDataEntry!J89)</f>
        <v/>
      </c>
      <c r="AB89" s="29" t="str">
        <f>IF(LibraryDataEntry!M89="","",LibraryDataEntry!M89)</f>
        <v/>
      </c>
      <c r="AC89"/>
      <c r="AD89" s="29" t="str">
        <f>IF(LibraryDataEntry!B89="","",CONCATENATE(RIGHT(LibraryDataEntry!B89,4),"HS"))</f>
        <v/>
      </c>
      <c r="AG89" s="29" t="str">
        <f>IF(LibraryDataEntry!A89="","",LibraryDataEntry!A89)</f>
        <v/>
      </c>
      <c r="AJ89"/>
      <c r="AM89" s="30"/>
    </row>
    <row r="90" spans="1:39" s="29" customFormat="1" x14ac:dyDescent="0.5">
      <c r="A90" s="28" t="str">
        <f>IF(LibraryDataEntry!C90="","",LibraryDataEntry!C90)</f>
        <v/>
      </c>
      <c r="B90" s="29" t="str">
        <f>IF(LibraryDataEntry!F90="","",CONCATENATE(LibraryDataEntry!F90,"-",LibraryDataEntry!G90))</f>
        <v/>
      </c>
      <c r="I90" s="29" t="str">
        <f>IF(LibraryDataEntry!N90="","",LibraryDataEntry!N90)</f>
        <v/>
      </c>
      <c r="J90" s="29" t="str">
        <f>IF(LibraryDataEntry!E90="","",LibraryDataEntry!E90)</f>
        <v/>
      </c>
      <c r="O90" s="29" t="str">
        <f>IF(LibraryDataEntry!H90="","",LibraryDataEntry!H90)</f>
        <v/>
      </c>
      <c r="P90" s="29" t="str">
        <f>IF(LibraryDataEntry!J90="nM",LibraryDataEntry!I90,"")</f>
        <v/>
      </c>
      <c r="Q90" s="29" t="str">
        <f>IF(LibraryDataEntry!J90="ng/ul",LibraryDataEntry!I90,"")</f>
        <v/>
      </c>
      <c r="W90" s="29" t="str">
        <f>IF(LibraryDataEntry!F90="","",LibraryDataEntry!F90)</f>
        <v/>
      </c>
      <c r="X90" s="29" t="str">
        <f>IF(LibraryDataEntry!G90="","",LibraryDataEntry!G90)</f>
        <v/>
      </c>
      <c r="Z90" s="29" t="str">
        <f>IF(LibraryDataEntry!L90="","",LibraryDataEntry!L90)</f>
        <v/>
      </c>
      <c r="AA90" s="29" t="str">
        <f>IF(LibraryDataEntry!J90="","",LibraryDataEntry!J90)</f>
        <v/>
      </c>
      <c r="AB90" s="29" t="str">
        <f>IF(LibraryDataEntry!M90="","",LibraryDataEntry!M90)</f>
        <v/>
      </c>
      <c r="AC90"/>
      <c r="AD90" s="29" t="str">
        <f>IF(LibraryDataEntry!B90="","",CONCATENATE(RIGHT(LibraryDataEntry!B90,4),"HS"))</f>
        <v/>
      </c>
      <c r="AG90" s="29" t="str">
        <f>IF(LibraryDataEntry!A90="","",LibraryDataEntry!A90)</f>
        <v/>
      </c>
      <c r="AJ90"/>
      <c r="AM90" s="30"/>
    </row>
    <row r="91" spans="1:39" s="29" customFormat="1" x14ac:dyDescent="0.5">
      <c r="A91" s="28" t="str">
        <f>IF(LibraryDataEntry!C91="","",LibraryDataEntry!C91)</f>
        <v/>
      </c>
      <c r="B91" s="29" t="str">
        <f>IF(LibraryDataEntry!F91="","",CONCATENATE(LibraryDataEntry!F91,"-",LibraryDataEntry!G91))</f>
        <v/>
      </c>
      <c r="I91" s="29" t="str">
        <f>IF(LibraryDataEntry!N91="","",LibraryDataEntry!N91)</f>
        <v/>
      </c>
      <c r="J91" s="29" t="str">
        <f>IF(LibraryDataEntry!E91="","",LibraryDataEntry!E91)</f>
        <v/>
      </c>
      <c r="O91" s="29" t="str">
        <f>IF(LibraryDataEntry!H91="","",LibraryDataEntry!H91)</f>
        <v/>
      </c>
      <c r="P91" s="29" t="str">
        <f>IF(LibraryDataEntry!J91="nM",LibraryDataEntry!I91,"")</f>
        <v/>
      </c>
      <c r="Q91" s="29" t="str">
        <f>IF(LibraryDataEntry!J91="ng/ul",LibraryDataEntry!I91,"")</f>
        <v/>
      </c>
      <c r="W91" s="29" t="str">
        <f>IF(LibraryDataEntry!F91="","",LibraryDataEntry!F91)</f>
        <v/>
      </c>
      <c r="X91" s="29" t="str">
        <f>IF(LibraryDataEntry!G91="","",LibraryDataEntry!G91)</f>
        <v/>
      </c>
      <c r="Z91" s="29" t="str">
        <f>IF(LibraryDataEntry!L91="","",LibraryDataEntry!L91)</f>
        <v/>
      </c>
      <c r="AA91" s="29" t="str">
        <f>IF(LibraryDataEntry!J91="","",LibraryDataEntry!J91)</f>
        <v/>
      </c>
      <c r="AB91" s="29" t="str">
        <f>IF(LibraryDataEntry!M91="","",LibraryDataEntry!M91)</f>
        <v/>
      </c>
      <c r="AC91"/>
      <c r="AD91" s="29" t="str">
        <f>IF(LibraryDataEntry!B91="","",CONCATENATE(RIGHT(LibraryDataEntry!B91,4),"HS"))</f>
        <v/>
      </c>
      <c r="AG91" s="29" t="str">
        <f>IF(LibraryDataEntry!A91="","",LibraryDataEntry!A91)</f>
        <v/>
      </c>
      <c r="AJ91"/>
      <c r="AM91" s="30"/>
    </row>
    <row r="92" spans="1:39" s="29" customFormat="1" x14ac:dyDescent="0.5">
      <c r="A92" s="28" t="str">
        <f>IF(LibraryDataEntry!C92="","",LibraryDataEntry!C92)</f>
        <v/>
      </c>
      <c r="B92" s="29" t="str">
        <f>IF(LibraryDataEntry!F92="","",CONCATENATE(LibraryDataEntry!F92,"-",LibraryDataEntry!G92))</f>
        <v/>
      </c>
      <c r="I92" s="29" t="str">
        <f>IF(LibraryDataEntry!N92="","",LibraryDataEntry!N92)</f>
        <v/>
      </c>
      <c r="J92" s="29" t="str">
        <f>IF(LibraryDataEntry!E92="","",LibraryDataEntry!E92)</f>
        <v/>
      </c>
      <c r="O92" s="29" t="str">
        <f>IF(LibraryDataEntry!H92="","",LibraryDataEntry!H92)</f>
        <v/>
      </c>
      <c r="P92" s="29" t="str">
        <f>IF(LibraryDataEntry!J92="nM",LibraryDataEntry!I92,"")</f>
        <v/>
      </c>
      <c r="Q92" s="29" t="str">
        <f>IF(LibraryDataEntry!J92="ng/ul",LibraryDataEntry!I92,"")</f>
        <v/>
      </c>
      <c r="W92" s="29" t="str">
        <f>IF(LibraryDataEntry!F92="","",LibraryDataEntry!F92)</f>
        <v/>
      </c>
      <c r="X92" s="29" t="str">
        <f>IF(LibraryDataEntry!G92="","",LibraryDataEntry!G92)</f>
        <v/>
      </c>
      <c r="Z92" s="29" t="str">
        <f>IF(LibraryDataEntry!L92="","",LibraryDataEntry!L92)</f>
        <v/>
      </c>
      <c r="AA92" s="29" t="str">
        <f>IF(LibraryDataEntry!J92="","",LibraryDataEntry!J92)</f>
        <v/>
      </c>
      <c r="AB92" s="29" t="str">
        <f>IF(LibraryDataEntry!M92="","",LibraryDataEntry!M92)</f>
        <v/>
      </c>
      <c r="AC92"/>
      <c r="AD92" s="29" t="str">
        <f>IF(LibraryDataEntry!B92="","",CONCATENATE(RIGHT(LibraryDataEntry!B92,4),"HS"))</f>
        <v/>
      </c>
      <c r="AG92" s="29" t="str">
        <f>IF(LibraryDataEntry!A92="","",LibraryDataEntry!A92)</f>
        <v/>
      </c>
      <c r="AJ92"/>
      <c r="AM92" s="30"/>
    </row>
    <row r="93" spans="1:39" s="29" customFormat="1" x14ac:dyDescent="0.5">
      <c r="A93" s="28" t="str">
        <f>IF(LibraryDataEntry!C93="","",LibraryDataEntry!C93)</f>
        <v/>
      </c>
      <c r="B93" s="29" t="str">
        <f>IF(LibraryDataEntry!F93="","",CONCATENATE(LibraryDataEntry!F93,"-",LibraryDataEntry!G93))</f>
        <v/>
      </c>
      <c r="I93" s="29" t="str">
        <f>IF(LibraryDataEntry!N93="","",LibraryDataEntry!N93)</f>
        <v/>
      </c>
      <c r="J93" s="29" t="str">
        <f>IF(LibraryDataEntry!E93="","",LibraryDataEntry!E93)</f>
        <v/>
      </c>
      <c r="O93" s="29" t="str">
        <f>IF(LibraryDataEntry!H93="","",LibraryDataEntry!H93)</f>
        <v/>
      </c>
      <c r="P93" s="29" t="str">
        <f>IF(LibraryDataEntry!J93="nM",LibraryDataEntry!I93,"")</f>
        <v/>
      </c>
      <c r="Q93" s="29" t="str">
        <f>IF(LibraryDataEntry!J93="ng/ul",LibraryDataEntry!I93,"")</f>
        <v/>
      </c>
      <c r="W93" s="29" t="str">
        <f>IF(LibraryDataEntry!F93="","",LibraryDataEntry!F93)</f>
        <v/>
      </c>
      <c r="X93" s="29" t="str">
        <f>IF(LibraryDataEntry!G93="","",LibraryDataEntry!G93)</f>
        <v/>
      </c>
      <c r="Z93" s="29" t="str">
        <f>IF(LibraryDataEntry!L93="","",LibraryDataEntry!L93)</f>
        <v/>
      </c>
      <c r="AA93" s="29" t="str">
        <f>IF(LibraryDataEntry!J93="","",LibraryDataEntry!J93)</f>
        <v/>
      </c>
      <c r="AB93" s="29" t="str">
        <f>IF(LibraryDataEntry!M93="","",LibraryDataEntry!M93)</f>
        <v/>
      </c>
      <c r="AC93"/>
      <c r="AD93" s="29" t="str">
        <f>IF(LibraryDataEntry!B93="","",CONCATENATE(RIGHT(LibraryDataEntry!B93,4),"HS"))</f>
        <v/>
      </c>
      <c r="AG93" s="29" t="str">
        <f>IF(LibraryDataEntry!A93="","",LibraryDataEntry!A93)</f>
        <v/>
      </c>
      <c r="AJ93"/>
      <c r="AM93" s="30"/>
    </row>
    <row r="94" spans="1:39" s="29" customFormat="1" x14ac:dyDescent="0.5">
      <c r="A94" s="28" t="str">
        <f>IF(LibraryDataEntry!C94="","",LibraryDataEntry!C94)</f>
        <v/>
      </c>
      <c r="B94" s="29" t="str">
        <f>IF(LibraryDataEntry!F94="","",CONCATENATE(LibraryDataEntry!F94,"-",LibraryDataEntry!G94))</f>
        <v/>
      </c>
      <c r="I94" s="29" t="str">
        <f>IF(LibraryDataEntry!N94="","",LibraryDataEntry!N94)</f>
        <v/>
      </c>
      <c r="J94" s="29" t="str">
        <f>IF(LibraryDataEntry!E94="","",LibraryDataEntry!E94)</f>
        <v/>
      </c>
      <c r="O94" s="29" t="str">
        <f>IF(LibraryDataEntry!H94="","",LibraryDataEntry!H94)</f>
        <v/>
      </c>
      <c r="P94" s="29" t="str">
        <f>IF(LibraryDataEntry!J94="nM",LibraryDataEntry!I94,"")</f>
        <v/>
      </c>
      <c r="Q94" s="29" t="str">
        <f>IF(LibraryDataEntry!J94="ng/ul",LibraryDataEntry!I94,"")</f>
        <v/>
      </c>
      <c r="W94" s="29" t="str">
        <f>IF(LibraryDataEntry!F94="","",LibraryDataEntry!F94)</f>
        <v/>
      </c>
      <c r="X94" s="29" t="str">
        <f>IF(LibraryDataEntry!G94="","",LibraryDataEntry!G94)</f>
        <v/>
      </c>
      <c r="Z94" s="29" t="str">
        <f>IF(LibraryDataEntry!L94="","",LibraryDataEntry!L94)</f>
        <v/>
      </c>
      <c r="AA94" s="29" t="str">
        <f>IF(LibraryDataEntry!J94="","",LibraryDataEntry!J94)</f>
        <v/>
      </c>
      <c r="AB94" s="29" t="str">
        <f>IF(LibraryDataEntry!M94="","",LibraryDataEntry!M94)</f>
        <v/>
      </c>
      <c r="AC94"/>
      <c r="AD94" s="29" t="str">
        <f>IF(LibraryDataEntry!B94="","",CONCATENATE(RIGHT(LibraryDataEntry!B94,4),"HS"))</f>
        <v/>
      </c>
      <c r="AG94" s="29" t="str">
        <f>IF(LibraryDataEntry!A94="","",LibraryDataEntry!A94)</f>
        <v/>
      </c>
      <c r="AJ94"/>
      <c r="AM94" s="30"/>
    </row>
    <row r="95" spans="1:39" s="29" customFormat="1" x14ac:dyDescent="0.5">
      <c r="A95" s="28" t="str">
        <f>IF(LibraryDataEntry!C95="","",LibraryDataEntry!C95)</f>
        <v/>
      </c>
      <c r="B95" s="29" t="str">
        <f>IF(LibraryDataEntry!F95="","",CONCATENATE(LibraryDataEntry!F95,"-",LibraryDataEntry!G95))</f>
        <v/>
      </c>
      <c r="I95" s="29" t="str">
        <f>IF(LibraryDataEntry!N95="","",LibraryDataEntry!N95)</f>
        <v/>
      </c>
      <c r="J95" s="29" t="str">
        <f>IF(LibraryDataEntry!E95="","",LibraryDataEntry!E95)</f>
        <v/>
      </c>
      <c r="O95" s="29" t="str">
        <f>IF(LibraryDataEntry!H95="","",LibraryDataEntry!H95)</f>
        <v/>
      </c>
      <c r="P95" s="29" t="str">
        <f>IF(LibraryDataEntry!J95="nM",LibraryDataEntry!I95,"")</f>
        <v/>
      </c>
      <c r="Q95" s="29" t="str">
        <f>IF(LibraryDataEntry!J95="ng/ul",LibraryDataEntry!I95,"")</f>
        <v/>
      </c>
      <c r="W95" s="29" t="str">
        <f>IF(LibraryDataEntry!F95="","",LibraryDataEntry!F95)</f>
        <v/>
      </c>
      <c r="X95" s="29" t="str">
        <f>IF(LibraryDataEntry!G95="","",LibraryDataEntry!G95)</f>
        <v/>
      </c>
      <c r="Z95" s="29" t="str">
        <f>IF(LibraryDataEntry!L95="","",LibraryDataEntry!L95)</f>
        <v/>
      </c>
      <c r="AA95" s="29" t="str">
        <f>IF(LibraryDataEntry!J95="","",LibraryDataEntry!J95)</f>
        <v/>
      </c>
      <c r="AB95" s="29" t="str">
        <f>IF(LibraryDataEntry!M95="","",LibraryDataEntry!M95)</f>
        <v/>
      </c>
      <c r="AC95"/>
      <c r="AD95" s="29" t="str">
        <f>IF(LibraryDataEntry!B95="","",CONCATENATE(RIGHT(LibraryDataEntry!B95,4),"HS"))</f>
        <v/>
      </c>
      <c r="AG95" s="29" t="str">
        <f>IF(LibraryDataEntry!A95="","",LibraryDataEntry!A95)</f>
        <v/>
      </c>
      <c r="AJ95"/>
      <c r="AM95" s="30"/>
    </row>
    <row r="96" spans="1:39" s="29" customFormat="1" x14ac:dyDescent="0.5">
      <c r="A96" s="32" t="str">
        <f>IF(LibraryDataEntry!C96="","",LibraryDataEntry!C96)</f>
        <v/>
      </c>
      <c r="B96" s="33" t="str">
        <f>IF(LibraryDataEntry!F96="","",CONCATENATE(LibraryDataEntry!F96,"-",LibraryDataEntry!G96))</f>
        <v/>
      </c>
      <c r="C96" s="33"/>
      <c r="D96" s="33"/>
      <c r="E96" s="33"/>
      <c r="F96" s="33"/>
      <c r="G96" s="33"/>
      <c r="H96" s="33"/>
      <c r="I96" s="33" t="str">
        <f>IF(LibraryDataEntry!N96="","",LibraryDataEntry!N96)</f>
        <v/>
      </c>
      <c r="J96" s="33" t="str">
        <f>IF(LibraryDataEntry!E96="","",LibraryDataEntry!E96)</f>
        <v/>
      </c>
      <c r="K96" s="33"/>
      <c r="L96" s="33"/>
      <c r="M96" s="33"/>
      <c r="N96" s="33"/>
      <c r="O96" s="33" t="str">
        <f>IF(LibraryDataEntry!H96="","",LibraryDataEntry!H96)</f>
        <v/>
      </c>
      <c r="P96" s="33" t="str">
        <f>IF(LibraryDataEntry!J96="nM",LibraryDataEntry!I96,"")</f>
        <v/>
      </c>
      <c r="Q96" s="33" t="str">
        <f>IF(LibraryDataEntry!J96="ng/ul",LibraryDataEntry!I96,"")</f>
        <v/>
      </c>
      <c r="R96" s="33"/>
      <c r="S96" s="33"/>
      <c r="T96" s="33"/>
      <c r="U96" s="33"/>
      <c r="V96" s="33"/>
      <c r="W96" s="33" t="str">
        <f>IF(LibraryDataEntry!F96="","",LibraryDataEntry!F96)</f>
        <v/>
      </c>
      <c r="X96" s="33" t="str">
        <f>IF(LibraryDataEntry!G96="","",LibraryDataEntry!G96)</f>
        <v/>
      </c>
      <c r="Y96" s="33"/>
      <c r="Z96" s="33" t="str">
        <f>IF(LibraryDataEntry!L96="","",LibraryDataEntry!L96)</f>
        <v/>
      </c>
      <c r="AA96" s="29" t="str">
        <f>IF(LibraryDataEntry!J96="","",LibraryDataEntry!J96)</f>
        <v/>
      </c>
      <c r="AB96" s="33" t="str">
        <f>IF(LibraryDataEntry!M96="","",LibraryDataEntry!M96)</f>
        <v/>
      </c>
      <c r="AC96" s="33"/>
      <c r="AD96" s="33" t="str">
        <f>IF(LibraryDataEntry!B96="","",CONCATENATE(RIGHT(LibraryDataEntry!B96,4),"HS"))</f>
        <v/>
      </c>
      <c r="AE96" s="33"/>
      <c r="AF96" s="33"/>
      <c r="AG96" s="33" t="str">
        <f>IF(LibraryDataEntry!A96="","",LibraryDataEntry!A96)</f>
        <v/>
      </c>
      <c r="AH96" s="33"/>
      <c r="AI96" s="33"/>
      <c r="AJ96" s="33"/>
      <c r="AK96" s="33"/>
      <c r="AL96" s="33"/>
      <c r="AM96" s="34"/>
    </row>
    <row r="97" spans="1:39" s="29" customFormat="1" x14ac:dyDescent="0.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 s="29" t="str">
        <f>IF(LibraryDataEntry!F97="","",LibraryDataEntry!F97)</f>
        <v/>
      </c>
      <c r="X97" s="29" t="str">
        <f>IF(LibraryDataEntry!G97="","",LibraryDataEntry!G97)</f>
        <v/>
      </c>
      <c r="Y97"/>
      <c r="Z97"/>
      <c r="AA97" s="29" t="str">
        <f>IF(LibraryDataEntry!J97="","",LibraryDataEntry!J97)</f>
        <v/>
      </c>
      <c r="AB97"/>
      <c r="AC97"/>
      <c r="AD97"/>
      <c r="AE97"/>
      <c r="AF97"/>
      <c r="AG97"/>
      <c r="AH97"/>
      <c r="AI97"/>
      <c r="AJ97"/>
      <c r="AK97"/>
      <c r="AL97"/>
      <c r="AM97"/>
    </row>
  </sheetData>
  <hyperlinks>
    <hyperlink ref="N1" r:id="rId1"/>
    <hyperlink ref="AD1" r:id="rId2"/>
  </hyperlink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MK412"/>
  <sheetViews>
    <sheetView zoomScale="70" zoomScaleNormal="70" workbookViewId="0">
      <selection activeCell="F16" sqref="F16"/>
    </sheetView>
  </sheetViews>
  <sheetFormatPr defaultRowHeight="12.5" x14ac:dyDescent="0.5"/>
  <cols>
    <col min="1" max="1" width="16.31640625" style="35"/>
    <col min="2" max="2" width="42.453125" style="35"/>
    <col min="3" max="3" width="19.1796875" style="35"/>
    <col min="4" max="4" width="21.31640625" style="35"/>
    <col min="5" max="5" width="16.1796875" style="35"/>
    <col min="6" max="6" width="17.54296875" style="35"/>
    <col min="7" max="7" width="8.36328125" style="35"/>
    <col min="8" max="8" width="7.953125" style="35"/>
    <col min="9" max="9" width="7.26953125" style="35"/>
    <col min="10" max="10" width="15.26953125" style="35"/>
    <col min="11" max="11" width="9.7265625" style="36"/>
    <col min="12" max="13" width="10.40625" style="35"/>
    <col min="14" max="16" width="0" style="35" hidden="1"/>
    <col min="17" max="17" width="9.7265625" style="35"/>
    <col min="18" max="18" width="12.1328125" style="35"/>
    <col min="19" max="19" width="11.1796875" style="35"/>
    <col min="20" max="21" width="10.81640625" style="35"/>
    <col min="22" max="22" width="13.08984375" style="35"/>
    <col min="23" max="23" width="11.04296875" style="35"/>
    <col min="24" max="24" width="11.31640625" style="35"/>
    <col min="25" max="25" width="0" style="35" hidden="1"/>
    <col min="26" max="26" width="0" style="37" hidden="1"/>
    <col min="27" max="27" width="25.08984375" style="35"/>
    <col min="28" max="28" width="9.04296875" style="35"/>
    <col min="29" max="31" width="0" style="37" hidden="1"/>
    <col min="32" max="32" width="0" style="35" hidden="1"/>
    <col min="33" max="1025" width="9.04296875" style="35"/>
  </cols>
  <sheetData>
    <row r="1" spans="1:1024" ht="15" x14ac:dyDescent="0.6">
      <c r="A1" s="38" t="s">
        <v>61</v>
      </c>
      <c r="B1" s="39"/>
      <c r="C1" s="39"/>
      <c r="D1" s="39" t="s">
        <v>62</v>
      </c>
      <c r="E1" s="40"/>
      <c r="F1" s="40"/>
      <c r="G1" s="40"/>
      <c r="H1" s="41"/>
      <c r="I1" s="42"/>
      <c r="J1" s="42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s="46" customFormat="1" ht="15" x14ac:dyDescent="0.6">
      <c r="A2" s="43"/>
      <c r="B2" s="43"/>
      <c r="C2" s="43"/>
      <c r="D2" s="42"/>
      <c r="E2" s="44"/>
      <c r="F2" s="44"/>
      <c r="G2" s="44"/>
      <c r="H2" s="42"/>
      <c r="I2" s="42"/>
      <c r="J2" s="42"/>
      <c r="K2" s="45"/>
      <c r="Z2" s="47"/>
      <c r="AC2" s="47"/>
      <c r="AD2" s="47"/>
      <c r="AE2" s="47"/>
    </row>
    <row r="3" spans="1:1024" ht="15" x14ac:dyDescent="0.6">
      <c r="A3" s="48" t="s">
        <v>63</v>
      </c>
      <c r="B3" s="49"/>
      <c r="C3" s="49"/>
      <c r="D3" s="50"/>
      <c r="E3" s="51"/>
      <c r="F3" s="51"/>
      <c r="G3" s="51"/>
      <c r="H3" s="50"/>
      <c r="I3" s="42"/>
      <c r="J3" s="42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 s="52"/>
      <c r="AA3"/>
      <c r="AB3"/>
      <c r="AC3" s="47"/>
      <c r="AD3" s="47"/>
      <c r="AE3" s="47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9.5" customHeight="1" x14ac:dyDescent="0.5">
      <c r="A4"/>
      <c r="B4"/>
      <c r="C4"/>
      <c r="D4"/>
      <c r="E4"/>
      <c r="F4"/>
      <c r="G4"/>
      <c r="H4"/>
      <c r="I4"/>
      <c r="J4" s="605" t="str">
        <f ca="1">IFERROR(IF(Calculation!E6&gt;10,"More than 10 plates in TrackIT_Lines",IF(ListAndConversion!A15&gt;64,"More than 64 Flow Cells Lanes",IF(AND(Calculation!I6/8/Calculation!H6&lt;&gt;1,Calculation!I6*8&lt;&gt;0),"Total number of Flow Cells Lane is wrong!",IF(COUNTA(TrackIT_Lines!A:A)=COUNTA(TrackIT_Lines!AB:AB),"","PhiX Column is not filled properly")))),"")</f>
        <v/>
      </c>
      <c r="K4" s="605"/>
      <c r="L4" s="605"/>
      <c r="M4" s="605"/>
      <c r="N4" s="605"/>
      <c r="O4" s="605"/>
      <c r="P4" s="605"/>
      <c r="Q4" s="605"/>
      <c r="R4" s="605"/>
      <c r="S4" s="605"/>
      <c r="T4" s="605"/>
      <c r="U4" s="53"/>
      <c r="V4"/>
      <c r="W4"/>
      <c r="X4"/>
      <c r="Y4"/>
      <c r="Z4" s="52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9.5" customHeight="1" x14ac:dyDescent="0.6">
      <c r="A5" s="54" t="s">
        <v>64</v>
      </c>
      <c r="B5" s="55" t="s">
        <v>65</v>
      </c>
      <c r="C5" s="56"/>
      <c r="D5"/>
      <c r="E5"/>
      <c r="F5"/>
      <c r="G5"/>
      <c r="H5"/>
      <c r="I5"/>
      <c r="J5" s="605"/>
      <c r="K5" s="605"/>
      <c r="L5" s="605"/>
      <c r="M5" s="605"/>
      <c r="N5" s="605"/>
      <c r="O5" s="605"/>
      <c r="P5" s="605"/>
      <c r="Q5" s="605"/>
      <c r="R5" s="605"/>
      <c r="S5" s="605"/>
      <c r="T5" s="605"/>
      <c r="U5" s="53"/>
      <c r="V5"/>
      <c r="W5"/>
      <c r="X5"/>
      <c r="Y5"/>
      <c r="Z5" s="52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9.5" customHeight="1" x14ac:dyDescent="0.5">
      <c r="A6"/>
      <c r="B6"/>
      <c r="C6"/>
      <c r="D6"/>
      <c r="E6"/>
      <c r="F6"/>
      <c r="G6"/>
      <c r="H6"/>
      <c r="I6"/>
      <c r="J6" s="605"/>
      <c r="K6" s="605"/>
      <c r="L6" s="605"/>
      <c r="M6" s="605"/>
      <c r="N6" s="605"/>
      <c r="O6" s="605"/>
      <c r="P6" s="605"/>
      <c r="Q6" s="605"/>
      <c r="R6" s="605"/>
      <c r="S6" s="605"/>
      <c r="T6" s="605"/>
      <c r="U6" s="53"/>
      <c r="V6"/>
      <c r="W6"/>
      <c r="X6"/>
      <c r="Y6"/>
      <c r="Z6" s="52"/>
      <c r="AA6"/>
      <c r="AB6"/>
      <c r="AC6" s="606" t="s">
        <v>66</v>
      </c>
      <c r="AD6" s="60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9.5" customHeight="1" x14ac:dyDescent="0.5">
      <c r="A7" s="57" t="s">
        <v>67</v>
      </c>
      <c r="B7" s="58" t="s">
        <v>68</v>
      </c>
      <c r="C7" s="59"/>
      <c r="D7" s="57"/>
      <c r="E7" s="57"/>
      <c r="F7" s="57"/>
      <c r="G7" s="57"/>
      <c r="H7" s="57"/>
      <c r="I7" s="57"/>
      <c r="J7" s="605"/>
      <c r="K7" s="605"/>
      <c r="L7" s="605"/>
      <c r="M7" s="605"/>
      <c r="N7" s="605"/>
      <c r="O7" s="605"/>
      <c r="P7" s="605"/>
      <c r="Q7" s="605"/>
      <c r="R7" s="605"/>
      <c r="S7" s="605"/>
      <c r="T7" s="605"/>
      <c r="U7" s="53"/>
      <c r="V7"/>
      <c r="W7" s="607" t="s">
        <v>69</v>
      </c>
      <c r="X7" s="607"/>
      <c r="Y7" s="607"/>
      <c r="Z7" s="52"/>
      <c r="AA7"/>
      <c r="AB7"/>
      <c r="AC7" s="60" t="s">
        <v>70</v>
      </c>
      <c r="AD7" s="61" t="s">
        <v>71</v>
      </c>
      <c r="AE7" s="62" t="s">
        <v>72</v>
      </c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9.5" customHeight="1" x14ac:dyDescent="0.5">
      <c r="A8" s="57" t="s">
        <v>73</v>
      </c>
      <c r="B8" s="63" t="s">
        <v>74</v>
      </c>
      <c r="C8" s="57"/>
      <c r="D8" s="57"/>
      <c r="E8" s="57"/>
      <c r="F8" s="57"/>
      <c r="G8" s="57"/>
      <c r="H8" s="57"/>
      <c r="I8" s="57"/>
      <c r="J8" s="605"/>
      <c r="K8" s="605"/>
      <c r="L8" s="605"/>
      <c r="M8" s="605"/>
      <c r="N8" s="605"/>
      <c r="O8" s="605"/>
      <c r="P8" s="605"/>
      <c r="Q8" s="605"/>
      <c r="R8" s="605"/>
      <c r="S8" s="605"/>
      <c r="T8" s="605"/>
      <c r="U8" s="53"/>
      <c r="V8"/>
      <c r="W8" s="64" t="s">
        <v>75</v>
      </c>
      <c r="X8" s="65" t="s">
        <v>76</v>
      </c>
      <c r="Y8" s="66" t="s">
        <v>77</v>
      </c>
      <c r="Z8" s="52"/>
      <c r="AA8"/>
      <c r="AB8"/>
      <c r="AC8" s="60" t="str">
        <f>W8</f>
        <v>A</v>
      </c>
      <c r="AD8" s="61">
        <f>W9</f>
        <v>5</v>
      </c>
      <c r="AE8" s="67">
        <f ca="1">W10</f>
        <v>0</v>
      </c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9.5" customHeight="1" x14ac:dyDescent="0.5">
      <c r="A9" s="57"/>
      <c r="B9" s="68"/>
      <c r="C9" s="57"/>
      <c r="D9" s="57"/>
      <c r="E9" s="57"/>
      <c r="F9" s="57"/>
      <c r="G9" s="57"/>
      <c r="H9" s="57"/>
      <c r="I9" s="57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69" t="s">
        <v>78</v>
      </c>
      <c r="W9" s="64">
        <v>5</v>
      </c>
      <c r="X9" s="65">
        <v>6</v>
      </c>
      <c r="Y9" s="66">
        <v>7</v>
      </c>
      <c r="Z9" s="52"/>
      <c r="AA9" s="56"/>
      <c r="AB9"/>
      <c r="AC9" s="60" t="str">
        <f>X8</f>
        <v>B</v>
      </c>
      <c r="AD9" s="61">
        <f>X9</f>
        <v>6</v>
      </c>
      <c r="AE9" s="67">
        <f ca="1">X10</f>
        <v>0</v>
      </c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5">
      <c r="A10" s="57"/>
      <c r="B10" s="70"/>
      <c r="C10" s="57"/>
      <c r="D10" s="57"/>
      <c r="E10"/>
      <c r="F10"/>
      <c r="G10"/>
      <c r="H10"/>
      <c r="I10" s="57"/>
      <c r="J10"/>
      <c r="K10"/>
      <c r="L10"/>
      <c r="M10"/>
      <c r="N10"/>
      <c r="O10"/>
      <c r="P10"/>
      <c r="Q10"/>
      <c r="R10"/>
      <c r="S10"/>
      <c r="T10"/>
      <c r="U10"/>
      <c r="V10" s="71" t="s">
        <v>79</v>
      </c>
      <c r="W10" s="72">
        <f ca="1">AC14</f>
        <v>0</v>
      </c>
      <c r="X10" s="73">
        <f ca="1">AD14</f>
        <v>0</v>
      </c>
      <c r="Y10" s="74">
        <f ca="1">AE14</f>
        <v>0</v>
      </c>
      <c r="Z10" s="52"/>
      <c r="AA10"/>
      <c r="AB10"/>
      <c r="AC10" s="75" t="str">
        <f>Y8</f>
        <v>C</v>
      </c>
      <c r="AD10" s="76">
        <f>Y9</f>
        <v>7</v>
      </c>
      <c r="AE10" s="77">
        <f ca="1">Y10</f>
        <v>0</v>
      </c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5">
      <c r="A11" s="78"/>
      <c r="B11" s="79"/>
      <c r="C11" s="42"/>
      <c r="D11" s="78"/>
      <c r="E11"/>
      <c r="F11"/>
      <c r="G11"/>
      <c r="H11"/>
      <c r="I11" s="57"/>
      <c r="J11" s="608" t="s">
        <v>80</v>
      </c>
      <c r="K11" s="608"/>
      <c r="L11" s="608"/>
      <c r="M11" s="608"/>
      <c r="N11"/>
      <c r="O11"/>
      <c r="P11"/>
      <c r="Q11"/>
      <c r="R11"/>
      <c r="S11"/>
      <c r="T11"/>
      <c r="U11"/>
      <c r="V11" s="80" t="s">
        <v>81</v>
      </c>
      <c r="W11" s="81">
        <f ca="1">W12*W10/10</f>
        <v>0</v>
      </c>
      <c r="X11" s="82">
        <f ca="1">X12*X10/10</f>
        <v>0</v>
      </c>
      <c r="Y11" s="83">
        <f ca="1">Y12*Y10/10</f>
        <v>0</v>
      </c>
      <c r="Z11" s="52"/>
      <c r="AA11"/>
      <c r="AB11"/>
      <c r="AC11" s="84" t="s">
        <v>82</v>
      </c>
      <c r="AD11" s="37">
        <v>8</v>
      </c>
      <c r="AE11" s="37">
        <v>9.9999999999999995E-7</v>
      </c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5">
      <c r="A12" s="78"/>
      <c r="B12" s="68"/>
      <c r="C12" s="70"/>
      <c r="D12" s="42"/>
      <c r="E12"/>
      <c r="F12"/>
      <c r="G12"/>
      <c r="H12"/>
      <c r="I12"/>
      <c r="J12" s="608"/>
      <c r="K12" s="608"/>
      <c r="L12" s="608"/>
      <c r="M12" s="608"/>
      <c r="N12"/>
      <c r="O12"/>
      <c r="P12"/>
      <c r="Q12"/>
      <c r="R12"/>
      <c r="S12"/>
      <c r="T12"/>
      <c r="U12"/>
      <c r="V12" s="85" t="s">
        <v>83</v>
      </c>
      <c r="W12" s="86">
        <f ca="1">IF(COUNTIF($AA$29:$AA$412,W8)&gt;0,IF(SUMIF($AA$29:$AA$412,W8,$T$29:$T$412)*W10/10&lt;Calculation!$O$6,Calculation!$O$6*10/W10,(SUMIF($AA$29:$AA$412,W8,$T$29:$T$412)-(SUMIF($AA$29:$AA$412,W8,$T$29:$T$412)*W10/10))+40),0)</f>
        <v>0</v>
      </c>
      <c r="X12" s="87">
        <f ca="1">IF(COUNTIF($AA$29:$AA$412,X8)&gt;0,IF(SUMIF($AA$29:$AA$412,X8,$T$29:$T$412)*X10/10&lt;Calculation!$O$6,Calculation!$O$6*10/X10,(SUMIF($AA$29:$AA$412,X8,$T$29:$T$412)-(SUMIF($AA$29:$AA$412,X8,$T$29:$T$412)*X10/10))+40),0)</f>
        <v>0</v>
      </c>
      <c r="Y12" s="88">
        <f ca="1">IF(COUNTIF($AA$29:$AA$412,Y8)&gt;0,IF(SUMIF($AA$29:$AA$412,Y8,$T$29:$T$412)*Y10/10&lt;Calculation!$O$6,Calculation!$O$6*10/Y10,(SUMIF($AA$29:$AA$412,Y8,$T$29:$T$412)-(SUMIF($AA$29:$AA$412,Y8,$T$29:$T$412)*Y10/10))+40),0)</f>
        <v>0</v>
      </c>
      <c r="Z12" s="5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5">
      <c r="A13" s="78"/>
      <c r="B13" s="68"/>
      <c r="C13" s="70"/>
      <c r="D13" s="42"/>
      <c r="E13"/>
      <c r="F13"/>
      <c r="G13"/>
      <c r="H13"/>
      <c r="I13" s="89"/>
      <c r="J13" s="609" t="e">
        <f>Calculation!BD10</f>
        <v>#DIV/0!</v>
      </c>
      <c r="K13" s="609"/>
      <c r="L13" s="609"/>
      <c r="M13" s="609"/>
      <c r="N13" s="90"/>
      <c r="O13"/>
      <c r="P13"/>
      <c r="Q13"/>
      <c r="R13"/>
      <c r="S13"/>
      <c r="T13"/>
      <c r="U13"/>
      <c r="V13"/>
      <c r="W13"/>
      <c r="X13"/>
      <c r="Y13"/>
      <c r="Z13" s="52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12.75" customHeight="1" x14ac:dyDescent="0.5">
      <c r="A14" s="42"/>
      <c r="B14" s="42"/>
      <c r="C14" s="42"/>
      <c r="D14" s="42"/>
      <c r="E14"/>
      <c r="F14"/>
      <c r="G14"/>
      <c r="H14"/>
      <c r="I14" s="89"/>
      <c r="J14" s="602" t="e">
        <f>Calculation!BD12</f>
        <v>#DIV/0!</v>
      </c>
      <c r="K14" s="602"/>
      <c r="L14" s="602"/>
      <c r="M14" s="602"/>
      <c r="N14"/>
      <c r="O14"/>
      <c r="P14"/>
      <c r="Q14"/>
      <c r="R14" s="91" t="s">
        <v>84</v>
      </c>
      <c r="S14" s="92"/>
      <c r="T14" s="92"/>
      <c r="U14" s="93"/>
      <c r="V14" s="94"/>
      <c r="W14" s="95" t="s">
        <v>85</v>
      </c>
      <c r="X14" s="96"/>
      <c r="Y14" s="42"/>
      <c r="Z14"/>
      <c r="AA14"/>
      <c r="AB14"/>
      <c r="AC14" s="37">
        <f ca="1">MAX(AC29:AC412)</f>
        <v>0</v>
      </c>
      <c r="AD14" s="37">
        <f ca="1">IFERROR(AVERAGE(AC29:AC412),0)</f>
        <v>0</v>
      </c>
      <c r="AE14" s="37">
        <f ca="1">MIN(AD29:AD412)</f>
        <v>0</v>
      </c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5">
      <c r="A15" s="78"/>
      <c r="B15" s="70"/>
      <c r="C15" s="97"/>
      <c r="D15" s="97"/>
      <c r="E15" s="70"/>
      <c r="F15"/>
      <c r="G15"/>
      <c r="H15" s="90"/>
      <c r="I15" s="89"/>
      <c r="J15" s="42"/>
      <c r="K15" s="35"/>
      <c r="L15"/>
      <c r="M15" s="90"/>
      <c r="N15"/>
      <c r="O15"/>
      <c r="P15"/>
      <c r="Q15"/>
      <c r="R15" s="98"/>
      <c r="S15" s="99"/>
      <c r="T15" s="99"/>
      <c r="U15" s="100"/>
      <c r="V15" s="42"/>
      <c r="W15" s="101">
        <v>0.04</v>
      </c>
      <c r="X15" s="102" t="s">
        <v>14</v>
      </c>
      <c r="Y15" s="42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5">
      <c r="A16" s="103"/>
      <c r="B16" s="103"/>
      <c r="C16" s="104"/>
      <c r="D16" s="105"/>
      <c r="E16" s="68"/>
      <c r="F16"/>
      <c r="G16"/>
      <c r="H16" s="90"/>
      <c r="I16" s="106"/>
      <c r="J16"/>
      <c r="K16"/>
      <c r="L16"/>
      <c r="M16"/>
      <c r="N16"/>
      <c r="O16"/>
      <c r="P16"/>
      <c r="Q16"/>
      <c r="R16" s="107" t="s">
        <v>86</v>
      </c>
      <c r="S16" s="108">
        <v>20</v>
      </c>
      <c r="T16" s="109"/>
      <c r="U16" s="110"/>
      <c r="V16" s="42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5">
      <c r="A17" s="103"/>
      <c r="B17" s="103"/>
      <c r="C17" s="104"/>
      <c r="D17" s="105"/>
      <c r="E17" s="68"/>
      <c r="F17"/>
      <c r="G17"/>
      <c r="H17" s="90"/>
      <c r="I17" s="106"/>
      <c r="J17"/>
      <c r="K17"/>
      <c r="L17"/>
      <c r="M17"/>
      <c r="N17"/>
      <c r="O17"/>
      <c r="P17"/>
      <c r="Q17"/>
      <c r="R17" s="107" t="s">
        <v>87</v>
      </c>
      <c r="S17" s="111">
        <f>S19-S16</f>
        <v>60</v>
      </c>
      <c r="T17" s="109"/>
      <c r="U17" s="110"/>
      <c r="V17" s="42"/>
      <c r="W17" s="112" t="s">
        <v>88</v>
      </c>
      <c r="X17" s="113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5">
      <c r="A18" s="103"/>
      <c r="B18" s="103"/>
      <c r="C18" s="104"/>
      <c r="D18" s="105"/>
      <c r="E18" s="68"/>
      <c r="F18"/>
      <c r="G18"/>
      <c r="H18" s="90"/>
      <c r="I18" s="106"/>
      <c r="J18"/>
      <c r="K18"/>
      <c r="L18"/>
      <c r="M18"/>
      <c r="N18"/>
      <c r="O18"/>
      <c r="P18"/>
      <c r="Q18"/>
      <c r="R18" s="114"/>
      <c r="S18" s="111"/>
      <c r="T18" s="109"/>
      <c r="U18" s="110"/>
      <c r="V18" s="42"/>
      <c r="W18" s="115"/>
      <c r="X18" s="116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5">
      <c r="A19" s="103"/>
      <c r="B19" s="103"/>
      <c r="C19" s="104"/>
      <c r="D19" s="105"/>
      <c r="E19" s="68"/>
      <c r="F19"/>
      <c r="G19"/>
      <c r="H19" s="90"/>
      <c r="I19" s="106"/>
      <c r="J19"/>
      <c r="K19"/>
      <c r="L19"/>
      <c r="M19" s="117"/>
      <c r="N19" s="90"/>
      <c r="O19"/>
      <c r="P19"/>
      <c r="Q19"/>
      <c r="R19" s="118" t="s">
        <v>89</v>
      </c>
      <c r="S19" s="119">
        <f>S16*2/R23</f>
        <v>80</v>
      </c>
      <c r="T19" s="120" t="str">
        <f>CONCATENATE("µl at ", R23," N")</f>
        <v>µl at 0.5 N</v>
      </c>
      <c r="U19" s="121"/>
      <c r="V19" s="42"/>
      <c r="W19" s="122">
        <v>30</v>
      </c>
      <c r="X19" s="123" t="s">
        <v>90</v>
      </c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5">
      <c r="A20" s="103"/>
      <c r="B20" s="103"/>
      <c r="C20" s="104"/>
      <c r="D20" s="105"/>
      <c r="E20" s="68"/>
      <c r="F20"/>
      <c r="G20"/>
      <c r="H20" s="90"/>
      <c r="I20" s="106"/>
      <c r="J20"/>
      <c r="K20"/>
      <c r="L20"/>
      <c r="M20" s="117"/>
      <c r="N20" s="90"/>
      <c r="O20"/>
      <c r="P20"/>
      <c r="Q20"/>
      <c r="R20"/>
      <c r="S20"/>
      <c r="T20"/>
      <c r="U20"/>
      <c r="V20" s="42"/>
      <c r="W20"/>
      <c r="X20" s="42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2.75" customHeight="1" x14ac:dyDescent="0.5">
      <c r="A21" s="124"/>
      <c r="B21" s="124"/>
      <c r="C21" s="104"/>
      <c r="D21" s="104"/>
      <c r="E21" s="68"/>
      <c r="F21"/>
      <c r="G21"/>
      <c r="H21" s="90"/>
      <c r="I21" s="106"/>
      <c r="J21"/>
      <c r="K21"/>
      <c r="L21"/>
      <c r="M21" s="117"/>
      <c r="N21" s="90"/>
      <c r="O21"/>
      <c r="P21"/>
      <c r="Q21"/>
      <c r="R21" s="125" t="s">
        <v>91</v>
      </c>
      <c r="S21" s="126"/>
      <c r="T21" s="603" t="s">
        <v>92</v>
      </c>
      <c r="U21" s="603"/>
      <c r="V21" s="127"/>
      <c r="W21" s="128" t="s">
        <v>93</v>
      </c>
      <c r="X21" s="129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5">
      <c r="A22" s="124"/>
      <c r="B22" s="124"/>
      <c r="C22" s="104"/>
      <c r="D22" s="105"/>
      <c r="E22" s="68"/>
      <c r="F22"/>
      <c r="G22" s="46"/>
      <c r="H22" s="46"/>
      <c r="I22" s="78"/>
      <c r="J22" s="106"/>
      <c r="K22" s="106"/>
      <c r="L22" s="68"/>
      <c r="M22" s="70"/>
      <c r="N22"/>
      <c r="O22"/>
      <c r="P22"/>
      <c r="Q22"/>
      <c r="R22" s="130"/>
      <c r="S22" s="131"/>
      <c r="T22" s="130"/>
      <c r="U22" s="132"/>
      <c r="V22" s="133"/>
      <c r="W22" s="130"/>
      <c r="X22" s="13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5">
      <c r="A23" s="124"/>
      <c r="B23" s="124"/>
      <c r="C23" s="104"/>
      <c r="D23" s="105"/>
      <c r="E23" s="68"/>
      <c r="F23"/>
      <c r="G23" s="46"/>
      <c r="H23" s="46"/>
      <c r="I23" s="78"/>
      <c r="J23" s="106"/>
      <c r="K23" s="106"/>
      <c r="L23" s="68"/>
      <c r="M23" s="70"/>
      <c r="N23"/>
      <c r="O23"/>
      <c r="P23"/>
      <c r="Q23"/>
      <c r="R23" s="134">
        <v>0.5</v>
      </c>
      <c r="S23" s="135" t="s">
        <v>94</v>
      </c>
      <c r="T23" s="136">
        <f ca="1">SUM(ListAndConversion!BZ4:BZ387)+20</f>
        <v>20</v>
      </c>
      <c r="U23" s="137" t="s">
        <v>90</v>
      </c>
      <c r="V23" s="133"/>
      <c r="W23" s="134">
        <v>60</v>
      </c>
      <c r="X23" s="137" t="s">
        <v>90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5">
      <c r="A24" s="124"/>
      <c r="B24" s="124"/>
      <c r="C24" s="97"/>
      <c r="D24" s="52"/>
      <c r="E24" s="42"/>
      <c r="F24" s="46"/>
      <c r="G24" s="46"/>
      <c r="H24" s="46"/>
      <c r="I24"/>
      <c r="J24"/>
      <c r="K24"/>
      <c r="L24"/>
      <c r="M24"/>
      <c r="N24"/>
      <c r="O24" s="42"/>
      <c r="P24"/>
      <c r="Q24"/>
      <c r="R24" s="109"/>
      <c r="S24" s="109"/>
      <c r="T24" s="109"/>
      <c r="U24" s="109"/>
      <c r="V24" s="109"/>
      <c r="W24" s="109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5">
      <c r="A25" s="138"/>
      <c r="B25" s="70"/>
      <c r="C25" s="42"/>
      <c r="D25" s="42"/>
      <c r="E25" s="42"/>
      <c r="F25" s="46"/>
      <c r="G25" s="46"/>
      <c r="H25" s="46"/>
      <c r="I25" s="46"/>
      <c r="J25" s="46"/>
      <c r="K25" s="45"/>
      <c r="L25"/>
      <c r="M25" s="139"/>
      <c r="N25" s="139"/>
      <c r="O25" s="42"/>
      <c r="P25"/>
      <c r="Q25"/>
      <c r="R25"/>
      <c r="S25"/>
      <c r="T25"/>
      <c r="U25"/>
      <c r="V25"/>
      <c r="W25" s="42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x14ac:dyDescent="0.5">
      <c r="A26" s="103"/>
      <c r="B26" s="68"/>
      <c r="C26" s="70"/>
      <c r="D26" s="42"/>
      <c r="E26" s="42"/>
      <c r="F26"/>
      <c r="G26"/>
      <c r="H26"/>
      <c r="I26"/>
      <c r="J26"/>
      <c r="K26"/>
      <c r="L26" s="604" t="s">
        <v>95</v>
      </c>
      <c r="M26" s="604"/>
      <c r="N26"/>
      <c r="O26" s="604" t="s">
        <v>96</v>
      </c>
      <c r="P26" s="604"/>
      <c r="Q26"/>
      <c r="R26" s="604" t="s">
        <v>97</v>
      </c>
      <c r="S26" s="604"/>
      <c r="T26" s="604"/>
      <c r="U26" s="604"/>
      <c r="V26" s="604"/>
      <c r="W26" s="604"/>
      <c r="X26" s="604"/>
      <c r="Y26" s="604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140"/>
      <c r="M27" s="141"/>
      <c r="N27" s="37"/>
      <c r="O27" s="140"/>
      <c r="P27" s="141"/>
      <c r="Q27" s="37"/>
      <c r="R27" s="140"/>
      <c r="S27" s="142"/>
      <c r="T27" s="142"/>
      <c r="U27" s="142"/>
      <c r="V27" s="142"/>
      <c r="W27" s="142"/>
      <c r="X27" s="142"/>
      <c r="Y27" s="141"/>
      <c r="Z27"/>
      <c r="AA27" s="37"/>
      <c r="AB27" s="37"/>
      <c r="AC27"/>
      <c r="AD27"/>
      <c r="AE27"/>
      <c r="AF27" s="3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61.25" x14ac:dyDescent="0.5">
      <c r="A28" s="143" t="s">
        <v>0</v>
      </c>
      <c r="B28" s="143" t="s">
        <v>98</v>
      </c>
      <c r="C28" s="144" t="s">
        <v>99</v>
      </c>
      <c r="D28" s="145" t="s">
        <v>100</v>
      </c>
      <c r="E28" s="145" t="s">
        <v>101</v>
      </c>
      <c r="F28" s="145" t="s">
        <v>102</v>
      </c>
      <c r="G28" s="145" t="s">
        <v>103</v>
      </c>
      <c r="H28" s="145" t="s">
        <v>104</v>
      </c>
      <c r="I28" s="145" t="s">
        <v>105</v>
      </c>
      <c r="J28" s="145" t="s">
        <v>49</v>
      </c>
      <c r="K28" s="146" t="s">
        <v>106</v>
      </c>
      <c r="L28" s="145" t="s">
        <v>107</v>
      </c>
      <c r="M28" s="145" t="s">
        <v>108</v>
      </c>
      <c r="N28" s="147" t="s">
        <v>109</v>
      </c>
      <c r="O28" s="148" t="s">
        <v>110</v>
      </c>
      <c r="P28" s="145" t="s">
        <v>111</v>
      </c>
      <c r="Q28" s="147" t="s">
        <v>109</v>
      </c>
      <c r="R28" s="148" t="s">
        <v>112</v>
      </c>
      <c r="S28" s="149" t="s">
        <v>113</v>
      </c>
      <c r="T28" s="149" t="s">
        <v>114</v>
      </c>
      <c r="U28" s="149" t="str">
        <f>CONCATENATE("Volume of ",R23," N NaOH (µl)")</f>
        <v>Volume of 0.5 N NaOH (µl)</v>
      </c>
      <c r="V28" s="149" t="str">
        <f>Calculation!AI1</f>
        <v>Vol 200 mM Tris-HCl</v>
      </c>
      <c r="W28" s="149" t="str">
        <f>Calculation!AJ1</f>
        <v>Vol ExAMP (µl)</v>
      </c>
      <c r="X28" s="149" t="s">
        <v>115</v>
      </c>
      <c r="Y28" s="150" t="s">
        <v>116</v>
      </c>
      <c r="Z28" s="150" t="s">
        <v>117</v>
      </c>
      <c r="AA28" s="145" t="s">
        <v>118</v>
      </c>
      <c r="AB28"/>
      <c r="AC28" s="84" t="s">
        <v>119</v>
      </c>
      <c r="AD28" s="84" t="s">
        <v>120</v>
      </c>
      <c r="AE28" s="37" t="s">
        <v>121</v>
      </c>
      <c r="AF28" s="97" t="s">
        <v>122</v>
      </c>
      <c r="AG28" s="56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s="99" customFormat="1" ht="14.25" x14ac:dyDescent="0.5">
      <c r="A29" s="151" t="str">
        <f>Calculation!I10</f>
        <v/>
      </c>
      <c r="B29" s="152" t="str">
        <f ca="1">Calculation!B10</f>
        <v/>
      </c>
      <c r="C29" s="152" t="str">
        <f ca="1">Calculation!C10</f>
        <v/>
      </c>
      <c r="D29" s="153" t="str">
        <f ca="1">Calculation!AN10</f>
        <v/>
      </c>
      <c r="E29" s="154" t="str">
        <f ca="1">Calculation!D10</f>
        <v/>
      </c>
      <c r="F29" s="155" t="str">
        <f ca="1">Calculation!C10</f>
        <v/>
      </c>
      <c r="G29" s="156" t="str">
        <f ca="1">Calculation!F10</f>
        <v/>
      </c>
      <c r="H29" s="157" t="str">
        <f ca="1">Calculation!AD10</f>
        <v/>
      </c>
      <c r="I29" s="158" t="str">
        <f ca="1">Calculation!AE10</f>
        <v/>
      </c>
      <c r="J29" s="159" t="str">
        <f ca="1">IF(Calculation!Q10="","Selection",Calculation!Q10)</f>
        <v>Selection</v>
      </c>
      <c r="K29" s="160" t="str">
        <f ca="1">Calculation!T10</f>
        <v/>
      </c>
      <c r="L29" s="161" t="str">
        <f ca="1">Calculation!U10</f>
        <v>-</v>
      </c>
      <c r="M29" s="161" t="str">
        <f ca="1">Calculation!V10</f>
        <v>-</v>
      </c>
      <c r="N29" s="162"/>
      <c r="O29" s="161" t="str">
        <f ca="1">Calculation!X10</f>
        <v>-</v>
      </c>
      <c r="P29" s="161" t="str">
        <f ca="1">Calculation!Y10</f>
        <v>-</v>
      </c>
      <c r="Q29" s="163" t="s">
        <v>109</v>
      </c>
      <c r="R29" s="164" t="str">
        <f ca="1">IF(AND(L29&lt;&gt;"-",Q29&lt;&gt;"bypass"),IFERROR(IF((U29*$R$23/0.05)-SUM(S29:U29)&gt;0,(U29*$R$23/0.05)-SUM(S29:U29),0),"-"),Calculation!AH10)</f>
        <v>-</v>
      </c>
      <c r="S29" s="160" t="str">
        <f ca="1">IF(AND(L29&lt;&gt;"-",Q29&lt;&gt;"bypass"),IFERROR(X29*((H29*10^-12-H29*10^-12*I29)/(Calculation!$U$8*10^-9)),"-"),Calculation!AF10)</f>
        <v>-</v>
      </c>
      <c r="T29" s="160" t="str">
        <f ca="1">IF(AND(L29&lt;&gt;"-",Q29&lt;&gt;"bypass"),IFERROR(H29*I29*X29/(IF(Cluster!AA29=Cluster!$W$8,Cluster!$W$10,IF(Cluster!AA29=Cluster!$X$8,Cluster!$X$10,IF(Cluster!AA29=Cluster!$Y$8,Cluster!$Y$10,0)))*10^3),"-"),Calculation!AK10)</f>
        <v>-</v>
      </c>
      <c r="U29" s="160" t="str">
        <f ca="1">IF(AND(L29&lt;&gt;"-",Q29&lt;&gt;"bypass"),IFERROR((0.5/50)*X29/$R$23,"-"),Calculation!AG10)</f>
        <v>-</v>
      </c>
      <c r="V29" s="160" t="str">
        <f ca="1">IF(AND(L29&lt;&gt;"-",Q29&lt;&gt;"bypass"),IFERROR(5/50*X29,"-"),Calculation!AI10)</f>
        <v>-</v>
      </c>
      <c r="W29" s="160" t="str">
        <f ca="1">IF(AND(L29&lt;&gt;"-",Q29&lt;&gt;"bypass"),IFERROR(35/50*X29,"-"),Calculation!AJ10)</f>
        <v>-</v>
      </c>
      <c r="X29" s="160" t="str">
        <f ca="1">IF(AND(L29&lt;&gt;"-",Q29&lt;&gt;"bypass"),$W$23,Calculation!AL10)</f>
        <v>-</v>
      </c>
      <c r="Y29" s="165" t="str">
        <f ca="1">IF(AND(L29&lt;&gt;"-",Q29&lt;&gt;"bypass"),IFERROR($R$23*U29/SUM(R29:U29),"-"),Calculation!AP10)</f>
        <v>-</v>
      </c>
      <c r="Z29" s="166" t="str">
        <f t="shared" ref="Z29:Z92" ca="1" si="0">IF(INDEX(Calculation_Tab,MATCH(C29,Identifier,0),45)&lt;&gt;"-",A29,"-")</f>
        <v>-</v>
      </c>
      <c r="AA29" s="167" t="str">
        <f ca="1">IFERROR(IF(I29=0,"-",IF(AND(ROUND(H29*I29*X29/($W$10*10^3),1)&gt;=Calculation!$O$6,ROUND((((U29)*$R$23/0.05)-((S29)+(H29*I29*X29/($W$10*10^3))+(U29))),1)&gt;=0),Cluster!$W$8,IF(AND(ROUND(H29*I29*X29/($X$10*10^3),1)&gt;=Calculation!$O$6,ROUND((((U29)*$R$23/0.05)-((S29)+(H29*I29*X29/($X$10*10^3))+(U29))),1)&gt;=0),Cluster!$X$8,IF(AND(ROUND(H29*I29*X29/($Y$10*10^3),1)&gt;=Calculation!$O$6,ROUND((((U29)*$R$23/0.05)-((S29)+(H29*I29*X29/($Y$10*10^3))+(U29))),1)&gt;=0),Cluster!$Y$8,"Recepie by hand needed")))),"-")</f>
        <v>-</v>
      </c>
      <c r="AC29" s="168" t="str">
        <f t="shared" ref="AC29:AC92" ca="1" si="1">IFERROR(IF((I29*(H29*10^-12)*X29/((U29*$R$23-0.05*SUM(S29,U29))/0.05))/10^-9&lt;=0,"-",(I29*(H29*10^-12)*X29/((U29*$R$23-0.05*SUM(S29,U29))/0.05))/10^-9),"-")</f>
        <v>-</v>
      </c>
      <c r="AD29" s="168" t="str">
        <f t="shared" ref="AD29:AD92" ca="1" si="2">IFERROR(IF((I29*(H29*10^-12)*X29/10^-9)&lt;=0,"-",I29*(H29*10^-12)*X29/10^-9),"-")</f>
        <v>-</v>
      </c>
      <c r="AE29" s="169" t="str">
        <f t="shared" ref="AE29:AE92" ca="1" si="3">IFERROR(AD29-AC29,"-")</f>
        <v>-</v>
      </c>
      <c r="AF29" s="168" t="str">
        <f t="shared" ref="AF29:AF92" ca="1" si="4">IFERROR(IF(AVERAGE(AC29:AD29)&lt;=0,0.1,AVERAGE(AC29:AD29)),"-")</f>
        <v>-</v>
      </c>
    </row>
    <row r="30" spans="1:1024" s="109" customFormat="1" ht="12.75" customHeight="1" x14ac:dyDescent="0.5">
      <c r="A30" s="170" t="str">
        <f>Calculation!I11</f>
        <v/>
      </c>
      <c r="B30" s="171" t="str">
        <f ca="1">Calculation!B11</f>
        <v/>
      </c>
      <c r="C30" s="171" t="str">
        <f ca="1">Calculation!C11</f>
        <v/>
      </c>
      <c r="D30" s="172" t="str">
        <f ca="1">Calculation!AN11</f>
        <v/>
      </c>
      <c r="E30" s="173" t="str">
        <f ca="1">Calculation!D11</f>
        <v/>
      </c>
      <c r="F30" s="174" t="str">
        <f ca="1">Calculation!C11</f>
        <v/>
      </c>
      <c r="G30" s="175" t="str">
        <f ca="1">Calculation!F11</f>
        <v/>
      </c>
      <c r="H30" s="176" t="str">
        <f ca="1">Calculation!AD11</f>
        <v/>
      </c>
      <c r="I30" s="177" t="str">
        <f ca="1">Calculation!AE11</f>
        <v/>
      </c>
      <c r="J30" s="178" t="str">
        <f ca="1">IF(Calculation!Q11="","Selection",Calculation!Q11)</f>
        <v>Selection</v>
      </c>
      <c r="K30" s="179" t="str">
        <f ca="1">Calculation!T11</f>
        <v/>
      </c>
      <c r="L30" s="180" t="str">
        <f ca="1">Calculation!U11</f>
        <v>-</v>
      </c>
      <c r="M30" s="180" t="str">
        <f ca="1">Calculation!V11</f>
        <v>-</v>
      </c>
      <c r="N30" s="181"/>
      <c r="O30" s="180" t="str">
        <f ca="1">Calculation!X11</f>
        <v>-</v>
      </c>
      <c r="P30" s="180" t="str">
        <f ca="1">Calculation!Y11</f>
        <v>-</v>
      </c>
      <c r="Q30" s="163" t="s">
        <v>109</v>
      </c>
      <c r="R30" s="182" t="str">
        <f ca="1">IF(AND(L30&lt;&gt;"-",Q30&lt;&gt;"bypass"),IFERROR(IF((U30*$R$23/0.05)-SUM(S30:U30)&gt;0,(U30*$R$23/0.05)-SUM(S30:U30),0),"-"),Calculation!AH11)</f>
        <v>-</v>
      </c>
      <c r="S30" s="179" t="str">
        <f ca="1">IF(AND(L30&lt;&gt;"-",Q30&lt;&gt;"bypass"),IFERROR(X30*((H30*10^-12-H30*10^-12*I30)/(Calculation!$U$8*10^-9)),"-"),Calculation!AF11)</f>
        <v>-</v>
      </c>
      <c r="T30" s="179" t="str">
        <f ca="1">IF(AND(L30&lt;&gt;"-",Q30&lt;&gt;"bypass"),IFERROR(H30*I30*X30/(IF(Cluster!AA30=Cluster!$W$8,Cluster!$W$10,IF(Cluster!AA30=Cluster!$X$8,Cluster!$X$10,IF(Cluster!AA30=Cluster!$Y$8,Cluster!$Y$10,0)))*10^3),"-"),Calculation!AK11)</f>
        <v>-</v>
      </c>
      <c r="U30" s="179" t="str">
        <f ca="1">IF(AND(L30&lt;&gt;"-",Q30&lt;&gt;"bypass"),IFERROR((0.5/50)*X30/$R$23,"-"),Calculation!AG11)</f>
        <v>-</v>
      </c>
      <c r="V30" s="179" t="str">
        <f ca="1">IF(AND(L30&lt;&gt;"-",Q30&lt;&gt;"bypass"),IFERROR(5/50*X30,"-"),Calculation!AI11)</f>
        <v>-</v>
      </c>
      <c r="W30" s="179" t="str">
        <f ca="1">IF(AND(L30&lt;&gt;"-",Q30&lt;&gt;"bypass"),IFERROR(35/50*X30,"-"),Calculation!AJ11)</f>
        <v>-</v>
      </c>
      <c r="X30" s="179" t="str">
        <f ca="1">IF(AND(L30&lt;&gt;"-",Q30&lt;&gt;"bypass"),$W$23,Calculation!AL11)</f>
        <v>-</v>
      </c>
      <c r="Y30" s="183" t="str">
        <f ca="1">IF(AND(L30&lt;&gt;"-",Q30&lt;&gt;"bypass"),IFERROR($R$23*U30/SUM(R30:U30),"-"),Calculation!AP11)</f>
        <v>-</v>
      </c>
      <c r="Z30" s="184" t="str">
        <f t="shared" ca="1" si="0"/>
        <v>-</v>
      </c>
      <c r="AA30" s="185" t="str">
        <f ca="1">IFERROR(IF(I30=0,"-",IF(AND(ROUND(H30*I30*X30/($W$10*10^3),1)&gt;=Calculation!$O$6,ROUND((((U30)*$R$23/0.05)-((S30)+(H30*I30*X30/($W$10*10^3))+(U30))),1)&gt;=0),Cluster!$W$8,IF(AND(ROUND(H30*I30*X30/($X$10*10^3),1)&gt;=Calculation!$O$6,ROUND((((U30)*$R$23/0.05)-((S30)+(H30*I30*X30/($X$10*10^3))+(U30))),1)&gt;=0),Cluster!$X$8,IF(AND(ROUND(H30*I30*X30/($Y$10*10^3),1)&gt;=Calculation!$O$6,ROUND((((U30)*$R$23/0.05)-((S30)+(H30*I30*X30/($Y$10*10^3))+(U30))),1)&gt;=0),Cluster!$Y$8,"Recepie by hand needed")))),"-")</f>
        <v>-</v>
      </c>
      <c r="AC30" s="111" t="str">
        <f t="shared" ca="1" si="1"/>
        <v>-</v>
      </c>
      <c r="AD30" s="111" t="str">
        <f t="shared" ca="1" si="2"/>
        <v>-</v>
      </c>
      <c r="AE30" s="186" t="str">
        <f t="shared" ca="1" si="3"/>
        <v>-</v>
      </c>
      <c r="AF30" s="111" t="str">
        <f t="shared" ca="1" si="4"/>
        <v>-</v>
      </c>
    </row>
    <row r="31" spans="1:1024" s="109" customFormat="1" ht="13.5" customHeight="1" x14ac:dyDescent="0.5">
      <c r="A31" s="170" t="str">
        <f>Calculation!I12</f>
        <v/>
      </c>
      <c r="B31" s="171" t="str">
        <f ca="1">Calculation!B12</f>
        <v/>
      </c>
      <c r="C31" s="171" t="str">
        <f ca="1">Calculation!C12</f>
        <v/>
      </c>
      <c r="D31" s="172" t="str">
        <f ca="1">Calculation!AN12</f>
        <v/>
      </c>
      <c r="E31" s="173" t="str">
        <f ca="1">Calculation!D12</f>
        <v/>
      </c>
      <c r="F31" s="174" t="str">
        <f ca="1">Calculation!C12</f>
        <v/>
      </c>
      <c r="G31" s="175" t="str">
        <f ca="1">Calculation!F12</f>
        <v/>
      </c>
      <c r="H31" s="176" t="str">
        <f ca="1">Calculation!AD12</f>
        <v/>
      </c>
      <c r="I31" s="177" t="str">
        <f ca="1">Calculation!AE12</f>
        <v/>
      </c>
      <c r="J31" s="178" t="str">
        <f ca="1">IF(Calculation!Q12="","Selection",Calculation!Q12)</f>
        <v>Selection</v>
      </c>
      <c r="K31" s="179" t="str">
        <f ca="1">Calculation!T12</f>
        <v/>
      </c>
      <c r="L31" s="180" t="str">
        <f ca="1">Calculation!U12</f>
        <v>-</v>
      </c>
      <c r="M31" s="180" t="str">
        <f ca="1">Calculation!V12</f>
        <v>-</v>
      </c>
      <c r="N31" s="181"/>
      <c r="O31" s="180" t="str">
        <f ca="1">Calculation!X12</f>
        <v>-</v>
      </c>
      <c r="P31" s="180" t="str">
        <f ca="1">Calculation!Y12</f>
        <v>-</v>
      </c>
      <c r="Q31" s="163" t="s">
        <v>109</v>
      </c>
      <c r="R31" s="182" t="str">
        <f ca="1">IF(AND(L31&lt;&gt;"-",Q31&lt;&gt;"bypass"),IFERROR(IF((U31*$R$23/0.05)-SUM(S31:U31)&gt;0,(U31*$R$23/0.05)-SUM(S31:U31),0),"-"),Calculation!AH12)</f>
        <v>-</v>
      </c>
      <c r="S31" s="179" t="str">
        <f ca="1">IF(AND(L31&lt;&gt;"-",Q31&lt;&gt;"bypass"),IFERROR(X31*((H31*10^-12-H31*10^-12*I31)/(Calculation!$U$8*10^-9)),"-"),Calculation!AF12)</f>
        <v>-</v>
      </c>
      <c r="T31" s="179" t="str">
        <f ca="1">IF(AND(L31&lt;&gt;"-",Q31&lt;&gt;"bypass"),IFERROR(H31*I31*X31/(IF(Cluster!AA31=Cluster!$W$8,Cluster!$W$10,IF(Cluster!AA31=Cluster!$X$8,Cluster!$X$10,IF(Cluster!AA31=Cluster!$Y$8,Cluster!$Y$10,0)))*10^3),"-"),Calculation!AK12)</f>
        <v>-</v>
      </c>
      <c r="U31" s="179" t="str">
        <f ca="1">IF(AND(L31&lt;&gt;"-",Q31&lt;&gt;"bypass"),IFERROR((0.5/50)*X31/$R$23,"-"),Calculation!AG12)</f>
        <v>-</v>
      </c>
      <c r="V31" s="179" t="str">
        <f ca="1">IF(AND(L31&lt;&gt;"-",Q31&lt;&gt;"bypass"),IFERROR(5/50*X31,"-"),Calculation!AI12)</f>
        <v>-</v>
      </c>
      <c r="W31" s="179" t="str">
        <f ca="1">IF(AND(L31&lt;&gt;"-",Q31&lt;&gt;"bypass"),IFERROR(35/50*X31,"-"),Calculation!AJ12)</f>
        <v>-</v>
      </c>
      <c r="X31" s="179" t="str">
        <f ca="1">IF(AND(L31&lt;&gt;"-",Q31&lt;&gt;"bypass"),$W$23,Calculation!AL12)</f>
        <v>-</v>
      </c>
      <c r="Y31" s="183" t="str">
        <f ca="1">IF(AND(L31&lt;&gt;"-",Q31&lt;&gt;"bypass"),IFERROR($R$23*U31/SUM(R31:U31),"-"),Calculation!AP12)</f>
        <v>-</v>
      </c>
      <c r="Z31" s="184" t="str">
        <f t="shared" ca="1" si="0"/>
        <v>-</v>
      </c>
      <c r="AA31" s="185" t="str">
        <f ca="1">IFERROR(IF(I31=0,"-",IF(AND(ROUND(H31*I31*X31/($W$10*10^3),1)&gt;=Calculation!$O$6,ROUND((((U31)*$R$23/0.05)-((S31)+(H31*I31*X31/($W$10*10^3))+(U31))),1)&gt;=0),Cluster!$W$8,IF(AND(ROUND(H31*I31*X31/($X$10*10^3),1)&gt;=Calculation!$O$6,ROUND((((U31)*$R$23/0.05)-((S31)+(H31*I31*X31/($X$10*10^3))+(U31))),1)&gt;=0),Cluster!$X$8,IF(AND(ROUND(H31*I31*X31/($Y$10*10^3),1)&gt;=Calculation!$O$6,ROUND((((U31)*$R$23/0.05)-((S31)+(H31*I31*X31/($Y$10*10^3))+(U31))),1)&gt;=0),Cluster!$Y$8,"Recepie by hand needed")))),"-")</f>
        <v>-</v>
      </c>
      <c r="AC31" s="111" t="str">
        <f t="shared" ca="1" si="1"/>
        <v>-</v>
      </c>
      <c r="AD31" s="111" t="str">
        <f t="shared" ca="1" si="2"/>
        <v>-</v>
      </c>
      <c r="AE31" s="186" t="str">
        <f t="shared" ca="1" si="3"/>
        <v>-</v>
      </c>
      <c r="AF31" s="111" t="str">
        <f t="shared" ca="1" si="4"/>
        <v>-</v>
      </c>
    </row>
    <row r="32" spans="1:1024" s="109" customFormat="1" ht="13.5" customHeight="1" x14ac:dyDescent="0.5">
      <c r="A32" s="170" t="str">
        <f>Calculation!I13</f>
        <v/>
      </c>
      <c r="B32" s="171" t="str">
        <f ca="1">Calculation!B13</f>
        <v/>
      </c>
      <c r="C32" s="171" t="str">
        <f ca="1">Calculation!C13</f>
        <v/>
      </c>
      <c r="D32" s="172" t="str">
        <f ca="1">Calculation!AN13</f>
        <v/>
      </c>
      <c r="E32" s="173" t="str">
        <f ca="1">Calculation!D13</f>
        <v/>
      </c>
      <c r="F32" s="174" t="str">
        <f ca="1">Calculation!C13</f>
        <v/>
      </c>
      <c r="G32" s="175" t="str">
        <f ca="1">Calculation!F13</f>
        <v/>
      </c>
      <c r="H32" s="176" t="str">
        <f ca="1">Calculation!AD13</f>
        <v/>
      </c>
      <c r="I32" s="177" t="str">
        <f ca="1">Calculation!AE13</f>
        <v/>
      </c>
      <c r="J32" s="178" t="str">
        <f ca="1">IF(Calculation!Q13="","Selection",Calculation!Q13)</f>
        <v>Selection</v>
      </c>
      <c r="K32" s="179" t="str">
        <f ca="1">Calculation!T13</f>
        <v/>
      </c>
      <c r="L32" s="180" t="str">
        <f ca="1">Calculation!U13</f>
        <v>-</v>
      </c>
      <c r="M32" s="180" t="str">
        <f ca="1">Calculation!V13</f>
        <v>-</v>
      </c>
      <c r="N32" s="181"/>
      <c r="O32" s="180" t="str">
        <f ca="1">Calculation!X13</f>
        <v>-</v>
      </c>
      <c r="P32" s="180" t="str">
        <f ca="1">Calculation!Y13</f>
        <v>-</v>
      </c>
      <c r="Q32" s="163" t="s">
        <v>109</v>
      </c>
      <c r="R32" s="182" t="str">
        <f ca="1">IF(AND(L32&lt;&gt;"-",Q32&lt;&gt;"bypass"),IFERROR(IF((U32*$R$23/0.05)-SUM(S32:U32)&gt;0,(U32*$R$23/0.05)-SUM(S32:U32),0),"-"),Calculation!AH13)</f>
        <v>-</v>
      </c>
      <c r="S32" s="179" t="str">
        <f ca="1">IF(AND(L32&lt;&gt;"-",Q32&lt;&gt;"bypass"),IFERROR(X32*((H32*10^-12-H32*10^-12*I32)/(Calculation!$U$8*10^-9)),"-"),Calculation!AF13)</f>
        <v>-</v>
      </c>
      <c r="T32" s="179" t="str">
        <f ca="1">IF(AND(L32&lt;&gt;"-",Q32&lt;&gt;"bypass"),IFERROR(H32*I32*X32/(IF(Cluster!AA32=Cluster!$W$8,Cluster!$W$10,IF(Cluster!AA32=Cluster!$X$8,Cluster!$X$10,IF(Cluster!AA32=Cluster!$Y$8,Cluster!$Y$10,0)))*10^3),"-"),Calculation!AK13)</f>
        <v>-</v>
      </c>
      <c r="U32" s="179" t="str">
        <f ca="1">IF(AND(L32&lt;&gt;"-",Q32&lt;&gt;"bypass"),IFERROR((0.5/50)*X32/$R$23,"-"),Calculation!AG13)</f>
        <v>-</v>
      </c>
      <c r="V32" s="179" t="str">
        <f ca="1">IF(AND(L32&lt;&gt;"-",Q32&lt;&gt;"bypass"),IFERROR(5/50*X32,"-"),Calculation!AI13)</f>
        <v>-</v>
      </c>
      <c r="W32" s="179" t="str">
        <f ca="1">IF(AND(L32&lt;&gt;"-",Q32&lt;&gt;"bypass"),IFERROR(35/50*X32,"-"),Calculation!AJ13)</f>
        <v>-</v>
      </c>
      <c r="X32" s="179" t="str">
        <f ca="1">IF(AND(L32&lt;&gt;"-",Q32&lt;&gt;"bypass"),$W$23,Calculation!AL13)</f>
        <v>-</v>
      </c>
      <c r="Y32" s="183" t="str">
        <f ca="1">IF(AND(L32&lt;&gt;"-",Q32&lt;&gt;"bypass"),IFERROR($R$23*U32/SUM(R32:U32),"-"),Calculation!AP13)</f>
        <v>-</v>
      </c>
      <c r="Z32" s="184" t="str">
        <f t="shared" ca="1" si="0"/>
        <v>-</v>
      </c>
      <c r="AA32" s="185" t="str">
        <f ca="1">IFERROR(IF(I32=0,"-",IF(AND(ROUND(H32*I32*X32/($W$10*10^3),1)&gt;=Calculation!$O$6,ROUND((((U32)*$R$23/0.05)-((S32)+(H32*I32*X32/($W$10*10^3))+(U32))),1)&gt;=0),Cluster!$W$8,IF(AND(ROUND(H32*I32*X32/($X$10*10^3),1)&gt;=Calculation!$O$6,ROUND((((U32)*$R$23/0.05)-((S32)+(H32*I32*X32/($X$10*10^3))+(U32))),1)&gt;=0),Cluster!$X$8,IF(AND(ROUND(H32*I32*X32/($Y$10*10^3),1)&gt;=Calculation!$O$6,ROUND((((U32)*$R$23/0.05)-((S32)+(H32*I32*X32/($Y$10*10^3))+(U32))),1)&gt;=0),Cluster!$Y$8,"Recepie by hand needed")))),"-")</f>
        <v>-</v>
      </c>
      <c r="AC32" s="111" t="str">
        <f t="shared" ca="1" si="1"/>
        <v>-</v>
      </c>
      <c r="AD32" s="111" t="str">
        <f t="shared" ca="1" si="2"/>
        <v>-</v>
      </c>
      <c r="AE32" s="186" t="str">
        <f t="shared" ca="1" si="3"/>
        <v>-</v>
      </c>
      <c r="AF32" s="111" t="str">
        <f t="shared" ca="1" si="4"/>
        <v>-</v>
      </c>
    </row>
    <row r="33" spans="1:1024" s="109" customFormat="1" ht="13.5" customHeight="1" x14ac:dyDescent="0.5">
      <c r="A33" s="170" t="str">
        <f>Calculation!I14</f>
        <v/>
      </c>
      <c r="B33" s="171" t="str">
        <f ca="1">Calculation!B14</f>
        <v/>
      </c>
      <c r="C33" s="171" t="str">
        <f ca="1">Calculation!C14</f>
        <v/>
      </c>
      <c r="D33" s="172" t="str">
        <f ca="1">Calculation!AN14</f>
        <v/>
      </c>
      <c r="E33" s="173" t="str">
        <f ca="1">Calculation!D14</f>
        <v/>
      </c>
      <c r="F33" s="174" t="str">
        <f ca="1">Calculation!C14</f>
        <v/>
      </c>
      <c r="G33" s="175" t="str">
        <f ca="1">Calculation!F14</f>
        <v/>
      </c>
      <c r="H33" s="176" t="str">
        <f ca="1">Calculation!AD14</f>
        <v/>
      </c>
      <c r="I33" s="177" t="str">
        <f ca="1">Calculation!AE14</f>
        <v/>
      </c>
      <c r="J33" s="178" t="str">
        <f ca="1">IF(Calculation!Q14="","Selection",Calculation!Q14)</f>
        <v>Selection</v>
      </c>
      <c r="K33" s="179" t="str">
        <f ca="1">Calculation!T14</f>
        <v/>
      </c>
      <c r="L33" s="180" t="str">
        <f ca="1">Calculation!U14</f>
        <v>-</v>
      </c>
      <c r="M33" s="180" t="str">
        <f ca="1">Calculation!V14</f>
        <v>-</v>
      </c>
      <c r="N33" s="181"/>
      <c r="O33" s="180" t="str">
        <f ca="1">Calculation!X14</f>
        <v>-</v>
      </c>
      <c r="P33" s="180" t="str">
        <f ca="1">Calculation!Y14</f>
        <v>-</v>
      </c>
      <c r="Q33" s="163" t="s">
        <v>109</v>
      </c>
      <c r="R33" s="182" t="str">
        <f ca="1">IF(AND(L33&lt;&gt;"-",Q33&lt;&gt;"bypass"),IFERROR(IF((U33*$R$23/0.05)-SUM(S33:U33)&gt;0,(U33*$R$23/0.05)-SUM(S33:U33),0),"-"),Calculation!AH14)</f>
        <v>-</v>
      </c>
      <c r="S33" s="179" t="str">
        <f ca="1">IF(AND(L33&lt;&gt;"-",Q33&lt;&gt;"bypass"),IFERROR(X33*((H33*10^-12-H33*10^-12*I33)/(Calculation!$U$8*10^-9)),"-"),Calculation!AF14)</f>
        <v>-</v>
      </c>
      <c r="T33" s="179" t="str">
        <f ca="1">IF(AND(L33&lt;&gt;"-",Q33&lt;&gt;"bypass"),IFERROR(H33*I33*X33/(IF(Cluster!AA33=Cluster!$W$8,Cluster!$W$10,IF(Cluster!AA33=Cluster!$X$8,Cluster!$X$10,IF(Cluster!AA33=Cluster!$Y$8,Cluster!$Y$10,0)))*10^3),"-"),Calculation!AK14)</f>
        <v>-</v>
      </c>
      <c r="U33" s="179" t="str">
        <f ca="1">IF(AND(L33&lt;&gt;"-",Q33&lt;&gt;"bypass"),IFERROR((0.5/50)*X33/$R$23,"-"),Calculation!AG14)</f>
        <v>-</v>
      </c>
      <c r="V33" s="179" t="str">
        <f ca="1">IF(AND(L33&lt;&gt;"-",Q33&lt;&gt;"bypass"),IFERROR(5/50*X33,"-"),Calculation!AI14)</f>
        <v>-</v>
      </c>
      <c r="W33" s="179" t="str">
        <f ca="1">IF(AND(L33&lt;&gt;"-",Q33&lt;&gt;"bypass"),IFERROR(35/50*X33,"-"),Calculation!AJ14)</f>
        <v>-</v>
      </c>
      <c r="X33" s="179" t="str">
        <f ca="1">IF(AND(L33&lt;&gt;"-",Q33&lt;&gt;"bypass"),$W$23,Calculation!AL14)</f>
        <v>-</v>
      </c>
      <c r="Y33" s="183" t="str">
        <f ca="1">IF(AND(L33&lt;&gt;"-",Q33&lt;&gt;"bypass"),IFERROR($R$23*U33/SUM(R33:U33),"-"),Calculation!AP14)</f>
        <v>-</v>
      </c>
      <c r="Z33" s="184" t="str">
        <f t="shared" ca="1" si="0"/>
        <v>-</v>
      </c>
      <c r="AA33" s="185" t="str">
        <f ca="1">IFERROR(IF(I33=0,"-",IF(AND(ROUND(H33*I33*X33/($W$10*10^3),1)&gt;=Calculation!$O$6,ROUND((((U33)*$R$23/0.05)-((S33)+(H33*I33*X33/($W$10*10^3))+(U33))),1)&gt;=0),Cluster!$W$8,IF(AND(ROUND(H33*I33*X33/($X$10*10^3),1)&gt;=Calculation!$O$6,ROUND((((U33)*$R$23/0.05)-((S33)+(H33*I33*X33/($X$10*10^3))+(U33))),1)&gt;=0),Cluster!$X$8,IF(AND(ROUND(H33*I33*X33/($Y$10*10^3),1)&gt;=Calculation!$O$6,ROUND((((U33)*$R$23/0.05)-((S33)+(H33*I33*X33/($Y$10*10^3))+(U33))),1)&gt;=0),Cluster!$Y$8,"Recepie by hand needed")))),"-")</f>
        <v>-</v>
      </c>
      <c r="AC33" s="111" t="str">
        <f t="shared" ca="1" si="1"/>
        <v>-</v>
      </c>
      <c r="AD33" s="111" t="str">
        <f t="shared" ca="1" si="2"/>
        <v>-</v>
      </c>
      <c r="AE33" s="186" t="str">
        <f t="shared" ca="1" si="3"/>
        <v>-</v>
      </c>
      <c r="AF33" s="111" t="str">
        <f t="shared" ca="1" si="4"/>
        <v>-</v>
      </c>
    </row>
    <row r="34" spans="1:1024" s="109" customFormat="1" ht="13.5" customHeight="1" x14ac:dyDescent="0.5">
      <c r="A34" s="170" t="str">
        <f>Calculation!I15</f>
        <v/>
      </c>
      <c r="B34" s="171" t="str">
        <f ca="1">Calculation!B15</f>
        <v/>
      </c>
      <c r="C34" s="171" t="str">
        <f ca="1">Calculation!C15</f>
        <v/>
      </c>
      <c r="D34" s="172" t="str">
        <f ca="1">Calculation!AN15</f>
        <v/>
      </c>
      <c r="E34" s="173" t="str">
        <f ca="1">Calculation!D15</f>
        <v/>
      </c>
      <c r="F34" s="174" t="str">
        <f ca="1">Calculation!C15</f>
        <v/>
      </c>
      <c r="G34" s="175" t="str">
        <f ca="1">Calculation!F15</f>
        <v/>
      </c>
      <c r="H34" s="176" t="str">
        <f ca="1">Calculation!AD15</f>
        <v/>
      </c>
      <c r="I34" s="177" t="str">
        <f ca="1">Calculation!AE15</f>
        <v/>
      </c>
      <c r="J34" s="178" t="str">
        <f ca="1">IF(Calculation!Q15="","Selection",Calculation!Q15)</f>
        <v>Selection</v>
      </c>
      <c r="K34" s="179" t="str">
        <f ca="1">Calculation!T15</f>
        <v/>
      </c>
      <c r="L34" s="180" t="str">
        <f ca="1">Calculation!U15</f>
        <v>-</v>
      </c>
      <c r="M34" s="180" t="str">
        <f ca="1">Calculation!V15</f>
        <v>-</v>
      </c>
      <c r="N34" s="181"/>
      <c r="O34" s="180" t="str">
        <f ca="1">Calculation!X15</f>
        <v>-</v>
      </c>
      <c r="P34" s="180" t="str">
        <f ca="1">Calculation!Y15</f>
        <v>-</v>
      </c>
      <c r="Q34" s="163" t="s">
        <v>109</v>
      </c>
      <c r="R34" s="182" t="str">
        <f ca="1">IF(AND(L34&lt;&gt;"-",Q34&lt;&gt;"bypass"),IFERROR(IF((U34*$R$23/0.05)-SUM(S34:U34)&gt;0,(U34*$R$23/0.05)-SUM(S34:U34),0),"-"),Calculation!AH15)</f>
        <v>-</v>
      </c>
      <c r="S34" s="179" t="str">
        <f ca="1">IF(AND(L34&lt;&gt;"-",Q34&lt;&gt;"bypass"),IFERROR(X34*((H34*10^-12-H34*10^-12*I34)/(Calculation!$U$8*10^-9)),"-"),Calculation!AF15)</f>
        <v>-</v>
      </c>
      <c r="T34" s="179" t="str">
        <f ca="1">IF(AND(L34&lt;&gt;"-",Q34&lt;&gt;"bypass"),IFERROR(H34*I34*X34/(IF(Cluster!AA34=Cluster!$W$8,Cluster!$W$10,IF(Cluster!AA34=Cluster!$X$8,Cluster!$X$10,IF(Cluster!AA34=Cluster!$Y$8,Cluster!$Y$10,0)))*10^3),"-"),Calculation!AK15)</f>
        <v>-</v>
      </c>
      <c r="U34" s="179" t="str">
        <f ca="1">IF(AND(L34&lt;&gt;"-",Q34&lt;&gt;"bypass"),IFERROR((0.5/50)*X34/$R$23,"-"),Calculation!AG15)</f>
        <v>-</v>
      </c>
      <c r="V34" s="179" t="str">
        <f ca="1">IF(AND(L34&lt;&gt;"-",Q34&lt;&gt;"bypass"),IFERROR(5/50*X34,"-"),Calculation!AI15)</f>
        <v>-</v>
      </c>
      <c r="W34" s="179" t="str">
        <f ca="1">IF(AND(L34&lt;&gt;"-",Q34&lt;&gt;"bypass"),IFERROR(35/50*X34,"-"),Calculation!AJ15)</f>
        <v>-</v>
      </c>
      <c r="X34" s="179" t="str">
        <f ca="1">IF(AND(L34&lt;&gt;"-",Q34&lt;&gt;"bypass"),$W$23,Calculation!AL15)</f>
        <v>-</v>
      </c>
      <c r="Y34" s="183" t="str">
        <f ca="1">IF(AND(L34&lt;&gt;"-",Q34&lt;&gt;"bypass"),IFERROR($R$23*U34/SUM(R34:U34),"-"),Calculation!AP15)</f>
        <v>-</v>
      </c>
      <c r="Z34" s="184" t="str">
        <f t="shared" ca="1" si="0"/>
        <v>-</v>
      </c>
      <c r="AA34" s="185" t="str">
        <f ca="1">IFERROR(IF(I34=0,"-",IF(AND(ROUND(H34*I34*X34/($W$10*10^3),1)&gt;=Calculation!$O$6,ROUND((((U34)*$R$23/0.05)-((S34)+(H34*I34*X34/($W$10*10^3))+(U34))),1)&gt;=0),Cluster!$W$8,IF(AND(ROUND(H34*I34*X34/($X$10*10^3),1)&gt;=Calculation!$O$6,ROUND((((U34)*$R$23/0.05)-((S34)+(H34*I34*X34/($X$10*10^3))+(U34))),1)&gt;=0),Cluster!$X$8,IF(AND(ROUND(H34*I34*X34/($Y$10*10^3),1)&gt;=Calculation!$O$6,ROUND((((U34)*$R$23/0.05)-((S34)+(H34*I34*X34/($Y$10*10^3))+(U34))),1)&gt;=0),Cluster!$Y$8,"Recepie by hand needed")))),"-")</f>
        <v>-</v>
      </c>
      <c r="AC34" s="111" t="str">
        <f t="shared" ca="1" si="1"/>
        <v>-</v>
      </c>
      <c r="AD34" s="111" t="str">
        <f t="shared" ca="1" si="2"/>
        <v>-</v>
      </c>
      <c r="AE34" s="186" t="str">
        <f t="shared" ca="1" si="3"/>
        <v>-</v>
      </c>
      <c r="AF34" s="111" t="str">
        <f t="shared" ca="1" si="4"/>
        <v>-</v>
      </c>
    </row>
    <row r="35" spans="1:1024" s="109" customFormat="1" ht="13.5" customHeight="1" x14ac:dyDescent="0.5">
      <c r="A35" s="170" t="str">
        <f>Calculation!I16</f>
        <v/>
      </c>
      <c r="B35" s="171" t="str">
        <f ca="1">Calculation!B16</f>
        <v/>
      </c>
      <c r="C35" s="171" t="str">
        <f ca="1">Calculation!C16</f>
        <v/>
      </c>
      <c r="D35" s="172" t="str">
        <f ca="1">Calculation!AN16</f>
        <v/>
      </c>
      <c r="E35" s="173" t="str">
        <f ca="1">Calculation!D16</f>
        <v/>
      </c>
      <c r="F35" s="174" t="str">
        <f ca="1">Calculation!C16</f>
        <v/>
      </c>
      <c r="G35" s="175" t="str">
        <f ca="1">Calculation!F16</f>
        <v/>
      </c>
      <c r="H35" s="176" t="str">
        <f ca="1">Calculation!AD16</f>
        <v/>
      </c>
      <c r="I35" s="177" t="str">
        <f ca="1">Calculation!AE16</f>
        <v/>
      </c>
      <c r="J35" s="178" t="str">
        <f ca="1">IF(Calculation!Q16="","Selection",Calculation!Q16)</f>
        <v>Selection</v>
      </c>
      <c r="K35" s="179" t="str">
        <f ca="1">Calculation!T16</f>
        <v/>
      </c>
      <c r="L35" s="180" t="str">
        <f ca="1">Calculation!U16</f>
        <v>-</v>
      </c>
      <c r="M35" s="180" t="str">
        <f ca="1">Calculation!V16</f>
        <v>-</v>
      </c>
      <c r="N35" s="181"/>
      <c r="O35" s="180" t="str">
        <f ca="1">Calculation!X16</f>
        <v>-</v>
      </c>
      <c r="P35" s="180" t="str">
        <f ca="1">Calculation!Y16</f>
        <v>-</v>
      </c>
      <c r="Q35" s="163" t="s">
        <v>109</v>
      </c>
      <c r="R35" s="182" t="str">
        <f ca="1">IF(AND(L35&lt;&gt;"-",Q35&lt;&gt;"bypass"),IFERROR(IF((U35*$R$23/0.05)-SUM(S35:U35)&gt;0,(U35*$R$23/0.05)-SUM(S35:U35),0),"-"),Calculation!AH16)</f>
        <v>-</v>
      </c>
      <c r="S35" s="179" t="str">
        <f ca="1">IF(AND(L35&lt;&gt;"-",Q35&lt;&gt;"bypass"),IFERROR(X35*((H35*10^-12-H35*10^-12*I35)/(Calculation!$U$8*10^-9)),"-"),Calculation!AF16)</f>
        <v>-</v>
      </c>
      <c r="T35" s="179" t="str">
        <f ca="1">IF(AND(L35&lt;&gt;"-",Q35&lt;&gt;"bypass"),IFERROR(H35*I35*X35/(IF(Cluster!AA35=Cluster!$W$8,Cluster!$W$10,IF(Cluster!AA35=Cluster!$X$8,Cluster!$X$10,IF(Cluster!AA35=Cluster!$Y$8,Cluster!$Y$10,0)))*10^3),"-"),Calculation!AK16)</f>
        <v>-</v>
      </c>
      <c r="U35" s="179" t="str">
        <f ca="1">IF(AND(L35&lt;&gt;"-",Q35&lt;&gt;"bypass"),IFERROR((0.5/50)*X35/$R$23,"-"),Calculation!AG16)</f>
        <v>-</v>
      </c>
      <c r="V35" s="179" t="str">
        <f ca="1">IF(AND(L35&lt;&gt;"-",Q35&lt;&gt;"bypass"),IFERROR(5/50*X35,"-"),Calculation!AI16)</f>
        <v>-</v>
      </c>
      <c r="W35" s="179" t="str">
        <f ca="1">IF(AND(L35&lt;&gt;"-",Q35&lt;&gt;"bypass"),IFERROR(35/50*X35,"-"),Calculation!AJ16)</f>
        <v>-</v>
      </c>
      <c r="X35" s="179" t="str">
        <f ca="1">IF(AND(L35&lt;&gt;"-",Q35&lt;&gt;"bypass"),$W$23,Calculation!AL16)</f>
        <v>-</v>
      </c>
      <c r="Y35" s="183" t="str">
        <f ca="1">IF(AND(L35&lt;&gt;"-",Q35&lt;&gt;"bypass"),IFERROR($R$23*U35/SUM(R35:U35),"-"),Calculation!AP16)</f>
        <v>-</v>
      </c>
      <c r="Z35" s="184" t="str">
        <f t="shared" ca="1" si="0"/>
        <v>-</v>
      </c>
      <c r="AA35" s="185" t="str">
        <f ca="1">IFERROR(IF(I35=0,"-",IF(AND(ROUND(H35*I35*X35/($W$10*10^3),1)&gt;=Calculation!$O$6,ROUND((((U35)*$R$23/0.05)-((S35)+(H35*I35*X35/($W$10*10^3))+(U35))),1)&gt;=0),Cluster!$W$8,IF(AND(ROUND(H35*I35*X35/($X$10*10^3),1)&gt;=Calculation!$O$6,ROUND((((U35)*$R$23/0.05)-((S35)+(H35*I35*X35/($X$10*10^3))+(U35))),1)&gt;=0),Cluster!$X$8,IF(AND(ROUND(H35*I35*X35/($Y$10*10^3),1)&gt;=Calculation!$O$6,ROUND((((U35)*$R$23/0.05)-((S35)+(H35*I35*X35/($Y$10*10^3))+(U35))),1)&gt;=0),Cluster!$Y$8,"Recepie by hand needed")))),"-")</f>
        <v>-</v>
      </c>
      <c r="AC35" s="111" t="str">
        <f t="shared" ca="1" si="1"/>
        <v>-</v>
      </c>
      <c r="AD35" s="111" t="str">
        <f t="shared" ca="1" si="2"/>
        <v>-</v>
      </c>
      <c r="AE35" s="186" t="str">
        <f t="shared" ca="1" si="3"/>
        <v>-</v>
      </c>
      <c r="AF35" s="111" t="str">
        <f t="shared" ca="1" si="4"/>
        <v>-</v>
      </c>
    </row>
    <row r="36" spans="1:1024" s="120" customFormat="1" ht="13.5" customHeight="1" x14ac:dyDescent="0.5">
      <c r="A36" s="187" t="str">
        <f>Calculation!I17</f>
        <v/>
      </c>
      <c r="B36" s="188" t="str">
        <f ca="1">Calculation!B17</f>
        <v/>
      </c>
      <c r="C36" s="188" t="str">
        <f ca="1">Calculation!C17</f>
        <v/>
      </c>
      <c r="D36" s="189" t="str">
        <f ca="1">Calculation!AN17</f>
        <v/>
      </c>
      <c r="E36" s="190" t="str">
        <f ca="1">Calculation!D17</f>
        <v/>
      </c>
      <c r="F36" s="191" t="str">
        <f ca="1">Calculation!C17</f>
        <v/>
      </c>
      <c r="G36" s="192" t="str">
        <f ca="1">Calculation!F17</f>
        <v/>
      </c>
      <c r="H36" s="193" t="str">
        <f ca="1">Calculation!AD17</f>
        <v/>
      </c>
      <c r="I36" s="194" t="str">
        <f ca="1">Calculation!AE17</f>
        <v/>
      </c>
      <c r="J36" s="195" t="str">
        <f ca="1">IF(Calculation!Q17="","Selection",Calculation!Q17)</f>
        <v>Selection</v>
      </c>
      <c r="K36" s="196" t="str">
        <f ca="1">Calculation!T17</f>
        <v/>
      </c>
      <c r="L36" s="197" t="str">
        <f ca="1">Calculation!U17</f>
        <v>-</v>
      </c>
      <c r="M36" s="197" t="str">
        <f ca="1">Calculation!V17</f>
        <v>-</v>
      </c>
      <c r="N36" s="198"/>
      <c r="O36" s="197" t="str">
        <f ca="1">Calculation!X17</f>
        <v>-</v>
      </c>
      <c r="P36" s="197" t="str">
        <f ca="1">Calculation!Y17</f>
        <v>-</v>
      </c>
      <c r="Q36" s="163" t="s">
        <v>109</v>
      </c>
      <c r="R36" s="199" t="str">
        <f ca="1">IF(AND(L36&lt;&gt;"-",Q36&lt;&gt;"bypass"),IFERROR(IF((U36*$R$23/0.05)-SUM(S36:U36)&gt;0,(U36*$R$23/0.05)-SUM(S36:U36),0),"-"),Calculation!AH17)</f>
        <v>-</v>
      </c>
      <c r="S36" s="196" t="str">
        <f ca="1">IF(AND(L36&lt;&gt;"-",Q36&lt;&gt;"bypass"),IFERROR(X36*((H36*10^-12-H36*10^-12*I36)/(Calculation!$U$8*10^-9)),"-"),Calculation!AF17)</f>
        <v>-</v>
      </c>
      <c r="T36" s="196" t="str">
        <f ca="1">IF(AND(L36&lt;&gt;"-",Q36&lt;&gt;"bypass"),IFERROR(H36*I36*X36/(IF(Cluster!AA36=Cluster!$W$8,Cluster!$W$10,IF(Cluster!AA36=Cluster!$X$8,Cluster!$X$10,IF(Cluster!AA36=Cluster!$Y$8,Cluster!$Y$10,0)))*10^3),"-"),Calculation!AK17)</f>
        <v>-</v>
      </c>
      <c r="U36" s="196" t="str">
        <f ca="1">IF(AND(L36&lt;&gt;"-",Q36&lt;&gt;"bypass"),IFERROR((0.5/50)*X36/$R$23,"-"),Calculation!AG17)</f>
        <v>-</v>
      </c>
      <c r="V36" s="196" t="str">
        <f ca="1">IF(AND(L36&lt;&gt;"-",Q36&lt;&gt;"bypass"),IFERROR(5/50*X36,"-"),Calculation!AI17)</f>
        <v>-</v>
      </c>
      <c r="W36" s="196" t="str">
        <f ca="1">IF(AND(L36&lt;&gt;"-",Q36&lt;&gt;"bypass"),IFERROR(35/50*X36,"-"),Calculation!AJ17)</f>
        <v>-</v>
      </c>
      <c r="X36" s="196" t="str">
        <f ca="1">IF(AND(L36&lt;&gt;"-",Q36&lt;&gt;"bypass"),$W$23,Calculation!AL17)</f>
        <v>-</v>
      </c>
      <c r="Y36" s="200" t="str">
        <f ca="1">IF(AND(L36&lt;&gt;"-",Q36&lt;&gt;"bypass"),IFERROR($R$23*U36/SUM(R36:U36),"-"),Calculation!AP17)</f>
        <v>-</v>
      </c>
      <c r="Z36" s="201" t="str">
        <f t="shared" ca="1" si="0"/>
        <v>-</v>
      </c>
      <c r="AA36" s="202" t="str">
        <f ca="1">IFERROR(IF(I36=0,"-",IF(AND(ROUND(H36*I36*X36/($W$10*10^3),1)&gt;=Calculation!$O$6,ROUND((((U36)*$R$23/0.05)-((S36)+(H36*I36*X36/($W$10*10^3))+(U36))),1)&gt;=0),Cluster!$W$8,IF(AND(ROUND(H36*I36*X36/($X$10*10^3),1)&gt;=Calculation!$O$6,ROUND((((U36)*$R$23/0.05)-((S36)+(H36*I36*X36/($X$10*10^3))+(U36))),1)&gt;=0),Cluster!$X$8,IF(AND(ROUND(H36*I36*X36/($Y$10*10^3),1)&gt;=Calculation!$O$6,ROUND((((U36)*$R$23/0.05)-((S36)+(H36*I36*X36/($Y$10*10^3))+(U36))),1)&gt;=0),Cluster!$Y$8,"Recepie by hand needed")))),"-")</f>
        <v>-</v>
      </c>
      <c r="AC36" s="119" t="str">
        <f t="shared" ca="1" si="1"/>
        <v>-</v>
      </c>
      <c r="AD36" s="119" t="str">
        <f t="shared" ca="1" si="2"/>
        <v>-</v>
      </c>
      <c r="AE36" s="203" t="str">
        <f t="shared" ca="1" si="3"/>
        <v>-</v>
      </c>
      <c r="AF36" s="119" t="str">
        <f t="shared" ca="1" si="4"/>
        <v>-</v>
      </c>
    </row>
    <row r="37" spans="1:1024" ht="13.5" customHeight="1" x14ac:dyDescent="0.5">
      <c r="A37" s="204" t="str">
        <f>Calculation!I18</f>
        <v/>
      </c>
      <c r="B37" s="205" t="str">
        <f ca="1">Calculation!B18</f>
        <v/>
      </c>
      <c r="C37" s="205" t="str">
        <f ca="1">Calculation!C18</f>
        <v/>
      </c>
      <c r="D37" s="206" t="str">
        <f ca="1">Calculation!AN18</f>
        <v/>
      </c>
      <c r="E37" s="207" t="str">
        <f ca="1">Calculation!D18</f>
        <v/>
      </c>
      <c r="F37" s="208" t="str">
        <f ca="1">Calculation!C18</f>
        <v/>
      </c>
      <c r="G37" s="209" t="str">
        <f ca="1">Calculation!F18</f>
        <v/>
      </c>
      <c r="H37" s="210" t="str">
        <f ca="1">Calculation!AD18</f>
        <v/>
      </c>
      <c r="I37" s="211" t="str">
        <f ca="1">Calculation!AE18</f>
        <v/>
      </c>
      <c r="J37" s="212" t="str">
        <f ca="1">IF(Calculation!Q18="","Selection",Calculation!Q18)</f>
        <v>Selection</v>
      </c>
      <c r="K37" s="213" t="str">
        <f ca="1">Calculation!T18</f>
        <v/>
      </c>
      <c r="L37" s="214" t="str">
        <f ca="1">Calculation!U18</f>
        <v>-</v>
      </c>
      <c r="M37" s="214" t="str">
        <f ca="1">Calculation!V18</f>
        <v>-</v>
      </c>
      <c r="N37" s="215"/>
      <c r="O37" s="214" t="str">
        <f ca="1">Calculation!X18</f>
        <v>-</v>
      </c>
      <c r="P37" s="214" t="str">
        <f ca="1">Calculation!Y18</f>
        <v>-</v>
      </c>
      <c r="Q37" s="163" t="s">
        <v>109</v>
      </c>
      <c r="R37" s="216" t="str">
        <f ca="1">IF(AND(L37&lt;&gt;"-",Q37&lt;&gt;"bypass"),IFERROR(IF((U37*$R$23/0.05)-SUM(S37:U37)&gt;0,(U37*$R$23/0.05)-SUM(S37:U37),0),"-"),Calculation!AH18)</f>
        <v>-</v>
      </c>
      <c r="S37" s="213" t="str">
        <f ca="1">IF(AND(L37&lt;&gt;"-",Q37&lt;&gt;"bypass"),IFERROR(X37*((H37*10^-12-H37*10^-12*I37)/(Calculation!$U$8*10^-9)),"-"),Calculation!AF18)</f>
        <v>-</v>
      </c>
      <c r="T37" s="213" t="str">
        <f ca="1">IF(AND(L37&lt;&gt;"-",Q37&lt;&gt;"bypass"),IFERROR(H37*I37*X37/(IF(Cluster!AA37=Cluster!$W$8,Cluster!$W$10,IF(Cluster!AA37=Cluster!$X$8,Cluster!$X$10,IF(Cluster!AA37=Cluster!$Y$8,Cluster!$Y$10,0)))*10^3),"-"),Calculation!AK18)</f>
        <v>-</v>
      </c>
      <c r="U37" s="213" t="str">
        <f ca="1">IF(AND(L37&lt;&gt;"-",Q37&lt;&gt;"bypass"),IFERROR((0.5/50)*X37/$R$23,"-"),Calculation!AG18)</f>
        <v>-</v>
      </c>
      <c r="V37" s="213" t="str">
        <f ca="1">IF(AND(L37&lt;&gt;"-",Q37&lt;&gt;"bypass"),IFERROR(5/50*X37,"-"),Calculation!AI18)</f>
        <v>-</v>
      </c>
      <c r="W37" s="213" t="str">
        <f ca="1">IF(AND(L37&lt;&gt;"-",Q37&lt;&gt;"bypass"),IFERROR(35/50*X37,"-"),Calculation!AJ18)</f>
        <v>-</v>
      </c>
      <c r="X37" s="213" t="str">
        <f ca="1">IF(AND(L37&lt;&gt;"-",Q37&lt;&gt;"bypass"),$W$23,Calculation!AL18)</f>
        <v>-</v>
      </c>
      <c r="Y37" s="217" t="str">
        <f ca="1">IF(AND(L37&lt;&gt;"-",Q37&lt;&gt;"bypass"),IFERROR($R$23*U37/SUM(R37:U37),"-"),Calculation!AP18)</f>
        <v>-</v>
      </c>
      <c r="Z37" s="218" t="str">
        <f t="shared" ca="1" si="0"/>
        <v>-</v>
      </c>
      <c r="AA37" s="219" t="str">
        <f ca="1">IFERROR(IF(I37=0,"-",IF(AND(ROUND(H37*I37*X37/($W$10*10^3),1)&gt;=Calculation!$O$6,ROUND((((U37)*$R$23/0.05)-((S37)+(H37*I37*X37/($W$10*10^3))+(U37))),1)&gt;=0),Cluster!$W$8,IF(AND(ROUND(H37*I37*X37/($X$10*10^3),1)&gt;=Calculation!$O$6,ROUND((((U37)*$R$23/0.05)-((S37)+(H37*I37*X37/($X$10*10^3))+(U37))),1)&gt;=0),Cluster!$X$8,IF(AND(ROUND(H37*I37*X37/($Y$10*10^3),1)&gt;=Calculation!$O$6,ROUND((((U37)*$R$23/0.05)-((S37)+(H37*I37*X37/($Y$10*10^3))+(U37))),1)&gt;=0),Cluster!$Y$8,"Recepie by hand needed")))),"-")</f>
        <v>-</v>
      </c>
      <c r="AB37"/>
      <c r="AC37" s="37" t="str">
        <f t="shared" ca="1" si="1"/>
        <v>-</v>
      </c>
      <c r="AD37" s="37" t="str">
        <f t="shared" ca="1" si="2"/>
        <v>-</v>
      </c>
      <c r="AE37" s="220" t="str">
        <f t="shared" ca="1" si="3"/>
        <v>-</v>
      </c>
      <c r="AF37" s="37" t="str">
        <f t="shared" ca="1" si="4"/>
        <v>-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3.5" customHeight="1" x14ac:dyDescent="0.5">
      <c r="A38" s="170" t="str">
        <f>Calculation!I19</f>
        <v/>
      </c>
      <c r="B38" s="171" t="str">
        <f ca="1">Calculation!B19</f>
        <v/>
      </c>
      <c r="C38" s="171" t="str">
        <f ca="1">Calculation!C19</f>
        <v/>
      </c>
      <c r="D38" s="172" t="str">
        <f ca="1">Calculation!AN19</f>
        <v/>
      </c>
      <c r="E38" s="173" t="str">
        <f ca="1">Calculation!D19</f>
        <v/>
      </c>
      <c r="F38" s="174" t="str">
        <f ca="1">Calculation!C19</f>
        <v/>
      </c>
      <c r="G38" s="175" t="str">
        <f ca="1">Calculation!F19</f>
        <v/>
      </c>
      <c r="H38" s="176" t="str">
        <f ca="1">Calculation!AD19</f>
        <v/>
      </c>
      <c r="I38" s="177" t="str">
        <f ca="1">Calculation!AE19</f>
        <v/>
      </c>
      <c r="J38" s="178" t="str">
        <f ca="1">IF(Calculation!Q19="","Selection",Calculation!Q19)</f>
        <v>Selection</v>
      </c>
      <c r="K38" s="179" t="str">
        <f ca="1">Calculation!T19</f>
        <v/>
      </c>
      <c r="L38" s="180" t="str">
        <f ca="1">Calculation!U19</f>
        <v>-</v>
      </c>
      <c r="M38" s="180" t="str">
        <f ca="1">Calculation!V19</f>
        <v>-</v>
      </c>
      <c r="N38" s="181"/>
      <c r="O38" s="180" t="str">
        <f ca="1">Calculation!X19</f>
        <v>-</v>
      </c>
      <c r="P38" s="180" t="str">
        <f ca="1">Calculation!Y19</f>
        <v>-</v>
      </c>
      <c r="Q38" s="163" t="s">
        <v>109</v>
      </c>
      <c r="R38" s="182" t="str">
        <f ca="1">IF(AND(L38&lt;&gt;"-",Q38&lt;&gt;"bypass"),IFERROR(IF((U38*$R$23/0.05)-SUM(S38:U38)&gt;0,(U38*$R$23/0.05)-SUM(S38:U38),0),"-"),Calculation!AH19)</f>
        <v>-</v>
      </c>
      <c r="S38" s="179" t="str">
        <f ca="1">IF(AND(L38&lt;&gt;"-",Q38&lt;&gt;"bypass"),IFERROR(X38*((H38*10^-12-H38*10^-12*I38)/(Calculation!$U$8*10^-9)),"-"),Calculation!AF19)</f>
        <v>-</v>
      </c>
      <c r="T38" s="179" t="str">
        <f ca="1">IF(AND(L38&lt;&gt;"-",Q38&lt;&gt;"bypass"),IFERROR(H38*I38*X38/(IF(Cluster!AA38=Cluster!$W$8,Cluster!$W$10,IF(Cluster!AA38=Cluster!$X$8,Cluster!$X$10,IF(Cluster!AA38=Cluster!$Y$8,Cluster!$Y$10,0)))*10^3),"-"),Calculation!AK19)</f>
        <v>-</v>
      </c>
      <c r="U38" s="179" t="str">
        <f ca="1">IF(AND(L38&lt;&gt;"-",Q38&lt;&gt;"bypass"),IFERROR((0.5/50)*X38/$R$23,"-"),Calculation!AG19)</f>
        <v>-</v>
      </c>
      <c r="V38" s="179" t="str">
        <f ca="1">IF(AND(L38&lt;&gt;"-",Q38&lt;&gt;"bypass"),IFERROR(5/50*X38,"-"),Calculation!AI19)</f>
        <v>-</v>
      </c>
      <c r="W38" s="179" t="str">
        <f ca="1">IF(AND(L38&lt;&gt;"-",Q38&lt;&gt;"bypass"),IFERROR(35/50*X38,"-"),Calculation!AJ19)</f>
        <v>-</v>
      </c>
      <c r="X38" s="179" t="str">
        <f ca="1">IF(AND(L38&lt;&gt;"-",Q38&lt;&gt;"bypass"),$W$23,Calculation!AL19)</f>
        <v>-</v>
      </c>
      <c r="Y38" s="183" t="str">
        <f ca="1">IF(AND(L38&lt;&gt;"-",Q38&lt;&gt;"bypass"),IFERROR($R$23*U38/SUM(R38:U38),"-"),Calculation!AP19)</f>
        <v>-</v>
      </c>
      <c r="Z38" s="184" t="str">
        <f t="shared" ca="1" si="0"/>
        <v>-</v>
      </c>
      <c r="AA38" s="185" t="str">
        <f ca="1">IFERROR(IF(I38=0,"-",IF(AND(ROUND(H38*I38*X38/($W$10*10^3),1)&gt;=Calculation!$O$6,ROUND((((U38)*$R$23/0.05)-((S38)+(H38*I38*X38/($W$10*10^3))+(U38))),1)&gt;=0),Cluster!$W$8,IF(AND(ROUND(H38*I38*X38/($X$10*10^3),1)&gt;=Calculation!$O$6,ROUND((((U38)*$R$23/0.05)-((S38)+(H38*I38*X38/($X$10*10^3))+(U38))),1)&gt;=0),Cluster!$X$8,IF(AND(ROUND(H38*I38*X38/($Y$10*10^3),1)&gt;=Calculation!$O$6,ROUND((((U38)*$R$23/0.05)-((S38)+(H38*I38*X38/($Y$10*10^3))+(U38))),1)&gt;=0),Cluster!$Y$8,"Recepie by hand needed")))),"-")</f>
        <v>-</v>
      </c>
      <c r="AB38"/>
      <c r="AC38" s="37" t="str">
        <f t="shared" ca="1" si="1"/>
        <v>-</v>
      </c>
      <c r="AD38" s="37" t="str">
        <f t="shared" ca="1" si="2"/>
        <v>-</v>
      </c>
      <c r="AE38" s="220" t="str">
        <f t="shared" ca="1" si="3"/>
        <v>-</v>
      </c>
      <c r="AF38" s="37" t="str">
        <f t="shared" ca="1" si="4"/>
        <v>-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3.5" customHeight="1" x14ac:dyDescent="0.5">
      <c r="A39" s="170" t="str">
        <f>Calculation!I20</f>
        <v/>
      </c>
      <c r="B39" s="221" t="str">
        <f ca="1">Calculation!B20</f>
        <v/>
      </c>
      <c r="C39" s="221" t="str">
        <f ca="1">Calculation!C20</f>
        <v/>
      </c>
      <c r="D39" s="172" t="str">
        <f ca="1">Calculation!AN20</f>
        <v/>
      </c>
      <c r="E39" s="173" t="str">
        <f ca="1">Calculation!D20</f>
        <v/>
      </c>
      <c r="F39" s="174" t="str">
        <f ca="1">Calculation!C20</f>
        <v/>
      </c>
      <c r="G39" s="175" t="str">
        <f ca="1">Calculation!F20</f>
        <v/>
      </c>
      <c r="H39" s="176" t="str">
        <f ca="1">Calculation!AD20</f>
        <v/>
      </c>
      <c r="I39" s="177" t="str">
        <f ca="1">Calculation!AE20</f>
        <v/>
      </c>
      <c r="J39" s="178" t="str">
        <f ca="1">IF(Calculation!Q20="","Selection",Calculation!Q20)</f>
        <v>Selection</v>
      </c>
      <c r="K39" s="179" t="str">
        <f ca="1">Calculation!T20</f>
        <v/>
      </c>
      <c r="L39" s="180" t="str">
        <f ca="1">Calculation!U20</f>
        <v>-</v>
      </c>
      <c r="M39" s="180" t="str">
        <f ca="1">Calculation!V20</f>
        <v>-</v>
      </c>
      <c r="N39" s="181"/>
      <c r="O39" s="180" t="str">
        <f ca="1">Calculation!X20</f>
        <v>-</v>
      </c>
      <c r="P39" s="180" t="str">
        <f ca="1">Calculation!Y20</f>
        <v>-</v>
      </c>
      <c r="Q39" s="163" t="s">
        <v>109</v>
      </c>
      <c r="R39" s="182" t="str">
        <f ca="1">IF(AND(L39&lt;&gt;"-",Q39&lt;&gt;"bypass"),IFERROR(IF((U39*$R$23/0.05)-SUM(S39:U39)&gt;0,(U39*$R$23/0.05)-SUM(S39:U39),0),"-"),Calculation!AH20)</f>
        <v>-</v>
      </c>
      <c r="S39" s="179" t="str">
        <f ca="1">IF(AND(L39&lt;&gt;"-",Q39&lt;&gt;"bypass"),IFERROR(X39*((H39*10^-12-H39*10^-12*I39)/(Calculation!$U$8*10^-9)),"-"),Calculation!AF20)</f>
        <v>-</v>
      </c>
      <c r="T39" s="179" t="str">
        <f ca="1">IF(AND(L39&lt;&gt;"-",Q39&lt;&gt;"bypass"),IFERROR(H39*I39*X39/(IF(Cluster!AA39=Cluster!$W$8,Cluster!$W$10,IF(Cluster!AA39=Cluster!$X$8,Cluster!$X$10,IF(Cluster!AA39=Cluster!$Y$8,Cluster!$Y$10,0)))*10^3),"-"),Calculation!AK20)</f>
        <v>-</v>
      </c>
      <c r="U39" s="179" t="str">
        <f ca="1">IF(AND(L39&lt;&gt;"-",Q39&lt;&gt;"bypass"),IFERROR((0.5/50)*X39/$R$23,"-"),Calculation!AG20)</f>
        <v>-</v>
      </c>
      <c r="V39" s="179" t="str">
        <f ca="1">IF(AND(L39&lt;&gt;"-",Q39&lt;&gt;"bypass"),IFERROR(5/50*X39,"-"),Calculation!AI20)</f>
        <v>-</v>
      </c>
      <c r="W39" s="179" t="str">
        <f ca="1">IF(AND(L39&lt;&gt;"-",Q39&lt;&gt;"bypass"),IFERROR(35/50*X39,"-"),Calculation!AJ20)</f>
        <v>-</v>
      </c>
      <c r="X39" s="179" t="str">
        <f ca="1">IF(AND(L39&lt;&gt;"-",Q39&lt;&gt;"bypass"),$W$23,Calculation!AL20)</f>
        <v>-</v>
      </c>
      <c r="Y39" s="183" t="str">
        <f ca="1">IF(AND(L39&lt;&gt;"-",Q39&lt;&gt;"bypass"),IFERROR($R$23*U39/SUM(R39:U39),"-"),Calculation!AP20)</f>
        <v>-</v>
      </c>
      <c r="Z39" s="184" t="str">
        <f t="shared" ca="1" si="0"/>
        <v>-</v>
      </c>
      <c r="AA39" s="185" t="str">
        <f ca="1">IFERROR(IF(I39=0,"-",IF(AND(ROUND(H39*I39*X39/($W$10*10^3),1)&gt;=Calculation!$O$6,ROUND((((U39)*$R$23/0.05)-((S39)+(H39*I39*X39/($W$10*10^3))+(U39))),1)&gt;=0),Cluster!$W$8,IF(AND(ROUND(H39*I39*X39/($X$10*10^3),1)&gt;=Calculation!$O$6,ROUND((((U39)*$R$23/0.05)-((S39)+(H39*I39*X39/($X$10*10^3))+(U39))),1)&gt;=0),Cluster!$X$8,IF(AND(ROUND(H39*I39*X39/($Y$10*10^3),1)&gt;=Calculation!$O$6,ROUND((((U39)*$R$23/0.05)-((S39)+(H39*I39*X39/($Y$10*10^3))+(U39))),1)&gt;=0),Cluster!$Y$8,"Recepie by hand needed")))),"-")</f>
        <v>-</v>
      </c>
      <c r="AB39"/>
      <c r="AC39" s="37" t="str">
        <f t="shared" ca="1" si="1"/>
        <v>-</v>
      </c>
      <c r="AD39" s="37" t="str">
        <f t="shared" ca="1" si="2"/>
        <v>-</v>
      </c>
      <c r="AE39" s="220" t="str">
        <f t="shared" ca="1" si="3"/>
        <v>-</v>
      </c>
      <c r="AF39" s="37" t="str">
        <f t="shared" ca="1" si="4"/>
        <v>-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3.5" customHeight="1" x14ac:dyDescent="0.5">
      <c r="A40" s="170" t="str">
        <f>Calculation!I21</f>
        <v/>
      </c>
      <c r="B40" s="221" t="str">
        <f ca="1">Calculation!B21</f>
        <v/>
      </c>
      <c r="C40" s="221" t="str">
        <f ca="1">Calculation!C21</f>
        <v/>
      </c>
      <c r="D40" s="172" t="str">
        <f ca="1">Calculation!AN21</f>
        <v/>
      </c>
      <c r="E40" s="173" t="str">
        <f ca="1">Calculation!D21</f>
        <v/>
      </c>
      <c r="F40" s="174" t="str">
        <f ca="1">Calculation!C21</f>
        <v/>
      </c>
      <c r="G40" s="175" t="str">
        <f ca="1">Calculation!F21</f>
        <v/>
      </c>
      <c r="H40" s="176" t="str">
        <f ca="1">Calculation!AD21</f>
        <v/>
      </c>
      <c r="I40" s="177" t="str">
        <f ca="1">Calculation!AE21</f>
        <v/>
      </c>
      <c r="J40" s="178" t="str">
        <f ca="1">IF(Calculation!Q21="","Selection",Calculation!Q21)</f>
        <v>Selection</v>
      </c>
      <c r="K40" s="179" t="str">
        <f ca="1">Calculation!T21</f>
        <v/>
      </c>
      <c r="L40" s="180" t="str">
        <f ca="1">Calculation!U21</f>
        <v>-</v>
      </c>
      <c r="M40" s="180" t="str">
        <f ca="1">Calculation!V21</f>
        <v>-</v>
      </c>
      <c r="N40" s="181"/>
      <c r="O40" s="180" t="str">
        <f ca="1">Calculation!X21</f>
        <v>-</v>
      </c>
      <c r="P40" s="180" t="str">
        <f ca="1">Calculation!Y21</f>
        <v>-</v>
      </c>
      <c r="Q40" s="163" t="s">
        <v>109</v>
      </c>
      <c r="R40" s="182" t="str">
        <f ca="1">IF(AND(L40&lt;&gt;"-",Q40&lt;&gt;"bypass"),IFERROR(IF((U40*$R$23/0.05)-SUM(S40:U40)&gt;0,(U40*$R$23/0.05)-SUM(S40:U40),0),"-"),Calculation!AH21)</f>
        <v>-</v>
      </c>
      <c r="S40" s="179" t="str">
        <f ca="1">IF(AND(L40&lt;&gt;"-",Q40&lt;&gt;"bypass"),IFERROR(X40*((H40*10^-12-H40*10^-12*I40)/(Calculation!$U$8*10^-9)),"-"),Calculation!AF21)</f>
        <v>-</v>
      </c>
      <c r="T40" s="179" t="str">
        <f ca="1">IF(AND(L40&lt;&gt;"-",Q40&lt;&gt;"bypass"),IFERROR(H40*I40*X40/(IF(Cluster!AA40=Cluster!$W$8,Cluster!$W$10,IF(Cluster!AA40=Cluster!$X$8,Cluster!$X$10,IF(Cluster!AA40=Cluster!$Y$8,Cluster!$Y$10,0)))*10^3),"-"),Calculation!AK21)</f>
        <v>-</v>
      </c>
      <c r="U40" s="179" t="str">
        <f ca="1">IF(AND(L40&lt;&gt;"-",Q40&lt;&gt;"bypass"),IFERROR((0.5/50)*X40/$R$23,"-"),Calculation!AG21)</f>
        <v>-</v>
      </c>
      <c r="V40" s="179" t="str">
        <f ca="1">IF(AND(L40&lt;&gt;"-",Q40&lt;&gt;"bypass"),IFERROR(5/50*X40,"-"),Calculation!AI21)</f>
        <v>-</v>
      </c>
      <c r="W40" s="179" t="str">
        <f ca="1">IF(AND(L40&lt;&gt;"-",Q40&lt;&gt;"bypass"),IFERROR(35/50*X40,"-"),Calculation!AJ21)</f>
        <v>-</v>
      </c>
      <c r="X40" s="179" t="str">
        <f ca="1">IF(AND(L40&lt;&gt;"-",Q40&lt;&gt;"bypass"),$W$23,Calculation!AL21)</f>
        <v>-</v>
      </c>
      <c r="Y40" s="183" t="str">
        <f ca="1">IF(AND(L40&lt;&gt;"-",Q40&lt;&gt;"bypass"),IFERROR($R$23*U40/SUM(R40:U40),"-"),Calculation!AP21)</f>
        <v>-</v>
      </c>
      <c r="Z40" s="184" t="str">
        <f t="shared" ca="1" si="0"/>
        <v>-</v>
      </c>
      <c r="AA40" s="185" t="str">
        <f ca="1">IFERROR(IF(I40=0,"-",IF(AND(ROUND(H40*I40*X40/($W$10*10^3),1)&gt;=Calculation!$O$6,ROUND((((U40)*$R$23/0.05)-((S40)+(H40*I40*X40/($W$10*10^3))+(U40))),1)&gt;=0),Cluster!$W$8,IF(AND(ROUND(H40*I40*X40/($X$10*10^3),1)&gt;=Calculation!$O$6,ROUND((((U40)*$R$23/0.05)-((S40)+(H40*I40*X40/($X$10*10^3))+(U40))),1)&gt;=0),Cluster!$X$8,IF(AND(ROUND(H40*I40*X40/($Y$10*10^3),1)&gt;=Calculation!$O$6,ROUND((((U40)*$R$23/0.05)-((S40)+(H40*I40*X40/($Y$10*10^3))+(U40))),1)&gt;=0),Cluster!$Y$8,"Recepie by hand needed")))),"-")</f>
        <v>-</v>
      </c>
      <c r="AB40"/>
      <c r="AC40" s="37" t="str">
        <f t="shared" ca="1" si="1"/>
        <v>-</v>
      </c>
      <c r="AD40" s="37" t="str">
        <f t="shared" ca="1" si="2"/>
        <v>-</v>
      </c>
      <c r="AE40" s="220" t="str">
        <f t="shared" ca="1" si="3"/>
        <v>-</v>
      </c>
      <c r="AF40" s="37" t="str">
        <f t="shared" ca="1" si="4"/>
        <v>-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13.5" customHeight="1" x14ac:dyDescent="0.5">
      <c r="A41" s="170" t="str">
        <f>Calculation!I22</f>
        <v/>
      </c>
      <c r="B41" s="221" t="str">
        <f ca="1">Calculation!B22</f>
        <v/>
      </c>
      <c r="C41" s="221" t="str">
        <f ca="1">Calculation!C22</f>
        <v/>
      </c>
      <c r="D41" s="172" t="str">
        <f ca="1">Calculation!AN22</f>
        <v/>
      </c>
      <c r="E41" s="173" t="str">
        <f ca="1">Calculation!D22</f>
        <v/>
      </c>
      <c r="F41" s="174" t="str">
        <f ca="1">Calculation!C22</f>
        <v/>
      </c>
      <c r="G41" s="175" t="str">
        <f ca="1">Calculation!F22</f>
        <v/>
      </c>
      <c r="H41" s="176" t="str">
        <f ca="1">Calculation!AD22</f>
        <v/>
      </c>
      <c r="I41" s="177" t="str">
        <f ca="1">Calculation!AE22</f>
        <v/>
      </c>
      <c r="J41" s="178" t="str">
        <f ca="1">IF(Calculation!Q22="","Selection",Calculation!Q22)</f>
        <v>Selection</v>
      </c>
      <c r="K41" s="179" t="str">
        <f ca="1">Calculation!T22</f>
        <v/>
      </c>
      <c r="L41" s="180" t="str">
        <f ca="1">Calculation!U22</f>
        <v>-</v>
      </c>
      <c r="M41" s="180" t="str">
        <f ca="1">Calculation!V22</f>
        <v>-</v>
      </c>
      <c r="N41" s="181"/>
      <c r="O41" s="180" t="str">
        <f ca="1">Calculation!X22</f>
        <v>-</v>
      </c>
      <c r="P41" s="180" t="str">
        <f ca="1">Calculation!Y22</f>
        <v>-</v>
      </c>
      <c r="Q41" s="163" t="s">
        <v>109</v>
      </c>
      <c r="R41" s="182" t="str">
        <f ca="1">IF(AND(L41&lt;&gt;"-",Q41&lt;&gt;"bypass"),IFERROR(IF((U41*$R$23/0.05)-SUM(S41:U41)&gt;0,(U41*$R$23/0.05)-SUM(S41:U41),0),"-"),Calculation!AH22)</f>
        <v>-</v>
      </c>
      <c r="S41" s="179" t="str">
        <f ca="1">IF(AND(L41&lt;&gt;"-",Q41&lt;&gt;"bypass"),IFERROR(X41*((H41*10^-12-H41*10^-12*I41)/(Calculation!$U$8*10^-9)),"-"),Calculation!AF22)</f>
        <v>-</v>
      </c>
      <c r="T41" s="179" t="str">
        <f ca="1">IF(AND(L41&lt;&gt;"-",Q41&lt;&gt;"bypass"),IFERROR(H41*I41*X41/(IF(Cluster!AA41=Cluster!$W$8,Cluster!$W$10,IF(Cluster!AA41=Cluster!$X$8,Cluster!$X$10,IF(Cluster!AA41=Cluster!$Y$8,Cluster!$Y$10,0)))*10^3),"-"),Calculation!AK22)</f>
        <v>-</v>
      </c>
      <c r="U41" s="179" t="str">
        <f ca="1">IF(AND(L41&lt;&gt;"-",Q41&lt;&gt;"bypass"),IFERROR((0.5/50)*X41/$R$23,"-"),Calculation!AG22)</f>
        <v>-</v>
      </c>
      <c r="V41" s="179" t="str">
        <f ca="1">IF(AND(L41&lt;&gt;"-",Q41&lt;&gt;"bypass"),IFERROR(5/50*X41,"-"),Calculation!AI22)</f>
        <v>-</v>
      </c>
      <c r="W41" s="179" t="str">
        <f ca="1">IF(AND(L41&lt;&gt;"-",Q41&lt;&gt;"bypass"),IFERROR(35/50*X41,"-"),Calculation!AJ22)</f>
        <v>-</v>
      </c>
      <c r="X41" s="179" t="str">
        <f ca="1">IF(AND(L41&lt;&gt;"-",Q41&lt;&gt;"bypass"),$W$23,Calculation!AL22)</f>
        <v>-</v>
      </c>
      <c r="Y41" s="183" t="str">
        <f ca="1">IF(AND(L41&lt;&gt;"-",Q41&lt;&gt;"bypass"),IFERROR($R$23*U41/SUM(R41:U41),"-"),Calculation!AP22)</f>
        <v>-</v>
      </c>
      <c r="Z41" s="184" t="str">
        <f t="shared" ca="1" si="0"/>
        <v>-</v>
      </c>
      <c r="AA41" s="185" t="str">
        <f ca="1">IFERROR(IF(I41=0,"-",IF(AND(ROUND(H41*I41*X41/($W$10*10^3),1)&gt;=Calculation!$O$6,ROUND((((U41)*$R$23/0.05)-((S41)+(H41*I41*X41/($W$10*10^3))+(U41))),1)&gt;=0),Cluster!$W$8,IF(AND(ROUND(H41*I41*X41/($X$10*10^3),1)&gt;=Calculation!$O$6,ROUND((((U41)*$R$23/0.05)-((S41)+(H41*I41*X41/($X$10*10^3))+(U41))),1)&gt;=0),Cluster!$X$8,IF(AND(ROUND(H41*I41*X41/($Y$10*10^3),1)&gt;=Calculation!$O$6,ROUND((((U41)*$R$23/0.05)-((S41)+(H41*I41*X41/($Y$10*10^3))+(U41))),1)&gt;=0),Cluster!$Y$8,"Recepie by hand needed")))),"-")</f>
        <v>-</v>
      </c>
      <c r="AB41"/>
      <c r="AC41" s="37" t="str">
        <f t="shared" ca="1" si="1"/>
        <v>-</v>
      </c>
      <c r="AD41" s="37" t="str">
        <f t="shared" ca="1" si="2"/>
        <v>-</v>
      </c>
      <c r="AE41" s="220" t="str">
        <f t="shared" ca="1" si="3"/>
        <v>-</v>
      </c>
      <c r="AF41" s="37" t="str">
        <f t="shared" ca="1" si="4"/>
        <v>-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t="13.5" customHeight="1" x14ac:dyDescent="0.5">
      <c r="A42" s="170" t="str">
        <f>Calculation!I23</f>
        <v/>
      </c>
      <c r="B42" s="221" t="str">
        <f ca="1">Calculation!B23</f>
        <v/>
      </c>
      <c r="C42" s="221" t="str">
        <f ca="1">Calculation!C23</f>
        <v/>
      </c>
      <c r="D42" s="172" t="str">
        <f ca="1">Calculation!AN23</f>
        <v/>
      </c>
      <c r="E42" s="173" t="str">
        <f ca="1">Calculation!D23</f>
        <v/>
      </c>
      <c r="F42" s="174" t="str">
        <f ca="1">Calculation!C23</f>
        <v/>
      </c>
      <c r="G42" s="175" t="str">
        <f ca="1">Calculation!F23</f>
        <v/>
      </c>
      <c r="H42" s="176" t="str">
        <f ca="1">Calculation!AD23</f>
        <v/>
      </c>
      <c r="I42" s="177" t="str">
        <f ca="1">Calculation!AE23</f>
        <v/>
      </c>
      <c r="J42" s="178" t="str">
        <f ca="1">IF(Calculation!Q23="","Selection",Calculation!Q23)</f>
        <v>Selection</v>
      </c>
      <c r="K42" s="179" t="str">
        <f ca="1">Calculation!T23</f>
        <v/>
      </c>
      <c r="L42" s="180" t="str">
        <f ca="1">Calculation!U23</f>
        <v>-</v>
      </c>
      <c r="M42" s="180" t="str">
        <f ca="1">Calculation!V23</f>
        <v>-</v>
      </c>
      <c r="N42" s="181"/>
      <c r="O42" s="180" t="str">
        <f ca="1">Calculation!X23</f>
        <v>-</v>
      </c>
      <c r="P42" s="180" t="str">
        <f ca="1">Calculation!Y23</f>
        <v>-</v>
      </c>
      <c r="Q42" s="163" t="s">
        <v>109</v>
      </c>
      <c r="R42" s="182" t="str">
        <f ca="1">IF(AND(L42&lt;&gt;"-",Q42&lt;&gt;"bypass"),IFERROR(IF((U42*$R$23/0.05)-SUM(S42:U42)&gt;0,(U42*$R$23/0.05)-SUM(S42:U42),0),"-"),Calculation!AH23)</f>
        <v>-</v>
      </c>
      <c r="S42" s="179" t="str">
        <f ca="1">IF(AND(L42&lt;&gt;"-",Q42&lt;&gt;"bypass"),IFERROR(X42*((H42*10^-12-H42*10^-12*I42)/(Calculation!$U$8*10^-9)),"-"),Calculation!AF23)</f>
        <v>-</v>
      </c>
      <c r="T42" s="179" t="str">
        <f ca="1">IF(AND(L42&lt;&gt;"-",Q42&lt;&gt;"bypass"),IFERROR(H42*I42*X42/(IF(Cluster!AA42=Cluster!$W$8,Cluster!$W$10,IF(Cluster!AA42=Cluster!$X$8,Cluster!$X$10,IF(Cluster!AA42=Cluster!$Y$8,Cluster!$Y$10,0)))*10^3),"-"),Calculation!AK23)</f>
        <v>-</v>
      </c>
      <c r="U42" s="179" t="str">
        <f ca="1">IF(AND(L42&lt;&gt;"-",Q42&lt;&gt;"bypass"),IFERROR((0.5/50)*X42/$R$23,"-"),Calculation!AG23)</f>
        <v>-</v>
      </c>
      <c r="V42" s="179" t="str">
        <f ca="1">IF(AND(L42&lt;&gt;"-",Q42&lt;&gt;"bypass"),IFERROR(5/50*X42,"-"),Calculation!AI23)</f>
        <v>-</v>
      </c>
      <c r="W42" s="179" t="str">
        <f ca="1">IF(AND(L42&lt;&gt;"-",Q42&lt;&gt;"bypass"),IFERROR(35/50*X42,"-"),Calculation!AJ23)</f>
        <v>-</v>
      </c>
      <c r="X42" s="179" t="str">
        <f ca="1">IF(AND(L42&lt;&gt;"-",Q42&lt;&gt;"bypass"),$W$23,Calculation!AL23)</f>
        <v>-</v>
      </c>
      <c r="Y42" s="183" t="str">
        <f ca="1">IF(AND(L42&lt;&gt;"-",Q42&lt;&gt;"bypass"),IFERROR($R$23*U42/SUM(R42:U42),"-"),Calculation!AP23)</f>
        <v>-</v>
      </c>
      <c r="Z42" s="184" t="str">
        <f t="shared" ca="1" si="0"/>
        <v>-</v>
      </c>
      <c r="AA42" s="185" t="str">
        <f ca="1">IFERROR(IF(I42=0,"-",IF(AND(ROUND(H42*I42*X42/($W$10*10^3),1)&gt;=Calculation!$O$6,ROUND((((U42)*$R$23/0.05)-((S42)+(H42*I42*X42/($W$10*10^3))+(U42))),1)&gt;=0),Cluster!$W$8,IF(AND(ROUND(H42*I42*X42/($X$10*10^3),1)&gt;=Calculation!$O$6,ROUND((((U42)*$R$23/0.05)-((S42)+(H42*I42*X42/($X$10*10^3))+(U42))),1)&gt;=0),Cluster!$X$8,IF(AND(ROUND(H42*I42*X42/($Y$10*10^3),1)&gt;=Calculation!$O$6,ROUND((((U42)*$R$23/0.05)-((S42)+(H42*I42*X42/($Y$10*10^3))+(U42))),1)&gt;=0),Cluster!$Y$8,"Recepie by hand needed")))),"-")</f>
        <v>-</v>
      </c>
      <c r="AB42"/>
      <c r="AC42" s="37" t="str">
        <f t="shared" ca="1" si="1"/>
        <v>-</v>
      </c>
      <c r="AD42" s="37" t="str">
        <f t="shared" ca="1" si="2"/>
        <v>-</v>
      </c>
      <c r="AE42" s="220" t="str">
        <f t="shared" ca="1" si="3"/>
        <v>-</v>
      </c>
      <c r="AF42" s="37" t="str">
        <f t="shared" ca="1" si="4"/>
        <v>-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t="13.5" customHeight="1" x14ac:dyDescent="0.5">
      <c r="A43" s="170" t="str">
        <f>Calculation!I24</f>
        <v/>
      </c>
      <c r="B43" s="221" t="str">
        <f ca="1">Calculation!B24</f>
        <v/>
      </c>
      <c r="C43" s="221" t="str">
        <f ca="1">Calculation!C24</f>
        <v/>
      </c>
      <c r="D43" s="172" t="str">
        <f ca="1">Calculation!AN24</f>
        <v/>
      </c>
      <c r="E43" s="173" t="str">
        <f ca="1">Calculation!D24</f>
        <v/>
      </c>
      <c r="F43" s="174" t="str">
        <f ca="1">Calculation!C24</f>
        <v/>
      </c>
      <c r="G43" s="175" t="str">
        <f ca="1">Calculation!F24</f>
        <v/>
      </c>
      <c r="H43" s="176" t="str">
        <f ca="1">Calculation!AD24</f>
        <v/>
      </c>
      <c r="I43" s="177" t="str">
        <f ca="1">Calculation!AE24</f>
        <v/>
      </c>
      <c r="J43" s="178" t="str">
        <f ca="1">IF(Calculation!Q24="","Selection",Calculation!Q24)</f>
        <v>Selection</v>
      </c>
      <c r="K43" s="179" t="str">
        <f ca="1">Calculation!T24</f>
        <v/>
      </c>
      <c r="L43" s="180" t="str">
        <f ca="1">Calculation!U24</f>
        <v>-</v>
      </c>
      <c r="M43" s="180" t="str">
        <f ca="1">Calculation!V24</f>
        <v>-</v>
      </c>
      <c r="N43" s="181"/>
      <c r="O43" s="180" t="str">
        <f ca="1">Calculation!X24</f>
        <v>-</v>
      </c>
      <c r="P43" s="180" t="str">
        <f ca="1">Calculation!Y24</f>
        <v>-</v>
      </c>
      <c r="Q43" s="163" t="s">
        <v>109</v>
      </c>
      <c r="R43" s="182" t="str">
        <f ca="1">IF(AND(L43&lt;&gt;"-",Q43&lt;&gt;"bypass"),IFERROR(IF((U43*$R$23/0.05)-SUM(S43:U43)&gt;0,(U43*$R$23/0.05)-SUM(S43:U43),0),"-"),Calculation!AH24)</f>
        <v>-</v>
      </c>
      <c r="S43" s="179" t="str">
        <f ca="1">IF(AND(L43&lt;&gt;"-",Q43&lt;&gt;"bypass"),IFERROR(X43*((H43*10^-12-H43*10^-12*I43)/(Calculation!$U$8*10^-9)),"-"),Calculation!AF24)</f>
        <v>-</v>
      </c>
      <c r="T43" s="179" t="str">
        <f ca="1">IF(AND(L43&lt;&gt;"-",Q43&lt;&gt;"bypass"),IFERROR(H43*I43*X43/(IF(Cluster!AA43=Cluster!$W$8,Cluster!$W$10,IF(Cluster!AA43=Cluster!$X$8,Cluster!$X$10,IF(Cluster!AA43=Cluster!$Y$8,Cluster!$Y$10,0)))*10^3),"-"),Calculation!AK24)</f>
        <v>-</v>
      </c>
      <c r="U43" s="179" t="str">
        <f ca="1">IF(AND(L43&lt;&gt;"-",Q43&lt;&gt;"bypass"),IFERROR((0.5/50)*X43/$R$23,"-"),Calculation!AG24)</f>
        <v>-</v>
      </c>
      <c r="V43" s="179" t="str">
        <f ca="1">IF(AND(L43&lt;&gt;"-",Q43&lt;&gt;"bypass"),IFERROR(5/50*X43,"-"),Calculation!AI24)</f>
        <v>-</v>
      </c>
      <c r="W43" s="179" t="str">
        <f ca="1">IF(AND(L43&lt;&gt;"-",Q43&lt;&gt;"bypass"),IFERROR(35/50*X43,"-"),Calculation!AJ24)</f>
        <v>-</v>
      </c>
      <c r="X43" s="179" t="str">
        <f ca="1">IF(AND(L43&lt;&gt;"-",Q43&lt;&gt;"bypass"),$W$23,Calculation!AL24)</f>
        <v>-</v>
      </c>
      <c r="Y43" s="183" t="str">
        <f ca="1">IF(AND(L43&lt;&gt;"-",Q43&lt;&gt;"bypass"),IFERROR($R$23*U43/SUM(R43:U43),"-"),Calculation!AP24)</f>
        <v>-</v>
      </c>
      <c r="Z43" s="184" t="str">
        <f t="shared" ca="1" si="0"/>
        <v>-</v>
      </c>
      <c r="AA43" s="185" t="str">
        <f ca="1">IFERROR(IF(I43=0,"-",IF(AND(ROUND(H43*I43*X43/($W$10*10^3),1)&gt;=Calculation!$O$6,ROUND((((U43)*$R$23/0.05)-((S43)+(H43*I43*X43/($W$10*10^3))+(U43))),1)&gt;=0),Cluster!$W$8,IF(AND(ROUND(H43*I43*X43/($X$10*10^3),1)&gt;=Calculation!$O$6,ROUND((((U43)*$R$23/0.05)-((S43)+(H43*I43*X43/($X$10*10^3))+(U43))),1)&gt;=0),Cluster!$X$8,IF(AND(ROUND(H43*I43*X43/($Y$10*10^3),1)&gt;=Calculation!$O$6,ROUND((((U43)*$R$23/0.05)-((S43)+(H43*I43*X43/($Y$10*10^3))+(U43))),1)&gt;=0),Cluster!$Y$8,"Recepie by hand needed")))),"-")</f>
        <v>-</v>
      </c>
      <c r="AB43"/>
      <c r="AC43" s="37" t="str">
        <f t="shared" ca="1" si="1"/>
        <v>-</v>
      </c>
      <c r="AD43" s="37" t="str">
        <f t="shared" ca="1" si="2"/>
        <v>-</v>
      </c>
      <c r="AE43" s="220" t="str">
        <f t="shared" ca="1" si="3"/>
        <v>-</v>
      </c>
      <c r="AF43" s="37" t="str">
        <f t="shared" ca="1" si="4"/>
        <v>-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13.5" customHeight="1" x14ac:dyDescent="0.5">
      <c r="A44" s="222" t="str">
        <f>Calculation!I25</f>
        <v/>
      </c>
      <c r="B44" s="223" t="str">
        <f ca="1">Calculation!B25</f>
        <v/>
      </c>
      <c r="C44" s="223" t="str">
        <f ca="1">Calculation!C25</f>
        <v/>
      </c>
      <c r="D44" s="224" t="str">
        <f ca="1">Calculation!AN25</f>
        <v/>
      </c>
      <c r="E44" s="225" t="str">
        <f ca="1">Calculation!D25</f>
        <v/>
      </c>
      <c r="F44" s="226" t="str">
        <f ca="1">Calculation!C25</f>
        <v/>
      </c>
      <c r="G44" s="227" t="str">
        <f ca="1">Calculation!F25</f>
        <v/>
      </c>
      <c r="H44" s="228" t="str">
        <f ca="1">Calculation!AD25</f>
        <v/>
      </c>
      <c r="I44" s="229" t="str">
        <f ca="1">Calculation!AE25</f>
        <v/>
      </c>
      <c r="J44" s="230" t="str">
        <f ca="1">IF(Calculation!Q25="","Selection",Calculation!Q25)</f>
        <v>Selection</v>
      </c>
      <c r="K44" s="231" t="str">
        <f ca="1">Calculation!T25</f>
        <v/>
      </c>
      <c r="L44" s="232" t="str">
        <f ca="1">Calculation!U25</f>
        <v>-</v>
      </c>
      <c r="M44" s="232" t="str">
        <f ca="1">Calculation!V25</f>
        <v>-</v>
      </c>
      <c r="N44" s="233"/>
      <c r="O44" s="232" t="str">
        <f ca="1">Calculation!X25</f>
        <v>-</v>
      </c>
      <c r="P44" s="232" t="str">
        <f ca="1">Calculation!Y25</f>
        <v>-</v>
      </c>
      <c r="Q44" s="163" t="s">
        <v>109</v>
      </c>
      <c r="R44" s="234" t="str">
        <f ca="1">IF(AND(L44&lt;&gt;"-",Q44&lt;&gt;"bypass"),IFERROR(IF((U44*$R$23/0.05)-SUM(S44:U44)&gt;0,(U44*$R$23/0.05)-SUM(S44:U44),0),"-"),Calculation!AH25)</f>
        <v>-</v>
      </c>
      <c r="S44" s="231" t="str">
        <f ca="1">IF(AND(L44&lt;&gt;"-",Q44&lt;&gt;"bypass"),IFERROR(X44*((H44*10^-12-H44*10^-12*I44)/(Calculation!$U$8*10^-9)),"-"),Calculation!AF25)</f>
        <v>-</v>
      </c>
      <c r="T44" s="231" t="str">
        <f ca="1">IF(AND(L44&lt;&gt;"-",Q44&lt;&gt;"bypass"),IFERROR(H44*I44*X44/(IF(Cluster!AA44=Cluster!$W$8,Cluster!$W$10,IF(Cluster!AA44=Cluster!$X$8,Cluster!$X$10,IF(Cluster!AA44=Cluster!$Y$8,Cluster!$Y$10,0)))*10^3),"-"),Calculation!AK25)</f>
        <v>-</v>
      </c>
      <c r="U44" s="231" t="str">
        <f ca="1">IF(AND(L44&lt;&gt;"-",Q44&lt;&gt;"bypass"),IFERROR((0.5/50)*X44/$R$23,"-"),Calculation!AG25)</f>
        <v>-</v>
      </c>
      <c r="V44" s="231" t="str">
        <f ca="1">IF(AND(L44&lt;&gt;"-",Q44&lt;&gt;"bypass"),IFERROR(5/50*X44,"-"),Calculation!AI25)</f>
        <v>-</v>
      </c>
      <c r="W44" s="231" t="str">
        <f ca="1">IF(AND(L44&lt;&gt;"-",Q44&lt;&gt;"bypass"),IFERROR(35/50*X44,"-"),Calculation!AJ25)</f>
        <v>-</v>
      </c>
      <c r="X44" s="231" t="str">
        <f ca="1">IF(AND(L44&lt;&gt;"-",Q44&lt;&gt;"bypass"),$W$23,Calculation!AL25)</f>
        <v>-</v>
      </c>
      <c r="Y44" s="235" t="str">
        <f ca="1">IF(AND(L44&lt;&gt;"-",Q44&lt;&gt;"bypass"),IFERROR($R$23*U44/SUM(R44:U44),"-"),Calculation!AP25)</f>
        <v>-</v>
      </c>
      <c r="Z44" s="236" t="str">
        <f t="shared" ca="1" si="0"/>
        <v>-</v>
      </c>
      <c r="AA44" s="237" t="str">
        <f ca="1">IFERROR(IF(I44=0,"-",IF(AND(ROUND(H44*I44*X44/($W$10*10^3),1)&gt;=Calculation!$O$6,ROUND((((U44)*$R$23/0.05)-((S44)+(H44*I44*X44/($W$10*10^3))+(U44))),1)&gt;=0),Cluster!$W$8,IF(AND(ROUND(H44*I44*X44/($X$10*10^3),1)&gt;=Calculation!$O$6,ROUND((((U44)*$R$23/0.05)-((S44)+(H44*I44*X44/($X$10*10^3))+(U44))),1)&gt;=0),Cluster!$X$8,IF(AND(ROUND(H44*I44*X44/($Y$10*10^3),1)&gt;=Calculation!$O$6,ROUND((((U44)*$R$23/0.05)-((S44)+(H44*I44*X44/($Y$10*10^3))+(U44))),1)&gt;=0),Cluster!$Y$8,"Recepie by hand needed")))),"-")</f>
        <v>-</v>
      </c>
      <c r="AB44"/>
      <c r="AC44" s="37" t="str">
        <f t="shared" ca="1" si="1"/>
        <v>-</v>
      </c>
      <c r="AD44" s="37" t="str">
        <f t="shared" ca="1" si="2"/>
        <v>-</v>
      </c>
      <c r="AE44" s="220" t="str">
        <f t="shared" ca="1" si="3"/>
        <v>-</v>
      </c>
      <c r="AF44" s="37" t="str">
        <f t="shared" ca="1" si="4"/>
        <v>-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s="99" customFormat="1" ht="13.5" customHeight="1" x14ac:dyDescent="0.5">
      <c r="A45" s="151" t="str">
        <f>Calculation!I26</f>
        <v/>
      </c>
      <c r="B45" s="238" t="str">
        <f ca="1">Calculation!B26</f>
        <v/>
      </c>
      <c r="C45" s="238" t="str">
        <f ca="1">Calculation!C26</f>
        <v/>
      </c>
      <c r="D45" s="153" t="str">
        <f ca="1">Calculation!AN26</f>
        <v/>
      </c>
      <c r="E45" s="154" t="str">
        <f ca="1">Calculation!D26</f>
        <v/>
      </c>
      <c r="F45" s="155" t="str">
        <f ca="1">Calculation!C26</f>
        <v/>
      </c>
      <c r="G45" s="156" t="str">
        <f ca="1">Calculation!F26</f>
        <v/>
      </c>
      <c r="H45" s="157" t="str">
        <f ca="1">Calculation!AD26</f>
        <v/>
      </c>
      <c r="I45" s="158" t="str">
        <f ca="1">Calculation!AE26</f>
        <v/>
      </c>
      <c r="J45" s="159" t="str">
        <f ca="1">IF(Calculation!Q26="","Selection",Calculation!Q26)</f>
        <v>Selection</v>
      </c>
      <c r="K45" s="160" t="str">
        <f ca="1">Calculation!T26</f>
        <v/>
      </c>
      <c r="L45" s="161" t="str">
        <f ca="1">Calculation!U26</f>
        <v>-</v>
      </c>
      <c r="M45" s="161" t="str">
        <f ca="1">Calculation!V26</f>
        <v>-</v>
      </c>
      <c r="N45" s="162"/>
      <c r="O45" s="161" t="str">
        <f ca="1">Calculation!X26</f>
        <v>-</v>
      </c>
      <c r="P45" s="161" t="str">
        <f ca="1">Calculation!Y26</f>
        <v>-</v>
      </c>
      <c r="Q45" s="163" t="s">
        <v>109</v>
      </c>
      <c r="R45" s="164" t="str">
        <f ca="1">IF(AND(L45&lt;&gt;"-",Q45&lt;&gt;"bypass"),IFERROR(IF((U45*$R$23/0.05)-SUM(S45:U45)&gt;0,(U45*$R$23/0.05)-SUM(S45:U45),0),"-"),Calculation!AH26)</f>
        <v>-</v>
      </c>
      <c r="S45" s="160" t="str">
        <f ca="1">IF(AND(L45&lt;&gt;"-",Q45&lt;&gt;"bypass"),IFERROR(X45*((H45*10^-12-H45*10^-12*I45)/(Calculation!$U$8*10^-9)),"-"),Calculation!AF26)</f>
        <v>-</v>
      </c>
      <c r="T45" s="160" t="str">
        <f ca="1">IF(AND(L45&lt;&gt;"-",Q45&lt;&gt;"bypass"),IFERROR(H45*I45*X45/(IF(Cluster!AA45=Cluster!$W$8,Cluster!$W$10,IF(Cluster!AA45=Cluster!$X$8,Cluster!$X$10,IF(Cluster!AA45=Cluster!$Y$8,Cluster!$Y$10,0)))*10^3),"-"),Calculation!AK26)</f>
        <v>-</v>
      </c>
      <c r="U45" s="160" t="str">
        <f ca="1">IF(AND(L45&lt;&gt;"-",Q45&lt;&gt;"bypass"),IFERROR((0.5/50)*X45/$R$23,"-"),Calculation!AG26)</f>
        <v>-</v>
      </c>
      <c r="V45" s="160" t="str">
        <f ca="1">IF(AND(L45&lt;&gt;"-",Q45&lt;&gt;"bypass"),IFERROR(5/50*X45,"-"),Calculation!AI26)</f>
        <v>-</v>
      </c>
      <c r="W45" s="160" t="str">
        <f ca="1">IF(AND(L45&lt;&gt;"-",Q45&lt;&gt;"bypass"),IFERROR(35/50*X45,"-"),Calculation!AJ26)</f>
        <v>-</v>
      </c>
      <c r="X45" s="160" t="str">
        <f ca="1">IF(AND(L45&lt;&gt;"-",Q45&lt;&gt;"bypass"),$W$23,Calculation!AL26)</f>
        <v>-</v>
      </c>
      <c r="Y45" s="165" t="str">
        <f ca="1">IF(AND(L45&lt;&gt;"-",Q45&lt;&gt;"bypass"),IFERROR($R$23*U45/SUM(R45:U45),"-"),Calculation!AP26)</f>
        <v>-</v>
      </c>
      <c r="Z45" s="166" t="str">
        <f t="shared" ca="1" si="0"/>
        <v>-</v>
      </c>
      <c r="AA45" s="167" t="str">
        <f ca="1">IFERROR(IF(I45=0,"-",IF(AND(ROUND(H45*I45*X45/($W$10*10^3),1)&gt;=Calculation!$O$6,ROUND((((U45)*$R$23/0.05)-((S45)+(H45*I45*X45/($W$10*10^3))+(U45))),1)&gt;=0),Cluster!$W$8,IF(AND(ROUND(H45*I45*X45/($X$10*10^3),1)&gt;=Calculation!$O$6,ROUND((((U45)*$R$23/0.05)-((S45)+(H45*I45*X45/($X$10*10^3))+(U45))),1)&gt;=0),Cluster!$X$8,IF(AND(ROUND(H45*I45*X45/($Y$10*10^3),1)&gt;=Calculation!$O$6,ROUND((((U45)*$R$23/0.05)-((S45)+(H45*I45*X45/($Y$10*10^3))+(U45))),1)&gt;=0),Cluster!$Y$8,"Recepie by hand needed")))),"-")</f>
        <v>-</v>
      </c>
      <c r="AC45" s="168" t="str">
        <f t="shared" ca="1" si="1"/>
        <v>-</v>
      </c>
      <c r="AD45" s="168" t="str">
        <f t="shared" ca="1" si="2"/>
        <v>-</v>
      </c>
      <c r="AE45" s="169" t="str">
        <f t="shared" ca="1" si="3"/>
        <v>-</v>
      </c>
      <c r="AF45" s="168" t="str">
        <f t="shared" ca="1" si="4"/>
        <v>-</v>
      </c>
    </row>
    <row r="46" spans="1:1024" s="109" customFormat="1" ht="13.5" customHeight="1" x14ac:dyDescent="0.5">
      <c r="A46" s="170" t="str">
        <f>Calculation!I27</f>
        <v/>
      </c>
      <c r="B46" s="221" t="str">
        <f ca="1">Calculation!B27</f>
        <v/>
      </c>
      <c r="C46" s="221" t="str">
        <f ca="1">Calculation!C27</f>
        <v/>
      </c>
      <c r="D46" s="172" t="str">
        <f ca="1">Calculation!AN27</f>
        <v/>
      </c>
      <c r="E46" s="173" t="str">
        <f ca="1">Calculation!D27</f>
        <v/>
      </c>
      <c r="F46" s="174" t="str">
        <f ca="1">Calculation!C27</f>
        <v/>
      </c>
      <c r="G46" s="175" t="str">
        <f ca="1">Calculation!F27</f>
        <v/>
      </c>
      <c r="H46" s="176" t="str">
        <f ca="1">Calculation!AD27</f>
        <v/>
      </c>
      <c r="I46" s="177" t="str">
        <f ca="1">Calculation!AE27</f>
        <v/>
      </c>
      <c r="J46" s="178" t="str">
        <f ca="1">IF(Calculation!Q27="","Selection",Calculation!Q27)</f>
        <v>Selection</v>
      </c>
      <c r="K46" s="179" t="str">
        <f ca="1">Calculation!T27</f>
        <v/>
      </c>
      <c r="L46" s="180" t="str">
        <f ca="1">Calculation!U27</f>
        <v>-</v>
      </c>
      <c r="M46" s="180" t="str">
        <f ca="1">Calculation!V27</f>
        <v>-</v>
      </c>
      <c r="N46" s="181"/>
      <c r="O46" s="180" t="str">
        <f ca="1">Calculation!X27</f>
        <v>-</v>
      </c>
      <c r="P46" s="180" t="str">
        <f ca="1">Calculation!Y27</f>
        <v>-</v>
      </c>
      <c r="Q46" s="163" t="s">
        <v>109</v>
      </c>
      <c r="R46" s="182" t="str">
        <f ca="1">IF(AND(L46&lt;&gt;"-",Q46&lt;&gt;"bypass"),IFERROR(IF((U46*$R$23/0.05)-SUM(S46:U46)&gt;0,(U46*$R$23/0.05)-SUM(S46:U46),0),"-"),Calculation!AH27)</f>
        <v>-</v>
      </c>
      <c r="S46" s="179" t="str">
        <f ca="1">IF(AND(L46&lt;&gt;"-",Q46&lt;&gt;"bypass"),IFERROR(X46*((H46*10^-12-H46*10^-12*I46)/(Calculation!$U$8*10^-9)),"-"),Calculation!AF27)</f>
        <v>-</v>
      </c>
      <c r="T46" s="179" t="str">
        <f ca="1">IF(AND(L46&lt;&gt;"-",Q46&lt;&gt;"bypass"),IFERROR(H46*I46*X46/(IF(Cluster!AA46=Cluster!$W$8,Cluster!$W$10,IF(Cluster!AA46=Cluster!$X$8,Cluster!$X$10,IF(Cluster!AA46=Cluster!$Y$8,Cluster!$Y$10,0)))*10^3),"-"),Calculation!AK27)</f>
        <v>-</v>
      </c>
      <c r="U46" s="179" t="str">
        <f ca="1">IF(AND(L46&lt;&gt;"-",Q46&lt;&gt;"bypass"),IFERROR((0.5/50)*X46/$R$23,"-"),Calculation!AG27)</f>
        <v>-</v>
      </c>
      <c r="V46" s="179" t="str">
        <f ca="1">IF(AND(L46&lt;&gt;"-",Q46&lt;&gt;"bypass"),IFERROR(5/50*X46,"-"),Calculation!AI27)</f>
        <v>-</v>
      </c>
      <c r="W46" s="179" t="str">
        <f ca="1">IF(AND(L46&lt;&gt;"-",Q46&lt;&gt;"bypass"),IFERROR(35/50*X46,"-"),Calculation!AJ27)</f>
        <v>-</v>
      </c>
      <c r="X46" s="179" t="str">
        <f ca="1">IF(AND(L46&lt;&gt;"-",Q46&lt;&gt;"bypass"),$W$23,Calculation!AL27)</f>
        <v>-</v>
      </c>
      <c r="Y46" s="183" t="str">
        <f ca="1">IF(AND(L46&lt;&gt;"-",Q46&lt;&gt;"bypass"),IFERROR($R$23*U46/SUM(R46:U46),"-"),Calculation!AP27)</f>
        <v>-</v>
      </c>
      <c r="Z46" s="184" t="str">
        <f t="shared" ca="1" si="0"/>
        <v>-</v>
      </c>
      <c r="AA46" s="185" t="str">
        <f ca="1">IFERROR(IF(I46=0,"-",IF(AND(ROUND(H46*I46*X46/($W$10*10^3),1)&gt;=Calculation!$O$6,ROUND((((U46)*$R$23/0.05)-((S46)+(H46*I46*X46/($W$10*10^3))+(U46))),1)&gt;=0),Cluster!$W$8,IF(AND(ROUND(H46*I46*X46/($X$10*10^3),1)&gt;=Calculation!$O$6,ROUND((((U46)*$R$23/0.05)-((S46)+(H46*I46*X46/($X$10*10^3))+(U46))),1)&gt;=0),Cluster!$X$8,IF(AND(ROUND(H46*I46*X46/($Y$10*10^3),1)&gt;=Calculation!$O$6,ROUND((((U46)*$R$23/0.05)-((S46)+(H46*I46*X46/($Y$10*10^3))+(U46))),1)&gt;=0),Cluster!$Y$8,"Recepie by hand needed")))),"-")</f>
        <v>-</v>
      </c>
      <c r="AC46" s="111" t="str">
        <f t="shared" ca="1" si="1"/>
        <v>-</v>
      </c>
      <c r="AD46" s="111" t="str">
        <f t="shared" ca="1" si="2"/>
        <v>-</v>
      </c>
      <c r="AE46" s="186" t="str">
        <f t="shared" ca="1" si="3"/>
        <v>-</v>
      </c>
      <c r="AF46" s="111" t="str">
        <f t="shared" ca="1" si="4"/>
        <v>-</v>
      </c>
    </row>
    <row r="47" spans="1:1024" s="109" customFormat="1" ht="13.5" customHeight="1" x14ac:dyDescent="0.5">
      <c r="A47" s="170" t="str">
        <f>Calculation!I28</f>
        <v/>
      </c>
      <c r="B47" s="221" t="str">
        <f ca="1">Calculation!B28</f>
        <v/>
      </c>
      <c r="C47" s="221" t="str">
        <f ca="1">Calculation!C28</f>
        <v/>
      </c>
      <c r="D47" s="172" t="str">
        <f ca="1">Calculation!AN28</f>
        <v/>
      </c>
      <c r="E47" s="173" t="str">
        <f ca="1">Calculation!D28</f>
        <v/>
      </c>
      <c r="F47" s="174" t="str">
        <f ca="1">Calculation!C28</f>
        <v/>
      </c>
      <c r="G47" s="175" t="str">
        <f ca="1">Calculation!F28</f>
        <v/>
      </c>
      <c r="H47" s="176" t="str">
        <f ca="1">Calculation!AD28</f>
        <v/>
      </c>
      <c r="I47" s="177" t="str">
        <f ca="1">Calculation!AE28</f>
        <v/>
      </c>
      <c r="J47" s="178" t="str">
        <f ca="1">IF(Calculation!Q28="","Selection",Calculation!Q28)</f>
        <v>Selection</v>
      </c>
      <c r="K47" s="179" t="str">
        <f ca="1">Calculation!T28</f>
        <v/>
      </c>
      <c r="L47" s="180" t="str">
        <f ca="1">Calculation!U28</f>
        <v>-</v>
      </c>
      <c r="M47" s="180" t="str">
        <f ca="1">Calculation!V28</f>
        <v>-</v>
      </c>
      <c r="N47" s="181"/>
      <c r="O47" s="180" t="str">
        <f ca="1">Calculation!X28</f>
        <v>-</v>
      </c>
      <c r="P47" s="180" t="str">
        <f ca="1">Calculation!Y28</f>
        <v>-</v>
      </c>
      <c r="Q47" s="163" t="s">
        <v>109</v>
      </c>
      <c r="R47" s="182" t="str">
        <f ca="1">IF(AND(L47&lt;&gt;"-",Q47&lt;&gt;"bypass"),IFERROR(IF((U47*$R$23/0.05)-SUM(S47:U47)&gt;0,(U47*$R$23/0.05)-SUM(S47:U47),0),"-"),Calculation!AH28)</f>
        <v>-</v>
      </c>
      <c r="S47" s="179" t="str">
        <f ca="1">IF(AND(L47&lt;&gt;"-",Q47&lt;&gt;"bypass"),IFERROR(X47*((H47*10^-12-H47*10^-12*I47)/(Calculation!$U$8*10^-9)),"-"),Calculation!AF28)</f>
        <v>-</v>
      </c>
      <c r="T47" s="179" t="str">
        <f ca="1">IF(AND(L47&lt;&gt;"-",Q47&lt;&gt;"bypass"),IFERROR(H47*I47*X47/(IF(Cluster!AA47=Cluster!$W$8,Cluster!$W$10,IF(Cluster!AA47=Cluster!$X$8,Cluster!$X$10,IF(Cluster!AA47=Cluster!$Y$8,Cluster!$Y$10,0)))*10^3),"-"),Calculation!AK28)</f>
        <v>-</v>
      </c>
      <c r="U47" s="179" t="str">
        <f ca="1">IF(AND(L47&lt;&gt;"-",Q47&lt;&gt;"bypass"),IFERROR((0.5/50)*X47/$R$23,"-"),Calculation!AG28)</f>
        <v>-</v>
      </c>
      <c r="V47" s="179" t="str">
        <f ca="1">IF(AND(L47&lt;&gt;"-",Q47&lt;&gt;"bypass"),IFERROR(5/50*X47,"-"),Calculation!AI28)</f>
        <v>-</v>
      </c>
      <c r="W47" s="179" t="str">
        <f ca="1">IF(AND(L47&lt;&gt;"-",Q47&lt;&gt;"bypass"),IFERROR(35/50*X47,"-"),Calculation!AJ28)</f>
        <v>-</v>
      </c>
      <c r="X47" s="179" t="str">
        <f ca="1">IF(AND(L47&lt;&gt;"-",Q47&lt;&gt;"bypass"),$W$23,Calculation!AL28)</f>
        <v>-</v>
      </c>
      <c r="Y47" s="183" t="str">
        <f ca="1">IF(AND(L47&lt;&gt;"-",Q47&lt;&gt;"bypass"),IFERROR($R$23*U47/SUM(R47:U47),"-"),Calculation!AP28)</f>
        <v>-</v>
      </c>
      <c r="Z47" s="184" t="str">
        <f t="shared" ca="1" si="0"/>
        <v>-</v>
      </c>
      <c r="AA47" s="185" t="str">
        <f ca="1">IFERROR(IF(I47=0,"-",IF(AND(ROUND(H47*I47*X47/($W$10*10^3),1)&gt;=Calculation!$O$6,ROUND((((U47)*$R$23/0.05)-((S47)+(H47*I47*X47/($W$10*10^3))+(U47))),1)&gt;=0),Cluster!$W$8,IF(AND(ROUND(H47*I47*X47/($X$10*10^3),1)&gt;=Calculation!$O$6,ROUND((((U47)*$R$23/0.05)-((S47)+(H47*I47*X47/($X$10*10^3))+(U47))),1)&gt;=0),Cluster!$X$8,IF(AND(ROUND(H47*I47*X47/($Y$10*10^3),1)&gt;=Calculation!$O$6,ROUND((((U47)*$R$23/0.05)-((S47)+(H47*I47*X47/($Y$10*10^3))+(U47))),1)&gt;=0),Cluster!$Y$8,"Recepie by hand needed")))),"-")</f>
        <v>-</v>
      </c>
      <c r="AC47" s="111" t="str">
        <f t="shared" ca="1" si="1"/>
        <v>-</v>
      </c>
      <c r="AD47" s="111" t="str">
        <f t="shared" ca="1" si="2"/>
        <v>-</v>
      </c>
      <c r="AE47" s="186" t="str">
        <f t="shared" ca="1" si="3"/>
        <v>-</v>
      </c>
      <c r="AF47" s="111" t="str">
        <f t="shared" ca="1" si="4"/>
        <v>-</v>
      </c>
    </row>
    <row r="48" spans="1:1024" s="109" customFormat="1" ht="13.5" customHeight="1" x14ac:dyDescent="0.5">
      <c r="A48" s="170" t="str">
        <f>Calculation!I29</f>
        <v/>
      </c>
      <c r="B48" s="221" t="str">
        <f ca="1">Calculation!B29</f>
        <v/>
      </c>
      <c r="C48" s="221" t="str">
        <f ca="1">Calculation!C29</f>
        <v/>
      </c>
      <c r="D48" s="172" t="str">
        <f ca="1">Calculation!AN29</f>
        <v/>
      </c>
      <c r="E48" s="173" t="str">
        <f ca="1">Calculation!D29</f>
        <v/>
      </c>
      <c r="F48" s="174" t="str">
        <f ca="1">Calculation!C29</f>
        <v/>
      </c>
      <c r="G48" s="175" t="str">
        <f ca="1">Calculation!F29</f>
        <v/>
      </c>
      <c r="H48" s="176" t="str">
        <f ca="1">Calculation!AD29</f>
        <v/>
      </c>
      <c r="I48" s="177" t="str">
        <f ca="1">Calculation!AE29</f>
        <v/>
      </c>
      <c r="J48" s="178" t="str">
        <f ca="1">IF(Calculation!Q29="","Selection",Calculation!Q29)</f>
        <v>Selection</v>
      </c>
      <c r="K48" s="179" t="str">
        <f ca="1">Calculation!T29</f>
        <v/>
      </c>
      <c r="L48" s="180" t="str">
        <f ca="1">Calculation!U29</f>
        <v>-</v>
      </c>
      <c r="M48" s="180" t="str">
        <f ca="1">Calculation!V29</f>
        <v>-</v>
      </c>
      <c r="N48" s="181"/>
      <c r="O48" s="180" t="str">
        <f ca="1">Calculation!X29</f>
        <v>-</v>
      </c>
      <c r="P48" s="180" t="str">
        <f ca="1">Calculation!Y29</f>
        <v>-</v>
      </c>
      <c r="Q48" s="163" t="s">
        <v>109</v>
      </c>
      <c r="R48" s="182" t="str">
        <f ca="1">IF(AND(L48&lt;&gt;"-",Q48&lt;&gt;"bypass"),IFERROR(IF((U48*$R$23/0.05)-SUM(S48:U48)&gt;0,(U48*$R$23/0.05)-SUM(S48:U48),0),"-"),Calculation!AH29)</f>
        <v>-</v>
      </c>
      <c r="S48" s="179" t="str">
        <f ca="1">IF(AND(L48&lt;&gt;"-",Q48&lt;&gt;"bypass"),IFERROR(X48*((H48*10^-12-H48*10^-12*I48)/(Calculation!$U$8*10^-9)),"-"),Calculation!AF29)</f>
        <v>-</v>
      </c>
      <c r="T48" s="179" t="str">
        <f ca="1">IF(AND(L48&lt;&gt;"-",Q48&lt;&gt;"bypass"),IFERROR(H48*I48*X48/(IF(Cluster!AA48=Cluster!$W$8,Cluster!$W$10,IF(Cluster!AA48=Cluster!$X$8,Cluster!$X$10,IF(Cluster!AA48=Cluster!$Y$8,Cluster!$Y$10,0)))*10^3),"-"),Calculation!AK29)</f>
        <v>-</v>
      </c>
      <c r="U48" s="179" t="str">
        <f ca="1">IF(AND(L48&lt;&gt;"-",Q48&lt;&gt;"bypass"),IFERROR((0.5/50)*X48/$R$23,"-"),Calculation!AG29)</f>
        <v>-</v>
      </c>
      <c r="V48" s="179" t="str">
        <f ca="1">IF(AND(L48&lt;&gt;"-",Q48&lt;&gt;"bypass"),IFERROR(5/50*X48,"-"),Calculation!AI29)</f>
        <v>-</v>
      </c>
      <c r="W48" s="179" t="str">
        <f ca="1">IF(AND(L48&lt;&gt;"-",Q48&lt;&gt;"bypass"),IFERROR(35/50*X48,"-"),Calculation!AJ29)</f>
        <v>-</v>
      </c>
      <c r="X48" s="179" t="str">
        <f ca="1">IF(AND(L48&lt;&gt;"-",Q48&lt;&gt;"bypass"),$W$23,Calculation!AL29)</f>
        <v>-</v>
      </c>
      <c r="Y48" s="183" t="str">
        <f ca="1">IF(AND(L48&lt;&gt;"-",Q48&lt;&gt;"bypass"),IFERROR($R$23*U48/SUM(R48:U48),"-"),Calculation!AP29)</f>
        <v>-</v>
      </c>
      <c r="Z48" s="184" t="str">
        <f t="shared" ca="1" si="0"/>
        <v>-</v>
      </c>
      <c r="AA48" s="185" t="str">
        <f ca="1">IFERROR(IF(I48=0,"-",IF(AND(ROUND(H48*I48*X48/($W$10*10^3),1)&gt;=Calculation!$O$6,ROUND((((U48)*$R$23/0.05)-((S48)+(H48*I48*X48/($W$10*10^3))+(U48))),1)&gt;=0),Cluster!$W$8,IF(AND(ROUND(H48*I48*X48/($X$10*10^3),1)&gt;=Calculation!$O$6,ROUND((((U48)*$R$23/0.05)-((S48)+(H48*I48*X48/($X$10*10^3))+(U48))),1)&gt;=0),Cluster!$X$8,IF(AND(ROUND(H48*I48*X48/($Y$10*10^3),1)&gt;=Calculation!$O$6,ROUND((((U48)*$R$23/0.05)-((S48)+(H48*I48*X48/($Y$10*10^3))+(U48))),1)&gt;=0),Cluster!$Y$8,"Recepie by hand needed")))),"-")</f>
        <v>-</v>
      </c>
      <c r="AC48" s="111" t="str">
        <f t="shared" ca="1" si="1"/>
        <v>-</v>
      </c>
      <c r="AD48" s="111" t="str">
        <f t="shared" ca="1" si="2"/>
        <v>-</v>
      </c>
      <c r="AE48" s="186" t="str">
        <f t="shared" ca="1" si="3"/>
        <v>-</v>
      </c>
      <c r="AF48" s="111" t="str">
        <f t="shared" ca="1" si="4"/>
        <v>-</v>
      </c>
    </row>
    <row r="49" spans="1:1024" s="109" customFormat="1" ht="13.5" customHeight="1" x14ac:dyDescent="0.5">
      <c r="A49" s="170" t="str">
        <f>Calculation!I30</f>
        <v/>
      </c>
      <c r="B49" s="221" t="str">
        <f ca="1">Calculation!B30</f>
        <v/>
      </c>
      <c r="C49" s="221" t="str">
        <f ca="1">Calculation!C30</f>
        <v/>
      </c>
      <c r="D49" s="172" t="str">
        <f ca="1">Calculation!AN30</f>
        <v/>
      </c>
      <c r="E49" s="173" t="str">
        <f ca="1">Calculation!D30</f>
        <v/>
      </c>
      <c r="F49" s="174" t="str">
        <f ca="1">Calculation!C30</f>
        <v/>
      </c>
      <c r="G49" s="175" t="str">
        <f ca="1">Calculation!F30</f>
        <v/>
      </c>
      <c r="H49" s="176" t="str">
        <f ca="1">Calculation!AD30</f>
        <v/>
      </c>
      <c r="I49" s="177" t="str">
        <f ca="1">Calculation!AE30</f>
        <v/>
      </c>
      <c r="J49" s="178" t="str">
        <f ca="1">IF(Calculation!Q30="","Selection",Calculation!Q30)</f>
        <v>Selection</v>
      </c>
      <c r="K49" s="179" t="str">
        <f ca="1">Calculation!T30</f>
        <v/>
      </c>
      <c r="L49" s="180" t="str">
        <f ca="1">Calculation!U30</f>
        <v>-</v>
      </c>
      <c r="M49" s="180" t="str">
        <f ca="1">Calculation!V30</f>
        <v>-</v>
      </c>
      <c r="N49" s="181"/>
      <c r="O49" s="180" t="str">
        <f ca="1">Calculation!X30</f>
        <v>-</v>
      </c>
      <c r="P49" s="180" t="str">
        <f ca="1">Calculation!Y30</f>
        <v>-</v>
      </c>
      <c r="Q49" s="163" t="s">
        <v>109</v>
      </c>
      <c r="R49" s="182" t="str">
        <f ca="1">IF(AND(L49&lt;&gt;"-",Q49&lt;&gt;"bypass"),IFERROR(IF((U49*$R$23/0.05)-SUM(S49:U49)&gt;0,(U49*$R$23/0.05)-SUM(S49:U49),0),"-"),Calculation!AH30)</f>
        <v>-</v>
      </c>
      <c r="S49" s="179" t="str">
        <f ca="1">IF(AND(L49&lt;&gt;"-",Q49&lt;&gt;"bypass"),IFERROR(X49*((H49*10^-12-H49*10^-12*I49)/(Calculation!$U$8*10^-9)),"-"),Calculation!AF30)</f>
        <v>-</v>
      </c>
      <c r="T49" s="179" t="str">
        <f ca="1">IF(AND(L49&lt;&gt;"-",Q49&lt;&gt;"bypass"),IFERROR(H49*I49*X49/(IF(Cluster!AA49=Cluster!$W$8,Cluster!$W$10,IF(Cluster!AA49=Cluster!$X$8,Cluster!$X$10,IF(Cluster!AA49=Cluster!$Y$8,Cluster!$Y$10,0)))*10^3),"-"),Calculation!AK30)</f>
        <v>-</v>
      </c>
      <c r="U49" s="179" t="str">
        <f ca="1">IF(AND(L49&lt;&gt;"-",Q49&lt;&gt;"bypass"),IFERROR((0.5/50)*X49/$R$23,"-"),Calculation!AG30)</f>
        <v>-</v>
      </c>
      <c r="V49" s="179" t="str">
        <f ca="1">IF(AND(L49&lt;&gt;"-",Q49&lt;&gt;"bypass"),IFERROR(5/50*X49,"-"),Calculation!AI30)</f>
        <v>-</v>
      </c>
      <c r="W49" s="179" t="str">
        <f ca="1">IF(AND(L49&lt;&gt;"-",Q49&lt;&gt;"bypass"),IFERROR(35/50*X49,"-"),Calculation!AJ30)</f>
        <v>-</v>
      </c>
      <c r="X49" s="179" t="str">
        <f ca="1">IF(AND(L49&lt;&gt;"-",Q49&lt;&gt;"bypass"),$W$23,Calculation!AL30)</f>
        <v>-</v>
      </c>
      <c r="Y49" s="183" t="str">
        <f ca="1">IF(AND(L49&lt;&gt;"-",Q49&lt;&gt;"bypass"),IFERROR($R$23*U49/SUM(R49:U49),"-"),Calculation!AP30)</f>
        <v>-</v>
      </c>
      <c r="Z49" s="184" t="str">
        <f t="shared" ca="1" si="0"/>
        <v>-</v>
      </c>
      <c r="AA49" s="185" t="str">
        <f ca="1">IFERROR(IF(I49=0,"-",IF(AND(ROUND(H49*I49*X49/($W$10*10^3),1)&gt;=Calculation!$O$6,ROUND((((U49)*$R$23/0.05)-((S49)+(H49*I49*X49/($W$10*10^3))+(U49))),1)&gt;=0),Cluster!$W$8,IF(AND(ROUND(H49*I49*X49/($X$10*10^3),1)&gt;=Calculation!$O$6,ROUND((((U49)*$R$23/0.05)-((S49)+(H49*I49*X49/($X$10*10^3))+(U49))),1)&gt;=0),Cluster!$X$8,IF(AND(ROUND(H49*I49*X49/($Y$10*10^3),1)&gt;=Calculation!$O$6,ROUND((((U49)*$R$23/0.05)-((S49)+(H49*I49*X49/($Y$10*10^3))+(U49))),1)&gt;=0),Cluster!$Y$8,"Recepie by hand needed")))),"-")</f>
        <v>-</v>
      </c>
      <c r="AC49" s="111" t="str">
        <f t="shared" ca="1" si="1"/>
        <v>-</v>
      </c>
      <c r="AD49" s="111" t="str">
        <f t="shared" ca="1" si="2"/>
        <v>-</v>
      </c>
      <c r="AE49" s="186" t="str">
        <f t="shared" ca="1" si="3"/>
        <v>-</v>
      </c>
      <c r="AF49" s="111" t="str">
        <f t="shared" ca="1" si="4"/>
        <v>-</v>
      </c>
    </row>
    <row r="50" spans="1:1024" s="109" customFormat="1" ht="13.5" customHeight="1" x14ac:dyDescent="0.5">
      <c r="A50" s="170" t="str">
        <f>Calculation!I31</f>
        <v/>
      </c>
      <c r="B50" s="221" t="str">
        <f ca="1">Calculation!B31</f>
        <v/>
      </c>
      <c r="C50" s="221" t="str">
        <f ca="1">Calculation!C31</f>
        <v/>
      </c>
      <c r="D50" s="172" t="str">
        <f ca="1">Calculation!AN31</f>
        <v/>
      </c>
      <c r="E50" s="173" t="str">
        <f ca="1">Calculation!D31</f>
        <v/>
      </c>
      <c r="F50" s="174" t="str">
        <f ca="1">Calculation!C31</f>
        <v/>
      </c>
      <c r="G50" s="175" t="str">
        <f ca="1">Calculation!F31</f>
        <v/>
      </c>
      <c r="H50" s="176" t="str">
        <f ca="1">Calculation!AD31</f>
        <v/>
      </c>
      <c r="I50" s="177" t="str">
        <f ca="1">Calculation!AE31</f>
        <v/>
      </c>
      <c r="J50" s="178" t="str">
        <f ca="1">IF(Calculation!Q31="","Selection",Calculation!Q31)</f>
        <v>Selection</v>
      </c>
      <c r="K50" s="179" t="str">
        <f ca="1">Calculation!T31</f>
        <v/>
      </c>
      <c r="L50" s="180" t="str">
        <f ca="1">Calculation!U31</f>
        <v>-</v>
      </c>
      <c r="M50" s="180" t="str">
        <f ca="1">Calculation!V31</f>
        <v>-</v>
      </c>
      <c r="N50" s="181"/>
      <c r="O50" s="180" t="str">
        <f ca="1">Calculation!X31</f>
        <v>-</v>
      </c>
      <c r="P50" s="180" t="str">
        <f ca="1">Calculation!Y31</f>
        <v>-</v>
      </c>
      <c r="Q50" s="163" t="s">
        <v>109</v>
      </c>
      <c r="R50" s="182" t="str">
        <f ca="1">IF(AND(L50&lt;&gt;"-",Q50&lt;&gt;"bypass"),IFERROR(IF((U50*$R$23/0.05)-SUM(S50:U50)&gt;0,(U50*$R$23/0.05)-SUM(S50:U50),0),"-"),Calculation!AH31)</f>
        <v>-</v>
      </c>
      <c r="S50" s="179" t="str">
        <f ca="1">IF(AND(L50&lt;&gt;"-",Q50&lt;&gt;"bypass"),IFERROR(X50*((H50*10^-12-H50*10^-12*I50)/(Calculation!$U$8*10^-9)),"-"),Calculation!AF31)</f>
        <v>-</v>
      </c>
      <c r="T50" s="179" t="str">
        <f ca="1">IF(AND(L50&lt;&gt;"-",Q50&lt;&gt;"bypass"),IFERROR(H50*I50*X50/(IF(Cluster!AA50=Cluster!$W$8,Cluster!$W$10,IF(Cluster!AA50=Cluster!$X$8,Cluster!$X$10,IF(Cluster!AA50=Cluster!$Y$8,Cluster!$Y$10,0)))*10^3),"-"),Calculation!AK31)</f>
        <v>-</v>
      </c>
      <c r="U50" s="179" t="str">
        <f ca="1">IF(AND(L50&lt;&gt;"-",Q50&lt;&gt;"bypass"),IFERROR((0.5/50)*X50/$R$23,"-"),Calculation!AG31)</f>
        <v>-</v>
      </c>
      <c r="V50" s="179" t="str">
        <f ca="1">IF(AND(L50&lt;&gt;"-",Q50&lt;&gt;"bypass"),IFERROR(5/50*X50,"-"),Calculation!AI31)</f>
        <v>-</v>
      </c>
      <c r="W50" s="179" t="str">
        <f ca="1">IF(AND(L50&lt;&gt;"-",Q50&lt;&gt;"bypass"),IFERROR(35/50*X50,"-"),Calculation!AJ31)</f>
        <v>-</v>
      </c>
      <c r="X50" s="179" t="str">
        <f ca="1">IF(AND(L50&lt;&gt;"-",Q50&lt;&gt;"bypass"),$W$23,Calculation!AL31)</f>
        <v>-</v>
      </c>
      <c r="Y50" s="183" t="str">
        <f ca="1">IF(AND(L50&lt;&gt;"-",Q50&lt;&gt;"bypass"),IFERROR($R$23*U50/SUM(R50:U50),"-"),Calculation!AP31)</f>
        <v>-</v>
      </c>
      <c r="Z50" s="184" t="str">
        <f t="shared" ca="1" si="0"/>
        <v>-</v>
      </c>
      <c r="AA50" s="185" t="str">
        <f ca="1">IFERROR(IF(I50=0,"-",IF(AND(ROUND(H50*I50*X50/($W$10*10^3),1)&gt;=Calculation!$O$6,ROUND((((U50)*$R$23/0.05)-((S50)+(H50*I50*X50/($W$10*10^3))+(U50))),1)&gt;=0),Cluster!$W$8,IF(AND(ROUND(H50*I50*X50/($X$10*10^3),1)&gt;=Calculation!$O$6,ROUND((((U50)*$R$23/0.05)-((S50)+(H50*I50*X50/($X$10*10^3))+(U50))),1)&gt;=0),Cluster!$X$8,IF(AND(ROUND(H50*I50*X50/($Y$10*10^3),1)&gt;=Calculation!$O$6,ROUND((((U50)*$R$23/0.05)-((S50)+(H50*I50*X50/($Y$10*10^3))+(U50))),1)&gt;=0),Cluster!$Y$8,"Recepie by hand needed")))),"-")</f>
        <v>-</v>
      </c>
      <c r="AC50" s="111" t="str">
        <f t="shared" ca="1" si="1"/>
        <v>-</v>
      </c>
      <c r="AD50" s="111" t="str">
        <f t="shared" ca="1" si="2"/>
        <v>-</v>
      </c>
      <c r="AE50" s="186" t="str">
        <f t="shared" ca="1" si="3"/>
        <v>-</v>
      </c>
      <c r="AF50" s="111" t="str">
        <f t="shared" ca="1" si="4"/>
        <v>-</v>
      </c>
    </row>
    <row r="51" spans="1:1024" s="109" customFormat="1" ht="13.5" customHeight="1" x14ac:dyDescent="0.5">
      <c r="A51" s="170" t="str">
        <f>Calculation!I32</f>
        <v/>
      </c>
      <c r="B51" s="221" t="str">
        <f ca="1">Calculation!B32</f>
        <v/>
      </c>
      <c r="C51" s="221" t="str">
        <f ca="1">Calculation!C32</f>
        <v/>
      </c>
      <c r="D51" s="172" t="str">
        <f ca="1">Calculation!AN32</f>
        <v/>
      </c>
      <c r="E51" s="173" t="str">
        <f ca="1">Calculation!D32</f>
        <v/>
      </c>
      <c r="F51" s="174" t="str">
        <f ca="1">Calculation!C32</f>
        <v/>
      </c>
      <c r="G51" s="175" t="str">
        <f ca="1">Calculation!F32</f>
        <v/>
      </c>
      <c r="H51" s="176" t="str">
        <f ca="1">Calculation!AD32</f>
        <v/>
      </c>
      <c r="I51" s="177" t="str">
        <f ca="1">Calculation!AE32</f>
        <v/>
      </c>
      <c r="J51" s="178" t="str">
        <f ca="1">IF(Calculation!Q32="","Selection",Calculation!Q32)</f>
        <v>Selection</v>
      </c>
      <c r="K51" s="179" t="str">
        <f ca="1">Calculation!T32</f>
        <v/>
      </c>
      <c r="L51" s="180" t="str">
        <f ca="1">Calculation!U32</f>
        <v>-</v>
      </c>
      <c r="M51" s="180" t="str">
        <f ca="1">Calculation!V32</f>
        <v>-</v>
      </c>
      <c r="N51" s="181"/>
      <c r="O51" s="180" t="str">
        <f ca="1">Calculation!X32</f>
        <v>-</v>
      </c>
      <c r="P51" s="180" t="str">
        <f ca="1">Calculation!Y32</f>
        <v>-</v>
      </c>
      <c r="Q51" s="163" t="s">
        <v>109</v>
      </c>
      <c r="R51" s="182" t="str">
        <f ca="1">IF(AND(L51&lt;&gt;"-",Q51&lt;&gt;"bypass"),IFERROR(IF((U51*$R$23/0.05)-SUM(S51:U51)&gt;0,(U51*$R$23/0.05)-SUM(S51:U51),0),"-"),Calculation!AH32)</f>
        <v>-</v>
      </c>
      <c r="S51" s="179" t="str">
        <f ca="1">IF(AND(L51&lt;&gt;"-",Q51&lt;&gt;"bypass"),IFERROR(X51*((H51*10^-12-H51*10^-12*I51)/(Calculation!$U$8*10^-9)),"-"),Calculation!AF32)</f>
        <v>-</v>
      </c>
      <c r="T51" s="179" t="str">
        <f ca="1">IF(AND(L51&lt;&gt;"-",Q51&lt;&gt;"bypass"),IFERROR(H51*I51*X51/(IF(Cluster!AA51=Cluster!$W$8,Cluster!$W$10,IF(Cluster!AA51=Cluster!$X$8,Cluster!$X$10,IF(Cluster!AA51=Cluster!$Y$8,Cluster!$Y$10,0)))*10^3),"-"),Calculation!AK32)</f>
        <v>-</v>
      </c>
      <c r="U51" s="179" t="str">
        <f ca="1">IF(AND(L51&lt;&gt;"-",Q51&lt;&gt;"bypass"),IFERROR((0.5/50)*X51/$R$23,"-"),Calculation!AG32)</f>
        <v>-</v>
      </c>
      <c r="V51" s="179" t="str">
        <f ca="1">IF(AND(L51&lt;&gt;"-",Q51&lt;&gt;"bypass"),IFERROR(5/50*X51,"-"),Calculation!AI32)</f>
        <v>-</v>
      </c>
      <c r="W51" s="179" t="str">
        <f ca="1">IF(AND(L51&lt;&gt;"-",Q51&lt;&gt;"bypass"),IFERROR(35/50*X51,"-"),Calculation!AJ32)</f>
        <v>-</v>
      </c>
      <c r="X51" s="179" t="str">
        <f ca="1">IF(AND(L51&lt;&gt;"-",Q51&lt;&gt;"bypass"),$W$23,Calculation!AL32)</f>
        <v>-</v>
      </c>
      <c r="Y51" s="183" t="str">
        <f ca="1">IF(AND(L51&lt;&gt;"-",Q51&lt;&gt;"bypass"),IFERROR($R$23*U51/SUM(R51:U51),"-"),Calculation!AP32)</f>
        <v>-</v>
      </c>
      <c r="Z51" s="184" t="str">
        <f t="shared" ca="1" si="0"/>
        <v>-</v>
      </c>
      <c r="AA51" s="185" t="str">
        <f ca="1">IFERROR(IF(I51=0,"-",IF(AND(ROUND(H51*I51*X51/($W$10*10^3),1)&gt;=Calculation!$O$6,ROUND((((U51)*$R$23/0.05)-((S51)+(H51*I51*X51/($W$10*10^3))+(U51))),1)&gt;=0),Cluster!$W$8,IF(AND(ROUND(H51*I51*X51/($X$10*10^3),1)&gt;=Calculation!$O$6,ROUND((((U51)*$R$23/0.05)-((S51)+(H51*I51*X51/($X$10*10^3))+(U51))),1)&gt;=0),Cluster!$X$8,IF(AND(ROUND(H51*I51*X51/($Y$10*10^3),1)&gt;=Calculation!$O$6,ROUND((((U51)*$R$23/0.05)-((S51)+(H51*I51*X51/($Y$10*10^3))+(U51))),1)&gt;=0),Cluster!$Y$8,"Recepie by hand needed")))),"-")</f>
        <v>-</v>
      </c>
      <c r="AC51" s="111" t="str">
        <f t="shared" ca="1" si="1"/>
        <v>-</v>
      </c>
      <c r="AD51" s="111" t="str">
        <f t="shared" ca="1" si="2"/>
        <v>-</v>
      </c>
      <c r="AE51" s="186" t="str">
        <f t="shared" ca="1" si="3"/>
        <v>-</v>
      </c>
      <c r="AF51" s="111" t="str">
        <f t="shared" ca="1" si="4"/>
        <v>-</v>
      </c>
    </row>
    <row r="52" spans="1:1024" ht="13.5" customHeight="1" x14ac:dyDescent="0.5">
      <c r="A52" s="222" t="str">
        <f>Calculation!I33</f>
        <v/>
      </c>
      <c r="B52" s="223" t="str">
        <f ca="1">Calculation!B33</f>
        <v/>
      </c>
      <c r="C52" s="223" t="str">
        <f ca="1">Calculation!C33</f>
        <v/>
      </c>
      <c r="D52" s="224" t="str">
        <f ca="1">Calculation!AN33</f>
        <v/>
      </c>
      <c r="E52" s="225" t="str">
        <f ca="1">Calculation!D33</f>
        <v/>
      </c>
      <c r="F52" s="226" t="str">
        <f ca="1">Calculation!C33</f>
        <v/>
      </c>
      <c r="G52" s="227" t="str">
        <f ca="1">Calculation!F33</f>
        <v/>
      </c>
      <c r="H52" s="228" t="str">
        <f ca="1">Calculation!AD33</f>
        <v/>
      </c>
      <c r="I52" s="229" t="str">
        <f ca="1">Calculation!AE33</f>
        <v/>
      </c>
      <c r="J52" s="230" t="str">
        <f ca="1">IF(Calculation!Q33="","Selection",Calculation!Q33)</f>
        <v>Selection</v>
      </c>
      <c r="K52" s="231" t="str">
        <f ca="1">Calculation!T33</f>
        <v/>
      </c>
      <c r="L52" s="232" t="str">
        <f ca="1">Calculation!U33</f>
        <v>-</v>
      </c>
      <c r="M52" s="232" t="str">
        <f ca="1">Calculation!V33</f>
        <v>-</v>
      </c>
      <c r="N52" s="233"/>
      <c r="O52" s="232" t="str">
        <f ca="1">Calculation!X33</f>
        <v>-</v>
      </c>
      <c r="P52" s="232" t="str">
        <f ca="1">Calculation!Y33</f>
        <v>-</v>
      </c>
      <c r="Q52" s="239" t="s">
        <v>109</v>
      </c>
      <c r="R52" s="234" t="str">
        <f ca="1">IF(AND(L52&lt;&gt;"-",Q52&lt;&gt;"bypass"),IFERROR(IF((U52*$R$23/0.05)-SUM(S52:U52)&gt;0,(U52*$R$23/0.05)-SUM(S52:U52),0),"-"),Calculation!AH33)</f>
        <v>-</v>
      </c>
      <c r="S52" s="231" t="str">
        <f ca="1">IF(AND(L52&lt;&gt;"-",Q52&lt;&gt;"bypass"),IFERROR(X52*((H52*10^-12-H52*10^-12*I52)/(Calculation!$U$8*10^-9)),"-"),Calculation!AF33)</f>
        <v>-</v>
      </c>
      <c r="T52" s="231" t="str">
        <f ca="1">IF(AND(L52&lt;&gt;"-",Q52&lt;&gt;"bypass"),IFERROR(H52*I52*X52/(IF(Cluster!AA52=Cluster!$W$8,Cluster!$W$10,IF(Cluster!AA52=Cluster!$X$8,Cluster!$X$10,IF(Cluster!AA52=Cluster!$Y$8,Cluster!$Y$10,0)))*10^3),"-"),Calculation!AK33)</f>
        <v>-</v>
      </c>
      <c r="U52" s="231" t="str">
        <f ca="1">IF(AND(L52&lt;&gt;"-",Q52&lt;&gt;"bypass"),IFERROR((0.5/50)*X52/$R$23,"-"),Calculation!AG33)</f>
        <v>-</v>
      </c>
      <c r="V52" s="231" t="str">
        <f ca="1">IF(AND(L52&lt;&gt;"-",Q52&lt;&gt;"bypass"),IFERROR(5/50*X52,"-"),Calculation!AI33)</f>
        <v>-</v>
      </c>
      <c r="W52" s="231" t="str">
        <f ca="1">IF(AND(L52&lt;&gt;"-",Q52&lt;&gt;"bypass"),IFERROR(35/50*X52,"-"),Calculation!AJ33)</f>
        <v>-</v>
      </c>
      <c r="X52" s="231" t="str">
        <f ca="1">IF(AND(L52&lt;&gt;"-",Q52&lt;&gt;"bypass"),$W$23,Calculation!AL33)</f>
        <v>-</v>
      </c>
      <c r="Y52" s="235" t="str">
        <f ca="1">IF(AND(L52&lt;&gt;"-",Q52&lt;&gt;"bypass"),IFERROR($R$23*U52/SUM(R52:U52),"-"),Calculation!AP33)</f>
        <v>-</v>
      </c>
      <c r="Z52" s="236" t="str">
        <f t="shared" ca="1" si="0"/>
        <v>-</v>
      </c>
      <c r="AA52" s="237" t="str">
        <f ca="1">IFERROR(IF(I52=0,"-",IF(AND(ROUND(H52*I52*X52/($W$10*10^3),1)&gt;=Calculation!$O$6,ROUND((((U52)*$R$23/0.05)-((S52)+(H52*I52*X52/($W$10*10^3))+(U52))),1)&gt;=0),Cluster!$W$8,IF(AND(ROUND(H52*I52*X52/($X$10*10^3),1)&gt;=Calculation!$O$6,ROUND((((U52)*$R$23/0.05)-((S52)+(H52*I52*X52/($X$10*10^3))+(U52))),1)&gt;=0),Cluster!$X$8,IF(AND(ROUND(H52*I52*X52/($Y$10*10^3),1)&gt;=Calculation!$O$6,ROUND((((U52)*$R$23/0.05)-((S52)+(H52*I52*X52/($Y$10*10^3))+(U52))),1)&gt;=0),Cluster!$Y$8,"Recepie by hand needed")))),"-")</f>
        <v>-</v>
      </c>
      <c r="AB52"/>
      <c r="AC52" s="111" t="str">
        <f t="shared" ca="1" si="1"/>
        <v>-</v>
      </c>
      <c r="AD52" s="111" t="str">
        <f t="shared" ca="1" si="2"/>
        <v>-</v>
      </c>
      <c r="AE52" s="186" t="str">
        <f t="shared" ca="1" si="3"/>
        <v>-</v>
      </c>
      <c r="AF52" s="111" t="str">
        <f t="shared" ca="1" si="4"/>
        <v>-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243" customFormat="1" ht="13.5" customHeight="1" x14ac:dyDescent="0.5">
      <c r="A53" s="151" t="str">
        <f>Calculation!I34</f>
        <v/>
      </c>
      <c r="B53" s="238" t="str">
        <f ca="1">Calculation!B34</f>
        <v/>
      </c>
      <c r="C53" s="238" t="str">
        <f ca="1">Calculation!C34</f>
        <v/>
      </c>
      <c r="D53" s="153" t="str">
        <f ca="1">Calculation!AN34</f>
        <v/>
      </c>
      <c r="E53" s="154" t="str">
        <f ca="1">Calculation!D34</f>
        <v/>
      </c>
      <c r="F53" s="155" t="str">
        <f ca="1">Calculation!C34</f>
        <v/>
      </c>
      <c r="G53" s="156" t="str">
        <f ca="1">Calculation!F34</f>
        <v/>
      </c>
      <c r="H53" s="157" t="str">
        <f ca="1">Calculation!AD34</f>
        <v/>
      </c>
      <c r="I53" s="158" t="str">
        <f ca="1">Calculation!AE34</f>
        <v/>
      </c>
      <c r="J53" s="159" t="str">
        <f ca="1">IF(Calculation!Q34="","Selection",Calculation!Q34)</f>
        <v>Selection</v>
      </c>
      <c r="K53" s="160" t="str">
        <f ca="1">Calculation!T34</f>
        <v/>
      </c>
      <c r="L53" s="161" t="str">
        <f ca="1">Calculation!U34</f>
        <v>-</v>
      </c>
      <c r="M53" s="161" t="str">
        <f ca="1">Calculation!V34</f>
        <v>-</v>
      </c>
      <c r="N53" s="162"/>
      <c r="O53" s="161" t="str">
        <f ca="1">Calculation!X34</f>
        <v>-</v>
      </c>
      <c r="P53" s="161" t="str">
        <f ca="1">Calculation!Y34</f>
        <v>-</v>
      </c>
      <c r="Q53" s="162" t="s">
        <v>109</v>
      </c>
      <c r="R53" s="160" t="str">
        <f ca="1">IF(AND(L53&lt;&gt;"-",Q53&lt;&gt;"bypass"),IFERROR(IF((U53*$R$23/0.05)-SUM(S53:U53)&gt;0,(U53*$R$23/0.05)-SUM(S53:U53),0),"-"),Calculation!AH34)</f>
        <v>-</v>
      </c>
      <c r="S53" s="160" t="str">
        <f ca="1">IF(AND(L53&lt;&gt;"-",Q53&lt;&gt;"bypass"),IFERROR(X53*((H53*10^-12-H53*10^-12*I53)/(Calculation!$U$8*10^-9)),"-"),Calculation!AF34)</f>
        <v>-</v>
      </c>
      <c r="T53" s="160" t="str">
        <f ca="1">IF(AND(L53&lt;&gt;"-",Q53&lt;&gt;"bypass"),IFERROR(H53*I53*X53/(IF(Cluster!AA53=Cluster!$W$8,Cluster!$W$10,IF(Cluster!AA53=Cluster!$X$8,Cluster!$X$10,IF(Cluster!AA53=Cluster!$Y$8,Cluster!$Y$10,0)))*10^3),"-"),Calculation!AK34)</f>
        <v>-</v>
      </c>
      <c r="U53" s="160" t="str">
        <f ca="1">IF(AND(L53&lt;&gt;"-",Q53&lt;&gt;"bypass"),IFERROR((0.5/50)*X53/$R$23,"-"),Calculation!AG34)</f>
        <v>-</v>
      </c>
      <c r="V53" s="160" t="str">
        <f ca="1">IF(AND(L53&lt;&gt;"-",Q53&lt;&gt;"bypass"),IFERROR(5/50*X53,"-"),Calculation!AI34)</f>
        <v>-</v>
      </c>
      <c r="W53" s="160" t="str">
        <f ca="1">IF(AND(L53&lt;&gt;"-",Q53&lt;&gt;"bypass"),IFERROR(35/50*X53,"-"),Calculation!AJ34)</f>
        <v>-</v>
      </c>
      <c r="X53" s="160" t="str">
        <f ca="1">IF(AND(L53&lt;&gt;"-",Q53&lt;&gt;"bypass"),$W$23,Calculation!AL34)</f>
        <v>-</v>
      </c>
      <c r="Y53" s="240" t="str">
        <f ca="1">IF(AND(L53&lt;&gt;"-",Q53&lt;&gt;"bypass"),IFERROR($R$23*U53/SUM(R53:U53),"-"),Calculation!AP34)</f>
        <v>-</v>
      </c>
      <c r="Z53" s="241" t="str">
        <f t="shared" ca="1" si="0"/>
        <v>-</v>
      </c>
      <c r="AA53" s="242" t="str">
        <f ca="1">IFERROR(IF(I53=0,"-",IF(AND(ROUND(H53*I53*X53/($W$10*10^3),1)&gt;=Calculation!$O$6,ROUND((((U53)*$R$23/0.05)-((S53)+(H53*I53*X53/($W$10*10^3))+(U53))),1)&gt;=0),Cluster!$W$8,IF(AND(ROUND(H53*I53*X53/($X$10*10^3),1)&gt;=Calculation!$O$6,ROUND((((U53)*$R$23/0.05)-((S53)+(H53*I53*X53/($X$10*10^3))+(U53))),1)&gt;=0),Cluster!$X$8,IF(AND(ROUND(H53*I53*X53/($Y$10*10^3),1)&gt;=Calculation!$O$6,ROUND((((U53)*$R$23/0.05)-((S53)+(H53*I53*X53/($Y$10*10^3))+(U53))),1)&gt;=0),Cluster!$Y$8,"Recepie by hand needed")))),"-")</f>
        <v>-</v>
      </c>
      <c r="AC53" s="241" t="str">
        <f t="shared" ca="1" si="1"/>
        <v>-</v>
      </c>
      <c r="AD53" s="241" t="str">
        <f t="shared" ca="1" si="2"/>
        <v>-</v>
      </c>
      <c r="AE53" s="244" t="str">
        <f t="shared" ca="1" si="3"/>
        <v>-</v>
      </c>
      <c r="AF53" s="241" t="str">
        <f t="shared" ca="1" si="4"/>
        <v>-</v>
      </c>
    </row>
    <row r="54" spans="1:1024" s="248" customFormat="1" ht="13.5" customHeight="1" x14ac:dyDescent="0.5">
      <c r="A54" s="170" t="str">
        <f>Calculation!I35</f>
        <v/>
      </c>
      <c r="B54" s="221" t="str">
        <f ca="1">Calculation!B35</f>
        <v/>
      </c>
      <c r="C54" s="221" t="str">
        <f ca="1">Calculation!C35</f>
        <v/>
      </c>
      <c r="D54" s="172" t="str">
        <f ca="1">Calculation!AN35</f>
        <v/>
      </c>
      <c r="E54" s="173" t="str">
        <f ca="1">Calculation!D35</f>
        <v/>
      </c>
      <c r="F54" s="174" t="str">
        <f ca="1">Calculation!C35</f>
        <v/>
      </c>
      <c r="G54" s="175" t="str">
        <f ca="1">Calculation!F35</f>
        <v/>
      </c>
      <c r="H54" s="176" t="str">
        <f ca="1">Calculation!AD35</f>
        <v/>
      </c>
      <c r="I54" s="177" t="str">
        <f ca="1">Calculation!AE35</f>
        <v/>
      </c>
      <c r="J54" s="178" t="str">
        <f ca="1">IF(Calculation!Q35="","Selection",Calculation!Q35)</f>
        <v>Selection</v>
      </c>
      <c r="K54" s="179" t="str">
        <f ca="1">Calculation!T35</f>
        <v/>
      </c>
      <c r="L54" s="180" t="str">
        <f ca="1">Calculation!U35</f>
        <v>-</v>
      </c>
      <c r="M54" s="180" t="str">
        <f ca="1">Calculation!V35</f>
        <v>-</v>
      </c>
      <c r="N54" s="181"/>
      <c r="O54" s="180" t="str">
        <f ca="1">Calculation!X35</f>
        <v>-</v>
      </c>
      <c r="P54" s="180" t="str">
        <f ca="1">Calculation!Y35</f>
        <v>-</v>
      </c>
      <c r="Q54" s="181" t="s">
        <v>109</v>
      </c>
      <c r="R54" s="179" t="str">
        <f ca="1">IF(AND(L54&lt;&gt;"-",Q54&lt;&gt;"bypass"),IFERROR(IF((U54*$R$23/0.05)-SUM(S54:U54)&gt;0,(U54*$R$23/0.05)-SUM(S54:U54),0),"-"),Calculation!AH35)</f>
        <v>-</v>
      </c>
      <c r="S54" s="179" t="str">
        <f ca="1">IF(AND(L54&lt;&gt;"-",Q54&lt;&gt;"bypass"),IFERROR(X54*((H54*10^-12-H54*10^-12*I54)/(Calculation!$U$8*10^-9)),"-"),Calculation!AF35)</f>
        <v>-</v>
      </c>
      <c r="T54" s="179" t="str">
        <f ca="1">IF(AND(L54&lt;&gt;"-",Q54&lt;&gt;"bypass"),IFERROR(H54*I54*X54/(IF(Cluster!AA54=Cluster!$W$8,Cluster!$W$10,IF(Cluster!AA54=Cluster!$X$8,Cluster!$X$10,IF(Cluster!AA54=Cluster!$Y$8,Cluster!$Y$10,0)))*10^3),"-"),Calculation!AK35)</f>
        <v>-</v>
      </c>
      <c r="U54" s="179" t="str">
        <f ca="1">IF(AND(L54&lt;&gt;"-",Q54&lt;&gt;"bypass"),IFERROR((0.5/50)*X54/$R$23,"-"),Calculation!AG35)</f>
        <v>-</v>
      </c>
      <c r="V54" s="179" t="str">
        <f ca="1">IF(AND(L54&lt;&gt;"-",Q54&lt;&gt;"bypass"),IFERROR(5/50*X54,"-"),Calculation!AI35)</f>
        <v>-</v>
      </c>
      <c r="W54" s="179" t="str">
        <f ca="1">IF(AND(L54&lt;&gt;"-",Q54&lt;&gt;"bypass"),IFERROR(35/50*X54,"-"),Calculation!AJ35)</f>
        <v>-</v>
      </c>
      <c r="X54" s="179" t="str">
        <f ca="1">IF(AND(L54&lt;&gt;"-",Q54&lt;&gt;"bypass"),$W$23,Calculation!AL35)</f>
        <v>-</v>
      </c>
      <c r="Y54" s="245" t="str">
        <f ca="1">IF(AND(L54&lt;&gt;"-",Q54&lt;&gt;"bypass"),IFERROR($R$23*U54/SUM(R54:U54),"-"),Calculation!AP35)</f>
        <v>-</v>
      </c>
      <c r="Z54" s="246" t="str">
        <f t="shared" ca="1" si="0"/>
        <v>-</v>
      </c>
      <c r="AA54" s="247" t="str">
        <f ca="1">IFERROR(IF(I54=0,"-",IF(AND(ROUND(H54*I54*X54/($W$10*10^3),1)&gt;=Calculation!$O$6,ROUND((((U54)*$R$23/0.05)-((S54)+(H54*I54*X54/($W$10*10^3))+(U54))),1)&gt;=0),Cluster!$W$8,IF(AND(ROUND(H54*I54*X54/($X$10*10^3),1)&gt;=Calculation!$O$6,ROUND((((U54)*$R$23/0.05)-((S54)+(H54*I54*X54/($X$10*10^3))+(U54))),1)&gt;=0),Cluster!$X$8,IF(AND(ROUND(H54*I54*X54/($Y$10*10^3),1)&gt;=Calculation!$O$6,ROUND((((U54)*$R$23/0.05)-((S54)+(H54*I54*X54/($Y$10*10^3))+(U54))),1)&gt;=0),Cluster!$Y$8,"Recepie by hand needed")))),"-")</f>
        <v>-</v>
      </c>
      <c r="AC54" s="246" t="str">
        <f t="shared" ca="1" si="1"/>
        <v>-</v>
      </c>
      <c r="AD54" s="246" t="str">
        <f t="shared" ca="1" si="2"/>
        <v>-</v>
      </c>
      <c r="AE54" s="249" t="str">
        <f t="shared" ca="1" si="3"/>
        <v>-</v>
      </c>
      <c r="AF54" s="246" t="str">
        <f t="shared" ca="1" si="4"/>
        <v>-</v>
      </c>
    </row>
    <row r="55" spans="1:1024" s="248" customFormat="1" ht="13.5" customHeight="1" x14ac:dyDescent="0.5">
      <c r="A55" s="170" t="str">
        <f>Calculation!I36</f>
        <v/>
      </c>
      <c r="B55" s="221" t="str">
        <f ca="1">Calculation!B36</f>
        <v/>
      </c>
      <c r="C55" s="221" t="str">
        <f ca="1">Calculation!C36</f>
        <v/>
      </c>
      <c r="D55" s="172" t="str">
        <f ca="1">Calculation!AN36</f>
        <v/>
      </c>
      <c r="E55" s="173" t="str">
        <f ca="1">Calculation!D36</f>
        <v/>
      </c>
      <c r="F55" s="174" t="str">
        <f ca="1">Calculation!C36</f>
        <v/>
      </c>
      <c r="G55" s="175" t="str">
        <f ca="1">Calculation!F36</f>
        <v/>
      </c>
      <c r="H55" s="176" t="str">
        <f ca="1">Calculation!AD36</f>
        <v/>
      </c>
      <c r="I55" s="177" t="str">
        <f ca="1">Calculation!AE36</f>
        <v/>
      </c>
      <c r="J55" s="178" t="str">
        <f ca="1">IF(Calculation!Q36="","Selection",Calculation!Q36)</f>
        <v>Selection</v>
      </c>
      <c r="K55" s="179" t="str">
        <f ca="1">Calculation!T36</f>
        <v/>
      </c>
      <c r="L55" s="180" t="str">
        <f ca="1">Calculation!U36</f>
        <v>-</v>
      </c>
      <c r="M55" s="180" t="str">
        <f ca="1">Calculation!V36</f>
        <v>-</v>
      </c>
      <c r="N55" s="181"/>
      <c r="O55" s="180" t="str">
        <f ca="1">Calculation!X36</f>
        <v>-</v>
      </c>
      <c r="P55" s="180" t="str">
        <f ca="1">Calculation!Y36</f>
        <v>-</v>
      </c>
      <c r="Q55" s="181" t="s">
        <v>109</v>
      </c>
      <c r="R55" s="179" t="str">
        <f ca="1">IF(AND(L55&lt;&gt;"-",Q55&lt;&gt;"bypass"),IFERROR(IF((U55*$R$23/0.05)-SUM(S55:U55)&gt;0,(U55*$R$23/0.05)-SUM(S55:U55),0),"-"),Calculation!AH36)</f>
        <v>-</v>
      </c>
      <c r="S55" s="179" t="str">
        <f ca="1">IF(AND(L55&lt;&gt;"-",Q55&lt;&gt;"bypass"),IFERROR(X55*((H55*10^-12-H55*10^-12*I55)/(Calculation!$U$8*10^-9)),"-"),Calculation!AF36)</f>
        <v>-</v>
      </c>
      <c r="T55" s="179" t="str">
        <f ca="1">IF(AND(L55&lt;&gt;"-",Q55&lt;&gt;"bypass"),IFERROR(H55*I55*X55/(IF(Cluster!AA55=Cluster!$W$8,Cluster!$W$10,IF(Cluster!AA55=Cluster!$X$8,Cluster!$X$10,IF(Cluster!AA55=Cluster!$Y$8,Cluster!$Y$10,0)))*10^3),"-"),Calculation!AK36)</f>
        <v>-</v>
      </c>
      <c r="U55" s="179" t="str">
        <f ca="1">IF(AND(L55&lt;&gt;"-",Q55&lt;&gt;"bypass"),IFERROR((0.5/50)*X55/$R$23,"-"),Calculation!AG36)</f>
        <v>-</v>
      </c>
      <c r="V55" s="179" t="str">
        <f ca="1">IF(AND(L55&lt;&gt;"-",Q55&lt;&gt;"bypass"),IFERROR(5/50*X55,"-"),Calculation!AI36)</f>
        <v>-</v>
      </c>
      <c r="W55" s="179" t="str">
        <f ca="1">IF(AND(L55&lt;&gt;"-",Q55&lt;&gt;"bypass"),IFERROR(35/50*X55,"-"),Calculation!AJ36)</f>
        <v>-</v>
      </c>
      <c r="X55" s="179" t="str">
        <f ca="1">IF(AND(L55&lt;&gt;"-",Q55&lt;&gt;"bypass"),$W$23,Calculation!AL36)</f>
        <v>-</v>
      </c>
      <c r="Y55" s="245" t="str">
        <f ca="1">IF(AND(L55&lt;&gt;"-",Q55&lt;&gt;"bypass"),IFERROR($R$23*U55/SUM(R55:U55),"-"),Calculation!AP36)</f>
        <v>-</v>
      </c>
      <c r="Z55" s="246" t="str">
        <f t="shared" ca="1" si="0"/>
        <v>-</v>
      </c>
      <c r="AA55" s="247" t="str">
        <f ca="1">IFERROR(IF(I55=0,"-",IF(AND(ROUND(H55*I55*X55/($W$10*10^3),1)&gt;=Calculation!$O$6,ROUND((((U55)*$R$23/0.05)-((S55)+(H55*I55*X55/($W$10*10^3))+(U55))),1)&gt;=0),Cluster!$W$8,IF(AND(ROUND(H55*I55*X55/($X$10*10^3),1)&gt;=Calculation!$O$6,ROUND((((U55)*$R$23/0.05)-((S55)+(H55*I55*X55/($X$10*10^3))+(U55))),1)&gt;=0),Cluster!$X$8,IF(AND(ROUND(H55*I55*X55/($Y$10*10^3),1)&gt;=Calculation!$O$6,ROUND((((U55)*$R$23/0.05)-((S55)+(H55*I55*X55/($Y$10*10^3))+(U55))),1)&gt;=0),Cluster!$Y$8,"Recepie by hand needed")))),"-")</f>
        <v>-</v>
      </c>
      <c r="AC55" s="246" t="str">
        <f t="shared" ca="1" si="1"/>
        <v>-</v>
      </c>
      <c r="AD55" s="246" t="str">
        <f t="shared" ca="1" si="2"/>
        <v>-</v>
      </c>
      <c r="AE55" s="249" t="str">
        <f t="shared" ca="1" si="3"/>
        <v>-</v>
      </c>
      <c r="AF55" s="246" t="str">
        <f t="shared" ca="1" si="4"/>
        <v>-</v>
      </c>
    </row>
    <row r="56" spans="1:1024" s="248" customFormat="1" ht="13.5" customHeight="1" x14ac:dyDescent="0.5">
      <c r="A56" s="170" t="str">
        <f>Calculation!I37</f>
        <v/>
      </c>
      <c r="B56" s="221" t="str">
        <f ca="1">Calculation!B37</f>
        <v/>
      </c>
      <c r="C56" s="221" t="str">
        <f ca="1">Calculation!C37</f>
        <v/>
      </c>
      <c r="D56" s="172" t="str">
        <f ca="1">Calculation!AN37</f>
        <v/>
      </c>
      <c r="E56" s="173" t="str">
        <f ca="1">Calculation!D37</f>
        <v/>
      </c>
      <c r="F56" s="174" t="str">
        <f ca="1">Calculation!C37</f>
        <v/>
      </c>
      <c r="G56" s="175" t="str">
        <f ca="1">Calculation!F37</f>
        <v/>
      </c>
      <c r="H56" s="176" t="str">
        <f ca="1">Calculation!AD37</f>
        <v/>
      </c>
      <c r="I56" s="177" t="str">
        <f ca="1">Calculation!AE37</f>
        <v/>
      </c>
      <c r="J56" s="178" t="str">
        <f ca="1">IF(Calculation!Q37="","Selection",Calculation!Q37)</f>
        <v>Selection</v>
      </c>
      <c r="K56" s="179" t="str">
        <f ca="1">Calculation!T37</f>
        <v/>
      </c>
      <c r="L56" s="180" t="str">
        <f ca="1">Calculation!U37</f>
        <v>-</v>
      </c>
      <c r="M56" s="180" t="str">
        <f ca="1">Calculation!V37</f>
        <v>-</v>
      </c>
      <c r="N56" s="181"/>
      <c r="O56" s="180" t="str">
        <f ca="1">Calculation!X37</f>
        <v>-</v>
      </c>
      <c r="P56" s="180" t="str">
        <f ca="1">Calculation!Y37</f>
        <v>-</v>
      </c>
      <c r="Q56" s="181" t="s">
        <v>109</v>
      </c>
      <c r="R56" s="179" t="str">
        <f ca="1">IF(AND(L56&lt;&gt;"-",Q56&lt;&gt;"bypass"),IFERROR(IF((U56*$R$23/0.05)-SUM(S56:U56)&gt;0,(U56*$R$23/0.05)-SUM(S56:U56),0),"-"),Calculation!AH37)</f>
        <v>-</v>
      </c>
      <c r="S56" s="179" t="str">
        <f ca="1">IF(AND(L56&lt;&gt;"-",Q56&lt;&gt;"bypass"),IFERROR(X56*((H56*10^-12-H56*10^-12*I56)/(Calculation!$U$8*10^-9)),"-"),Calculation!AF37)</f>
        <v>-</v>
      </c>
      <c r="T56" s="179" t="str">
        <f ca="1">IF(AND(L56&lt;&gt;"-",Q56&lt;&gt;"bypass"),IFERROR(H56*I56*X56/(IF(Cluster!AA56=Cluster!$W$8,Cluster!$W$10,IF(Cluster!AA56=Cluster!$X$8,Cluster!$X$10,IF(Cluster!AA56=Cluster!$Y$8,Cluster!$Y$10,0)))*10^3),"-"),Calculation!AK37)</f>
        <v>-</v>
      </c>
      <c r="U56" s="179" t="str">
        <f ca="1">IF(AND(L56&lt;&gt;"-",Q56&lt;&gt;"bypass"),IFERROR((0.5/50)*X56/$R$23,"-"),Calculation!AG37)</f>
        <v>-</v>
      </c>
      <c r="V56" s="179" t="str">
        <f ca="1">IF(AND(L56&lt;&gt;"-",Q56&lt;&gt;"bypass"),IFERROR(5/50*X56,"-"),Calculation!AI37)</f>
        <v>-</v>
      </c>
      <c r="W56" s="179" t="str">
        <f ca="1">IF(AND(L56&lt;&gt;"-",Q56&lt;&gt;"bypass"),IFERROR(35/50*X56,"-"),Calculation!AJ37)</f>
        <v>-</v>
      </c>
      <c r="X56" s="179" t="str">
        <f ca="1">IF(AND(L56&lt;&gt;"-",Q56&lt;&gt;"bypass"),$W$23,Calculation!AL37)</f>
        <v>-</v>
      </c>
      <c r="Y56" s="245" t="str">
        <f ca="1">IF(AND(L56&lt;&gt;"-",Q56&lt;&gt;"bypass"),IFERROR($R$23*U56/SUM(R56:U56),"-"),Calculation!AP37)</f>
        <v>-</v>
      </c>
      <c r="Z56" s="246" t="str">
        <f t="shared" ca="1" si="0"/>
        <v>-</v>
      </c>
      <c r="AA56" s="247" t="str">
        <f ca="1">IFERROR(IF(I56=0,"-",IF(AND(ROUND(H56*I56*X56/($W$10*10^3),1)&gt;=Calculation!$O$6,ROUND((((U56)*$R$23/0.05)-((S56)+(H56*I56*X56/($W$10*10^3))+(U56))),1)&gt;=0),Cluster!$W$8,IF(AND(ROUND(H56*I56*X56/($X$10*10^3),1)&gt;=Calculation!$O$6,ROUND((((U56)*$R$23/0.05)-((S56)+(H56*I56*X56/($X$10*10^3))+(U56))),1)&gt;=0),Cluster!$X$8,IF(AND(ROUND(H56*I56*X56/($Y$10*10^3),1)&gt;=Calculation!$O$6,ROUND((((U56)*$R$23/0.05)-((S56)+(H56*I56*X56/($Y$10*10^3))+(U56))),1)&gt;=0),Cluster!$Y$8,"Recepie by hand needed")))),"-")</f>
        <v>-</v>
      </c>
      <c r="AC56" s="246" t="str">
        <f t="shared" ca="1" si="1"/>
        <v>-</v>
      </c>
      <c r="AD56" s="246" t="str">
        <f t="shared" ca="1" si="2"/>
        <v>-</v>
      </c>
      <c r="AE56" s="249" t="str">
        <f t="shared" ca="1" si="3"/>
        <v>-</v>
      </c>
      <c r="AF56" s="246" t="str">
        <f t="shared" ca="1" si="4"/>
        <v>-</v>
      </c>
    </row>
    <row r="57" spans="1:1024" ht="13.5" customHeight="1" x14ac:dyDescent="0.5">
      <c r="A57" s="170" t="str">
        <f>Calculation!I38</f>
        <v/>
      </c>
      <c r="B57" s="221" t="str">
        <f ca="1">Calculation!B38</f>
        <v/>
      </c>
      <c r="C57" s="221" t="str">
        <f ca="1">Calculation!C38</f>
        <v/>
      </c>
      <c r="D57" s="172" t="str">
        <f ca="1">Calculation!AN38</f>
        <v/>
      </c>
      <c r="E57" s="173" t="str">
        <f ca="1">Calculation!D38</f>
        <v/>
      </c>
      <c r="F57" s="250" t="str">
        <f ca="1">Calculation!C38</f>
        <v/>
      </c>
      <c r="G57" s="175" t="str">
        <f ca="1">Calculation!F38</f>
        <v/>
      </c>
      <c r="H57" s="176" t="str">
        <f ca="1">Calculation!AD38</f>
        <v/>
      </c>
      <c r="I57" s="177" t="str">
        <f ca="1">Calculation!AE38</f>
        <v/>
      </c>
      <c r="J57" s="178" t="str">
        <f ca="1">IF(Calculation!Q38="","Selection",Calculation!Q38)</f>
        <v>Selection</v>
      </c>
      <c r="K57" s="179" t="str">
        <f ca="1">Calculation!T38</f>
        <v/>
      </c>
      <c r="L57" s="180" t="str">
        <f ca="1">Calculation!U38</f>
        <v>-</v>
      </c>
      <c r="M57" s="180" t="str">
        <f ca="1">Calculation!V38</f>
        <v>-</v>
      </c>
      <c r="N57" s="181"/>
      <c r="O57" s="180" t="str">
        <f ca="1">Calculation!X38</f>
        <v>-</v>
      </c>
      <c r="P57" s="180" t="str">
        <f ca="1">Calculation!Y38</f>
        <v>-</v>
      </c>
      <c r="Q57" s="181" t="s">
        <v>109</v>
      </c>
      <c r="R57" s="179" t="str">
        <f ca="1">IF(AND(L57&lt;&gt;"-",Q57&lt;&gt;"bypass"),IFERROR(IF((U57*$R$23/0.05)-SUM(S57:U57)&gt;0,(U57*$R$23/0.05)-SUM(S57:U57),0),"-"),Calculation!AH38)</f>
        <v>-</v>
      </c>
      <c r="S57" s="179" t="str">
        <f ca="1">IF(AND(L57&lt;&gt;"-",Q57&lt;&gt;"bypass"),IFERROR(X57*((H57*10^-12-H57*10^-12*I57)/(Calculation!$U$8*10^-9)),"-"),Calculation!AF38)</f>
        <v>-</v>
      </c>
      <c r="T57" s="179" t="str">
        <f ca="1">IF(AND(L57&lt;&gt;"-",Q57&lt;&gt;"bypass"),IFERROR(H57*I57*X57/(IF(Cluster!AA57=Cluster!$W$8,Cluster!$W$10,IF(Cluster!AA57=Cluster!$X$8,Cluster!$X$10,IF(Cluster!AA57=Cluster!$Y$8,Cluster!$Y$10,0)))*10^3),"-"),Calculation!AK38)</f>
        <v>-</v>
      </c>
      <c r="U57" s="179" t="str">
        <f ca="1">IF(AND(L57&lt;&gt;"-",Q57&lt;&gt;"bypass"),IFERROR((0.5/50)*X57/$R$23,"-"),Calculation!AG38)</f>
        <v>-</v>
      </c>
      <c r="V57" s="179" t="str">
        <f ca="1">IF(AND(L57&lt;&gt;"-",Q57&lt;&gt;"bypass"),IFERROR(5/50*X57,"-"),Calculation!AI38)</f>
        <v>-</v>
      </c>
      <c r="W57" s="179" t="str">
        <f ca="1">IF(AND(L57&lt;&gt;"-",Q57&lt;&gt;"bypass"),IFERROR(35/50*X57,"-"),Calculation!AJ38)</f>
        <v>-</v>
      </c>
      <c r="X57" s="179" t="str">
        <f ca="1">IF(AND(L57&lt;&gt;"-",Q57&lt;&gt;"bypass"),$W$23,Calculation!AL38)</f>
        <v>-</v>
      </c>
      <c r="Y57" s="245" t="str">
        <f ca="1">IF(AND(L57&lt;&gt;"-",Q57&lt;&gt;"bypass"),IFERROR($R$23*U57/SUM(R57:U57),"-"),Calculation!AP38)</f>
        <v>-</v>
      </c>
      <c r="Z57" s="246" t="str">
        <f t="shared" ca="1" si="0"/>
        <v>-</v>
      </c>
      <c r="AA57" s="247" t="str">
        <f ca="1">IFERROR(IF(I57=0,"-",IF(AND(ROUND(H57*I57*X57/($W$10*10^3),1)&gt;=Calculation!$O$6,ROUND((((U57)*$R$23/0.05)-((S57)+(H57*I57*X57/($W$10*10^3))+(U57))),1)&gt;=0),Cluster!$W$8,IF(AND(ROUND(H57*I57*X57/($X$10*10^3),1)&gt;=Calculation!$O$6,ROUND((((U57)*$R$23/0.05)-((S57)+(H57*I57*X57/($X$10*10^3))+(U57))),1)&gt;=0),Cluster!$X$8,IF(AND(ROUND(H57*I57*X57/($Y$10*10^3),1)&gt;=Calculation!$O$6,ROUND((((U57)*$R$23/0.05)-((S57)+(H57*I57*X57/($Y$10*10^3))+(U57))),1)&gt;=0),Cluster!$Y$8,"Recepie by hand needed")))),"-")</f>
        <v>-</v>
      </c>
      <c r="AB57"/>
      <c r="AC57" s="246" t="str">
        <f t="shared" ca="1" si="1"/>
        <v>-</v>
      </c>
      <c r="AD57" s="246" t="str">
        <f t="shared" ca="1" si="2"/>
        <v>-</v>
      </c>
      <c r="AE57" s="249" t="str">
        <f t="shared" ca="1" si="3"/>
        <v>-</v>
      </c>
      <c r="AF57" s="246" t="str">
        <f t="shared" ca="1" si="4"/>
        <v>-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255" customFormat="1" ht="13.5" customHeight="1" x14ac:dyDescent="0.5">
      <c r="A58" s="222" t="str">
        <f>Calculation!I39</f>
        <v/>
      </c>
      <c r="B58" s="223" t="str">
        <f ca="1">Calculation!B39</f>
        <v/>
      </c>
      <c r="C58" s="223" t="str">
        <f ca="1">Calculation!C39</f>
        <v/>
      </c>
      <c r="D58" s="224" t="str">
        <f ca="1">Calculation!AN39</f>
        <v/>
      </c>
      <c r="E58" s="225" t="str">
        <f ca="1">Calculation!D39</f>
        <v/>
      </c>
      <c r="F58" s="251" t="str">
        <f ca="1">Calculation!C39</f>
        <v/>
      </c>
      <c r="G58" s="227" t="str">
        <f ca="1">Calculation!F39</f>
        <v/>
      </c>
      <c r="H58" s="228" t="str">
        <f ca="1">Calculation!AD39</f>
        <v/>
      </c>
      <c r="I58" s="229" t="str">
        <f ca="1">Calculation!AE39</f>
        <v/>
      </c>
      <c r="J58" s="230" t="str">
        <f ca="1">IF(Calculation!Q39="","Selection",Calculation!Q39)</f>
        <v>Selection</v>
      </c>
      <c r="K58" s="231" t="str">
        <f ca="1">Calculation!T39</f>
        <v/>
      </c>
      <c r="L58" s="232" t="str">
        <f ca="1">Calculation!U39</f>
        <v>-</v>
      </c>
      <c r="M58" s="232" t="str">
        <f ca="1">Calculation!V39</f>
        <v>-</v>
      </c>
      <c r="N58" s="233"/>
      <c r="O58" s="232" t="str">
        <f ca="1">Calculation!X39</f>
        <v>-</v>
      </c>
      <c r="P58" s="232" t="str">
        <f ca="1">Calculation!Y39</f>
        <v>-</v>
      </c>
      <c r="Q58" s="233" t="s">
        <v>109</v>
      </c>
      <c r="R58" s="231" t="str">
        <f ca="1">IF(AND(L58&lt;&gt;"-",Q58&lt;&gt;"bypass"),IFERROR(IF((U58*$R$23/0.05)-SUM(S58:U58)&gt;0,(U58*$R$23/0.05)-SUM(S58:U58),0),"-"),Calculation!AH39)</f>
        <v>-</v>
      </c>
      <c r="S58" s="231" t="str">
        <f ca="1">IF(AND(L58&lt;&gt;"-",Q58&lt;&gt;"bypass"),IFERROR(X58*((H58*10^-12-H58*10^-12*I58)/(Calculation!$U$8*10^-9)),"-"),Calculation!AF39)</f>
        <v>-</v>
      </c>
      <c r="T58" s="231" t="str">
        <f ca="1">IF(AND(L58&lt;&gt;"-",Q58&lt;&gt;"bypass"),IFERROR(H58*I58*X58/(IF(Cluster!AA58=Cluster!$W$8,Cluster!$W$10,IF(Cluster!AA58=Cluster!$X$8,Cluster!$X$10,IF(Cluster!AA58=Cluster!$Y$8,Cluster!$Y$10,0)))*10^3),"-"),Calculation!AK39)</f>
        <v>-</v>
      </c>
      <c r="U58" s="231" t="str">
        <f ca="1">IF(AND(L58&lt;&gt;"-",Q58&lt;&gt;"bypass"),IFERROR((0.5/50)*X58/$R$23,"-"),Calculation!AG39)</f>
        <v>-</v>
      </c>
      <c r="V58" s="231" t="str">
        <f ca="1">IF(AND(L58&lt;&gt;"-",Q58&lt;&gt;"bypass"),IFERROR(5/50*X58,"-"),Calculation!AI39)</f>
        <v>-</v>
      </c>
      <c r="W58" s="231" t="str">
        <f ca="1">IF(AND(L58&lt;&gt;"-",Q58&lt;&gt;"bypass"),IFERROR(35/50*X58,"-"),Calculation!AJ39)</f>
        <v>-</v>
      </c>
      <c r="X58" s="231" t="str">
        <f ca="1">IF(AND(L58&lt;&gt;"-",Q58&lt;&gt;"bypass"),$W$23,Calculation!AL39)</f>
        <v>-</v>
      </c>
      <c r="Y58" s="252" t="str">
        <f ca="1">IF(AND(L58&lt;&gt;"-",Q58&lt;&gt;"bypass"),IFERROR($R$23*U58/SUM(R58:U58),"-"),Calculation!AP39)</f>
        <v>-</v>
      </c>
      <c r="Z58" s="253" t="str">
        <f t="shared" ca="1" si="0"/>
        <v>-</v>
      </c>
      <c r="AA58" s="254" t="str">
        <f ca="1">IFERROR(IF(I58=0,"-",IF(AND(ROUND(H58*I58*X58/($W$10*10^3),1)&gt;=Calculation!$O$6,ROUND((((U58)*$R$23/0.05)-((S58)+(H58*I58*X58/($W$10*10^3))+(U58))),1)&gt;=0),Cluster!$W$8,IF(AND(ROUND(H58*I58*X58/($X$10*10^3),1)&gt;=Calculation!$O$6,ROUND((((U58)*$R$23/0.05)-((S58)+(H58*I58*X58/($X$10*10^3))+(U58))),1)&gt;=0),Cluster!$X$8,IF(AND(ROUND(H58*I58*X58/($Y$10*10^3),1)&gt;=Calculation!$O$6,ROUND((((U58)*$R$23/0.05)-((S58)+(H58*I58*X58/($Y$10*10^3))+(U58))),1)&gt;=0),Cluster!$Y$8,"Recepie by hand needed")))),"-")</f>
        <v>-</v>
      </c>
      <c r="AC58" s="253" t="str">
        <f t="shared" ca="1" si="1"/>
        <v>-</v>
      </c>
      <c r="AD58" s="253" t="str">
        <f t="shared" ca="1" si="2"/>
        <v>-</v>
      </c>
      <c r="AE58" s="256" t="str">
        <f t="shared" ca="1" si="3"/>
        <v>-</v>
      </c>
      <c r="AF58" s="253" t="str">
        <f t="shared" ca="1" si="4"/>
        <v>-</v>
      </c>
    </row>
    <row r="59" spans="1:1024" s="243" customFormat="1" ht="14.25" x14ac:dyDescent="0.5">
      <c r="A59" s="257" t="str">
        <f>Calculation!I40</f>
        <v/>
      </c>
      <c r="B59" s="238" t="str">
        <f ca="1">Calculation!B40</f>
        <v/>
      </c>
      <c r="C59" s="238" t="str">
        <f ca="1">Calculation!C40</f>
        <v/>
      </c>
      <c r="D59" s="153" t="str">
        <f ca="1">Calculation!AN40</f>
        <v/>
      </c>
      <c r="E59" s="154" t="str">
        <f ca="1">Calculation!D40</f>
        <v/>
      </c>
      <c r="F59" s="258" t="str">
        <f ca="1">Calculation!C40</f>
        <v/>
      </c>
      <c r="G59" s="156" t="str">
        <f ca="1">Calculation!F40</f>
        <v/>
      </c>
      <c r="H59" s="157" t="str">
        <f ca="1">Calculation!AD40</f>
        <v/>
      </c>
      <c r="I59" s="158" t="str">
        <f ca="1">Calculation!AE40</f>
        <v/>
      </c>
      <c r="J59" s="159" t="str">
        <f ca="1">IF(Calculation!Q40="","Selection",Calculation!Q40)</f>
        <v>Selection</v>
      </c>
      <c r="K59" s="160" t="str">
        <f ca="1">Calculation!T40</f>
        <v/>
      </c>
      <c r="L59" s="161" t="str">
        <f ca="1">Calculation!U40</f>
        <v>-</v>
      </c>
      <c r="M59" s="161" t="str">
        <f ca="1">Calculation!V40</f>
        <v>-</v>
      </c>
      <c r="N59" s="162"/>
      <c r="O59" s="161" t="str">
        <f ca="1">Calculation!X40</f>
        <v>-</v>
      </c>
      <c r="P59" s="161" t="str">
        <f ca="1">Calculation!Y40</f>
        <v>-</v>
      </c>
      <c r="Q59" s="162"/>
      <c r="R59" s="160" t="str">
        <f ca="1">IF(AND(L59&lt;&gt;"-",Q59&lt;&gt;"bypass"),IFERROR(IF((U59*$R$23/0.05)-SUM(S59:U59)&gt;0,(U59*$R$23/0.05)-SUM(S59:U59),0),"-"),Calculation!AH40)</f>
        <v>-</v>
      </c>
      <c r="S59" s="160" t="str">
        <f ca="1">IF(AND(L59&lt;&gt;"-",Q59&lt;&gt;"bypass"),IFERROR(X59*((H59*10^-12-H59*10^-12*I59)/(Calculation!$U$8*10^-9)),"-"),Calculation!AF40)</f>
        <v>-</v>
      </c>
      <c r="T59" s="160" t="str">
        <f ca="1">IF(AND(L59&lt;&gt;"-",Q59&lt;&gt;"bypass"),IFERROR(H59*I59*X59/(IF(Cluster!AA59=Cluster!$W$8,Cluster!$W$10,IF(Cluster!AA59=Cluster!$X$8,Cluster!$X$10,IF(Cluster!AA59=Cluster!$Y$8,Cluster!$Y$10,0)))*10^3),"-"),Calculation!AK40)</f>
        <v>-</v>
      </c>
      <c r="U59" s="160" t="str">
        <f ca="1">IF(AND(L59&lt;&gt;"-",Q59&lt;&gt;"bypass"),IFERROR((0.5/50)*X59/$R$23,"-"),Calculation!AG40)</f>
        <v>-</v>
      </c>
      <c r="V59" s="160" t="str">
        <f ca="1">IF(AND(L59&lt;&gt;"-",Q59&lt;&gt;"bypass"),IFERROR(5/50*X59,"-"),Calculation!AI40)</f>
        <v>-</v>
      </c>
      <c r="W59" s="160" t="str">
        <f ca="1">IF(AND(L59&lt;&gt;"-",Q59&lt;&gt;"bypass"),IFERROR(35/50*X59,"-"),Calculation!AJ40)</f>
        <v>-</v>
      </c>
      <c r="X59" s="160" t="str">
        <f ca="1">IF(AND(L59&lt;&gt;"-",Q59&lt;&gt;"bypass"),$W$23,Calculation!AL40)</f>
        <v>-</v>
      </c>
      <c r="Y59" s="240" t="str">
        <f ca="1">IF(AND(L59&lt;&gt;"-",Q59&lt;&gt;"bypass"),IFERROR($R$23*U59/SUM(R59:U59),"-"),Calculation!AP40)</f>
        <v>-</v>
      </c>
      <c r="Z59" s="241" t="str">
        <f t="shared" ca="1" si="0"/>
        <v>-</v>
      </c>
      <c r="AA59" s="242" t="str">
        <f ca="1">IFERROR(IF(I59=0,"-",IF(AND(ROUND(H59*I59*X59/($W$10*10^3),1)&gt;=Calculation!$O$6,ROUND((((U59)*$R$23/0.05)-((S59)+(H59*I59*X59/($W$10*10^3))+(U59))),1)&gt;=0),Cluster!$W$8,IF(AND(ROUND(H59*I59*X59/($X$10*10^3),1)&gt;=Calculation!$O$6,ROUND((((U59)*$R$23/0.05)-((S59)+(H59*I59*X59/($X$10*10^3))+(U59))),1)&gt;=0),Cluster!$X$8,IF(AND(ROUND(H59*I59*X59/($Y$10*10^3),1)&gt;=Calculation!$O$6,ROUND((((U59)*$R$23/0.05)-((S59)+(H59*I59*X59/($Y$10*10^3))+(U59))),1)&gt;=0),Cluster!$Y$8,"Recepie by hand needed")))),"-")</f>
        <v>-</v>
      </c>
      <c r="AC59" s="241" t="str">
        <f t="shared" ca="1" si="1"/>
        <v>-</v>
      </c>
      <c r="AD59" s="241" t="str">
        <f t="shared" ca="1" si="2"/>
        <v>-</v>
      </c>
      <c r="AE59" s="244" t="str">
        <f t="shared" ca="1" si="3"/>
        <v>-</v>
      </c>
      <c r="AF59" s="241" t="str">
        <f t="shared" ca="1" si="4"/>
        <v>-</v>
      </c>
    </row>
    <row r="60" spans="1:1024" s="248" customFormat="1" ht="14.25" customHeight="1" x14ac:dyDescent="0.5">
      <c r="A60" s="259" t="str">
        <f>Calculation!I41</f>
        <v/>
      </c>
      <c r="B60" s="221" t="str">
        <f ca="1">Calculation!B41</f>
        <v/>
      </c>
      <c r="C60" s="221" t="str">
        <f ca="1">Calculation!C41</f>
        <v/>
      </c>
      <c r="D60" s="172" t="str">
        <f ca="1">Calculation!AN41</f>
        <v/>
      </c>
      <c r="E60" s="173" t="str">
        <f ca="1">Calculation!D41</f>
        <v/>
      </c>
      <c r="F60" s="260" t="str">
        <f ca="1">Calculation!C41</f>
        <v/>
      </c>
      <c r="G60" s="175" t="str">
        <f ca="1">Calculation!F41</f>
        <v/>
      </c>
      <c r="H60" s="176" t="str">
        <f ca="1">Calculation!AD41</f>
        <v/>
      </c>
      <c r="I60" s="177" t="str">
        <f ca="1">Calculation!AE41</f>
        <v/>
      </c>
      <c r="J60" s="178" t="str">
        <f ca="1">IF(Calculation!Q41="","Selection",Calculation!Q41)</f>
        <v>Selection</v>
      </c>
      <c r="K60" s="179" t="str">
        <f ca="1">Calculation!T41</f>
        <v/>
      </c>
      <c r="L60" s="180" t="str">
        <f ca="1">Calculation!U41</f>
        <v>-</v>
      </c>
      <c r="M60" s="180" t="str">
        <f ca="1">Calculation!V41</f>
        <v>-</v>
      </c>
      <c r="N60" s="181"/>
      <c r="O60" s="180" t="str">
        <f ca="1">Calculation!X41</f>
        <v>-</v>
      </c>
      <c r="P60" s="180" t="str">
        <f ca="1">Calculation!Y41</f>
        <v>-</v>
      </c>
      <c r="Q60" s="181"/>
      <c r="R60" s="179" t="str">
        <f ca="1">IF(AND(L60&lt;&gt;"-",Q60&lt;&gt;"bypass"),IFERROR(IF((U60*$R$23/0.05)-SUM(S60:U60)&gt;0,(U60*$R$23/0.05)-SUM(S60:U60),0),"-"),Calculation!AH41)</f>
        <v>-</v>
      </c>
      <c r="S60" s="179" t="str">
        <f ca="1">IF(AND(L60&lt;&gt;"-",Q60&lt;&gt;"bypass"),IFERROR(X60*((H60*10^-12-H60*10^-12*I60)/(Calculation!$U$8*10^-9)),"-"),Calculation!AF41)</f>
        <v>-</v>
      </c>
      <c r="T60" s="179" t="str">
        <f ca="1">IF(AND(L60&lt;&gt;"-",Q60&lt;&gt;"bypass"),IFERROR(H60*I60*X60/(IF(Cluster!AA60=Cluster!$W$8,Cluster!$W$10,IF(Cluster!AA60=Cluster!$X$8,Cluster!$X$10,IF(Cluster!AA60=Cluster!$Y$8,Cluster!$Y$10,0)))*10^3),"-"),Calculation!AK41)</f>
        <v>-</v>
      </c>
      <c r="U60" s="179" t="str">
        <f ca="1">IF(AND(L60&lt;&gt;"-",Q60&lt;&gt;"bypass"),IFERROR((0.5/50)*X60/$R$23,"-"),Calculation!AG41)</f>
        <v>-</v>
      </c>
      <c r="V60" s="179" t="str">
        <f ca="1">IF(AND(L60&lt;&gt;"-",Q60&lt;&gt;"bypass"),IFERROR(5/50*X60,"-"),Calculation!AI41)</f>
        <v>-</v>
      </c>
      <c r="W60" s="179" t="str">
        <f ca="1">IF(AND(L60&lt;&gt;"-",Q60&lt;&gt;"bypass"),IFERROR(35/50*X60,"-"),Calculation!AJ41)</f>
        <v>-</v>
      </c>
      <c r="X60" s="179" t="str">
        <f ca="1">IF(AND(L60&lt;&gt;"-",Q60&lt;&gt;"bypass"),$W$23,Calculation!AL41)</f>
        <v>-</v>
      </c>
      <c r="Y60" s="245" t="str">
        <f ca="1">IF(AND(L60&lt;&gt;"-",Q60&lt;&gt;"bypass"),IFERROR($R$23*U60/SUM(R60:U60),"-"),Calculation!AP41)</f>
        <v>-</v>
      </c>
      <c r="Z60" s="246" t="str">
        <f t="shared" ca="1" si="0"/>
        <v>-</v>
      </c>
      <c r="AA60" s="247" t="str">
        <f ca="1">IFERROR(IF(I60=0,"-",IF(AND(ROUND(H60*I60*X60/($W$10*10^3),1)&gt;=Calculation!$O$6,ROUND((((U60)*$R$23/0.05)-((S60)+(H60*I60*X60/($W$10*10^3))+(U60))),1)&gt;=0),Cluster!$W$8,IF(AND(ROUND(H60*I60*X60/($X$10*10^3),1)&gt;=Calculation!$O$6,ROUND((((U60)*$R$23/0.05)-((S60)+(H60*I60*X60/($X$10*10^3))+(U60))),1)&gt;=0),Cluster!$X$8,IF(AND(ROUND(H60*I60*X60/($Y$10*10^3),1)&gt;=Calculation!$O$6,ROUND((((U60)*$R$23/0.05)-((S60)+(H60*I60*X60/($Y$10*10^3))+(U60))),1)&gt;=0),Cluster!$Y$8,"Recepie by hand needed")))),"-")</f>
        <v>-</v>
      </c>
      <c r="AC60" s="246" t="str">
        <f t="shared" ca="1" si="1"/>
        <v>-</v>
      </c>
      <c r="AD60" s="246" t="str">
        <f t="shared" ca="1" si="2"/>
        <v>-</v>
      </c>
      <c r="AE60" s="249" t="str">
        <f t="shared" ca="1" si="3"/>
        <v>-</v>
      </c>
      <c r="AF60" s="246" t="str">
        <f t="shared" ca="1" si="4"/>
        <v>-</v>
      </c>
    </row>
    <row r="61" spans="1:1024" s="248" customFormat="1" ht="14.25" x14ac:dyDescent="0.5">
      <c r="A61" s="259" t="str">
        <f>Calculation!I42</f>
        <v/>
      </c>
      <c r="B61" s="221" t="str">
        <f ca="1">Calculation!B42</f>
        <v/>
      </c>
      <c r="C61" s="221" t="str">
        <f ca="1">Calculation!C42</f>
        <v/>
      </c>
      <c r="D61" s="172" t="str">
        <f ca="1">Calculation!AN42</f>
        <v/>
      </c>
      <c r="E61" s="173" t="str">
        <f ca="1">Calculation!D42</f>
        <v/>
      </c>
      <c r="F61" s="260" t="str">
        <f ca="1">Calculation!C42</f>
        <v/>
      </c>
      <c r="G61" s="175" t="str">
        <f ca="1">Calculation!F42</f>
        <v/>
      </c>
      <c r="H61" s="176" t="str">
        <f ca="1">Calculation!AD42</f>
        <v/>
      </c>
      <c r="I61" s="177" t="str">
        <f ca="1">Calculation!AE42</f>
        <v/>
      </c>
      <c r="J61" s="178" t="str">
        <f ca="1">IF(Calculation!Q42="","Selection",Calculation!Q42)</f>
        <v>Selection</v>
      </c>
      <c r="K61" s="179" t="str">
        <f ca="1">Calculation!T42</f>
        <v/>
      </c>
      <c r="L61" s="180" t="str">
        <f ca="1">Calculation!U42</f>
        <v>-</v>
      </c>
      <c r="M61" s="180" t="str">
        <f ca="1">Calculation!V42</f>
        <v>-</v>
      </c>
      <c r="N61" s="181"/>
      <c r="O61" s="180" t="str">
        <f ca="1">Calculation!X42</f>
        <v>-</v>
      </c>
      <c r="P61" s="180" t="str">
        <f ca="1">Calculation!Y42</f>
        <v>-</v>
      </c>
      <c r="Q61" s="181"/>
      <c r="R61" s="179" t="str">
        <f ca="1">IF(AND(L61&lt;&gt;"-",Q61&lt;&gt;"bypass"),IFERROR(IF((U61*$R$23/0.05)-SUM(S61:U61)&gt;0,(U61*$R$23/0.05)-SUM(S61:U61),0),"-"),Calculation!AH42)</f>
        <v>-</v>
      </c>
      <c r="S61" s="179" t="str">
        <f ca="1">IF(AND(L61&lt;&gt;"-",Q61&lt;&gt;"bypass"),IFERROR(X61*((H61*10^-12-H61*10^-12*I61)/(Calculation!$U$8*10^-9)),"-"),Calculation!AF42)</f>
        <v>-</v>
      </c>
      <c r="T61" s="179" t="str">
        <f ca="1">IF(AND(L61&lt;&gt;"-",Q61&lt;&gt;"bypass"),IFERROR(H61*I61*X61/(IF(Cluster!AA61=Cluster!$W$8,Cluster!$W$10,IF(Cluster!AA61=Cluster!$X$8,Cluster!$X$10,IF(Cluster!AA61=Cluster!$Y$8,Cluster!$Y$10,0)))*10^3),"-"),Calculation!AK42)</f>
        <v>-</v>
      </c>
      <c r="U61" s="179" t="str">
        <f ca="1">IF(AND(L61&lt;&gt;"-",Q61&lt;&gt;"bypass"),IFERROR((0.5/50)*X61/$R$23,"-"),Calculation!AG42)</f>
        <v>-</v>
      </c>
      <c r="V61" s="179" t="str">
        <f ca="1">IF(AND(L61&lt;&gt;"-",Q61&lt;&gt;"bypass"),IFERROR(5/50*X61,"-"),Calculation!AI42)</f>
        <v>-</v>
      </c>
      <c r="W61" s="179" t="str">
        <f ca="1">IF(AND(L61&lt;&gt;"-",Q61&lt;&gt;"bypass"),IFERROR(35/50*X61,"-"),Calculation!AJ42)</f>
        <v>-</v>
      </c>
      <c r="X61" s="179" t="str">
        <f ca="1">IF(AND(L61&lt;&gt;"-",Q61&lt;&gt;"bypass"),$W$23,Calculation!AL42)</f>
        <v>-</v>
      </c>
      <c r="Y61" s="245" t="str">
        <f ca="1">IF(AND(L61&lt;&gt;"-",Q61&lt;&gt;"bypass"),IFERROR($R$23*U61/SUM(R61:U61),"-"),Calculation!AP42)</f>
        <v>-</v>
      </c>
      <c r="Z61" s="246" t="str">
        <f t="shared" ca="1" si="0"/>
        <v>-</v>
      </c>
      <c r="AA61" s="247" t="str">
        <f ca="1">IFERROR(IF(I61=0,"-",IF(AND(ROUND(H61*I61*X61/($W$10*10^3),1)&gt;=Calculation!$O$6,ROUND((((U61)*$R$23/0.05)-((S61)+(H61*I61*X61/($W$10*10^3))+(U61))),1)&gt;=0),Cluster!$W$8,IF(AND(ROUND(H61*I61*X61/($X$10*10^3),1)&gt;=Calculation!$O$6,ROUND((((U61)*$R$23/0.05)-((S61)+(H61*I61*X61/($X$10*10^3))+(U61))),1)&gt;=0),Cluster!$X$8,IF(AND(ROUND(H61*I61*X61/($Y$10*10^3),1)&gt;=Calculation!$O$6,ROUND((((U61)*$R$23/0.05)-((S61)+(H61*I61*X61/($Y$10*10^3))+(U61))),1)&gt;=0),Cluster!$Y$8,"Recepie by hand needed")))),"-")</f>
        <v>-</v>
      </c>
      <c r="AC61" s="246" t="str">
        <f t="shared" ca="1" si="1"/>
        <v>-</v>
      </c>
      <c r="AD61" s="246" t="str">
        <f t="shared" ca="1" si="2"/>
        <v>-</v>
      </c>
      <c r="AE61" s="249" t="str">
        <f t="shared" ca="1" si="3"/>
        <v>-</v>
      </c>
      <c r="AF61" s="246" t="str">
        <f t="shared" ca="1" si="4"/>
        <v>-</v>
      </c>
    </row>
    <row r="62" spans="1:1024" s="267" customFormat="1" ht="14.25" x14ac:dyDescent="0.5">
      <c r="A62" s="261" t="str">
        <f>Calculation!I43</f>
        <v/>
      </c>
      <c r="B62" s="262" t="str">
        <f ca="1">Calculation!B43</f>
        <v/>
      </c>
      <c r="C62" s="262" t="str">
        <f ca="1">Calculation!C43</f>
        <v/>
      </c>
      <c r="D62" s="189" t="str">
        <f ca="1">Calculation!AN43</f>
        <v/>
      </c>
      <c r="E62" s="190" t="str">
        <f ca="1">Calculation!D43</f>
        <v/>
      </c>
      <c r="F62" s="263" t="str">
        <f ca="1">Calculation!C43</f>
        <v/>
      </c>
      <c r="G62" s="192" t="str">
        <f ca="1">Calculation!F43</f>
        <v/>
      </c>
      <c r="H62" s="193" t="str">
        <f ca="1">Calculation!AD43</f>
        <v/>
      </c>
      <c r="I62" s="194" t="str">
        <f ca="1">Calculation!AE43</f>
        <v/>
      </c>
      <c r="J62" s="195" t="str">
        <f ca="1">IF(Calculation!Q43="","Selection",Calculation!Q43)</f>
        <v>Selection</v>
      </c>
      <c r="K62" s="196" t="str">
        <f ca="1">Calculation!T43</f>
        <v/>
      </c>
      <c r="L62" s="197" t="str">
        <f ca="1">Calculation!U43</f>
        <v>-</v>
      </c>
      <c r="M62" s="197" t="str">
        <f ca="1">Calculation!V43</f>
        <v>-</v>
      </c>
      <c r="N62" s="198"/>
      <c r="O62" s="197" t="str">
        <f ca="1">Calculation!X43</f>
        <v>-</v>
      </c>
      <c r="P62" s="197" t="str">
        <f ca="1">Calculation!Y43</f>
        <v>-</v>
      </c>
      <c r="Q62" s="198"/>
      <c r="R62" s="196" t="str">
        <f ca="1">IF(AND(L62&lt;&gt;"-",Q62&lt;&gt;"bypass"),IFERROR(IF((U62*$R$23/0.05)-SUM(S62:U62)&gt;0,(U62*$R$23/0.05)-SUM(S62:U62),0),"-"),Calculation!AH43)</f>
        <v>-</v>
      </c>
      <c r="S62" s="196" t="str">
        <f ca="1">IF(AND(L62&lt;&gt;"-",Q62&lt;&gt;"bypass"),IFERROR(X62*((H62*10^-12-H62*10^-12*I62)/(Calculation!$U$8*10^-9)),"-"),Calculation!AF43)</f>
        <v>-</v>
      </c>
      <c r="T62" s="196" t="str">
        <f ca="1">IF(AND(L62&lt;&gt;"-",Q62&lt;&gt;"bypass"),IFERROR(H62*I62*X62/(IF(Cluster!AA62=Cluster!$W$8,Cluster!$W$10,IF(Cluster!AA62=Cluster!$X$8,Cluster!$X$10,IF(Cluster!AA62=Cluster!$Y$8,Cluster!$Y$10,0)))*10^3),"-"),Calculation!AK43)</f>
        <v>-</v>
      </c>
      <c r="U62" s="196" t="str">
        <f ca="1">IF(AND(L62&lt;&gt;"-",Q62&lt;&gt;"bypass"),IFERROR((0.5/50)*X62/$R$23,"-"),Calculation!AG43)</f>
        <v>-</v>
      </c>
      <c r="V62" s="196" t="str">
        <f ca="1">IF(AND(L62&lt;&gt;"-",Q62&lt;&gt;"bypass"),IFERROR(5/50*X62,"-"),Calculation!AI43)</f>
        <v>-</v>
      </c>
      <c r="W62" s="196" t="str">
        <f ca="1">IF(AND(L62&lt;&gt;"-",Q62&lt;&gt;"bypass"),IFERROR(35/50*X62,"-"),Calculation!AJ43)</f>
        <v>-</v>
      </c>
      <c r="X62" s="196" t="str">
        <f ca="1">IF(AND(L62&lt;&gt;"-",Q62&lt;&gt;"bypass"),$W$23,Calculation!AL43)</f>
        <v>-</v>
      </c>
      <c r="Y62" s="264" t="str">
        <f ca="1">IF(AND(L62&lt;&gt;"-",Q62&lt;&gt;"bypass"),IFERROR($R$23*U62/SUM(R62:U62),"-"),Calculation!AP43)</f>
        <v>-</v>
      </c>
      <c r="Z62" s="265" t="str">
        <f t="shared" ca="1" si="0"/>
        <v>-</v>
      </c>
      <c r="AA62" s="266" t="str">
        <f ca="1">IFERROR(IF(I62=0,"-",IF(AND(ROUND(H62*I62*X62/($W$10*10^3),1)&gt;=Calculation!$O$6,ROUND((((U62)*$R$23/0.05)-((S62)+(H62*I62*X62/($W$10*10^3))+(U62))),1)&gt;=0),Cluster!$W$8,IF(AND(ROUND(H62*I62*X62/($X$10*10^3),1)&gt;=Calculation!$O$6,ROUND((((U62)*$R$23/0.05)-((S62)+(H62*I62*X62/($X$10*10^3))+(U62))),1)&gt;=0),Cluster!$X$8,IF(AND(ROUND(H62*I62*X62/($Y$10*10^3),1)&gt;=Calculation!$O$6,ROUND((((U62)*$R$23/0.05)-((S62)+(H62*I62*X62/($Y$10*10^3))+(U62))),1)&gt;=0),Cluster!$Y$8,"Recepie by hand needed")))),"-")</f>
        <v>-</v>
      </c>
      <c r="AC62" s="265" t="str">
        <f t="shared" ca="1" si="1"/>
        <v>-</v>
      </c>
      <c r="AD62" s="265" t="str">
        <f t="shared" ca="1" si="2"/>
        <v>-</v>
      </c>
      <c r="AE62" s="268" t="str">
        <f t="shared" ca="1" si="3"/>
        <v>-</v>
      </c>
      <c r="AF62" s="265" t="str">
        <f t="shared" ca="1" si="4"/>
        <v>-</v>
      </c>
    </row>
    <row r="63" spans="1:1024" ht="16.5" customHeight="1" x14ac:dyDescent="0.5">
      <c r="A63" s="204" t="str">
        <f>Calculation!I44</f>
        <v/>
      </c>
      <c r="B63" s="269" t="str">
        <f ca="1">Calculation!B44</f>
        <v/>
      </c>
      <c r="C63" s="269" t="str">
        <f ca="1">Calculation!C44</f>
        <v/>
      </c>
      <c r="D63" s="206" t="str">
        <f ca="1">Calculation!AN44</f>
        <v/>
      </c>
      <c r="E63" s="207" t="str">
        <f ca="1">Calculation!D44</f>
        <v/>
      </c>
      <c r="F63" s="208" t="str">
        <f ca="1">Calculation!C44</f>
        <v/>
      </c>
      <c r="G63" s="209" t="str">
        <f ca="1">Calculation!F44</f>
        <v/>
      </c>
      <c r="H63" s="210" t="str">
        <f ca="1">Calculation!AD44</f>
        <v/>
      </c>
      <c r="I63" s="211" t="str">
        <f ca="1">Calculation!AE44</f>
        <v/>
      </c>
      <c r="J63" s="270" t="str">
        <f ca="1">IF(Calculation!Q44="","Selection",Calculation!Q44)</f>
        <v>Selection</v>
      </c>
      <c r="K63" s="213" t="str">
        <f ca="1">Calculation!T44</f>
        <v/>
      </c>
      <c r="L63" s="214" t="str">
        <f ca="1">Calculation!U44</f>
        <v>-</v>
      </c>
      <c r="M63" s="214" t="str">
        <f ca="1">Calculation!V44</f>
        <v>-</v>
      </c>
      <c r="N63" s="215"/>
      <c r="O63" s="214" t="str">
        <f ca="1">Calculation!X44</f>
        <v>-</v>
      </c>
      <c r="P63" s="214" t="str">
        <f ca="1">Calculation!Y44</f>
        <v>-</v>
      </c>
      <c r="Q63" s="271"/>
      <c r="R63" s="216" t="str">
        <f ca="1">IF(AND(L63&lt;&gt;"-",Q63&lt;&gt;"bypass"),IFERROR(IF((U63*$R$23/0.05)-SUM(S63:U63)&gt;0,(U63*$R$23/0.05)-SUM(S63:U63),0),"-"),Calculation!AH44)</f>
        <v>-</v>
      </c>
      <c r="S63" s="213" t="str">
        <f ca="1">IF(AND(L63&lt;&gt;"-",Q63&lt;&gt;"bypass"),IFERROR(X63*((H63*10^-12-H63*10^-12*I63)/(Calculation!$U$8*10^-9)),"-"),Calculation!AF44)</f>
        <v>-</v>
      </c>
      <c r="T63" s="213" t="str">
        <f ca="1">IF(AND(L63&lt;&gt;"-",Q63&lt;&gt;"bypass"),IFERROR(H63*I63*X63/(IF(Cluster!AA63=Cluster!$W$8,Cluster!$W$10,IF(Cluster!AA63=Cluster!$X$8,Cluster!$X$10,IF(Cluster!AA63=Cluster!$Y$8,Cluster!$Y$10,0)))*10^3),"-"),Calculation!AK44)</f>
        <v>-</v>
      </c>
      <c r="U63" s="213" t="str">
        <f ca="1">IF(AND(L63&lt;&gt;"-",Q63&lt;&gt;"bypass"),IFERROR((0.5/50)*X63/$R$23,"-"),Calculation!AG44)</f>
        <v>-</v>
      </c>
      <c r="V63" s="213" t="str">
        <f ca="1">IF(AND(L63&lt;&gt;"-",Q63&lt;&gt;"bypass"),IFERROR(5/50*X63,"-"),Calculation!AI44)</f>
        <v>-</v>
      </c>
      <c r="W63" s="213" t="str">
        <f ca="1">IF(AND(L63&lt;&gt;"-",Q63&lt;&gt;"bypass"),IFERROR(35/50*X63,"-"),Calculation!AJ44)</f>
        <v>-</v>
      </c>
      <c r="X63" s="213" t="str">
        <f ca="1">IF(AND(L63&lt;&gt;"-",Q63&lt;&gt;"bypass"),$W$23,Calculation!AL44)</f>
        <v>-</v>
      </c>
      <c r="Y63" s="217" t="str">
        <f ca="1">IF(AND(L63&lt;&gt;"-",Q63&lt;&gt;"bypass"),IFERROR($R$23*U63/SUM(R63:U63),"-"),Calculation!AP44)</f>
        <v>-</v>
      </c>
      <c r="Z63" s="218" t="str">
        <f t="shared" ca="1" si="0"/>
        <v>-</v>
      </c>
      <c r="AA63" s="219" t="str">
        <f ca="1">IFERROR(IF(I63=0,"-",IF(AND(ROUND(H63*I63*X63/($W$10*10^3),1)&gt;=Calculation!$O$6,ROUND((((U63)*$R$23/0.05)-((S63)+(H63*I63*X63/($W$10*10^3))+(U63))),1)&gt;=0),Cluster!$W$8,IF(AND(ROUND(H63*I63*X63/($X$10*10^3),1)&gt;=Calculation!$O$6,ROUND((((U63)*$R$23/0.05)-((S63)+(H63*I63*X63/($X$10*10^3))+(U63))),1)&gt;=0),Cluster!$X$8,IF(AND(ROUND(H63*I63*X63/($Y$10*10^3),1)&gt;=Calculation!$O$6,ROUND((((U63)*$R$23/0.05)-((S63)+(H63*I63*X63/($Y$10*10^3))+(U63))),1)&gt;=0),Cluster!$Y$8,"Recepie by hand needed")))),"-")</f>
        <v>-</v>
      </c>
      <c r="AB63"/>
      <c r="AC63" s="37" t="str">
        <f t="shared" ca="1" si="1"/>
        <v>-</v>
      </c>
      <c r="AD63" s="37" t="str">
        <f t="shared" ca="1" si="2"/>
        <v>-</v>
      </c>
      <c r="AE63" s="220" t="str">
        <f t="shared" ca="1" si="3"/>
        <v>-</v>
      </c>
      <c r="AF63" s="37" t="str">
        <f t="shared" ca="1" si="4"/>
        <v>-</v>
      </c>
    </row>
    <row r="64" spans="1:1024" ht="14.25" x14ac:dyDescent="0.5">
      <c r="A64" s="170" t="str">
        <f>Calculation!I45</f>
        <v/>
      </c>
      <c r="B64" s="221" t="str">
        <f ca="1">Calculation!B45</f>
        <v/>
      </c>
      <c r="C64" s="221" t="str">
        <f ca="1">Calculation!C45</f>
        <v/>
      </c>
      <c r="D64" s="172" t="str">
        <f ca="1">Calculation!AN45</f>
        <v/>
      </c>
      <c r="E64" s="173" t="str">
        <f ca="1">Calculation!D45</f>
        <v/>
      </c>
      <c r="F64" s="174" t="str">
        <f ca="1">Calculation!C45</f>
        <v/>
      </c>
      <c r="G64" s="175" t="str">
        <f ca="1">Calculation!F45</f>
        <v/>
      </c>
      <c r="H64" s="176" t="str">
        <f ca="1">Calculation!AD45</f>
        <v/>
      </c>
      <c r="I64" s="177" t="str">
        <f ca="1">Calculation!AE45</f>
        <v/>
      </c>
      <c r="J64" s="272" t="str">
        <f ca="1">IF(Calculation!Q45="","Selection",Calculation!Q45)</f>
        <v>Selection</v>
      </c>
      <c r="K64" s="179" t="str">
        <f ca="1">Calculation!T45</f>
        <v/>
      </c>
      <c r="L64" s="180" t="str">
        <f ca="1">Calculation!U45</f>
        <v>-</v>
      </c>
      <c r="M64" s="180" t="str">
        <f ca="1">Calculation!V45</f>
        <v>-</v>
      </c>
      <c r="N64" s="181"/>
      <c r="O64" s="180" t="str">
        <f ca="1">Calculation!X45</f>
        <v>-</v>
      </c>
      <c r="P64" s="180" t="str">
        <f ca="1">Calculation!Y45</f>
        <v>-</v>
      </c>
      <c r="Q64" s="273"/>
      <c r="R64" s="182" t="str">
        <f ca="1">IF(AND(L64&lt;&gt;"-",Q64&lt;&gt;"bypass"),IFERROR(IF((U64*$R$23/0.05)-SUM(S64:U64)&gt;0,(U64*$R$23/0.05)-SUM(S64:U64),0),"-"),Calculation!AH45)</f>
        <v>-</v>
      </c>
      <c r="S64" s="179" t="str">
        <f ca="1">IF(AND(L64&lt;&gt;"-",Q64&lt;&gt;"bypass"),IFERROR(X64*((H64*10^-12-H64*10^-12*I64)/(Calculation!$U$8*10^-9)),"-"),Calculation!AF45)</f>
        <v>-</v>
      </c>
      <c r="T64" s="179" t="str">
        <f ca="1">IF(AND(L64&lt;&gt;"-",Q64&lt;&gt;"bypass"),IFERROR(H64*I64*X64/(IF(Cluster!AA64=Cluster!$W$8,Cluster!$W$10,IF(Cluster!AA64=Cluster!$X$8,Cluster!$X$10,IF(Cluster!AA64=Cluster!$Y$8,Cluster!$Y$10,0)))*10^3),"-"),Calculation!AK45)</f>
        <v>-</v>
      </c>
      <c r="U64" s="179" t="str">
        <f ca="1">IF(AND(L64&lt;&gt;"-",Q64&lt;&gt;"bypass"),IFERROR((0.5/50)*X64/$R$23,"-"),Calculation!AG45)</f>
        <v>-</v>
      </c>
      <c r="V64" s="179" t="str">
        <f ca="1">IF(AND(L64&lt;&gt;"-",Q64&lt;&gt;"bypass"),IFERROR(5/50*X64,"-"),Calculation!AI45)</f>
        <v>-</v>
      </c>
      <c r="W64" s="179" t="str">
        <f ca="1">IF(AND(L64&lt;&gt;"-",Q64&lt;&gt;"bypass"),IFERROR(35/50*X64,"-"),Calculation!AJ45)</f>
        <v>-</v>
      </c>
      <c r="X64" s="179" t="str">
        <f ca="1">IF(AND(L64&lt;&gt;"-",Q64&lt;&gt;"bypass"),$W$23,Calculation!AL45)</f>
        <v>-</v>
      </c>
      <c r="Y64" s="183" t="str">
        <f ca="1">IF(AND(L64&lt;&gt;"-",Q64&lt;&gt;"bypass"),IFERROR($R$23*U64/SUM(R64:U64),"-"),Calculation!AP45)</f>
        <v>-</v>
      </c>
      <c r="Z64" s="184" t="str">
        <f t="shared" ca="1" si="0"/>
        <v>-</v>
      </c>
      <c r="AA64" s="185" t="str">
        <f ca="1">IFERROR(IF(I64=0,"-",IF(AND(ROUND(H64*I64*X64/($W$10*10^3),1)&gt;=Calculation!$O$6,ROUND((((U64)*$R$23/0.05)-((S64)+(H64*I64*X64/($W$10*10^3))+(U64))),1)&gt;=0),Cluster!$W$8,IF(AND(ROUND(H64*I64*X64/($X$10*10^3),1)&gt;=Calculation!$O$6,ROUND((((U64)*$R$23/0.05)-((S64)+(H64*I64*X64/($X$10*10^3))+(U64))),1)&gt;=0),Cluster!$X$8,IF(AND(ROUND(H64*I64*X64/($Y$10*10^3),1)&gt;=Calculation!$O$6,ROUND((((U64)*$R$23/0.05)-((S64)+(H64*I64*X64/($Y$10*10^3))+(U64))),1)&gt;=0),Cluster!$Y$8,"Recepie by hand needed")))),"-")</f>
        <v>-</v>
      </c>
      <c r="AB64" s="42"/>
      <c r="AC64" s="37" t="str">
        <f t="shared" ca="1" si="1"/>
        <v>-</v>
      </c>
      <c r="AD64" s="37" t="str">
        <f t="shared" ca="1" si="2"/>
        <v>-</v>
      </c>
      <c r="AE64" s="220" t="str">
        <f t="shared" ca="1" si="3"/>
        <v>-</v>
      </c>
      <c r="AF64" s="37" t="str">
        <f t="shared" ca="1" si="4"/>
        <v>-</v>
      </c>
    </row>
    <row r="65" spans="1:32" ht="14.25" x14ac:dyDescent="0.5">
      <c r="A65" s="170" t="str">
        <f>Calculation!I46</f>
        <v/>
      </c>
      <c r="B65" s="221" t="str">
        <f ca="1">Calculation!B46</f>
        <v/>
      </c>
      <c r="C65" s="221" t="str">
        <f ca="1">Calculation!C46</f>
        <v/>
      </c>
      <c r="D65" s="172" t="str">
        <f ca="1">Calculation!AN46</f>
        <v/>
      </c>
      <c r="E65" s="173" t="str">
        <f ca="1">Calculation!D46</f>
        <v/>
      </c>
      <c r="F65" s="174" t="str">
        <f ca="1">Calculation!C46</f>
        <v/>
      </c>
      <c r="G65" s="175" t="str">
        <f ca="1">Calculation!F46</f>
        <v/>
      </c>
      <c r="H65" s="176" t="str">
        <f ca="1">Calculation!AD46</f>
        <v/>
      </c>
      <c r="I65" s="177" t="str">
        <f ca="1">Calculation!AE46</f>
        <v/>
      </c>
      <c r="J65" s="272" t="str">
        <f ca="1">IF(Calculation!Q46="","Selection",Calculation!Q46)</f>
        <v>Selection</v>
      </c>
      <c r="K65" s="179" t="str">
        <f ca="1">Calculation!T46</f>
        <v/>
      </c>
      <c r="L65" s="180" t="str">
        <f ca="1">Calculation!U46</f>
        <v>-</v>
      </c>
      <c r="M65" s="180" t="str">
        <f ca="1">Calculation!V46</f>
        <v>-</v>
      </c>
      <c r="N65" s="181"/>
      <c r="O65" s="180" t="str">
        <f ca="1">Calculation!X46</f>
        <v>-</v>
      </c>
      <c r="P65" s="180" t="str">
        <f ca="1">Calculation!Y46</f>
        <v>-</v>
      </c>
      <c r="Q65" s="273"/>
      <c r="R65" s="182" t="str">
        <f ca="1">IF(AND(L65&lt;&gt;"-",Q65&lt;&gt;"bypass"),IFERROR(IF((U65*$R$23/0.05)-SUM(S65:U65)&gt;0,(U65*$R$23/0.05)-SUM(S65:U65),0),"-"),Calculation!AH46)</f>
        <v>-</v>
      </c>
      <c r="S65" s="179" t="str">
        <f ca="1">IF(AND(L65&lt;&gt;"-",Q65&lt;&gt;"bypass"),IFERROR(X65*((H65*10^-12-H65*10^-12*I65)/(Calculation!$U$8*10^-9)),"-"),Calculation!AF46)</f>
        <v>-</v>
      </c>
      <c r="T65" s="179" t="str">
        <f ca="1">IF(AND(L65&lt;&gt;"-",Q65&lt;&gt;"bypass"),IFERROR(H65*I65*X65/(IF(Cluster!AA65=Cluster!$W$8,Cluster!$W$10,IF(Cluster!AA65=Cluster!$X$8,Cluster!$X$10,IF(Cluster!AA65=Cluster!$Y$8,Cluster!$Y$10,0)))*10^3),"-"),Calculation!AK46)</f>
        <v>-</v>
      </c>
      <c r="U65" s="179" t="str">
        <f ca="1">IF(AND(L65&lt;&gt;"-",Q65&lt;&gt;"bypass"),IFERROR((0.5/50)*X65/$R$23,"-"),Calculation!AG46)</f>
        <v>-</v>
      </c>
      <c r="V65" s="179" t="str">
        <f ca="1">IF(AND(L65&lt;&gt;"-",Q65&lt;&gt;"bypass"),IFERROR(5/50*X65,"-"),Calculation!AI46)</f>
        <v>-</v>
      </c>
      <c r="W65" s="179" t="str">
        <f ca="1">IF(AND(L65&lt;&gt;"-",Q65&lt;&gt;"bypass"),IFERROR(35/50*X65,"-"),Calculation!AJ46)</f>
        <v>-</v>
      </c>
      <c r="X65" s="179" t="str">
        <f ca="1">IF(AND(L65&lt;&gt;"-",Q65&lt;&gt;"bypass"),$W$23,Calculation!AL46)</f>
        <v>-</v>
      </c>
      <c r="Y65" s="183" t="str">
        <f ca="1">IF(AND(L65&lt;&gt;"-",Q65&lt;&gt;"bypass"),IFERROR($R$23*U65/SUM(R65:U65),"-"),Calculation!AP46)</f>
        <v>-</v>
      </c>
      <c r="Z65" s="184" t="str">
        <f t="shared" ca="1" si="0"/>
        <v>-</v>
      </c>
      <c r="AA65" s="185" t="str">
        <f ca="1">IFERROR(IF(I65=0,"-",IF(AND(ROUND(H65*I65*X65/($W$10*10^3),1)&gt;=Calculation!$O$6,ROUND((((U65)*$R$23/0.05)-((S65)+(H65*I65*X65/($W$10*10^3))+(U65))),1)&gt;=0),Cluster!$W$8,IF(AND(ROUND(H65*I65*X65/($X$10*10^3),1)&gt;=Calculation!$O$6,ROUND((((U65)*$R$23/0.05)-((S65)+(H65*I65*X65/($X$10*10^3))+(U65))),1)&gt;=0),Cluster!$X$8,IF(AND(ROUND(H65*I65*X65/($Y$10*10^3),1)&gt;=Calculation!$O$6,ROUND((((U65)*$R$23/0.05)-((S65)+(H65*I65*X65/($Y$10*10^3))+(U65))),1)&gt;=0),Cluster!$Y$8,"Recepie by hand needed")))),"-")</f>
        <v>-</v>
      </c>
      <c r="AB65" s="42"/>
      <c r="AC65" s="37" t="str">
        <f t="shared" ca="1" si="1"/>
        <v>-</v>
      </c>
      <c r="AD65" s="37" t="str">
        <f t="shared" ca="1" si="2"/>
        <v>-</v>
      </c>
      <c r="AE65" s="220" t="str">
        <f t="shared" ca="1" si="3"/>
        <v>-</v>
      </c>
      <c r="AF65" s="37" t="str">
        <f t="shared" ca="1" si="4"/>
        <v>-</v>
      </c>
    </row>
    <row r="66" spans="1:32" ht="14.25" x14ac:dyDescent="0.5">
      <c r="A66" s="170" t="str">
        <f>Calculation!I47</f>
        <v/>
      </c>
      <c r="B66" s="221" t="str">
        <f ca="1">Calculation!B47</f>
        <v/>
      </c>
      <c r="C66" s="221" t="str">
        <f ca="1">Calculation!C47</f>
        <v/>
      </c>
      <c r="D66" s="172" t="str">
        <f ca="1">Calculation!AN47</f>
        <v/>
      </c>
      <c r="E66" s="173" t="str">
        <f ca="1">Calculation!D47</f>
        <v/>
      </c>
      <c r="F66" s="174" t="str">
        <f ca="1">Calculation!C47</f>
        <v/>
      </c>
      <c r="G66" s="175" t="str">
        <f ca="1">Calculation!F47</f>
        <v/>
      </c>
      <c r="H66" s="176" t="str">
        <f ca="1">Calculation!AD47</f>
        <v/>
      </c>
      <c r="I66" s="177" t="str">
        <f ca="1">Calculation!AE47</f>
        <v/>
      </c>
      <c r="J66" s="272" t="str">
        <f ca="1">IF(Calculation!Q47="","Selection",Calculation!Q47)</f>
        <v>Selection</v>
      </c>
      <c r="K66" s="179" t="str">
        <f ca="1">Calculation!T47</f>
        <v/>
      </c>
      <c r="L66" s="180" t="str">
        <f ca="1">Calculation!U47</f>
        <v>-</v>
      </c>
      <c r="M66" s="180" t="str">
        <f ca="1">Calculation!V47</f>
        <v>-</v>
      </c>
      <c r="N66" s="181"/>
      <c r="O66" s="180" t="str">
        <f ca="1">Calculation!X47</f>
        <v>-</v>
      </c>
      <c r="P66" s="180" t="str">
        <f ca="1">Calculation!Y47</f>
        <v>-</v>
      </c>
      <c r="Q66" s="273"/>
      <c r="R66" s="182" t="str">
        <f ca="1">IF(AND(L66&lt;&gt;"-",Q66&lt;&gt;"bypass"),IFERROR(IF((U66*$R$23/0.05)-SUM(S66:U66)&gt;0,(U66*$R$23/0.05)-SUM(S66:U66),0),"-"),Calculation!AH47)</f>
        <v>-</v>
      </c>
      <c r="S66" s="179" t="str">
        <f ca="1">IF(AND(L66&lt;&gt;"-",Q66&lt;&gt;"bypass"),IFERROR(X66*((H66*10^-12-H66*10^-12*I66)/(Calculation!$U$8*10^-9)),"-"),Calculation!AF47)</f>
        <v>-</v>
      </c>
      <c r="T66" s="179" t="str">
        <f ca="1">IF(AND(L66&lt;&gt;"-",Q66&lt;&gt;"bypass"),IFERROR(H66*I66*X66/(IF(Cluster!AA66=Cluster!$W$8,Cluster!$W$10,IF(Cluster!AA66=Cluster!$X$8,Cluster!$X$10,IF(Cluster!AA66=Cluster!$Y$8,Cluster!$Y$10,0)))*10^3),"-"),Calculation!AK47)</f>
        <v>-</v>
      </c>
      <c r="U66" s="179" t="str">
        <f ca="1">IF(AND(L66&lt;&gt;"-",Q66&lt;&gt;"bypass"),IFERROR((0.5/50)*X66/$R$23,"-"),Calculation!AG47)</f>
        <v>-</v>
      </c>
      <c r="V66" s="179" t="str">
        <f ca="1">IF(AND(L66&lt;&gt;"-",Q66&lt;&gt;"bypass"),IFERROR(5/50*X66,"-"),Calculation!AI47)</f>
        <v>-</v>
      </c>
      <c r="W66" s="179" t="str">
        <f ca="1">IF(AND(L66&lt;&gt;"-",Q66&lt;&gt;"bypass"),IFERROR(35/50*X66,"-"),Calculation!AJ47)</f>
        <v>-</v>
      </c>
      <c r="X66" s="179" t="str">
        <f ca="1">IF(AND(L66&lt;&gt;"-",Q66&lt;&gt;"bypass"),$W$23,Calculation!AL47)</f>
        <v>-</v>
      </c>
      <c r="Y66" s="183" t="str">
        <f ca="1">IF(AND(L66&lt;&gt;"-",Q66&lt;&gt;"bypass"),IFERROR($R$23*U66/SUM(R66:U66),"-"),Calculation!AP47)</f>
        <v>-</v>
      </c>
      <c r="Z66" s="184" t="str">
        <f t="shared" ca="1" si="0"/>
        <v>-</v>
      </c>
      <c r="AA66" s="185" t="str">
        <f ca="1">IFERROR(IF(I66=0,"-",IF(AND(ROUND(H66*I66*X66/($W$10*10^3),1)&gt;=Calculation!$O$6,ROUND((((U66)*$R$23/0.05)-((S66)+(H66*I66*X66/($W$10*10^3))+(U66))),1)&gt;=0),Cluster!$W$8,IF(AND(ROUND(H66*I66*X66/($X$10*10^3),1)&gt;=Calculation!$O$6,ROUND((((U66)*$R$23/0.05)-((S66)+(H66*I66*X66/($X$10*10^3))+(U66))),1)&gt;=0),Cluster!$X$8,IF(AND(ROUND(H66*I66*X66/($Y$10*10^3),1)&gt;=Calculation!$O$6,ROUND((((U66)*$R$23/0.05)-((S66)+(H66*I66*X66/($Y$10*10^3))+(U66))),1)&gt;=0),Cluster!$Y$8,"Recepie by hand needed")))),"-")</f>
        <v>-</v>
      </c>
      <c r="AB66" s="42"/>
      <c r="AC66" s="37" t="str">
        <f t="shared" ca="1" si="1"/>
        <v>-</v>
      </c>
      <c r="AD66" s="37" t="str">
        <f t="shared" ca="1" si="2"/>
        <v>-</v>
      </c>
      <c r="AE66" s="220" t="str">
        <f t="shared" ca="1" si="3"/>
        <v>-</v>
      </c>
      <c r="AF66" s="37" t="str">
        <f t="shared" ca="1" si="4"/>
        <v>-</v>
      </c>
    </row>
    <row r="67" spans="1:32" ht="14.25" x14ac:dyDescent="0.5">
      <c r="A67" s="170" t="str">
        <f>Calculation!I48</f>
        <v/>
      </c>
      <c r="B67" s="221" t="str">
        <f ca="1">Calculation!B48</f>
        <v/>
      </c>
      <c r="C67" s="221" t="str">
        <f ca="1">Calculation!C48</f>
        <v/>
      </c>
      <c r="D67" s="172" t="str">
        <f ca="1">Calculation!AN48</f>
        <v/>
      </c>
      <c r="E67" s="173" t="str">
        <f ca="1">Calculation!D48</f>
        <v/>
      </c>
      <c r="F67" s="174" t="str">
        <f ca="1">Calculation!C48</f>
        <v/>
      </c>
      <c r="G67" s="175" t="str">
        <f ca="1">Calculation!F48</f>
        <v/>
      </c>
      <c r="H67" s="176" t="str">
        <f ca="1">Calculation!AD48</f>
        <v/>
      </c>
      <c r="I67" s="177" t="str">
        <f ca="1">Calculation!AE48</f>
        <v/>
      </c>
      <c r="J67" s="272" t="str">
        <f ca="1">IF(Calculation!Q48="","Selection",Calculation!Q48)</f>
        <v>Selection</v>
      </c>
      <c r="K67" s="179" t="str">
        <f ca="1">Calculation!T48</f>
        <v/>
      </c>
      <c r="L67" s="180" t="str">
        <f ca="1">Calculation!U48</f>
        <v>-</v>
      </c>
      <c r="M67" s="180" t="str">
        <f ca="1">Calculation!V48</f>
        <v>-</v>
      </c>
      <c r="N67" s="181"/>
      <c r="O67" s="180" t="str">
        <f ca="1">Calculation!X48</f>
        <v>-</v>
      </c>
      <c r="P67" s="180" t="str">
        <f ca="1">Calculation!Y48</f>
        <v>-</v>
      </c>
      <c r="Q67" s="273"/>
      <c r="R67" s="182" t="str">
        <f ca="1">IF(AND(L67&lt;&gt;"-",Q67&lt;&gt;"bypass"),IFERROR(IF((U67*$R$23/0.05)-SUM(S67:U67)&gt;0,(U67*$R$23/0.05)-SUM(S67:U67),0),"-"),Calculation!AH48)</f>
        <v>-</v>
      </c>
      <c r="S67" s="179" t="str">
        <f ca="1">IF(AND(L67&lt;&gt;"-",Q67&lt;&gt;"bypass"),IFERROR(X67*((H67*10^-12-H67*10^-12*I67)/(Calculation!$U$8*10^-9)),"-"),Calculation!AF48)</f>
        <v>-</v>
      </c>
      <c r="T67" s="179" t="str">
        <f ca="1">IF(AND(L67&lt;&gt;"-",Q67&lt;&gt;"bypass"),IFERROR(H67*I67*X67/(IF(Cluster!AA67=Cluster!$W$8,Cluster!$W$10,IF(Cluster!AA67=Cluster!$X$8,Cluster!$X$10,IF(Cluster!AA67=Cluster!$Y$8,Cluster!$Y$10,0)))*10^3),"-"),Calculation!AK48)</f>
        <v>-</v>
      </c>
      <c r="U67" s="179" t="str">
        <f ca="1">IF(AND(L67&lt;&gt;"-",Q67&lt;&gt;"bypass"),IFERROR((0.5/50)*X67/$R$23,"-"),Calculation!AG48)</f>
        <v>-</v>
      </c>
      <c r="V67" s="179" t="str">
        <f ca="1">IF(AND(L67&lt;&gt;"-",Q67&lt;&gt;"bypass"),IFERROR(5/50*X67,"-"),Calculation!AI48)</f>
        <v>-</v>
      </c>
      <c r="W67" s="179" t="str">
        <f ca="1">IF(AND(L67&lt;&gt;"-",Q67&lt;&gt;"bypass"),IFERROR(35/50*X67,"-"),Calculation!AJ48)</f>
        <v>-</v>
      </c>
      <c r="X67" s="179" t="str">
        <f ca="1">IF(AND(L67&lt;&gt;"-",Q67&lt;&gt;"bypass"),$W$23,Calculation!AL48)</f>
        <v>-</v>
      </c>
      <c r="Y67" s="183" t="str">
        <f ca="1">IF(AND(L67&lt;&gt;"-",Q67&lt;&gt;"bypass"),IFERROR($R$23*U67/SUM(R67:U67),"-"),Calculation!AP48)</f>
        <v>-</v>
      </c>
      <c r="Z67" s="184" t="str">
        <f t="shared" ca="1" si="0"/>
        <v>-</v>
      </c>
      <c r="AA67" s="185" t="str">
        <f ca="1">IFERROR(IF(I67=0,"-",IF(AND(ROUND(H67*I67*X67/($W$10*10^3),1)&gt;=Calculation!$O$6,ROUND((((U67)*$R$23/0.05)-((S67)+(H67*I67*X67/($W$10*10^3))+(U67))),1)&gt;=0),Cluster!$W$8,IF(AND(ROUND(H67*I67*X67/($X$10*10^3),1)&gt;=Calculation!$O$6,ROUND((((U67)*$R$23/0.05)-((S67)+(H67*I67*X67/($X$10*10^3))+(U67))),1)&gt;=0),Cluster!$X$8,IF(AND(ROUND(H67*I67*X67/($Y$10*10^3),1)&gt;=Calculation!$O$6,ROUND((((U67)*$R$23/0.05)-((S67)+(H67*I67*X67/($Y$10*10^3))+(U67))),1)&gt;=0),Cluster!$Y$8,"Recepie by hand needed")))),"-")</f>
        <v>-</v>
      </c>
      <c r="AB67" s="42"/>
      <c r="AC67" s="37" t="str">
        <f t="shared" ca="1" si="1"/>
        <v>-</v>
      </c>
      <c r="AD67" s="37" t="str">
        <f t="shared" ca="1" si="2"/>
        <v>-</v>
      </c>
      <c r="AE67" s="220" t="str">
        <f t="shared" ca="1" si="3"/>
        <v>-</v>
      </c>
      <c r="AF67" s="37" t="str">
        <f t="shared" ca="1" si="4"/>
        <v>-</v>
      </c>
    </row>
    <row r="68" spans="1:32" ht="14.25" x14ac:dyDescent="0.5">
      <c r="A68" s="170" t="str">
        <f>Calculation!I49</f>
        <v/>
      </c>
      <c r="B68" s="221" t="str">
        <f ca="1">Calculation!B49</f>
        <v/>
      </c>
      <c r="C68" s="221" t="str">
        <f ca="1">Calculation!C49</f>
        <v/>
      </c>
      <c r="D68" s="172" t="str">
        <f ca="1">Calculation!AN49</f>
        <v/>
      </c>
      <c r="E68" s="173" t="str">
        <f ca="1">Calculation!D49</f>
        <v/>
      </c>
      <c r="F68" s="174" t="str">
        <f ca="1">Calculation!C49</f>
        <v/>
      </c>
      <c r="G68" s="175" t="str">
        <f ca="1">Calculation!F49</f>
        <v/>
      </c>
      <c r="H68" s="176" t="str">
        <f ca="1">Calculation!AD49</f>
        <v/>
      </c>
      <c r="I68" s="177" t="str">
        <f ca="1">Calculation!AE49</f>
        <v/>
      </c>
      <c r="J68" s="272" t="str">
        <f ca="1">IF(Calculation!Q49="","Selection",Calculation!Q49)</f>
        <v>Selection</v>
      </c>
      <c r="K68" s="179" t="str">
        <f ca="1">Calculation!T49</f>
        <v/>
      </c>
      <c r="L68" s="180" t="str">
        <f ca="1">Calculation!U49</f>
        <v>-</v>
      </c>
      <c r="M68" s="180" t="str">
        <f ca="1">Calculation!V49</f>
        <v>-</v>
      </c>
      <c r="N68" s="181"/>
      <c r="O68" s="180" t="str">
        <f ca="1">Calculation!X49</f>
        <v>-</v>
      </c>
      <c r="P68" s="180" t="str">
        <f ca="1">Calculation!Y49</f>
        <v>-</v>
      </c>
      <c r="Q68" s="273"/>
      <c r="R68" s="182" t="str">
        <f ca="1">IF(AND(L68&lt;&gt;"-",Q68&lt;&gt;"bypass"),IFERROR(IF((U68*$R$23/0.05)-SUM(S68:U68)&gt;0,(U68*$R$23/0.05)-SUM(S68:U68),0),"-"),Calculation!AH49)</f>
        <v>-</v>
      </c>
      <c r="S68" s="179" t="str">
        <f ca="1">IF(AND(L68&lt;&gt;"-",Q68&lt;&gt;"bypass"),IFERROR(X68*((H68*10^-12-H68*10^-12*I68)/(Calculation!$U$8*10^-9)),"-"),Calculation!AF49)</f>
        <v>-</v>
      </c>
      <c r="T68" s="179" t="str">
        <f ca="1">IF(AND(L68&lt;&gt;"-",Q68&lt;&gt;"bypass"),IFERROR(H68*I68*X68/(IF(Cluster!AA68=Cluster!$W$8,Cluster!$W$10,IF(Cluster!AA68=Cluster!$X$8,Cluster!$X$10,IF(Cluster!AA68=Cluster!$Y$8,Cluster!$Y$10,0)))*10^3),"-"),Calculation!AK49)</f>
        <v>-</v>
      </c>
      <c r="U68" s="179" t="str">
        <f ca="1">IF(AND(L68&lt;&gt;"-",Q68&lt;&gt;"bypass"),IFERROR((0.5/50)*X68/$R$23,"-"),Calculation!AG49)</f>
        <v>-</v>
      </c>
      <c r="V68" s="179" t="str">
        <f ca="1">IF(AND(L68&lt;&gt;"-",Q68&lt;&gt;"bypass"),IFERROR(5/50*X68,"-"),Calculation!AI49)</f>
        <v>-</v>
      </c>
      <c r="W68" s="179" t="str">
        <f ca="1">IF(AND(L68&lt;&gt;"-",Q68&lt;&gt;"bypass"),IFERROR(35/50*X68,"-"),Calculation!AJ49)</f>
        <v>-</v>
      </c>
      <c r="X68" s="179" t="str">
        <f ca="1">IF(AND(L68&lt;&gt;"-",Q68&lt;&gt;"bypass"),$W$23,Calculation!AL49)</f>
        <v>-</v>
      </c>
      <c r="Y68" s="183" t="str">
        <f ca="1">IF(AND(L68&lt;&gt;"-",Q68&lt;&gt;"bypass"),IFERROR($R$23*U68/SUM(R68:U68),"-"),Calculation!AP49)</f>
        <v>-</v>
      </c>
      <c r="Z68" s="184" t="str">
        <f t="shared" ca="1" si="0"/>
        <v>-</v>
      </c>
      <c r="AA68" s="185" t="str">
        <f ca="1">IFERROR(IF(I68=0,"-",IF(AND(ROUND(H68*I68*X68/($W$10*10^3),1)&gt;=Calculation!$O$6,ROUND((((U68)*$R$23/0.05)-((S68)+(H68*I68*X68/($W$10*10^3))+(U68))),1)&gt;=0),Cluster!$W$8,IF(AND(ROUND(H68*I68*X68/($X$10*10^3),1)&gt;=Calculation!$O$6,ROUND((((U68)*$R$23/0.05)-((S68)+(H68*I68*X68/($X$10*10^3))+(U68))),1)&gt;=0),Cluster!$X$8,IF(AND(ROUND(H68*I68*X68/($Y$10*10^3),1)&gt;=Calculation!$O$6,ROUND((((U68)*$R$23/0.05)-((S68)+(H68*I68*X68/($Y$10*10^3))+(U68))),1)&gt;=0),Cluster!$Y$8,"Recepie by hand needed")))),"-")</f>
        <v>-</v>
      </c>
      <c r="AB68" s="42"/>
      <c r="AC68" s="37" t="str">
        <f t="shared" ca="1" si="1"/>
        <v>-</v>
      </c>
      <c r="AD68" s="37" t="str">
        <f t="shared" ca="1" si="2"/>
        <v>-</v>
      </c>
      <c r="AE68" s="220" t="str">
        <f t="shared" ca="1" si="3"/>
        <v>-</v>
      </c>
      <c r="AF68" s="37" t="str">
        <f t="shared" ca="1" si="4"/>
        <v>-</v>
      </c>
    </row>
    <row r="69" spans="1:32" ht="16.5" customHeight="1" x14ac:dyDescent="0.5">
      <c r="A69" s="170" t="str">
        <f>Calculation!I50</f>
        <v/>
      </c>
      <c r="B69" s="221" t="str">
        <f ca="1">Calculation!B50</f>
        <v/>
      </c>
      <c r="C69" s="221" t="str">
        <f ca="1">Calculation!C50</f>
        <v/>
      </c>
      <c r="D69" s="172" t="str">
        <f ca="1">Calculation!AN50</f>
        <v/>
      </c>
      <c r="E69" s="173" t="str">
        <f ca="1">Calculation!D50</f>
        <v/>
      </c>
      <c r="F69" s="174" t="str">
        <f ca="1">Calculation!C50</f>
        <v/>
      </c>
      <c r="G69" s="175" t="str">
        <f ca="1">Calculation!F50</f>
        <v/>
      </c>
      <c r="H69" s="176" t="str">
        <f ca="1">Calculation!AD50</f>
        <v/>
      </c>
      <c r="I69" s="177" t="str">
        <f ca="1">Calculation!AE50</f>
        <v/>
      </c>
      <c r="J69" s="272" t="str">
        <f ca="1">IF(Calculation!Q50="","Selection",Calculation!Q50)</f>
        <v>Selection</v>
      </c>
      <c r="K69" s="179" t="str">
        <f ca="1">Calculation!T50</f>
        <v/>
      </c>
      <c r="L69" s="180" t="str">
        <f ca="1">Calculation!U50</f>
        <v>-</v>
      </c>
      <c r="M69" s="180" t="str">
        <f ca="1">Calculation!V50</f>
        <v>-</v>
      </c>
      <c r="N69" s="181"/>
      <c r="O69" s="180" t="str">
        <f ca="1">Calculation!X50</f>
        <v>-</v>
      </c>
      <c r="P69" s="180" t="str">
        <f ca="1">Calculation!Y50</f>
        <v>-</v>
      </c>
      <c r="Q69" s="273"/>
      <c r="R69" s="182" t="str">
        <f ca="1">IF(AND(L69&lt;&gt;"-",Q69&lt;&gt;"bypass"),IFERROR(IF((U69*$R$23/0.05)-SUM(S69:U69)&gt;0,(U69*$R$23/0.05)-SUM(S69:U69),0),"-"),Calculation!AH50)</f>
        <v>-</v>
      </c>
      <c r="S69" s="179" t="str">
        <f ca="1">IF(AND(L69&lt;&gt;"-",Q69&lt;&gt;"bypass"),IFERROR(X69*((H69*10^-12-H69*10^-12*I69)/(Calculation!$U$8*10^-9)),"-"),Calculation!AF50)</f>
        <v>-</v>
      </c>
      <c r="T69" s="179" t="str">
        <f ca="1">IF(AND(L69&lt;&gt;"-",Q69&lt;&gt;"bypass"),IFERROR(H69*I69*X69/(IF(Cluster!AA69=Cluster!$W$8,Cluster!$W$10,IF(Cluster!AA69=Cluster!$X$8,Cluster!$X$10,IF(Cluster!AA69=Cluster!$Y$8,Cluster!$Y$10,0)))*10^3),"-"),Calculation!AK50)</f>
        <v>-</v>
      </c>
      <c r="U69" s="179" t="str">
        <f ca="1">IF(AND(L69&lt;&gt;"-",Q69&lt;&gt;"bypass"),IFERROR((0.5/50)*X69/$R$23,"-"),Calculation!AG50)</f>
        <v>-</v>
      </c>
      <c r="V69" s="179" t="str">
        <f ca="1">IF(AND(L69&lt;&gt;"-",Q69&lt;&gt;"bypass"),IFERROR(5/50*X69,"-"),Calculation!AI50)</f>
        <v>-</v>
      </c>
      <c r="W69" s="179" t="str">
        <f ca="1">IF(AND(L69&lt;&gt;"-",Q69&lt;&gt;"bypass"),IFERROR(35/50*X69,"-"),Calculation!AJ50)</f>
        <v>-</v>
      </c>
      <c r="X69" s="179" t="str">
        <f ca="1">IF(AND(L69&lt;&gt;"-",Q69&lt;&gt;"bypass"),$W$23,Calculation!AL50)</f>
        <v>-</v>
      </c>
      <c r="Y69" s="183" t="str">
        <f ca="1">IF(AND(L69&lt;&gt;"-",Q69&lt;&gt;"bypass"),IFERROR($R$23*U69/SUM(R69:U69),"-"),Calculation!AP50)</f>
        <v>-</v>
      </c>
      <c r="Z69" s="184" t="str">
        <f t="shared" ca="1" si="0"/>
        <v>-</v>
      </c>
      <c r="AA69" s="185" t="str">
        <f ca="1">IFERROR(IF(I69=0,"-",IF(AND(ROUND(H69*I69*X69/($W$10*10^3),1)&gt;=Calculation!$O$6,ROUND((((U69)*$R$23/0.05)-((S69)+(H69*I69*X69/($W$10*10^3))+(U69))),1)&gt;=0),Cluster!$W$8,IF(AND(ROUND(H69*I69*X69/($X$10*10^3),1)&gt;=Calculation!$O$6,ROUND((((U69)*$R$23/0.05)-((S69)+(H69*I69*X69/($X$10*10^3))+(U69))),1)&gt;=0),Cluster!$X$8,IF(AND(ROUND(H69*I69*X69/($Y$10*10^3),1)&gt;=Calculation!$O$6,ROUND((((U69)*$R$23/0.05)-((S69)+(H69*I69*X69/($Y$10*10^3))+(U69))),1)&gt;=0),Cluster!$Y$8,"Recepie by hand needed")))),"-")</f>
        <v>-</v>
      </c>
      <c r="AC69" s="37" t="str">
        <f t="shared" ca="1" si="1"/>
        <v>-</v>
      </c>
      <c r="AD69" s="37" t="str">
        <f t="shared" ca="1" si="2"/>
        <v>-</v>
      </c>
      <c r="AE69" s="220" t="str">
        <f t="shared" ca="1" si="3"/>
        <v>-</v>
      </c>
      <c r="AF69" s="37" t="str">
        <f t="shared" ca="1" si="4"/>
        <v>-</v>
      </c>
    </row>
    <row r="70" spans="1:32" ht="14.25" x14ac:dyDescent="0.5">
      <c r="A70" s="170" t="str">
        <f>Calculation!I51</f>
        <v/>
      </c>
      <c r="B70" s="221" t="str">
        <f ca="1">Calculation!B51</f>
        <v/>
      </c>
      <c r="C70" s="221" t="str">
        <f ca="1">Calculation!C51</f>
        <v/>
      </c>
      <c r="D70" s="172" t="str">
        <f ca="1">Calculation!AN51</f>
        <v/>
      </c>
      <c r="E70" s="173" t="str">
        <f ca="1">Calculation!D51</f>
        <v/>
      </c>
      <c r="F70" s="174" t="str">
        <f ca="1">Calculation!C51</f>
        <v/>
      </c>
      <c r="G70" s="175" t="str">
        <f ca="1">Calculation!F51</f>
        <v/>
      </c>
      <c r="H70" s="176" t="str">
        <f ca="1">Calculation!AD51</f>
        <v/>
      </c>
      <c r="I70" s="177" t="str">
        <f ca="1">Calculation!AE51</f>
        <v/>
      </c>
      <c r="J70" s="272" t="str">
        <f ca="1">IF(Calculation!Q51="","Selection",Calculation!Q51)</f>
        <v>Selection</v>
      </c>
      <c r="K70" s="179" t="str">
        <f ca="1">Calculation!T51</f>
        <v/>
      </c>
      <c r="L70" s="180" t="str">
        <f ca="1">Calculation!U51</f>
        <v>-</v>
      </c>
      <c r="M70" s="180" t="str">
        <f ca="1">Calculation!V51</f>
        <v>-</v>
      </c>
      <c r="N70" s="181"/>
      <c r="O70" s="180" t="str">
        <f ca="1">Calculation!X51</f>
        <v>-</v>
      </c>
      <c r="P70" s="180" t="str">
        <f ca="1">Calculation!Y51</f>
        <v>-</v>
      </c>
      <c r="Q70" s="273"/>
      <c r="R70" s="182" t="str">
        <f ca="1">IF(AND(L70&lt;&gt;"-",Q70&lt;&gt;"bypass"),IFERROR(IF((U70*$R$23/0.05)-SUM(S70:U70)&gt;0,(U70*$R$23/0.05)-SUM(S70:U70),0),"-"),Calculation!AH51)</f>
        <v>-</v>
      </c>
      <c r="S70" s="179" t="str">
        <f ca="1">IF(AND(L70&lt;&gt;"-",Q70&lt;&gt;"bypass"),IFERROR(X70*((H70*10^-12-H70*10^-12*I70)/(Calculation!$U$8*10^-9)),"-"),Calculation!AF51)</f>
        <v>-</v>
      </c>
      <c r="T70" s="179" t="str">
        <f ca="1">IF(AND(L70&lt;&gt;"-",Q70&lt;&gt;"bypass"),IFERROR(H70*I70*X70/(IF(Cluster!AA70=Cluster!$W$8,Cluster!$W$10,IF(Cluster!AA70=Cluster!$X$8,Cluster!$X$10,IF(Cluster!AA70=Cluster!$Y$8,Cluster!$Y$10,0)))*10^3),"-"),Calculation!AK51)</f>
        <v>-</v>
      </c>
      <c r="U70" s="179" t="str">
        <f ca="1">IF(AND(L70&lt;&gt;"-",Q70&lt;&gt;"bypass"),IFERROR((0.5/50)*X70/$R$23,"-"),Calculation!AG51)</f>
        <v>-</v>
      </c>
      <c r="V70" s="179" t="str">
        <f ca="1">IF(AND(L70&lt;&gt;"-",Q70&lt;&gt;"bypass"),IFERROR(5/50*X70,"-"),Calculation!AI51)</f>
        <v>-</v>
      </c>
      <c r="W70" s="179" t="str">
        <f ca="1">IF(AND(L70&lt;&gt;"-",Q70&lt;&gt;"bypass"),IFERROR(35/50*X70,"-"),Calculation!AJ51)</f>
        <v>-</v>
      </c>
      <c r="X70" s="179" t="str">
        <f ca="1">IF(AND(L70&lt;&gt;"-",Q70&lt;&gt;"bypass"),$W$23,Calculation!AL51)</f>
        <v>-</v>
      </c>
      <c r="Y70" s="183" t="str">
        <f ca="1">IF(AND(L70&lt;&gt;"-",Q70&lt;&gt;"bypass"),IFERROR($R$23*U70/SUM(R70:U70),"-"),Calculation!AP51)</f>
        <v>-</v>
      </c>
      <c r="Z70" s="184" t="str">
        <f t="shared" ca="1" si="0"/>
        <v>-</v>
      </c>
      <c r="AA70" s="185" t="str">
        <f ca="1">IFERROR(IF(I70=0,"-",IF(AND(ROUND(H70*I70*X70/($W$10*10^3),1)&gt;=Calculation!$O$6,ROUND((((U70)*$R$23/0.05)-((S70)+(H70*I70*X70/($W$10*10^3))+(U70))),1)&gt;=0),Cluster!$W$8,IF(AND(ROUND(H70*I70*X70/($X$10*10^3),1)&gt;=Calculation!$O$6,ROUND((((U70)*$R$23/0.05)-((S70)+(H70*I70*X70/($X$10*10^3))+(U70))),1)&gt;=0),Cluster!$X$8,IF(AND(ROUND(H70*I70*X70/($Y$10*10^3),1)&gt;=Calculation!$O$6,ROUND((((U70)*$R$23/0.05)-((S70)+(H70*I70*X70/($Y$10*10^3))+(U70))),1)&gt;=0),Cluster!$Y$8,"Recepie by hand needed")))),"-")</f>
        <v>-</v>
      </c>
      <c r="AC70" s="37" t="str">
        <f t="shared" ca="1" si="1"/>
        <v>-</v>
      </c>
      <c r="AD70" s="37" t="str">
        <f t="shared" ca="1" si="2"/>
        <v>-</v>
      </c>
      <c r="AE70" s="220" t="str">
        <f t="shared" ca="1" si="3"/>
        <v>-</v>
      </c>
      <c r="AF70" s="37" t="str">
        <f t="shared" ca="1" si="4"/>
        <v>-</v>
      </c>
    </row>
    <row r="71" spans="1:32" ht="14.25" x14ac:dyDescent="0.5">
      <c r="A71" s="170" t="str">
        <f>Calculation!I52</f>
        <v/>
      </c>
      <c r="B71" s="221" t="str">
        <f ca="1">Calculation!B52</f>
        <v/>
      </c>
      <c r="C71" s="221" t="str">
        <f ca="1">Calculation!C52</f>
        <v/>
      </c>
      <c r="D71" s="172" t="str">
        <f ca="1">Calculation!AN52</f>
        <v/>
      </c>
      <c r="E71" s="173" t="str">
        <f ca="1">Calculation!D52</f>
        <v/>
      </c>
      <c r="F71" s="174" t="str">
        <f ca="1">Calculation!C52</f>
        <v/>
      </c>
      <c r="G71" s="175" t="str">
        <f ca="1">Calculation!F52</f>
        <v/>
      </c>
      <c r="H71" s="176" t="str">
        <f ca="1">Calculation!AD52</f>
        <v/>
      </c>
      <c r="I71" s="177" t="str">
        <f ca="1">Calculation!AE52</f>
        <v/>
      </c>
      <c r="J71" s="272" t="str">
        <f ca="1">IF(Calculation!Q52="","Selection",Calculation!Q52)</f>
        <v>Selection</v>
      </c>
      <c r="K71" s="179" t="str">
        <f ca="1">Calculation!T52</f>
        <v/>
      </c>
      <c r="L71" s="180" t="str">
        <f ca="1">Calculation!U52</f>
        <v>-</v>
      </c>
      <c r="M71" s="180" t="str">
        <f ca="1">Calculation!V52</f>
        <v>-</v>
      </c>
      <c r="N71" s="181"/>
      <c r="O71" s="180" t="str">
        <f ca="1">Calculation!X52</f>
        <v>-</v>
      </c>
      <c r="P71" s="180" t="str">
        <f ca="1">Calculation!Y52</f>
        <v>-</v>
      </c>
      <c r="Q71" s="273"/>
      <c r="R71" s="182" t="str">
        <f ca="1">IF(AND(L71&lt;&gt;"-",Q71&lt;&gt;"bypass"),IFERROR(IF((U71*$R$23/0.05)-SUM(S71:U71)&gt;0,(U71*$R$23/0.05)-SUM(S71:U71),0),"-"),Calculation!AH52)</f>
        <v>-</v>
      </c>
      <c r="S71" s="179" t="str">
        <f ca="1">IF(AND(L71&lt;&gt;"-",Q71&lt;&gt;"bypass"),IFERROR(X71*((H71*10^-12-H71*10^-12*I71)/(Calculation!$U$8*10^-9)),"-"),Calculation!AF52)</f>
        <v>-</v>
      </c>
      <c r="T71" s="179" t="str">
        <f ca="1">IF(AND(L71&lt;&gt;"-",Q71&lt;&gt;"bypass"),IFERROR(H71*I71*X71/(IF(Cluster!AA71=Cluster!$W$8,Cluster!$W$10,IF(Cluster!AA71=Cluster!$X$8,Cluster!$X$10,IF(Cluster!AA71=Cluster!$Y$8,Cluster!$Y$10,0)))*10^3),"-"),Calculation!AK52)</f>
        <v>-</v>
      </c>
      <c r="U71" s="179" t="str">
        <f ca="1">IF(AND(L71&lt;&gt;"-",Q71&lt;&gt;"bypass"),IFERROR((0.5/50)*X71/$R$23,"-"),Calculation!AG52)</f>
        <v>-</v>
      </c>
      <c r="V71" s="179" t="str">
        <f ca="1">IF(AND(L71&lt;&gt;"-",Q71&lt;&gt;"bypass"),IFERROR(5/50*X71,"-"),Calculation!AI52)</f>
        <v>-</v>
      </c>
      <c r="W71" s="179" t="str">
        <f ca="1">IF(AND(L71&lt;&gt;"-",Q71&lt;&gt;"bypass"),IFERROR(35/50*X71,"-"),Calculation!AJ52)</f>
        <v>-</v>
      </c>
      <c r="X71" s="179" t="str">
        <f ca="1">IF(AND(L71&lt;&gt;"-",Q71&lt;&gt;"bypass"),$W$23,Calculation!AL52)</f>
        <v>-</v>
      </c>
      <c r="Y71" s="183" t="str">
        <f ca="1">IF(AND(L71&lt;&gt;"-",Q71&lt;&gt;"bypass"),IFERROR($R$23*U71/SUM(R71:U71),"-"),Calculation!AP52)</f>
        <v>-</v>
      </c>
      <c r="Z71" s="184" t="str">
        <f t="shared" ca="1" si="0"/>
        <v>-</v>
      </c>
      <c r="AA71" s="185" t="str">
        <f ca="1">IFERROR(IF(I71=0,"-",IF(AND(ROUND(H71*I71*X71/($W$10*10^3),1)&gt;=Calculation!$O$6,ROUND((((U71)*$R$23/0.05)-((S71)+(H71*I71*X71/($W$10*10^3))+(U71))),1)&gt;=0),Cluster!$W$8,IF(AND(ROUND(H71*I71*X71/($X$10*10^3),1)&gt;=Calculation!$O$6,ROUND((((U71)*$R$23/0.05)-((S71)+(H71*I71*X71/($X$10*10^3))+(U71))),1)&gt;=0),Cluster!$X$8,IF(AND(ROUND(H71*I71*X71/($Y$10*10^3),1)&gt;=Calculation!$O$6,ROUND((((U71)*$R$23/0.05)-((S71)+(H71*I71*X71/($Y$10*10^3))+(U71))),1)&gt;=0),Cluster!$Y$8,"Recepie by hand needed")))),"-")</f>
        <v>-</v>
      </c>
      <c r="AC71" s="37" t="str">
        <f t="shared" ca="1" si="1"/>
        <v>-</v>
      </c>
      <c r="AD71" s="37" t="str">
        <f t="shared" ca="1" si="2"/>
        <v>-</v>
      </c>
      <c r="AE71" s="220" t="str">
        <f t="shared" ca="1" si="3"/>
        <v>-</v>
      </c>
      <c r="AF71" s="37" t="str">
        <f t="shared" ca="1" si="4"/>
        <v>-</v>
      </c>
    </row>
    <row r="72" spans="1:32" ht="14.25" x14ac:dyDescent="0.5">
      <c r="A72" s="170" t="str">
        <f>Calculation!I53</f>
        <v/>
      </c>
      <c r="B72" s="221" t="str">
        <f ca="1">Calculation!B53</f>
        <v/>
      </c>
      <c r="C72" s="221" t="str">
        <f ca="1">Calculation!C53</f>
        <v/>
      </c>
      <c r="D72" s="172" t="str">
        <f ca="1">Calculation!AN53</f>
        <v/>
      </c>
      <c r="E72" s="173" t="str">
        <f ca="1">Calculation!D53</f>
        <v/>
      </c>
      <c r="F72" s="174" t="str">
        <f ca="1">Calculation!C53</f>
        <v/>
      </c>
      <c r="G72" s="175" t="str">
        <f ca="1">Calculation!F53</f>
        <v/>
      </c>
      <c r="H72" s="176" t="str">
        <f ca="1">Calculation!AD53</f>
        <v/>
      </c>
      <c r="I72" s="177" t="str">
        <f ca="1">Calculation!AE53</f>
        <v/>
      </c>
      <c r="J72" s="272" t="str">
        <f ca="1">IF(Calculation!Q53="","Selection",Calculation!Q53)</f>
        <v>Selection</v>
      </c>
      <c r="K72" s="179" t="str">
        <f ca="1">Calculation!T53</f>
        <v/>
      </c>
      <c r="L72" s="180" t="str">
        <f ca="1">Calculation!U53</f>
        <v>-</v>
      </c>
      <c r="M72" s="180" t="str">
        <f ca="1">Calculation!V53</f>
        <v>-</v>
      </c>
      <c r="N72" s="181"/>
      <c r="O72" s="180" t="str">
        <f ca="1">Calculation!X53</f>
        <v>-</v>
      </c>
      <c r="P72" s="180" t="str">
        <f ca="1">Calculation!Y53</f>
        <v>-</v>
      </c>
      <c r="Q72" s="273"/>
      <c r="R72" s="182" t="str">
        <f ca="1">IF(AND(L72&lt;&gt;"-",Q72&lt;&gt;"bypass"),IFERROR(IF((U72*$R$23/0.05)-SUM(S72:U72)&gt;0,(U72*$R$23/0.05)-SUM(S72:U72),0),"-"),Calculation!AH53)</f>
        <v>-</v>
      </c>
      <c r="S72" s="179" t="str">
        <f ca="1">IF(AND(L72&lt;&gt;"-",Q72&lt;&gt;"bypass"),IFERROR(X72*((H72*10^-12-H72*10^-12*I72)/(Calculation!$U$8*10^-9)),"-"),Calculation!AF53)</f>
        <v>-</v>
      </c>
      <c r="T72" s="179" t="str">
        <f ca="1">IF(AND(L72&lt;&gt;"-",Q72&lt;&gt;"bypass"),IFERROR(H72*I72*X72/(IF(Cluster!AA72=Cluster!$W$8,Cluster!$W$10,IF(Cluster!AA72=Cluster!$X$8,Cluster!$X$10,IF(Cluster!AA72=Cluster!$Y$8,Cluster!$Y$10,0)))*10^3),"-"),Calculation!AK53)</f>
        <v>-</v>
      </c>
      <c r="U72" s="179" t="str">
        <f ca="1">IF(AND(L72&lt;&gt;"-",Q72&lt;&gt;"bypass"),IFERROR((0.5/50)*X72/$R$23,"-"),Calculation!AG53)</f>
        <v>-</v>
      </c>
      <c r="V72" s="179" t="str">
        <f ca="1">IF(AND(L72&lt;&gt;"-",Q72&lt;&gt;"bypass"),IFERROR(5/50*X72,"-"),Calculation!AI53)</f>
        <v>-</v>
      </c>
      <c r="W72" s="179" t="str">
        <f ca="1">IF(AND(L72&lt;&gt;"-",Q72&lt;&gt;"bypass"),IFERROR(35/50*X72,"-"),Calculation!AJ53)</f>
        <v>-</v>
      </c>
      <c r="X72" s="179" t="str">
        <f ca="1">IF(AND(L72&lt;&gt;"-",Q72&lt;&gt;"bypass"),$W$23,Calculation!AL53)</f>
        <v>-</v>
      </c>
      <c r="Y72" s="183" t="str">
        <f ca="1">IF(AND(L72&lt;&gt;"-",Q72&lt;&gt;"bypass"),IFERROR($R$23*U72/SUM(R72:U72),"-"),Calculation!AP53)</f>
        <v>-</v>
      </c>
      <c r="Z72" s="184" t="str">
        <f t="shared" ca="1" si="0"/>
        <v>-</v>
      </c>
      <c r="AA72" s="185" t="str">
        <f ca="1">IFERROR(IF(I72=0,"-",IF(AND(ROUND(H72*I72*X72/($W$10*10^3),1)&gt;=Calculation!$O$6,ROUND((((U72)*$R$23/0.05)-((S72)+(H72*I72*X72/($W$10*10^3))+(U72))),1)&gt;=0),Cluster!$W$8,IF(AND(ROUND(H72*I72*X72/($X$10*10^3),1)&gt;=Calculation!$O$6,ROUND((((U72)*$R$23/0.05)-((S72)+(H72*I72*X72/($X$10*10^3))+(U72))),1)&gt;=0),Cluster!$X$8,IF(AND(ROUND(H72*I72*X72/($Y$10*10^3),1)&gt;=Calculation!$O$6,ROUND((((U72)*$R$23/0.05)-((S72)+(H72*I72*X72/($Y$10*10^3))+(U72))),1)&gt;=0),Cluster!$Y$8,"Recepie by hand needed")))),"-")</f>
        <v>-</v>
      </c>
      <c r="AC72" s="37" t="str">
        <f t="shared" ca="1" si="1"/>
        <v>-</v>
      </c>
      <c r="AD72" s="37" t="str">
        <f t="shared" ca="1" si="2"/>
        <v>-</v>
      </c>
      <c r="AE72" s="220" t="str">
        <f t="shared" ca="1" si="3"/>
        <v>-</v>
      </c>
      <c r="AF72" s="37" t="str">
        <f t="shared" ca="1" si="4"/>
        <v>-</v>
      </c>
    </row>
    <row r="73" spans="1:32" ht="14.25" x14ac:dyDescent="0.5">
      <c r="A73" s="170" t="str">
        <f>Calculation!I54</f>
        <v/>
      </c>
      <c r="B73" s="221" t="str">
        <f ca="1">Calculation!B54</f>
        <v/>
      </c>
      <c r="C73" s="221" t="str">
        <f ca="1">Calculation!C54</f>
        <v/>
      </c>
      <c r="D73" s="172" t="str">
        <f ca="1">Calculation!AN54</f>
        <v/>
      </c>
      <c r="E73" s="173" t="str">
        <f ca="1">Calculation!D54</f>
        <v/>
      </c>
      <c r="F73" s="174" t="str">
        <f ca="1">Calculation!C54</f>
        <v/>
      </c>
      <c r="G73" s="175" t="str">
        <f ca="1">Calculation!F54</f>
        <v/>
      </c>
      <c r="H73" s="176" t="str">
        <f ca="1">Calculation!AD54</f>
        <v/>
      </c>
      <c r="I73" s="177" t="str">
        <f ca="1">Calculation!AE54</f>
        <v/>
      </c>
      <c r="J73" s="272" t="str">
        <f ca="1">IF(Calculation!Q54="","Selection",Calculation!Q54)</f>
        <v>Selection</v>
      </c>
      <c r="K73" s="179" t="str">
        <f ca="1">Calculation!T54</f>
        <v/>
      </c>
      <c r="L73" s="180" t="str">
        <f ca="1">Calculation!U54</f>
        <v>-</v>
      </c>
      <c r="M73" s="180" t="str">
        <f ca="1">Calculation!V54</f>
        <v>-</v>
      </c>
      <c r="N73" s="181"/>
      <c r="O73" s="180" t="str">
        <f ca="1">Calculation!X54</f>
        <v>-</v>
      </c>
      <c r="P73" s="180" t="str">
        <f ca="1">Calculation!Y54</f>
        <v>-</v>
      </c>
      <c r="Q73" s="273"/>
      <c r="R73" s="182" t="str">
        <f ca="1">IF(AND(L73&lt;&gt;"-",Q73&lt;&gt;"bypass"),IFERROR(IF((U73*$R$23/0.05)-SUM(S73:U73)&gt;0,(U73*$R$23/0.05)-SUM(S73:U73),0),"-"),Calculation!AH54)</f>
        <v>-</v>
      </c>
      <c r="S73" s="179" t="str">
        <f ca="1">IF(AND(L73&lt;&gt;"-",Q73&lt;&gt;"bypass"),IFERROR(X73*((H73*10^-12-H73*10^-12*I73)/(Calculation!$U$8*10^-9)),"-"),Calculation!AF54)</f>
        <v>-</v>
      </c>
      <c r="T73" s="179" t="str">
        <f ca="1">IF(AND(L73&lt;&gt;"-",Q73&lt;&gt;"bypass"),IFERROR(H73*I73*X73/(IF(Cluster!AA73=Cluster!$W$8,Cluster!$W$10,IF(Cluster!AA73=Cluster!$X$8,Cluster!$X$10,IF(Cluster!AA73=Cluster!$Y$8,Cluster!$Y$10,0)))*10^3),"-"),Calculation!AK54)</f>
        <v>-</v>
      </c>
      <c r="U73" s="179" t="str">
        <f ca="1">IF(AND(L73&lt;&gt;"-",Q73&lt;&gt;"bypass"),IFERROR((0.5/50)*X73/$R$23,"-"),Calculation!AG54)</f>
        <v>-</v>
      </c>
      <c r="V73" s="179" t="str">
        <f ca="1">IF(AND(L73&lt;&gt;"-",Q73&lt;&gt;"bypass"),IFERROR(5/50*X73,"-"),Calculation!AI54)</f>
        <v>-</v>
      </c>
      <c r="W73" s="179" t="str">
        <f ca="1">IF(AND(L73&lt;&gt;"-",Q73&lt;&gt;"bypass"),IFERROR(35/50*X73,"-"),Calculation!AJ54)</f>
        <v>-</v>
      </c>
      <c r="X73" s="179" t="str">
        <f ca="1">IF(AND(L73&lt;&gt;"-",Q73&lt;&gt;"bypass"),$W$23,Calculation!AL54)</f>
        <v>-</v>
      </c>
      <c r="Y73" s="183" t="str">
        <f ca="1">IF(AND(L73&lt;&gt;"-",Q73&lt;&gt;"bypass"),IFERROR($R$23*U73/SUM(R73:U73),"-"),Calculation!AP54)</f>
        <v>-</v>
      </c>
      <c r="Z73" s="184" t="str">
        <f t="shared" ca="1" si="0"/>
        <v>-</v>
      </c>
      <c r="AA73" s="185" t="str">
        <f ca="1">IFERROR(IF(I73=0,"-",IF(AND(ROUND(H73*I73*X73/($W$10*10^3),1)&gt;=Calculation!$O$6,ROUND((((U73)*$R$23/0.05)-((S73)+(H73*I73*X73/($W$10*10^3))+(U73))),1)&gt;=0),Cluster!$W$8,IF(AND(ROUND(H73*I73*X73/($X$10*10^3),1)&gt;=Calculation!$O$6,ROUND((((U73)*$R$23/0.05)-((S73)+(H73*I73*X73/($X$10*10^3))+(U73))),1)&gt;=0),Cluster!$X$8,IF(AND(ROUND(H73*I73*X73/($Y$10*10^3),1)&gt;=Calculation!$O$6,ROUND((((U73)*$R$23/0.05)-((S73)+(H73*I73*X73/($Y$10*10^3))+(U73))),1)&gt;=0),Cluster!$Y$8,"Recepie by hand needed")))),"-")</f>
        <v>-</v>
      </c>
      <c r="AC73" s="37" t="str">
        <f t="shared" ca="1" si="1"/>
        <v>-</v>
      </c>
      <c r="AD73" s="37" t="str">
        <f t="shared" ca="1" si="2"/>
        <v>-</v>
      </c>
      <c r="AE73" s="220" t="str">
        <f t="shared" ca="1" si="3"/>
        <v>-</v>
      </c>
      <c r="AF73" s="37" t="str">
        <f t="shared" ca="1" si="4"/>
        <v>-</v>
      </c>
    </row>
    <row r="74" spans="1:32" ht="14.25" x14ac:dyDescent="0.5">
      <c r="A74" s="170" t="str">
        <f>Calculation!I55</f>
        <v/>
      </c>
      <c r="B74" s="221" t="str">
        <f ca="1">Calculation!B55</f>
        <v/>
      </c>
      <c r="C74" s="221" t="str">
        <f ca="1">Calculation!C55</f>
        <v/>
      </c>
      <c r="D74" s="172" t="str">
        <f ca="1">Calculation!AN55</f>
        <v/>
      </c>
      <c r="E74" s="173" t="str">
        <f ca="1">Calculation!D55</f>
        <v/>
      </c>
      <c r="F74" s="174" t="str">
        <f ca="1">Calculation!C55</f>
        <v/>
      </c>
      <c r="G74" s="175" t="str">
        <f ca="1">Calculation!F55</f>
        <v/>
      </c>
      <c r="H74" s="176" t="str">
        <f ca="1">Calculation!AD55</f>
        <v/>
      </c>
      <c r="I74" s="177" t="str">
        <f ca="1">Calculation!AE55</f>
        <v/>
      </c>
      <c r="J74" s="272" t="str">
        <f ca="1">IF(Calculation!Q55="","Selection",Calculation!Q55)</f>
        <v>Selection</v>
      </c>
      <c r="K74" s="179" t="str">
        <f ca="1">Calculation!T55</f>
        <v/>
      </c>
      <c r="L74" s="180" t="str">
        <f ca="1">Calculation!U55</f>
        <v>-</v>
      </c>
      <c r="M74" s="180" t="str">
        <f ca="1">Calculation!V55</f>
        <v>-</v>
      </c>
      <c r="N74" s="181"/>
      <c r="O74" s="180" t="str">
        <f ca="1">Calculation!X55</f>
        <v>-</v>
      </c>
      <c r="P74" s="180" t="str">
        <f ca="1">Calculation!Y55</f>
        <v>-</v>
      </c>
      <c r="Q74" s="273"/>
      <c r="R74" s="182" t="str">
        <f ca="1">IF(AND(L74&lt;&gt;"-",Q74&lt;&gt;"bypass"),IFERROR(IF((U74*$R$23/0.05)-SUM(S74:U74)&gt;0,(U74*$R$23/0.05)-SUM(S74:U74),0),"-"),Calculation!AH55)</f>
        <v>-</v>
      </c>
      <c r="S74" s="179" t="str">
        <f ca="1">IF(AND(L74&lt;&gt;"-",Q74&lt;&gt;"bypass"),IFERROR(X74*((H74*10^-12-H74*10^-12*I74)/(Calculation!$U$8*10^-9)),"-"),Calculation!AF55)</f>
        <v>-</v>
      </c>
      <c r="T74" s="179" t="str">
        <f ca="1">IF(AND(L74&lt;&gt;"-",Q74&lt;&gt;"bypass"),IFERROR(H74*I74*X74/(IF(Cluster!AA74=Cluster!$W$8,Cluster!$W$10,IF(Cluster!AA74=Cluster!$X$8,Cluster!$X$10,IF(Cluster!AA74=Cluster!$Y$8,Cluster!$Y$10,0)))*10^3),"-"),Calculation!AK55)</f>
        <v>-</v>
      </c>
      <c r="U74" s="179" t="str">
        <f ca="1">IF(AND(L74&lt;&gt;"-",Q74&lt;&gt;"bypass"),IFERROR((0.5/50)*X74/$R$23,"-"),Calculation!AG55)</f>
        <v>-</v>
      </c>
      <c r="V74" s="179" t="str">
        <f ca="1">IF(AND(L74&lt;&gt;"-",Q74&lt;&gt;"bypass"),IFERROR(5/50*X74,"-"),Calculation!AI55)</f>
        <v>-</v>
      </c>
      <c r="W74" s="179" t="str">
        <f ca="1">IF(AND(L74&lt;&gt;"-",Q74&lt;&gt;"bypass"),IFERROR(35/50*X74,"-"),Calculation!AJ55)</f>
        <v>-</v>
      </c>
      <c r="X74" s="179" t="str">
        <f ca="1">IF(AND(L74&lt;&gt;"-",Q74&lt;&gt;"bypass"),$W$23,Calculation!AL55)</f>
        <v>-</v>
      </c>
      <c r="Y74" s="183" t="str">
        <f ca="1">IF(AND(L74&lt;&gt;"-",Q74&lt;&gt;"bypass"),IFERROR($R$23*U74/SUM(R74:U74),"-"),Calculation!AP55)</f>
        <v>-</v>
      </c>
      <c r="Z74" s="184" t="str">
        <f t="shared" ca="1" si="0"/>
        <v>-</v>
      </c>
      <c r="AA74" s="185" t="str">
        <f ca="1">IFERROR(IF(I74=0,"-",IF(AND(ROUND(H74*I74*X74/($W$10*10^3),1)&gt;=Calculation!$O$6,ROUND((((U74)*$R$23/0.05)-((S74)+(H74*I74*X74/($W$10*10^3))+(U74))),1)&gt;=0),Cluster!$W$8,IF(AND(ROUND(H74*I74*X74/($X$10*10^3),1)&gt;=Calculation!$O$6,ROUND((((U74)*$R$23/0.05)-((S74)+(H74*I74*X74/($X$10*10^3))+(U74))),1)&gt;=0),Cluster!$X$8,IF(AND(ROUND(H74*I74*X74/($Y$10*10^3),1)&gt;=Calculation!$O$6,ROUND((((U74)*$R$23/0.05)-((S74)+(H74*I74*X74/($Y$10*10^3))+(U74))),1)&gt;=0),Cluster!$Y$8,"Recepie by hand needed")))),"-")</f>
        <v>-</v>
      </c>
      <c r="AC74" s="37" t="str">
        <f t="shared" ca="1" si="1"/>
        <v>-</v>
      </c>
      <c r="AD74" s="37" t="str">
        <f t="shared" ca="1" si="2"/>
        <v>-</v>
      </c>
      <c r="AE74" s="220" t="str">
        <f t="shared" ca="1" si="3"/>
        <v>-</v>
      </c>
      <c r="AF74" s="37" t="str">
        <f t="shared" ca="1" si="4"/>
        <v>-</v>
      </c>
    </row>
    <row r="75" spans="1:32" ht="14.25" x14ac:dyDescent="0.5">
      <c r="A75" s="170" t="str">
        <f>Calculation!I56</f>
        <v/>
      </c>
      <c r="B75" s="221" t="str">
        <f ca="1">Calculation!B56</f>
        <v/>
      </c>
      <c r="C75" s="221" t="str">
        <f ca="1">Calculation!C56</f>
        <v/>
      </c>
      <c r="D75" s="172" t="str">
        <f ca="1">Calculation!AN56</f>
        <v/>
      </c>
      <c r="E75" s="173" t="str">
        <f ca="1">Calculation!D56</f>
        <v/>
      </c>
      <c r="F75" s="174" t="str">
        <f ca="1">Calculation!C56</f>
        <v/>
      </c>
      <c r="G75" s="175" t="str">
        <f ca="1">Calculation!F56</f>
        <v/>
      </c>
      <c r="H75" s="176" t="str">
        <f ca="1">Calculation!AD56</f>
        <v/>
      </c>
      <c r="I75" s="177" t="str">
        <f ca="1">Calculation!AE56</f>
        <v/>
      </c>
      <c r="J75" s="272" t="str">
        <f ca="1">IF(Calculation!Q56="","Selection",Calculation!Q56)</f>
        <v>Selection</v>
      </c>
      <c r="K75" s="179" t="str">
        <f ca="1">Calculation!T56</f>
        <v/>
      </c>
      <c r="L75" s="180" t="str">
        <f ca="1">Calculation!U56</f>
        <v>-</v>
      </c>
      <c r="M75" s="180" t="str">
        <f ca="1">Calculation!V56</f>
        <v>-</v>
      </c>
      <c r="N75" s="181"/>
      <c r="O75" s="180" t="str">
        <f ca="1">Calculation!X56</f>
        <v>-</v>
      </c>
      <c r="P75" s="180" t="str">
        <f ca="1">Calculation!Y56</f>
        <v>-</v>
      </c>
      <c r="Q75" s="273"/>
      <c r="R75" s="182" t="str">
        <f ca="1">IF(AND(L75&lt;&gt;"-",Q75&lt;&gt;"bypass"),IFERROR(IF((U75*$R$23/0.05)-SUM(S75:U75)&gt;0,(U75*$R$23/0.05)-SUM(S75:U75),0),"-"),Calculation!AH56)</f>
        <v>-</v>
      </c>
      <c r="S75" s="179" t="str">
        <f ca="1">IF(AND(L75&lt;&gt;"-",Q75&lt;&gt;"bypass"),IFERROR(X75*((H75*10^-12-H75*10^-12*I75)/(Calculation!$U$8*10^-9)),"-"),Calculation!AF56)</f>
        <v>-</v>
      </c>
      <c r="T75" s="179" t="str">
        <f ca="1">IF(AND(L75&lt;&gt;"-",Q75&lt;&gt;"bypass"),IFERROR(H75*I75*X75/(IF(Cluster!AA75=Cluster!$W$8,Cluster!$W$10,IF(Cluster!AA75=Cluster!$X$8,Cluster!$X$10,IF(Cluster!AA75=Cluster!$Y$8,Cluster!$Y$10,0)))*10^3),"-"),Calculation!AK56)</f>
        <v>-</v>
      </c>
      <c r="U75" s="179" t="str">
        <f ca="1">IF(AND(L75&lt;&gt;"-",Q75&lt;&gt;"bypass"),IFERROR((0.5/50)*X75/$R$23,"-"),Calculation!AG56)</f>
        <v>-</v>
      </c>
      <c r="V75" s="179" t="str">
        <f ca="1">IF(AND(L75&lt;&gt;"-",Q75&lt;&gt;"bypass"),IFERROR(5/50*X75,"-"),Calculation!AI56)</f>
        <v>-</v>
      </c>
      <c r="W75" s="179" t="str">
        <f ca="1">IF(AND(L75&lt;&gt;"-",Q75&lt;&gt;"bypass"),IFERROR(35/50*X75,"-"),Calculation!AJ56)</f>
        <v>-</v>
      </c>
      <c r="X75" s="179" t="str">
        <f ca="1">IF(AND(L75&lt;&gt;"-",Q75&lt;&gt;"bypass"),$W$23,Calculation!AL56)</f>
        <v>-</v>
      </c>
      <c r="Y75" s="183" t="str">
        <f ca="1">IF(AND(L75&lt;&gt;"-",Q75&lt;&gt;"bypass"),IFERROR($R$23*U75/SUM(R75:U75),"-"),Calculation!AP56)</f>
        <v>-</v>
      </c>
      <c r="Z75" s="184" t="str">
        <f t="shared" ca="1" si="0"/>
        <v>-</v>
      </c>
      <c r="AA75" s="185" t="str">
        <f ca="1">IFERROR(IF(I75=0,"-",IF(AND(ROUND(H75*I75*X75/($W$10*10^3),1)&gt;=Calculation!$O$6,ROUND((((U75)*$R$23/0.05)-((S75)+(H75*I75*X75/($W$10*10^3))+(U75))),1)&gt;=0),Cluster!$W$8,IF(AND(ROUND(H75*I75*X75/($X$10*10^3),1)&gt;=Calculation!$O$6,ROUND((((U75)*$R$23/0.05)-((S75)+(H75*I75*X75/($X$10*10^3))+(U75))),1)&gt;=0),Cluster!$X$8,IF(AND(ROUND(H75*I75*X75/($Y$10*10^3),1)&gt;=Calculation!$O$6,ROUND((((U75)*$R$23/0.05)-((S75)+(H75*I75*X75/($Y$10*10^3))+(U75))),1)&gt;=0),Cluster!$Y$8,"Recepie by hand needed")))),"-")</f>
        <v>-</v>
      </c>
      <c r="AC75" s="37" t="str">
        <f t="shared" ca="1" si="1"/>
        <v>-</v>
      </c>
      <c r="AD75" s="37" t="str">
        <f t="shared" ca="1" si="2"/>
        <v>-</v>
      </c>
      <c r="AE75" s="220" t="str">
        <f t="shared" ca="1" si="3"/>
        <v>-</v>
      </c>
      <c r="AF75" s="37" t="str">
        <f t="shared" ca="1" si="4"/>
        <v>-</v>
      </c>
    </row>
    <row r="76" spans="1:32" ht="14.25" x14ac:dyDescent="0.5">
      <c r="A76" s="170" t="str">
        <f>Calculation!I57</f>
        <v/>
      </c>
      <c r="B76" s="221" t="str">
        <f ca="1">Calculation!B57</f>
        <v/>
      </c>
      <c r="C76" s="221" t="str">
        <f ca="1">Calculation!C57</f>
        <v/>
      </c>
      <c r="D76" s="172" t="str">
        <f ca="1">Calculation!AN57</f>
        <v/>
      </c>
      <c r="E76" s="173" t="str">
        <f ca="1">Calculation!D57</f>
        <v/>
      </c>
      <c r="F76" s="174" t="str">
        <f ca="1">Calculation!C57</f>
        <v/>
      </c>
      <c r="G76" s="175" t="str">
        <f ca="1">Calculation!F57</f>
        <v/>
      </c>
      <c r="H76" s="176" t="str">
        <f ca="1">Calculation!AD57</f>
        <v/>
      </c>
      <c r="I76" s="177" t="str">
        <f ca="1">Calculation!AE57</f>
        <v/>
      </c>
      <c r="J76" s="272" t="str">
        <f ca="1">IF(Calculation!Q57="","Selection",Calculation!Q57)</f>
        <v>Selection</v>
      </c>
      <c r="K76" s="179" t="str">
        <f ca="1">Calculation!T57</f>
        <v/>
      </c>
      <c r="L76" s="180" t="str">
        <f ca="1">Calculation!U57</f>
        <v>-</v>
      </c>
      <c r="M76" s="180" t="str">
        <f ca="1">Calculation!V57</f>
        <v>-</v>
      </c>
      <c r="N76" s="181"/>
      <c r="O76" s="180" t="str">
        <f ca="1">Calculation!X57</f>
        <v>-</v>
      </c>
      <c r="P76" s="180" t="str">
        <f ca="1">Calculation!Y57</f>
        <v>-</v>
      </c>
      <c r="Q76" s="273"/>
      <c r="R76" s="182" t="str">
        <f ca="1">IF(AND(L76&lt;&gt;"-",Q76&lt;&gt;"bypass"),IFERROR(IF((U76*$R$23/0.05)-SUM(S76:U76)&gt;0,(U76*$R$23/0.05)-SUM(S76:U76),0),"-"),Calculation!AH57)</f>
        <v>-</v>
      </c>
      <c r="S76" s="179" t="str">
        <f ca="1">IF(AND(L76&lt;&gt;"-",Q76&lt;&gt;"bypass"),IFERROR(X76*((H76*10^-12-H76*10^-12*I76)/(Calculation!$U$8*10^-9)),"-"),Calculation!AF57)</f>
        <v>-</v>
      </c>
      <c r="T76" s="179" t="str">
        <f ca="1">IF(AND(L76&lt;&gt;"-",Q76&lt;&gt;"bypass"),IFERROR(H76*I76*X76/(IF(Cluster!AA76=Cluster!$W$8,Cluster!$W$10,IF(Cluster!AA76=Cluster!$X$8,Cluster!$X$10,IF(Cluster!AA76=Cluster!$Y$8,Cluster!$Y$10,0)))*10^3),"-"),Calculation!AK57)</f>
        <v>-</v>
      </c>
      <c r="U76" s="179" t="str">
        <f ca="1">IF(AND(L76&lt;&gt;"-",Q76&lt;&gt;"bypass"),IFERROR((0.5/50)*X76/$R$23,"-"),Calculation!AG57)</f>
        <v>-</v>
      </c>
      <c r="V76" s="179" t="str">
        <f ca="1">IF(AND(L76&lt;&gt;"-",Q76&lt;&gt;"bypass"),IFERROR(5/50*X76,"-"),Calculation!AI57)</f>
        <v>-</v>
      </c>
      <c r="W76" s="179" t="str">
        <f ca="1">IF(AND(L76&lt;&gt;"-",Q76&lt;&gt;"bypass"),IFERROR(35/50*X76,"-"),Calculation!AJ57)</f>
        <v>-</v>
      </c>
      <c r="X76" s="179" t="str">
        <f ca="1">IF(AND(L76&lt;&gt;"-",Q76&lt;&gt;"bypass"),$W$23,Calculation!AL57)</f>
        <v>-</v>
      </c>
      <c r="Y76" s="183" t="str">
        <f ca="1">IF(AND(L76&lt;&gt;"-",Q76&lt;&gt;"bypass"),IFERROR($R$23*U76/SUM(R76:U76),"-"),Calculation!AP57)</f>
        <v>-</v>
      </c>
      <c r="Z76" s="184" t="str">
        <f t="shared" ca="1" si="0"/>
        <v>-</v>
      </c>
      <c r="AA76" s="185" t="str">
        <f ca="1">IFERROR(IF(I76=0,"-",IF(AND(ROUND(H76*I76*X76/($W$10*10^3),1)&gt;=Calculation!$O$6,ROUND((((U76)*$R$23/0.05)-((S76)+(H76*I76*X76/($W$10*10^3))+(U76))),1)&gt;=0),Cluster!$W$8,IF(AND(ROUND(H76*I76*X76/($X$10*10^3),1)&gt;=Calculation!$O$6,ROUND((((U76)*$R$23/0.05)-((S76)+(H76*I76*X76/($X$10*10^3))+(U76))),1)&gt;=0),Cluster!$X$8,IF(AND(ROUND(H76*I76*X76/($Y$10*10^3),1)&gt;=Calculation!$O$6,ROUND((((U76)*$R$23/0.05)-((S76)+(H76*I76*X76/($Y$10*10^3))+(U76))),1)&gt;=0),Cluster!$Y$8,"Recepie by hand needed")))),"-")</f>
        <v>-</v>
      </c>
      <c r="AC76" s="37" t="str">
        <f t="shared" ca="1" si="1"/>
        <v>-</v>
      </c>
      <c r="AD76" s="37" t="str">
        <f t="shared" ca="1" si="2"/>
        <v>-</v>
      </c>
      <c r="AE76" s="220" t="str">
        <f t="shared" ca="1" si="3"/>
        <v>-</v>
      </c>
      <c r="AF76" s="37" t="str">
        <f t="shared" ca="1" si="4"/>
        <v>-</v>
      </c>
    </row>
    <row r="77" spans="1:32" ht="14.25" x14ac:dyDescent="0.5">
      <c r="A77" s="170" t="str">
        <f>Calculation!I58</f>
        <v/>
      </c>
      <c r="B77" s="221" t="str">
        <f ca="1">Calculation!B58</f>
        <v/>
      </c>
      <c r="C77" s="221" t="str">
        <f ca="1">Calculation!C58</f>
        <v/>
      </c>
      <c r="D77" s="172" t="str">
        <f ca="1">Calculation!AN58</f>
        <v/>
      </c>
      <c r="E77" s="173" t="str">
        <f ca="1">Calculation!D58</f>
        <v/>
      </c>
      <c r="F77" s="174" t="str">
        <f ca="1">Calculation!C58</f>
        <v/>
      </c>
      <c r="G77" s="175" t="str">
        <f ca="1">Calculation!F58</f>
        <v/>
      </c>
      <c r="H77" s="176" t="str">
        <f ca="1">Calculation!AD58</f>
        <v/>
      </c>
      <c r="I77" s="177" t="str">
        <f ca="1">Calculation!AE58</f>
        <v/>
      </c>
      <c r="J77" s="272" t="str">
        <f ca="1">IF(Calculation!Q58="","Selection",Calculation!Q58)</f>
        <v>Selection</v>
      </c>
      <c r="K77" s="179" t="str">
        <f ca="1">Calculation!T58</f>
        <v/>
      </c>
      <c r="L77" s="180" t="str">
        <f ca="1">Calculation!U58</f>
        <v>-</v>
      </c>
      <c r="M77" s="180" t="str">
        <f ca="1">Calculation!V58</f>
        <v>-</v>
      </c>
      <c r="N77" s="181"/>
      <c r="O77" s="180" t="str">
        <f ca="1">Calculation!X58</f>
        <v>-</v>
      </c>
      <c r="P77" s="180" t="str">
        <f ca="1">Calculation!Y58</f>
        <v>-</v>
      </c>
      <c r="Q77" s="273"/>
      <c r="R77" s="182" t="str">
        <f ca="1">IF(AND(L77&lt;&gt;"-",Q77&lt;&gt;"bypass"),IFERROR(IF((U77*$R$23/0.05)-SUM(S77:U77)&gt;0,(U77*$R$23/0.05)-SUM(S77:U77),0),"-"),Calculation!AH58)</f>
        <v>-</v>
      </c>
      <c r="S77" s="179" t="str">
        <f ca="1">IF(AND(L77&lt;&gt;"-",Q77&lt;&gt;"bypass"),IFERROR(X77*((H77*10^-12-H77*10^-12*I77)/(Calculation!$U$8*10^-9)),"-"),Calculation!AF58)</f>
        <v>-</v>
      </c>
      <c r="T77" s="179" t="str">
        <f ca="1">IF(AND(L77&lt;&gt;"-",Q77&lt;&gt;"bypass"),IFERROR(H77*I77*X77/(IF(Cluster!AA77=Cluster!$W$8,Cluster!$W$10,IF(Cluster!AA77=Cluster!$X$8,Cluster!$X$10,IF(Cluster!AA77=Cluster!$Y$8,Cluster!$Y$10,0)))*10^3),"-"),Calculation!AK58)</f>
        <v>-</v>
      </c>
      <c r="U77" s="179" t="str">
        <f ca="1">IF(AND(L77&lt;&gt;"-",Q77&lt;&gt;"bypass"),IFERROR((0.5/50)*X77/$R$23,"-"),Calculation!AG58)</f>
        <v>-</v>
      </c>
      <c r="V77" s="179" t="str">
        <f ca="1">IF(AND(L77&lt;&gt;"-",Q77&lt;&gt;"bypass"),IFERROR(5/50*X77,"-"),Calculation!AI58)</f>
        <v>-</v>
      </c>
      <c r="W77" s="179" t="str">
        <f ca="1">IF(AND(L77&lt;&gt;"-",Q77&lt;&gt;"bypass"),IFERROR(35/50*X77,"-"),Calculation!AJ58)</f>
        <v>-</v>
      </c>
      <c r="X77" s="179" t="str">
        <f ca="1">IF(AND(L77&lt;&gt;"-",Q77&lt;&gt;"bypass"),$W$23,Calculation!AL58)</f>
        <v>-</v>
      </c>
      <c r="Y77" s="183" t="str">
        <f ca="1">IF(AND(L77&lt;&gt;"-",Q77&lt;&gt;"bypass"),IFERROR($R$23*U77/SUM(R77:U77),"-"),Calculation!AP58)</f>
        <v>-</v>
      </c>
      <c r="Z77" s="184" t="str">
        <f t="shared" ca="1" si="0"/>
        <v>-</v>
      </c>
      <c r="AA77" s="185" t="str">
        <f ca="1">IFERROR(IF(I77=0,"-",IF(AND(ROUND(H77*I77*X77/($W$10*10^3),1)&gt;=Calculation!$O$6,ROUND((((U77)*$R$23/0.05)-((S77)+(H77*I77*X77/($W$10*10^3))+(U77))),1)&gt;=0),Cluster!$W$8,IF(AND(ROUND(H77*I77*X77/($X$10*10^3),1)&gt;=Calculation!$O$6,ROUND((((U77)*$R$23/0.05)-((S77)+(H77*I77*X77/($X$10*10^3))+(U77))),1)&gt;=0),Cluster!$X$8,IF(AND(ROUND(H77*I77*X77/($Y$10*10^3),1)&gt;=Calculation!$O$6,ROUND((((U77)*$R$23/0.05)-((S77)+(H77*I77*X77/($Y$10*10^3))+(U77))),1)&gt;=0),Cluster!$Y$8,"Recepie by hand needed")))),"-")</f>
        <v>-</v>
      </c>
      <c r="AC77" s="37" t="str">
        <f t="shared" ca="1" si="1"/>
        <v>-</v>
      </c>
      <c r="AD77" s="37" t="str">
        <f t="shared" ca="1" si="2"/>
        <v>-</v>
      </c>
      <c r="AE77" s="220" t="str">
        <f t="shared" ca="1" si="3"/>
        <v>-</v>
      </c>
      <c r="AF77" s="37" t="str">
        <f t="shared" ca="1" si="4"/>
        <v>-</v>
      </c>
    </row>
    <row r="78" spans="1:32" ht="14.25" x14ac:dyDescent="0.5">
      <c r="A78" s="170" t="str">
        <f>Calculation!I59</f>
        <v/>
      </c>
      <c r="B78" s="221" t="str">
        <f ca="1">Calculation!B59</f>
        <v/>
      </c>
      <c r="C78" s="221" t="str">
        <f ca="1">Calculation!C59</f>
        <v/>
      </c>
      <c r="D78" s="172" t="str">
        <f ca="1">Calculation!AN59</f>
        <v/>
      </c>
      <c r="E78" s="173" t="str">
        <f ca="1">Calculation!D59</f>
        <v/>
      </c>
      <c r="F78" s="174" t="str">
        <f ca="1">Calculation!C59</f>
        <v/>
      </c>
      <c r="G78" s="175" t="str">
        <f ca="1">Calculation!F59</f>
        <v/>
      </c>
      <c r="H78" s="176" t="str">
        <f ca="1">Calculation!AD59</f>
        <v/>
      </c>
      <c r="I78" s="177" t="str">
        <f ca="1">Calculation!AE59</f>
        <v/>
      </c>
      <c r="J78" s="272" t="str">
        <f ca="1">IF(Calculation!Q59="","Selection",Calculation!Q59)</f>
        <v>Selection</v>
      </c>
      <c r="K78" s="179" t="str">
        <f ca="1">Calculation!T59</f>
        <v/>
      </c>
      <c r="L78" s="180" t="str">
        <f ca="1">Calculation!U59</f>
        <v>-</v>
      </c>
      <c r="M78" s="180" t="str">
        <f ca="1">Calculation!V59</f>
        <v>-</v>
      </c>
      <c r="N78" s="181"/>
      <c r="O78" s="180" t="str">
        <f ca="1">Calculation!X59</f>
        <v>-</v>
      </c>
      <c r="P78" s="180" t="str">
        <f ca="1">Calculation!Y59</f>
        <v>-</v>
      </c>
      <c r="Q78" s="273"/>
      <c r="R78" s="182" t="str">
        <f ca="1">IF(AND(L78&lt;&gt;"-",Q78&lt;&gt;"bypass"),IFERROR(IF((U78*$R$23/0.05)-SUM(S78:U78)&gt;0,(U78*$R$23/0.05)-SUM(S78:U78),0),"-"),Calculation!AH59)</f>
        <v>-</v>
      </c>
      <c r="S78" s="179" t="str">
        <f ca="1">IF(AND(L78&lt;&gt;"-",Q78&lt;&gt;"bypass"),IFERROR(X78*((H78*10^-12-H78*10^-12*I78)/(Calculation!$U$8*10^-9)),"-"),Calculation!AF59)</f>
        <v>-</v>
      </c>
      <c r="T78" s="179" t="str">
        <f ca="1">IF(AND(L78&lt;&gt;"-",Q78&lt;&gt;"bypass"),IFERROR(H78*I78*X78/(IF(Cluster!AA78=Cluster!$W$8,Cluster!$W$10,IF(Cluster!AA78=Cluster!$X$8,Cluster!$X$10,IF(Cluster!AA78=Cluster!$Y$8,Cluster!$Y$10,0)))*10^3),"-"),Calculation!AK59)</f>
        <v>-</v>
      </c>
      <c r="U78" s="179" t="str">
        <f ca="1">IF(AND(L78&lt;&gt;"-",Q78&lt;&gt;"bypass"),IFERROR((0.5/50)*X78/$R$23,"-"),Calculation!AG59)</f>
        <v>-</v>
      </c>
      <c r="V78" s="179" t="str">
        <f ca="1">IF(AND(L78&lt;&gt;"-",Q78&lt;&gt;"bypass"),IFERROR(5/50*X78,"-"),Calculation!AI59)</f>
        <v>-</v>
      </c>
      <c r="W78" s="179" t="str">
        <f ca="1">IF(AND(L78&lt;&gt;"-",Q78&lt;&gt;"bypass"),IFERROR(35/50*X78,"-"),Calculation!AJ59)</f>
        <v>-</v>
      </c>
      <c r="X78" s="179" t="str">
        <f ca="1">IF(AND(L78&lt;&gt;"-",Q78&lt;&gt;"bypass"),$W$23,Calculation!AL59)</f>
        <v>-</v>
      </c>
      <c r="Y78" s="183" t="str">
        <f ca="1">IF(AND(L78&lt;&gt;"-",Q78&lt;&gt;"bypass"),IFERROR($R$23*U78/SUM(R78:U78),"-"),Calculation!AP59)</f>
        <v>-</v>
      </c>
      <c r="Z78" s="184" t="str">
        <f t="shared" ca="1" si="0"/>
        <v>-</v>
      </c>
      <c r="AA78" s="185" t="str">
        <f ca="1">IFERROR(IF(I78=0,"-",IF(AND(ROUND(H78*I78*X78/($W$10*10^3),1)&gt;=Calculation!$O$6,ROUND((((U78)*$R$23/0.05)-((S78)+(H78*I78*X78/($W$10*10^3))+(U78))),1)&gt;=0),Cluster!$W$8,IF(AND(ROUND(H78*I78*X78/($X$10*10^3),1)&gt;=Calculation!$O$6,ROUND((((U78)*$R$23/0.05)-((S78)+(H78*I78*X78/($X$10*10^3))+(U78))),1)&gt;=0),Cluster!$X$8,IF(AND(ROUND(H78*I78*X78/($Y$10*10^3),1)&gt;=Calculation!$O$6,ROUND((((U78)*$R$23/0.05)-((S78)+(H78*I78*X78/($Y$10*10^3))+(U78))),1)&gt;=0),Cluster!$Y$8,"Recepie by hand needed")))),"-")</f>
        <v>-</v>
      </c>
      <c r="AC78" s="37" t="str">
        <f t="shared" ca="1" si="1"/>
        <v>-</v>
      </c>
      <c r="AD78" s="37" t="str">
        <f t="shared" ca="1" si="2"/>
        <v>-</v>
      </c>
      <c r="AE78" s="220" t="str">
        <f t="shared" ca="1" si="3"/>
        <v>-</v>
      </c>
      <c r="AF78" s="37" t="str">
        <f t="shared" ca="1" si="4"/>
        <v>-</v>
      </c>
    </row>
    <row r="79" spans="1:32" ht="14.25" x14ac:dyDescent="0.5">
      <c r="A79" s="170" t="str">
        <f>Calculation!I60</f>
        <v/>
      </c>
      <c r="B79" s="221" t="str">
        <f ca="1">Calculation!B60</f>
        <v/>
      </c>
      <c r="C79" s="221" t="str">
        <f ca="1">Calculation!C60</f>
        <v/>
      </c>
      <c r="D79" s="172" t="str">
        <f ca="1">Calculation!AN60</f>
        <v/>
      </c>
      <c r="E79" s="173" t="str">
        <f ca="1">Calculation!D60</f>
        <v/>
      </c>
      <c r="F79" s="174" t="str">
        <f ca="1">Calculation!C60</f>
        <v/>
      </c>
      <c r="G79" s="175" t="str">
        <f ca="1">Calculation!F60</f>
        <v/>
      </c>
      <c r="H79" s="176" t="str">
        <f ca="1">Calculation!AD60</f>
        <v/>
      </c>
      <c r="I79" s="177" t="str">
        <f ca="1">Calculation!AE60</f>
        <v/>
      </c>
      <c r="J79" s="272" t="str">
        <f ca="1">IF(Calculation!Q60="","Selection",Calculation!Q60)</f>
        <v>Selection</v>
      </c>
      <c r="K79" s="179" t="str">
        <f ca="1">Calculation!T60</f>
        <v/>
      </c>
      <c r="L79" s="180" t="str">
        <f ca="1">Calculation!U60</f>
        <v>-</v>
      </c>
      <c r="M79" s="180" t="str">
        <f ca="1">Calculation!V60</f>
        <v>-</v>
      </c>
      <c r="N79" s="181"/>
      <c r="O79" s="180" t="str">
        <f ca="1">Calculation!X60</f>
        <v>-</v>
      </c>
      <c r="P79" s="180" t="str">
        <f ca="1">Calculation!Y60</f>
        <v>-</v>
      </c>
      <c r="Q79" s="273"/>
      <c r="R79" s="182" t="str">
        <f ca="1">IF(AND(L79&lt;&gt;"-",Q79&lt;&gt;"bypass"),IFERROR(IF((U79*$R$23/0.05)-SUM(S79:U79)&gt;0,(U79*$R$23/0.05)-SUM(S79:U79),0),"-"),Calculation!AH60)</f>
        <v>-</v>
      </c>
      <c r="S79" s="179" t="str">
        <f ca="1">IF(AND(L79&lt;&gt;"-",Q79&lt;&gt;"bypass"),IFERROR(X79*((H79*10^-12-H79*10^-12*I79)/(Calculation!$U$8*10^-9)),"-"),Calculation!AF60)</f>
        <v>-</v>
      </c>
      <c r="T79" s="179" t="str">
        <f ca="1">IF(AND(L79&lt;&gt;"-",Q79&lt;&gt;"bypass"),IFERROR(H79*I79*X79/(IF(Cluster!AA79=Cluster!$W$8,Cluster!$W$10,IF(Cluster!AA79=Cluster!$X$8,Cluster!$X$10,IF(Cluster!AA79=Cluster!$Y$8,Cluster!$Y$10,0)))*10^3),"-"),Calculation!AK60)</f>
        <v>-</v>
      </c>
      <c r="U79" s="179" t="str">
        <f ca="1">IF(AND(L79&lt;&gt;"-",Q79&lt;&gt;"bypass"),IFERROR((0.5/50)*X79/$R$23,"-"),Calculation!AG60)</f>
        <v>-</v>
      </c>
      <c r="V79" s="179" t="str">
        <f ca="1">IF(AND(L79&lt;&gt;"-",Q79&lt;&gt;"bypass"),IFERROR(5/50*X79,"-"),Calculation!AI60)</f>
        <v>-</v>
      </c>
      <c r="W79" s="179" t="str">
        <f ca="1">IF(AND(L79&lt;&gt;"-",Q79&lt;&gt;"bypass"),IFERROR(35/50*X79,"-"),Calculation!AJ60)</f>
        <v>-</v>
      </c>
      <c r="X79" s="179" t="str">
        <f ca="1">IF(AND(L79&lt;&gt;"-",Q79&lt;&gt;"bypass"),$W$23,Calculation!AL60)</f>
        <v>-</v>
      </c>
      <c r="Y79" s="183" t="str">
        <f ca="1">IF(AND(L79&lt;&gt;"-",Q79&lt;&gt;"bypass"),IFERROR($R$23*U79/SUM(R79:U79),"-"),Calculation!AP60)</f>
        <v>-</v>
      </c>
      <c r="Z79" s="184" t="str">
        <f t="shared" ca="1" si="0"/>
        <v>-</v>
      </c>
      <c r="AA79" s="185" t="str">
        <f ca="1">IFERROR(IF(I79=0,"-",IF(AND(ROUND(H79*I79*X79/($W$10*10^3),1)&gt;=Calculation!$O$6,ROUND((((U79)*$R$23/0.05)-((S79)+(H79*I79*X79/($W$10*10^3))+(U79))),1)&gt;=0),Cluster!$W$8,IF(AND(ROUND(H79*I79*X79/($X$10*10^3),1)&gt;=Calculation!$O$6,ROUND((((U79)*$R$23/0.05)-((S79)+(H79*I79*X79/($X$10*10^3))+(U79))),1)&gt;=0),Cluster!$X$8,IF(AND(ROUND(H79*I79*X79/($Y$10*10^3),1)&gt;=Calculation!$O$6,ROUND((((U79)*$R$23/0.05)-((S79)+(H79*I79*X79/($Y$10*10^3))+(U79))),1)&gt;=0),Cluster!$Y$8,"Recepie by hand needed")))),"-")</f>
        <v>-</v>
      </c>
      <c r="AC79" s="37" t="str">
        <f t="shared" ca="1" si="1"/>
        <v>-</v>
      </c>
      <c r="AD79" s="37" t="str">
        <f t="shared" ca="1" si="2"/>
        <v>-</v>
      </c>
      <c r="AE79" s="220" t="str">
        <f t="shared" ca="1" si="3"/>
        <v>-</v>
      </c>
      <c r="AF79" s="37" t="str">
        <f t="shared" ca="1" si="4"/>
        <v>-</v>
      </c>
    </row>
    <row r="80" spans="1:32" ht="14.25" x14ac:dyDescent="0.5">
      <c r="A80" s="170" t="str">
        <f>Calculation!I61</f>
        <v/>
      </c>
      <c r="B80" s="221" t="str">
        <f ca="1">Calculation!B61</f>
        <v/>
      </c>
      <c r="C80" s="221" t="str">
        <f ca="1">Calculation!C61</f>
        <v/>
      </c>
      <c r="D80" s="172" t="str">
        <f ca="1">Calculation!AN61</f>
        <v/>
      </c>
      <c r="E80" s="173" t="str">
        <f ca="1">Calculation!D61</f>
        <v/>
      </c>
      <c r="F80" s="174" t="str">
        <f ca="1">Calculation!C61</f>
        <v/>
      </c>
      <c r="G80" s="175" t="str">
        <f ca="1">Calculation!F61</f>
        <v/>
      </c>
      <c r="H80" s="176" t="str">
        <f ca="1">Calculation!AD61</f>
        <v/>
      </c>
      <c r="I80" s="177" t="str">
        <f ca="1">Calculation!AE61</f>
        <v/>
      </c>
      <c r="J80" s="272" t="str">
        <f ca="1">IF(Calculation!Q61="","Selection",Calculation!Q61)</f>
        <v>Selection</v>
      </c>
      <c r="K80" s="179" t="str">
        <f ca="1">Calculation!T61</f>
        <v/>
      </c>
      <c r="L80" s="180" t="str">
        <f ca="1">Calculation!U61</f>
        <v>-</v>
      </c>
      <c r="M80" s="180" t="str">
        <f ca="1">Calculation!V61</f>
        <v>-</v>
      </c>
      <c r="N80" s="181"/>
      <c r="O80" s="180" t="str">
        <f ca="1">Calculation!X61</f>
        <v>-</v>
      </c>
      <c r="P80" s="180" t="str">
        <f ca="1">Calculation!Y61</f>
        <v>-</v>
      </c>
      <c r="Q80" s="273"/>
      <c r="R80" s="182" t="str">
        <f ca="1">IF(AND(L80&lt;&gt;"-",Q80&lt;&gt;"bypass"),IFERROR(IF((U80*$R$23/0.05)-SUM(S80:U80)&gt;0,(U80*$R$23/0.05)-SUM(S80:U80),0),"-"),Calculation!AH61)</f>
        <v>-</v>
      </c>
      <c r="S80" s="179" t="str">
        <f ca="1">IF(AND(L80&lt;&gt;"-",Q80&lt;&gt;"bypass"),IFERROR(X80*((H80*10^-12-H80*10^-12*I80)/(Calculation!$U$8*10^-9)),"-"),Calculation!AF61)</f>
        <v>-</v>
      </c>
      <c r="T80" s="179" t="str">
        <f ca="1">IF(AND(L80&lt;&gt;"-",Q80&lt;&gt;"bypass"),IFERROR(H80*I80*X80/(IF(Cluster!AA80=Cluster!$W$8,Cluster!$W$10,IF(Cluster!AA80=Cluster!$X$8,Cluster!$X$10,IF(Cluster!AA80=Cluster!$Y$8,Cluster!$Y$10,0)))*10^3),"-"),Calculation!AK61)</f>
        <v>-</v>
      </c>
      <c r="U80" s="179" t="str">
        <f ca="1">IF(AND(L80&lt;&gt;"-",Q80&lt;&gt;"bypass"),IFERROR((0.5/50)*X80/$R$23,"-"),Calculation!AG61)</f>
        <v>-</v>
      </c>
      <c r="V80" s="179" t="str">
        <f ca="1">IF(AND(L80&lt;&gt;"-",Q80&lt;&gt;"bypass"),IFERROR(5/50*X80,"-"),Calculation!AI61)</f>
        <v>-</v>
      </c>
      <c r="W80" s="179" t="str">
        <f ca="1">IF(AND(L80&lt;&gt;"-",Q80&lt;&gt;"bypass"),IFERROR(35/50*X80,"-"),Calculation!AJ61)</f>
        <v>-</v>
      </c>
      <c r="X80" s="179" t="str">
        <f ca="1">IF(AND(L80&lt;&gt;"-",Q80&lt;&gt;"bypass"),$W$23,Calculation!AL61)</f>
        <v>-</v>
      </c>
      <c r="Y80" s="183" t="str">
        <f ca="1">IF(AND(L80&lt;&gt;"-",Q80&lt;&gt;"bypass"),IFERROR($R$23*U80/SUM(R80:U80),"-"),Calculation!AP61)</f>
        <v>-</v>
      </c>
      <c r="Z80" s="184" t="str">
        <f t="shared" ca="1" si="0"/>
        <v>-</v>
      </c>
      <c r="AA80" s="185" t="str">
        <f ca="1">IFERROR(IF(I80=0,"-",IF(AND(ROUND(H80*I80*X80/($W$10*10^3),1)&gt;=Calculation!$O$6,ROUND((((U80)*$R$23/0.05)-((S80)+(H80*I80*X80/($W$10*10^3))+(U80))),1)&gt;=0),Cluster!$W$8,IF(AND(ROUND(H80*I80*X80/($X$10*10^3),1)&gt;=Calculation!$O$6,ROUND((((U80)*$R$23/0.05)-((S80)+(H80*I80*X80/($X$10*10^3))+(U80))),1)&gt;=0),Cluster!$X$8,IF(AND(ROUND(H80*I80*X80/($Y$10*10^3),1)&gt;=Calculation!$O$6,ROUND((((U80)*$R$23/0.05)-((S80)+(H80*I80*X80/($Y$10*10^3))+(U80))),1)&gt;=0),Cluster!$Y$8,"Recepie by hand needed")))),"-")</f>
        <v>-</v>
      </c>
      <c r="AC80" s="37" t="str">
        <f t="shared" ca="1" si="1"/>
        <v>-</v>
      </c>
      <c r="AD80" s="37" t="str">
        <f t="shared" ca="1" si="2"/>
        <v>-</v>
      </c>
      <c r="AE80" s="220" t="str">
        <f t="shared" ca="1" si="3"/>
        <v>-</v>
      </c>
      <c r="AF80" s="37" t="str">
        <f t="shared" ca="1" si="4"/>
        <v>-</v>
      </c>
    </row>
    <row r="81" spans="1:32" ht="14.25" x14ac:dyDescent="0.5">
      <c r="A81" s="170" t="str">
        <f>Calculation!I62</f>
        <v/>
      </c>
      <c r="B81" s="221" t="str">
        <f ca="1">Calculation!B62</f>
        <v/>
      </c>
      <c r="C81" s="221" t="str">
        <f ca="1">Calculation!C62</f>
        <v/>
      </c>
      <c r="D81" s="172" t="str">
        <f ca="1">Calculation!AN62</f>
        <v/>
      </c>
      <c r="E81" s="173" t="str">
        <f ca="1">Calculation!D62</f>
        <v/>
      </c>
      <c r="F81" s="174" t="str">
        <f ca="1">Calculation!C62</f>
        <v/>
      </c>
      <c r="G81" s="175" t="str">
        <f ca="1">Calculation!F62</f>
        <v/>
      </c>
      <c r="H81" s="176" t="str">
        <f ca="1">Calculation!AD62</f>
        <v/>
      </c>
      <c r="I81" s="177" t="str">
        <f ca="1">Calculation!AE62</f>
        <v/>
      </c>
      <c r="J81" s="272" t="str">
        <f ca="1">IF(Calculation!Q62="","Selection",Calculation!Q62)</f>
        <v>Selection</v>
      </c>
      <c r="K81" s="179" t="str">
        <f ca="1">Calculation!T62</f>
        <v/>
      </c>
      <c r="L81" s="180" t="str">
        <f ca="1">Calculation!U62</f>
        <v>-</v>
      </c>
      <c r="M81" s="180" t="str">
        <f ca="1">Calculation!V62</f>
        <v>-</v>
      </c>
      <c r="N81" s="181"/>
      <c r="O81" s="180" t="str">
        <f ca="1">Calculation!X62</f>
        <v>-</v>
      </c>
      <c r="P81" s="180" t="str">
        <f ca="1">Calculation!Y62</f>
        <v>-</v>
      </c>
      <c r="Q81" s="273"/>
      <c r="R81" s="182" t="str">
        <f ca="1">IF(AND(L81&lt;&gt;"-",Q81&lt;&gt;"bypass"),IFERROR(IF((U81*$R$23/0.05)-SUM(S81:U81)&gt;0,(U81*$R$23/0.05)-SUM(S81:U81),0),"-"),Calculation!AH62)</f>
        <v>-</v>
      </c>
      <c r="S81" s="179" t="str">
        <f ca="1">IF(AND(L81&lt;&gt;"-",Q81&lt;&gt;"bypass"),IFERROR(X81*((H81*10^-12-H81*10^-12*I81)/(Calculation!$U$8*10^-9)),"-"),Calculation!AF62)</f>
        <v>-</v>
      </c>
      <c r="T81" s="179" t="str">
        <f ca="1">IF(AND(L81&lt;&gt;"-",Q81&lt;&gt;"bypass"),IFERROR(H81*I81*X81/(IF(Cluster!AA81=Cluster!$W$8,Cluster!$W$10,IF(Cluster!AA81=Cluster!$X$8,Cluster!$X$10,IF(Cluster!AA81=Cluster!$Y$8,Cluster!$Y$10,0)))*10^3),"-"),Calculation!AK62)</f>
        <v>-</v>
      </c>
      <c r="U81" s="179" t="str">
        <f ca="1">IF(AND(L81&lt;&gt;"-",Q81&lt;&gt;"bypass"),IFERROR((0.5/50)*X81/$R$23,"-"),Calculation!AG62)</f>
        <v>-</v>
      </c>
      <c r="V81" s="179" t="str">
        <f ca="1">IF(AND(L81&lt;&gt;"-",Q81&lt;&gt;"bypass"),IFERROR(5/50*X81,"-"),Calculation!AI62)</f>
        <v>-</v>
      </c>
      <c r="W81" s="179" t="str">
        <f ca="1">IF(AND(L81&lt;&gt;"-",Q81&lt;&gt;"bypass"),IFERROR(35/50*X81,"-"),Calculation!AJ62)</f>
        <v>-</v>
      </c>
      <c r="X81" s="179" t="str">
        <f ca="1">IF(AND(L81&lt;&gt;"-",Q81&lt;&gt;"bypass"),$W$23,Calculation!AL62)</f>
        <v>-</v>
      </c>
      <c r="Y81" s="183" t="str">
        <f ca="1">IF(AND(L81&lt;&gt;"-",Q81&lt;&gt;"bypass"),IFERROR($R$23*U81/SUM(R81:U81),"-"),Calculation!AP62)</f>
        <v>-</v>
      </c>
      <c r="Z81" s="184" t="str">
        <f t="shared" ca="1" si="0"/>
        <v>-</v>
      </c>
      <c r="AA81" s="185" t="str">
        <f ca="1">IFERROR(IF(I81=0,"-",IF(AND(ROUND(H81*I81*X81/($W$10*10^3),1)&gt;=Calculation!$O$6,ROUND((((U81)*$R$23/0.05)-((S81)+(H81*I81*X81/($W$10*10^3))+(U81))),1)&gt;=0),Cluster!$W$8,IF(AND(ROUND(H81*I81*X81/($X$10*10^3),1)&gt;=Calculation!$O$6,ROUND((((U81)*$R$23/0.05)-((S81)+(H81*I81*X81/($X$10*10^3))+(U81))),1)&gt;=0),Cluster!$X$8,IF(AND(ROUND(H81*I81*X81/($Y$10*10^3),1)&gt;=Calculation!$O$6,ROUND((((U81)*$R$23/0.05)-((S81)+(H81*I81*X81/($Y$10*10^3))+(U81))),1)&gt;=0),Cluster!$Y$8,"Recepie by hand needed")))),"-")</f>
        <v>-</v>
      </c>
      <c r="AC81" s="37" t="str">
        <f t="shared" ca="1" si="1"/>
        <v>-</v>
      </c>
      <c r="AD81" s="37" t="str">
        <f t="shared" ca="1" si="2"/>
        <v>-</v>
      </c>
      <c r="AE81" s="220" t="str">
        <f t="shared" ca="1" si="3"/>
        <v>-</v>
      </c>
      <c r="AF81" s="37" t="str">
        <f t="shared" ca="1" si="4"/>
        <v>-</v>
      </c>
    </row>
    <row r="82" spans="1:32" ht="14.25" x14ac:dyDescent="0.5">
      <c r="A82" s="170" t="str">
        <f>Calculation!I63</f>
        <v/>
      </c>
      <c r="B82" s="221" t="str">
        <f ca="1">Calculation!B63</f>
        <v/>
      </c>
      <c r="C82" s="221" t="str">
        <f ca="1">Calculation!C63</f>
        <v/>
      </c>
      <c r="D82" s="172" t="str">
        <f ca="1">Calculation!AN63</f>
        <v/>
      </c>
      <c r="E82" s="173" t="str">
        <f ca="1">Calculation!D63</f>
        <v/>
      </c>
      <c r="F82" s="174" t="str">
        <f ca="1">Calculation!C63</f>
        <v/>
      </c>
      <c r="G82" s="175" t="str">
        <f ca="1">Calculation!F63</f>
        <v/>
      </c>
      <c r="H82" s="176" t="str">
        <f ca="1">Calculation!AD63</f>
        <v/>
      </c>
      <c r="I82" s="177" t="str">
        <f ca="1">Calculation!AE63</f>
        <v/>
      </c>
      <c r="J82" s="272" t="str">
        <f ca="1">IF(Calculation!Q63="","Selection",Calculation!Q63)</f>
        <v>Selection</v>
      </c>
      <c r="K82" s="179" t="str">
        <f ca="1">Calculation!T63</f>
        <v/>
      </c>
      <c r="L82" s="180" t="str">
        <f ca="1">Calculation!U63</f>
        <v>-</v>
      </c>
      <c r="M82" s="180" t="str">
        <f ca="1">Calculation!V63</f>
        <v>-</v>
      </c>
      <c r="N82" s="181"/>
      <c r="O82" s="180" t="str">
        <f ca="1">Calculation!X63</f>
        <v>-</v>
      </c>
      <c r="P82" s="180" t="str">
        <f ca="1">Calculation!Y63</f>
        <v>-</v>
      </c>
      <c r="Q82" s="273"/>
      <c r="R82" s="182" t="str">
        <f ca="1">IF(AND(L82&lt;&gt;"-",Q82&lt;&gt;"bypass"),IFERROR(IF((U82*$R$23/0.05)-SUM(S82:U82)&gt;0,(U82*$R$23/0.05)-SUM(S82:U82),0),"-"),Calculation!AH63)</f>
        <v>-</v>
      </c>
      <c r="S82" s="179" t="str">
        <f ca="1">IF(AND(L82&lt;&gt;"-",Q82&lt;&gt;"bypass"),IFERROR(X82*((H82*10^-12-H82*10^-12*I82)/(Calculation!$U$8*10^-9)),"-"),Calculation!AF63)</f>
        <v>-</v>
      </c>
      <c r="T82" s="179" t="str">
        <f ca="1">IF(AND(L82&lt;&gt;"-",Q82&lt;&gt;"bypass"),IFERROR(H82*I82*X82/(IF(Cluster!AA82=Cluster!$W$8,Cluster!$W$10,IF(Cluster!AA82=Cluster!$X$8,Cluster!$X$10,IF(Cluster!AA82=Cluster!$Y$8,Cluster!$Y$10,0)))*10^3),"-"),Calculation!AK63)</f>
        <v>-</v>
      </c>
      <c r="U82" s="179" t="str">
        <f ca="1">IF(AND(L82&lt;&gt;"-",Q82&lt;&gt;"bypass"),IFERROR((0.5/50)*X82/$R$23,"-"),Calculation!AG63)</f>
        <v>-</v>
      </c>
      <c r="V82" s="179" t="str">
        <f ca="1">IF(AND(L82&lt;&gt;"-",Q82&lt;&gt;"bypass"),IFERROR(5/50*X82,"-"),Calculation!AI63)</f>
        <v>-</v>
      </c>
      <c r="W82" s="179" t="str">
        <f ca="1">IF(AND(L82&lt;&gt;"-",Q82&lt;&gt;"bypass"),IFERROR(35/50*X82,"-"),Calculation!AJ63)</f>
        <v>-</v>
      </c>
      <c r="X82" s="179" t="str">
        <f ca="1">IF(AND(L82&lt;&gt;"-",Q82&lt;&gt;"bypass"),$W$23,Calculation!AL63)</f>
        <v>-</v>
      </c>
      <c r="Y82" s="183" t="str">
        <f ca="1">IF(AND(L82&lt;&gt;"-",Q82&lt;&gt;"bypass"),IFERROR($R$23*U82/SUM(R82:U82),"-"),Calculation!AP63)</f>
        <v>-</v>
      </c>
      <c r="Z82" s="184" t="str">
        <f t="shared" ca="1" si="0"/>
        <v>-</v>
      </c>
      <c r="AA82" s="185" t="str">
        <f ca="1">IFERROR(IF(I82=0,"-",IF(AND(ROUND(H82*I82*X82/($W$10*10^3),1)&gt;=Calculation!$O$6,ROUND((((U82)*$R$23/0.05)-((S82)+(H82*I82*X82/($W$10*10^3))+(U82))),1)&gt;=0),Cluster!$W$8,IF(AND(ROUND(H82*I82*X82/($X$10*10^3),1)&gt;=Calculation!$O$6,ROUND((((U82)*$R$23/0.05)-((S82)+(H82*I82*X82/($X$10*10^3))+(U82))),1)&gt;=0),Cluster!$X$8,IF(AND(ROUND(H82*I82*X82/($Y$10*10^3),1)&gt;=Calculation!$O$6,ROUND((((U82)*$R$23/0.05)-((S82)+(H82*I82*X82/($Y$10*10^3))+(U82))),1)&gt;=0),Cluster!$Y$8,"Recepie by hand needed")))),"-")</f>
        <v>-</v>
      </c>
      <c r="AC82" s="37" t="str">
        <f t="shared" ca="1" si="1"/>
        <v>-</v>
      </c>
      <c r="AD82" s="37" t="str">
        <f t="shared" ca="1" si="2"/>
        <v>-</v>
      </c>
      <c r="AE82" s="220" t="str">
        <f t="shared" ca="1" si="3"/>
        <v>-</v>
      </c>
      <c r="AF82" s="37" t="str">
        <f t="shared" ca="1" si="4"/>
        <v>-</v>
      </c>
    </row>
    <row r="83" spans="1:32" ht="14.25" x14ac:dyDescent="0.5">
      <c r="A83" s="170" t="str">
        <f>Calculation!I64</f>
        <v/>
      </c>
      <c r="B83" s="221" t="str">
        <f ca="1">Calculation!B64</f>
        <v/>
      </c>
      <c r="C83" s="221" t="str">
        <f ca="1">Calculation!C64</f>
        <v/>
      </c>
      <c r="D83" s="172" t="str">
        <f ca="1">Calculation!AN64</f>
        <v/>
      </c>
      <c r="E83" s="173" t="str">
        <f ca="1">Calculation!D64</f>
        <v/>
      </c>
      <c r="F83" s="174" t="str">
        <f ca="1">Calculation!C64</f>
        <v/>
      </c>
      <c r="G83" s="175" t="str">
        <f ca="1">Calculation!F64</f>
        <v/>
      </c>
      <c r="H83" s="176" t="str">
        <f ca="1">Calculation!AD64</f>
        <v/>
      </c>
      <c r="I83" s="177" t="str">
        <f ca="1">Calculation!AE64</f>
        <v/>
      </c>
      <c r="J83" s="272" t="str">
        <f ca="1">IF(Calculation!Q64="","Selection",Calculation!Q64)</f>
        <v>Selection</v>
      </c>
      <c r="K83" s="179" t="str">
        <f ca="1">Calculation!T64</f>
        <v/>
      </c>
      <c r="L83" s="180" t="str">
        <f ca="1">Calculation!U64</f>
        <v>-</v>
      </c>
      <c r="M83" s="180" t="str">
        <f ca="1">Calculation!V64</f>
        <v>-</v>
      </c>
      <c r="N83" s="181"/>
      <c r="O83" s="180" t="str">
        <f ca="1">Calculation!X64</f>
        <v>-</v>
      </c>
      <c r="P83" s="180" t="str">
        <f ca="1">Calculation!Y64</f>
        <v>-</v>
      </c>
      <c r="Q83" s="273"/>
      <c r="R83" s="182" t="str">
        <f ca="1">IF(AND(L83&lt;&gt;"-",Q83&lt;&gt;"bypass"),IFERROR(IF((U83*$R$23/0.05)-SUM(S83:U83)&gt;0,(U83*$R$23/0.05)-SUM(S83:U83),0),"-"),Calculation!AH64)</f>
        <v>-</v>
      </c>
      <c r="S83" s="179" t="str">
        <f ca="1">IF(AND(L83&lt;&gt;"-",Q83&lt;&gt;"bypass"),IFERROR(X83*((H83*10^-12-H83*10^-12*I83)/(Calculation!$U$8*10^-9)),"-"),Calculation!AF64)</f>
        <v>-</v>
      </c>
      <c r="T83" s="179" t="str">
        <f ca="1">IF(AND(L83&lt;&gt;"-",Q83&lt;&gt;"bypass"),IFERROR(H83*I83*X83/(IF(Cluster!AA83=Cluster!$W$8,Cluster!$W$10,IF(Cluster!AA83=Cluster!$X$8,Cluster!$X$10,IF(Cluster!AA83=Cluster!$Y$8,Cluster!$Y$10,0)))*10^3),"-"),Calculation!AK64)</f>
        <v>-</v>
      </c>
      <c r="U83" s="179" t="str">
        <f ca="1">IF(AND(L83&lt;&gt;"-",Q83&lt;&gt;"bypass"),IFERROR((0.5/50)*X83/$R$23,"-"),Calculation!AG64)</f>
        <v>-</v>
      </c>
      <c r="V83" s="179" t="str">
        <f ca="1">IF(AND(L83&lt;&gt;"-",Q83&lt;&gt;"bypass"),IFERROR(5/50*X83,"-"),Calculation!AI64)</f>
        <v>-</v>
      </c>
      <c r="W83" s="179" t="str">
        <f ca="1">IF(AND(L83&lt;&gt;"-",Q83&lt;&gt;"bypass"),IFERROR(35/50*X83,"-"),Calculation!AJ64)</f>
        <v>-</v>
      </c>
      <c r="X83" s="179" t="str">
        <f ca="1">IF(AND(L83&lt;&gt;"-",Q83&lt;&gt;"bypass"),$W$23,Calculation!AL64)</f>
        <v>-</v>
      </c>
      <c r="Y83" s="183" t="str">
        <f ca="1">IF(AND(L83&lt;&gt;"-",Q83&lt;&gt;"bypass"),IFERROR($R$23*U83/SUM(R83:U83),"-"),Calculation!AP64)</f>
        <v>-</v>
      </c>
      <c r="Z83" s="184" t="str">
        <f t="shared" ca="1" si="0"/>
        <v>-</v>
      </c>
      <c r="AA83" s="185" t="str">
        <f ca="1">IFERROR(IF(I83=0,"-",IF(AND(ROUND(H83*I83*X83/($W$10*10^3),1)&gt;=Calculation!$O$6,ROUND((((U83)*$R$23/0.05)-((S83)+(H83*I83*X83/($W$10*10^3))+(U83))),1)&gt;=0),Cluster!$W$8,IF(AND(ROUND(H83*I83*X83/($X$10*10^3),1)&gt;=Calculation!$O$6,ROUND((((U83)*$R$23/0.05)-((S83)+(H83*I83*X83/($X$10*10^3))+(U83))),1)&gt;=0),Cluster!$X$8,IF(AND(ROUND(H83*I83*X83/($Y$10*10^3),1)&gt;=Calculation!$O$6,ROUND((((U83)*$R$23/0.05)-((S83)+(H83*I83*X83/($Y$10*10^3))+(U83))),1)&gt;=0),Cluster!$Y$8,"Recepie by hand needed")))),"-")</f>
        <v>-</v>
      </c>
      <c r="AC83" s="37" t="str">
        <f t="shared" ca="1" si="1"/>
        <v>-</v>
      </c>
      <c r="AD83" s="37" t="str">
        <f t="shared" ca="1" si="2"/>
        <v>-</v>
      </c>
      <c r="AE83" s="220" t="str">
        <f t="shared" ca="1" si="3"/>
        <v>-</v>
      </c>
      <c r="AF83" s="37" t="str">
        <f t="shared" ca="1" si="4"/>
        <v>-</v>
      </c>
    </row>
    <row r="84" spans="1:32" ht="14.25" x14ac:dyDescent="0.5">
      <c r="A84" s="170" t="str">
        <f>Calculation!I65</f>
        <v/>
      </c>
      <c r="B84" s="221" t="str">
        <f ca="1">Calculation!B65</f>
        <v/>
      </c>
      <c r="C84" s="221" t="str">
        <f ca="1">Calculation!C65</f>
        <v/>
      </c>
      <c r="D84" s="172" t="str">
        <f ca="1">Calculation!AN65</f>
        <v/>
      </c>
      <c r="E84" s="173" t="str">
        <f ca="1">Calculation!D65</f>
        <v/>
      </c>
      <c r="F84" s="174" t="str">
        <f ca="1">Calculation!C65</f>
        <v/>
      </c>
      <c r="G84" s="175" t="str">
        <f ca="1">Calculation!F65</f>
        <v/>
      </c>
      <c r="H84" s="176" t="str">
        <f ca="1">Calculation!AD65</f>
        <v/>
      </c>
      <c r="I84" s="177" t="str">
        <f ca="1">Calculation!AE65</f>
        <v/>
      </c>
      <c r="J84" s="272" t="str">
        <f ca="1">IF(Calculation!Q65="","Selection",Calculation!Q65)</f>
        <v>Selection</v>
      </c>
      <c r="K84" s="179" t="str">
        <f ca="1">Calculation!T65</f>
        <v/>
      </c>
      <c r="L84" s="180" t="str">
        <f ca="1">Calculation!U65</f>
        <v>-</v>
      </c>
      <c r="M84" s="180" t="str">
        <f ca="1">Calculation!V65</f>
        <v>-</v>
      </c>
      <c r="N84" s="181"/>
      <c r="O84" s="180" t="str">
        <f ca="1">Calculation!X65</f>
        <v>-</v>
      </c>
      <c r="P84" s="180" t="str">
        <f ca="1">Calculation!Y65</f>
        <v>-</v>
      </c>
      <c r="Q84" s="273"/>
      <c r="R84" s="182" t="str">
        <f ca="1">IF(AND(L84&lt;&gt;"-",Q84&lt;&gt;"bypass"),IFERROR(IF((U84*$R$23/0.05)-SUM(S84:U84)&gt;0,(U84*$R$23/0.05)-SUM(S84:U84),0),"-"),Calculation!AH65)</f>
        <v>-</v>
      </c>
      <c r="S84" s="179" t="str">
        <f ca="1">IF(AND(L84&lt;&gt;"-",Q84&lt;&gt;"bypass"),IFERROR(X84*((H84*10^-12-H84*10^-12*I84)/(Calculation!$U$8*10^-9)),"-"),Calculation!AF65)</f>
        <v>-</v>
      </c>
      <c r="T84" s="179" t="str">
        <f ca="1">IF(AND(L84&lt;&gt;"-",Q84&lt;&gt;"bypass"),IFERROR(H84*I84*X84/(IF(Cluster!AA84=Cluster!$W$8,Cluster!$W$10,IF(Cluster!AA84=Cluster!$X$8,Cluster!$X$10,IF(Cluster!AA84=Cluster!$Y$8,Cluster!$Y$10,0)))*10^3),"-"),Calculation!AK65)</f>
        <v>-</v>
      </c>
      <c r="U84" s="179" t="str">
        <f ca="1">IF(AND(L84&lt;&gt;"-",Q84&lt;&gt;"bypass"),IFERROR((0.5/50)*X84/$R$23,"-"),Calculation!AG65)</f>
        <v>-</v>
      </c>
      <c r="V84" s="179" t="str">
        <f ca="1">IF(AND(L84&lt;&gt;"-",Q84&lt;&gt;"bypass"),IFERROR(5/50*X84,"-"),Calculation!AI65)</f>
        <v>-</v>
      </c>
      <c r="W84" s="179" t="str">
        <f ca="1">IF(AND(L84&lt;&gt;"-",Q84&lt;&gt;"bypass"),IFERROR(35/50*X84,"-"),Calculation!AJ65)</f>
        <v>-</v>
      </c>
      <c r="X84" s="179" t="str">
        <f ca="1">IF(AND(L84&lt;&gt;"-",Q84&lt;&gt;"bypass"),$W$23,Calculation!AL65)</f>
        <v>-</v>
      </c>
      <c r="Y84" s="183" t="str">
        <f ca="1">IF(AND(L84&lt;&gt;"-",Q84&lt;&gt;"bypass"),IFERROR($R$23*U84/SUM(R84:U84),"-"),Calculation!AP65)</f>
        <v>-</v>
      </c>
      <c r="Z84" s="184" t="str">
        <f t="shared" ca="1" si="0"/>
        <v>-</v>
      </c>
      <c r="AA84" s="185" t="str">
        <f ca="1">IFERROR(IF(I84=0,"-",IF(AND(ROUND(H84*I84*X84/($W$10*10^3),1)&gt;=Calculation!$O$6,ROUND((((U84)*$R$23/0.05)-((S84)+(H84*I84*X84/($W$10*10^3))+(U84))),1)&gt;=0),Cluster!$W$8,IF(AND(ROUND(H84*I84*X84/($X$10*10^3),1)&gt;=Calculation!$O$6,ROUND((((U84)*$R$23/0.05)-((S84)+(H84*I84*X84/($X$10*10^3))+(U84))),1)&gt;=0),Cluster!$X$8,IF(AND(ROUND(H84*I84*X84/($Y$10*10^3),1)&gt;=Calculation!$O$6,ROUND((((U84)*$R$23/0.05)-((S84)+(H84*I84*X84/($Y$10*10^3))+(U84))),1)&gt;=0),Cluster!$Y$8,"Recepie by hand needed")))),"-")</f>
        <v>-</v>
      </c>
      <c r="AC84" s="37" t="str">
        <f t="shared" ca="1" si="1"/>
        <v>-</v>
      </c>
      <c r="AD84" s="37" t="str">
        <f t="shared" ca="1" si="2"/>
        <v>-</v>
      </c>
      <c r="AE84" s="220" t="str">
        <f t="shared" ca="1" si="3"/>
        <v>-</v>
      </c>
      <c r="AF84" s="37" t="str">
        <f t="shared" ca="1" si="4"/>
        <v>-</v>
      </c>
    </row>
    <row r="85" spans="1:32" ht="14.25" x14ac:dyDescent="0.5">
      <c r="A85" s="170" t="str">
        <f>Calculation!I66</f>
        <v/>
      </c>
      <c r="B85" s="221" t="str">
        <f ca="1">Calculation!B66</f>
        <v/>
      </c>
      <c r="C85" s="221" t="str">
        <f ca="1">Calculation!C66</f>
        <v/>
      </c>
      <c r="D85" s="172" t="str">
        <f ca="1">Calculation!AN66</f>
        <v/>
      </c>
      <c r="E85" s="173" t="str">
        <f ca="1">Calculation!D66</f>
        <v/>
      </c>
      <c r="F85" s="174" t="str">
        <f ca="1">Calculation!C66</f>
        <v/>
      </c>
      <c r="G85" s="175" t="str">
        <f ca="1">Calculation!F66</f>
        <v/>
      </c>
      <c r="H85" s="176" t="str">
        <f ca="1">Calculation!AD66</f>
        <v/>
      </c>
      <c r="I85" s="177" t="str">
        <f ca="1">Calculation!AE66</f>
        <v/>
      </c>
      <c r="J85" s="272" t="str">
        <f ca="1">IF(Calculation!Q66="","Selection",Calculation!Q66)</f>
        <v>Selection</v>
      </c>
      <c r="K85" s="179" t="str">
        <f ca="1">Calculation!T66</f>
        <v/>
      </c>
      <c r="L85" s="180" t="str">
        <f ca="1">Calculation!U66</f>
        <v>-</v>
      </c>
      <c r="M85" s="180" t="str">
        <f ca="1">Calculation!V66</f>
        <v>-</v>
      </c>
      <c r="N85" s="181"/>
      <c r="O85" s="180" t="str">
        <f ca="1">Calculation!X66</f>
        <v>-</v>
      </c>
      <c r="P85" s="180" t="str">
        <f ca="1">Calculation!Y66</f>
        <v>-</v>
      </c>
      <c r="Q85" s="273"/>
      <c r="R85" s="182" t="str">
        <f ca="1">IF(AND(L85&lt;&gt;"-",Q85&lt;&gt;"bypass"),IFERROR(IF((U85*$R$23/0.05)-SUM(S85:U85)&gt;0,(U85*$R$23/0.05)-SUM(S85:U85),0),"-"),Calculation!AH66)</f>
        <v>-</v>
      </c>
      <c r="S85" s="179" t="str">
        <f ca="1">IF(AND(L85&lt;&gt;"-",Q85&lt;&gt;"bypass"),IFERROR(X85*((H85*10^-12-H85*10^-12*I85)/(Calculation!$U$8*10^-9)),"-"),Calculation!AF66)</f>
        <v>-</v>
      </c>
      <c r="T85" s="179" t="str">
        <f ca="1">IF(AND(L85&lt;&gt;"-",Q85&lt;&gt;"bypass"),IFERROR(H85*I85*X85/(IF(Cluster!AA85=Cluster!$W$8,Cluster!$W$10,IF(Cluster!AA85=Cluster!$X$8,Cluster!$X$10,IF(Cluster!AA85=Cluster!$Y$8,Cluster!$Y$10,0)))*10^3),"-"),Calculation!AK66)</f>
        <v>-</v>
      </c>
      <c r="U85" s="179" t="str">
        <f ca="1">IF(AND(L85&lt;&gt;"-",Q85&lt;&gt;"bypass"),IFERROR((0.5/50)*X85/$R$23,"-"),Calculation!AG66)</f>
        <v>-</v>
      </c>
      <c r="V85" s="179" t="str">
        <f ca="1">IF(AND(L85&lt;&gt;"-",Q85&lt;&gt;"bypass"),IFERROR(5/50*X85,"-"),Calculation!AI66)</f>
        <v>-</v>
      </c>
      <c r="W85" s="179" t="str">
        <f ca="1">IF(AND(L85&lt;&gt;"-",Q85&lt;&gt;"bypass"),IFERROR(35/50*X85,"-"),Calculation!AJ66)</f>
        <v>-</v>
      </c>
      <c r="X85" s="179" t="str">
        <f ca="1">IF(AND(L85&lt;&gt;"-",Q85&lt;&gt;"bypass"),$W$23,Calculation!AL66)</f>
        <v>-</v>
      </c>
      <c r="Y85" s="183" t="str">
        <f ca="1">IF(AND(L85&lt;&gt;"-",Q85&lt;&gt;"bypass"),IFERROR($R$23*U85/SUM(R85:U85),"-"),Calculation!AP66)</f>
        <v>-</v>
      </c>
      <c r="Z85" s="184" t="str">
        <f t="shared" ca="1" si="0"/>
        <v>-</v>
      </c>
      <c r="AA85" s="185" t="str">
        <f ca="1">IFERROR(IF(I85=0,"-",IF(AND(ROUND(H85*I85*X85/($W$10*10^3),1)&gt;=Calculation!$O$6,ROUND((((U85)*$R$23/0.05)-((S85)+(H85*I85*X85/($W$10*10^3))+(U85))),1)&gt;=0),Cluster!$W$8,IF(AND(ROUND(H85*I85*X85/($X$10*10^3),1)&gt;=Calculation!$O$6,ROUND((((U85)*$R$23/0.05)-((S85)+(H85*I85*X85/($X$10*10^3))+(U85))),1)&gt;=0),Cluster!$X$8,IF(AND(ROUND(H85*I85*X85/($Y$10*10^3),1)&gt;=Calculation!$O$6,ROUND((((U85)*$R$23/0.05)-((S85)+(H85*I85*X85/($Y$10*10^3))+(U85))),1)&gt;=0),Cluster!$Y$8,"Recepie by hand needed")))),"-")</f>
        <v>-</v>
      </c>
      <c r="AC85" s="37" t="str">
        <f t="shared" ca="1" si="1"/>
        <v>-</v>
      </c>
      <c r="AD85" s="37" t="str">
        <f t="shared" ca="1" si="2"/>
        <v>-</v>
      </c>
      <c r="AE85" s="220" t="str">
        <f t="shared" ca="1" si="3"/>
        <v>-</v>
      </c>
      <c r="AF85" s="37" t="str">
        <f t="shared" ca="1" si="4"/>
        <v>-</v>
      </c>
    </row>
    <row r="86" spans="1:32" ht="14.25" x14ac:dyDescent="0.5">
      <c r="A86" s="170" t="str">
        <f>Calculation!I67</f>
        <v/>
      </c>
      <c r="B86" s="221" t="str">
        <f ca="1">Calculation!B67</f>
        <v/>
      </c>
      <c r="C86" s="221" t="str">
        <f ca="1">Calculation!C67</f>
        <v/>
      </c>
      <c r="D86" s="172" t="str">
        <f ca="1">Calculation!AN67</f>
        <v/>
      </c>
      <c r="E86" s="173" t="str">
        <f ca="1">Calculation!D67</f>
        <v/>
      </c>
      <c r="F86" s="174" t="str">
        <f ca="1">Calculation!C67</f>
        <v/>
      </c>
      <c r="G86" s="175" t="str">
        <f ca="1">Calculation!F67</f>
        <v/>
      </c>
      <c r="H86" s="176" t="str">
        <f ca="1">Calculation!AD67</f>
        <v/>
      </c>
      <c r="I86" s="177" t="str">
        <f ca="1">Calculation!AE67</f>
        <v/>
      </c>
      <c r="J86" s="272" t="str">
        <f ca="1">IF(Calculation!Q67="","Selection",Calculation!Q67)</f>
        <v>Selection</v>
      </c>
      <c r="K86" s="179" t="str">
        <f ca="1">Calculation!T67</f>
        <v/>
      </c>
      <c r="L86" s="180" t="str">
        <f ca="1">Calculation!U67</f>
        <v>-</v>
      </c>
      <c r="M86" s="180" t="str">
        <f ca="1">Calculation!V67</f>
        <v>-</v>
      </c>
      <c r="N86" s="181"/>
      <c r="O86" s="180" t="str">
        <f ca="1">Calculation!X67</f>
        <v>-</v>
      </c>
      <c r="P86" s="180" t="str">
        <f ca="1">Calculation!Y67</f>
        <v>-</v>
      </c>
      <c r="Q86" s="273"/>
      <c r="R86" s="182" t="str">
        <f ca="1">IF(AND(L86&lt;&gt;"-",Q86&lt;&gt;"bypass"),IFERROR(IF((U86*$R$23/0.05)-SUM(S86:U86)&gt;0,(U86*$R$23/0.05)-SUM(S86:U86),0),"-"),Calculation!AH67)</f>
        <v>-</v>
      </c>
      <c r="S86" s="179" t="str">
        <f ca="1">IF(AND(L86&lt;&gt;"-",Q86&lt;&gt;"bypass"),IFERROR(X86*((H86*10^-12-H86*10^-12*I86)/(Calculation!$U$8*10^-9)),"-"),Calculation!AF67)</f>
        <v>-</v>
      </c>
      <c r="T86" s="179" t="str">
        <f ca="1">IF(AND(L86&lt;&gt;"-",Q86&lt;&gt;"bypass"),IFERROR(H86*I86*X86/(IF(Cluster!AA86=Cluster!$W$8,Cluster!$W$10,IF(Cluster!AA86=Cluster!$X$8,Cluster!$X$10,IF(Cluster!AA86=Cluster!$Y$8,Cluster!$Y$10,0)))*10^3),"-"),Calculation!AK67)</f>
        <v>-</v>
      </c>
      <c r="U86" s="179" t="str">
        <f ca="1">IF(AND(L86&lt;&gt;"-",Q86&lt;&gt;"bypass"),IFERROR((0.5/50)*X86/$R$23,"-"),Calculation!AG67)</f>
        <v>-</v>
      </c>
      <c r="V86" s="179" t="str">
        <f ca="1">IF(AND(L86&lt;&gt;"-",Q86&lt;&gt;"bypass"),IFERROR(5/50*X86,"-"),Calculation!AI67)</f>
        <v>-</v>
      </c>
      <c r="W86" s="179" t="str">
        <f ca="1">IF(AND(L86&lt;&gt;"-",Q86&lt;&gt;"bypass"),IFERROR(35/50*X86,"-"),Calculation!AJ67)</f>
        <v>-</v>
      </c>
      <c r="X86" s="179" t="str">
        <f ca="1">IF(AND(L86&lt;&gt;"-",Q86&lt;&gt;"bypass"),$W$23,Calculation!AL67)</f>
        <v>-</v>
      </c>
      <c r="Y86" s="183" t="str">
        <f ca="1">IF(AND(L86&lt;&gt;"-",Q86&lt;&gt;"bypass"),IFERROR($R$23*U86/SUM(R86:U86),"-"),Calculation!AP67)</f>
        <v>-</v>
      </c>
      <c r="Z86" s="184" t="str">
        <f t="shared" ca="1" si="0"/>
        <v>-</v>
      </c>
      <c r="AA86" s="185" t="str">
        <f ca="1">IFERROR(IF(I86=0,"-",IF(AND(ROUND(H86*I86*X86/($W$10*10^3),1)&gt;=Calculation!$O$6,ROUND((((U86)*$R$23/0.05)-((S86)+(H86*I86*X86/($W$10*10^3))+(U86))),1)&gt;=0),Cluster!$W$8,IF(AND(ROUND(H86*I86*X86/($X$10*10^3),1)&gt;=Calculation!$O$6,ROUND((((U86)*$R$23/0.05)-((S86)+(H86*I86*X86/($X$10*10^3))+(U86))),1)&gt;=0),Cluster!$X$8,IF(AND(ROUND(H86*I86*X86/($Y$10*10^3),1)&gt;=Calculation!$O$6,ROUND((((U86)*$R$23/0.05)-((S86)+(H86*I86*X86/($Y$10*10^3))+(U86))),1)&gt;=0),Cluster!$Y$8,"Recepie by hand needed")))),"-")</f>
        <v>-</v>
      </c>
      <c r="AC86" s="37" t="str">
        <f t="shared" ca="1" si="1"/>
        <v>-</v>
      </c>
      <c r="AD86" s="37" t="str">
        <f t="shared" ca="1" si="2"/>
        <v>-</v>
      </c>
      <c r="AE86" s="220" t="str">
        <f t="shared" ca="1" si="3"/>
        <v>-</v>
      </c>
      <c r="AF86" s="37" t="str">
        <f t="shared" ca="1" si="4"/>
        <v>-</v>
      </c>
    </row>
    <row r="87" spans="1:32" ht="14.25" x14ac:dyDescent="0.5">
      <c r="A87" s="170" t="str">
        <f>Calculation!I68</f>
        <v/>
      </c>
      <c r="B87" s="221" t="str">
        <f ca="1">Calculation!B68</f>
        <v/>
      </c>
      <c r="C87" s="221" t="str">
        <f ca="1">Calculation!C68</f>
        <v/>
      </c>
      <c r="D87" s="172" t="str">
        <f ca="1">Calculation!AN68</f>
        <v/>
      </c>
      <c r="E87" s="173" t="str">
        <f ca="1">Calculation!D68</f>
        <v/>
      </c>
      <c r="F87" s="174" t="str">
        <f ca="1">Calculation!C68</f>
        <v/>
      </c>
      <c r="G87" s="175" t="str">
        <f ca="1">Calculation!F68</f>
        <v/>
      </c>
      <c r="H87" s="176" t="str">
        <f ca="1">Calculation!AD68</f>
        <v/>
      </c>
      <c r="I87" s="177" t="str">
        <f ca="1">Calculation!AE68</f>
        <v/>
      </c>
      <c r="J87" s="272" t="str">
        <f ca="1">IF(Calculation!Q68="","Selection",Calculation!Q68)</f>
        <v>Selection</v>
      </c>
      <c r="K87" s="179" t="str">
        <f ca="1">Calculation!T68</f>
        <v/>
      </c>
      <c r="L87" s="180" t="str">
        <f ca="1">Calculation!U68</f>
        <v>-</v>
      </c>
      <c r="M87" s="180" t="str">
        <f ca="1">Calculation!V68</f>
        <v>-</v>
      </c>
      <c r="N87" s="181"/>
      <c r="O87" s="180" t="str">
        <f ca="1">Calculation!X68</f>
        <v>-</v>
      </c>
      <c r="P87" s="180" t="str">
        <f ca="1">Calculation!Y68</f>
        <v>-</v>
      </c>
      <c r="Q87" s="273"/>
      <c r="R87" s="182" t="str">
        <f ca="1">IF(AND(L87&lt;&gt;"-",Q87&lt;&gt;"bypass"),IFERROR(IF((U87*$R$23/0.05)-SUM(S87:U87)&gt;0,(U87*$R$23/0.05)-SUM(S87:U87),0),"-"),Calculation!AH68)</f>
        <v>-</v>
      </c>
      <c r="S87" s="179" t="str">
        <f ca="1">IF(AND(L87&lt;&gt;"-",Q87&lt;&gt;"bypass"),IFERROR(X87*((H87*10^-12-H87*10^-12*I87)/(Calculation!$U$8*10^-9)),"-"),Calculation!AF68)</f>
        <v>-</v>
      </c>
      <c r="T87" s="179" t="str">
        <f ca="1">IF(AND(L87&lt;&gt;"-",Q87&lt;&gt;"bypass"),IFERROR(H87*I87*X87/(IF(Cluster!AA87=Cluster!$W$8,Cluster!$W$10,IF(Cluster!AA87=Cluster!$X$8,Cluster!$X$10,IF(Cluster!AA87=Cluster!$Y$8,Cluster!$Y$10,0)))*10^3),"-"),Calculation!AK68)</f>
        <v>-</v>
      </c>
      <c r="U87" s="179" t="str">
        <f ca="1">IF(AND(L87&lt;&gt;"-",Q87&lt;&gt;"bypass"),IFERROR((0.5/50)*X87/$R$23,"-"),Calculation!AG68)</f>
        <v>-</v>
      </c>
      <c r="V87" s="179" t="str">
        <f ca="1">IF(AND(L87&lt;&gt;"-",Q87&lt;&gt;"bypass"),IFERROR(5/50*X87,"-"),Calculation!AI68)</f>
        <v>-</v>
      </c>
      <c r="W87" s="179" t="str">
        <f ca="1">IF(AND(L87&lt;&gt;"-",Q87&lt;&gt;"bypass"),IFERROR(35/50*X87,"-"),Calculation!AJ68)</f>
        <v>-</v>
      </c>
      <c r="X87" s="179" t="str">
        <f ca="1">IF(AND(L87&lt;&gt;"-",Q87&lt;&gt;"bypass"),$W$23,Calculation!AL68)</f>
        <v>-</v>
      </c>
      <c r="Y87" s="183" t="str">
        <f ca="1">IF(AND(L87&lt;&gt;"-",Q87&lt;&gt;"bypass"),IFERROR($R$23*U87/SUM(R87:U87),"-"),Calculation!AP68)</f>
        <v>-</v>
      </c>
      <c r="Z87" s="184" t="str">
        <f t="shared" ca="1" si="0"/>
        <v>-</v>
      </c>
      <c r="AA87" s="185" t="str">
        <f ca="1">IFERROR(IF(I87=0,"-",IF(AND(ROUND(H87*I87*X87/($W$10*10^3),1)&gt;=Calculation!$O$6,ROUND((((U87)*$R$23/0.05)-((S87)+(H87*I87*X87/($W$10*10^3))+(U87))),1)&gt;=0),Cluster!$W$8,IF(AND(ROUND(H87*I87*X87/($X$10*10^3),1)&gt;=Calculation!$O$6,ROUND((((U87)*$R$23/0.05)-((S87)+(H87*I87*X87/($X$10*10^3))+(U87))),1)&gt;=0),Cluster!$X$8,IF(AND(ROUND(H87*I87*X87/($Y$10*10^3),1)&gt;=Calculation!$O$6,ROUND((((U87)*$R$23/0.05)-((S87)+(H87*I87*X87/($Y$10*10^3))+(U87))),1)&gt;=0),Cluster!$Y$8,"Recepie by hand needed")))),"-")</f>
        <v>-</v>
      </c>
      <c r="AC87" s="37" t="str">
        <f t="shared" ca="1" si="1"/>
        <v>-</v>
      </c>
      <c r="AD87" s="37" t="str">
        <f t="shared" ca="1" si="2"/>
        <v>-</v>
      </c>
      <c r="AE87" s="220" t="str">
        <f t="shared" ca="1" si="3"/>
        <v>-</v>
      </c>
      <c r="AF87" s="37" t="str">
        <f t="shared" ca="1" si="4"/>
        <v>-</v>
      </c>
    </row>
    <row r="88" spans="1:32" ht="14.25" x14ac:dyDescent="0.5">
      <c r="A88" s="170" t="str">
        <f>Calculation!I69</f>
        <v/>
      </c>
      <c r="B88" s="221" t="str">
        <f ca="1">Calculation!B69</f>
        <v/>
      </c>
      <c r="C88" s="221" t="str">
        <f ca="1">Calculation!C69</f>
        <v/>
      </c>
      <c r="D88" s="172" t="str">
        <f ca="1">Calculation!AN69</f>
        <v/>
      </c>
      <c r="E88" s="173" t="str">
        <f ca="1">Calculation!D69</f>
        <v/>
      </c>
      <c r="F88" s="174" t="str">
        <f ca="1">Calculation!C69</f>
        <v/>
      </c>
      <c r="G88" s="175" t="str">
        <f ca="1">Calculation!F69</f>
        <v/>
      </c>
      <c r="H88" s="176" t="str">
        <f ca="1">Calculation!AD69</f>
        <v/>
      </c>
      <c r="I88" s="177" t="str">
        <f ca="1">Calculation!AE69</f>
        <v/>
      </c>
      <c r="J88" s="272" t="str">
        <f ca="1">IF(Calculation!Q69="","Selection",Calculation!Q69)</f>
        <v>Selection</v>
      </c>
      <c r="K88" s="179" t="str">
        <f ca="1">Calculation!T69</f>
        <v/>
      </c>
      <c r="L88" s="180" t="str">
        <f ca="1">Calculation!U69</f>
        <v>-</v>
      </c>
      <c r="M88" s="180" t="str">
        <f ca="1">Calculation!V69</f>
        <v>-</v>
      </c>
      <c r="N88" s="181"/>
      <c r="O88" s="180" t="str">
        <f ca="1">Calculation!X69</f>
        <v>-</v>
      </c>
      <c r="P88" s="180" t="str">
        <f ca="1">Calculation!Y69</f>
        <v>-</v>
      </c>
      <c r="Q88" s="273"/>
      <c r="R88" s="182" t="str">
        <f ca="1">IF(AND(L88&lt;&gt;"-",Q88&lt;&gt;"bypass"),IFERROR(IF((U88*$R$23/0.05)-SUM(S88:U88)&gt;0,(U88*$R$23/0.05)-SUM(S88:U88),0),"-"),Calculation!AH69)</f>
        <v>-</v>
      </c>
      <c r="S88" s="179" t="str">
        <f ca="1">IF(AND(L88&lt;&gt;"-",Q88&lt;&gt;"bypass"),IFERROR(X88*((H88*10^-12-H88*10^-12*I88)/(Calculation!$U$8*10^-9)),"-"),Calculation!AF69)</f>
        <v>-</v>
      </c>
      <c r="T88" s="179" t="str">
        <f ca="1">IF(AND(L88&lt;&gt;"-",Q88&lt;&gt;"bypass"),IFERROR(H88*I88*X88/(IF(Cluster!AA88=Cluster!$W$8,Cluster!$W$10,IF(Cluster!AA88=Cluster!$X$8,Cluster!$X$10,IF(Cluster!AA88=Cluster!$Y$8,Cluster!$Y$10,0)))*10^3),"-"),Calculation!AK69)</f>
        <v>-</v>
      </c>
      <c r="U88" s="179" t="str">
        <f ca="1">IF(AND(L88&lt;&gt;"-",Q88&lt;&gt;"bypass"),IFERROR((0.5/50)*X88/$R$23,"-"),Calculation!AG69)</f>
        <v>-</v>
      </c>
      <c r="V88" s="179" t="str">
        <f ca="1">IF(AND(L88&lt;&gt;"-",Q88&lt;&gt;"bypass"),IFERROR(5/50*X88,"-"),Calculation!AI69)</f>
        <v>-</v>
      </c>
      <c r="W88" s="179" t="str">
        <f ca="1">IF(AND(L88&lt;&gt;"-",Q88&lt;&gt;"bypass"),IFERROR(35/50*X88,"-"),Calculation!AJ69)</f>
        <v>-</v>
      </c>
      <c r="X88" s="179" t="str">
        <f ca="1">IF(AND(L88&lt;&gt;"-",Q88&lt;&gt;"bypass"),$W$23,Calculation!AL69)</f>
        <v>-</v>
      </c>
      <c r="Y88" s="183" t="str">
        <f ca="1">IF(AND(L88&lt;&gt;"-",Q88&lt;&gt;"bypass"),IFERROR($R$23*U88/SUM(R88:U88),"-"),Calculation!AP69)</f>
        <v>-</v>
      </c>
      <c r="Z88" s="184" t="str">
        <f t="shared" ca="1" si="0"/>
        <v>-</v>
      </c>
      <c r="AA88" s="185" t="str">
        <f ca="1">IFERROR(IF(I88=0,"-",IF(AND(ROUND(H88*I88*X88/($W$10*10^3),1)&gt;=Calculation!$O$6,ROUND((((U88)*$R$23/0.05)-((S88)+(H88*I88*X88/($W$10*10^3))+(U88))),1)&gt;=0),Cluster!$W$8,IF(AND(ROUND(H88*I88*X88/($X$10*10^3),1)&gt;=Calculation!$O$6,ROUND((((U88)*$R$23/0.05)-((S88)+(H88*I88*X88/($X$10*10^3))+(U88))),1)&gt;=0),Cluster!$X$8,IF(AND(ROUND(H88*I88*X88/($Y$10*10^3),1)&gt;=Calculation!$O$6,ROUND((((U88)*$R$23/0.05)-((S88)+(H88*I88*X88/($Y$10*10^3))+(U88))),1)&gt;=0),Cluster!$Y$8,"Recepie by hand needed")))),"-")</f>
        <v>-</v>
      </c>
      <c r="AC88" s="37" t="str">
        <f t="shared" ca="1" si="1"/>
        <v>-</v>
      </c>
      <c r="AD88" s="37" t="str">
        <f t="shared" ca="1" si="2"/>
        <v>-</v>
      </c>
      <c r="AE88" s="220" t="str">
        <f t="shared" ca="1" si="3"/>
        <v>-</v>
      </c>
      <c r="AF88" s="37" t="str">
        <f t="shared" ca="1" si="4"/>
        <v>-</v>
      </c>
    </row>
    <row r="89" spans="1:32" ht="14.25" x14ac:dyDescent="0.5">
      <c r="A89" s="170" t="str">
        <f>Calculation!I70</f>
        <v/>
      </c>
      <c r="B89" s="221" t="str">
        <f ca="1">Calculation!B70</f>
        <v/>
      </c>
      <c r="C89" s="221" t="str">
        <f ca="1">Calculation!C70</f>
        <v/>
      </c>
      <c r="D89" s="172" t="str">
        <f ca="1">Calculation!AN70</f>
        <v/>
      </c>
      <c r="E89" s="173" t="str">
        <f ca="1">Calculation!D70</f>
        <v/>
      </c>
      <c r="F89" s="174" t="str">
        <f ca="1">Calculation!C70</f>
        <v/>
      </c>
      <c r="G89" s="175" t="str">
        <f ca="1">Calculation!F70</f>
        <v/>
      </c>
      <c r="H89" s="176" t="str">
        <f ca="1">Calculation!AD70</f>
        <v/>
      </c>
      <c r="I89" s="177" t="str">
        <f ca="1">Calculation!AE70</f>
        <v/>
      </c>
      <c r="J89" s="272" t="str">
        <f ca="1">IF(Calculation!Q70="","Selection",Calculation!Q70)</f>
        <v>Selection</v>
      </c>
      <c r="K89" s="179" t="str">
        <f ca="1">Calculation!T70</f>
        <v/>
      </c>
      <c r="L89" s="180" t="str">
        <f ca="1">Calculation!U70</f>
        <v>-</v>
      </c>
      <c r="M89" s="180" t="str">
        <f ca="1">Calculation!V70</f>
        <v>-</v>
      </c>
      <c r="N89" s="181"/>
      <c r="O89" s="180" t="str">
        <f ca="1">Calculation!X70</f>
        <v>-</v>
      </c>
      <c r="P89" s="180" t="str">
        <f ca="1">Calculation!Y70</f>
        <v>-</v>
      </c>
      <c r="Q89" s="273"/>
      <c r="R89" s="182" t="str">
        <f ca="1">IF(AND(L89&lt;&gt;"-",Q89&lt;&gt;"bypass"),IFERROR(IF((U89*$R$23/0.05)-SUM(S89:U89)&gt;0,(U89*$R$23/0.05)-SUM(S89:U89),0),"-"),Calculation!AH70)</f>
        <v>-</v>
      </c>
      <c r="S89" s="179" t="str">
        <f ca="1">IF(AND(L89&lt;&gt;"-",Q89&lt;&gt;"bypass"),IFERROR(X89*((H89*10^-12-H89*10^-12*I89)/(Calculation!$U$8*10^-9)),"-"),Calculation!AF70)</f>
        <v>-</v>
      </c>
      <c r="T89" s="179" t="str">
        <f ca="1">IF(AND(L89&lt;&gt;"-",Q89&lt;&gt;"bypass"),IFERROR(H89*I89*X89/(IF(Cluster!AA89=Cluster!$W$8,Cluster!$W$10,IF(Cluster!AA89=Cluster!$X$8,Cluster!$X$10,IF(Cluster!AA89=Cluster!$Y$8,Cluster!$Y$10,0)))*10^3),"-"),Calculation!AK70)</f>
        <v>-</v>
      </c>
      <c r="U89" s="179" t="str">
        <f ca="1">IF(AND(L89&lt;&gt;"-",Q89&lt;&gt;"bypass"),IFERROR((0.5/50)*X89/$R$23,"-"),Calculation!AG70)</f>
        <v>-</v>
      </c>
      <c r="V89" s="179" t="str">
        <f ca="1">IF(AND(L89&lt;&gt;"-",Q89&lt;&gt;"bypass"),IFERROR(5/50*X89,"-"),Calculation!AI70)</f>
        <v>-</v>
      </c>
      <c r="W89" s="179" t="str">
        <f ca="1">IF(AND(L89&lt;&gt;"-",Q89&lt;&gt;"bypass"),IFERROR(35/50*X89,"-"),Calculation!AJ70)</f>
        <v>-</v>
      </c>
      <c r="X89" s="179" t="str">
        <f ca="1">IF(AND(L89&lt;&gt;"-",Q89&lt;&gt;"bypass"),$W$23,Calculation!AL70)</f>
        <v>-</v>
      </c>
      <c r="Y89" s="183" t="str">
        <f ca="1">IF(AND(L89&lt;&gt;"-",Q89&lt;&gt;"bypass"),IFERROR($R$23*U89/SUM(R89:U89),"-"),Calculation!AP70)</f>
        <v>-</v>
      </c>
      <c r="Z89" s="184" t="str">
        <f t="shared" ca="1" si="0"/>
        <v>-</v>
      </c>
      <c r="AA89" s="185" t="str">
        <f ca="1">IFERROR(IF(I89=0,"-",IF(AND(ROUND(H89*I89*X89/($W$10*10^3),1)&gt;=Calculation!$O$6,ROUND((((U89)*$R$23/0.05)-((S89)+(H89*I89*X89/($W$10*10^3))+(U89))),1)&gt;=0),Cluster!$W$8,IF(AND(ROUND(H89*I89*X89/($X$10*10^3),1)&gt;=Calculation!$O$6,ROUND((((U89)*$R$23/0.05)-((S89)+(H89*I89*X89/($X$10*10^3))+(U89))),1)&gt;=0),Cluster!$X$8,IF(AND(ROUND(H89*I89*X89/($Y$10*10^3),1)&gt;=Calculation!$O$6,ROUND((((U89)*$R$23/0.05)-((S89)+(H89*I89*X89/($Y$10*10^3))+(U89))),1)&gt;=0),Cluster!$Y$8,"Recepie by hand needed")))),"-")</f>
        <v>-</v>
      </c>
      <c r="AC89" s="37" t="str">
        <f t="shared" ca="1" si="1"/>
        <v>-</v>
      </c>
      <c r="AD89" s="37" t="str">
        <f t="shared" ca="1" si="2"/>
        <v>-</v>
      </c>
      <c r="AE89" s="220" t="str">
        <f t="shared" ca="1" si="3"/>
        <v>-</v>
      </c>
      <c r="AF89" s="37" t="str">
        <f t="shared" ca="1" si="4"/>
        <v>-</v>
      </c>
    </row>
    <row r="90" spans="1:32" ht="14.25" x14ac:dyDescent="0.5">
      <c r="A90" s="170" t="str">
        <f>Calculation!I71</f>
        <v/>
      </c>
      <c r="B90" s="221" t="str">
        <f ca="1">Calculation!B71</f>
        <v/>
      </c>
      <c r="C90" s="221" t="str">
        <f ca="1">Calculation!C71</f>
        <v/>
      </c>
      <c r="D90" s="172" t="str">
        <f ca="1">Calculation!AN71</f>
        <v/>
      </c>
      <c r="E90" s="173" t="str">
        <f ca="1">Calculation!D71</f>
        <v/>
      </c>
      <c r="F90" s="174" t="str">
        <f ca="1">Calculation!C71</f>
        <v/>
      </c>
      <c r="G90" s="175" t="str">
        <f ca="1">Calculation!F71</f>
        <v/>
      </c>
      <c r="H90" s="176" t="str">
        <f ca="1">Calculation!AD71</f>
        <v/>
      </c>
      <c r="I90" s="177" t="str">
        <f ca="1">Calculation!AE71</f>
        <v/>
      </c>
      <c r="J90" s="272" t="str">
        <f ca="1">IF(Calculation!Q71="","Selection",Calculation!Q71)</f>
        <v>Selection</v>
      </c>
      <c r="K90" s="179" t="str">
        <f ca="1">Calculation!T71</f>
        <v/>
      </c>
      <c r="L90" s="180" t="str">
        <f ca="1">Calculation!U71</f>
        <v>-</v>
      </c>
      <c r="M90" s="180" t="str">
        <f ca="1">Calculation!V71</f>
        <v>-</v>
      </c>
      <c r="N90" s="181"/>
      <c r="O90" s="180" t="str">
        <f ca="1">Calculation!X71</f>
        <v>-</v>
      </c>
      <c r="P90" s="180" t="str">
        <f ca="1">Calculation!Y71</f>
        <v>-</v>
      </c>
      <c r="Q90" s="273"/>
      <c r="R90" s="182" t="str">
        <f ca="1">IF(AND(L90&lt;&gt;"-",Q90&lt;&gt;"bypass"),IFERROR(IF((U90*$R$23/0.05)-SUM(S90:U90)&gt;0,(U90*$R$23/0.05)-SUM(S90:U90),0),"-"),Calculation!AH71)</f>
        <v>-</v>
      </c>
      <c r="S90" s="179" t="str">
        <f ca="1">IF(AND(L90&lt;&gt;"-",Q90&lt;&gt;"bypass"),IFERROR(X90*((H90*10^-12-H90*10^-12*I90)/(Calculation!$U$8*10^-9)),"-"),Calculation!AF71)</f>
        <v>-</v>
      </c>
      <c r="T90" s="179" t="str">
        <f ca="1">IF(AND(L90&lt;&gt;"-",Q90&lt;&gt;"bypass"),IFERROR(H90*I90*X90/(IF(Cluster!AA90=Cluster!$W$8,Cluster!$W$10,IF(Cluster!AA90=Cluster!$X$8,Cluster!$X$10,IF(Cluster!AA90=Cluster!$Y$8,Cluster!$Y$10,0)))*10^3),"-"),Calculation!AK71)</f>
        <v>-</v>
      </c>
      <c r="U90" s="179" t="str">
        <f ca="1">IF(AND(L90&lt;&gt;"-",Q90&lt;&gt;"bypass"),IFERROR((0.5/50)*X90/$R$23,"-"),Calculation!AG71)</f>
        <v>-</v>
      </c>
      <c r="V90" s="179" t="str">
        <f ca="1">IF(AND(L90&lt;&gt;"-",Q90&lt;&gt;"bypass"),IFERROR(5/50*X90,"-"),Calculation!AI71)</f>
        <v>-</v>
      </c>
      <c r="W90" s="179" t="str">
        <f ca="1">IF(AND(L90&lt;&gt;"-",Q90&lt;&gt;"bypass"),IFERROR(35/50*X90,"-"),Calculation!AJ71)</f>
        <v>-</v>
      </c>
      <c r="X90" s="179" t="str">
        <f ca="1">IF(AND(L90&lt;&gt;"-",Q90&lt;&gt;"bypass"),$W$23,Calculation!AL71)</f>
        <v>-</v>
      </c>
      <c r="Y90" s="183" t="str">
        <f ca="1">IF(AND(L90&lt;&gt;"-",Q90&lt;&gt;"bypass"),IFERROR($R$23*U90/SUM(R90:U90),"-"),Calculation!AP71)</f>
        <v>-</v>
      </c>
      <c r="Z90" s="184" t="str">
        <f t="shared" ca="1" si="0"/>
        <v>-</v>
      </c>
      <c r="AA90" s="185" t="str">
        <f ca="1">IFERROR(IF(I90=0,"-",IF(AND(ROUND(H90*I90*X90/($W$10*10^3),1)&gt;=Calculation!$O$6,ROUND((((U90)*$R$23/0.05)-((S90)+(H90*I90*X90/($W$10*10^3))+(U90))),1)&gt;=0),Cluster!$W$8,IF(AND(ROUND(H90*I90*X90/($X$10*10^3),1)&gt;=Calculation!$O$6,ROUND((((U90)*$R$23/0.05)-((S90)+(H90*I90*X90/($X$10*10^3))+(U90))),1)&gt;=0),Cluster!$X$8,IF(AND(ROUND(H90*I90*X90/($Y$10*10^3),1)&gt;=Calculation!$O$6,ROUND((((U90)*$R$23/0.05)-((S90)+(H90*I90*X90/($Y$10*10^3))+(U90))),1)&gt;=0),Cluster!$Y$8,"Recepie by hand needed")))),"-")</f>
        <v>-</v>
      </c>
      <c r="AC90" s="37" t="str">
        <f t="shared" ca="1" si="1"/>
        <v>-</v>
      </c>
      <c r="AD90" s="37" t="str">
        <f t="shared" ca="1" si="2"/>
        <v>-</v>
      </c>
      <c r="AE90" s="220" t="str">
        <f t="shared" ca="1" si="3"/>
        <v>-</v>
      </c>
      <c r="AF90" s="37" t="str">
        <f t="shared" ca="1" si="4"/>
        <v>-</v>
      </c>
    </row>
    <row r="91" spans="1:32" ht="14.25" x14ac:dyDescent="0.5">
      <c r="A91" s="170" t="str">
        <f>Calculation!I72</f>
        <v/>
      </c>
      <c r="B91" s="221" t="str">
        <f ca="1">Calculation!B72</f>
        <v/>
      </c>
      <c r="C91" s="221" t="str">
        <f ca="1">Calculation!C72</f>
        <v/>
      </c>
      <c r="D91" s="172" t="str">
        <f ca="1">Calculation!AN72</f>
        <v/>
      </c>
      <c r="E91" s="173" t="str">
        <f ca="1">Calculation!D72</f>
        <v/>
      </c>
      <c r="F91" s="174" t="str">
        <f ca="1">Calculation!C72</f>
        <v/>
      </c>
      <c r="G91" s="175" t="str">
        <f ca="1">Calculation!F72</f>
        <v/>
      </c>
      <c r="H91" s="176" t="str">
        <f ca="1">Calculation!AD72</f>
        <v/>
      </c>
      <c r="I91" s="177" t="str">
        <f ca="1">Calculation!AE72</f>
        <v/>
      </c>
      <c r="J91" s="272" t="str">
        <f ca="1">IF(Calculation!Q72="","Selection",Calculation!Q72)</f>
        <v>Selection</v>
      </c>
      <c r="K91" s="179" t="str">
        <f ca="1">Calculation!T72</f>
        <v/>
      </c>
      <c r="L91" s="180" t="str">
        <f ca="1">Calculation!U72</f>
        <v>-</v>
      </c>
      <c r="M91" s="180" t="str">
        <f ca="1">Calculation!V72</f>
        <v>-</v>
      </c>
      <c r="N91" s="181"/>
      <c r="O91" s="180" t="str">
        <f ca="1">Calculation!X72</f>
        <v>-</v>
      </c>
      <c r="P91" s="180" t="str">
        <f ca="1">Calculation!Y72</f>
        <v>-</v>
      </c>
      <c r="Q91" s="273"/>
      <c r="R91" s="182" t="str">
        <f ca="1">IF(AND(L91&lt;&gt;"-",Q91&lt;&gt;"bypass"),IFERROR(IF((U91*$R$23/0.05)-SUM(S91:U91)&gt;0,(U91*$R$23/0.05)-SUM(S91:U91),0),"-"),Calculation!AH72)</f>
        <v>-</v>
      </c>
      <c r="S91" s="179" t="str">
        <f ca="1">IF(AND(L91&lt;&gt;"-",Q91&lt;&gt;"bypass"),IFERROR(X91*((H91*10^-12-H91*10^-12*I91)/(Calculation!$U$8*10^-9)),"-"),Calculation!AF72)</f>
        <v>-</v>
      </c>
      <c r="T91" s="179" t="str">
        <f ca="1">IF(AND(L91&lt;&gt;"-",Q91&lt;&gt;"bypass"),IFERROR(H91*I91*X91/(IF(Cluster!AA91=Cluster!$W$8,Cluster!$W$10,IF(Cluster!AA91=Cluster!$X$8,Cluster!$X$10,IF(Cluster!AA91=Cluster!$Y$8,Cluster!$Y$10,0)))*10^3),"-"),Calculation!AK72)</f>
        <v>-</v>
      </c>
      <c r="U91" s="179" t="str">
        <f ca="1">IF(AND(L91&lt;&gt;"-",Q91&lt;&gt;"bypass"),IFERROR((0.5/50)*X91/$R$23,"-"),Calculation!AG72)</f>
        <v>-</v>
      </c>
      <c r="V91" s="179" t="str">
        <f ca="1">IF(AND(L91&lt;&gt;"-",Q91&lt;&gt;"bypass"),IFERROR(5/50*X91,"-"),Calculation!AI72)</f>
        <v>-</v>
      </c>
      <c r="W91" s="179" t="str">
        <f ca="1">IF(AND(L91&lt;&gt;"-",Q91&lt;&gt;"bypass"),IFERROR(35/50*X91,"-"),Calculation!AJ72)</f>
        <v>-</v>
      </c>
      <c r="X91" s="179" t="str">
        <f ca="1">IF(AND(L91&lt;&gt;"-",Q91&lt;&gt;"bypass"),$W$23,Calculation!AL72)</f>
        <v>-</v>
      </c>
      <c r="Y91" s="183" t="str">
        <f ca="1">IF(AND(L91&lt;&gt;"-",Q91&lt;&gt;"bypass"),IFERROR($R$23*U91/SUM(R91:U91),"-"),Calculation!AP72)</f>
        <v>-</v>
      </c>
      <c r="Z91" s="184" t="str">
        <f t="shared" ca="1" si="0"/>
        <v>-</v>
      </c>
      <c r="AA91" s="185" t="str">
        <f ca="1">IFERROR(IF(I91=0,"-",IF(AND(ROUND(H91*I91*X91/($W$10*10^3),1)&gt;=Calculation!$O$6,ROUND((((U91)*$R$23/0.05)-((S91)+(H91*I91*X91/($W$10*10^3))+(U91))),1)&gt;=0),Cluster!$W$8,IF(AND(ROUND(H91*I91*X91/($X$10*10^3),1)&gt;=Calculation!$O$6,ROUND((((U91)*$R$23/0.05)-((S91)+(H91*I91*X91/($X$10*10^3))+(U91))),1)&gt;=0),Cluster!$X$8,IF(AND(ROUND(H91*I91*X91/($Y$10*10^3),1)&gt;=Calculation!$O$6,ROUND((((U91)*$R$23/0.05)-((S91)+(H91*I91*X91/($Y$10*10^3))+(U91))),1)&gt;=0),Cluster!$Y$8,"Recepie by hand needed")))),"-")</f>
        <v>-</v>
      </c>
      <c r="AC91" s="37" t="str">
        <f t="shared" ca="1" si="1"/>
        <v>-</v>
      </c>
      <c r="AD91" s="37" t="str">
        <f t="shared" ca="1" si="2"/>
        <v>-</v>
      </c>
      <c r="AE91" s="220" t="str">
        <f t="shared" ca="1" si="3"/>
        <v>-</v>
      </c>
      <c r="AF91" s="37" t="str">
        <f t="shared" ca="1" si="4"/>
        <v>-</v>
      </c>
    </row>
    <row r="92" spans="1:32" ht="14.25" x14ac:dyDescent="0.5">
      <c r="A92" s="170" t="str">
        <f>Calculation!I73</f>
        <v/>
      </c>
      <c r="B92" s="221" t="str">
        <f ca="1">Calculation!B73</f>
        <v/>
      </c>
      <c r="C92" s="221" t="str">
        <f ca="1">Calculation!C73</f>
        <v/>
      </c>
      <c r="D92" s="172" t="str">
        <f ca="1">Calculation!AN73</f>
        <v/>
      </c>
      <c r="E92" s="173" t="str">
        <f ca="1">Calculation!D73</f>
        <v/>
      </c>
      <c r="F92" s="174" t="str">
        <f ca="1">Calculation!C73</f>
        <v/>
      </c>
      <c r="G92" s="175" t="str">
        <f ca="1">Calculation!F73</f>
        <v/>
      </c>
      <c r="H92" s="176" t="str">
        <f ca="1">Calculation!AD73</f>
        <v/>
      </c>
      <c r="I92" s="177" t="str">
        <f ca="1">Calculation!AE73</f>
        <v/>
      </c>
      <c r="J92" s="272" t="str">
        <f ca="1">IF(Calculation!Q73="","Selection",Calculation!Q73)</f>
        <v>Selection</v>
      </c>
      <c r="K92" s="179" t="str">
        <f ca="1">Calculation!T73</f>
        <v/>
      </c>
      <c r="L92" s="180" t="str">
        <f ca="1">Calculation!U73</f>
        <v>-</v>
      </c>
      <c r="M92" s="180" t="str">
        <f ca="1">Calculation!V73</f>
        <v>-</v>
      </c>
      <c r="N92" s="181"/>
      <c r="O92" s="180" t="str">
        <f ca="1">Calculation!X73</f>
        <v>-</v>
      </c>
      <c r="P92" s="180" t="str">
        <f ca="1">Calculation!Y73</f>
        <v>-</v>
      </c>
      <c r="Q92" s="273"/>
      <c r="R92" s="182" t="str">
        <f ca="1">IF(AND(L92&lt;&gt;"-",Q92&lt;&gt;"bypass"),IFERROR(IF((U92*$R$23/0.05)-SUM(S92:U92)&gt;0,(U92*$R$23/0.05)-SUM(S92:U92),0),"-"),Calculation!AH73)</f>
        <v>-</v>
      </c>
      <c r="S92" s="179" t="str">
        <f ca="1">IF(AND(L92&lt;&gt;"-",Q92&lt;&gt;"bypass"),IFERROR(X92*((H92*10^-12-H92*10^-12*I92)/(Calculation!$U$8*10^-9)),"-"),Calculation!AF73)</f>
        <v>-</v>
      </c>
      <c r="T92" s="179" t="str">
        <f ca="1">IF(AND(L92&lt;&gt;"-",Q92&lt;&gt;"bypass"),IFERROR(H92*I92*X92/(IF(Cluster!AA92=Cluster!$W$8,Cluster!$W$10,IF(Cluster!AA92=Cluster!$X$8,Cluster!$X$10,IF(Cluster!AA92=Cluster!$Y$8,Cluster!$Y$10,0)))*10^3),"-"),Calculation!AK73)</f>
        <v>-</v>
      </c>
      <c r="U92" s="179" t="str">
        <f ca="1">IF(AND(L92&lt;&gt;"-",Q92&lt;&gt;"bypass"),IFERROR((0.5/50)*X92/$R$23,"-"),Calculation!AG73)</f>
        <v>-</v>
      </c>
      <c r="V92" s="179" t="str">
        <f ca="1">IF(AND(L92&lt;&gt;"-",Q92&lt;&gt;"bypass"),IFERROR(5/50*X92,"-"),Calculation!AI73)</f>
        <v>-</v>
      </c>
      <c r="W92" s="179" t="str">
        <f ca="1">IF(AND(L92&lt;&gt;"-",Q92&lt;&gt;"bypass"),IFERROR(35/50*X92,"-"),Calculation!AJ73)</f>
        <v>-</v>
      </c>
      <c r="X92" s="179" t="str">
        <f ca="1">IF(AND(L92&lt;&gt;"-",Q92&lt;&gt;"bypass"),$W$23,Calculation!AL73)</f>
        <v>-</v>
      </c>
      <c r="Y92" s="183" t="str">
        <f ca="1">IF(AND(L92&lt;&gt;"-",Q92&lt;&gt;"bypass"),IFERROR($R$23*U92/SUM(R92:U92),"-"),Calculation!AP73)</f>
        <v>-</v>
      </c>
      <c r="Z92" s="184" t="str">
        <f t="shared" ca="1" si="0"/>
        <v>-</v>
      </c>
      <c r="AA92" s="185" t="str">
        <f ca="1">IFERROR(IF(I92=0,"-",IF(AND(ROUND(H92*I92*X92/($W$10*10^3),1)&gt;=Calculation!$O$6,ROUND((((U92)*$R$23/0.05)-((S92)+(H92*I92*X92/($W$10*10^3))+(U92))),1)&gt;=0),Cluster!$W$8,IF(AND(ROUND(H92*I92*X92/($X$10*10^3),1)&gt;=Calculation!$O$6,ROUND((((U92)*$R$23/0.05)-((S92)+(H92*I92*X92/($X$10*10^3))+(U92))),1)&gt;=0),Cluster!$X$8,IF(AND(ROUND(H92*I92*X92/($Y$10*10^3),1)&gt;=Calculation!$O$6,ROUND((((U92)*$R$23/0.05)-((S92)+(H92*I92*X92/($Y$10*10^3))+(U92))),1)&gt;=0),Cluster!$Y$8,"Recepie by hand needed")))),"-")</f>
        <v>-</v>
      </c>
      <c r="AC92" s="37" t="str">
        <f t="shared" ca="1" si="1"/>
        <v>-</v>
      </c>
      <c r="AD92" s="37" t="str">
        <f t="shared" ca="1" si="2"/>
        <v>-</v>
      </c>
      <c r="AE92" s="220" t="str">
        <f t="shared" ca="1" si="3"/>
        <v>-</v>
      </c>
      <c r="AF92" s="37" t="str">
        <f t="shared" ca="1" si="4"/>
        <v>-</v>
      </c>
    </row>
    <row r="93" spans="1:32" ht="14.25" x14ac:dyDescent="0.5">
      <c r="A93" s="170" t="str">
        <f>Calculation!I74</f>
        <v/>
      </c>
      <c r="B93" s="221" t="str">
        <f ca="1">Calculation!B74</f>
        <v/>
      </c>
      <c r="C93" s="221" t="str">
        <f ca="1">Calculation!C74</f>
        <v/>
      </c>
      <c r="D93" s="172" t="str">
        <f ca="1">Calculation!AN74</f>
        <v/>
      </c>
      <c r="E93" s="173" t="str">
        <f ca="1">Calculation!D74</f>
        <v/>
      </c>
      <c r="F93" s="174" t="str">
        <f ca="1">Calculation!C74</f>
        <v/>
      </c>
      <c r="G93" s="175" t="str">
        <f ca="1">Calculation!F74</f>
        <v/>
      </c>
      <c r="H93" s="176" t="str">
        <f ca="1">Calculation!AD74</f>
        <v/>
      </c>
      <c r="I93" s="177" t="str">
        <f ca="1">Calculation!AE74</f>
        <v/>
      </c>
      <c r="J93" s="272" t="str">
        <f ca="1">IF(Calculation!Q74="","Selection",Calculation!Q74)</f>
        <v>Selection</v>
      </c>
      <c r="K93" s="179" t="str">
        <f ca="1">Calculation!T74</f>
        <v/>
      </c>
      <c r="L93" s="180" t="str">
        <f ca="1">Calculation!U74</f>
        <v>-</v>
      </c>
      <c r="M93" s="180" t="str">
        <f ca="1">Calculation!V74</f>
        <v>-</v>
      </c>
      <c r="N93" s="181"/>
      <c r="O93" s="180" t="str">
        <f ca="1">Calculation!X74</f>
        <v>-</v>
      </c>
      <c r="P93" s="180" t="str">
        <f ca="1">Calculation!Y74</f>
        <v>-</v>
      </c>
      <c r="Q93" s="273"/>
      <c r="R93" s="182" t="str">
        <f ca="1">IF(AND(L93&lt;&gt;"-",Q93&lt;&gt;"bypass"),IFERROR(IF((U93*$R$23/0.05)-SUM(S93:U93)&gt;0,(U93*$R$23/0.05)-SUM(S93:U93),0),"-"),Calculation!AH74)</f>
        <v>-</v>
      </c>
      <c r="S93" s="179" t="str">
        <f ca="1">IF(AND(L93&lt;&gt;"-",Q93&lt;&gt;"bypass"),IFERROR(X93*((H93*10^-12-H93*10^-12*I93)/(Calculation!$U$8*10^-9)),"-"),Calculation!AF74)</f>
        <v>-</v>
      </c>
      <c r="T93" s="179" t="str">
        <f ca="1">IF(AND(L93&lt;&gt;"-",Q93&lt;&gt;"bypass"),IFERROR(H93*I93*X93/(IF(Cluster!AA93=Cluster!$W$8,Cluster!$W$10,IF(Cluster!AA93=Cluster!$X$8,Cluster!$X$10,IF(Cluster!AA93=Cluster!$Y$8,Cluster!$Y$10,0)))*10^3),"-"),Calculation!AK74)</f>
        <v>-</v>
      </c>
      <c r="U93" s="179" t="str">
        <f ca="1">IF(AND(L93&lt;&gt;"-",Q93&lt;&gt;"bypass"),IFERROR((0.5/50)*X93/$R$23,"-"),Calculation!AG74)</f>
        <v>-</v>
      </c>
      <c r="V93" s="179" t="str">
        <f ca="1">IF(AND(L93&lt;&gt;"-",Q93&lt;&gt;"bypass"),IFERROR(5/50*X93,"-"),Calculation!AI74)</f>
        <v>-</v>
      </c>
      <c r="W93" s="179" t="str">
        <f ca="1">IF(AND(L93&lt;&gt;"-",Q93&lt;&gt;"bypass"),IFERROR(35/50*X93,"-"),Calculation!AJ74)</f>
        <v>-</v>
      </c>
      <c r="X93" s="179" t="str">
        <f ca="1">IF(AND(L93&lt;&gt;"-",Q93&lt;&gt;"bypass"),$W$23,Calculation!AL74)</f>
        <v>-</v>
      </c>
      <c r="Y93" s="183" t="str">
        <f ca="1">IF(AND(L93&lt;&gt;"-",Q93&lt;&gt;"bypass"),IFERROR($R$23*U93/SUM(R93:U93),"-"),Calculation!AP74)</f>
        <v>-</v>
      </c>
      <c r="Z93" s="184" t="str">
        <f t="shared" ref="Z93:Z156" ca="1" si="5">IF(INDEX(Calculation_Tab,MATCH(C93,Identifier,0),45)&lt;&gt;"-",A93,"-")</f>
        <v>-</v>
      </c>
      <c r="AA93" s="185" t="str">
        <f ca="1">IFERROR(IF(I93=0,"-",IF(AND(ROUND(H93*I93*X93/($W$10*10^3),1)&gt;=Calculation!$O$6,ROUND((((U93)*$R$23/0.05)-((S93)+(H93*I93*X93/($W$10*10^3))+(U93))),1)&gt;=0),Cluster!$W$8,IF(AND(ROUND(H93*I93*X93/($X$10*10^3),1)&gt;=Calculation!$O$6,ROUND((((U93)*$R$23/0.05)-((S93)+(H93*I93*X93/($X$10*10^3))+(U93))),1)&gt;=0),Cluster!$X$8,IF(AND(ROUND(H93*I93*X93/($Y$10*10^3),1)&gt;=Calculation!$O$6,ROUND((((U93)*$R$23/0.05)-((S93)+(H93*I93*X93/($Y$10*10^3))+(U93))),1)&gt;=0),Cluster!$Y$8,"Recepie by hand needed")))),"-")</f>
        <v>-</v>
      </c>
      <c r="AC93" s="37" t="str">
        <f t="shared" ref="AC93:AC156" ca="1" si="6">IFERROR(IF((I93*(H93*10^-12)*X93/((U93*$R$23-0.05*SUM(S93,U93))/0.05))/10^-9&lt;=0,"-",(I93*(H93*10^-12)*X93/((U93*$R$23-0.05*SUM(S93,U93))/0.05))/10^-9),"-")</f>
        <v>-</v>
      </c>
      <c r="AD93" s="37" t="str">
        <f t="shared" ref="AD93:AD156" ca="1" si="7">IFERROR(IF((I93*(H93*10^-12)*X93/10^-9)&lt;=0,"-",I93*(H93*10^-12)*X93/10^-9),"-")</f>
        <v>-</v>
      </c>
      <c r="AE93" s="220" t="str">
        <f t="shared" ref="AE93:AE156" ca="1" si="8">IFERROR(AD93-AC93,"-")</f>
        <v>-</v>
      </c>
      <c r="AF93" s="37" t="str">
        <f t="shared" ref="AF93:AF156" ca="1" si="9">IFERROR(IF(AVERAGE(AC93:AD93)&lt;=0,0.1,AVERAGE(AC93:AD93)),"-")</f>
        <v>-</v>
      </c>
    </row>
    <row r="94" spans="1:32" ht="14.25" x14ac:dyDescent="0.5">
      <c r="A94" s="170" t="str">
        <f>Calculation!I75</f>
        <v/>
      </c>
      <c r="B94" s="221" t="str">
        <f ca="1">Calculation!B75</f>
        <v/>
      </c>
      <c r="C94" s="221" t="str">
        <f ca="1">Calculation!C75</f>
        <v/>
      </c>
      <c r="D94" s="172" t="str">
        <f ca="1">Calculation!AN75</f>
        <v/>
      </c>
      <c r="E94" s="173" t="str">
        <f ca="1">Calculation!D75</f>
        <v/>
      </c>
      <c r="F94" s="174" t="str">
        <f ca="1">Calculation!C75</f>
        <v/>
      </c>
      <c r="G94" s="175" t="str">
        <f ca="1">Calculation!F75</f>
        <v/>
      </c>
      <c r="H94" s="176" t="str">
        <f ca="1">Calculation!AD75</f>
        <v/>
      </c>
      <c r="I94" s="177" t="str">
        <f ca="1">Calculation!AE75</f>
        <v/>
      </c>
      <c r="J94" s="272" t="str">
        <f ca="1">IF(Calculation!Q75="","Selection",Calculation!Q75)</f>
        <v>Selection</v>
      </c>
      <c r="K94" s="179" t="str">
        <f ca="1">Calculation!T75</f>
        <v/>
      </c>
      <c r="L94" s="180" t="str">
        <f ca="1">Calculation!U75</f>
        <v>-</v>
      </c>
      <c r="M94" s="180" t="str">
        <f ca="1">Calculation!V75</f>
        <v>-</v>
      </c>
      <c r="N94" s="181"/>
      <c r="O94" s="180" t="str">
        <f ca="1">Calculation!X75</f>
        <v>-</v>
      </c>
      <c r="P94" s="180" t="str">
        <f ca="1">Calculation!Y75</f>
        <v>-</v>
      </c>
      <c r="Q94" s="273"/>
      <c r="R94" s="182" t="str">
        <f ca="1">IF(AND(L94&lt;&gt;"-",Q94&lt;&gt;"bypass"),IFERROR(IF((U94*$R$23/0.05)-SUM(S94:U94)&gt;0,(U94*$R$23/0.05)-SUM(S94:U94),0),"-"),Calculation!AH75)</f>
        <v>-</v>
      </c>
      <c r="S94" s="179" t="str">
        <f ca="1">IF(AND(L94&lt;&gt;"-",Q94&lt;&gt;"bypass"),IFERROR(X94*((H94*10^-12-H94*10^-12*I94)/(Calculation!$U$8*10^-9)),"-"),Calculation!AF75)</f>
        <v>-</v>
      </c>
      <c r="T94" s="179" t="str">
        <f ca="1">IF(AND(L94&lt;&gt;"-",Q94&lt;&gt;"bypass"),IFERROR(H94*I94*X94/(IF(Cluster!AA94=Cluster!$W$8,Cluster!$W$10,IF(Cluster!AA94=Cluster!$X$8,Cluster!$X$10,IF(Cluster!AA94=Cluster!$Y$8,Cluster!$Y$10,0)))*10^3),"-"),Calculation!AK75)</f>
        <v>-</v>
      </c>
      <c r="U94" s="179" t="str">
        <f ca="1">IF(AND(L94&lt;&gt;"-",Q94&lt;&gt;"bypass"),IFERROR((0.5/50)*X94/$R$23,"-"),Calculation!AG75)</f>
        <v>-</v>
      </c>
      <c r="V94" s="179" t="str">
        <f ca="1">IF(AND(L94&lt;&gt;"-",Q94&lt;&gt;"bypass"),IFERROR(5/50*X94,"-"),Calculation!AI75)</f>
        <v>-</v>
      </c>
      <c r="W94" s="179" t="str">
        <f ca="1">IF(AND(L94&lt;&gt;"-",Q94&lt;&gt;"bypass"),IFERROR(35/50*X94,"-"),Calculation!AJ75)</f>
        <v>-</v>
      </c>
      <c r="X94" s="179" t="str">
        <f ca="1">IF(AND(L94&lt;&gt;"-",Q94&lt;&gt;"bypass"),$W$23,Calculation!AL75)</f>
        <v>-</v>
      </c>
      <c r="Y94" s="183" t="str">
        <f ca="1">IF(AND(L94&lt;&gt;"-",Q94&lt;&gt;"bypass"),IFERROR($R$23*U94/SUM(R94:U94),"-"),Calculation!AP75)</f>
        <v>-</v>
      </c>
      <c r="Z94" s="184" t="str">
        <f t="shared" ca="1" si="5"/>
        <v>-</v>
      </c>
      <c r="AA94" s="185" t="str">
        <f ca="1">IFERROR(IF(I94=0,"-",IF(AND(ROUND(H94*I94*X94/($W$10*10^3),1)&gt;=Calculation!$O$6,ROUND((((U94)*$R$23/0.05)-((S94)+(H94*I94*X94/($W$10*10^3))+(U94))),1)&gt;=0),Cluster!$W$8,IF(AND(ROUND(H94*I94*X94/($X$10*10^3),1)&gt;=Calculation!$O$6,ROUND((((U94)*$R$23/0.05)-((S94)+(H94*I94*X94/($X$10*10^3))+(U94))),1)&gt;=0),Cluster!$X$8,IF(AND(ROUND(H94*I94*X94/($Y$10*10^3),1)&gt;=Calculation!$O$6,ROUND((((U94)*$R$23/0.05)-((S94)+(H94*I94*X94/($Y$10*10^3))+(U94))),1)&gt;=0),Cluster!$Y$8,"Recepie by hand needed")))),"-")</f>
        <v>-</v>
      </c>
      <c r="AC94" s="37" t="str">
        <f t="shared" ca="1" si="6"/>
        <v>-</v>
      </c>
      <c r="AD94" s="37" t="str">
        <f t="shared" ca="1" si="7"/>
        <v>-</v>
      </c>
      <c r="AE94" s="220" t="str">
        <f t="shared" ca="1" si="8"/>
        <v>-</v>
      </c>
      <c r="AF94" s="37" t="str">
        <f t="shared" ca="1" si="9"/>
        <v>-</v>
      </c>
    </row>
    <row r="95" spans="1:32" ht="14.25" x14ac:dyDescent="0.5">
      <c r="A95" s="170" t="str">
        <f>Calculation!I76</f>
        <v/>
      </c>
      <c r="B95" s="221" t="str">
        <f ca="1">Calculation!B76</f>
        <v/>
      </c>
      <c r="C95" s="221" t="str">
        <f ca="1">Calculation!C76</f>
        <v/>
      </c>
      <c r="D95" s="172" t="str">
        <f ca="1">Calculation!AN76</f>
        <v/>
      </c>
      <c r="E95" s="173" t="str">
        <f ca="1">Calculation!D76</f>
        <v/>
      </c>
      <c r="F95" s="174" t="str">
        <f ca="1">Calculation!C76</f>
        <v/>
      </c>
      <c r="G95" s="175" t="str">
        <f ca="1">Calculation!F76</f>
        <v/>
      </c>
      <c r="H95" s="176" t="str">
        <f ca="1">Calculation!AD76</f>
        <v/>
      </c>
      <c r="I95" s="177" t="str">
        <f ca="1">Calculation!AE76</f>
        <v/>
      </c>
      <c r="J95" s="272" t="str">
        <f ca="1">IF(Calculation!Q76="","Selection",Calculation!Q76)</f>
        <v>Selection</v>
      </c>
      <c r="K95" s="179" t="str">
        <f ca="1">Calculation!T76</f>
        <v/>
      </c>
      <c r="L95" s="180" t="str">
        <f ca="1">Calculation!U76</f>
        <v>-</v>
      </c>
      <c r="M95" s="180" t="str">
        <f ca="1">Calculation!V76</f>
        <v>-</v>
      </c>
      <c r="N95" s="181"/>
      <c r="O95" s="180" t="str">
        <f ca="1">Calculation!X76</f>
        <v>-</v>
      </c>
      <c r="P95" s="180" t="str">
        <f ca="1">Calculation!Y76</f>
        <v>-</v>
      </c>
      <c r="Q95" s="273"/>
      <c r="R95" s="182" t="str">
        <f ca="1">IF(AND(L95&lt;&gt;"-",Q95&lt;&gt;"bypass"),IFERROR(IF((U95*$R$23/0.05)-SUM(S95:U95)&gt;0,(U95*$R$23/0.05)-SUM(S95:U95),0),"-"),Calculation!AH76)</f>
        <v>-</v>
      </c>
      <c r="S95" s="179" t="str">
        <f ca="1">IF(AND(L95&lt;&gt;"-",Q95&lt;&gt;"bypass"),IFERROR(X95*((H95*10^-12-H95*10^-12*I95)/(Calculation!$U$8*10^-9)),"-"),Calculation!AF76)</f>
        <v>-</v>
      </c>
      <c r="T95" s="179" t="str">
        <f ca="1">IF(AND(L95&lt;&gt;"-",Q95&lt;&gt;"bypass"),IFERROR(H95*I95*X95/(IF(Cluster!AA95=Cluster!$W$8,Cluster!$W$10,IF(Cluster!AA95=Cluster!$X$8,Cluster!$X$10,IF(Cluster!AA95=Cluster!$Y$8,Cluster!$Y$10,0)))*10^3),"-"),Calculation!AK76)</f>
        <v>-</v>
      </c>
      <c r="U95" s="179" t="str">
        <f ca="1">IF(AND(L95&lt;&gt;"-",Q95&lt;&gt;"bypass"),IFERROR((0.5/50)*X95/$R$23,"-"),Calculation!AG76)</f>
        <v>-</v>
      </c>
      <c r="V95" s="179" t="str">
        <f ca="1">IF(AND(L95&lt;&gt;"-",Q95&lt;&gt;"bypass"),IFERROR(5/50*X95,"-"),Calculation!AI76)</f>
        <v>-</v>
      </c>
      <c r="W95" s="179" t="str">
        <f ca="1">IF(AND(L95&lt;&gt;"-",Q95&lt;&gt;"bypass"),IFERROR(35/50*X95,"-"),Calculation!AJ76)</f>
        <v>-</v>
      </c>
      <c r="X95" s="179" t="str">
        <f ca="1">IF(AND(L95&lt;&gt;"-",Q95&lt;&gt;"bypass"),$W$23,Calculation!AL76)</f>
        <v>-</v>
      </c>
      <c r="Y95" s="183" t="str">
        <f ca="1">IF(AND(L95&lt;&gt;"-",Q95&lt;&gt;"bypass"),IFERROR($R$23*U95/SUM(R95:U95),"-"),Calculation!AP76)</f>
        <v>-</v>
      </c>
      <c r="Z95" s="184" t="str">
        <f t="shared" ca="1" si="5"/>
        <v>-</v>
      </c>
      <c r="AA95" s="185" t="str">
        <f ca="1">IFERROR(IF(I95=0,"-",IF(AND(ROUND(H95*I95*X95/($W$10*10^3),1)&gt;=Calculation!$O$6,ROUND((((U95)*$R$23/0.05)-((S95)+(H95*I95*X95/($W$10*10^3))+(U95))),1)&gt;=0),Cluster!$W$8,IF(AND(ROUND(H95*I95*X95/($X$10*10^3),1)&gt;=Calculation!$O$6,ROUND((((U95)*$R$23/0.05)-((S95)+(H95*I95*X95/($X$10*10^3))+(U95))),1)&gt;=0),Cluster!$X$8,IF(AND(ROUND(H95*I95*X95/($Y$10*10^3),1)&gt;=Calculation!$O$6,ROUND((((U95)*$R$23/0.05)-((S95)+(H95*I95*X95/($Y$10*10^3))+(U95))),1)&gt;=0),Cluster!$Y$8,"Recepie by hand needed")))),"-")</f>
        <v>-</v>
      </c>
      <c r="AC95" s="37" t="str">
        <f t="shared" ca="1" si="6"/>
        <v>-</v>
      </c>
      <c r="AD95" s="37" t="str">
        <f t="shared" ca="1" si="7"/>
        <v>-</v>
      </c>
      <c r="AE95" s="220" t="str">
        <f t="shared" ca="1" si="8"/>
        <v>-</v>
      </c>
      <c r="AF95" s="37" t="str">
        <f t="shared" ca="1" si="9"/>
        <v>-</v>
      </c>
    </row>
    <row r="96" spans="1:32" ht="14.25" x14ac:dyDescent="0.5">
      <c r="A96" s="170" t="str">
        <f>Calculation!I77</f>
        <v/>
      </c>
      <c r="B96" s="221" t="str">
        <f ca="1">Calculation!B77</f>
        <v/>
      </c>
      <c r="C96" s="221" t="str">
        <f ca="1">Calculation!C77</f>
        <v/>
      </c>
      <c r="D96" s="172" t="str">
        <f ca="1">Calculation!AN77</f>
        <v/>
      </c>
      <c r="E96" s="173" t="str">
        <f ca="1">Calculation!D77</f>
        <v/>
      </c>
      <c r="F96" s="174" t="str">
        <f ca="1">Calculation!C77</f>
        <v/>
      </c>
      <c r="G96" s="175" t="str">
        <f ca="1">Calculation!F77</f>
        <v/>
      </c>
      <c r="H96" s="176" t="str">
        <f ca="1">Calculation!AD77</f>
        <v/>
      </c>
      <c r="I96" s="177" t="str">
        <f ca="1">Calculation!AE77</f>
        <v/>
      </c>
      <c r="J96" s="272" t="str">
        <f ca="1">IF(Calculation!Q77="","Selection",Calculation!Q77)</f>
        <v>Selection</v>
      </c>
      <c r="K96" s="179" t="str">
        <f ca="1">Calculation!T77</f>
        <v/>
      </c>
      <c r="L96" s="180" t="str">
        <f ca="1">Calculation!U77</f>
        <v>-</v>
      </c>
      <c r="M96" s="180" t="str">
        <f ca="1">Calculation!V77</f>
        <v>-</v>
      </c>
      <c r="N96" s="181"/>
      <c r="O96" s="180" t="str">
        <f ca="1">Calculation!X77</f>
        <v>-</v>
      </c>
      <c r="P96" s="180" t="str">
        <f ca="1">Calculation!Y77</f>
        <v>-</v>
      </c>
      <c r="Q96" s="273"/>
      <c r="R96" s="182" t="str">
        <f ca="1">IF(AND(L96&lt;&gt;"-",Q96&lt;&gt;"bypass"),IFERROR(IF((U96*$R$23/0.05)-SUM(S96:U96)&gt;0,(U96*$R$23/0.05)-SUM(S96:U96),0),"-"),Calculation!AH77)</f>
        <v>-</v>
      </c>
      <c r="S96" s="179" t="str">
        <f ca="1">IF(AND(L96&lt;&gt;"-",Q96&lt;&gt;"bypass"),IFERROR(X96*((H96*10^-12-H96*10^-12*I96)/(Calculation!$U$8*10^-9)),"-"),Calculation!AF77)</f>
        <v>-</v>
      </c>
      <c r="T96" s="179" t="str">
        <f ca="1">IF(AND(L96&lt;&gt;"-",Q96&lt;&gt;"bypass"),IFERROR(H96*I96*X96/(IF(Cluster!AA96=Cluster!$W$8,Cluster!$W$10,IF(Cluster!AA96=Cluster!$X$8,Cluster!$X$10,IF(Cluster!AA96=Cluster!$Y$8,Cluster!$Y$10,0)))*10^3),"-"),Calculation!AK77)</f>
        <v>-</v>
      </c>
      <c r="U96" s="179" t="str">
        <f ca="1">IF(AND(L96&lt;&gt;"-",Q96&lt;&gt;"bypass"),IFERROR((0.5/50)*X96/$R$23,"-"),Calculation!AG77)</f>
        <v>-</v>
      </c>
      <c r="V96" s="179" t="str">
        <f ca="1">IF(AND(L96&lt;&gt;"-",Q96&lt;&gt;"bypass"),IFERROR(5/50*X96,"-"),Calculation!AI77)</f>
        <v>-</v>
      </c>
      <c r="W96" s="179" t="str">
        <f ca="1">IF(AND(L96&lt;&gt;"-",Q96&lt;&gt;"bypass"),IFERROR(35/50*X96,"-"),Calculation!AJ77)</f>
        <v>-</v>
      </c>
      <c r="X96" s="179" t="str">
        <f ca="1">IF(AND(L96&lt;&gt;"-",Q96&lt;&gt;"bypass"),$W$23,Calculation!AL77)</f>
        <v>-</v>
      </c>
      <c r="Y96" s="183" t="str">
        <f ca="1">IF(AND(L96&lt;&gt;"-",Q96&lt;&gt;"bypass"),IFERROR($R$23*U96/SUM(R96:U96),"-"),Calculation!AP77)</f>
        <v>-</v>
      </c>
      <c r="Z96" s="184" t="str">
        <f t="shared" ca="1" si="5"/>
        <v>-</v>
      </c>
      <c r="AA96" s="185" t="str">
        <f ca="1">IFERROR(IF(I96=0,"-",IF(AND(ROUND(H96*I96*X96/($W$10*10^3),1)&gt;=Calculation!$O$6,ROUND((((U96)*$R$23/0.05)-((S96)+(H96*I96*X96/($W$10*10^3))+(U96))),1)&gt;=0),Cluster!$W$8,IF(AND(ROUND(H96*I96*X96/($X$10*10^3),1)&gt;=Calculation!$O$6,ROUND((((U96)*$R$23/0.05)-((S96)+(H96*I96*X96/($X$10*10^3))+(U96))),1)&gt;=0),Cluster!$X$8,IF(AND(ROUND(H96*I96*X96/($Y$10*10^3),1)&gt;=Calculation!$O$6,ROUND((((U96)*$R$23/0.05)-((S96)+(H96*I96*X96/($Y$10*10^3))+(U96))),1)&gt;=0),Cluster!$Y$8,"Recepie by hand needed")))),"-")</f>
        <v>-</v>
      </c>
      <c r="AC96" s="37" t="str">
        <f t="shared" ca="1" si="6"/>
        <v>-</v>
      </c>
      <c r="AD96" s="37" t="str">
        <f t="shared" ca="1" si="7"/>
        <v>-</v>
      </c>
      <c r="AE96" s="220" t="str">
        <f t="shared" ca="1" si="8"/>
        <v>-</v>
      </c>
      <c r="AF96" s="37" t="str">
        <f t="shared" ca="1" si="9"/>
        <v>-</v>
      </c>
    </row>
    <row r="97" spans="1:32" ht="14.25" x14ac:dyDescent="0.5">
      <c r="A97" s="170" t="str">
        <f>Calculation!I78</f>
        <v/>
      </c>
      <c r="B97" s="221" t="str">
        <f ca="1">Calculation!B78</f>
        <v/>
      </c>
      <c r="C97" s="221" t="str">
        <f ca="1">Calculation!C78</f>
        <v/>
      </c>
      <c r="D97" s="172" t="str">
        <f ca="1">Calculation!AN78</f>
        <v/>
      </c>
      <c r="E97" s="173" t="str">
        <f ca="1">Calculation!D78</f>
        <v/>
      </c>
      <c r="F97" s="174" t="str">
        <f ca="1">Calculation!C78</f>
        <v/>
      </c>
      <c r="G97" s="175" t="str">
        <f ca="1">Calculation!F78</f>
        <v/>
      </c>
      <c r="H97" s="176" t="str">
        <f ca="1">Calculation!AD78</f>
        <v/>
      </c>
      <c r="I97" s="177" t="str">
        <f ca="1">Calculation!AE78</f>
        <v/>
      </c>
      <c r="J97" s="272" t="str">
        <f ca="1">IF(Calculation!Q78="","Selection",Calculation!Q78)</f>
        <v>Selection</v>
      </c>
      <c r="K97" s="179" t="str">
        <f ca="1">Calculation!T78</f>
        <v/>
      </c>
      <c r="L97" s="180" t="str">
        <f ca="1">Calculation!U78</f>
        <v>-</v>
      </c>
      <c r="M97" s="180" t="str">
        <f ca="1">Calculation!V78</f>
        <v>-</v>
      </c>
      <c r="N97" s="181"/>
      <c r="O97" s="180" t="str">
        <f ca="1">Calculation!X78</f>
        <v>-</v>
      </c>
      <c r="P97" s="180" t="str">
        <f ca="1">Calculation!Y78</f>
        <v>-</v>
      </c>
      <c r="Q97" s="273"/>
      <c r="R97" s="182" t="str">
        <f ca="1">IF(AND(L97&lt;&gt;"-",Q97&lt;&gt;"bypass"),IFERROR(IF((U97*$R$23/0.05)-SUM(S97:U97)&gt;0,(U97*$R$23/0.05)-SUM(S97:U97),0),"-"),Calculation!AH78)</f>
        <v>-</v>
      </c>
      <c r="S97" s="179" t="str">
        <f ca="1">IF(AND(L97&lt;&gt;"-",Q97&lt;&gt;"bypass"),IFERROR(X97*((H97*10^-12-H97*10^-12*I97)/(Calculation!$U$8*10^-9)),"-"),Calculation!AF78)</f>
        <v>-</v>
      </c>
      <c r="T97" s="179" t="str">
        <f ca="1">IF(AND(L97&lt;&gt;"-",Q97&lt;&gt;"bypass"),IFERROR(H97*I97*X97/(IF(Cluster!AA97=Cluster!$W$8,Cluster!$W$10,IF(Cluster!AA97=Cluster!$X$8,Cluster!$X$10,IF(Cluster!AA97=Cluster!$Y$8,Cluster!$Y$10,0)))*10^3),"-"),Calculation!AK78)</f>
        <v>-</v>
      </c>
      <c r="U97" s="179" t="str">
        <f ca="1">IF(AND(L97&lt;&gt;"-",Q97&lt;&gt;"bypass"),IFERROR((0.5/50)*X97/$R$23,"-"),Calculation!AG78)</f>
        <v>-</v>
      </c>
      <c r="V97" s="179" t="str">
        <f ca="1">IF(AND(L97&lt;&gt;"-",Q97&lt;&gt;"bypass"),IFERROR(5/50*X97,"-"),Calculation!AI78)</f>
        <v>-</v>
      </c>
      <c r="W97" s="179" t="str">
        <f ca="1">IF(AND(L97&lt;&gt;"-",Q97&lt;&gt;"bypass"),IFERROR(35/50*X97,"-"),Calculation!AJ78)</f>
        <v>-</v>
      </c>
      <c r="X97" s="179" t="str">
        <f ca="1">IF(AND(L97&lt;&gt;"-",Q97&lt;&gt;"bypass"),$W$23,Calculation!AL78)</f>
        <v>-</v>
      </c>
      <c r="Y97" s="183" t="str">
        <f ca="1">IF(AND(L97&lt;&gt;"-",Q97&lt;&gt;"bypass"),IFERROR($R$23*U97/SUM(R97:U97),"-"),Calculation!AP78)</f>
        <v>-</v>
      </c>
      <c r="Z97" s="184" t="str">
        <f t="shared" ca="1" si="5"/>
        <v>-</v>
      </c>
      <c r="AA97" s="185" t="str">
        <f ca="1">IFERROR(IF(I97=0,"-",IF(AND(ROUND(H97*I97*X97/($W$10*10^3),1)&gt;=Calculation!$O$6,ROUND((((U97)*$R$23/0.05)-((S97)+(H97*I97*X97/($W$10*10^3))+(U97))),1)&gt;=0),Cluster!$W$8,IF(AND(ROUND(H97*I97*X97/($X$10*10^3),1)&gt;=Calculation!$O$6,ROUND((((U97)*$R$23/0.05)-((S97)+(H97*I97*X97/($X$10*10^3))+(U97))),1)&gt;=0),Cluster!$X$8,IF(AND(ROUND(H97*I97*X97/($Y$10*10^3),1)&gt;=Calculation!$O$6,ROUND((((U97)*$R$23/0.05)-((S97)+(H97*I97*X97/($Y$10*10^3))+(U97))),1)&gt;=0),Cluster!$Y$8,"Recepie by hand needed")))),"-")</f>
        <v>-</v>
      </c>
      <c r="AC97" s="37" t="str">
        <f t="shared" ca="1" si="6"/>
        <v>-</v>
      </c>
      <c r="AD97" s="37" t="str">
        <f t="shared" ca="1" si="7"/>
        <v>-</v>
      </c>
      <c r="AE97" s="220" t="str">
        <f t="shared" ca="1" si="8"/>
        <v>-</v>
      </c>
      <c r="AF97" s="37" t="str">
        <f t="shared" ca="1" si="9"/>
        <v>-</v>
      </c>
    </row>
    <row r="98" spans="1:32" ht="14.25" x14ac:dyDescent="0.5">
      <c r="A98" s="170" t="str">
        <f>Calculation!I79</f>
        <v/>
      </c>
      <c r="B98" s="221" t="str">
        <f ca="1">Calculation!B79</f>
        <v/>
      </c>
      <c r="C98" s="221" t="str">
        <f ca="1">Calculation!C79</f>
        <v/>
      </c>
      <c r="D98" s="172" t="str">
        <f ca="1">Calculation!AN79</f>
        <v/>
      </c>
      <c r="E98" s="173" t="str">
        <f ca="1">Calculation!D79</f>
        <v/>
      </c>
      <c r="F98" s="174" t="str">
        <f ca="1">Calculation!C79</f>
        <v/>
      </c>
      <c r="G98" s="175" t="str">
        <f ca="1">Calculation!F79</f>
        <v/>
      </c>
      <c r="H98" s="176" t="str">
        <f ca="1">Calculation!AD79</f>
        <v/>
      </c>
      <c r="I98" s="177" t="str">
        <f ca="1">Calculation!AE79</f>
        <v/>
      </c>
      <c r="J98" s="272" t="str">
        <f ca="1">IF(Calculation!Q79="","Selection",Calculation!Q79)</f>
        <v>Selection</v>
      </c>
      <c r="K98" s="179" t="str">
        <f ca="1">Calculation!T79</f>
        <v/>
      </c>
      <c r="L98" s="180" t="str">
        <f ca="1">Calculation!U79</f>
        <v>-</v>
      </c>
      <c r="M98" s="180" t="str">
        <f ca="1">Calculation!V79</f>
        <v>-</v>
      </c>
      <c r="N98" s="181"/>
      <c r="O98" s="180" t="str">
        <f ca="1">Calculation!X79</f>
        <v>-</v>
      </c>
      <c r="P98" s="180" t="str">
        <f ca="1">Calculation!Y79</f>
        <v>-</v>
      </c>
      <c r="Q98" s="273"/>
      <c r="R98" s="182" t="str">
        <f ca="1">IF(AND(L98&lt;&gt;"-",Q98&lt;&gt;"bypass"),IFERROR(IF((U98*$R$23/0.05)-SUM(S98:U98)&gt;0,(U98*$R$23/0.05)-SUM(S98:U98),0),"-"),Calculation!AH79)</f>
        <v>-</v>
      </c>
      <c r="S98" s="179" t="str">
        <f ca="1">IF(AND(L98&lt;&gt;"-",Q98&lt;&gt;"bypass"),IFERROR(X98*((H98*10^-12-H98*10^-12*I98)/(Calculation!$U$8*10^-9)),"-"),Calculation!AF79)</f>
        <v>-</v>
      </c>
      <c r="T98" s="179" t="str">
        <f ca="1">IF(AND(L98&lt;&gt;"-",Q98&lt;&gt;"bypass"),IFERROR(H98*I98*X98/(IF(Cluster!AA98=Cluster!$W$8,Cluster!$W$10,IF(Cluster!AA98=Cluster!$X$8,Cluster!$X$10,IF(Cluster!AA98=Cluster!$Y$8,Cluster!$Y$10,0)))*10^3),"-"),Calculation!AK79)</f>
        <v>-</v>
      </c>
      <c r="U98" s="179" t="str">
        <f ca="1">IF(AND(L98&lt;&gt;"-",Q98&lt;&gt;"bypass"),IFERROR((0.5/50)*X98/$R$23,"-"),Calculation!AG79)</f>
        <v>-</v>
      </c>
      <c r="V98" s="179" t="str">
        <f ca="1">IF(AND(L98&lt;&gt;"-",Q98&lt;&gt;"bypass"),IFERROR(5/50*X98,"-"),Calculation!AI79)</f>
        <v>-</v>
      </c>
      <c r="W98" s="179" t="str">
        <f ca="1">IF(AND(L98&lt;&gt;"-",Q98&lt;&gt;"bypass"),IFERROR(35/50*X98,"-"),Calculation!AJ79)</f>
        <v>-</v>
      </c>
      <c r="X98" s="179" t="str">
        <f ca="1">IF(AND(L98&lt;&gt;"-",Q98&lt;&gt;"bypass"),$W$23,Calculation!AL79)</f>
        <v>-</v>
      </c>
      <c r="Y98" s="183" t="str">
        <f ca="1">IF(AND(L98&lt;&gt;"-",Q98&lt;&gt;"bypass"),IFERROR($R$23*U98/SUM(R98:U98),"-"),Calculation!AP79)</f>
        <v>-</v>
      </c>
      <c r="Z98" s="184" t="str">
        <f t="shared" ca="1" si="5"/>
        <v>-</v>
      </c>
      <c r="AA98" s="185" t="str">
        <f ca="1">IFERROR(IF(I98=0,"-",IF(AND(ROUND(H98*I98*X98/($W$10*10^3),1)&gt;=Calculation!$O$6,ROUND((((U98)*$R$23/0.05)-((S98)+(H98*I98*X98/($W$10*10^3))+(U98))),1)&gt;=0),Cluster!$W$8,IF(AND(ROUND(H98*I98*X98/($X$10*10^3),1)&gt;=Calculation!$O$6,ROUND((((U98)*$R$23/0.05)-((S98)+(H98*I98*X98/($X$10*10^3))+(U98))),1)&gt;=0),Cluster!$X$8,IF(AND(ROUND(H98*I98*X98/($Y$10*10^3),1)&gt;=Calculation!$O$6,ROUND((((U98)*$R$23/0.05)-((S98)+(H98*I98*X98/($Y$10*10^3))+(U98))),1)&gt;=0),Cluster!$Y$8,"Recepie by hand needed")))),"-")</f>
        <v>-</v>
      </c>
      <c r="AC98" s="37" t="str">
        <f t="shared" ca="1" si="6"/>
        <v>-</v>
      </c>
      <c r="AD98" s="37" t="str">
        <f t="shared" ca="1" si="7"/>
        <v>-</v>
      </c>
      <c r="AE98" s="220" t="str">
        <f t="shared" ca="1" si="8"/>
        <v>-</v>
      </c>
      <c r="AF98" s="37" t="str">
        <f t="shared" ca="1" si="9"/>
        <v>-</v>
      </c>
    </row>
    <row r="99" spans="1:32" ht="14.25" x14ac:dyDescent="0.5">
      <c r="A99" s="170" t="str">
        <f>Calculation!I80</f>
        <v/>
      </c>
      <c r="B99" s="221" t="str">
        <f ca="1">Calculation!B80</f>
        <v/>
      </c>
      <c r="C99" s="221" t="str">
        <f ca="1">Calculation!C80</f>
        <v/>
      </c>
      <c r="D99" s="172" t="str">
        <f ca="1">Calculation!AN80</f>
        <v/>
      </c>
      <c r="E99" s="173" t="str">
        <f ca="1">Calculation!D80</f>
        <v/>
      </c>
      <c r="F99" s="174" t="str">
        <f ca="1">Calculation!C80</f>
        <v/>
      </c>
      <c r="G99" s="175" t="str">
        <f ca="1">Calculation!F80</f>
        <v/>
      </c>
      <c r="H99" s="176" t="str">
        <f ca="1">Calculation!AD80</f>
        <v/>
      </c>
      <c r="I99" s="177" t="str">
        <f ca="1">Calculation!AE80</f>
        <v/>
      </c>
      <c r="J99" s="272" t="str">
        <f ca="1">IF(Calculation!Q80="","Selection",Calculation!Q80)</f>
        <v>Selection</v>
      </c>
      <c r="K99" s="179" t="str">
        <f ca="1">Calculation!T80</f>
        <v/>
      </c>
      <c r="L99" s="180" t="str">
        <f ca="1">Calculation!U80</f>
        <v>-</v>
      </c>
      <c r="M99" s="180" t="str">
        <f ca="1">Calculation!V80</f>
        <v>-</v>
      </c>
      <c r="N99" s="181"/>
      <c r="O99" s="180" t="str">
        <f ca="1">Calculation!X80</f>
        <v>-</v>
      </c>
      <c r="P99" s="180" t="str">
        <f ca="1">Calculation!Y80</f>
        <v>-</v>
      </c>
      <c r="Q99" s="273"/>
      <c r="R99" s="182" t="str">
        <f ca="1">IF(AND(L99&lt;&gt;"-",Q99&lt;&gt;"bypass"),IFERROR(IF((U99*$R$23/0.05)-SUM(S99:U99)&gt;0,(U99*$R$23/0.05)-SUM(S99:U99),0),"-"),Calculation!AH80)</f>
        <v>-</v>
      </c>
      <c r="S99" s="179" t="str">
        <f ca="1">IF(AND(L99&lt;&gt;"-",Q99&lt;&gt;"bypass"),IFERROR(X99*((H99*10^-12-H99*10^-12*I99)/(Calculation!$U$8*10^-9)),"-"),Calculation!AF80)</f>
        <v>-</v>
      </c>
      <c r="T99" s="179" t="str">
        <f ca="1">IF(AND(L99&lt;&gt;"-",Q99&lt;&gt;"bypass"),IFERROR(H99*I99*X99/(IF(Cluster!AA99=Cluster!$W$8,Cluster!$W$10,IF(Cluster!AA99=Cluster!$X$8,Cluster!$X$10,IF(Cluster!AA99=Cluster!$Y$8,Cluster!$Y$10,0)))*10^3),"-"),Calculation!AK80)</f>
        <v>-</v>
      </c>
      <c r="U99" s="179" t="str">
        <f ca="1">IF(AND(L99&lt;&gt;"-",Q99&lt;&gt;"bypass"),IFERROR((0.5/50)*X99/$R$23,"-"),Calculation!AG80)</f>
        <v>-</v>
      </c>
      <c r="V99" s="179" t="str">
        <f ca="1">IF(AND(L99&lt;&gt;"-",Q99&lt;&gt;"bypass"),IFERROR(5/50*X99,"-"),Calculation!AI80)</f>
        <v>-</v>
      </c>
      <c r="W99" s="179" t="str">
        <f ca="1">IF(AND(L99&lt;&gt;"-",Q99&lt;&gt;"bypass"),IFERROR(35/50*X99,"-"),Calculation!AJ80)</f>
        <v>-</v>
      </c>
      <c r="X99" s="179" t="str">
        <f ca="1">IF(AND(L99&lt;&gt;"-",Q99&lt;&gt;"bypass"),$W$23,Calculation!AL80)</f>
        <v>-</v>
      </c>
      <c r="Y99" s="183" t="str">
        <f ca="1">IF(AND(L99&lt;&gt;"-",Q99&lt;&gt;"bypass"),IFERROR($R$23*U99/SUM(R99:U99),"-"),Calculation!AP80)</f>
        <v>-</v>
      </c>
      <c r="Z99" s="184" t="str">
        <f t="shared" ca="1" si="5"/>
        <v>-</v>
      </c>
      <c r="AA99" s="185" t="str">
        <f ca="1">IFERROR(IF(I99=0,"-",IF(AND(ROUND(H99*I99*X99/($W$10*10^3),1)&gt;=Calculation!$O$6,ROUND((((U99)*$R$23/0.05)-((S99)+(H99*I99*X99/($W$10*10^3))+(U99))),1)&gt;=0),Cluster!$W$8,IF(AND(ROUND(H99*I99*X99/($X$10*10^3),1)&gt;=Calculation!$O$6,ROUND((((U99)*$R$23/0.05)-((S99)+(H99*I99*X99/($X$10*10^3))+(U99))),1)&gt;=0),Cluster!$X$8,IF(AND(ROUND(H99*I99*X99/($Y$10*10^3),1)&gt;=Calculation!$O$6,ROUND((((U99)*$R$23/0.05)-((S99)+(H99*I99*X99/($Y$10*10^3))+(U99))),1)&gt;=0),Cluster!$Y$8,"Recepie by hand needed")))),"-")</f>
        <v>-</v>
      </c>
      <c r="AC99" s="37" t="str">
        <f t="shared" ca="1" si="6"/>
        <v>-</v>
      </c>
      <c r="AD99" s="37" t="str">
        <f t="shared" ca="1" si="7"/>
        <v>-</v>
      </c>
      <c r="AE99" s="220" t="str">
        <f t="shared" ca="1" si="8"/>
        <v>-</v>
      </c>
      <c r="AF99" s="37" t="str">
        <f t="shared" ca="1" si="9"/>
        <v>-</v>
      </c>
    </row>
    <row r="100" spans="1:32" ht="14.25" x14ac:dyDescent="0.5">
      <c r="A100" s="170" t="str">
        <f>Calculation!I81</f>
        <v/>
      </c>
      <c r="B100" s="221" t="str">
        <f ca="1">Calculation!B81</f>
        <v/>
      </c>
      <c r="C100" s="221" t="str">
        <f ca="1">Calculation!C81</f>
        <v/>
      </c>
      <c r="D100" s="172" t="str">
        <f ca="1">Calculation!AN81</f>
        <v/>
      </c>
      <c r="E100" s="173" t="str">
        <f ca="1">Calculation!D81</f>
        <v/>
      </c>
      <c r="F100" s="174" t="str">
        <f ca="1">Calculation!C81</f>
        <v/>
      </c>
      <c r="G100" s="175" t="str">
        <f ca="1">Calculation!F81</f>
        <v/>
      </c>
      <c r="H100" s="176" t="str">
        <f ca="1">Calculation!AD81</f>
        <v/>
      </c>
      <c r="I100" s="177" t="str">
        <f ca="1">Calculation!AE81</f>
        <v/>
      </c>
      <c r="J100" s="272" t="str">
        <f ca="1">IF(Calculation!Q81="","Selection",Calculation!Q81)</f>
        <v>Selection</v>
      </c>
      <c r="K100" s="179" t="str">
        <f ca="1">Calculation!T81</f>
        <v/>
      </c>
      <c r="L100" s="180" t="str">
        <f ca="1">Calculation!U81</f>
        <v>-</v>
      </c>
      <c r="M100" s="180" t="str">
        <f ca="1">Calculation!V81</f>
        <v>-</v>
      </c>
      <c r="N100" s="181"/>
      <c r="O100" s="180" t="str">
        <f ca="1">Calculation!X81</f>
        <v>-</v>
      </c>
      <c r="P100" s="180" t="str">
        <f ca="1">Calculation!Y81</f>
        <v>-</v>
      </c>
      <c r="Q100" s="273"/>
      <c r="R100" s="182" t="str">
        <f ca="1">IF(AND(L100&lt;&gt;"-",Q100&lt;&gt;"bypass"),IFERROR(IF((U100*$R$23/0.05)-SUM(S100:U100)&gt;0,(U100*$R$23/0.05)-SUM(S100:U100),0),"-"),Calculation!AH81)</f>
        <v>-</v>
      </c>
      <c r="S100" s="179" t="str">
        <f ca="1">IF(AND(L100&lt;&gt;"-",Q100&lt;&gt;"bypass"),IFERROR(X100*((H100*10^-12-H100*10^-12*I100)/(Calculation!$U$8*10^-9)),"-"),Calculation!AF81)</f>
        <v>-</v>
      </c>
      <c r="T100" s="179" t="str">
        <f ca="1">IF(AND(L100&lt;&gt;"-",Q100&lt;&gt;"bypass"),IFERROR(H100*I100*X100/(IF(Cluster!AA100=Cluster!$W$8,Cluster!$W$10,IF(Cluster!AA100=Cluster!$X$8,Cluster!$X$10,IF(Cluster!AA100=Cluster!$Y$8,Cluster!$Y$10,0)))*10^3),"-"),Calculation!AK81)</f>
        <v>-</v>
      </c>
      <c r="U100" s="179" t="str">
        <f ca="1">IF(AND(L100&lt;&gt;"-",Q100&lt;&gt;"bypass"),IFERROR((0.5/50)*X100/$R$23,"-"),Calculation!AG81)</f>
        <v>-</v>
      </c>
      <c r="V100" s="179" t="str">
        <f ca="1">IF(AND(L100&lt;&gt;"-",Q100&lt;&gt;"bypass"),IFERROR(5/50*X100,"-"),Calculation!AI81)</f>
        <v>-</v>
      </c>
      <c r="W100" s="179" t="str">
        <f ca="1">IF(AND(L100&lt;&gt;"-",Q100&lt;&gt;"bypass"),IFERROR(35/50*X100,"-"),Calculation!AJ81)</f>
        <v>-</v>
      </c>
      <c r="X100" s="179" t="str">
        <f ca="1">IF(AND(L100&lt;&gt;"-",Q100&lt;&gt;"bypass"),$W$23,Calculation!AL81)</f>
        <v>-</v>
      </c>
      <c r="Y100" s="183" t="str">
        <f ca="1">IF(AND(L100&lt;&gt;"-",Q100&lt;&gt;"bypass"),IFERROR($R$23*U100/SUM(R100:U100),"-"),Calculation!AP81)</f>
        <v>-</v>
      </c>
      <c r="Z100" s="184" t="str">
        <f t="shared" ca="1" si="5"/>
        <v>-</v>
      </c>
      <c r="AA100" s="185" t="str">
        <f ca="1">IFERROR(IF(I100=0,"-",IF(AND(ROUND(H100*I100*X100/($W$10*10^3),1)&gt;=Calculation!$O$6,ROUND((((U100)*$R$23/0.05)-((S100)+(H100*I100*X100/($W$10*10^3))+(U100))),1)&gt;=0),Cluster!$W$8,IF(AND(ROUND(H100*I100*X100/($X$10*10^3),1)&gt;=Calculation!$O$6,ROUND((((U100)*$R$23/0.05)-((S100)+(H100*I100*X100/($X$10*10^3))+(U100))),1)&gt;=0),Cluster!$X$8,IF(AND(ROUND(H100*I100*X100/($Y$10*10^3),1)&gt;=Calculation!$O$6,ROUND((((U100)*$R$23/0.05)-((S100)+(H100*I100*X100/($Y$10*10^3))+(U100))),1)&gt;=0),Cluster!$Y$8,"Recepie by hand needed")))),"-")</f>
        <v>-</v>
      </c>
      <c r="AC100" s="37" t="str">
        <f t="shared" ca="1" si="6"/>
        <v>-</v>
      </c>
      <c r="AD100" s="37" t="str">
        <f t="shared" ca="1" si="7"/>
        <v>-</v>
      </c>
      <c r="AE100" s="220" t="str">
        <f t="shared" ca="1" si="8"/>
        <v>-</v>
      </c>
      <c r="AF100" s="37" t="str">
        <f t="shared" ca="1" si="9"/>
        <v>-</v>
      </c>
    </row>
    <row r="101" spans="1:32" ht="14.25" x14ac:dyDescent="0.5">
      <c r="A101" s="170" t="str">
        <f>Calculation!I82</f>
        <v/>
      </c>
      <c r="B101" s="221" t="str">
        <f ca="1">Calculation!B82</f>
        <v/>
      </c>
      <c r="C101" s="221" t="str">
        <f ca="1">Calculation!C82</f>
        <v/>
      </c>
      <c r="D101" s="172" t="str">
        <f ca="1">Calculation!AN82</f>
        <v/>
      </c>
      <c r="E101" s="173" t="str">
        <f ca="1">Calculation!D82</f>
        <v/>
      </c>
      <c r="F101" s="174" t="str">
        <f ca="1">Calculation!C82</f>
        <v/>
      </c>
      <c r="G101" s="175" t="str">
        <f ca="1">Calculation!F82</f>
        <v/>
      </c>
      <c r="H101" s="176" t="str">
        <f ca="1">Calculation!AD82</f>
        <v/>
      </c>
      <c r="I101" s="177" t="str">
        <f ca="1">Calculation!AE82</f>
        <v/>
      </c>
      <c r="J101" s="272" t="str">
        <f ca="1">IF(Calculation!Q82="","Selection",Calculation!Q82)</f>
        <v>Selection</v>
      </c>
      <c r="K101" s="179" t="str">
        <f ca="1">Calculation!T82</f>
        <v/>
      </c>
      <c r="L101" s="180" t="str">
        <f ca="1">Calculation!U82</f>
        <v>-</v>
      </c>
      <c r="M101" s="180" t="str">
        <f ca="1">Calculation!V82</f>
        <v>-</v>
      </c>
      <c r="N101" s="181"/>
      <c r="O101" s="180" t="str">
        <f ca="1">Calculation!X82</f>
        <v>-</v>
      </c>
      <c r="P101" s="180" t="str">
        <f ca="1">Calculation!Y82</f>
        <v>-</v>
      </c>
      <c r="Q101" s="273"/>
      <c r="R101" s="182" t="str">
        <f ca="1">IF(AND(L101&lt;&gt;"-",Q101&lt;&gt;"bypass"),IFERROR(IF((U101*$R$23/0.05)-SUM(S101:U101)&gt;0,(U101*$R$23/0.05)-SUM(S101:U101),0),"-"),Calculation!AH82)</f>
        <v>-</v>
      </c>
      <c r="S101" s="179" t="str">
        <f ca="1">IF(AND(L101&lt;&gt;"-",Q101&lt;&gt;"bypass"),IFERROR(X101*((H101*10^-12-H101*10^-12*I101)/(Calculation!$U$8*10^-9)),"-"),Calculation!AF82)</f>
        <v>-</v>
      </c>
      <c r="T101" s="179" t="str">
        <f ca="1">IF(AND(L101&lt;&gt;"-",Q101&lt;&gt;"bypass"),IFERROR(H101*I101*X101/(IF(Cluster!AA101=Cluster!$W$8,Cluster!$W$10,IF(Cluster!AA101=Cluster!$X$8,Cluster!$X$10,IF(Cluster!AA101=Cluster!$Y$8,Cluster!$Y$10,0)))*10^3),"-"),Calculation!AK82)</f>
        <v>-</v>
      </c>
      <c r="U101" s="179" t="str">
        <f ca="1">IF(AND(L101&lt;&gt;"-",Q101&lt;&gt;"bypass"),IFERROR((0.5/50)*X101/$R$23,"-"),Calculation!AG82)</f>
        <v>-</v>
      </c>
      <c r="V101" s="179" t="str">
        <f ca="1">IF(AND(L101&lt;&gt;"-",Q101&lt;&gt;"bypass"),IFERROR(5/50*X101,"-"),Calculation!AI82)</f>
        <v>-</v>
      </c>
      <c r="W101" s="179" t="str">
        <f ca="1">IF(AND(L101&lt;&gt;"-",Q101&lt;&gt;"bypass"),IFERROR(35/50*X101,"-"),Calculation!AJ82)</f>
        <v>-</v>
      </c>
      <c r="X101" s="179" t="str">
        <f ca="1">IF(AND(L101&lt;&gt;"-",Q101&lt;&gt;"bypass"),$W$23,Calculation!AL82)</f>
        <v>-</v>
      </c>
      <c r="Y101" s="183" t="str">
        <f ca="1">IF(AND(L101&lt;&gt;"-",Q101&lt;&gt;"bypass"),IFERROR($R$23*U101/SUM(R101:U101),"-"),Calculation!AP82)</f>
        <v>-</v>
      </c>
      <c r="Z101" s="184" t="str">
        <f t="shared" ca="1" si="5"/>
        <v>-</v>
      </c>
      <c r="AA101" s="185" t="str">
        <f ca="1">IFERROR(IF(I101=0,"-",IF(AND(ROUND(H101*I101*X101/($W$10*10^3),1)&gt;=Calculation!$O$6,ROUND((((U101)*$R$23/0.05)-((S101)+(H101*I101*X101/($W$10*10^3))+(U101))),1)&gt;=0),Cluster!$W$8,IF(AND(ROUND(H101*I101*X101/($X$10*10^3),1)&gt;=Calculation!$O$6,ROUND((((U101)*$R$23/0.05)-((S101)+(H101*I101*X101/($X$10*10^3))+(U101))),1)&gt;=0),Cluster!$X$8,IF(AND(ROUND(H101*I101*X101/($Y$10*10^3),1)&gt;=Calculation!$O$6,ROUND((((U101)*$R$23/0.05)-((S101)+(H101*I101*X101/($Y$10*10^3))+(U101))),1)&gt;=0),Cluster!$Y$8,"Recepie by hand needed")))),"-")</f>
        <v>-</v>
      </c>
      <c r="AC101" s="37" t="str">
        <f t="shared" ca="1" si="6"/>
        <v>-</v>
      </c>
      <c r="AD101" s="37" t="str">
        <f t="shared" ca="1" si="7"/>
        <v>-</v>
      </c>
      <c r="AE101" s="220" t="str">
        <f t="shared" ca="1" si="8"/>
        <v>-</v>
      </c>
      <c r="AF101" s="37" t="str">
        <f t="shared" ca="1" si="9"/>
        <v>-</v>
      </c>
    </row>
    <row r="102" spans="1:32" ht="14.25" x14ac:dyDescent="0.5">
      <c r="A102" s="170" t="str">
        <f>Calculation!I83</f>
        <v/>
      </c>
      <c r="B102" s="221" t="str">
        <f ca="1">Calculation!B83</f>
        <v/>
      </c>
      <c r="C102" s="221" t="str">
        <f ca="1">Calculation!C83</f>
        <v/>
      </c>
      <c r="D102" s="172" t="str">
        <f ca="1">Calculation!AN83</f>
        <v/>
      </c>
      <c r="E102" s="173" t="str">
        <f ca="1">Calculation!D83</f>
        <v/>
      </c>
      <c r="F102" s="174" t="str">
        <f ca="1">Calculation!C83</f>
        <v/>
      </c>
      <c r="G102" s="175" t="str">
        <f ca="1">Calculation!F83</f>
        <v/>
      </c>
      <c r="H102" s="176" t="str">
        <f ca="1">Calculation!AD83</f>
        <v/>
      </c>
      <c r="I102" s="177" t="str">
        <f ca="1">Calculation!AE83</f>
        <v/>
      </c>
      <c r="J102" s="272" t="str">
        <f ca="1">IF(Calculation!Q83="","Selection",Calculation!Q83)</f>
        <v>Selection</v>
      </c>
      <c r="K102" s="179" t="str">
        <f ca="1">Calculation!T83</f>
        <v/>
      </c>
      <c r="L102" s="180" t="str">
        <f ca="1">Calculation!U83</f>
        <v>-</v>
      </c>
      <c r="M102" s="180" t="str">
        <f ca="1">Calculation!V83</f>
        <v>-</v>
      </c>
      <c r="N102" s="181"/>
      <c r="O102" s="180" t="str">
        <f ca="1">Calculation!X83</f>
        <v>-</v>
      </c>
      <c r="P102" s="180" t="str">
        <f ca="1">Calculation!Y83</f>
        <v>-</v>
      </c>
      <c r="Q102" s="273"/>
      <c r="R102" s="182" t="str">
        <f ca="1">IF(AND(L102&lt;&gt;"-",Q102&lt;&gt;"bypass"),IFERROR(IF((U102*$R$23/0.05)-SUM(S102:U102)&gt;0,(U102*$R$23/0.05)-SUM(S102:U102),0),"-"),Calculation!AH83)</f>
        <v>-</v>
      </c>
      <c r="S102" s="179" t="str">
        <f ca="1">IF(AND(L102&lt;&gt;"-",Q102&lt;&gt;"bypass"),IFERROR(X102*((H102*10^-12-H102*10^-12*I102)/(Calculation!$U$8*10^-9)),"-"),Calculation!AF83)</f>
        <v>-</v>
      </c>
      <c r="T102" s="179" t="str">
        <f ca="1">IF(AND(L102&lt;&gt;"-",Q102&lt;&gt;"bypass"),IFERROR(H102*I102*X102/(IF(Cluster!AA102=Cluster!$W$8,Cluster!$W$10,IF(Cluster!AA102=Cluster!$X$8,Cluster!$X$10,IF(Cluster!AA102=Cluster!$Y$8,Cluster!$Y$10,0)))*10^3),"-"),Calculation!AK83)</f>
        <v>-</v>
      </c>
      <c r="U102" s="179" t="str">
        <f ca="1">IF(AND(L102&lt;&gt;"-",Q102&lt;&gt;"bypass"),IFERROR((0.5/50)*X102/$R$23,"-"),Calculation!AG83)</f>
        <v>-</v>
      </c>
      <c r="V102" s="179" t="str">
        <f ca="1">IF(AND(L102&lt;&gt;"-",Q102&lt;&gt;"bypass"),IFERROR(5/50*X102,"-"),Calculation!AI83)</f>
        <v>-</v>
      </c>
      <c r="W102" s="179" t="str">
        <f ca="1">IF(AND(L102&lt;&gt;"-",Q102&lt;&gt;"bypass"),IFERROR(35/50*X102,"-"),Calculation!AJ83)</f>
        <v>-</v>
      </c>
      <c r="X102" s="179" t="str">
        <f ca="1">IF(AND(L102&lt;&gt;"-",Q102&lt;&gt;"bypass"),$W$23,Calculation!AL83)</f>
        <v>-</v>
      </c>
      <c r="Y102" s="183" t="str">
        <f ca="1">IF(AND(L102&lt;&gt;"-",Q102&lt;&gt;"bypass"),IFERROR($R$23*U102/SUM(R102:U102),"-"),Calculation!AP83)</f>
        <v>-</v>
      </c>
      <c r="Z102" s="184" t="str">
        <f t="shared" ca="1" si="5"/>
        <v>-</v>
      </c>
      <c r="AA102" s="185" t="str">
        <f ca="1">IFERROR(IF(I102=0,"-",IF(AND(ROUND(H102*I102*X102/($W$10*10^3),1)&gt;=Calculation!$O$6,ROUND((((U102)*$R$23/0.05)-((S102)+(H102*I102*X102/($W$10*10^3))+(U102))),1)&gt;=0),Cluster!$W$8,IF(AND(ROUND(H102*I102*X102/($X$10*10^3),1)&gt;=Calculation!$O$6,ROUND((((U102)*$R$23/0.05)-((S102)+(H102*I102*X102/($X$10*10^3))+(U102))),1)&gt;=0),Cluster!$X$8,IF(AND(ROUND(H102*I102*X102/($Y$10*10^3),1)&gt;=Calculation!$O$6,ROUND((((U102)*$R$23/0.05)-((S102)+(H102*I102*X102/($Y$10*10^3))+(U102))),1)&gt;=0),Cluster!$Y$8,"Recepie by hand needed")))),"-")</f>
        <v>-</v>
      </c>
      <c r="AC102" s="37" t="str">
        <f t="shared" ca="1" si="6"/>
        <v>-</v>
      </c>
      <c r="AD102" s="37" t="str">
        <f t="shared" ca="1" si="7"/>
        <v>-</v>
      </c>
      <c r="AE102" s="220" t="str">
        <f t="shared" ca="1" si="8"/>
        <v>-</v>
      </c>
      <c r="AF102" s="37" t="str">
        <f t="shared" ca="1" si="9"/>
        <v>-</v>
      </c>
    </row>
    <row r="103" spans="1:32" ht="14.25" x14ac:dyDescent="0.5">
      <c r="A103" s="170" t="str">
        <f>Calculation!I84</f>
        <v/>
      </c>
      <c r="B103" s="221" t="str">
        <f ca="1">Calculation!B84</f>
        <v/>
      </c>
      <c r="C103" s="221" t="str">
        <f ca="1">Calculation!C84</f>
        <v/>
      </c>
      <c r="D103" s="172" t="str">
        <f ca="1">Calculation!AN84</f>
        <v/>
      </c>
      <c r="E103" s="173" t="str">
        <f ca="1">Calculation!D84</f>
        <v/>
      </c>
      <c r="F103" s="174" t="str">
        <f ca="1">Calculation!C84</f>
        <v/>
      </c>
      <c r="G103" s="175" t="str">
        <f ca="1">Calculation!F84</f>
        <v/>
      </c>
      <c r="H103" s="176" t="str">
        <f ca="1">Calculation!AD84</f>
        <v/>
      </c>
      <c r="I103" s="177" t="str">
        <f ca="1">Calculation!AE84</f>
        <v/>
      </c>
      <c r="J103" s="272" t="str">
        <f ca="1">IF(Calculation!Q84="","Selection",Calculation!Q84)</f>
        <v>Selection</v>
      </c>
      <c r="K103" s="179" t="str">
        <f ca="1">Calculation!T84</f>
        <v/>
      </c>
      <c r="L103" s="180" t="str">
        <f ca="1">Calculation!U84</f>
        <v>-</v>
      </c>
      <c r="M103" s="180" t="str">
        <f ca="1">Calculation!V84</f>
        <v>-</v>
      </c>
      <c r="N103" s="181"/>
      <c r="O103" s="180" t="str">
        <f ca="1">Calculation!X84</f>
        <v>-</v>
      </c>
      <c r="P103" s="180" t="str">
        <f ca="1">Calculation!Y84</f>
        <v>-</v>
      </c>
      <c r="Q103" s="273"/>
      <c r="R103" s="182" t="str">
        <f ca="1">IF(AND(L103&lt;&gt;"-",Q103&lt;&gt;"bypass"),IFERROR(IF((U103*$R$23/0.05)-SUM(S103:U103)&gt;0,(U103*$R$23/0.05)-SUM(S103:U103),0),"-"),Calculation!AH84)</f>
        <v>-</v>
      </c>
      <c r="S103" s="179" t="str">
        <f ca="1">IF(AND(L103&lt;&gt;"-",Q103&lt;&gt;"bypass"),IFERROR(X103*((H103*10^-12-H103*10^-12*I103)/(Calculation!$U$8*10^-9)),"-"),Calculation!AF84)</f>
        <v>-</v>
      </c>
      <c r="T103" s="179" t="str">
        <f ca="1">IF(AND(L103&lt;&gt;"-",Q103&lt;&gt;"bypass"),IFERROR(H103*I103*X103/(IF(Cluster!AA103=Cluster!$W$8,Cluster!$W$10,IF(Cluster!AA103=Cluster!$X$8,Cluster!$X$10,IF(Cluster!AA103=Cluster!$Y$8,Cluster!$Y$10,0)))*10^3),"-"),Calculation!AK84)</f>
        <v>-</v>
      </c>
      <c r="U103" s="179" t="str">
        <f ca="1">IF(AND(L103&lt;&gt;"-",Q103&lt;&gt;"bypass"),IFERROR((0.5/50)*X103/$R$23,"-"),Calculation!AG84)</f>
        <v>-</v>
      </c>
      <c r="V103" s="179" t="str">
        <f ca="1">IF(AND(L103&lt;&gt;"-",Q103&lt;&gt;"bypass"),IFERROR(5/50*X103,"-"),Calculation!AI84)</f>
        <v>-</v>
      </c>
      <c r="W103" s="179" t="str">
        <f ca="1">IF(AND(L103&lt;&gt;"-",Q103&lt;&gt;"bypass"),IFERROR(35/50*X103,"-"),Calculation!AJ84)</f>
        <v>-</v>
      </c>
      <c r="X103" s="179" t="str">
        <f ca="1">IF(AND(L103&lt;&gt;"-",Q103&lt;&gt;"bypass"),$W$23,Calculation!AL84)</f>
        <v>-</v>
      </c>
      <c r="Y103" s="183" t="str">
        <f ca="1">IF(AND(L103&lt;&gt;"-",Q103&lt;&gt;"bypass"),IFERROR($R$23*U103/SUM(R103:U103),"-"),Calculation!AP84)</f>
        <v>-</v>
      </c>
      <c r="Z103" s="184" t="str">
        <f t="shared" ca="1" si="5"/>
        <v>-</v>
      </c>
      <c r="AA103" s="185" t="str">
        <f ca="1">IFERROR(IF(I103=0,"-",IF(AND(ROUND(H103*I103*X103/($W$10*10^3),1)&gt;=Calculation!$O$6,ROUND((((U103)*$R$23/0.05)-((S103)+(H103*I103*X103/($W$10*10^3))+(U103))),1)&gt;=0),Cluster!$W$8,IF(AND(ROUND(H103*I103*X103/($X$10*10^3),1)&gt;=Calculation!$O$6,ROUND((((U103)*$R$23/0.05)-((S103)+(H103*I103*X103/($X$10*10^3))+(U103))),1)&gt;=0),Cluster!$X$8,IF(AND(ROUND(H103*I103*X103/($Y$10*10^3),1)&gt;=Calculation!$O$6,ROUND((((U103)*$R$23/0.05)-((S103)+(H103*I103*X103/($Y$10*10^3))+(U103))),1)&gt;=0),Cluster!$Y$8,"Recepie by hand needed")))),"-")</f>
        <v>-</v>
      </c>
      <c r="AC103" s="37" t="str">
        <f t="shared" ca="1" si="6"/>
        <v>-</v>
      </c>
      <c r="AD103" s="37" t="str">
        <f t="shared" ca="1" si="7"/>
        <v>-</v>
      </c>
      <c r="AE103" s="220" t="str">
        <f t="shared" ca="1" si="8"/>
        <v>-</v>
      </c>
      <c r="AF103" s="37" t="str">
        <f t="shared" ca="1" si="9"/>
        <v>-</v>
      </c>
    </row>
    <row r="104" spans="1:32" ht="14.25" x14ac:dyDescent="0.5">
      <c r="A104" s="170" t="str">
        <f>Calculation!I85</f>
        <v/>
      </c>
      <c r="B104" s="221" t="str">
        <f ca="1">Calculation!B85</f>
        <v/>
      </c>
      <c r="C104" s="221" t="str">
        <f ca="1">Calculation!C85</f>
        <v/>
      </c>
      <c r="D104" s="172" t="str">
        <f ca="1">Calculation!AN85</f>
        <v/>
      </c>
      <c r="E104" s="173" t="str">
        <f ca="1">Calculation!D85</f>
        <v/>
      </c>
      <c r="F104" s="174" t="str">
        <f ca="1">Calculation!C85</f>
        <v/>
      </c>
      <c r="G104" s="175" t="str">
        <f ca="1">Calculation!F85</f>
        <v/>
      </c>
      <c r="H104" s="176" t="str">
        <f ca="1">Calculation!AD85</f>
        <v/>
      </c>
      <c r="I104" s="177" t="str">
        <f ca="1">Calculation!AE85</f>
        <v/>
      </c>
      <c r="J104" s="272" t="str">
        <f ca="1">IF(Calculation!Q85="","Selection",Calculation!Q85)</f>
        <v>Selection</v>
      </c>
      <c r="K104" s="179" t="str">
        <f ca="1">Calculation!T85</f>
        <v/>
      </c>
      <c r="L104" s="180" t="str">
        <f ca="1">Calculation!U85</f>
        <v>-</v>
      </c>
      <c r="M104" s="180" t="str">
        <f ca="1">Calculation!V85</f>
        <v>-</v>
      </c>
      <c r="N104" s="181"/>
      <c r="O104" s="180" t="str">
        <f ca="1">Calculation!X85</f>
        <v>-</v>
      </c>
      <c r="P104" s="180" t="str">
        <f ca="1">Calculation!Y85</f>
        <v>-</v>
      </c>
      <c r="Q104" s="273"/>
      <c r="R104" s="182" t="str">
        <f ca="1">IF(AND(L104&lt;&gt;"-",Q104&lt;&gt;"bypass"),IFERROR(IF((U104*$R$23/0.05)-SUM(S104:U104)&gt;0,(U104*$R$23/0.05)-SUM(S104:U104),0),"-"),Calculation!AH85)</f>
        <v>-</v>
      </c>
      <c r="S104" s="179" t="str">
        <f ca="1">IF(AND(L104&lt;&gt;"-",Q104&lt;&gt;"bypass"),IFERROR(X104*((H104*10^-12-H104*10^-12*I104)/(Calculation!$U$8*10^-9)),"-"),Calculation!AF85)</f>
        <v>-</v>
      </c>
      <c r="T104" s="179" t="str">
        <f ca="1">IF(AND(L104&lt;&gt;"-",Q104&lt;&gt;"bypass"),IFERROR(H104*I104*X104/(IF(Cluster!AA104=Cluster!$W$8,Cluster!$W$10,IF(Cluster!AA104=Cluster!$X$8,Cluster!$X$10,IF(Cluster!AA104=Cluster!$Y$8,Cluster!$Y$10,0)))*10^3),"-"),Calculation!AK85)</f>
        <v>-</v>
      </c>
      <c r="U104" s="179" t="str">
        <f ca="1">IF(AND(L104&lt;&gt;"-",Q104&lt;&gt;"bypass"),IFERROR((0.5/50)*X104/$R$23,"-"),Calculation!AG85)</f>
        <v>-</v>
      </c>
      <c r="V104" s="179" t="str">
        <f ca="1">IF(AND(L104&lt;&gt;"-",Q104&lt;&gt;"bypass"),IFERROR(5/50*X104,"-"),Calculation!AI85)</f>
        <v>-</v>
      </c>
      <c r="W104" s="179" t="str">
        <f ca="1">IF(AND(L104&lt;&gt;"-",Q104&lt;&gt;"bypass"),IFERROR(35/50*X104,"-"),Calculation!AJ85)</f>
        <v>-</v>
      </c>
      <c r="X104" s="179" t="str">
        <f ca="1">IF(AND(L104&lt;&gt;"-",Q104&lt;&gt;"bypass"),$W$23,Calculation!AL85)</f>
        <v>-</v>
      </c>
      <c r="Y104" s="183" t="str">
        <f ca="1">IF(AND(L104&lt;&gt;"-",Q104&lt;&gt;"bypass"),IFERROR($R$23*U104/SUM(R104:U104),"-"),Calculation!AP85)</f>
        <v>-</v>
      </c>
      <c r="Z104" s="184" t="str">
        <f t="shared" ca="1" si="5"/>
        <v>-</v>
      </c>
      <c r="AA104" s="185" t="str">
        <f ca="1">IFERROR(IF(I104=0,"-",IF(AND(ROUND(H104*I104*X104/($W$10*10^3),1)&gt;=Calculation!$O$6,ROUND((((U104)*$R$23/0.05)-((S104)+(H104*I104*X104/($W$10*10^3))+(U104))),1)&gt;=0),Cluster!$W$8,IF(AND(ROUND(H104*I104*X104/($X$10*10^3),1)&gt;=Calculation!$O$6,ROUND((((U104)*$R$23/0.05)-((S104)+(H104*I104*X104/($X$10*10^3))+(U104))),1)&gt;=0),Cluster!$X$8,IF(AND(ROUND(H104*I104*X104/($Y$10*10^3),1)&gt;=Calculation!$O$6,ROUND((((U104)*$R$23/0.05)-((S104)+(H104*I104*X104/($Y$10*10^3))+(U104))),1)&gt;=0),Cluster!$Y$8,"Recepie by hand needed")))),"-")</f>
        <v>-</v>
      </c>
      <c r="AC104" s="37" t="str">
        <f t="shared" ca="1" si="6"/>
        <v>-</v>
      </c>
      <c r="AD104" s="37" t="str">
        <f t="shared" ca="1" si="7"/>
        <v>-</v>
      </c>
      <c r="AE104" s="220" t="str">
        <f t="shared" ca="1" si="8"/>
        <v>-</v>
      </c>
      <c r="AF104" s="37" t="str">
        <f t="shared" ca="1" si="9"/>
        <v>-</v>
      </c>
    </row>
    <row r="105" spans="1:32" ht="14.25" x14ac:dyDescent="0.5">
      <c r="A105" s="170" t="str">
        <f>Calculation!I86</f>
        <v/>
      </c>
      <c r="B105" s="221" t="str">
        <f ca="1">Calculation!B86</f>
        <v/>
      </c>
      <c r="C105" s="221" t="str">
        <f ca="1">Calculation!C86</f>
        <v/>
      </c>
      <c r="D105" s="172" t="str">
        <f ca="1">Calculation!AN86</f>
        <v/>
      </c>
      <c r="E105" s="173" t="str">
        <f ca="1">Calculation!D86</f>
        <v/>
      </c>
      <c r="F105" s="174" t="str">
        <f ca="1">Calculation!C86</f>
        <v/>
      </c>
      <c r="G105" s="175" t="str">
        <f ca="1">Calculation!F86</f>
        <v/>
      </c>
      <c r="H105" s="176" t="str">
        <f ca="1">Calculation!AD86</f>
        <v/>
      </c>
      <c r="I105" s="177" t="str">
        <f ca="1">Calculation!AE86</f>
        <v/>
      </c>
      <c r="J105" s="272" t="str">
        <f ca="1">IF(Calculation!Q86="","Selection",Calculation!Q86)</f>
        <v>Selection</v>
      </c>
      <c r="K105" s="179" t="str">
        <f ca="1">Calculation!T86</f>
        <v/>
      </c>
      <c r="L105" s="180" t="str">
        <f ca="1">Calculation!U86</f>
        <v>-</v>
      </c>
      <c r="M105" s="180" t="str">
        <f ca="1">Calculation!V86</f>
        <v>-</v>
      </c>
      <c r="N105" s="181"/>
      <c r="O105" s="180" t="str">
        <f ca="1">Calculation!X86</f>
        <v>-</v>
      </c>
      <c r="P105" s="180" t="str">
        <f ca="1">Calculation!Y86</f>
        <v>-</v>
      </c>
      <c r="Q105" s="273"/>
      <c r="R105" s="182" t="str">
        <f ca="1">IF(AND(L105&lt;&gt;"-",Q105&lt;&gt;"bypass"),IFERROR(IF((U105*$R$23/0.05)-SUM(S105:U105)&gt;0,(U105*$R$23/0.05)-SUM(S105:U105),0),"-"),Calculation!AH86)</f>
        <v>-</v>
      </c>
      <c r="S105" s="179" t="str">
        <f ca="1">IF(AND(L105&lt;&gt;"-",Q105&lt;&gt;"bypass"),IFERROR(X105*((H105*10^-12-H105*10^-12*I105)/(Calculation!$U$8*10^-9)),"-"),Calculation!AF86)</f>
        <v>-</v>
      </c>
      <c r="T105" s="179" t="str">
        <f ca="1">IF(AND(L105&lt;&gt;"-",Q105&lt;&gt;"bypass"),IFERROR(H105*I105*X105/(IF(Cluster!AA105=Cluster!$W$8,Cluster!$W$10,IF(Cluster!AA105=Cluster!$X$8,Cluster!$X$10,IF(Cluster!AA105=Cluster!$Y$8,Cluster!$Y$10,0)))*10^3),"-"),Calculation!AK86)</f>
        <v>-</v>
      </c>
      <c r="U105" s="179" t="str">
        <f ca="1">IF(AND(L105&lt;&gt;"-",Q105&lt;&gt;"bypass"),IFERROR((0.5/50)*X105/$R$23,"-"),Calculation!AG86)</f>
        <v>-</v>
      </c>
      <c r="V105" s="179" t="str">
        <f ca="1">IF(AND(L105&lt;&gt;"-",Q105&lt;&gt;"bypass"),IFERROR(5/50*X105,"-"),Calculation!AI86)</f>
        <v>-</v>
      </c>
      <c r="W105" s="179" t="str">
        <f ca="1">IF(AND(L105&lt;&gt;"-",Q105&lt;&gt;"bypass"),IFERROR(35/50*X105,"-"),Calculation!AJ86)</f>
        <v>-</v>
      </c>
      <c r="X105" s="179" t="str">
        <f ca="1">IF(AND(L105&lt;&gt;"-",Q105&lt;&gt;"bypass"),$W$23,Calculation!AL86)</f>
        <v>-</v>
      </c>
      <c r="Y105" s="183" t="str">
        <f ca="1">IF(AND(L105&lt;&gt;"-",Q105&lt;&gt;"bypass"),IFERROR($R$23*U105/SUM(R105:U105),"-"),Calculation!AP86)</f>
        <v>-</v>
      </c>
      <c r="Z105" s="184" t="str">
        <f t="shared" ca="1" si="5"/>
        <v>-</v>
      </c>
      <c r="AA105" s="185" t="str">
        <f ca="1">IFERROR(IF(I105=0,"-",IF(AND(ROUND(H105*I105*X105/($W$10*10^3),1)&gt;=Calculation!$O$6,ROUND((((U105)*$R$23/0.05)-((S105)+(H105*I105*X105/($W$10*10^3))+(U105))),1)&gt;=0),Cluster!$W$8,IF(AND(ROUND(H105*I105*X105/($X$10*10^3),1)&gt;=Calculation!$O$6,ROUND((((U105)*$R$23/0.05)-((S105)+(H105*I105*X105/($X$10*10^3))+(U105))),1)&gt;=0),Cluster!$X$8,IF(AND(ROUND(H105*I105*X105/($Y$10*10^3),1)&gt;=Calculation!$O$6,ROUND((((U105)*$R$23/0.05)-((S105)+(H105*I105*X105/($Y$10*10^3))+(U105))),1)&gt;=0),Cluster!$Y$8,"Recepie by hand needed")))),"-")</f>
        <v>-</v>
      </c>
      <c r="AC105" s="37" t="str">
        <f t="shared" ca="1" si="6"/>
        <v>-</v>
      </c>
      <c r="AD105" s="37" t="str">
        <f t="shared" ca="1" si="7"/>
        <v>-</v>
      </c>
      <c r="AE105" s="220" t="str">
        <f t="shared" ca="1" si="8"/>
        <v>-</v>
      </c>
      <c r="AF105" s="37" t="str">
        <f t="shared" ca="1" si="9"/>
        <v>-</v>
      </c>
    </row>
    <row r="106" spans="1:32" ht="14.25" x14ac:dyDescent="0.5">
      <c r="A106" s="170" t="str">
        <f>Calculation!I87</f>
        <v/>
      </c>
      <c r="B106" s="221" t="str">
        <f ca="1">Calculation!B87</f>
        <v/>
      </c>
      <c r="C106" s="221" t="str">
        <f ca="1">Calculation!C87</f>
        <v/>
      </c>
      <c r="D106" s="172" t="str">
        <f ca="1">Calculation!AN87</f>
        <v/>
      </c>
      <c r="E106" s="173" t="str">
        <f ca="1">Calculation!D87</f>
        <v/>
      </c>
      <c r="F106" s="174" t="str">
        <f ca="1">Calculation!C87</f>
        <v/>
      </c>
      <c r="G106" s="175" t="str">
        <f ca="1">Calculation!F87</f>
        <v/>
      </c>
      <c r="H106" s="176" t="str">
        <f ca="1">Calculation!AD87</f>
        <v/>
      </c>
      <c r="I106" s="177" t="str">
        <f ca="1">Calculation!AE87</f>
        <v/>
      </c>
      <c r="J106" s="272" t="str">
        <f ca="1">IF(Calculation!Q87="","Selection",Calculation!Q87)</f>
        <v>Selection</v>
      </c>
      <c r="K106" s="179" t="str">
        <f ca="1">Calculation!T87</f>
        <v/>
      </c>
      <c r="L106" s="180" t="str">
        <f ca="1">Calculation!U87</f>
        <v>-</v>
      </c>
      <c r="M106" s="180" t="str">
        <f ca="1">Calculation!V87</f>
        <v>-</v>
      </c>
      <c r="N106" s="181"/>
      <c r="O106" s="180" t="str">
        <f ca="1">Calculation!X87</f>
        <v>-</v>
      </c>
      <c r="P106" s="180" t="str">
        <f ca="1">Calculation!Y87</f>
        <v>-</v>
      </c>
      <c r="Q106" s="273"/>
      <c r="R106" s="182" t="str">
        <f ca="1">IF(AND(L106&lt;&gt;"-",Q106&lt;&gt;"bypass"),IFERROR(IF((U106*$R$23/0.05)-SUM(S106:U106)&gt;0,(U106*$R$23/0.05)-SUM(S106:U106),0),"-"),Calculation!AH87)</f>
        <v>-</v>
      </c>
      <c r="S106" s="179" t="str">
        <f ca="1">IF(AND(L106&lt;&gt;"-",Q106&lt;&gt;"bypass"),IFERROR(X106*((H106*10^-12-H106*10^-12*I106)/(Calculation!$U$8*10^-9)),"-"),Calculation!AF87)</f>
        <v>-</v>
      </c>
      <c r="T106" s="179" t="str">
        <f ca="1">IF(AND(L106&lt;&gt;"-",Q106&lt;&gt;"bypass"),IFERROR(H106*I106*X106/(IF(Cluster!AA106=Cluster!$W$8,Cluster!$W$10,IF(Cluster!AA106=Cluster!$X$8,Cluster!$X$10,IF(Cluster!AA106=Cluster!$Y$8,Cluster!$Y$10,0)))*10^3),"-"),Calculation!AK87)</f>
        <v>-</v>
      </c>
      <c r="U106" s="179" t="str">
        <f ca="1">IF(AND(L106&lt;&gt;"-",Q106&lt;&gt;"bypass"),IFERROR((0.5/50)*X106/$R$23,"-"),Calculation!AG87)</f>
        <v>-</v>
      </c>
      <c r="V106" s="179" t="str">
        <f ca="1">IF(AND(L106&lt;&gt;"-",Q106&lt;&gt;"bypass"),IFERROR(5/50*X106,"-"),Calculation!AI87)</f>
        <v>-</v>
      </c>
      <c r="W106" s="179" t="str">
        <f ca="1">IF(AND(L106&lt;&gt;"-",Q106&lt;&gt;"bypass"),IFERROR(35/50*X106,"-"),Calculation!AJ87)</f>
        <v>-</v>
      </c>
      <c r="X106" s="179" t="str">
        <f ca="1">IF(AND(L106&lt;&gt;"-",Q106&lt;&gt;"bypass"),$W$23,Calculation!AL87)</f>
        <v>-</v>
      </c>
      <c r="Y106" s="183" t="str">
        <f ca="1">IF(AND(L106&lt;&gt;"-",Q106&lt;&gt;"bypass"),IFERROR($R$23*U106/SUM(R106:U106),"-"),Calculation!AP87)</f>
        <v>-</v>
      </c>
      <c r="Z106" s="184" t="str">
        <f t="shared" ca="1" si="5"/>
        <v>-</v>
      </c>
      <c r="AA106" s="185" t="str">
        <f ca="1">IFERROR(IF(I106=0,"-",IF(AND(ROUND(H106*I106*X106/($W$10*10^3),1)&gt;=Calculation!$O$6,ROUND((((U106)*$R$23/0.05)-((S106)+(H106*I106*X106/($W$10*10^3))+(U106))),1)&gt;=0),Cluster!$W$8,IF(AND(ROUND(H106*I106*X106/($X$10*10^3),1)&gt;=Calculation!$O$6,ROUND((((U106)*$R$23/0.05)-((S106)+(H106*I106*X106/($X$10*10^3))+(U106))),1)&gt;=0),Cluster!$X$8,IF(AND(ROUND(H106*I106*X106/($Y$10*10^3),1)&gt;=Calculation!$O$6,ROUND((((U106)*$R$23/0.05)-((S106)+(H106*I106*X106/($Y$10*10^3))+(U106))),1)&gt;=0),Cluster!$Y$8,"Recepie by hand needed")))),"-")</f>
        <v>-</v>
      </c>
      <c r="AC106" s="37" t="str">
        <f t="shared" ca="1" si="6"/>
        <v>-</v>
      </c>
      <c r="AD106" s="37" t="str">
        <f t="shared" ca="1" si="7"/>
        <v>-</v>
      </c>
      <c r="AE106" s="220" t="str">
        <f t="shared" ca="1" si="8"/>
        <v>-</v>
      </c>
      <c r="AF106" s="37" t="str">
        <f t="shared" ca="1" si="9"/>
        <v>-</v>
      </c>
    </row>
    <row r="107" spans="1:32" ht="14.25" x14ac:dyDescent="0.5">
      <c r="A107" s="170" t="str">
        <f>Calculation!I88</f>
        <v/>
      </c>
      <c r="B107" s="221" t="str">
        <f ca="1">Calculation!B88</f>
        <v/>
      </c>
      <c r="C107" s="221" t="str">
        <f ca="1">Calculation!C88</f>
        <v/>
      </c>
      <c r="D107" s="172" t="str">
        <f ca="1">Calculation!AN88</f>
        <v/>
      </c>
      <c r="E107" s="173" t="str">
        <f ca="1">Calculation!D88</f>
        <v/>
      </c>
      <c r="F107" s="174" t="str">
        <f ca="1">Calculation!C88</f>
        <v/>
      </c>
      <c r="G107" s="175" t="str">
        <f ca="1">Calculation!F88</f>
        <v/>
      </c>
      <c r="H107" s="176" t="str">
        <f ca="1">Calculation!AD88</f>
        <v/>
      </c>
      <c r="I107" s="177" t="str">
        <f ca="1">Calculation!AE88</f>
        <v/>
      </c>
      <c r="J107" s="272" t="str">
        <f ca="1">IF(Calculation!Q88="","Selection",Calculation!Q88)</f>
        <v>Selection</v>
      </c>
      <c r="K107" s="179" t="str">
        <f ca="1">Calculation!T88</f>
        <v/>
      </c>
      <c r="L107" s="180" t="str">
        <f ca="1">Calculation!U88</f>
        <v>-</v>
      </c>
      <c r="M107" s="180" t="str">
        <f ca="1">Calculation!V88</f>
        <v>-</v>
      </c>
      <c r="N107" s="181"/>
      <c r="O107" s="180" t="str">
        <f ca="1">Calculation!X88</f>
        <v>-</v>
      </c>
      <c r="P107" s="180" t="str">
        <f ca="1">Calculation!Y88</f>
        <v>-</v>
      </c>
      <c r="Q107" s="273"/>
      <c r="R107" s="182" t="str">
        <f ca="1">IF(AND(L107&lt;&gt;"-",Q107&lt;&gt;"bypass"),IFERROR(IF((U107*$R$23/0.05)-SUM(S107:U107)&gt;0,(U107*$R$23/0.05)-SUM(S107:U107),0),"-"),Calculation!AH88)</f>
        <v>-</v>
      </c>
      <c r="S107" s="179" t="str">
        <f ca="1">IF(AND(L107&lt;&gt;"-",Q107&lt;&gt;"bypass"),IFERROR(X107*((H107*10^-12-H107*10^-12*I107)/(Calculation!$U$8*10^-9)),"-"),Calculation!AF88)</f>
        <v>-</v>
      </c>
      <c r="T107" s="179" t="str">
        <f ca="1">IF(AND(L107&lt;&gt;"-",Q107&lt;&gt;"bypass"),IFERROR(H107*I107*X107/(IF(Cluster!AA107=Cluster!$W$8,Cluster!$W$10,IF(Cluster!AA107=Cluster!$X$8,Cluster!$X$10,IF(Cluster!AA107=Cluster!$Y$8,Cluster!$Y$10,0)))*10^3),"-"),Calculation!AK88)</f>
        <v>-</v>
      </c>
      <c r="U107" s="179" t="str">
        <f ca="1">IF(AND(L107&lt;&gt;"-",Q107&lt;&gt;"bypass"),IFERROR((0.5/50)*X107/$R$23,"-"),Calculation!AG88)</f>
        <v>-</v>
      </c>
      <c r="V107" s="179" t="str">
        <f ca="1">IF(AND(L107&lt;&gt;"-",Q107&lt;&gt;"bypass"),IFERROR(5/50*X107,"-"),Calculation!AI88)</f>
        <v>-</v>
      </c>
      <c r="W107" s="179" t="str">
        <f ca="1">IF(AND(L107&lt;&gt;"-",Q107&lt;&gt;"bypass"),IFERROR(35/50*X107,"-"),Calculation!AJ88)</f>
        <v>-</v>
      </c>
      <c r="X107" s="179" t="str">
        <f ca="1">IF(AND(L107&lt;&gt;"-",Q107&lt;&gt;"bypass"),$W$23,Calculation!AL88)</f>
        <v>-</v>
      </c>
      <c r="Y107" s="183" t="str">
        <f ca="1">IF(AND(L107&lt;&gt;"-",Q107&lt;&gt;"bypass"),IFERROR($R$23*U107/SUM(R107:U107),"-"),Calculation!AP88)</f>
        <v>-</v>
      </c>
      <c r="Z107" s="184" t="str">
        <f t="shared" ca="1" si="5"/>
        <v>-</v>
      </c>
      <c r="AA107" s="185" t="str">
        <f ca="1">IFERROR(IF(I107=0,"-",IF(AND(ROUND(H107*I107*X107/($W$10*10^3),1)&gt;=Calculation!$O$6,ROUND((((U107)*$R$23/0.05)-((S107)+(H107*I107*X107/($W$10*10^3))+(U107))),1)&gt;=0),Cluster!$W$8,IF(AND(ROUND(H107*I107*X107/($X$10*10^3),1)&gt;=Calculation!$O$6,ROUND((((U107)*$R$23/0.05)-((S107)+(H107*I107*X107/($X$10*10^3))+(U107))),1)&gt;=0),Cluster!$X$8,IF(AND(ROUND(H107*I107*X107/($Y$10*10^3),1)&gt;=Calculation!$O$6,ROUND((((U107)*$R$23/0.05)-((S107)+(H107*I107*X107/($Y$10*10^3))+(U107))),1)&gt;=0),Cluster!$Y$8,"Recepie by hand needed")))),"-")</f>
        <v>-</v>
      </c>
      <c r="AC107" s="37" t="str">
        <f t="shared" ca="1" si="6"/>
        <v>-</v>
      </c>
      <c r="AD107" s="37" t="str">
        <f t="shared" ca="1" si="7"/>
        <v>-</v>
      </c>
      <c r="AE107" s="220" t="str">
        <f t="shared" ca="1" si="8"/>
        <v>-</v>
      </c>
      <c r="AF107" s="37" t="str">
        <f t="shared" ca="1" si="9"/>
        <v>-</v>
      </c>
    </row>
    <row r="108" spans="1:32" ht="14.25" x14ac:dyDescent="0.5">
      <c r="A108" s="170" t="str">
        <f>Calculation!I89</f>
        <v/>
      </c>
      <c r="B108" s="221" t="str">
        <f ca="1">Calculation!B89</f>
        <v/>
      </c>
      <c r="C108" s="221" t="str">
        <f ca="1">Calculation!C89</f>
        <v/>
      </c>
      <c r="D108" s="172" t="str">
        <f ca="1">Calculation!AN89</f>
        <v/>
      </c>
      <c r="E108" s="173" t="str">
        <f ca="1">Calculation!D89</f>
        <v/>
      </c>
      <c r="F108" s="174" t="str">
        <f ca="1">Calculation!C89</f>
        <v/>
      </c>
      <c r="G108" s="175" t="str">
        <f ca="1">Calculation!F89</f>
        <v/>
      </c>
      <c r="H108" s="176" t="str">
        <f ca="1">Calculation!AD89</f>
        <v/>
      </c>
      <c r="I108" s="177" t="str">
        <f ca="1">Calculation!AE89</f>
        <v/>
      </c>
      <c r="J108" s="272" t="str">
        <f ca="1">IF(Calculation!Q89="","Selection",Calculation!Q89)</f>
        <v>Selection</v>
      </c>
      <c r="K108" s="179" t="str">
        <f ca="1">Calculation!T89</f>
        <v/>
      </c>
      <c r="L108" s="180" t="str">
        <f ca="1">Calculation!U89</f>
        <v>-</v>
      </c>
      <c r="M108" s="180" t="str">
        <f ca="1">Calculation!V89</f>
        <v>-</v>
      </c>
      <c r="N108" s="181"/>
      <c r="O108" s="180" t="str">
        <f ca="1">Calculation!X89</f>
        <v>-</v>
      </c>
      <c r="P108" s="180" t="str">
        <f ca="1">Calculation!Y89</f>
        <v>-</v>
      </c>
      <c r="Q108" s="273"/>
      <c r="R108" s="182" t="str">
        <f ca="1">IF(AND(L108&lt;&gt;"-",Q108&lt;&gt;"bypass"),IFERROR(IF((U108*$R$23/0.05)-SUM(S108:U108)&gt;0,(U108*$R$23/0.05)-SUM(S108:U108),0),"-"),Calculation!AH89)</f>
        <v>-</v>
      </c>
      <c r="S108" s="179" t="str">
        <f ca="1">IF(AND(L108&lt;&gt;"-",Q108&lt;&gt;"bypass"),IFERROR(X108*((H108*10^-12-H108*10^-12*I108)/(Calculation!$U$8*10^-9)),"-"),Calculation!AF89)</f>
        <v>-</v>
      </c>
      <c r="T108" s="179" t="str">
        <f ca="1">IF(AND(L108&lt;&gt;"-",Q108&lt;&gt;"bypass"),IFERROR(H108*I108*X108/(IF(Cluster!AA108=Cluster!$W$8,Cluster!$W$10,IF(Cluster!AA108=Cluster!$X$8,Cluster!$X$10,IF(Cluster!AA108=Cluster!$Y$8,Cluster!$Y$10,0)))*10^3),"-"),Calculation!AK89)</f>
        <v>-</v>
      </c>
      <c r="U108" s="179" t="str">
        <f ca="1">IF(AND(L108&lt;&gt;"-",Q108&lt;&gt;"bypass"),IFERROR((0.5/50)*X108/$R$23,"-"),Calculation!AG89)</f>
        <v>-</v>
      </c>
      <c r="V108" s="179" t="str">
        <f ca="1">IF(AND(L108&lt;&gt;"-",Q108&lt;&gt;"bypass"),IFERROR(5/50*X108,"-"),Calculation!AI89)</f>
        <v>-</v>
      </c>
      <c r="W108" s="179" t="str">
        <f ca="1">IF(AND(L108&lt;&gt;"-",Q108&lt;&gt;"bypass"),IFERROR(35/50*X108,"-"),Calculation!AJ89)</f>
        <v>-</v>
      </c>
      <c r="X108" s="179" t="str">
        <f ca="1">IF(AND(L108&lt;&gt;"-",Q108&lt;&gt;"bypass"),$W$23,Calculation!AL89)</f>
        <v>-</v>
      </c>
      <c r="Y108" s="183" t="str">
        <f ca="1">IF(AND(L108&lt;&gt;"-",Q108&lt;&gt;"bypass"),IFERROR($R$23*U108/SUM(R108:U108),"-"),Calculation!AP89)</f>
        <v>-</v>
      </c>
      <c r="Z108" s="184" t="str">
        <f t="shared" ca="1" si="5"/>
        <v>-</v>
      </c>
      <c r="AA108" s="185" t="str">
        <f ca="1">IFERROR(IF(I108=0,"-",IF(AND(ROUND(H108*I108*X108/($W$10*10^3),1)&gt;=Calculation!$O$6,ROUND((((U108)*$R$23/0.05)-((S108)+(H108*I108*X108/($W$10*10^3))+(U108))),1)&gt;=0),Cluster!$W$8,IF(AND(ROUND(H108*I108*X108/($X$10*10^3),1)&gt;=Calculation!$O$6,ROUND((((U108)*$R$23/0.05)-((S108)+(H108*I108*X108/($X$10*10^3))+(U108))),1)&gt;=0),Cluster!$X$8,IF(AND(ROUND(H108*I108*X108/($Y$10*10^3),1)&gt;=Calculation!$O$6,ROUND((((U108)*$R$23/0.05)-((S108)+(H108*I108*X108/($Y$10*10^3))+(U108))),1)&gt;=0),Cluster!$Y$8,"Recepie by hand needed")))),"-")</f>
        <v>-</v>
      </c>
      <c r="AC108" s="37" t="str">
        <f t="shared" ca="1" si="6"/>
        <v>-</v>
      </c>
      <c r="AD108" s="37" t="str">
        <f t="shared" ca="1" si="7"/>
        <v>-</v>
      </c>
      <c r="AE108" s="220" t="str">
        <f t="shared" ca="1" si="8"/>
        <v>-</v>
      </c>
      <c r="AF108" s="37" t="str">
        <f t="shared" ca="1" si="9"/>
        <v>-</v>
      </c>
    </row>
    <row r="109" spans="1:32" ht="14.25" x14ac:dyDescent="0.5">
      <c r="A109" s="170" t="str">
        <f>Calculation!I90</f>
        <v/>
      </c>
      <c r="B109" s="221" t="str">
        <f ca="1">Calculation!B90</f>
        <v/>
      </c>
      <c r="C109" s="221" t="str">
        <f ca="1">Calculation!C90</f>
        <v/>
      </c>
      <c r="D109" s="172" t="str">
        <f ca="1">Calculation!AN90</f>
        <v/>
      </c>
      <c r="E109" s="173" t="str">
        <f ca="1">Calculation!D90</f>
        <v/>
      </c>
      <c r="F109" s="174" t="str">
        <f ca="1">Calculation!C90</f>
        <v/>
      </c>
      <c r="G109" s="175" t="str">
        <f ca="1">Calculation!F90</f>
        <v/>
      </c>
      <c r="H109" s="176" t="str">
        <f ca="1">Calculation!AD90</f>
        <v/>
      </c>
      <c r="I109" s="177" t="str">
        <f ca="1">Calculation!AE90</f>
        <v/>
      </c>
      <c r="J109" s="272" t="str">
        <f ca="1">IF(Calculation!Q90="","Selection",Calculation!Q90)</f>
        <v>Selection</v>
      </c>
      <c r="K109" s="179" t="str">
        <f ca="1">Calculation!T90</f>
        <v/>
      </c>
      <c r="L109" s="180" t="str">
        <f ca="1">Calculation!U90</f>
        <v>-</v>
      </c>
      <c r="M109" s="180" t="str">
        <f ca="1">Calculation!V90</f>
        <v>-</v>
      </c>
      <c r="N109" s="181"/>
      <c r="O109" s="180" t="str">
        <f ca="1">Calculation!X90</f>
        <v>-</v>
      </c>
      <c r="P109" s="180" t="str">
        <f ca="1">Calculation!Y90</f>
        <v>-</v>
      </c>
      <c r="Q109" s="273"/>
      <c r="R109" s="182" t="str">
        <f ca="1">IF(AND(L109&lt;&gt;"-",Q109&lt;&gt;"bypass"),IFERROR(IF((U109*$R$23/0.05)-SUM(S109:U109)&gt;0,(U109*$R$23/0.05)-SUM(S109:U109),0),"-"),Calculation!AH90)</f>
        <v>-</v>
      </c>
      <c r="S109" s="179" t="str">
        <f ca="1">IF(AND(L109&lt;&gt;"-",Q109&lt;&gt;"bypass"),IFERROR(X109*((H109*10^-12-H109*10^-12*I109)/(Calculation!$U$8*10^-9)),"-"),Calculation!AF90)</f>
        <v>-</v>
      </c>
      <c r="T109" s="179" t="str">
        <f ca="1">IF(AND(L109&lt;&gt;"-",Q109&lt;&gt;"bypass"),IFERROR(H109*I109*X109/(IF(Cluster!AA109=Cluster!$W$8,Cluster!$W$10,IF(Cluster!AA109=Cluster!$X$8,Cluster!$X$10,IF(Cluster!AA109=Cluster!$Y$8,Cluster!$Y$10,0)))*10^3),"-"),Calculation!AK90)</f>
        <v>-</v>
      </c>
      <c r="U109" s="179" t="str">
        <f ca="1">IF(AND(L109&lt;&gt;"-",Q109&lt;&gt;"bypass"),IFERROR((0.5/50)*X109/$R$23,"-"),Calculation!AG90)</f>
        <v>-</v>
      </c>
      <c r="V109" s="179" t="str">
        <f ca="1">IF(AND(L109&lt;&gt;"-",Q109&lt;&gt;"bypass"),IFERROR(5/50*X109,"-"),Calculation!AI90)</f>
        <v>-</v>
      </c>
      <c r="W109" s="179" t="str">
        <f ca="1">IF(AND(L109&lt;&gt;"-",Q109&lt;&gt;"bypass"),IFERROR(35/50*X109,"-"),Calculation!AJ90)</f>
        <v>-</v>
      </c>
      <c r="X109" s="179" t="str">
        <f ca="1">IF(AND(L109&lt;&gt;"-",Q109&lt;&gt;"bypass"),$W$23,Calculation!AL90)</f>
        <v>-</v>
      </c>
      <c r="Y109" s="183" t="str">
        <f ca="1">IF(AND(L109&lt;&gt;"-",Q109&lt;&gt;"bypass"),IFERROR($R$23*U109/SUM(R109:U109),"-"),Calculation!AP90)</f>
        <v>-</v>
      </c>
      <c r="Z109" s="184" t="str">
        <f t="shared" ca="1" si="5"/>
        <v>-</v>
      </c>
      <c r="AA109" s="185" t="str">
        <f ca="1">IFERROR(IF(I109=0,"-",IF(AND(ROUND(H109*I109*X109/($W$10*10^3),1)&gt;=Calculation!$O$6,ROUND((((U109)*$R$23/0.05)-((S109)+(H109*I109*X109/($W$10*10^3))+(U109))),1)&gt;=0),Cluster!$W$8,IF(AND(ROUND(H109*I109*X109/($X$10*10^3),1)&gt;=Calculation!$O$6,ROUND((((U109)*$R$23/0.05)-((S109)+(H109*I109*X109/($X$10*10^3))+(U109))),1)&gt;=0),Cluster!$X$8,IF(AND(ROUND(H109*I109*X109/($Y$10*10^3),1)&gt;=Calculation!$O$6,ROUND((((U109)*$R$23/0.05)-((S109)+(H109*I109*X109/($Y$10*10^3))+(U109))),1)&gt;=0),Cluster!$Y$8,"Recepie by hand needed")))),"-")</f>
        <v>-</v>
      </c>
      <c r="AC109" s="37" t="str">
        <f t="shared" ca="1" si="6"/>
        <v>-</v>
      </c>
      <c r="AD109" s="37" t="str">
        <f t="shared" ca="1" si="7"/>
        <v>-</v>
      </c>
      <c r="AE109" s="220" t="str">
        <f t="shared" ca="1" si="8"/>
        <v>-</v>
      </c>
      <c r="AF109" s="37" t="str">
        <f t="shared" ca="1" si="9"/>
        <v>-</v>
      </c>
    </row>
    <row r="110" spans="1:32" ht="14.25" x14ac:dyDescent="0.5">
      <c r="A110" s="170" t="str">
        <f>Calculation!I91</f>
        <v/>
      </c>
      <c r="B110" s="221" t="str">
        <f ca="1">Calculation!B91</f>
        <v/>
      </c>
      <c r="C110" s="221" t="str">
        <f ca="1">Calculation!C91</f>
        <v/>
      </c>
      <c r="D110" s="172" t="str">
        <f ca="1">Calculation!AN91</f>
        <v/>
      </c>
      <c r="E110" s="173" t="str">
        <f ca="1">Calculation!D91</f>
        <v/>
      </c>
      <c r="F110" s="174" t="str">
        <f ca="1">Calculation!C91</f>
        <v/>
      </c>
      <c r="G110" s="175" t="str">
        <f ca="1">Calculation!F91</f>
        <v/>
      </c>
      <c r="H110" s="176" t="str">
        <f ca="1">Calculation!AD91</f>
        <v/>
      </c>
      <c r="I110" s="177" t="str">
        <f ca="1">Calculation!AE91</f>
        <v/>
      </c>
      <c r="J110" s="272" t="str">
        <f ca="1">IF(Calculation!Q91="","Selection",Calculation!Q91)</f>
        <v>Selection</v>
      </c>
      <c r="K110" s="179" t="str">
        <f ca="1">Calculation!T91</f>
        <v/>
      </c>
      <c r="L110" s="180" t="str">
        <f ca="1">Calculation!U91</f>
        <v>-</v>
      </c>
      <c r="M110" s="180" t="str">
        <f ca="1">Calculation!V91</f>
        <v>-</v>
      </c>
      <c r="N110" s="181"/>
      <c r="O110" s="180" t="str">
        <f ca="1">Calculation!X91</f>
        <v>-</v>
      </c>
      <c r="P110" s="180" t="str">
        <f ca="1">Calculation!Y91</f>
        <v>-</v>
      </c>
      <c r="Q110" s="273"/>
      <c r="R110" s="182" t="str">
        <f ca="1">IF(AND(L110&lt;&gt;"-",Q110&lt;&gt;"bypass"),IFERROR(IF((U110*$R$23/0.05)-SUM(S110:U110)&gt;0,(U110*$R$23/0.05)-SUM(S110:U110),0),"-"),Calculation!AH91)</f>
        <v>-</v>
      </c>
      <c r="S110" s="179" t="str">
        <f ca="1">IF(AND(L110&lt;&gt;"-",Q110&lt;&gt;"bypass"),IFERROR(X110*((H110*10^-12-H110*10^-12*I110)/(Calculation!$U$8*10^-9)),"-"),Calculation!AF91)</f>
        <v>-</v>
      </c>
      <c r="T110" s="179" t="str">
        <f ca="1">IF(AND(L110&lt;&gt;"-",Q110&lt;&gt;"bypass"),IFERROR(H110*I110*X110/(IF(Cluster!AA110=Cluster!$W$8,Cluster!$W$10,IF(Cluster!AA110=Cluster!$X$8,Cluster!$X$10,IF(Cluster!AA110=Cluster!$Y$8,Cluster!$Y$10,0)))*10^3),"-"),Calculation!AK91)</f>
        <v>-</v>
      </c>
      <c r="U110" s="179" t="str">
        <f ca="1">IF(AND(L110&lt;&gt;"-",Q110&lt;&gt;"bypass"),IFERROR((0.5/50)*X110/$R$23,"-"),Calculation!AG91)</f>
        <v>-</v>
      </c>
      <c r="V110" s="179" t="str">
        <f ca="1">IF(AND(L110&lt;&gt;"-",Q110&lt;&gt;"bypass"),IFERROR(5/50*X110,"-"),Calculation!AI91)</f>
        <v>-</v>
      </c>
      <c r="W110" s="179" t="str">
        <f ca="1">IF(AND(L110&lt;&gt;"-",Q110&lt;&gt;"bypass"),IFERROR(35/50*X110,"-"),Calculation!AJ91)</f>
        <v>-</v>
      </c>
      <c r="X110" s="179" t="str">
        <f ca="1">IF(AND(L110&lt;&gt;"-",Q110&lt;&gt;"bypass"),$W$23,Calculation!AL91)</f>
        <v>-</v>
      </c>
      <c r="Y110" s="183" t="str">
        <f ca="1">IF(AND(L110&lt;&gt;"-",Q110&lt;&gt;"bypass"),IFERROR($R$23*U110/SUM(R110:U110),"-"),Calculation!AP91)</f>
        <v>-</v>
      </c>
      <c r="Z110" s="184" t="str">
        <f t="shared" ca="1" si="5"/>
        <v>-</v>
      </c>
      <c r="AA110" s="185" t="str">
        <f ca="1">IFERROR(IF(I110=0,"-",IF(AND(ROUND(H110*I110*X110/($W$10*10^3),1)&gt;=Calculation!$O$6,ROUND((((U110)*$R$23/0.05)-((S110)+(H110*I110*X110/($W$10*10^3))+(U110))),1)&gt;=0),Cluster!$W$8,IF(AND(ROUND(H110*I110*X110/($X$10*10^3),1)&gt;=Calculation!$O$6,ROUND((((U110)*$R$23/0.05)-((S110)+(H110*I110*X110/($X$10*10^3))+(U110))),1)&gt;=0),Cluster!$X$8,IF(AND(ROUND(H110*I110*X110/($Y$10*10^3),1)&gt;=Calculation!$O$6,ROUND((((U110)*$R$23/0.05)-((S110)+(H110*I110*X110/($Y$10*10^3))+(U110))),1)&gt;=0),Cluster!$Y$8,"Recepie by hand needed")))),"-")</f>
        <v>-</v>
      </c>
      <c r="AC110" s="37" t="str">
        <f t="shared" ca="1" si="6"/>
        <v>-</v>
      </c>
      <c r="AD110" s="37" t="str">
        <f t="shared" ca="1" si="7"/>
        <v>-</v>
      </c>
      <c r="AE110" s="220" t="str">
        <f t="shared" ca="1" si="8"/>
        <v>-</v>
      </c>
      <c r="AF110" s="37" t="str">
        <f t="shared" ca="1" si="9"/>
        <v>-</v>
      </c>
    </row>
    <row r="111" spans="1:32" ht="14.25" x14ac:dyDescent="0.5">
      <c r="A111" s="170" t="str">
        <f>Calculation!I92</f>
        <v/>
      </c>
      <c r="B111" s="221" t="str">
        <f ca="1">Calculation!B92</f>
        <v/>
      </c>
      <c r="C111" s="221" t="str">
        <f ca="1">Calculation!C92</f>
        <v/>
      </c>
      <c r="D111" s="172" t="str">
        <f ca="1">Calculation!AN92</f>
        <v/>
      </c>
      <c r="E111" s="173" t="str">
        <f ca="1">Calculation!D92</f>
        <v/>
      </c>
      <c r="F111" s="174" t="str">
        <f ca="1">Calculation!C92</f>
        <v/>
      </c>
      <c r="G111" s="175" t="str">
        <f ca="1">Calculation!F92</f>
        <v/>
      </c>
      <c r="H111" s="176" t="str">
        <f ca="1">Calculation!AD92</f>
        <v/>
      </c>
      <c r="I111" s="177" t="str">
        <f ca="1">Calculation!AE92</f>
        <v/>
      </c>
      <c r="J111" s="272" t="str">
        <f ca="1">IF(Calculation!Q92="","Selection",Calculation!Q92)</f>
        <v>Selection</v>
      </c>
      <c r="K111" s="179" t="str">
        <f ca="1">Calculation!T92</f>
        <v/>
      </c>
      <c r="L111" s="180" t="str">
        <f ca="1">Calculation!U92</f>
        <v>-</v>
      </c>
      <c r="M111" s="180" t="str">
        <f ca="1">Calculation!V92</f>
        <v>-</v>
      </c>
      <c r="N111" s="181"/>
      <c r="O111" s="180" t="str">
        <f ca="1">Calculation!X92</f>
        <v>-</v>
      </c>
      <c r="P111" s="180" t="str">
        <f ca="1">Calculation!Y92</f>
        <v>-</v>
      </c>
      <c r="Q111" s="273"/>
      <c r="R111" s="182" t="str">
        <f ca="1">IF(AND(L111&lt;&gt;"-",Q111&lt;&gt;"bypass"),IFERROR(IF((U111*$R$23/0.05)-SUM(S111:U111)&gt;0,(U111*$R$23/0.05)-SUM(S111:U111),0),"-"),Calculation!AH92)</f>
        <v>-</v>
      </c>
      <c r="S111" s="179" t="str">
        <f ca="1">IF(AND(L111&lt;&gt;"-",Q111&lt;&gt;"bypass"),IFERROR(X111*((H111*10^-12-H111*10^-12*I111)/(Calculation!$U$8*10^-9)),"-"),Calculation!AF92)</f>
        <v>-</v>
      </c>
      <c r="T111" s="179" t="str">
        <f ca="1">IF(AND(L111&lt;&gt;"-",Q111&lt;&gt;"bypass"),IFERROR(H111*I111*X111/(IF(Cluster!AA111=Cluster!$W$8,Cluster!$W$10,IF(Cluster!AA111=Cluster!$X$8,Cluster!$X$10,IF(Cluster!AA111=Cluster!$Y$8,Cluster!$Y$10,0)))*10^3),"-"),Calculation!AK92)</f>
        <v>-</v>
      </c>
      <c r="U111" s="179" t="str">
        <f ca="1">IF(AND(L111&lt;&gt;"-",Q111&lt;&gt;"bypass"),IFERROR((0.5/50)*X111/$R$23,"-"),Calculation!AG92)</f>
        <v>-</v>
      </c>
      <c r="V111" s="179" t="str">
        <f ca="1">IF(AND(L111&lt;&gt;"-",Q111&lt;&gt;"bypass"),IFERROR(5/50*X111,"-"),Calculation!AI92)</f>
        <v>-</v>
      </c>
      <c r="W111" s="179" t="str">
        <f ca="1">IF(AND(L111&lt;&gt;"-",Q111&lt;&gt;"bypass"),IFERROR(35/50*X111,"-"),Calculation!AJ92)</f>
        <v>-</v>
      </c>
      <c r="X111" s="179" t="str">
        <f ca="1">IF(AND(L111&lt;&gt;"-",Q111&lt;&gt;"bypass"),$W$23,Calculation!AL92)</f>
        <v>-</v>
      </c>
      <c r="Y111" s="183" t="str">
        <f ca="1">IF(AND(L111&lt;&gt;"-",Q111&lt;&gt;"bypass"),IFERROR($R$23*U111/SUM(R111:U111),"-"),Calculation!AP92)</f>
        <v>-</v>
      </c>
      <c r="Z111" s="184" t="str">
        <f t="shared" ca="1" si="5"/>
        <v>-</v>
      </c>
      <c r="AA111" s="185" t="str">
        <f ca="1">IFERROR(IF(I111=0,"-",IF(AND(ROUND(H111*I111*X111/($W$10*10^3),1)&gt;=Calculation!$O$6,ROUND((((U111)*$R$23/0.05)-((S111)+(H111*I111*X111/($W$10*10^3))+(U111))),1)&gt;=0),Cluster!$W$8,IF(AND(ROUND(H111*I111*X111/($X$10*10^3),1)&gt;=Calculation!$O$6,ROUND((((U111)*$R$23/0.05)-((S111)+(H111*I111*X111/($X$10*10^3))+(U111))),1)&gt;=0),Cluster!$X$8,IF(AND(ROUND(H111*I111*X111/($Y$10*10^3),1)&gt;=Calculation!$O$6,ROUND((((U111)*$R$23/0.05)-((S111)+(H111*I111*X111/($Y$10*10^3))+(U111))),1)&gt;=0),Cluster!$Y$8,"Recepie by hand needed")))),"-")</f>
        <v>-</v>
      </c>
      <c r="AC111" s="37" t="str">
        <f t="shared" ca="1" si="6"/>
        <v>-</v>
      </c>
      <c r="AD111" s="37" t="str">
        <f t="shared" ca="1" si="7"/>
        <v>-</v>
      </c>
      <c r="AE111" s="220" t="str">
        <f t="shared" ca="1" si="8"/>
        <v>-</v>
      </c>
      <c r="AF111" s="37" t="str">
        <f t="shared" ca="1" si="9"/>
        <v>-</v>
      </c>
    </row>
    <row r="112" spans="1:32" ht="14.25" x14ac:dyDescent="0.5">
      <c r="A112" s="170" t="str">
        <f>Calculation!I93</f>
        <v/>
      </c>
      <c r="B112" s="221" t="str">
        <f ca="1">Calculation!B93</f>
        <v/>
      </c>
      <c r="C112" s="221" t="str">
        <f ca="1">Calculation!C93</f>
        <v/>
      </c>
      <c r="D112" s="172" t="str">
        <f ca="1">Calculation!AN93</f>
        <v/>
      </c>
      <c r="E112" s="173" t="str">
        <f ca="1">Calculation!D93</f>
        <v/>
      </c>
      <c r="F112" s="174" t="str">
        <f ca="1">Calculation!C93</f>
        <v/>
      </c>
      <c r="G112" s="175" t="str">
        <f ca="1">Calculation!F93</f>
        <v/>
      </c>
      <c r="H112" s="176" t="str">
        <f ca="1">Calculation!AD93</f>
        <v/>
      </c>
      <c r="I112" s="177" t="str">
        <f ca="1">Calculation!AE93</f>
        <v/>
      </c>
      <c r="J112" s="272" t="str">
        <f ca="1">IF(Calculation!Q93="","Selection",Calculation!Q93)</f>
        <v>Selection</v>
      </c>
      <c r="K112" s="179" t="str">
        <f ca="1">Calculation!T93</f>
        <v/>
      </c>
      <c r="L112" s="180" t="str">
        <f ca="1">Calculation!U93</f>
        <v>-</v>
      </c>
      <c r="M112" s="180" t="str">
        <f ca="1">Calculation!V93</f>
        <v>-</v>
      </c>
      <c r="N112" s="181"/>
      <c r="O112" s="180" t="str">
        <f ca="1">Calculation!X93</f>
        <v>-</v>
      </c>
      <c r="P112" s="180" t="str">
        <f ca="1">Calculation!Y93</f>
        <v>-</v>
      </c>
      <c r="Q112" s="273"/>
      <c r="R112" s="182" t="str">
        <f ca="1">IF(AND(L112&lt;&gt;"-",Q112&lt;&gt;"bypass"),IFERROR(IF((U112*$R$23/0.05)-SUM(S112:U112)&gt;0,(U112*$R$23/0.05)-SUM(S112:U112),0),"-"),Calculation!AH93)</f>
        <v>-</v>
      </c>
      <c r="S112" s="179" t="str">
        <f ca="1">IF(AND(L112&lt;&gt;"-",Q112&lt;&gt;"bypass"),IFERROR(X112*((H112*10^-12-H112*10^-12*I112)/(Calculation!$U$8*10^-9)),"-"),Calculation!AF93)</f>
        <v>-</v>
      </c>
      <c r="T112" s="179" t="str">
        <f ca="1">IF(AND(L112&lt;&gt;"-",Q112&lt;&gt;"bypass"),IFERROR(H112*I112*X112/(IF(Cluster!AA112=Cluster!$W$8,Cluster!$W$10,IF(Cluster!AA112=Cluster!$X$8,Cluster!$X$10,IF(Cluster!AA112=Cluster!$Y$8,Cluster!$Y$10,0)))*10^3),"-"),Calculation!AK93)</f>
        <v>-</v>
      </c>
      <c r="U112" s="179" t="str">
        <f ca="1">IF(AND(L112&lt;&gt;"-",Q112&lt;&gt;"bypass"),IFERROR((0.5/50)*X112/$R$23,"-"),Calculation!AG93)</f>
        <v>-</v>
      </c>
      <c r="V112" s="179" t="str">
        <f ca="1">IF(AND(L112&lt;&gt;"-",Q112&lt;&gt;"bypass"),IFERROR(5/50*X112,"-"),Calculation!AI93)</f>
        <v>-</v>
      </c>
      <c r="W112" s="179" t="str">
        <f ca="1">IF(AND(L112&lt;&gt;"-",Q112&lt;&gt;"bypass"),IFERROR(35/50*X112,"-"),Calculation!AJ93)</f>
        <v>-</v>
      </c>
      <c r="X112" s="179" t="str">
        <f ca="1">IF(AND(L112&lt;&gt;"-",Q112&lt;&gt;"bypass"),$W$23,Calculation!AL93)</f>
        <v>-</v>
      </c>
      <c r="Y112" s="183" t="str">
        <f ca="1">IF(AND(L112&lt;&gt;"-",Q112&lt;&gt;"bypass"),IFERROR($R$23*U112/SUM(R112:U112),"-"),Calculation!AP93)</f>
        <v>-</v>
      </c>
      <c r="Z112" s="184" t="str">
        <f t="shared" ca="1" si="5"/>
        <v>-</v>
      </c>
      <c r="AA112" s="185" t="str">
        <f ca="1">IFERROR(IF(I112=0,"-",IF(AND(ROUND(H112*I112*X112/($W$10*10^3),1)&gt;=Calculation!$O$6,ROUND((((U112)*$R$23/0.05)-((S112)+(H112*I112*X112/($W$10*10^3))+(U112))),1)&gt;=0),Cluster!$W$8,IF(AND(ROUND(H112*I112*X112/($X$10*10^3),1)&gt;=Calculation!$O$6,ROUND((((U112)*$R$23/0.05)-((S112)+(H112*I112*X112/($X$10*10^3))+(U112))),1)&gt;=0),Cluster!$X$8,IF(AND(ROUND(H112*I112*X112/($Y$10*10^3),1)&gt;=Calculation!$O$6,ROUND((((U112)*$R$23/0.05)-((S112)+(H112*I112*X112/($Y$10*10^3))+(U112))),1)&gt;=0),Cluster!$Y$8,"Recepie by hand needed")))),"-")</f>
        <v>-</v>
      </c>
      <c r="AC112" s="37" t="str">
        <f t="shared" ca="1" si="6"/>
        <v>-</v>
      </c>
      <c r="AD112" s="37" t="str">
        <f t="shared" ca="1" si="7"/>
        <v>-</v>
      </c>
      <c r="AE112" s="220" t="str">
        <f t="shared" ca="1" si="8"/>
        <v>-</v>
      </c>
      <c r="AF112" s="37" t="str">
        <f t="shared" ca="1" si="9"/>
        <v>-</v>
      </c>
    </row>
    <row r="113" spans="1:32" ht="14.25" x14ac:dyDescent="0.5">
      <c r="A113" s="170" t="str">
        <f>Calculation!I94</f>
        <v/>
      </c>
      <c r="B113" s="221" t="str">
        <f ca="1">Calculation!B94</f>
        <v/>
      </c>
      <c r="C113" s="221" t="str">
        <f ca="1">Calculation!C94</f>
        <v/>
      </c>
      <c r="D113" s="172" t="str">
        <f ca="1">Calculation!AN94</f>
        <v/>
      </c>
      <c r="E113" s="173" t="str">
        <f ca="1">Calculation!D94</f>
        <v/>
      </c>
      <c r="F113" s="174" t="str">
        <f ca="1">Calculation!C94</f>
        <v/>
      </c>
      <c r="G113" s="175" t="str">
        <f ca="1">Calculation!F94</f>
        <v/>
      </c>
      <c r="H113" s="176" t="str">
        <f ca="1">Calculation!AD94</f>
        <v/>
      </c>
      <c r="I113" s="177" t="str">
        <f ca="1">Calculation!AE94</f>
        <v/>
      </c>
      <c r="J113" s="272" t="str">
        <f ca="1">IF(Calculation!Q94="","Selection",Calculation!Q94)</f>
        <v>Selection</v>
      </c>
      <c r="K113" s="179" t="str">
        <f ca="1">Calculation!T94</f>
        <v/>
      </c>
      <c r="L113" s="180" t="str">
        <f ca="1">Calculation!U94</f>
        <v>-</v>
      </c>
      <c r="M113" s="180" t="str">
        <f ca="1">Calculation!V94</f>
        <v>-</v>
      </c>
      <c r="N113" s="181"/>
      <c r="O113" s="180" t="str">
        <f ca="1">Calculation!X94</f>
        <v>-</v>
      </c>
      <c r="P113" s="180" t="str">
        <f ca="1">Calculation!Y94</f>
        <v>-</v>
      </c>
      <c r="Q113" s="273"/>
      <c r="R113" s="182" t="str">
        <f ca="1">IF(AND(L113&lt;&gt;"-",Q113&lt;&gt;"bypass"),IFERROR(IF((U113*$R$23/0.05)-SUM(S113:U113)&gt;0,(U113*$R$23/0.05)-SUM(S113:U113),0),"-"),Calculation!AH94)</f>
        <v>-</v>
      </c>
      <c r="S113" s="179" t="str">
        <f ca="1">IF(AND(L113&lt;&gt;"-",Q113&lt;&gt;"bypass"),IFERROR(X113*((H113*10^-12-H113*10^-12*I113)/(Calculation!$U$8*10^-9)),"-"),Calculation!AF94)</f>
        <v>-</v>
      </c>
      <c r="T113" s="179" t="str">
        <f ca="1">IF(AND(L113&lt;&gt;"-",Q113&lt;&gt;"bypass"),IFERROR(H113*I113*X113/(IF(Cluster!AA113=Cluster!$W$8,Cluster!$W$10,IF(Cluster!AA113=Cluster!$X$8,Cluster!$X$10,IF(Cluster!AA113=Cluster!$Y$8,Cluster!$Y$10,0)))*10^3),"-"),Calculation!AK94)</f>
        <v>-</v>
      </c>
      <c r="U113" s="179" t="str">
        <f ca="1">IF(AND(L113&lt;&gt;"-",Q113&lt;&gt;"bypass"),IFERROR((0.5/50)*X113/$R$23,"-"),Calculation!AG94)</f>
        <v>-</v>
      </c>
      <c r="V113" s="179" t="str">
        <f ca="1">IF(AND(L113&lt;&gt;"-",Q113&lt;&gt;"bypass"),IFERROR(5/50*X113,"-"),Calculation!AI94)</f>
        <v>-</v>
      </c>
      <c r="W113" s="179" t="str">
        <f ca="1">IF(AND(L113&lt;&gt;"-",Q113&lt;&gt;"bypass"),IFERROR(35/50*X113,"-"),Calculation!AJ94)</f>
        <v>-</v>
      </c>
      <c r="X113" s="179" t="str">
        <f ca="1">IF(AND(L113&lt;&gt;"-",Q113&lt;&gt;"bypass"),$W$23,Calculation!AL94)</f>
        <v>-</v>
      </c>
      <c r="Y113" s="183" t="str">
        <f ca="1">IF(AND(L113&lt;&gt;"-",Q113&lt;&gt;"bypass"),IFERROR($R$23*U113/SUM(R113:U113),"-"),Calculation!AP94)</f>
        <v>-</v>
      </c>
      <c r="Z113" s="184" t="str">
        <f t="shared" ca="1" si="5"/>
        <v>-</v>
      </c>
      <c r="AA113" s="185" t="str">
        <f ca="1">IFERROR(IF(I113=0,"-",IF(AND(ROUND(H113*I113*X113/($W$10*10^3),1)&gt;=Calculation!$O$6,ROUND((((U113)*$R$23/0.05)-((S113)+(H113*I113*X113/($W$10*10^3))+(U113))),1)&gt;=0),Cluster!$W$8,IF(AND(ROUND(H113*I113*X113/($X$10*10^3),1)&gt;=Calculation!$O$6,ROUND((((U113)*$R$23/0.05)-((S113)+(H113*I113*X113/($X$10*10^3))+(U113))),1)&gt;=0),Cluster!$X$8,IF(AND(ROUND(H113*I113*X113/($Y$10*10^3),1)&gt;=Calculation!$O$6,ROUND((((U113)*$R$23/0.05)-((S113)+(H113*I113*X113/($Y$10*10^3))+(U113))),1)&gt;=0),Cluster!$Y$8,"Recepie by hand needed")))),"-")</f>
        <v>-</v>
      </c>
      <c r="AC113" s="37" t="str">
        <f t="shared" ca="1" si="6"/>
        <v>-</v>
      </c>
      <c r="AD113" s="37" t="str">
        <f t="shared" ca="1" si="7"/>
        <v>-</v>
      </c>
      <c r="AE113" s="220" t="str">
        <f t="shared" ca="1" si="8"/>
        <v>-</v>
      </c>
      <c r="AF113" s="37" t="str">
        <f t="shared" ca="1" si="9"/>
        <v>-</v>
      </c>
    </row>
    <row r="114" spans="1:32" ht="14.25" x14ac:dyDescent="0.5">
      <c r="A114" s="170" t="str">
        <f>Calculation!I95</f>
        <v/>
      </c>
      <c r="B114" s="221" t="str">
        <f ca="1">Calculation!B95</f>
        <v/>
      </c>
      <c r="C114" s="221" t="str">
        <f ca="1">Calculation!C95</f>
        <v/>
      </c>
      <c r="D114" s="172" t="str">
        <f ca="1">Calculation!AN95</f>
        <v/>
      </c>
      <c r="E114" s="173" t="str">
        <f ca="1">Calculation!D95</f>
        <v/>
      </c>
      <c r="F114" s="174" t="str">
        <f ca="1">Calculation!C95</f>
        <v/>
      </c>
      <c r="G114" s="175" t="str">
        <f ca="1">Calculation!F95</f>
        <v/>
      </c>
      <c r="H114" s="176" t="str">
        <f ca="1">Calculation!AD95</f>
        <v/>
      </c>
      <c r="I114" s="177" t="str">
        <f ca="1">Calculation!AE95</f>
        <v/>
      </c>
      <c r="J114" s="272" t="str">
        <f ca="1">IF(Calculation!Q95="","Selection",Calculation!Q95)</f>
        <v>Selection</v>
      </c>
      <c r="K114" s="179" t="str">
        <f ca="1">Calculation!T95</f>
        <v/>
      </c>
      <c r="L114" s="180" t="str">
        <f ca="1">Calculation!U95</f>
        <v>-</v>
      </c>
      <c r="M114" s="180" t="str">
        <f ca="1">Calculation!V95</f>
        <v>-</v>
      </c>
      <c r="N114" s="181"/>
      <c r="O114" s="180" t="str">
        <f ca="1">Calculation!X95</f>
        <v>-</v>
      </c>
      <c r="P114" s="180" t="str">
        <f ca="1">Calculation!Y95</f>
        <v>-</v>
      </c>
      <c r="Q114" s="273"/>
      <c r="R114" s="182" t="str">
        <f ca="1">IF(AND(L114&lt;&gt;"-",Q114&lt;&gt;"bypass"),IFERROR(IF((U114*$R$23/0.05)-SUM(S114:U114)&gt;0,(U114*$R$23/0.05)-SUM(S114:U114),0),"-"),Calculation!AH95)</f>
        <v>-</v>
      </c>
      <c r="S114" s="179" t="str">
        <f ca="1">IF(AND(L114&lt;&gt;"-",Q114&lt;&gt;"bypass"),IFERROR(X114*((H114*10^-12-H114*10^-12*I114)/(Calculation!$U$8*10^-9)),"-"),Calculation!AF95)</f>
        <v>-</v>
      </c>
      <c r="T114" s="179" t="str">
        <f ca="1">IF(AND(L114&lt;&gt;"-",Q114&lt;&gt;"bypass"),IFERROR(H114*I114*X114/(IF(Cluster!AA114=Cluster!$W$8,Cluster!$W$10,IF(Cluster!AA114=Cluster!$X$8,Cluster!$X$10,IF(Cluster!AA114=Cluster!$Y$8,Cluster!$Y$10,0)))*10^3),"-"),Calculation!AK95)</f>
        <v>-</v>
      </c>
      <c r="U114" s="179" t="str">
        <f ca="1">IF(AND(L114&lt;&gt;"-",Q114&lt;&gt;"bypass"),IFERROR((0.5/50)*X114/$R$23,"-"),Calculation!AG95)</f>
        <v>-</v>
      </c>
      <c r="V114" s="179" t="str">
        <f ca="1">IF(AND(L114&lt;&gt;"-",Q114&lt;&gt;"bypass"),IFERROR(5/50*X114,"-"),Calculation!AI95)</f>
        <v>-</v>
      </c>
      <c r="W114" s="179" t="str">
        <f ca="1">IF(AND(L114&lt;&gt;"-",Q114&lt;&gt;"bypass"),IFERROR(35/50*X114,"-"),Calculation!AJ95)</f>
        <v>-</v>
      </c>
      <c r="X114" s="179" t="str">
        <f ca="1">IF(AND(L114&lt;&gt;"-",Q114&lt;&gt;"bypass"),$W$23,Calculation!AL95)</f>
        <v>-</v>
      </c>
      <c r="Y114" s="183" t="str">
        <f ca="1">IF(AND(L114&lt;&gt;"-",Q114&lt;&gt;"bypass"),IFERROR($R$23*U114/SUM(R114:U114),"-"),Calculation!AP95)</f>
        <v>-</v>
      </c>
      <c r="Z114" s="184" t="str">
        <f t="shared" ca="1" si="5"/>
        <v>-</v>
      </c>
      <c r="AA114" s="185" t="str">
        <f ca="1">IFERROR(IF(I114=0,"-",IF(AND(ROUND(H114*I114*X114/($W$10*10^3),1)&gt;=Calculation!$O$6,ROUND((((U114)*$R$23/0.05)-((S114)+(H114*I114*X114/($W$10*10^3))+(U114))),1)&gt;=0),Cluster!$W$8,IF(AND(ROUND(H114*I114*X114/($X$10*10^3),1)&gt;=Calculation!$O$6,ROUND((((U114)*$R$23/0.05)-((S114)+(H114*I114*X114/($X$10*10^3))+(U114))),1)&gt;=0),Cluster!$X$8,IF(AND(ROUND(H114*I114*X114/($Y$10*10^3),1)&gt;=Calculation!$O$6,ROUND((((U114)*$R$23/0.05)-((S114)+(H114*I114*X114/($Y$10*10^3))+(U114))),1)&gt;=0),Cluster!$Y$8,"Recepie by hand needed")))),"-")</f>
        <v>-</v>
      </c>
      <c r="AC114" s="37" t="str">
        <f t="shared" ca="1" si="6"/>
        <v>-</v>
      </c>
      <c r="AD114" s="37" t="str">
        <f t="shared" ca="1" si="7"/>
        <v>-</v>
      </c>
      <c r="AE114" s="220" t="str">
        <f t="shared" ca="1" si="8"/>
        <v>-</v>
      </c>
      <c r="AF114" s="37" t="str">
        <f t="shared" ca="1" si="9"/>
        <v>-</v>
      </c>
    </row>
    <row r="115" spans="1:32" ht="14.25" x14ac:dyDescent="0.5">
      <c r="A115" s="170" t="str">
        <f>Calculation!I96</f>
        <v/>
      </c>
      <c r="B115" s="221" t="str">
        <f ca="1">Calculation!B96</f>
        <v/>
      </c>
      <c r="C115" s="221" t="str">
        <f ca="1">Calculation!C96</f>
        <v/>
      </c>
      <c r="D115" s="172" t="str">
        <f ca="1">Calculation!AN96</f>
        <v/>
      </c>
      <c r="E115" s="173" t="str">
        <f ca="1">Calculation!D96</f>
        <v/>
      </c>
      <c r="F115" s="174" t="str">
        <f ca="1">Calculation!C96</f>
        <v/>
      </c>
      <c r="G115" s="175" t="str">
        <f ca="1">Calculation!F96</f>
        <v/>
      </c>
      <c r="H115" s="176" t="str">
        <f ca="1">Calculation!AD96</f>
        <v/>
      </c>
      <c r="I115" s="177" t="str">
        <f ca="1">Calculation!AE96</f>
        <v/>
      </c>
      <c r="J115" s="272" t="str">
        <f ca="1">IF(Calculation!Q96="","Selection",Calculation!Q96)</f>
        <v>Selection</v>
      </c>
      <c r="K115" s="179" t="str">
        <f ca="1">Calculation!T96</f>
        <v/>
      </c>
      <c r="L115" s="180" t="str">
        <f ca="1">Calculation!U96</f>
        <v>-</v>
      </c>
      <c r="M115" s="180" t="str">
        <f ca="1">Calculation!V96</f>
        <v>-</v>
      </c>
      <c r="N115" s="181"/>
      <c r="O115" s="180" t="str">
        <f ca="1">Calculation!X96</f>
        <v>-</v>
      </c>
      <c r="P115" s="180" t="str">
        <f ca="1">Calculation!Y96</f>
        <v>-</v>
      </c>
      <c r="Q115" s="273"/>
      <c r="R115" s="182" t="str">
        <f ca="1">IF(AND(L115&lt;&gt;"-",Q115&lt;&gt;"bypass"),IFERROR(IF((U115*$R$23/0.05)-SUM(S115:U115)&gt;0,(U115*$R$23/0.05)-SUM(S115:U115),0),"-"),Calculation!AH96)</f>
        <v>-</v>
      </c>
      <c r="S115" s="179" t="str">
        <f ca="1">IF(AND(L115&lt;&gt;"-",Q115&lt;&gt;"bypass"),IFERROR(X115*((H115*10^-12-H115*10^-12*I115)/(Calculation!$U$8*10^-9)),"-"),Calculation!AF96)</f>
        <v>-</v>
      </c>
      <c r="T115" s="179" t="str">
        <f ca="1">IF(AND(L115&lt;&gt;"-",Q115&lt;&gt;"bypass"),IFERROR(H115*I115*X115/(IF(Cluster!AA115=Cluster!$W$8,Cluster!$W$10,IF(Cluster!AA115=Cluster!$X$8,Cluster!$X$10,IF(Cluster!AA115=Cluster!$Y$8,Cluster!$Y$10,0)))*10^3),"-"),Calculation!AK96)</f>
        <v>-</v>
      </c>
      <c r="U115" s="179" t="str">
        <f ca="1">IF(AND(L115&lt;&gt;"-",Q115&lt;&gt;"bypass"),IFERROR((0.5/50)*X115/$R$23,"-"),Calculation!AG96)</f>
        <v>-</v>
      </c>
      <c r="V115" s="179" t="str">
        <f ca="1">IF(AND(L115&lt;&gt;"-",Q115&lt;&gt;"bypass"),IFERROR(5/50*X115,"-"),Calculation!AI96)</f>
        <v>-</v>
      </c>
      <c r="W115" s="179" t="str">
        <f ca="1">IF(AND(L115&lt;&gt;"-",Q115&lt;&gt;"bypass"),IFERROR(35/50*X115,"-"),Calculation!AJ96)</f>
        <v>-</v>
      </c>
      <c r="X115" s="179" t="str">
        <f ca="1">IF(AND(L115&lt;&gt;"-",Q115&lt;&gt;"bypass"),$W$23,Calculation!AL96)</f>
        <v>-</v>
      </c>
      <c r="Y115" s="183" t="str">
        <f ca="1">IF(AND(L115&lt;&gt;"-",Q115&lt;&gt;"bypass"),IFERROR($R$23*U115/SUM(R115:U115),"-"),Calculation!AP96)</f>
        <v>-</v>
      </c>
      <c r="Z115" s="184" t="str">
        <f t="shared" ca="1" si="5"/>
        <v>-</v>
      </c>
      <c r="AA115" s="185" t="str">
        <f ca="1">IFERROR(IF(I115=0,"-",IF(AND(ROUND(H115*I115*X115/($W$10*10^3),1)&gt;=Calculation!$O$6,ROUND((((U115)*$R$23/0.05)-((S115)+(H115*I115*X115/($W$10*10^3))+(U115))),1)&gt;=0),Cluster!$W$8,IF(AND(ROUND(H115*I115*X115/($X$10*10^3),1)&gt;=Calculation!$O$6,ROUND((((U115)*$R$23/0.05)-((S115)+(H115*I115*X115/($X$10*10^3))+(U115))),1)&gt;=0),Cluster!$X$8,IF(AND(ROUND(H115*I115*X115/($Y$10*10^3),1)&gt;=Calculation!$O$6,ROUND((((U115)*$R$23/0.05)-((S115)+(H115*I115*X115/($Y$10*10^3))+(U115))),1)&gt;=0),Cluster!$Y$8,"Recepie by hand needed")))),"-")</f>
        <v>-</v>
      </c>
      <c r="AC115" s="37" t="str">
        <f t="shared" ca="1" si="6"/>
        <v>-</v>
      </c>
      <c r="AD115" s="37" t="str">
        <f t="shared" ca="1" si="7"/>
        <v>-</v>
      </c>
      <c r="AE115" s="220" t="str">
        <f t="shared" ca="1" si="8"/>
        <v>-</v>
      </c>
      <c r="AF115" s="37" t="str">
        <f t="shared" ca="1" si="9"/>
        <v>-</v>
      </c>
    </row>
    <row r="116" spans="1:32" ht="14.25" x14ac:dyDescent="0.5">
      <c r="A116" s="170" t="str">
        <f>Calculation!I97</f>
        <v/>
      </c>
      <c r="B116" s="221" t="str">
        <f ca="1">Calculation!B97</f>
        <v/>
      </c>
      <c r="C116" s="221" t="str">
        <f ca="1">Calculation!C97</f>
        <v/>
      </c>
      <c r="D116" s="172" t="str">
        <f ca="1">Calculation!AN97</f>
        <v/>
      </c>
      <c r="E116" s="173" t="str">
        <f ca="1">Calculation!D97</f>
        <v/>
      </c>
      <c r="F116" s="174" t="str">
        <f ca="1">Calculation!C97</f>
        <v/>
      </c>
      <c r="G116" s="175" t="str">
        <f ca="1">Calculation!F97</f>
        <v/>
      </c>
      <c r="H116" s="176" t="str">
        <f ca="1">Calculation!AD97</f>
        <v/>
      </c>
      <c r="I116" s="177" t="str">
        <f ca="1">Calculation!AE97</f>
        <v/>
      </c>
      <c r="J116" s="272" t="str">
        <f ca="1">IF(Calculation!Q97="","Selection",Calculation!Q97)</f>
        <v>Selection</v>
      </c>
      <c r="K116" s="179" t="str">
        <f ca="1">Calculation!T97</f>
        <v/>
      </c>
      <c r="L116" s="180" t="str">
        <f ca="1">Calculation!U97</f>
        <v>-</v>
      </c>
      <c r="M116" s="180" t="str">
        <f ca="1">Calculation!V97</f>
        <v>-</v>
      </c>
      <c r="N116" s="181"/>
      <c r="O116" s="180" t="str">
        <f ca="1">Calculation!X97</f>
        <v>-</v>
      </c>
      <c r="P116" s="180" t="str">
        <f ca="1">Calculation!Y97</f>
        <v>-</v>
      </c>
      <c r="Q116" s="273"/>
      <c r="R116" s="182" t="str">
        <f ca="1">IF(AND(L116&lt;&gt;"-",Q116&lt;&gt;"bypass"),IFERROR(IF((U116*$R$23/0.05)-SUM(S116:U116)&gt;0,(U116*$R$23/0.05)-SUM(S116:U116),0),"-"),Calculation!AH97)</f>
        <v>-</v>
      </c>
      <c r="S116" s="179" t="str">
        <f ca="1">IF(AND(L116&lt;&gt;"-",Q116&lt;&gt;"bypass"),IFERROR(X116*((H116*10^-12-H116*10^-12*I116)/(Calculation!$U$8*10^-9)),"-"),Calculation!AF97)</f>
        <v>-</v>
      </c>
      <c r="T116" s="179" t="str">
        <f ca="1">IF(AND(L116&lt;&gt;"-",Q116&lt;&gt;"bypass"),IFERROR(H116*I116*X116/(IF(Cluster!AA116=Cluster!$W$8,Cluster!$W$10,IF(Cluster!AA116=Cluster!$X$8,Cluster!$X$10,IF(Cluster!AA116=Cluster!$Y$8,Cluster!$Y$10,0)))*10^3),"-"),Calculation!AK97)</f>
        <v>-</v>
      </c>
      <c r="U116" s="179" t="str">
        <f ca="1">IF(AND(L116&lt;&gt;"-",Q116&lt;&gt;"bypass"),IFERROR((0.5/50)*X116/$R$23,"-"),Calculation!AG97)</f>
        <v>-</v>
      </c>
      <c r="V116" s="179" t="str">
        <f ca="1">IF(AND(L116&lt;&gt;"-",Q116&lt;&gt;"bypass"),IFERROR(5/50*X116,"-"),Calculation!AI97)</f>
        <v>-</v>
      </c>
      <c r="W116" s="179" t="str">
        <f ca="1">IF(AND(L116&lt;&gt;"-",Q116&lt;&gt;"bypass"),IFERROR(35/50*X116,"-"),Calculation!AJ97)</f>
        <v>-</v>
      </c>
      <c r="X116" s="179" t="str">
        <f ca="1">IF(AND(L116&lt;&gt;"-",Q116&lt;&gt;"bypass"),$W$23,Calculation!AL97)</f>
        <v>-</v>
      </c>
      <c r="Y116" s="183" t="str">
        <f ca="1">IF(AND(L116&lt;&gt;"-",Q116&lt;&gt;"bypass"),IFERROR($R$23*U116/SUM(R116:U116),"-"),Calculation!AP97)</f>
        <v>-</v>
      </c>
      <c r="Z116" s="184" t="str">
        <f t="shared" ca="1" si="5"/>
        <v>-</v>
      </c>
      <c r="AA116" s="185" t="str">
        <f ca="1">IFERROR(IF(I116=0,"-",IF(AND(ROUND(H116*I116*X116/($W$10*10^3),1)&gt;=Calculation!$O$6,ROUND((((U116)*$R$23/0.05)-((S116)+(H116*I116*X116/($W$10*10^3))+(U116))),1)&gt;=0),Cluster!$W$8,IF(AND(ROUND(H116*I116*X116/($X$10*10^3),1)&gt;=Calculation!$O$6,ROUND((((U116)*$R$23/0.05)-((S116)+(H116*I116*X116/($X$10*10^3))+(U116))),1)&gt;=0),Cluster!$X$8,IF(AND(ROUND(H116*I116*X116/($Y$10*10^3),1)&gt;=Calculation!$O$6,ROUND((((U116)*$R$23/0.05)-((S116)+(H116*I116*X116/($Y$10*10^3))+(U116))),1)&gt;=0),Cluster!$Y$8,"Recepie by hand needed")))),"-")</f>
        <v>-</v>
      </c>
      <c r="AC116" s="37" t="str">
        <f t="shared" ca="1" si="6"/>
        <v>-</v>
      </c>
      <c r="AD116" s="37" t="str">
        <f t="shared" ca="1" si="7"/>
        <v>-</v>
      </c>
      <c r="AE116" s="220" t="str">
        <f t="shared" ca="1" si="8"/>
        <v>-</v>
      </c>
      <c r="AF116" s="37" t="str">
        <f t="shared" ca="1" si="9"/>
        <v>-</v>
      </c>
    </row>
    <row r="117" spans="1:32" ht="14.25" x14ac:dyDescent="0.5">
      <c r="A117" s="170" t="str">
        <f>Calculation!I98</f>
        <v/>
      </c>
      <c r="B117" s="221" t="str">
        <f ca="1">Calculation!B98</f>
        <v/>
      </c>
      <c r="C117" s="221" t="str">
        <f ca="1">Calculation!C98</f>
        <v/>
      </c>
      <c r="D117" s="172" t="str">
        <f ca="1">Calculation!AN98</f>
        <v/>
      </c>
      <c r="E117" s="173" t="str">
        <f ca="1">Calculation!D98</f>
        <v/>
      </c>
      <c r="F117" s="174" t="str">
        <f ca="1">Calculation!C98</f>
        <v/>
      </c>
      <c r="G117" s="175" t="str">
        <f ca="1">Calculation!F98</f>
        <v/>
      </c>
      <c r="H117" s="176" t="str">
        <f ca="1">Calculation!AD98</f>
        <v/>
      </c>
      <c r="I117" s="177" t="str">
        <f ca="1">Calculation!AE98</f>
        <v/>
      </c>
      <c r="J117" s="272" t="str">
        <f ca="1">IF(Calculation!Q98="","Selection",Calculation!Q98)</f>
        <v>Selection</v>
      </c>
      <c r="K117" s="179" t="str">
        <f ca="1">Calculation!T98</f>
        <v/>
      </c>
      <c r="L117" s="180" t="str">
        <f ca="1">Calculation!U98</f>
        <v>-</v>
      </c>
      <c r="M117" s="180" t="str">
        <f ca="1">Calculation!V98</f>
        <v>-</v>
      </c>
      <c r="N117" s="181"/>
      <c r="O117" s="180" t="str">
        <f ca="1">Calculation!X98</f>
        <v>-</v>
      </c>
      <c r="P117" s="180" t="str">
        <f ca="1">Calculation!Y98</f>
        <v>-</v>
      </c>
      <c r="Q117" s="273"/>
      <c r="R117" s="182" t="str">
        <f ca="1">IF(AND(L117&lt;&gt;"-",Q117&lt;&gt;"bypass"),IFERROR(IF((U117*$R$23/0.05)-SUM(S117:U117)&gt;0,(U117*$R$23/0.05)-SUM(S117:U117),0),"-"),Calculation!AH98)</f>
        <v>-</v>
      </c>
      <c r="S117" s="179" t="str">
        <f ca="1">IF(AND(L117&lt;&gt;"-",Q117&lt;&gt;"bypass"),IFERROR(X117*((H117*10^-12-H117*10^-12*I117)/(Calculation!$U$8*10^-9)),"-"),Calculation!AF98)</f>
        <v>-</v>
      </c>
      <c r="T117" s="179" t="str">
        <f ca="1">IF(AND(L117&lt;&gt;"-",Q117&lt;&gt;"bypass"),IFERROR(H117*I117*X117/(IF(Cluster!AA117=Cluster!$W$8,Cluster!$W$10,IF(Cluster!AA117=Cluster!$X$8,Cluster!$X$10,IF(Cluster!AA117=Cluster!$Y$8,Cluster!$Y$10,0)))*10^3),"-"),Calculation!AK98)</f>
        <v>-</v>
      </c>
      <c r="U117" s="179" t="str">
        <f ca="1">IF(AND(L117&lt;&gt;"-",Q117&lt;&gt;"bypass"),IFERROR((0.5/50)*X117/$R$23,"-"),Calculation!AG98)</f>
        <v>-</v>
      </c>
      <c r="V117" s="179" t="str">
        <f ca="1">IF(AND(L117&lt;&gt;"-",Q117&lt;&gt;"bypass"),IFERROR(5/50*X117,"-"),Calculation!AI98)</f>
        <v>-</v>
      </c>
      <c r="W117" s="179" t="str">
        <f ca="1">IF(AND(L117&lt;&gt;"-",Q117&lt;&gt;"bypass"),IFERROR(35/50*X117,"-"),Calculation!AJ98)</f>
        <v>-</v>
      </c>
      <c r="X117" s="179" t="str">
        <f ca="1">IF(AND(L117&lt;&gt;"-",Q117&lt;&gt;"bypass"),$W$23,Calculation!AL98)</f>
        <v>-</v>
      </c>
      <c r="Y117" s="183" t="str">
        <f ca="1">IF(AND(L117&lt;&gt;"-",Q117&lt;&gt;"bypass"),IFERROR($R$23*U117/SUM(R117:U117),"-"),Calculation!AP98)</f>
        <v>-</v>
      </c>
      <c r="Z117" s="184" t="str">
        <f t="shared" ca="1" si="5"/>
        <v>-</v>
      </c>
      <c r="AA117" s="185" t="str">
        <f ca="1">IFERROR(IF(I117=0,"-",IF(AND(ROUND(H117*I117*X117/($W$10*10^3),1)&gt;=Calculation!$O$6,ROUND((((U117)*$R$23/0.05)-((S117)+(H117*I117*X117/($W$10*10^3))+(U117))),1)&gt;=0),Cluster!$W$8,IF(AND(ROUND(H117*I117*X117/($X$10*10^3),1)&gt;=Calculation!$O$6,ROUND((((U117)*$R$23/0.05)-((S117)+(H117*I117*X117/($X$10*10^3))+(U117))),1)&gt;=0),Cluster!$X$8,IF(AND(ROUND(H117*I117*X117/($Y$10*10^3),1)&gt;=Calculation!$O$6,ROUND((((U117)*$R$23/0.05)-((S117)+(H117*I117*X117/($Y$10*10^3))+(U117))),1)&gt;=0),Cluster!$Y$8,"Recepie by hand needed")))),"-")</f>
        <v>-</v>
      </c>
      <c r="AC117" s="37" t="str">
        <f t="shared" ca="1" si="6"/>
        <v>-</v>
      </c>
      <c r="AD117" s="37" t="str">
        <f t="shared" ca="1" si="7"/>
        <v>-</v>
      </c>
      <c r="AE117" s="220" t="str">
        <f t="shared" ca="1" si="8"/>
        <v>-</v>
      </c>
      <c r="AF117" s="37" t="str">
        <f t="shared" ca="1" si="9"/>
        <v>-</v>
      </c>
    </row>
    <row r="118" spans="1:32" ht="14.25" x14ac:dyDescent="0.5">
      <c r="A118" s="170" t="str">
        <f>Calculation!I99</f>
        <v/>
      </c>
      <c r="B118" s="221" t="str">
        <f ca="1">Calculation!B99</f>
        <v/>
      </c>
      <c r="C118" s="221" t="str">
        <f ca="1">Calculation!C99</f>
        <v/>
      </c>
      <c r="D118" s="172" t="str">
        <f ca="1">Calculation!AN99</f>
        <v/>
      </c>
      <c r="E118" s="173" t="str">
        <f ca="1">Calculation!D99</f>
        <v/>
      </c>
      <c r="F118" s="174" t="str">
        <f ca="1">Calculation!C99</f>
        <v/>
      </c>
      <c r="G118" s="175" t="str">
        <f ca="1">Calculation!F99</f>
        <v/>
      </c>
      <c r="H118" s="176" t="str">
        <f ca="1">Calculation!AD99</f>
        <v/>
      </c>
      <c r="I118" s="177" t="str">
        <f ca="1">Calculation!AE99</f>
        <v/>
      </c>
      <c r="J118" s="272" t="str">
        <f ca="1">IF(Calculation!Q99="","Selection",Calculation!Q99)</f>
        <v>Selection</v>
      </c>
      <c r="K118" s="179" t="str">
        <f ca="1">Calculation!T99</f>
        <v/>
      </c>
      <c r="L118" s="180" t="str">
        <f ca="1">Calculation!U99</f>
        <v>-</v>
      </c>
      <c r="M118" s="180" t="str">
        <f ca="1">Calculation!V99</f>
        <v>-</v>
      </c>
      <c r="N118" s="181"/>
      <c r="O118" s="180" t="str">
        <f ca="1">Calculation!X99</f>
        <v>-</v>
      </c>
      <c r="P118" s="180" t="str">
        <f ca="1">Calculation!Y99</f>
        <v>-</v>
      </c>
      <c r="Q118" s="273"/>
      <c r="R118" s="182" t="str">
        <f ca="1">IF(AND(L118&lt;&gt;"-",Q118&lt;&gt;"bypass"),IFERROR(IF((U118*$R$23/0.05)-SUM(S118:U118)&gt;0,(U118*$R$23/0.05)-SUM(S118:U118),0),"-"),Calculation!AH99)</f>
        <v>-</v>
      </c>
      <c r="S118" s="179" t="str">
        <f ca="1">IF(AND(L118&lt;&gt;"-",Q118&lt;&gt;"bypass"),IFERROR(X118*((H118*10^-12-H118*10^-12*I118)/(Calculation!$U$8*10^-9)),"-"),Calculation!AF99)</f>
        <v>-</v>
      </c>
      <c r="T118" s="179" t="str">
        <f ca="1">IF(AND(L118&lt;&gt;"-",Q118&lt;&gt;"bypass"),IFERROR(H118*I118*X118/(IF(Cluster!AA118=Cluster!$W$8,Cluster!$W$10,IF(Cluster!AA118=Cluster!$X$8,Cluster!$X$10,IF(Cluster!AA118=Cluster!$Y$8,Cluster!$Y$10,0)))*10^3),"-"),Calculation!AK99)</f>
        <v>-</v>
      </c>
      <c r="U118" s="179" t="str">
        <f ca="1">IF(AND(L118&lt;&gt;"-",Q118&lt;&gt;"bypass"),IFERROR((0.5/50)*X118/$R$23,"-"),Calculation!AG99)</f>
        <v>-</v>
      </c>
      <c r="V118" s="179" t="str">
        <f ca="1">IF(AND(L118&lt;&gt;"-",Q118&lt;&gt;"bypass"),IFERROR(5/50*X118,"-"),Calculation!AI99)</f>
        <v>-</v>
      </c>
      <c r="W118" s="179" t="str">
        <f ca="1">IF(AND(L118&lt;&gt;"-",Q118&lt;&gt;"bypass"),IFERROR(35/50*X118,"-"),Calculation!AJ99)</f>
        <v>-</v>
      </c>
      <c r="X118" s="179" t="str">
        <f ca="1">IF(AND(L118&lt;&gt;"-",Q118&lt;&gt;"bypass"),$W$23,Calculation!AL99)</f>
        <v>-</v>
      </c>
      <c r="Y118" s="183" t="str">
        <f ca="1">IF(AND(L118&lt;&gt;"-",Q118&lt;&gt;"bypass"),IFERROR($R$23*U118/SUM(R118:U118),"-"),Calculation!AP99)</f>
        <v>-</v>
      </c>
      <c r="Z118" s="184" t="str">
        <f t="shared" ca="1" si="5"/>
        <v>-</v>
      </c>
      <c r="AA118" s="185" t="str">
        <f ca="1">IFERROR(IF(I118=0,"-",IF(AND(ROUND(H118*I118*X118/($W$10*10^3),1)&gt;=Calculation!$O$6,ROUND((((U118)*$R$23/0.05)-((S118)+(H118*I118*X118/($W$10*10^3))+(U118))),1)&gt;=0),Cluster!$W$8,IF(AND(ROUND(H118*I118*X118/($X$10*10^3),1)&gt;=Calculation!$O$6,ROUND((((U118)*$R$23/0.05)-((S118)+(H118*I118*X118/($X$10*10^3))+(U118))),1)&gt;=0),Cluster!$X$8,IF(AND(ROUND(H118*I118*X118/($Y$10*10^3),1)&gt;=Calculation!$O$6,ROUND((((U118)*$R$23/0.05)-((S118)+(H118*I118*X118/($Y$10*10^3))+(U118))),1)&gt;=0),Cluster!$Y$8,"Recepie by hand needed")))),"-")</f>
        <v>-</v>
      </c>
      <c r="AC118" s="37" t="str">
        <f t="shared" ca="1" si="6"/>
        <v>-</v>
      </c>
      <c r="AD118" s="37" t="str">
        <f t="shared" ca="1" si="7"/>
        <v>-</v>
      </c>
      <c r="AE118" s="220" t="str">
        <f t="shared" ca="1" si="8"/>
        <v>-</v>
      </c>
      <c r="AF118" s="37" t="str">
        <f t="shared" ca="1" si="9"/>
        <v>-</v>
      </c>
    </row>
    <row r="119" spans="1:32" ht="14.25" x14ac:dyDescent="0.5">
      <c r="A119" s="170" t="str">
        <f>Calculation!I100</f>
        <v/>
      </c>
      <c r="B119" s="221" t="str">
        <f ca="1">Calculation!B100</f>
        <v/>
      </c>
      <c r="C119" s="221" t="str">
        <f ca="1">Calculation!C100</f>
        <v/>
      </c>
      <c r="D119" s="172" t="str">
        <f ca="1">Calculation!AN100</f>
        <v/>
      </c>
      <c r="E119" s="173" t="str">
        <f ca="1">Calculation!D100</f>
        <v/>
      </c>
      <c r="F119" s="174" t="str">
        <f ca="1">Calculation!C100</f>
        <v/>
      </c>
      <c r="G119" s="175" t="str">
        <f ca="1">Calculation!F100</f>
        <v/>
      </c>
      <c r="H119" s="176" t="str">
        <f ca="1">Calculation!AD100</f>
        <v/>
      </c>
      <c r="I119" s="177" t="str">
        <f ca="1">Calculation!AE100</f>
        <v/>
      </c>
      <c r="J119" s="272" t="str">
        <f ca="1">IF(Calculation!Q100="","Selection",Calculation!Q100)</f>
        <v>Selection</v>
      </c>
      <c r="K119" s="179" t="str">
        <f ca="1">Calculation!T100</f>
        <v/>
      </c>
      <c r="L119" s="180" t="str">
        <f ca="1">Calculation!U100</f>
        <v>-</v>
      </c>
      <c r="M119" s="180" t="str">
        <f ca="1">Calculation!V100</f>
        <v>-</v>
      </c>
      <c r="N119" s="181"/>
      <c r="O119" s="180" t="str">
        <f ca="1">Calculation!X100</f>
        <v>-</v>
      </c>
      <c r="P119" s="180" t="str">
        <f ca="1">Calculation!Y100</f>
        <v>-</v>
      </c>
      <c r="Q119" s="273"/>
      <c r="R119" s="182" t="str">
        <f ca="1">IF(AND(L119&lt;&gt;"-",Q119&lt;&gt;"bypass"),IFERROR(IF((U119*$R$23/0.05)-SUM(S119:U119)&gt;0,(U119*$R$23/0.05)-SUM(S119:U119),0),"-"),Calculation!AH100)</f>
        <v>-</v>
      </c>
      <c r="S119" s="179" t="str">
        <f ca="1">IF(AND(L119&lt;&gt;"-",Q119&lt;&gt;"bypass"),IFERROR(X119*((H119*10^-12-H119*10^-12*I119)/(Calculation!$U$8*10^-9)),"-"),Calculation!AF100)</f>
        <v>-</v>
      </c>
      <c r="T119" s="179" t="str">
        <f ca="1">IF(AND(L119&lt;&gt;"-",Q119&lt;&gt;"bypass"),IFERROR(H119*I119*X119/(IF(Cluster!AA119=Cluster!$W$8,Cluster!$W$10,IF(Cluster!AA119=Cluster!$X$8,Cluster!$X$10,IF(Cluster!AA119=Cluster!$Y$8,Cluster!$Y$10,0)))*10^3),"-"),Calculation!AK100)</f>
        <v>-</v>
      </c>
      <c r="U119" s="179" t="str">
        <f ca="1">IF(AND(L119&lt;&gt;"-",Q119&lt;&gt;"bypass"),IFERROR((0.5/50)*X119/$R$23,"-"),Calculation!AG100)</f>
        <v>-</v>
      </c>
      <c r="V119" s="179" t="str">
        <f ca="1">IF(AND(L119&lt;&gt;"-",Q119&lt;&gt;"bypass"),IFERROR(5/50*X119,"-"),Calculation!AI100)</f>
        <v>-</v>
      </c>
      <c r="W119" s="179" t="str">
        <f ca="1">IF(AND(L119&lt;&gt;"-",Q119&lt;&gt;"bypass"),IFERROR(35/50*X119,"-"),Calculation!AJ100)</f>
        <v>-</v>
      </c>
      <c r="X119" s="179" t="str">
        <f ca="1">IF(AND(L119&lt;&gt;"-",Q119&lt;&gt;"bypass"),$W$23,Calculation!AL100)</f>
        <v>-</v>
      </c>
      <c r="Y119" s="183" t="str">
        <f ca="1">IF(AND(L119&lt;&gt;"-",Q119&lt;&gt;"bypass"),IFERROR($R$23*U119/SUM(R119:U119),"-"),Calculation!AP100)</f>
        <v>-</v>
      </c>
      <c r="Z119" s="184" t="str">
        <f t="shared" ca="1" si="5"/>
        <v>-</v>
      </c>
      <c r="AA119" s="185" t="str">
        <f ca="1">IFERROR(IF(I119=0,"-",IF(AND(ROUND(H119*I119*X119/($W$10*10^3),1)&gt;=Calculation!$O$6,ROUND((((U119)*$R$23/0.05)-((S119)+(H119*I119*X119/($W$10*10^3))+(U119))),1)&gt;=0),Cluster!$W$8,IF(AND(ROUND(H119*I119*X119/($X$10*10^3),1)&gt;=Calculation!$O$6,ROUND((((U119)*$R$23/0.05)-((S119)+(H119*I119*X119/($X$10*10^3))+(U119))),1)&gt;=0),Cluster!$X$8,IF(AND(ROUND(H119*I119*X119/($Y$10*10^3),1)&gt;=Calculation!$O$6,ROUND((((U119)*$R$23/0.05)-((S119)+(H119*I119*X119/($Y$10*10^3))+(U119))),1)&gt;=0),Cluster!$Y$8,"Recepie by hand needed")))),"-")</f>
        <v>-</v>
      </c>
      <c r="AC119" s="37" t="str">
        <f t="shared" ca="1" si="6"/>
        <v>-</v>
      </c>
      <c r="AD119" s="37" t="str">
        <f t="shared" ca="1" si="7"/>
        <v>-</v>
      </c>
      <c r="AE119" s="220" t="str">
        <f t="shared" ca="1" si="8"/>
        <v>-</v>
      </c>
      <c r="AF119" s="37" t="str">
        <f t="shared" ca="1" si="9"/>
        <v>-</v>
      </c>
    </row>
    <row r="120" spans="1:32" ht="14.25" x14ac:dyDescent="0.5">
      <c r="A120" s="170" t="str">
        <f>Calculation!I101</f>
        <v/>
      </c>
      <c r="B120" s="221" t="str">
        <f ca="1">Calculation!B101</f>
        <v/>
      </c>
      <c r="C120" s="221" t="str">
        <f ca="1">Calculation!C101</f>
        <v/>
      </c>
      <c r="D120" s="172" t="str">
        <f ca="1">Calculation!AN101</f>
        <v/>
      </c>
      <c r="E120" s="173" t="str">
        <f ca="1">Calculation!D101</f>
        <v/>
      </c>
      <c r="F120" s="174" t="str">
        <f ca="1">Calculation!C101</f>
        <v/>
      </c>
      <c r="G120" s="175" t="str">
        <f ca="1">Calculation!F101</f>
        <v/>
      </c>
      <c r="H120" s="176" t="str">
        <f ca="1">Calculation!AD101</f>
        <v/>
      </c>
      <c r="I120" s="177" t="str">
        <f ca="1">Calculation!AE101</f>
        <v/>
      </c>
      <c r="J120" s="272" t="str">
        <f ca="1">IF(Calculation!Q101="","Selection",Calculation!Q101)</f>
        <v>Selection</v>
      </c>
      <c r="K120" s="179" t="str">
        <f ca="1">Calculation!T101</f>
        <v/>
      </c>
      <c r="L120" s="180" t="str">
        <f ca="1">Calculation!U101</f>
        <v>-</v>
      </c>
      <c r="M120" s="180" t="str">
        <f ca="1">Calculation!V101</f>
        <v>-</v>
      </c>
      <c r="N120" s="181"/>
      <c r="O120" s="180" t="str">
        <f ca="1">Calculation!X101</f>
        <v>-</v>
      </c>
      <c r="P120" s="180" t="str">
        <f ca="1">Calculation!Y101</f>
        <v>-</v>
      </c>
      <c r="Q120" s="273"/>
      <c r="R120" s="182" t="str">
        <f ca="1">IF(AND(L120&lt;&gt;"-",Q120&lt;&gt;"bypass"),IFERROR(IF((U120*$R$23/0.05)-SUM(S120:U120)&gt;0,(U120*$R$23/0.05)-SUM(S120:U120),0),"-"),Calculation!AH101)</f>
        <v>-</v>
      </c>
      <c r="S120" s="179" t="str">
        <f ca="1">IF(AND(L120&lt;&gt;"-",Q120&lt;&gt;"bypass"),IFERROR(X120*((H120*10^-12-H120*10^-12*I120)/(Calculation!$U$8*10^-9)),"-"),Calculation!AF101)</f>
        <v>-</v>
      </c>
      <c r="T120" s="179" t="str">
        <f ca="1">IF(AND(L120&lt;&gt;"-",Q120&lt;&gt;"bypass"),IFERROR(H120*I120*X120/(IF(Cluster!AA120=Cluster!$W$8,Cluster!$W$10,IF(Cluster!AA120=Cluster!$X$8,Cluster!$X$10,IF(Cluster!AA120=Cluster!$Y$8,Cluster!$Y$10,0)))*10^3),"-"),Calculation!AK101)</f>
        <v>-</v>
      </c>
      <c r="U120" s="179" t="str">
        <f ca="1">IF(AND(L120&lt;&gt;"-",Q120&lt;&gt;"bypass"),IFERROR((0.5/50)*X120/$R$23,"-"),Calculation!AG101)</f>
        <v>-</v>
      </c>
      <c r="V120" s="179" t="str">
        <f ca="1">IF(AND(L120&lt;&gt;"-",Q120&lt;&gt;"bypass"),IFERROR(5/50*X120,"-"),Calculation!AI101)</f>
        <v>-</v>
      </c>
      <c r="W120" s="179" t="str">
        <f ca="1">IF(AND(L120&lt;&gt;"-",Q120&lt;&gt;"bypass"),IFERROR(35/50*X120,"-"),Calculation!AJ101)</f>
        <v>-</v>
      </c>
      <c r="X120" s="179" t="str">
        <f ca="1">IF(AND(L120&lt;&gt;"-",Q120&lt;&gt;"bypass"),$W$23,Calculation!AL101)</f>
        <v>-</v>
      </c>
      <c r="Y120" s="183" t="str">
        <f ca="1">IF(AND(L120&lt;&gt;"-",Q120&lt;&gt;"bypass"),IFERROR($R$23*U120/SUM(R120:U120),"-"),Calculation!AP101)</f>
        <v>-</v>
      </c>
      <c r="Z120" s="184" t="str">
        <f t="shared" ca="1" si="5"/>
        <v>-</v>
      </c>
      <c r="AA120" s="185" t="str">
        <f ca="1">IFERROR(IF(I120=0,"-",IF(AND(ROUND(H120*I120*X120/($W$10*10^3),1)&gt;=Calculation!$O$6,ROUND((((U120)*$R$23/0.05)-((S120)+(H120*I120*X120/($W$10*10^3))+(U120))),1)&gt;=0),Cluster!$W$8,IF(AND(ROUND(H120*I120*X120/($X$10*10^3),1)&gt;=Calculation!$O$6,ROUND((((U120)*$R$23/0.05)-((S120)+(H120*I120*X120/($X$10*10^3))+(U120))),1)&gt;=0),Cluster!$X$8,IF(AND(ROUND(H120*I120*X120/($Y$10*10^3),1)&gt;=Calculation!$O$6,ROUND((((U120)*$R$23/0.05)-((S120)+(H120*I120*X120/($Y$10*10^3))+(U120))),1)&gt;=0),Cluster!$Y$8,"Recepie by hand needed")))),"-")</f>
        <v>-</v>
      </c>
      <c r="AC120" s="37" t="str">
        <f t="shared" ca="1" si="6"/>
        <v>-</v>
      </c>
      <c r="AD120" s="37" t="str">
        <f t="shared" ca="1" si="7"/>
        <v>-</v>
      </c>
      <c r="AE120" s="220" t="str">
        <f t="shared" ca="1" si="8"/>
        <v>-</v>
      </c>
      <c r="AF120" s="37" t="str">
        <f t="shared" ca="1" si="9"/>
        <v>-</v>
      </c>
    </row>
    <row r="121" spans="1:32" ht="14.25" x14ac:dyDescent="0.5">
      <c r="A121" s="170" t="str">
        <f>Calculation!I102</f>
        <v/>
      </c>
      <c r="B121" s="221" t="str">
        <f ca="1">Calculation!B102</f>
        <v/>
      </c>
      <c r="C121" s="221" t="str">
        <f ca="1">Calculation!C102</f>
        <v/>
      </c>
      <c r="D121" s="172" t="str">
        <f ca="1">Calculation!AN102</f>
        <v/>
      </c>
      <c r="E121" s="173" t="str">
        <f ca="1">Calculation!D102</f>
        <v/>
      </c>
      <c r="F121" s="174" t="str">
        <f ca="1">Calculation!C102</f>
        <v/>
      </c>
      <c r="G121" s="175" t="str">
        <f ca="1">Calculation!F102</f>
        <v/>
      </c>
      <c r="H121" s="176" t="str">
        <f ca="1">Calculation!AD102</f>
        <v/>
      </c>
      <c r="I121" s="177" t="str">
        <f ca="1">Calculation!AE102</f>
        <v/>
      </c>
      <c r="J121" s="272" t="str">
        <f ca="1">IF(Calculation!Q102="","Selection",Calculation!Q102)</f>
        <v>Selection</v>
      </c>
      <c r="K121" s="179" t="str">
        <f ca="1">Calculation!T102</f>
        <v/>
      </c>
      <c r="L121" s="180" t="str">
        <f ca="1">Calculation!U102</f>
        <v>-</v>
      </c>
      <c r="M121" s="180" t="str">
        <f ca="1">Calculation!V102</f>
        <v>-</v>
      </c>
      <c r="N121" s="181"/>
      <c r="O121" s="180" t="str">
        <f ca="1">Calculation!X102</f>
        <v>-</v>
      </c>
      <c r="P121" s="180" t="str">
        <f ca="1">Calculation!Y102</f>
        <v>-</v>
      </c>
      <c r="Q121" s="273"/>
      <c r="R121" s="182" t="str">
        <f ca="1">IF(AND(L121&lt;&gt;"-",Q121&lt;&gt;"bypass"),IFERROR(IF((U121*$R$23/0.05)-SUM(S121:U121)&gt;0,(U121*$R$23/0.05)-SUM(S121:U121),0),"-"),Calculation!AH102)</f>
        <v>-</v>
      </c>
      <c r="S121" s="179" t="str">
        <f ca="1">IF(AND(L121&lt;&gt;"-",Q121&lt;&gt;"bypass"),IFERROR(X121*((H121*10^-12-H121*10^-12*I121)/(Calculation!$U$8*10^-9)),"-"),Calculation!AF102)</f>
        <v>-</v>
      </c>
      <c r="T121" s="179" t="str">
        <f ca="1">IF(AND(L121&lt;&gt;"-",Q121&lt;&gt;"bypass"),IFERROR(H121*I121*X121/(IF(Cluster!AA121=Cluster!$W$8,Cluster!$W$10,IF(Cluster!AA121=Cluster!$X$8,Cluster!$X$10,IF(Cluster!AA121=Cluster!$Y$8,Cluster!$Y$10,0)))*10^3),"-"),Calculation!AK102)</f>
        <v>-</v>
      </c>
      <c r="U121" s="179" t="str">
        <f ca="1">IF(AND(L121&lt;&gt;"-",Q121&lt;&gt;"bypass"),IFERROR((0.5/50)*X121/$R$23,"-"),Calculation!AG102)</f>
        <v>-</v>
      </c>
      <c r="V121" s="179" t="str">
        <f ca="1">IF(AND(L121&lt;&gt;"-",Q121&lt;&gt;"bypass"),IFERROR(5/50*X121,"-"),Calculation!AI102)</f>
        <v>-</v>
      </c>
      <c r="W121" s="179" t="str">
        <f ca="1">IF(AND(L121&lt;&gt;"-",Q121&lt;&gt;"bypass"),IFERROR(35/50*X121,"-"),Calculation!AJ102)</f>
        <v>-</v>
      </c>
      <c r="X121" s="179" t="str">
        <f ca="1">IF(AND(L121&lt;&gt;"-",Q121&lt;&gt;"bypass"),$W$23,Calculation!AL102)</f>
        <v>-</v>
      </c>
      <c r="Y121" s="183" t="str">
        <f ca="1">IF(AND(L121&lt;&gt;"-",Q121&lt;&gt;"bypass"),IFERROR($R$23*U121/SUM(R121:U121),"-"),Calculation!AP102)</f>
        <v>-</v>
      </c>
      <c r="Z121" s="184" t="str">
        <f t="shared" ca="1" si="5"/>
        <v>-</v>
      </c>
      <c r="AA121" s="185" t="str">
        <f ca="1">IFERROR(IF(I121=0,"-",IF(AND(ROUND(H121*I121*X121/($W$10*10^3),1)&gt;=Calculation!$O$6,ROUND((((U121)*$R$23/0.05)-((S121)+(H121*I121*X121/($W$10*10^3))+(U121))),1)&gt;=0),Cluster!$W$8,IF(AND(ROUND(H121*I121*X121/($X$10*10^3),1)&gt;=Calculation!$O$6,ROUND((((U121)*$R$23/0.05)-((S121)+(H121*I121*X121/($X$10*10^3))+(U121))),1)&gt;=0),Cluster!$X$8,IF(AND(ROUND(H121*I121*X121/($Y$10*10^3),1)&gt;=Calculation!$O$6,ROUND((((U121)*$R$23/0.05)-((S121)+(H121*I121*X121/($Y$10*10^3))+(U121))),1)&gt;=0),Cluster!$Y$8,"Recepie by hand needed")))),"-")</f>
        <v>-</v>
      </c>
      <c r="AC121" s="37" t="str">
        <f t="shared" ca="1" si="6"/>
        <v>-</v>
      </c>
      <c r="AD121" s="37" t="str">
        <f t="shared" ca="1" si="7"/>
        <v>-</v>
      </c>
      <c r="AE121" s="220" t="str">
        <f t="shared" ca="1" si="8"/>
        <v>-</v>
      </c>
      <c r="AF121" s="37" t="str">
        <f t="shared" ca="1" si="9"/>
        <v>-</v>
      </c>
    </row>
    <row r="122" spans="1:32" ht="14.25" x14ac:dyDescent="0.5">
      <c r="A122" s="170" t="str">
        <f>Calculation!I103</f>
        <v/>
      </c>
      <c r="B122" s="221" t="str">
        <f ca="1">Calculation!B103</f>
        <v/>
      </c>
      <c r="C122" s="221" t="str">
        <f ca="1">Calculation!C103</f>
        <v/>
      </c>
      <c r="D122" s="172" t="str">
        <f ca="1">Calculation!AN103</f>
        <v/>
      </c>
      <c r="E122" s="173" t="str">
        <f ca="1">Calculation!D103</f>
        <v/>
      </c>
      <c r="F122" s="174" t="str">
        <f ca="1">Calculation!C103</f>
        <v/>
      </c>
      <c r="G122" s="175" t="str">
        <f ca="1">Calculation!F103</f>
        <v/>
      </c>
      <c r="H122" s="176" t="str">
        <f ca="1">Calculation!AD103</f>
        <v/>
      </c>
      <c r="I122" s="177" t="str">
        <f ca="1">Calculation!AE103</f>
        <v/>
      </c>
      <c r="J122" s="272" t="str">
        <f ca="1">IF(Calculation!Q103="","Selection",Calculation!Q103)</f>
        <v>Selection</v>
      </c>
      <c r="K122" s="179" t="str">
        <f ca="1">Calculation!T103</f>
        <v/>
      </c>
      <c r="L122" s="180" t="str">
        <f ca="1">Calculation!U103</f>
        <v>-</v>
      </c>
      <c r="M122" s="180" t="str">
        <f ca="1">Calculation!V103</f>
        <v>-</v>
      </c>
      <c r="N122" s="181"/>
      <c r="O122" s="180" t="str">
        <f ca="1">Calculation!X103</f>
        <v>-</v>
      </c>
      <c r="P122" s="180" t="str">
        <f ca="1">Calculation!Y103</f>
        <v>-</v>
      </c>
      <c r="Q122" s="273"/>
      <c r="R122" s="182" t="str">
        <f ca="1">IF(AND(L122&lt;&gt;"-",Q122&lt;&gt;"bypass"),IFERROR(IF((U122*$R$23/0.05)-SUM(S122:U122)&gt;0,(U122*$R$23/0.05)-SUM(S122:U122),0),"-"),Calculation!AH103)</f>
        <v>-</v>
      </c>
      <c r="S122" s="179" t="str">
        <f ca="1">IF(AND(L122&lt;&gt;"-",Q122&lt;&gt;"bypass"),IFERROR(X122*((H122*10^-12-H122*10^-12*I122)/(Calculation!$U$8*10^-9)),"-"),Calculation!AF103)</f>
        <v>-</v>
      </c>
      <c r="T122" s="179" t="str">
        <f ca="1">IF(AND(L122&lt;&gt;"-",Q122&lt;&gt;"bypass"),IFERROR(H122*I122*X122/(IF(Cluster!AA122=Cluster!$W$8,Cluster!$W$10,IF(Cluster!AA122=Cluster!$X$8,Cluster!$X$10,IF(Cluster!AA122=Cluster!$Y$8,Cluster!$Y$10,0)))*10^3),"-"),Calculation!AK103)</f>
        <v>-</v>
      </c>
      <c r="U122" s="179" t="str">
        <f ca="1">IF(AND(L122&lt;&gt;"-",Q122&lt;&gt;"bypass"),IFERROR((0.5/50)*X122/$R$23,"-"),Calculation!AG103)</f>
        <v>-</v>
      </c>
      <c r="V122" s="179" t="str">
        <f ca="1">IF(AND(L122&lt;&gt;"-",Q122&lt;&gt;"bypass"),IFERROR(5/50*X122,"-"),Calculation!AI103)</f>
        <v>-</v>
      </c>
      <c r="W122" s="179" t="str">
        <f ca="1">IF(AND(L122&lt;&gt;"-",Q122&lt;&gt;"bypass"),IFERROR(35/50*X122,"-"),Calculation!AJ103)</f>
        <v>-</v>
      </c>
      <c r="X122" s="179" t="str">
        <f ca="1">IF(AND(L122&lt;&gt;"-",Q122&lt;&gt;"bypass"),$W$23,Calculation!AL103)</f>
        <v>-</v>
      </c>
      <c r="Y122" s="183" t="str">
        <f ca="1">IF(AND(L122&lt;&gt;"-",Q122&lt;&gt;"bypass"),IFERROR($R$23*U122/SUM(R122:U122),"-"),Calculation!AP103)</f>
        <v>-</v>
      </c>
      <c r="Z122" s="184" t="str">
        <f t="shared" ca="1" si="5"/>
        <v>-</v>
      </c>
      <c r="AA122" s="185" t="str">
        <f ca="1">IFERROR(IF(I122=0,"-",IF(AND(ROUND(H122*I122*X122/($W$10*10^3),1)&gt;=Calculation!$O$6,ROUND((((U122)*$R$23/0.05)-((S122)+(H122*I122*X122/($W$10*10^3))+(U122))),1)&gt;=0),Cluster!$W$8,IF(AND(ROUND(H122*I122*X122/($X$10*10^3),1)&gt;=Calculation!$O$6,ROUND((((U122)*$R$23/0.05)-((S122)+(H122*I122*X122/($X$10*10^3))+(U122))),1)&gt;=0),Cluster!$X$8,IF(AND(ROUND(H122*I122*X122/($Y$10*10^3),1)&gt;=Calculation!$O$6,ROUND((((U122)*$R$23/0.05)-((S122)+(H122*I122*X122/($Y$10*10^3))+(U122))),1)&gt;=0),Cluster!$Y$8,"Recepie by hand needed")))),"-")</f>
        <v>-</v>
      </c>
      <c r="AC122" s="37" t="str">
        <f t="shared" ca="1" si="6"/>
        <v>-</v>
      </c>
      <c r="AD122" s="37" t="str">
        <f t="shared" ca="1" si="7"/>
        <v>-</v>
      </c>
      <c r="AE122" s="220" t="str">
        <f t="shared" ca="1" si="8"/>
        <v>-</v>
      </c>
      <c r="AF122" s="37" t="str">
        <f t="shared" ca="1" si="9"/>
        <v>-</v>
      </c>
    </row>
    <row r="123" spans="1:32" ht="14.25" x14ac:dyDescent="0.5">
      <c r="A123" s="170" t="str">
        <f>Calculation!I104</f>
        <v/>
      </c>
      <c r="B123" s="221" t="str">
        <f ca="1">Calculation!B104</f>
        <v/>
      </c>
      <c r="C123" s="221" t="str">
        <f ca="1">Calculation!C104</f>
        <v/>
      </c>
      <c r="D123" s="172" t="str">
        <f ca="1">Calculation!AN104</f>
        <v/>
      </c>
      <c r="E123" s="173" t="str">
        <f ca="1">Calculation!D104</f>
        <v/>
      </c>
      <c r="F123" s="174" t="str">
        <f ca="1">Calculation!C104</f>
        <v/>
      </c>
      <c r="G123" s="175" t="str">
        <f ca="1">Calculation!F104</f>
        <v/>
      </c>
      <c r="H123" s="176" t="str">
        <f ca="1">Calculation!AD104</f>
        <v/>
      </c>
      <c r="I123" s="177" t="str">
        <f ca="1">Calculation!AE104</f>
        <v/>
      </c>
      <c r="J123" s="272" t="str">
        <f ca="1">IF(Calculation!Q104="","Selection",Calculation!Q104)</f>
        <v>Selection</v>
      </c>
      <c r="K123" s="179" t="str">
        <f ca="1">Calculation!T104</f>
        <v/>
      </c>
      <c r="L123" s="180" t="str">
        <f ca="1">Calculation!U104</f>
        <v>-</v>
      </c>
      <c r="M123" s="180" t="str">
        <f ca="1">Calculation!V104</f>
        <v>-</v>
      </c>
      <c r="N123" s="181"/>
      <c r="O123" s="180" t="str">
        <f ca="1">Calculation!X104</f>
        <v>-</v>
      </c>
      <c r="P123" s="180" t="str">
        <f ca="1">Calculation!Y104</f>
        <v>-</v>
      </c>
      <c r="Q123" s="273"/>
      <c r="R123" s="182" t="str">
        <f ca="1">IF(AND(L123&lt;&gt;"-",Q123&lt;&gt;"bypass"),IFERROR(IF((U123*$R$23/0.05)-SUM(S123:U123)&gt;0,(U123*$R$23/0.05)-SUM(S123:U123),0),"-"),Calculation!AH104)</f>
        <v>-</v>
      </c>
      <c r="S123" s="179" t="str">
        <f ca="1">IF(AND(L123&lt;&gt;"-",Q123&lt;&gt;"bypass"),IFERROR(X123*((H123*10^-12-H123*10^-12*I123)/(Calculation!$U$8*10^-9)),"-"),Calculation!AF104)</f>
        <v>-</v>
      </c>
      <c r="T123" s="179" t="str">
        <f ca="1">IF(AND(L123&lt;&gt;"-",Q123&lt;&gt;"bypass"),IFERROR(H123*I123*X123/(IF(Cluster!AA123=Cluster!$W$8,Cluster!$W$10,IF(Cluster!AA123=Cluster!$X$8,Cluster!$X$10,IF(Cluster!AA123=Cluster!$Y$8,Cluster!$Y$10,0)))*10^3),"-"),Calculation!AK104)</f>
        <v>-</v>
      </c>
      <c r="U123" s="179" t="str">
        <f ca="1">IF(AND(L123&lt;&gt;"-",Q123&lt;&gt;"bypass"),IFERROR((0.5/50)*X123/$R$23,"-"),Calculation!AG104)</f>
        <v>-</v>
      </c>
      <c r="V123" s="179" t="str">
        <f ca="1">IF(AND(L123&lt;&gt;"-",Q123&lt;&gt;"bypass"),IFERROR(5/50*X123,"-"),Calculation!AI104)</f>
        <v>-</v>
      </c>
      <c r="W123" s="179" t="str">
        <f ca="1">IF(AND(L123&lt;&gt;"-",Q123&lt;&gt;"bypass"),IFERROR(35/50*X123,"-"),Calculation!AJ104)</f>
        <v>-</v>
      </c>
      <c r="X123" s="179" t="str">
        <f ca="1">IF(AND(L123&lt;&gt;"-",Q123&lt;&gt;"bypass"),$W$23,Calculation!AL104)</f>
        <v>-</v>
      </c>
      <c r="Y123" s="183" t="str">
        <f ca="1">IF(AND(L123&lt;&gt;"-",Q123&lt;&gt;"bypass"),IFERROR($R$23*U123/SUM(R123:U123),"-"),Calculation!AP104)</f>
        <v>-</v>
      </c>
      <c r="Z123" s="184" t="str">
        <f t="shared" ca="1" si="5"/>
        <v>-</v>
      </c>
      <c r="AA123" s="185" t="str">
        <f ca="1">IFERROR(IF(I123=0,"-",IF(AND(ROUND(H123*I123*X123/($W$10*10^3),1)&gt;=Calculation!$O$6,ROUND((((U123)*$R$23/0.05)-((S123)+(H123*I123*X123/($W$10*10^3))+(U123))),1)&gt;=0),Cluster!$W$8,IF(AND(ROUND(H123*I123*X123/($X$10*10^3),1)&gt;=Calculation!$O$6,ROUND((((U123)*$R$23/0.05)-((S123)+(H123*I123*X123/($X$10*10^3))+(U123))),1)&gt;=0),Cluster!$X$8,IF(AND(ROUND(H123*I123*X123/($Y$10*10^3),1)&gt;=Calculation!$O$6,ROUND((((U123)*$R$23/0.05)-((S123)+(H123*I123*X123/($Y$10*10^3))+(U123))),1)&gt;=0),Cluster!$Y$8,"Recepie by hand needed")))),"-")</f>
        <v>-</v>
      </c>
      <c r="AC123" s="37" t="str">
        <f t="shared" ca="1" si="6"/>
        <v>-</v>
      </c>
      <c r="AD123" s="37" t="str">
        <f t="shared" ca="1" si="7"/>
        <v>-</v>
      </c>
      <c r="AE123" s="220" t="str">
        <f t="shared" ca="1" si="8"/>
        <v>-</v>
      </c>
      <c r="AF123" s="37" t="str">
        <f t="shared" ca="1" si="9"/>
        <v>-</v>
      </c>
    </row>
    <row r="124" spans="1:32" ht="14.25" x14ac:dyDescent="0.5">
      <c r="A124" s="170" t="str">
        <f>Calculation!I105</f>
        <v/>
      </c>
      <c r="B124" s="221" t="str">
        <f ca="1">Calculation!B105</f>
        <v/>
      </c>
      <c r="C124" s="221" t="str">
        <f ca="1">Calculation!C105</f>
        <v/>
      </c>
      <c r="D124" s="172" t="str">
        <f ca="1">Calculation!AN105</f>
        <v/>
      </c>
      <c r="E124" s="173" t="str">
        <f ca="1">Calculation!D105</f>
        <v/>
      </c>
      <c r="F124" s="174" t="str">
        <f ca="1">Calculation!C105</f>
        <v/>
      </c>
      <c r="G124" s="175" t="str">
        <f ca="1">Calculation!F105</f>
        <v/>
      </c>
      <c r="H124" s="176" t="str">
        <f ca="1">Calculation!AD105</f>
        <v/>
      </c>
      <c r="I124" s="177" t="str">
        <f ca="1">Calculation!AE105</f>
        <v/>
      </c>
      <c r="J124" s="272" t="str">
        <f ca="1">IF(Calculation!Q105="","Selection",Calculation!Q105)</f>
        <v>Selection</v>
      </c>
      <c r="K124" s="179" t="str">
        <f ca="1">Calculation!T105</f>
        <v/>
      </c>
      <c r="L124" s="180" t="str">
        <f ca="1">Calculation!U105</f>
        <v>-</v>
      </c>
      <c r="M124" s="180" t="str">
        <f ca="1">Calculation!V105</f>
        <v>-</v>
      </c>
      <c r="N124" s="181"/>
      <c r="O124" s="180" t="str">
        <f ca="1">Calculation!X105</f>
        <v>-</v>
      </c>
      <c r="P124" s="180" t="str">
        <f ca="1">Calculation!Y105</f>
        <v>-</v>
      </c>
      <c r="Q124" s="273"/>
      <c r="R124" s="182" t="str">
        <f ca="1">IF(AND(L124&lt;&gt;"-",Q124&lt;&gt;"bypass"),IFERROR(IF((U124*$R$23/0.05)-SUM(S124:U124)&gt;0,(U124*$R$23/0.05)-SUM(S124:U124),0),"-"),Calculation!AH105)</f>
        <v>-</v>
      </c>
      <c r="S124" s="179" t="str">
        <f ca="1">IF(AND(L124&lt;&gt;"-",Q124&lt;&gt;"bypass"),IFERROR(X124*((H124*10^-12-H124*10^-12*I124)/(Calculation!$U$8*10^-9)),"-"),Calculation!AF105)</f>
        <v>-</v>
      </c>
      <c r="T124" s="179" t="str">
        <f ca="1">IF(AND(L124&lt;&gt;"-",Q124&lt;&gt;"bypass"),IFERROR(H124*I124*X124/(IF(Cluster!AA124=Cluster!$W$8,Cluster!$W$10,IF(Cluster!AA124=Cluster!$X$8,Cluster!$X$10,IF(Cluster!AA124=Cluster!$Y$8,Cluster!$Y$10,0)))*10^3),"-"),Calculation!AK105)</f>
        <v>-</v>
      </c>
      <c r="U124" s="179" t="str">
        <f ca="1">IF(AND(L124&lt;&gt;"-",Q124&lt;&gt;"bypass"),IFERROR((0.5/50)*X124/$R$23,"-"),Calculation!AG105)</f>
        <v>-</v>
      </c>
      <c r="V124" s="179" t="str">
        <f ca="1">IF(AND(L124&lt;&gt;"-",Q124&lt;&gt;"bypass"),IFERROR(5/50*X124,"-"),Calculation!AI105)</f>
        <v>-</v>
      </c>
      <c r="W124" s="179" t="str">
        <f ca="1">IF(AND(L124&lt;&gt;"-",Q124&lt;&gt;"bypass"),IFERROR(35/50*X124,"-"),Calculation!AJ105)</f>
        <v>-</v>
      </c>
      <c r="X124" s="179" t="str">
        <f ca="1">IF(AND(L124&lt;&gt;"-",Q124&lt;&gt;"bypass"),$W$23,Calculation!AL105)</f>
        <v>-</v>
      </c>
      <c r="Y124" s="183" t="str">
        <f ca="1">IF(AND(L124&lt;&gt;"-",Q124&lt;&gt;"bypass"),IFERROR($R$23*U124/SUM(R124:U124),"-"),Calculation!AP105)</f>
        <v>-</v>
      </c>
      <c r="Z124" s="184" t="str">
        <f t="shared" ca="1" si="5"/>
        <v>-</v>
      </c>
      <c r="AA124" s="185" t="str">
        <f ca="1">IFERROR(IF(I124=0,"-",IF(AND(ROUND(H124*I124*X124/($W$10*10^3),1)&gt;=Calculation!$O$6,ROUND((((U124)*$R$23/0.05)-((S124)+(H124*I124*X124/($W$10*10^3))+(U124))),1)&gt;=0),Cluster!$W$8,IF(AND(ROUND(H124*I124*X124/($X$10*10^3),1)&gt;=Calculation!$O$6,ROUND((((U124)*$R$23/0.05)-((S124)+(H124*I124*X124/($X$10*10^3))+(U124))),1)&gt;=0),Cluster!$X$8,IF(AND(ROUND(H124*I124*X124/($Y$10*10^3),1)&gt;=Calculation!$O$6,ROUND((((U124)*$R$23/0.05)-((S124)+(H124*I124*X124/($Y$10*10^3))+(U124))),1)&gt;=0),Cluster!$Y$8,"Recepie by hand needed")))),"-")</f>
        <v>-</v>
      </c>
      <c r="AC124" s="37" t="str">
        <f t="shared" ca="1" si="6"/>
        <v>-</v>
      </c>
      <c r="AD124" s="37" t="str">
        <f t="shared" ca="1" si="7"/>
        <v>-</v>
      </c>
      <c r="AE124" s="220" t="str">
        <f t="shared" ca="1" si="8"/>
        <v>-</v>
      </c>
      <c r="AF124" s="37" t="str">
        <f t="shared" ca="1" si="9"/>
        <v>-</v>
      </c>
    </row>
    <row r="125" spans="1:32" ht="14.25" x14ac:dyDescent="0.5">
      <c r="A125" s="170" t="str">
        <f>Calculation!I106</f>
        <v/>
      </c>
      <c r="B125" s="221" t="str">
        <f ca="1">Calculation!B106</f>
        <v/>
      </c>
      <c r="C125" s="221" t="str">
        <f ca="1">Calculation!C106</f>
        <v/>
      </c>
      <c r="D125" s="172" t="str">
        <f ca="1">Calculation!AN106</f>
        <v/>
      </c>
      <c r="E125" s="173" t="str">
        <f ca="1">Calculation!D106</f>
        <v/>
      </c>
      <c r="F125" s="174" t="str">
        <f ca="1">Calculation!C106</f>
        <v/>
      </c>
      <c r="G125" s="175" t="str">
        <f ca="1">Calculation!F106</f>
        <v/>
      </c>
      <c r="H125" s="176" t="str">
        <f ca="1">Calculation!AD106</f>
        <v/>
      </c>
      <c r="I125" s="177" t="str">
        <f ca="1">Calculation!AE106</f>
        <v/>
      </c>
      <c r="J125" s="272" t="str">
        <f ca="1">IF(Calculation!Q106="","Selection",Calculation!Q106)</f>
        <v>Selection</v>
      </c>
      <c r="K125" s="179" t="str">
        <f ca="1">Calculation!T106</f>
        <v/>
      </c>
      <c r="L125" s="180" t="str">
        <f ca="1">Calculation!U106</f>
        <v>-</v>
      </c>
      <c r="M125" s="180" t="str">
        <f ca="1">Calculation!V106</f>
        <v>-</v>
      </c>
      <c r="N125" s="181"/>
      <c r="O125" s="180" t="str">
        <f ca="1">Calculation!X106</f>
        <v>-</v>
      </c>
      <c r="P125" s="180" t="str">
        <f ca="1">Calculation!Y106</f>
        <v>-</v>
      </c>
      <c r="Q125" s="273"/>
      <c r="R125" s="182" t="str">
        <f ca="1">IF(AND(L125&lt;&gt;"-",Q125&lt;&gt;"bypass"),IFERROR(IF((U125*$R$23/0.05)-SUM(S125:U125)&gt;0,(U125*$R$23/0.05)-SUM(S125:U125),0),"-"),Calculation!AH106)</f>
        <v>-</v>
      </c>
      <c r="S125" s="179" t="str">
        <f ca="1">IF(AND(L125&lt;&gt;"-",Q125&lt;&gt;"bypass"),IFERROR(X125*((H125*10^-12-H125*10^-12*I125)/(Calculation!$U$8*10^-9)),"-"),Calculation!AF106)</f>
        <v>-</v>
      </c>
      <c r="T125" s="179" t="str">
        <f ca="1">IF(AND(L125&lt;&gt;"-",Q125&lt;&gt;"bypass"),IFERROR(H125*I125*X125/(IF(Cluster!AA125=Cluster!$W$8,Cluster!$W$10,IF(Cluster!AA125=Cluster!$X$8,Cluster!$X$10,IF(Cluster!AA125=Cluster!$Y$8,Cluster!$Y$10,0)))*10^3),"-"),Calculation!AK106)</f>
        <v>-</v>
      </c>
      <c r="U125" s="179" t="str">
        <f ca="1">IF(AND(L125&lt;&gt;"-",Q125&lt;&gt;"bypass"),IFERROR((0.5/50)*X125/$R$23,"-"),Calculation!AG106)</f>
        <v>-</v>
      </c>
      <c r="V125" s="179" t="str">
        <f ca="1">IF(AND(L125&lt;&gt;"-",Q125&lt;&gt;"bypass"),IFERROR(5/50*X125,"-"),Calculation!AI106)</f>
        <v>-</v>
      </c>
      <c r="W125" s="179" t="str">
        <f ca="1">IF(AND(L125&lt;&gt;"-",Q125&lt;&gt;"bypass"),IFERROR(35/50*X125,"-"),Calculation!AJ106)</f>
        <v>-</v>
      </c>
      <c r="X125" s="179" t="str">
        <f ca="1">IF(AND(L125&lt;&gt;"-",Q125&lt;&gt;"bypass"),$W$23,Calculation!AL106)</f>
        <v>-</v>
      </c>
      <c r="Y125" s="183" t="str">
        <f ca="1">IF(AND(L125&lt;&gt;"-",Q125&lt;&gt;"bypass"),IFERROR($R$23*U125/SUM(R125:U125),"-"),Calculation!AP106)</f>
        <v>-</v>
      </c>
      <c r="Z125" s="184" t="str">
        <f t="shared" ca="1" si="5"/>
        <v>-</v>
      </c>
      <c r="AA125" s="185" t="str">
        <f ca="1">IFERROR(IF(I125=0,"-",IF(AND(ROUND(H125*I125*X125/($W$10*10^3),1)&gt;=Calculation!$O$6,ROUND((((U125)*$R$23/0.05)-((S125)+(H125*I125*X125/($W$10*10^3))+(U125))),1)&gt;=0),Cluster!$W$8,IF(AND(ROUND(H125*I125*X125/($X$10*10^3),1)&gt;=Calculation!$O$6,ROUND((((U125)*$R$23/0.05)-((S125)+(H125*I125*X125/($X$10*10^3))+(U125))),1)&gt;=0),Cluster!$X$8,IF(AND(ROUND(H125*I125*X125/($Y$10*10^3),1)&gt;=Calculation!$O$6,ROUND((((U125)*$R$23/0.05)-((S125)+(H125*I125*X125/($Y$10*10^3))+(U125))),1)&gt;=0),Cluster!$Y$8,"Recepie by hand needed")))),"-")</f>
        <v>-</v>
      </c>
      <c r="AC125" s="37" t="str">
        <f t="shared" ca="1" si="6"/>
        <v>-</v>
      </c>
      <c r="AD125" s="37" t="str">
        <f t="shared" ca="1" si="7"/>
        <v>-</v>
      </c>
      <c r="AE125" s="220" t="str">
        <f t="shared" ca="1" si="8"/>
        <v>-</v>
      </c>
      <c r="AF125" s="37" t="str">
        <f t="shared" ca="1" si="9"/>
        <v>-</v>
      </c>
    </row>
    <row r="126" spans="1:32" ht="14.25" x14ac:dyDescent="0.5">
      <c r="A126" s="170" t="str">
        <f>Calculation!I107</f>
        <v/>
      </c>
      <c r="B126" s="221" t="str">
        <f ca="1">Calculation!B107</f>
        <v/>
      </c>
      <c r="C126" s="221" t="str">
        <f ca="1">Calculation!C107</f>
        <v/>
      </c>
      <c r="D126" s="172" t="str">
        <f ca="1">Calculation!AN107</f>
        <v/>
      </c>
      <c r="E126" s="173" t="str">
        <f ca="1">Calculation!D107</f>
        <v/>
      </c>
      <c r="F126" s="174" t="str">
        <f ca="1">Calculation!C107</f>
        <v/>
      </c>
      <c r="G126" s="175" t="str">
        <f ca="1">Calculation!F107</f>
        <v/>
      </c>
      <c r="H126" s="176" t="str">
        <f ca="1">Calculation!AD107</f>
        <v/>
      </c>
      <c r="I126" s="177" t="str">
        <f ca="1">Calculation!AE107</f>
        <v/>
      </c>
      <c r="J126" s="272" t="str">
        <f ca="1">IF(Calculation!Q107="","Selection",Calculation!Q107)</f>
        <v>Selection</v>
      </c>
      <c r="K126" s="179" t="str">
        <f ca="1">Calculation!T107</f>
        <v/>
      </c>
      <c r="L126" s="180" t="str">
        <f ca="1">Calculation!U107</f>
        <v>-</v>
      </c>
      <c r="M126" s="180" t="str">
        <f ca="1">Calculation!V107</f>
        <v>-</v>
      </c>
      <c r="N126" s="181"/>
      <c r="O126" s="180" t="str">
        <f ca="1">Calculation!X107</f>
        <v>-</v>
      </c>
      <c r="P126" s="180" t="str">
        <f ca="1">Calculation!Y107</f>
        <v>-</v>
      </c>
      <c r="Q126" s="273"/>
      <c r="R126" s="182" t="str">
        <f ca="1">IF(AND(L126&lt;&gt;"-",Q126&lt;&gt;"bypass"),IFERROR(IF((U126*$R$23/0.05)-SUM(S126:U126)&gt;0,(U126*$R$23/0.05)-SUM(S126:U126),0),"-"),Calculation!AH107)</f>
        <v>-</v>
      </c>
      <c r="S126" s="179" t="str">
        <f ca="1">IF(AND(L126&lt;&gt;"-",Q126&lt;&gt;"bypass"),IFERROR(X126*((H126*10^-12-H126*10^-12*I126)/(Calculation!$U$8*10^-9)),"-"),Calculation!AF107)</f>
        <v>-</v>
      </c>
      <c r="T126" s="179" t="str">
        <f ca="1">IF(AND(L126&lt;&gt;"-",Q126&lt;&gt;"bypass"),IFERROR(H126*I126*X126/(IF(Cluster!AA126=Cluster!$W$8,Cluster!$W$10,IF(Cluster!AA126=Cluster!$X$8,Cluster!$X$10,IF(Cluster!AA126=Cluster!$Y$8,Cluster!$Y$10,0)))*10^3),"-"),Calculation!AK107)</f>
        <v>-</v>
      </c>
      <c r="U126" s="179" t="str">
        <f ca="1">IF(AND(L126&lt;&gt;"-",Q126&lt;&gt;"bypass"),IFERROR((0.5/50)*X126/$R$23,"-"),Calculation!AG107)</f>
        <v>-</v>
      </c>
      <c r="V126" s="179" t="str">
        <f ca="1">IF(AND(L126&lt;&gt;"-",Q126&lt;&gt;"bypass"),IFERROR(5/50*X126,"-"),Calculation!AI107)</f>
        <v>-</v>
      </c>
      <c r="W126" s="179" t="str">
        <f ca="1">IF(AND(L126&lt;&gt;"-",Q126&lt;&gt;"bypass"),IFERROR(35/50*X126,"-"),Calculation!AJ107)</f>
        <v>-</v>
      </c>
      <c r="X126" s="179" t="str">
        <f ca="1">IF(AND(L126&lt;&gt;"-",Q126&lt;&gt;"bypass"),$W$23,Calculation!AL107)</f>
        <v>-</v>
      </c>
      <c r="Y126" s="183" t="str">
        <f ca="1">IF(AND(L126&lt;&gt;"-",Q126&lt;&gt;"bypass"),IFERROR($R$23*U126/SUM(R126:U126),"-"),Calculation!AP107)</f>
        <v>-</v>
      </c>
      <c r="Z126" s="184" t="str">
        <f t="shared" ca="1" si="5"/>
        <v>-</v>
      </c>
      <c r="AA126" s="185" t="str">
        <f ca="1">IFERROR(IF(I126=0,"-",IF(AND(ROUND(H126*I126*X126/($W$10*10^3),1)&gt;=Calculation!$O$6,ROUND((((U126)*$R$23/0.05)-((S126)+(H126*I126*X126/($W$10*10^3))+(U126))),1)&gt;=0),Cluster!$W$8,IF(AND(ROUND(H126*I126*X126/($X$10*10^3),1)&gt;=Calculation!$O$6,ROUND((((U126)*$R$23/0.05)-((S126)+(H126*I126*X126/($X$10*10^3))+(U126))),1)&gt;=0),Cluster!$X$8,IF(AND(ROUND(H126*I126*X126/($Y$10*10^3),1)&gt;=Calculation!$O$6,ROUND((((U126)*$R$23/0.05)-((S126)+(H126*I126*X126/($Y$10*10^3))+(U126))),1)&gt;=0),Cluster!$Y$8,"Recepie by hand needed")))),"-")</f>
        <v>-</v>
      </c>
      <c r="AC126" s="37" t="str">
        <f t="shared" ca="1" si="6"/>
        <v>-</v>
      </c>
      <c r="AD126" s="37" t="str">
        <f t="shared" ca="1" si="7"/>
        <v>-</v>
      </c>
      <c r="AE126" s="220" t="str">
        <f t="shared" ca="1" si="8"/>
        <v>-</v>
      </c>
      <c r="AF126" s="37" t="str">
        <f t="shared" ca="1" si="9"/>
        <v>-</v>
      </c>
    </row>
    <row r="127" spans="1:32" ht="14.25" x14ac:dyDescent="0.5">
      <c r="A127" s="170" t="str">
        <f>Calculation!I108</f>
        <v/>
      </c>
      <c r="B127" s="221" t="str">
        <f ca="1">Calculation!B108</f>
        <v/>
      </c>
      <c r="C127" s="221" t="str">
        <f ca="1">Calculation!C108</f>
        <v/>
      </c>
      <c r="D127" s="172" t="str">
        <f ca="1">Calculation!AN108</f>
        <v/>
      </c>
      <c r="E127" s="173" t="str">
        <f ca="1">Calculation!D108</f>
        <v/>
      </c>
      <c r="F127" s="174" t="str">
        <f ca="1">Calculation!C108</f>
        <v/>
      </c>
      <c r="G127" s="175" t="str">
        <f ca="1">Calculation!F108</f>
        <v/>
      </c>
      <c r="H127" s="176" t="str">
        <f ca="1">Calculation!AD108</f>
        <v/>
      </c>
      <c r="I127" s="177" t="str">
        <f ca="1">Calculation!AE108</f>
        <v/>
      </c>
      <c r="J127" s="272" t="str">
        <f ca="1">IF(Calculation!Q108="","Selection",Calculation!Q108)</f>
        <v>Selection</v>
      </c>
      <c r="K127" s="179" t="str">
        <f ca="1">Calculation!T108</f>
        <v/>
      </c>
      <c r="L127" s="180" t="str">
        <f ca="1">Calculation!U108</f>
        <v>-</v>
      </c>
      <c r="M127" s="180" t="str">
        <f ca="1">Calculation!V108</f>
        <v>-</v>
      </c>
      <c r="N127" s="181"/>
      <c r="O127" s="180" t="str">
        <f ca="1">Calculation!X108</f>
        <v>-</v>
      </c>
      <c r="P127" s="180" t="str">
        <f ca="1">Calculation!Y108</f>
        <v>-</v>
      </c>
      <c r="Q127" s="273"/>
      <c r="R127" s="182" t="str">
        <f ca="1">IF(AND(L127&lt;&gt;"-",Q127&lt;&gt;"bypass"),IFERROR(IF((U127*$R$23/0.05)-SUM(S127:U127)&gt;0,(U127*$R$23/0.05)-SUM(S127:U127),0),"-"),Calculation!AH108)</f>
        <v>-</v>
      </c>
      <c r="S127" s="179" t="str">
        <f ca="1">IF(AND(L127&lt;&gt;"-",Q127&lt;&gt;"bypass"),IFERROR(X127*((H127*10^-12-H127*10^-12*I127)/(Calculation!$U$8*10^-9)),"-"),Calculation!AF108)</f>
        <v>-</v>
      </c>
      <c r="T127" s="179" t="str">
        <f ca="1">IF(AND(L127&lt;&gt;"-",Q127&lt;&gt;"bypass"),IFERROR(H127*I127*X127/(IF(Cluster!AA127=Cluster!$W$8,Cluster!$W$10,IF(Cluster!AA127=Cluster!$X$8,Cluster!$X$10,IF(Cluster!AA127=Cluster!$Y$8,Cluster!$Y$10,0)))*10^3),"-"),Calculation!AK108)</f>
        <v>-</v>
      </c>
      <c r="U127" s="179" t="str">
        <f ca="1">IF(AND(L127&lt;&gt;"-",Q127&lt;&gt;"bypass"),IFERROR((0.5/50)*X127/$R$23,"-"),Calculation!AG108)</f>
        <v>-</v>
      </c>
      <c r="V127" s="179" t="str">
        <f ca="1">IF(AND(L127&lt;&gt;"-",Q127&lt;&gt;"bypass"),IFERROR(5/50*X127,"-"),Calculation!AI108)</f>
        <v>-</v>
      </c>
      <c r="W127" s="179" t="str">
        <f ca="1">IF(AND(L127&lt;&gt;"-",Q127&lt;&gt;"bypass"),IFERROR(35/50*X127,"-"),Calculation!AJ108)</f>
        <v>-</v>
      </c>
      <c r="X127" s="179" t="str">
        <f ca="1">IF(AND(L127&lt;&gt;"-",Q127&lt;&gt;"bypass"),$W$23,Calculation!AL108)</f>
        <v>-</v>
      </c>
      <c r="Y127" s="183" t="str">
        <f ca="1">IF(AND(L127&lt;&gt;"-",Q127&lt;&gt;"bypass"),IFERROR($R$23*U127/SUM(R127:U127),"-"),Calculation!AP108)</f>
        <v>-</v>
      </c>
      <c r="Z127" s="184" t="str">
        <f t="shared" ca="1" si="5"/>
        <v>-</v>
      </c>
      <c r="AA127" s="185" t="str">
        <f ca="1">IFERROR(IF(I127=0,"-",IF(AND(ROUND(H127*I127*X127/($W$10*10^3),1)&gt;=Calculation!$O$6,ROUND((((U127)*$R$23/0.05)-((S127)+(H127*I127*X127/($W$10*10^3))+(U127))),1)&gt;=0),Cluster!$W$8,IF(AND(ROUND(H127*I127*X127/($X$10*10^3),1)&gt;=Calculation!$O$6,ROUND((((U127)*$R$23/0.05)-((S127)+(H127*I127*X127/($X$10*10^3))+(U127))),1)&gt;=0),Cluster!$X$8,IF(AND(ROUND(H127*I127*X127/($Y$10*10^3),1)&gt;=Calculation!$O$6,ROUND((((U127)*$R$23/0.05)-((S127)+(H127*I127*X127/($Y$10*10^3))+(U127))),1)&gt;=0),Cluster!$Y$8,"Recepie by hand needed")))),"-")</f>
        <v>-</v>
      </c>
      <c r="AC127" s="37" t="str">
        <f t="shared" ca="1" si="6"/>
        <v>-</v>
      </c>
      <c r="AD127" s="37" t="str">
        <f t="shared" ca="1" si="7"/>
        <v>-</v>
      </c>
      <c r="AE127" s="220" t="str">
        <f t="shared" ca="1" si="8"/>
        <v>-</v>
      </c>
      <c r="AF127" s="37" t="str">
        <f t="shared" ca="1" si="9"/>
        <v>-</v>
      </c>
    </row>
    <row r="128" spans="1:32" ht="14.25" x14ac:dyDescent="0.5">
      <c r="A128" s="170" t="str">
        <f>Calculation!I109</f>
        <v/>
      </c>
      <c r="B128" s="221" t="str">
        <f ca="1">Calculation!B109</f>
        <v/>
      </c>
      <c r="C128" s="221" t="str">
        <f ca="1">Calculation!C109</f>
        <v/>
      </c>
      <c r="D128" s="172" t="str">
        <f ca="1">Calculation!AN109</f>
        <v/>
      </c>
      <c r="E128" s="173" t="str">
        <f ca="1">Calculation!D109</f>
        <v/>
      </c>
      <c r="F128" s="174" t="str">
        <f ca="1">Calculation!C109</f>
        <v/>
      </c>
      <c r="G128" s="175" t="str">
        <f ca="1">Calculation!F109</f>
        <v/>
      </c>
      <c r="H128" s="176" t="str">
        <f ca="1">Calculation!AD109</f>
        <v/>
      </c>
      <c r="I128" s="177" t="str">
        <f ca="1">Calculation!AE109</f>
        <v/>
      </c>
      <c r="J128" s="272" t="str">
        <f ca="1">IF(Calculation!Q109="","Selection",Calculation!Q109)</f>
        <v>Selection</v>
      </c>
      <c r="K128" s="179" t="str">
        <f ca="1">Calculation!T109</f>
        <v/>
      </c>
      <c r="L128" s="180" t="str">
        <f ca="1">Calculation!U109</f>
        <v>-</v>
      </c>
      <c r="M128" s="180" t="str">
        <f ca="1">Calculation!V109</f>
        <v>-</v>
      </c>
      <c r="N128" s="181"/>
      <c r="O128" s="180" t="str">
        <f ca="1">Calculation!X109</f>
        <v>-</v>
      </c>
      <c r="P128" s="180" t="str">
        <f ca="1">Calculation!Y109</f>
        <v>-</v>
      </c>
      <c r="Q128" s="273"/>
      <c r="R128" s="182" t="str">
        <f ca="1">IF(AND(L128&lt;&gt;"-",Q128&lt;&gt;"bypass"),IFERROR(IF((U128*$R$23/0.05)-SUM(S128:U128)&gt;0,(U128*$R$23/0.05)-SUM(S128:U128),0),"-"),Calculation!AH109)</f>
        <v>-</v>
      </c>
      <c r="S128" s="179" t="str">
        <f ca="1">IF(AND(L128&lt;&gt;"-",Q128&lt;&gt;"bypass"),IFERROR(X128*((H128*10^-12-H128*10^-12*I128)/(Calculation!$U$8*10^-9)),"-"),Calculation!AF109)</f>
        <v>-</v>
      </c>
      <c r="T128" s="179" t="str">
        <f ca="1">IF(AND(L128&lt;&gt;"-",Q128&lt;&gt;"bypass"),IFERROR(H128*I128*X128/(IF(Cluster!AA128=Cluster!$W$8,Cluster!$W$10,IF(Cluster!AA128=Cluster!$X$8,Cluster!$X$10,IF(Cluster!AA128=Cluster!$Y$8,Cluster!$Y$10,0)))*10^3),"-"),Calculation!AK109)</f>
        <v>-</v>
      </c>
      <c r="U128" s="179" t="str">
        <f ca="1">IF(AND(L128&lt;&gt;"-",Q128&lt;&gt;"bypass"),IFERROR((0.5/50)*X128/$R$23,"-"),Calculation!AG109)</f>
        <v>-</v>
      </c>
      <c r="V128" s="179" t="str">
        <f ca="1">IF(AND(L128&lt;&gt;"-",Q128&lt;&gt;"bypass"),IFERROR(5/50*X128,"-"),Calculation!AI109)</f>
        <v>-</v>
      </c>
      <c r="W128" s="179" t="str">
        <f ca="1">IF(AND(L128&lt;&gt;"-",Q128&lt;&gt;"bypass"),IFERROR(35/50*X128,"-"),Calculation!AJ109)</f>
        <v>-</v>
      </c>
      <c r="X128" s="179" t="str">
        <f ca="1">IF(AND(L128&lt;&gt;"-",Q128&lt;&gt;"bypass"),$W$23,Calculation!AL109)</f>
        <v>-</v>
      </c>
      <c r="Y128" s="183" t="str">
        <f ca="1">IF(AND(L128&lt;&gt;"-",Q128&lt;&gt;"bypass"),IFERROR($R$23*U128/SUM(R128:U128),"-"),Calculation!AP109)</f>
        <v>-</v>
      </c>
      <c r="Z128" s="184" t="str">
        <f t="shared" ca="1" si="5"/>
        <v>-</v>
      </c>
      <c r="AA128" s="185" t="str">
        <f ca="1">IFERROR(IF(I128=0,"-",IF(AND(ROUND(H128*I128*X128/($W$10*10^3),1)&gt;=Calculation!$O$6,ROUND((((U128)*$R$23/0.05)-((S128)+(H128*I128*X128/($W$10*10^3))+(U128))),1)&gt;=0),Cluster!$W$8,IF(AND(ROUND(H128*I128*X128/($X$10*10^3),1)&gt;=Calculation!$O$6,ROUND((((U128)*$R$23/0.05)-((S128)+(H128*I128*X128/($X$10*10^3))+(U128))),1)&gt;=0),Cluster!$X$8,IF(AND(ROUND(H128*I128*X128/($Y$10*10^3),1)&gt;=Calculation!$O$6,ROUND((((U128)*$R$23/0.05)-((S128)+(H128*I128*X128/($Y$10*10^3))+(U128))),1)&gt;=0),Cluster!$Y$8,"Recepie by hand needed")))),"-")</f>
        <v>-</v>
      </c>
      <c r="AC128" s="37" t="str">
        <f t="shared" ca="1" si="6"/>
        <v>-</v>
      </c>
      <c r="AD128" s="37" t="str">
        <f t="shared" ca="1" si="7"/>
        <v>-</v>
      </c>
      <c r="AE128" s="220" t="str">
        <f t="shared" ca="1" si="8"/>
        <v>-</v>
      </c>
      <c r="AF128" s="37" t="str">
        <f t="shared" ca="1" si="9"/>
        <v>-</v>
      </c>
    </row>
    <row r="129" spans="1:32" ht="14.25" x14ac:dyDescent="0.5">
      <c r="A129" s="170" t="str">
        <f>Calculation!I110</f>
        <v/>
      </c>
      <c r="B129" s="221" t="str">
        <f ca="1">Calculation!B110</f>
        <v/>
      </c>
      <c r="C129" s="221" t="str">
        <f ca="1">Calculation!C110</f>
        <v/>
      </c>
      <c r="D129" s="172" t="str">
        <f ca="1">Calculation!AN110</f>
        <v/>
      </c>
      <c r="E129" s="173" t="str">
        <f ca="1">Calculation!D110</f>
        <v/>
      </c>
      <c r="F129" s="174" t="str">
        <f ca="1">Calculation!C110</f>
        <v/>
      </c>
      <c r="G129" s="175" t="str">
        <f ca="1">Calculation!F110</f>
        <v/>
      </c>
      <c r="H129" s="176" t="str">
        <f ca="1">Calculation!AD110</f>
        <v/>
      </c>
      <c r="I129" s="177" t="str">
        <f ca="1">Calculation!AE110</f>
        <v/>
      </c>
      <c r="J129" s="272" t="str">
        <f ca="1">IF(Calculation!Q110="","Selection",Calculation!Q110)</f>
        <v>Selection</v>
      </c>
      <c r="K129" s="179" t="str">
        <f ca="1">Calculation!T110</f>
        <v/>
      </c>
      <c r="L129" s="180" t="str">
        <f ca="1">Calculation!U110</f>
        <v>-</v>
      </c>
      <c r="M129" s="180" t="str">
        <f ca="1">Calculation!V110</f>
        <v>-</v>
      </c>
      <c r="N129" s="181"/>
      <c r="O129" s="180" t="str">
        <f ca="1">Calculation!X110</f>
        <v>-</v>
      </c>
      <c r="P129" s="180" t="str">
        <f ca="1">Calculation!Y110</f>
        <v>-</v>
      </c>
      <c r="Q129" s="273"/>
      <c r="R129" s="182" t="str">
        <f ca="1">IF(AND(L129&lt;&gt;"-",Q129&lt;&gt;"bypass"),IFERROR(IF((U129*$R$23/0.05)-SUM(S129:U129)&gt;0,(U129*$R$23/0.05)-SUM(S129:U129),0),"-"),Calculation!AH110)</f>
        <v>-</v>
      </c>
      <c r="S129" s="179" t="str">
        <f ca="1">IF(AND(L129&lt;&gt;"-",Q129&lt;&gt;"bypass"),IFERROR(X129*((H129*10^-12-H129*10^-12*I129)/(Calculation!$U$8*10^-9)),"-"),Calculation!AF110)</f>
        <v>-</v>
      </c>
      <c r="T129" s="179" t="str">
        <f ca="1">IF(AND(L129&lt;&gt;"-",Q129&lt;&gt;"bypass"),IFERROR(H129*I129*X129/(IF(Cluster!AA129=Cluster!$W$8,Cluster!$W$10,IF(Cluster!AA129=Cluster!$X$8,Cluster!$X$10,IF(Cluster!AA129=Cluster!$Y$8,Cluster!$Y$10,0)))*10^3),"-"),Calculation!AK110)</f>
        <v>-</v>
      </c>
      <c r="U129" s="179" t="str">
        <f ca="1">IF(AND(L129&lt;&gt;"-",Q129&lt;&gt;"bypass"),IFERROR((0.5/50)*X129/$R$23,"-"),Calculation!AG110)</f>
        <v>-</v>
      </c>
      <c r="V129" s="179" t="str">
        <f ca="1">IF(AND(L129&lt;&gt;"-",Q129&lt;&gt;"bypass"),IFERROR(5/50*X129,"-"),Calculation!AI110)</f>
        <v>-</v>
      </c>
      <c r="W129" s="179" t="str">
        <f ca="1">IF(AND(L129&lt;&gt;"-",Q129&lt;&gt;"bypass"),IFERROR(35/50*X129,"-"),Calculation!AJ110)</f>
        <v>-</v>
      </c>
      <c r="X129" s="179" t="str">
        <f ca="1">IF(AND(L129&lt;&gt;"-",Q129&lt;&gt;"bypass"),$W$23,Calculation!AL110)</f>
        <v>-</v>
      </c>
      <c r="Y129" s="183" t="str">
        <f ca="1">IF(AND(L129&lt;&gt;"-",Q129&lt;&gt;"bypass"),IFERROR($R$23*U129/SUM(R129:U129),"-"),Calculation!AP110)</f>
        <v>-</v>
      </c>
      <c r="Z129" s="184" t="str">
        <f t="shared" ca="1" si="5"/>
        <v>-</v>
      </c>
      <c r="AA129" s="185" t="str">
        <f ca="1">IFERROR(IF(I129=0,"-",IF(AND(ROUND(H129*I129*X129/($W$10*10^3),1)&gt;=Calculation!$O$6,ROUND((((U129)*$R$23/0.05)-((S129)+(H129*I129*X129/($W$10*10^3))+(U129))),1)&gt;=0),Cluster!$W$8,IF(AND(ROUND(H129*I129*X129/($X$10*10^3),1)&gt;=Calculation!$O$6,ROUND((((U129)*$R$23/0.05)-((S129)+(H129*I129*X129/($X$10*10^3))+(U129))),1)&gt;=0),Cluster!$X$8,IF(AND(ROUND(H129*I129*X129/($Y$10*10^3),1)&gt;=Calculation!$O$6,ROUND((((U129)*$R$23/0.05)-((S129)+(H129*I129*X129/($Y$10*10^3))+(U129))),1)&gt;=0),Cluster!$Y$8,"Recepie by hand needed")))),"-")</f>
        <v>-</v>
      </c>
      <c r="AC129" s="37" t="str">
        <f t="shared" ca="1" si="6"/>
        <v>-</v>
      </c>
      <c r="AD129" s="37" t="str">
        <f t="shared" ca="1" si="7"/>
        <v>-</v>
      </c>
      <c r="AE129" s="220" t="str">
        <f t="shared" ca="1" si="8"/>
        <v>-</v>
      </c>
      <c r="AF129" s="37" t="str">
        <f t="shared" ca="1" si="9"/>
        <v>-</v>
      </c>
    </row>
    <row r="130" spans="1:32" ht="14.25" x14ac:dyDescent="0.5">
      <c r="A130" s="170" t="str">
        <f>Calculation!I111</f>
        <v/>
      </c>
      <c r="B130" s="221" t="str">
        <f ca="1">Calculation!B111</f>
        <v/>
      </c>
      <c r="C130" s="221" t="str">
        <f ca="1">Calculation!C111</f>
        <v/>
      </c>
      <c r="D130" s="172" t="str">
        <f ca="1">Calculation!AN111</f>
        <v/>
      </c>
      <c r="E130" s="173" t="str">
        <f ca="1">Calculation!D111</f>
        <v/>
      </c>
      <c r="F130" s="174" t="str">
        <f ca="1">Calculation!C111</f>
        <v/>
      </c>
      <c r="G130" s="175" t="str">
        <f ca="1">Calculation!F111</f>
        <v/>
      </c>
      <c r="H130" s="176" t="str">
        <f ca="1">Calculation!AD111</f>
        <v/>
      </c>
      <c r="I130" s="177" t="str">
        <f ca="1">Calculation!AE111</f>
        <v/>
      </c>
      <c r="J130" s="272" t="str">
        <f ca="1">IF(Calculation!Q111="","Selection",Calculation!Q111)</f>
        <v>Selection</v>
      </c>
      <c r="K130" s="179" t="str">
        <f ca="1">Calculation!T111</f>
        <v/>
      </c>
      <c r="L130" s="180" t="str">
        <f ca="1">Calculation!U111</f>
        <v>-</v>
      </c>
      <c r="M130" s="180" t="str">
        <f ca="1">Calculation!V111</f>
        <v>-</v>
      </c>
      <c r="N130" s="181"/>
      <c r="O130" s="180" t="str">
        <f ca="1">Calculation!X111</f>
        <v>-</v>
      </c>
      <c r="P130" s="180" t="str">
        <f ca="1">Calculation!Y111</f>
        <v>-</v>
      </c>
      <c r="Q130" s="273"/>
      <c r="R130" s="182" t="str">
        <f ca="1">IF(AND(L130&lt;&gt;"-",Q130&lt;&gt;"bypass"),IFERROR(IF((U130*$R$23/0.05)-SUM(S130:U130)&gt;0,(U130*$R$23/0.05)-SUM(S130:U130),0),"-"),Calculation!AH111)</f>
        <v>-</v>
      </c>
      <c r="S130" s="179" t="str">
        <f ca="1">IF(AND(L130&lt;&gt;"-",Q130&lt;&gt;"bypass"),IFERROR(X130*((H130*10^-12-H130*10^-12*I130)/(Calculation!$U$8*10^-9)),"-"),Calculation!AF111)</f>
        <v>-</v>
      </c>
      <c r="T130" s="179" t="str">
        <f ca="1">IF(AND(L130&lt;&gt;"-",Q130&lt;&gt;"bypass"),IFERROR(H130*I130*X130/(IF(Cluster!AA130=Cluster!$W$8,Cluster!$W$10,IF(Cluster!AA130=Cluster!$X$8,Cluster!$X$10,IF(Cluster!AA130=Cluster!$Y$8,Cluster!$Y$10,0)))*10^3),"-"),Calculation!AK111)</f>
        <v>-</v>
      </c>
      <c r="U130" s="179" t="str">
        <f ca="1">IF(AND(L130&lt;&gt;"-",Q130&lt;&gt;"bypass"),IFERROR((0.5/50)*X130/$R$23,"-"),Calculation!AG111)</f>
        <v>-</v>
      </c>
      <c r="V130" s="179" t="str">
        <f ca="1">IF(AND(L130&lt;&gt;"-",Q130&lt;&gt;"bypass"),IFERROR(5/50*X130,"-"),Calculation!AI111)</f>
        <v>-</v>
      </c>
      <c r="W130" s="179" t="str">
        <f ca="1">IF(AND(L130&lt;&gt;"-",Q130&lt;&gt;"bypass"),IFERROR(35/50*X130,"-"),Calculation!AJ111)</f>
        <v>-</v>
      </c>
      <c r="X130" s="179" t="str">
        <f ca="1">IF(AND(L130&lt;&gt;"-",Q130&lt;&gt;"bypass"),$W$23,Calculation!AL111)</f>
        <v>-</v>
      </c>
      <c r="Y130" s="183" t="str">
        <f ca="1">IF(AND(L130&lt;&gt;"-",Q130&lt;&gt;"bypass"),IFERROR($R$23*U130/SUM(R130:U130),"-"),Calculation!AP111)</f>
        <v>-</v>
      </c>
      <c r="Z130" s="184" t="str">
        <f t="shared" ca="1" si="5"/>
        <v>-</v>
      </c>
      <c r="AA130" s="185" t="str">
        <f ca="1">IFERROR(IF(I130=0,"-",IF(AND(ROUND(H130*I130*X130/($W$10*10^3),1)&gt;=Calculation!$O$6,ROUND((((U130)*$R$23/0.05)-((S130)+(H130*I130*X130/($W$10*10^3))+(U130))),1)&gt;=0),Cluster!$W$8,IF(AND(ROUND(H130*I130*X130/($X$10*10^3),1)&gt;=Calculation!$O$6,ROUND((((U130)*$R$23/0.05)-((S130)+(H130*I130*X130/($X$10*10^3))+(U130))),1)&gt;=0),Cluster!$X$8,IF(AND(ROUND(H130*I130*X130/($Y$10*10^3),1)&gt;=Calculation!$O$6,ROUND((((U130)*$R$23/0.05)-((S130)+(H130*I130*X130/($Y$10*10^3))+(U130))),1)&gt;=0),Cluster!$Y$8,"Recepie by hand needed")))),"-")</f>
        <v>-</v>
      </c>
      <c r="AC130" s="37" t="str">
        <f t="shared" ca="1" si="6"/>
        <v>-</v>
      </c>
      <c r="AD130" s="37" t="str">
        <f t="shared" ca="1" si="7"/>
        <v>-</v>
      </c>
      <c r="AE130" s="220" t="str">
        <f t="shared" ca="1" si="8"/>
        <v>-</v>
      </c>
      <c r="AF130" s="37" t="str">
        <f t="shared" ca="1" si="9"/>
        <v>-</v>
      </c>
    </row>
    <row r="131" spans="1:32" ht="14.25" x14ac:dyDescent="0.5">
      <c r="A131" s="170" t="str">
        <f>Calculation!I112</f>
        <v/>
      </c>
      <c r="B131" s="221" t="str">
        <f ca="1">Calculation!B112</f>
        <v/>
      </c>
      <c r="C131" s="221" t="str">
        <f ca="1">Calculation!C112</f>
        <v/>
      </c>
      <c r="D131" s="172" t="str">
        <f ca="1">Calculation!AN112</f>
        <v/>
      </c>
      <c r="E131" s="173" t="str">
        <f ca="1">Calculation!D112</f>
        <v/>
      </c>
      <c r="F131" s="174" t="str">
        <f ca="1">Calculation!C112</f>
        <v/>
      </c>
      <c r="G131" s="175" t="str">
        <f ca="1">Calculation!F112</f>
        <v/>
      </c>
      <c r="H131" s="176" t="str">
        <f ca="1">Calculation!AD112</f>
        <v/>
      </c>
      <c r="I131" s="177" t="str">
        <f ca="1">Calculation!AE112</f>
        <v/>
      </c>
      <c r="J131" s="272" t="str">
        <f ca="1">IF(Calculation!Q112="","Selection",Calculation!Q112)</f>
        <v>Selection</v>
      </c>
      <c r="K131" s="179" t="str">
        <f ca="1">Calculation!T112</f>
        <v/>
      </c>
      <c r="L131" s="180" t="str">
        <f ca="1">Calculation!U112</f>
        <v>-</v>
      </c>
      <c r="M131" s="180" t="str">
        <f ca="1">Calculation!V112</f>
        <v>-</v>
      </c>
      <c r="N131" s="181"/>
      <c r="O131" s="180" t="str">
        <f ca="1">Calculation!X112</f>
        <v>-</v>
      </c>
      <c r="P131" s="180" t="str">
        <f ca="1">Calculation!Y112</f>
        <v>-</v>
      </c>
      <c r="Q131" s="273"/>
      <c r="R131" s="182" t="str">
        <f ca="1">IF(AND(L131&lt;&gt;"-",Q131&lt;&gt;"bypass"),IFERROR(IF((U131*$R$23/0.05)-SUM(S131:U131)&gt;0,(U131*$R$23/0.05)-SUM(S131:U131),0),"-"),Calculation!AH112)</f>
        <v>-</v>
      </c>
      <c r="S131" s="179" t="str">
        <f ca="1">IF(AND(L131&lt;&gt;"-",Q131&lt;&gt;"bypass"),IFERROR(X131*((H131*10^-12-H131*10^-12*I131)/(Calculation!$U$8*10^-9)),"-"),Calculation!AF112)</f>
        <v>-</v>
      </c>
      <c r="T131" s="179" t="str">
        <f ca="1">IF(AND(L131&lt;&gt;"-",Q131&lt;&gt;"bypass"),IFERROR(H131*I131*X131/(IF(Cluster!AA131=Cluster!$W$8,Cluster!$W$10,IF(Cluster!AA131=Cluster!$X$8,Cluster!$X$10,IF(Cluster!AA131=Cluster!$Y$8,Cluster!$Y$10,0)))*10^3),"-"),Calculation!AK112)</f>
        <v>-</v>
      </c>
      <c r="U131" s="179" t="str">
        <f ca="1">IF(AND(L131&lt;&gt;"-",Q131&lt;&gt;"bypass"),IFERROR((0.5/50)*X131/$R$23,"-"),Calculation!AG112)</f>
        <v>-</v>
      </c>
      <c r="V131" s="179" t="str">
        <f ca="1">IF(AND(L131&lt;&gt;"-",Q131&lt;&gt;"bypass"),IFERROR(5/50*X131,"-"),Calculation!AI112)</f>
        <v>-</v>
      </c>
      <c r="W131" s="179" t="str">
        <f ca="1">IF(AND(L131&lt;&gt;"-",Q131&lt;&gt;"bypass"),IFERROR(35/50*X131,"-"),Calculation!AJ112)</f>
        <v>-</v>
      </c>
      <c r="X131" s="179" t="str">
        <f ca="1">IF(AND(L131&lt;&gt;"-",Q131&lt;&gt;"bypass"),$W$23,Calculation!AL112)</f>
        <v>-</v>
      </c>
      <c r="Y131" s="183" t="str">
        <f ca="1">IF(AND(L131&lt;&gt;"-",Q131&lt;&gt;"bypass"),IFERROR($R$23*U131/SUM(R131:U131),"-"),Calculation!AP112)</f>
        <v>-</v>
      </c>
      <c r="Z131" s="184" t="str">
        <f t="shared" ca="1" si="5"/>
        <v>-</v>
      </c>
      <c r="AA131" s="185" t="str">
        <f ca="1">IFERROR(IF(I131=0,"-",IF(AND(ROUND(H131*I131*X131/($W$10*10^3),1)&gt;=Calculation!$O$6,ROUND((((U131)*$R$23/0.05)-((S131)+(H131*I131*X131/($W$10*10^3))+(U131))),1)&gt;=0),Cluster!$W$8,IF(AND(ROUND(H131*I131*X131/($X$10*10^3),1)&gt;=Calculation!$O$6,ROUND((((U131)*$R$23/0.05)-((S131)+(H131*I131*X131/($X$10*10^3))+(U131))),1)&gt;=0),Cluster!$X$8,IF(AND(ROUND(H131*I131*X131/($Y$10*10^3),1)&gt;=Calculation!$O$6,ROUND((((U131)*$R$23/0.05)-((S131)+(H131*I131*X131/($Y$10*10^3))+(U131))),1)&gt;=0),Cluster!$Y$8,"Recepie by hand needed")))),"-")</f>
        <v>-</v>
      </c>
      <c r="AC131" s="37" t="str">
        <f t="shared" ca="1" si="6"/>
        <v>-</v>
      </c>
      <c r="AD131" s="37" t="str">
        <f t="shared" ca="1" si="7"/>
        <v>-</v>
      </c>
      <c r="AE131" s="220" t="str">
        <f t="shared" ca="1" si="8"/>
        <v>-</v>
      </c>
      <c r="AF131" s="37" t="str">
        <f t="shared" ca="1" si="9"/>
        <v>-</v>
      </c>
    </row>
    <row r="132" spans="1:32" ht="14.25" x14ac:dyDescent="0.5">
      <c r="A132" s="170" t="str">
        <f>Calculation!I113</f>
        <v/>
      </c>
      <c r="B132" s="221" t="str">
        <f ca="1">Calculation!B113</f>
        <v/>
      </c>
      <c r="C132" s="221" t="str">
        <f ca="1">Calculation!C113</f>
        <v/>
      </c>
      <c r="D132" s="172" t="str">
        <f ca="1">Calculation!AN113</f>
        <v/>
      </c>
      <c r="E132" s="173" t="str">
        <f ca="1">Calculation!D113</f>
        <v/>
      </c>
      <c r="F132" s="174" t="str">
        <f ca="1">Calculation!C113</f>
        <v/>
      </c>
      <c r="G132" s="175" t="str">
        <f ca="1">Calculation!F113</f>
        <v/>
      </c>
      <c r="H132" s="176" t="str">
        <f ca="1">Calculation!AD113</f>
        <v/>
      </c>
      <c r="I132" s="177" t="str">
        <f ca="1">Calculation!AE113</f>
        <v/>
      </c>
      <c r="J132" s="272" t="str">
        <f ca="1">IF(Calculation!Q113="","Selection",Calculation!Q113)</f>
        <v>Selection</v>
      </c>
      <c r="K132" s="179" t="str">
        <f ca="1">Calculation!T113</f>
        <v/>
      </c>
      <c r="L132" s="180" t="str">
        <f ca="1">Calculation!U113</f>
        <v>-</v>
      </c>
      <c r="M132" s="180" t="str">
        <f ca="1">Calculation!V113</f>
        <v>-</v>
      </c>
      <c r="N132" s="181"/>
      <c r="O132" s="180" t="str">
        <f ca="1">Calculation!X113</f>
        <v>-</v>
      </c>
      <c r="P132" s="180" t="str">
        <f ca="1">Calculation!Y113</f>
        <v>-</v>
      </c>
      <c r="Q132" s="273"/>
      <c r="R132" s="182" t="str">
        <f ca="1">IF(AND(L132&lt;&gt;"-",Q132&lt;&gt;"bypass"),IFERROR(IF((U132*$R$23/0.05)-SUM(S132:U132)&gt;0,(U132*$R$23/0.05)-SUM(S132:U132),0),"-"),Calculation!AH113)</f>
        <v>-</v>
      </c>
      <c r="S132" s="179" t="str">
        <f ca="1">IF(AND(L132&lt;&gt;"-",Q132&lt;&gt;"bypass"),IFERROR(X132*((H132*10^-12-H132*10^-12*I132)/(Calculation!$U$8*10^-9)),"-"),Calculation!AF113)</f>
        <v>-</v>
      </c>
      <c r="T132" s="179" t="str">
        <f ca="1">IF(AND(L132&lt;&gt;"-",Q132&lt;&gt;"bypass"),IFERROR(H132*I132*X132/(IF(Cluster!AA132=Cluster!$W$8,Cluster!$W$10,IF(Cluster!AA132=Cluster!$X$8,Cluster!$X$10,IF(Cluster!AA132=Cluster!$Y$8,Cluster!$Y$10,0)))*10^3),"-"),Calculation!AK113)</f>
        <v>-</v>
      </c>
      <c r="U132" s="179" t="str">
        <f ca="1">IF(AND(L132&lt;&gt;"-",Q132&lt;&gt;"bypass"),IFERROR((0.5/50)*X132/$R$23,"-"),Calculation!AG113)</f>
        <v>-</v>
      </c>
      <c r="V132" s="179" t="str">
        <f ca="1">IF(AND(L132&lt;&gt;"-",Q132&lt;&gt;"bypass"),IFERROR(5/50*X132,"-"),Calculation!AI113)</f>
        <v>-</v>
      </c>
      <c r="W132" s="179" t="str">
        <f ca="1">IF(AND(L132&lt;&gt;"-",Q132&lt;&gt;"bypass"),IFERROR(35/50*X132,"-"),Calculation!AJ113)</f>
        <v>-</v>
      </c>
      <c r="X132" s="179" t="str">
        <f ca="1">IF(AND(L132&lt;&gt;"-",Q132&lt;&gt;"bypass"),$W$23,Calculation!AL113)</f>
        <v>-</v>
      </c>
      <c r="Y132" s="183" t="str">
        <f ca="1">IF(AND(L132&lt;&gt;"-",Q132&lt;&gt;"bypass"),IFERROR($R$23*U132/SUM(R132:U132),"-"),Calculation!AP113)</f>
        <v>-</v>
      </c>
      <c r="Z132" s="184" t="str">
        <f t="shared" ca="1" si="5"/>
        <v>-</v>
      </c>
      <c r="AA132" s="185" t="str">
        <f ca="1">IFERROR(IF(I132=0,"-",IF(AND(ROUND(H132*I132*X132/($W$10*10^3),1)&gt;=Calculation!$O$6,ROUND((((U132)*$R$23/0.05)-((S132)+(H132*I132*X132/($W$10*10^3))+(U132))),1)&gt;=0),Cluster!$W$8,IF(AND(ROUND(H132*I132*X132/($X$10*10^3),1)&gt;=Calculation!$O$6,ROUND((((U132)*$R$23/0.05)-((S132)+(H132*I132*X132/($X$10*10^3))+(U132))),1)&gt;=0),Cluster!$X$8,IF(AND(ROUND(H132*I132*X132/($Y$10*10^3),1)&gt;=Calculation!$O$6,ROUND((((U132)*$R$23/0.05)-((S132)+(H132*I132*X132/($Y$10*10^3))+(U132))),1)&gt;=0),Cluster!$Y$8,"Recepie by hand needed")))),"-")</f>
        <v>-</v>
      </c>
      <c r="AC132" s="37" t="str">
        <f t="shared" ca="1" si="6"/>
        <v>-</v>
      </c>
      <c r="AD132" s="37" t="str">
        <f t="shared" ca="1" si="7"/>
        <v>-</v>
      </c>
      <c r="AE132" s="220" t="str">
        <f t="shared" ca="1" si="8"/>
        <v>-</v>
      </c>
      <c r="AF132" s="37" t="str">
        <f t="shared" ca="1" si="9"/>
        <v>-</v>
      </c>
    </row>
    <row r="133" spans="1:32" ht="14.25" x14ac:dyDescent="0.5">
      <c r="A133" s="170" t="str">
        <f>Calculation!I114</f>
        <v/>
      </c>
      <c r="B133" s="221" t="str">
        <f ca="1">Calculation!B114</f>
        <v/>
      </c>
      <c r="C133" s="221" t="str">
        <f ca="1">Calculation!C114</f>
        <v/>
      </c>
      <c r="D133" s="172" t="str">
        <f ca="1">Calculation!AN114</f>
        <v/>
      </c>
      <c r="E133" s="173" t="str">
        <f ca="1">Calculation!D114</f>
        <v/>
      </c>
      <c r="F133" s="174" t="str">
        <f ca="1">Calculation!C114</f>
        <v/>
      </c>
      <c r="G133" s="175" t="str">
        <f ca="1">Calculation!F114</f>
        <v/>
      </c>
      <c r="H133" s="176" t="str">
        <f ca="1">Calculation!AD114</f>
        <v/>
      </c>
      <c r="I133" s="177" t="str">
        <f ca="1">Calculation!AE114</f>
        <v/>
      </c>
      <c r="J133" s="272" t="str">
        <f ca="1">IF(Calculation!Q114="","Selection",Calculation!Q114)</f>
        <v>Selection</v>
      </c>
      <c r="K133" s="179" t="str">
        <f ca="1">Calculation!T114</f>
        <v/>
      </c>
      <c r="L133" s="180" t="str">
        <f ca="1">Calculation!U114</f>
        <v>-</v>
      </c>
      <c r="M133" s="180" t="str">
        <f ca="1">Calculation!V114</f>
        <v>-</v>
      </c>
      <c r="N133" s="181"/>
      <c r="O133" s="180" t="str">
        <f ca="1">Calculation!X114</f>
        <v>-</v>
      </c>
      <c r="P133" s="180" t="str">
        <f ca="1">Calculation!Y114</f>
        <v>-</v>
      </c>
      <c r="Q133" s="273"/>
      <c r="R133" s="182" t="str">
        <f ca="1">IF(AND(L133&lt;&gt;"-",Q133&lt;&gt;"bypass"),IFERROR(IF((U133*$R$23/0.05)-SUM(S133:U133)&gt;0,(U133*$R$23/0.05)-SUM(S133:U133),0),"-"),Calculation!AH114)</f>
        <v>-</v>
      </c>
      <c r="S133" s="179" t="str">
        <f ca="1">IF(AND(L133&lt;&gt;"-",Q133&lt;&gt;"bypass"),IFERROR(X133*((H133*10^-12-H133*10^-12*I133)/(Calculation!$U$8*10^-9)),"-"),Calculation!AF114)</f>
        <v>-</v>
      </c>
      <c r="T133" s="179" t="str">
        <f ca="1">IF(AND(L133&lt;&gt;"-",Q133&lt;&gt;"bypass"),IFERROR(H133*I133*X133/(IF(Cluster!AA133=Cluster!$W$8,Cluster!$W$10,IF(Cluster!AA133=Cluster!$X$8,Cluster!$X$10,IF(Cluster!AA133=Cluster!$Y$8,Cluster!$Y$10,0)))*10^3),"-"),Calculation!AK114)</f>
        <v>-</v>
      </c>
      <c r="U133" s="179" t="str">
        <f ca="1">IF(AND(L133&lt;&gt;"-",Q133&lt;&gt;"bypass"),IFERROR((0.5/50)*X133/$R$23,"-"),Calculation!AG114)</f>
        <v>-</v>
      </c>
      <c r="V133" s="179" t="str">
        <f ca="1">IF(AND(L133&lt;&gt;"-",Q133&lt;&gt;"bypass"),IFERROR(5/50*X133,"-"),Calculation!AI114)</f>
        <v>-</v>
      </c>
      <c r="W133" s="179" t="str">
        <f ca="1">IF(AND(L133&lt;&gt;"-",Q133&lt;&gt;"bypass"),IFERROR(35/50*X133,"-"),Calculation!AJ114)</f>
        <v>-</v>
      </c>
      <c r="X133" s="179" t="str">
        <f ca="1">IF(AND(L133&lt;&gt;"-",Q133&lt;&gt;"bypass"),$W$23,Calculation!AL114)</f>
        <v>-</v>
      </c>
      <c r="Y133" s="183" t="str">
        <f ca="1">IF(AND(L133&lt;&gt;"-",Q133&lt;&gt;"bypass"),IFERROR($R$23*U133/SUM(R133:U133),"-"),Calculation!AP114)</f>
        <v>-</v>
      </c>
      <c r="Z133" s="184" t="str">
        <f t="shared" ca="1" si="5"/>
        <v>-</v>
      </c>
      <c r="AA133" s="185" t="str">
        <f ca="1">IFERROR(IF(I133=0,"-",IF(AND(ROUND(H133*I133*X133/($W$10*10^3),1)&gt;=Calculation!$O$6,ROUND((((U133)*$R$23/0.05)-((S133)+(H133*I133*X133/($W$10*10^3))+(U133))),1)&gt;=0),Cluster!$W$8,IF(AND(ROUND(H133*I133*X133/($X$10*10^3),1)&gt;=Calculation!$O$6,ROUND((((U133)*$R$23/0.05)-((S133)+(H133*I133*X133/($X$10*10^3))+(U133))),1)&gt;=0),Cluster!$X$8,IF(AND(ROUND(H133*I133*X133/($Y$10*10^3),1)&gt;=Calculation!$O$6,ROUND((((U133)*$R$23/0.05)-((S133)+(H133*I133*X133/($Y$10*10^3))+(U133))),1)&gt;=0),Cluster!$Y$8,"Recepie by hand needed")))),"-")</f>
        <v>-</v>
      </c>
      <c r="AC133" s="37" t="str">
        <f t="shared" ca="1" si="6"/>
        <v>-</v>
      </c>
      <c r="AD133" s="37" t="str">
        <f t="shared" ca="1" si="7"/>
        <v>-</v>
      </c>
      <c r="AE133" s="220" t="str">
        <f t="shared" ca="1" si="8"/>
        <v>-</v>
      </c>
      <c r="AF133" s="37" t="str">
        <f t="shared" ca="1" si="9"/>
        <v>-</v>
      </c>
    </row>
    <row r="134" spans="1:32" ht="14.25" x14ac:dyDescent="0.5">
      <c r="A134" s="170" t="str">
        <f>Calculation!I115</f>
        <v/>
      </c>
      <c r="B134" s="221" t="str">
        <f ca="1">Calculation!B115</f>
        <v/>
      </c>
      <c r="C134" s="221" t="str">
        <f ca="1">Calculation!C115</f>
        <v/>
      </c>
      <c r="D134" s="172" t="str">
        <f ca="1">Calculation!AN115</f>
        <v/>
      </c>
      <c r="E134" s="173" t="str">
        <f ca="1">Calculation!D115</f>
        <v/>
      </c>
      <c r="F134" s="174" t="str">
        <f ca="1">Calculation!C115</f>
        <v/>
      </c>
      <c r="G134" s="175" t="str">
        <f ca="1">Calculation!F115</f>
        <v/>
      </c>
      <c r="H134" s="176" t="str">
        <f ca="1">Calculation!AD115</f>
        <v/>
      </c>
      <c r="I134" s="177" t="str">
        <f ca="1">Calculation!AE115</f>
        <v/>
      </c>
      <c r="J134" s="272" t="str">
        <f ca="1">IF(Calculation!Q115="","Selection",Calculation!Q115)</f>
        <v>Selection</v>
      </c>
      <c r="K134" s="179" t="str">
        <f ca="1">Calculation!T115</f>
        <v/>
      </c>
      <c r="L134" s="180" t="str">
        <f ca="1">Calculation!U115</f>
        <v>-</v>
      </c>
      <c r="M134" s="180" t="str">
        <f ca="1">Calculation!V115</f>
        <v>-</v>
      </c>
      <c r="N134" s="181"/>
      <c r="O134" s="180" t="str">
        <f ca="1">Calculation!X115</f>
        <v>-</v>
      </c>
      <c r="P134" s="180" t="str">
        <f ca="1">Calculation!Y115</f>
        <v>-</v>
      </c>
      <c r="Q134" s="273"/>
      <c r="R134" s="182" t="str">
        <f ca="1">IF(AND(L134&lt;&gt;"-",Q134&lt;&gt;"bypass"),IFERROR(IF((U134*$R$23/0.05)-SUM(S134:U134)&gt;0,(U134*$R$23/0.05)-SUM(S134:U134),0),"-"),Calculation!AH115)</f>
        <v>-</v>
      </c>
      <c r="S134" s="179" t="str">
        <f ca="1">IF(AND(L134&lt;&gt;"-",Q134&lt;&gt;"bypass"),IFERROR(X134*((H134*10^-12-H134*10^-12*I134)/(Calculation!$U$8*10^-9)),"-"),Calculation!AF115)</f>
        <v>-</v>
      </c>
      <c r="T134" s="179" t="str">
        <f ca="1">IF(AND(L134&lt;&gt;"-",Q134&lt;&gt;"bypass"),IFERROR(H134*I134*X134/(IF(Cluster!AA134=Cluster!$W$8,Cluster!$W$10,IF(Cluster!AA134=Cluster!$X$8,Cluster!$X$10,IF(Cluster!AA134=Cluster!$Y$8,Cluster!$Y$10,0)))*10^3),"-"),Calculation!AK115)</f>
        <v>-</v>
      </c>
      <c r="U134" s="179" t="str">
        <f ca="1">IF(AND(L134&lt;&gt;"-",Q134&lt;&gt;"bypass"),IFERROR((0.5/50)*X134/$R$23,"-"),Calculation!AG115)</f>
        <v>-</v>
      </c>
      <c r="V134" s="179" t="str">
        <f ca="1">IF(AND(L134&lt;&gt;"-",Q134&lt;&gt;"bypass"),IFERROR(5/50*X134,"-"),Calculation!AI115)</f>
        <v>-</v>
      </c>
      <c r="W134" s="179" t="str">
        <f ca="1">IF(AND(L134&lt;&gt;"-",Q134&lt;&gt;"bypass"),IFERROR(35/50*X134,"-"),Calculation!AJ115)</f>
        <v>-</v>
      </c>
      <c r="X134" s="179" t="str">
        <f ca="1">IF(AND(L134&lt;&gt;"-",Q134&lt;&gt;"bypass"),$W$23,Calculation!AL115)</f>
        <v>-</v>
      </c>
      <c r="Y134" s="183" t="str">
        <f ca="1">IF(AND(L134&lt;&gt;"-",Q134&lt;&gt;"bypass"),IFERROR($R$23*U134/SUM(R134:U134),"-"),Calculation!AP115)</f>
        <v>-</v>
      </c>
      <c r="Z134" s="184" t="str">
        <f t="shared" ca="1" si="5"/>
        <v>-</v>
      </c>
      <c r="AA134" s="185" t="str">
        <f ca="1">IFERROR(IF(I134=0,"-",IF(AND(ROUND(H134*I134*X134/($W$10*10^3),1)&gt;=Calculation!$O$6,ROUND((((U134)*$R$23/0.05)-((S134)+(H134*I134*X134/($W$10*10^3))+(U134))),1)&gt;=0),Cluster!$W$8,IF(AND(ROUND(H134*I134*X134/($X$10*10^3),1)&gt;=Calculation!$O$6,ROUND((((U134)*$R$23/0.05)-((S134)+(H134*I134*X134/($X$10*10^3))+(U134))),1)&gt;=0),Cluster!$X$8,IF(AND(ROUND(H134*I134*X134/($Y$10*10^3),1)&gt;=Calculation!$O$6,ROUND((((U134)*$R$23/0.05)-((S134)+(H134*I134*X134/($Y$10*10^3))+(U134))),1)&gt;=0),Cluster!$Y$8,"Recepie by hand needed")))),"-")</f>
        <v>-</v>
      </c>
      <c r="AC134" s="37" t="str">
        <f t="shared" ca="1" si="6"/>
        <v>-</v>
      </c>
      <c r="AD134" s="37" t="str">
        <f t="shared" ca="1" si="7"/>
        <v>-</v>
      </c>
      <c r="AE134" s="220" t="str">
        <f t="shared" ca="1" si="8"/>
        <v>-</v>
      </c>
      <c r="AF134" s="37" t="str">
        <f t="shared" ca="1" si="9"/>
        <v>-</v>
      </c>
    </row>
    <row r="135" spans="1:32" ht="14.25" x14ac:dyDescent="0.5">
      <c r="A135" s="170" t="str">
        <f>Calculation!I116</f>
        <v/>
      </c>
      <c r="B135" s="221" t="str">
        <f ca="1">Calculation!B116</f>
        <v/>
      </c>
      <c r="C135" s="221" t="str">
        <f ca="1">Calculation!C116</f>
        <v/>
      </c>
      <c r="D135" s="172" t="str">
        <f ca="1">Calculation!AN116</f>
        <v/>
      </c>
      <c r="E135" s="173" t="str">
        <f ca="1">Calculation!D116</f>
        <v/>
      </c>
      <c r="F135" s="174" t="str">
        <f ca="1">Calculation!C116</f>
        <v/>
      </c>
      <c r="G135" s="175" t="str">
        <f ca="1">Calculation!F116</f>
        <v/>
      </c>
      <c r="H135" s="176" t="str">
        <f ca="1">Calculation!AD116</f>
        <v/>
      </c>
      <c r="I135" s="177" t="str">
        <f ca="1">Calculation!AE116</f>
        <v/>
      </c>
      <c r="J135" s="272" t="str">
        <f ca="1">IF(Calculation!Q116="","Selection",Calculation!Q116)</f>
        <v>Selection</v>
      </c>
      <c r="K135" s="179" t="str">
        <f ca="1">Calculation!T116</f>
        <v/>
      </c>
      <c r="L135" s="180" t="str">
        <f ca="1">Calculation!U116</f>
        <v>-</v>
      </c>
      <c r="M135" s="180" t="str">
        <f ca="1">Calculation!V116</f>
        <v>-</v>
      </c>
      <c r="N135" s="181"/>
      <c r="O135" s="180" t="str">
        <f ca="1">Calculation!X116</f>
        <v>-</v>
      </c>
      <c r="P135" s="180" t="str">
        <f ca="1">Calculation!Y116</f>
        <v>-</v>
      </c>
      <c r="Q135" s="273"/>
      <c r="R135" s="182" t="str">
        <f ca="1">IF(AND(L135&lt;&gt;"-",Q135&lt;&gt;"bypass"),IFERROR(IF((U135*$R$23/0.05)-SUM(S135:U135)&gt;0,(U135*$R$23/0.05)-SUM(S135:U135),0),"-"),Calculation!AH116)</f>
        <v>-</v>
      </c>
      <c r="S135" s="179" t="str">
        <f ca="1">IF(AND(L135&lt;&gt;"-",Q135&lt;&gt;"bypass"),IFERROR(X135*((H135*10^-12-H135*10^-12*I135)/(Calculation!$U$8*10^-9)),"-"),Calculation!AF116)</f>
        <v>-</v>
      </c>
      <c r="T135" s="179" t="str">
        <f ca="1">IF(AND(L135&lt;&gt;"-",Q135&lt;&gt;"bypass"),IFERROR(H135*I135*X135/(IF(Cluster!AA135=Cluster!$W$8,Cluster!$W$10,IF(Cluster!AA135=Cluster!$X$8,Cluster!$X$10,IF(Cluster!AA135=Cluster!$Y$8,Cluster!$Y$10,0)))*10^3),"-"),Calculation!AK116)</f>
        <v>-</v>
      </c>
      <c r="U135" s="179" t="str">
        <f ca="1">IF(AND(L135&lt;&gt;"-",Q135&lt;&gt;"bypass"),IFERROR((0.5/50)*X135/$R$23,"-"),Calculation!AG116)</f>
        <v>-</v>
      </c>
      <c r="V135" s="179" t="str">
        <f ca="1">IF(AND(L135&lt;&gt;"-",Q135&lt;&gt;"bypass"),IFERROR(5/50*X135,"-"),Calculation!AI116)</f>
        <v>-</v>
      </c>
      <c r="W135" s="179" t="str">
        <f ca="1">IF(AND(L135&lt;&gt;"-",Q135&lt;&gt;"bypass"),IFERROR(35/50*X135,"-"),Calculation!AJ116)</f>
        <v>-</v>
      </c>
      <c r="X135" s="179" t="str">
        <f ca="1">IF(AND(L135&lt;&gt;"-",Q135&lt;&gt;"bypass"),$W$23,Calculation!AL116)</f>
        <v>-</v>
      </c>
      <c r="Y135" s="183" t="str">
        <f ca="1">IF(AND(L135&lt;&gt;"-",Q135&lt;&gt;"bypass"),IFERROR($R$23*U135/SUM(R135:U135),"-"),Calculation!AP116)</f>
        <v>-</v>
      </c>
      <c r="Z135" s="184" t="str">
        <f t="shared" ca="1" si="5"/>
        <v>-</v>
      </c>
      <c r="AA135" s="185" t="str">
        <f ca="1">IFERROR(IF(I135=0,"-",IF(AND(ROUND(H135*I135*X135/($W$10*10^3),1)&gt;=Calculation!$O$6,ROUND((((U135)*$R$23/0.05)-((S135)+(H135*I135*X135/($W$10*10^3))+(U135))),1)&gt;=0),Cluster!$W$8,IF(AND(ROUND(H135*I135*X135/($X$10*10^3),1)&gt;=Calculation!$O$6,ROUND((((U135)*$R$23/0.05)-((S135)+(H135*I135*X135/($X$10*10^3))+(U135))),1)&gt;=0),Cluster!$X$8,IF(AND(ROUND(H135*I135*X135/($Y$10*10^3),1)&gt;=Calculation!$O$6,ROUND((((U135)*$R$23/0.05)-((S135)+(H135*I135*X135/($Y$10*10^3))+(U135))),1)&gt;=0),Cluster!$Y$8,"Recepie by hand needed")))),"-")</f>
        <v>-</v>
      </c>
      <c r="AC135" s="37" t="str">
        <f t="shared" ca="1" si="6"/>
        <v>-</v>
      </c>
      <c r="AD135" s="37" t="str">
        <f t="shared" ca="1" si="7"/>
        <v>-</v>
      </c>
      <c r="AE135" s="220" t="str">
        <f t="shared" ca="1" si="8"/>
        <v>-</v>
      </c>
      <c r="AF135" s="37" t="str">
        <f t="shared" ca="1" si="9"/>
        <v>-</v>
      </c>
    </row>
    <row r="136" spans="1:32" ht="14.25" x14ac:dyDescent="0.5">
      <c r="A136" s="170" t="str">
        <f>Calculation!I117</f>
        <v/>
      </c>
      <c r="B136" s="221" t="str">
        <f ca="1">Calculation!B117</f>
        <v/>
      </c>
      <c r="C136" s="221" t="str">
        <f ca="1">Calculation!C117</f>
        <v/>
      </c>
      <c r="D136" s="172" t="str">
        <f ca="1">Calculation!AN117</f>
        <v/>
      </c>
      <c r="E136" s="173" t="str">
        <f ca="1">Calculation!D117</f>
        <v/>
      </c>
      <c r="F136" s="174" t="str">
        <f ca="1">Calculation!C117</f>
        <v/>
      </c>
      <c r="G136" s="175" t="str">
        <f ca="1">Calculation!F117</f>
        <v/>
      </c>
      <c r="H136" s="176" t="str">
        <f ca="1">Calculation!AD117</f>
        <v/>
      </c>
      <c r="I136" s="177" t="str">
        <f ca="1">Calculation!AE117</f>
        <v/>
      </c>
      <c r="J136" s="272" t="str">
        <f ca="1">IF(Calculation!Q117="","Selection",Calculation!Q117)</f>
        <v>Selection</v>
      </c>
      <c r="K136" s="179" t="str">
        <f ca="1">Calculation!T117</f>
        <v/>
      </c>
      <c r="L136" s="180" t="str">
        <f ca="1">Calculation!U117</f>
        <v>-</v>
      </c>
      <c r="M136" s="180" t="str">
        <f ca="1">Calculation!V117</f>
        <v>-</v>
      </c>
      <c r="N136" s="181"/>
      <c r="O136" s="180" t="str">
        <f ca="1">Calculation!X117</f>
        <v>-</v>
      </c>
      <c r="P136" s="180" t="str">
        <f ca="1">Calculation!Y117</f>
        <v>-</v>
      </c>
      <c r="Q136" s="273"/>
      <c r="R136" s="182" t="str">
        <f ca="1">IF(AND(L136&lt;&gt;"-",Q136&lt;&gt;"bypass"),IFERROR(IF((U136*$R$23/0.05)-SUM(S136:U136)&gt;0,(U136*$R$23/0.05)-SUM(S136:U136),0),"-"),Calculation!AH117)</f>
        <v>-</v>
      </c>
      <c r="S136" s="179" t="str">
        <f ca="1">IF(AND(L136&lt;&gt;"-",Q136&lt;&gt;"bypass"),IFERROR(X136*((H136*10^-12-H136*10^-12*I136)/(Calculation!$U$8*10^-9)),"-"),Calculation!AF117)</f>
        <v>-</v>
      </c>
      <c r="T136" s="179" t="str">
        <f ca="1">IF(AND(L136&lt;&gt;"-",Q136&lt;&gt;"bypass"),IFERROR(H136*I136*X136/(IF(Cluster!AA136=Cluster!$W$8,Cluster!$W$10,IF(Cluster!AA136=Cluster!$X$8,Cluster!$X$10,IF(Cluster!AA136=Cluster!$Y$8,Cluster!$Y$10,0)))*10^3),"-"),Calculation!AK117)</f>
        <v>-</v>
      </c>
      <c r="U136" s="179" t="str">
        <f ca="1">IF(AND(L136&lt;&gt;"-",Q136&lt;&gt;"bypass"),IFERROR((0.5/50)*X136/$R$23,"-"),Calculation!AG117)</f>
        <v>-</v>
      </c>
      <c r="V136" s="179" t="str">
        <f ca="1">IF(AND(L136&lt;&gt;"-",Q136&lt;&gt;"bypass"),IFERROR(5/50*X136,"-"),Calculation!AI117)</f>
        <v>-</v>
      </c>
      <c r="W136" s="179" t="str">
        <f ca="1">IF(AND(L136&lt;&gt;"-",Q136&lt;&gt;"bypass"),IFERROR(35/50*X136,"-"),Calculation!AJ117)</f>
        <v>-</v>
      </c>
      <c r="X136" s="179" t="str">
        <f ca="1">IF(AND(L136&lt;&gt;"-",Q136&lt;&gt;"bypass"),$W$23,Calculation!AL117)</f>
        <v>-</v>
      </c>
      <c r="Y136" s="183" t="str">
        <f ca="1">IF(AND(L136&lt;&gt;"-",Q136&lt;&gt;"bypass"),IFERROR($R$23*U136/SUM(R136:U136),"-"),Calculation!AP117)</f>
        <v>-</v>
      </c>
      <c r="Z136" s="184" t="str">
        <f t="shared" ca="1" si="5"/>
        <v>-</v>
      </c>
      <c r="AA136" s="185" t="str">
        <f ca="1">IFERROR(IF(I136=0,"-",IF(AND(ROUND(H136*I136*X136/($W$10*10^3),1)&gt;=Calculation!$O$6,ROUND((((U136)*$R$23/0.05)-((S136)+(H136*I136*X136/($W$10*10^3))+(U136))),1)&gt;=0),Cluster!$W$8,IF(AND(ROUND(H136*I136*X136/($X$10*10^3),1)&gt;=Calculation!$O$6,ROUND((((U136)*$R$23/0.05)-((S136)+(H136*I136*X136/($X$10*10^3))+(U136))),1)&gt;=0),Cluster!$X$8,IF(AND(ROUND(H136*I136*X136/($Y$10*10^3),1)&gt;=Calculation!$O$6,ROUND((((U136)*$R$23/0.05)-((S136)+(H136*I136*X136/($Y$10*10^3))+(U136))),1)&gt;=0),Cluster!$Y$8,"Recepie by hand needed")))),"-")</f>
        <v>-</v>
      </c>
      <c r="AC136" s="37" t="str">
        <f t="shared" ca="1" si="6"/>
        <v>-</v>
      </c>
      <c r="AD136" s="37" t="str">
        <f t="shared" ca="1" si="7"/>
        <v>-</v>
      </c>
      <c r="AE136" s="220" t="str">
        <f t="shared" ca="1" si="8"/>
        <v>-</v>
      </c>
      <c r="AF136" s="37" t="str">
        <f t="shared" ca="1" si="9"/>
        <v>-</v>
      </c>
    </row>
    <row r="137" spans="1:32" ht="14.25" x14ac:dyDescent="0.5">
      <c r="A137" s="170" t="str">
        <f>Calculation!I118</f>
        <v/>
      </c>
      <c r="B137" s="221" t="str">
        <f ca="1">Calculation!B118</f>
        <v/>
      </c>
      <c r="C137" s="221" t="str">
        <f ca="1">Calculation!C118</f>
        <v/>
      </c>
      <c r="D137" s="172" t="str">
        <f ca="1">Calculation!AN118</f>
        <v/>
      </c>
      <c r="E137" s="173" t="str">
        <f ca="1">Calculation!D118</f>
        <v/>
      </c>
      <c r="F137" s="174" t="str">
        <f ca="1">Calculation!C118</f>
        <v/>
      </c>
      <c r="G137" s="175" t="str">
        <f ca="1">Calculation!F118</f>
        <v/>
      </c>
      <c r="H137" s="176" t="str">
        <f ca="1">Calculation!AD118</f>
        <v/>
      </c>
      <c r="I137" s="177" t="str">
        <f ca="1">Calculation!AE118</f>
        <v/>
      </c>
      <c r="J137" s="272" t="str">
        <f ca="1">IF(Calculation!Q118="","Selection",Calculation!Q118)</f>
        <v>Selection</v>
      </c>
      <c r="K137" s="179" t="str">
        <f ca="1">Calculation!T118</f>
        <v/>
      </c>
      <c r="L137" s="180" t="str">
        <f ca="1">Calculation!U118</f>
        <v>-</v>
      </c>
      <c r="M137" s="180" t="str">
        <f ca="1">Calculation!V118</f>
        <v>-</v>
      </c>
      <c r="N137" s="181"/>
      <c r="O137" s="180" t="str">
        <f ca="1">Calculation!X118</f>
        <v>-</v>
      </c>
      <c r="P137" s="180" t="str">
        <f ca="1">Calculation!Y118</f>
        <v>-</v>
      </c>
      <c r="Q137" s="273"/>
      <c r="R137" s="182" t="str">
        <f ca="1">IF(AND(L137&lt;&gt;"-",Q137&lt;&gt;"bypass"),IFERROR(IF((U137*$R$23/0.05)-SUM(S137:U137)&gt;0,(U137*$R$23/0.05)-SUM(S137:U137),0),"-"),Calculation!AH118)</f>
        <v>-</v>
      </c>
      <c r="S137" s="179" t="str">
        <f ca="1">IF(AND(L137&lt;&gt;"-",Q137&lt;&gt;"bypass"),IFERROR(X137*((H137*10^-12-H137*10^-12*I137)/(Calculation!$U$8*10^-9)),"-"),Calculation!AF118)</f>
        <v>-</v>
      </c>
      <c r="T137" s="179" t="str">
        <f ca="1">IF(AND(L137&lt;&gt;"-",Q137&lt;&gt;"bypass"),IFERROR(H137*I137*X137/(IF(Cluster!AA137=Cluster!$W$8,Cluster!$W$10,IF(Cluster!AA137=Cluster!$X$8,Cluster!$X$10,IF(Cluster!AA137=Cluster!$Y$8,Cluster!$Y$10,0)))*10^3),"-"),Calculation!AK118)</f>
        <v>-</v>
      </c>
      <c r="U137" s="179" t="str">
        <f ca="1">IF(AND(L137&lt;&gt;"-",Q137&lt;&gt;"bypass"),IFERROR((0.5/50)*X137/$R$23,"-"),Calculation!AG118)</f>
        <v>-</v>
      </c>
      <c r="V137" s="179" t="str">
        <f ca="1">IF(AND(L137&lt;&gt;"-",Q137&lt;&gt;"bypass"),IFERROR(5/50*X137,"-"),Calculation!AI118)</f>
        <v>-</v>
      </c>
      <c r="W137" s="179" t="str">
        <f ca="1">IF(AND(L137&lt;&gt;"-",Q137&lt;&gt;"bypass"),IFERROR(35/50*X137,"-"),Calculation!AJ118)</f>
        <v>-</v>
      </c>
      <c r="X137" s="179" t="str">
        <f ca="1">IF(AND(L137&lt;&gt;"-",Q137&lt;&gt;"bypass"),$W$23,Calculation!AL118)</f>
        <v>-</v>
      </c>
      <c r="Y137" s="183" t="str">
        <f ca="1">IF(AND(L137&lt;&gt;"-",Q137&lt;&gt;"bypass"),IFERROR($R$23*U137/SUM(R137:U137),"-"),Calculation!AP118)</f>
        <v>-</v>
      </c>
      <c r="Z137" s="184" t="str">
        <f t="shared" ca="1" si="5"/>
        <v>-</v>
      </c>
      <c r="AA137" s="185" t="str">
        <f ca="1">IFERROR(IF(I137=0,"-",IF(AND(ROUND(H137*I137*X137/($W$10*10^3),1)&gt;=Calculation!$O$6,ROUND((((U137)*$R$23/0.05)-((S137)+(H137*I137*X137/($W$10*10^3))+(U137))),1)&gt;=0),Cluster!$W$8,IF(AND(ROUND(H137*I137*X137/($X$10*10^3),1)&gt;=Calculation!$O$6,ROUND((((U137)*$R$23/0.05)-((S137)+(H137*I137*X137/($X$10*10^3))+(U137))),1)&gt;=0),Cluster!$X$8,IF(AND(ROUND(H137*I137*X137/($Y$10*10^3),1)&gt;=Calculation!$O$6,ROUND((((U137)*$R$23/0.05)-((S137)+(H137*I137*X137/($Y$10*10^3))+(U137))),1)&gt;=0),Cluster!$Y$8,"Recepie by hand needed")))),"-")</f>
        <v>-</v>
      </c>
      <c r="AC137" s="37" t="str">
        <f t="shared" ca="1" si="6"/>
        <v>-</v>
      </c>
      <c r="AD137" s="37" t="str">
        <f t="shared" ca="1" si="7"/>
        <v>-</v>
      </c>
      <c r="AE137" s="220" t="str">
        <f t="shared" ca="1" si="8"/>
        <v>-</v>
      </c>
      <c r="AF137" s="37" t="str">
        <f t="shared" ca="1" si="9"/>
        <v>-</v>
      </c>
    </row>
    <row r="138" spans="1:32" ht="14.25" x14ac:dyDescent="0.5">
      <c r="A138" s="170" t="str">
        <f>Calculation!I119</f>
        <v/>
      </c>
      <c r="B138" s="221" t="str">
        <f ca="1">Calculation!B119</f>
        <v/>
      </c>
      <c r="C138" s="221" t="str">
        <f ca="1">Calculation!C119</f>
        <v/>
      </c>
      <c r="D138" s="172" t="str">
        <f ca="1">Calculation!AN119</f>
        <v/>
      </c>
      <c r="E138" s="173" t="str">
        <f ca="1">Calculation!D119</f>
        <v/>
      </c>
      <c r="F138" s="174" t="str">
        <f ca="1">Calculation!C119</f>
        <v/>
      </c>
      <c r="G138" s="175" t="str">
        <f ca="1">Calculation!F119</f>
        <v/>
      </c>
      <c r="H138" s="176" t="str">
        <f ca="1">Calculation!AD119</f>
        <v/>
      </c>
      <c r="I138" s="177" t="str">
        <f ca="1">Calculation!AE119</f>
        <v/>
      </c>
      <c r="J138" s="272" t="str">
        <f ca="1">IF(Calculation!Q119="","Selection",Calculation!Q119)</f>
        <v>Selection</v>
      </c>
      <c r="K138" s="179" t="str">
        <f ca="1">Calculation!T119</f>
        <v/>
      </c>
      <c r="L138" s="180" t="str">
        <f ca="1">Calculation!U119</f>
        <v>-</v>
      </c>
      <c r="M138" s="180" t="str">
        <f ca="1">Calculation!V119</f>
        <v>-</v>
      </c>
      <c r="N138" s="181"/>
      <c r="O138" s="180" t="str">
        <f ca="1">Calculation!X119</f>
        <v>-</v>
      </c>
      <c r="P138" s="180" t="str">
        <f ca="1">Calculation!Y119</f>
        <v>-</v>
      </c>
      <c r="Q138" s="273"/>
      <c r="R138" s="182" t="str">
        <f ca="1">IF(AND(L138&lt;&gt;"-",Q138&lt;&gt;"bypass"),IFERROR(IF((U138*$R$23/0.05)-SUM(S138:U138)&gt;0,(U138*$R$23/0.05)-SUM(S138:U138),0),"-"),Calculation!AH119)</f>
        <v>-</v>
      </c>
      <c r="S138" s="179" t="str">
        <f ca="1">IF(AND(L138&lt;&gt;"-",Q138&lt;&gt;"bypass"),IFERROR(X138*((H138*10^-12-H138*10^-12*I138)/(Calculation!$U$8*10^-9)),"-"),Calculation!AF119)</f>
        <v>-</v>
      </c>
      <c r="T138" s="179" t="str">
        <f ca="1">IF(AND(L138&lt;&gt;"-",Q138&lt;&gt;"bypass"),IFERROR(H138*I138*X138/(IF(Cluster!AA138=Cluster!$W$8,Cluster!$W$10,IF(Cluster!AA138=Cluster!$X$8,Cluster!$X$10,IF(Cluster!AA138=Cluster!$Y$8,Cluster!$Y$10,0)))*10^3),"-"),Calculation!AK119)</f>
        <v>-</v>
      </c>
      <c r="U138" s="179" t="str">
        <f ca="1">IF(AND(L138&lt;&gt;"-",Q138&lt;&gt;"bypass"),IFERROR((0.5/50)*X138/$R$23,"-"),Calculation!AG119)</f>
        <v>-</v>
      </c>
      <c r="V138" s="179" t="str">
        <f ca="1">IF(AND(L138&lt;&gt;"-",Q138&lt;&gt;"bypass"),IFERROR(5/50*X138,"-"),Calculation!AI119)</f>
        <v>-</v>
      </c>
      <c r="W138" s="179" t="str">
        <f ca="1">IF(AND(L138&lt;&gt;"-",Q138&lt;&gt;"bypass"),IFERROR(35/50*X138,"-"),Calculation!AJ119)</f>
        <v>-</v>
      </c>
      <c r="X138" s="179" t="str">
        <f ca="1">IF(AND(L138&lt;&gt;"-",Q138&lt;&gt;"bypass"),$W$23,Calculation!AL119)</f>
        <v>-</v>
      </c>
      <c r="Y138" s="183" t="str">
        <f ca="1">IF(AND(L138&lt;&gt;"-",Q138&lt;&gt;"bypass"),IFERROR($R$23*U138/SUM(R138:U138),"-"),Calculation!AP119)</f>
        <v>-</v>
      </c>
      <c r="Z138" s="184" t="str">
        <f t="shared" ca="1" si="5"/>
        <v>-</v>
      </c>
      <c r="AA138" s="185" t="str">
        <f ca="1">IFERROR(IF(I138=0,"-",IF(AND(ROUND(H138*I138*X138/($W$10*10^3),1)&gt;=Calculation!$O$6,ROUND((((U138)*$R$23/0.05)-((S138)+(H138*I138*X138/($W$10*10^3))+(U138))),1)&gt;=0),Cluster!$W$8,IF(AND(ROUND(H138*I138*X138/($X$10*10^3),1)&gt;=Calculation!$O$6,ROUND((((U138)*$R$23/0.05)-((S138)+(H138*I138*X138/($X$10*10^3))+(U138))),1)&gt;=0),Cluster!$X$8,IF(AND(ROUND(H138*I138*X138/($Y$10*10^3),1)&gt;=Calculation!$O$6,ROUND((((U138)*$R$23/0.05)-((S138)+(H138*I138*X138/($Y$10*10^3))+(U138))),1)&gt;=0),Cluster!$Y$8,"Recepie by hand needed")))),"-")</f>
        <v>-</v>
      </c>
      <c r="AC138" s="37" t="str">
        <f t="shared" ca="1" si="6"/>
        <v>-</v>
      </c>
      <c r="AD138" s="37" t="str">
        <f t="shared" ca="1" si="7"/>
        <v>-</v>
      </c>
      <c r="AE138" s="220" t="str">
        <f t="shared" ca="1" si="8"/>
        <v>-</v>
      </c>
      <c r="AF138" s="37" t="str">
        <f t="shared" ca="1" si="9"/>
        <v>-</v>
      </c>
    </row>
    <row r="139" spans="1:32" ht="14.25" x14ac:dyDescent="0.5">
      <c r="A139" s="170" t="str">
        <f>Calculation!I120</f>
        <v/>
      </c>
      <c r="B139" s="221" t="str">
        <f ca="1">Calculation!B120</f>
        <v/>
      </c>
      <c r="C139" s="221" t="str">
        <f ca="1">Calculation!C120</f>
        <v/>
      </c>
      <c r="D139" s="172" t="str">
        <f ca="1">Calculation!AN120</f>
        <v/>
      </c>
      <c r="E139" s="173" t="str">
        <f ca="1">Calculation!D120</f>
        <v/>
      </c>
      <c r="F139" s="174" t="str">
        <f ca="1">Calculation!C120</f>
        <v/>
      </c>
      <c r="G139" s="175" t="str">
        <f ca="1">Calculation!F120</f>
        <v/>
      </c>
      <c r="H139" s="176" t="str">
        <f ca="1">Calculation!AD120</f>
        <v/>
      </c>
      <c r="I139" s="177" t="str">
        <f ca="1">Calculation!AE120</f>
        <v/>
      </c>
      <c r="J139" s="272" t="str">
        <f ca="1">IF(Calculation!Q120="","Selection",Calculation!Q120)</f>
        <v>Selection</v>
      </c>
      <c r="K139" s="179" t="str">
        <f ca="1">Calculation!T120</f>
        <v/>
      </c>
      <c r="L139" s="180" t="str">
        <f ca="1">Calculation!U120</f>
        <v>-</v>
      </c>
      <c r="M139" s="180" t="str">
        <f ca="1">Calculation!V120</f>
        <v>-</v>
      </c>
      <c r="N139" s="181"/>
      <c r="O139" s="180" t="str">
        <f ca="1">Calculation!X120</f>
        <v>-</v>
      </c>
      <c r="P139" s="180" t="str">
        <f ca="1">Calculation!Y120</f>
        <v>-</v>
      </c>
      <c r="Q139" s="273"/>
      <c r="R139" s="182" t="str">
        <f ca="1">IF(AND(L139&lt;&gt;"-",Q139&lt;&gt;"bypass"),IFERROR(IF((U139*$R$23/0.05)-SUM(S139:U139)&gt;0,(U139*$R$23/0.05)-SUM(S139:U139),0),"-"),Calculation!AH120)</f>
        <v>-</v>
      </c>
      <c r="S139" s="179" t="str">
        <f ca="1">IF(AND(L139&lt;&gt;"-",Q139&lt;&gt;"bypass"),IFERROR(X139*((H139*10^-12-H139*10^-12*I139)/(Calculation!$U$8*10^-9)),"-"),Calculation!AF120)</f>
        <v>-</v>
      </c>
      <c r="T139" s="179" t="str">
        <f ca="1">IF(AND(L139&lt;&gt;"-",Q139&lt;&gt;"bypass"),IFERROR(H139*I139*X139/(IF(Cluster!AA139=Cluster!$W$8,Cluster!$W$10,IF(Cluster!AA139=Cluster!$X$8,Cluster!$X$10,IF(Cluster!AA139=Cluster!$Y$8,Cluster!$Y$10,0)))*10^3),"-"),Calculation!AK120)</f>
        <v>-</v>
      </c>
      <c r="U139" s="179" t="str">
        <f ca="1">IF(AND(L139&lt;&gt;"-",Q139&lt;&gt;"bypass"),IFERROR((0.5/50)*X139/$R$23,"-"),Calculation!AG120)</f>
        <v>-</v>
      </c>
      <c r="V139" s="179" t="str">
        <f ca="1">IF(AND(L139&lt;&gt;"-",Q139&lt;&gt;"bypass"),IFERROR(5/50*X139,"-"),Calculation!AI120)</f>
        <v>-</v>
      </c>
      <c r="W139" s="179" t="str">
        <f ca="1">IF(AND(L139&lt;&gt;"-",Q139&lt;&gt;"bypass"),IFERROR(35/50*X139,"-"),Calculation!AJ120)</f>
        <v>-</v>
      </c>
      <c r="X139" s="179" t="str">
        <f ca="1">IF(AND(L139&lt;&gt;"-",Q139&lt;&gt;"bypass"),$W$23,Calculation!AL120)</f>
        <v>-</v>
      </c>
      <c r="Y139" s="183" t="str">
        <f ca="1">IF(AND(L139&lt;&gt;"-",Q139&lt;&gt;"bypass"),IFERROR($R$23*U139/SUM(R139:U139),"-"),Calculation!AP120)</f>
        <v>-</v>
      </c>
      <c r="Z139" s="184" t="str">
        <f t="shared" ca="1" si="5"/>
        <v>-</v>
      </c>
      <c r="AA139" s="185" t="str">
        <f ca="1">IFERROR(IF(I139=0,"-",IF(AND(ROUND(H139*I139*X139/($W$10*10^3),1)&gt;=Calculation!$O$6,ROUND((((U139)*$R$23/0.05)-((S139)+(H139*I139*X139/($W$10*10^3))+(U139))),1)&gt;=0),Cluster!$W$8,IF(AND(ROUND(H139*I139*X139/($X$10*10^3),1)&gt;=Calculation!$O$6,ROUND((((U139)*$R$23/0.05)-((S139)+(H139*I139*X139/($X$10*10^3))+(U139))),1)&gt;=0),Cluster!$X$8,IF(AND(ROUND(H139*I139*X139/($Y$10*10^3),1)&gt;=Calculation!$O$6,ROUND((((U139)*$R$23/0.05)-((S139)+(H139*I139*X139/($Y$10*10^3))+(U139))),1)&gt;=0),Cluster!$Y$8,"Recepie by hand needed")))),"-")</f>
        <v>-</v>
      </c>
      <c r="AC139" s="37" t="str">
        <f t="shared" ca="1" si="6"/>
        <v>-</v>
      </c>
      <c r="AD139" s="37" t="str">
        <f t="shared" ca="1" si="7"/>
        <v>-</v>
      </c>
      <c r="AE139" s="220" t="str">
        <f t="shared" ca="1" si="8"/>
        <v>-</v>
      </c>
      <c r="AF139" s="37" t="str">
        <f t="shared" ca="1" si="9"/>
        <v>-</v>
      </c>
    </row>
    <row r="140" spans="1:32" ht="14.25" x14ac:dyDescent="0.5">
      <c r="A140" s="170" t="str">
        <f>Calculation!I121</f>
        <v/>
      </c>
      <c r="B140" s="221" t="str">
        <f ca="1">Calculation!B121</f>
        <v/>
      </c>
      <c r="C140" s="221" t="str">
        <f ca="1">Calculation!C121</f>
        <v/>
      </c>
      <c r="D140" s="172" t="str">
        <f ca="1">Calculation!AN121</f>
        <v/>
      </c>
      <c r="E140" s="173" t="str">
        <f ca="1">Calculation!D121</f>
        <v/>
      </c>
      <c r="F140" s="174" t="str">
        <f ca="1">Calculation!C121</f>
        <v/>
      </c>
      <c r="G140" s="175" t="str">
        <f ca="1">Calculation!F121</f>
        <v/>
      </c>
      <c r="H140" s="176" t="str">
        <f ca="1">Calculation!AD121</f>
        <v/>
      </c>
      <c r="I140" s="177" t="str">
        <f ca="1">Calculation!AE121</f>
        <v/>
      </c>
      <c r="J140" s="272" t="str">
        <f ca="1">IF(Calculation!Q121="","Selection",Calculation!Q121)</f>
        <v>Selection</v>
      </c>
      <c r="K140" s="179" t="str">
        <f ca="1">Calculation!T121</f>
        <v/>
      </c>
      <c r="L140" s="180" t="str">
        <f ca="1">Calculation!U121</f>
        <v>-</v>
      </c>
      <c r="M140" s="180" t="str">
        <f ca="1">Calculation!V121</f>
        <v>-</v>
      </c>
      <c r="N140" s="181"/>
      <c r="O140" s="180" t="str">
        <f ca="1">Calculation!X121</f>
        <v>-</v>
      </c>
      <c r="P140" s="180" t="str">
        <f ca="1">Calculation!Y121</f>
        <v>-</v>
      </c>
      <c r="Q140" s="273"/>
      <c r="R140" s="182" t="str">
        <f ca="1">IF(AND(L140&lt;&gt;"-",Q140&lt;&gt;"bypass"),IFERROR(IF((U140*$R$23/0.05)-SUM(S140:U140)&gt;0,(U140*$R$23/0.05)-SUM(S140:U140),0),"-"),Calculation!AH121)</f>
        <v>-</v>
      </c>
      <c r="S140" s="179" t="str">
        <f ca="1">IF(AND(L140&lt;&gt;"-",Q140&lt;&gt;"bypass"),IFERROR(X140*((H140*10^-12-H140*10^-12*I140)/(Calculation!$U$8*10^-9)),"-"),Calculation!AF121)</f>
        <v>-</v>
      </c>
      <c r="T140" s="179" t="str">
        <f ca="1">IF(AND(L140&lt;&gt;"-",Q140&lt;&gt;"bypass"),IFERROR(H140*I140*X140/(IF(Cluster!AA140=Cluster!$W$8,Cluster!$W$10,IF(Cluster!AA140=Cluster!$X$8,Cluster!$X$10,IF(Cluster!AA140=Cluster!$Y$8,Cluster!$Y$10,0)))*10^3),"-"),Calculation!AK121)</f>
        <v>-</v>
      </c>
      <c r="U140" s="179" t="str">
        <f ca="1">IF(AND(L140&lt;&gt;"-",Q140&lt;&gt;"bypass"),IFERROR((0.5/50)*X140/$R$23,"-"),Calculation!AG121)</f>
        <v>-</v>
      </c>
      <c r="V140" s="179" t="str">
        <f ca="1">IF(AND(L140&lt;&gt;"-",Q140&lt;&gt;"bypass"),IFERROR(5/50*X140,"-"),Calculation!AI121)</f>
        <v>-</v>
      </c>
      <c r="W140" s="179" t="str">
        <f ca="1">IF(AND(L140&lt;&gt;"-",Q140&lt;&gt;"bypass"),IFERROR(35/50*X140,"-"),Calculation!AJ121)</f>
        <v>-</v>
      </c>
      <c r="X140" s="179" t="str">
        <f ca="1">IF(AND(L140&lt;&gt;"-",Q140&lt;&gt;"bypass"),$W$23,Calculation!AL121)</f>
        <v>-</v>
      </c>
      <c r="Y140" s="183" t="str">
        <f ca="1">IF(AND(L140&lt;&gt;"-",Q140&lt;&gt;"bypass"),IFERROR($R$23*U140/SUM(R140:U140),"-"),Calculation!AP121)</f>
        <v>-</v>
      </c>
      <c r="Z140" s="184" t="str">
        <f t="shared" ca="1" si="5"/>
        <v>-</v>
      </c>
      <c r="AA140" s="185" t="str">
        <f ca="1">IFERROR(IF(I140=0,"-",IF(AND(ROUND(H140*I140*X140/($W$10*10^3),1)&gt;=Calculation!$O$6,ROUND((((U140)*$R$23/0.05)-((S140)+(H140*I140*X140/($W$10*10^3))+(U140))),1)&gt;=0),Cluster!$W$8,IF(AND(ROUND(H140*I140*X140/($X$10*10^3),1)&gt;=Calculation!$O$6,ROUND((((U140)*$R$23/0.05)-((S140)+(H140*I140*X140/($X$10*10^3))+(U140))),1)&gt;=0),Cluster!$X$8,IF(AND(ROUND(H140*I140*X140/($Y$10*10^3),1)&gt;=Calculation!$O$6,ROUND((((U140)*$R$23/0.05)-((S140)+(H140*I140*X140/($Y$10*10^3))+(U140))),1)&gt;=0),Cluster!$Y$8,"Recepie by hand needed")))),"-")</f>
        <v>-</v>
      </c>
      <c r="AC140" s="37" t="str">
        <f t="shared" ca="1" si="6"/>
        <v>-</v>
      </c>
      <c r="AD140" s="37" t="str">
        <f t="shared" ca="1" si="7"/>
        <v>-</v>
      </c>
      <c r="AE140" s="220" t="str">
        <f t="shared" ca="1" si="8"/>
        <v>-</v>
      </c>
      <c r="AF140" s="37" t="str">
        <f t="shared" ca="1" si="9"/>
        <v>-</v>
      </c>
    </row>
    <row r="141" spans="1:32" ht="14.25" x14ac:dyDescent="0.5">
      <c r="A141" s="170" t="str">
        <f>Calculation!I122</f>
        <v/>
      </c>
      <c r="B141" s="221" t="str">
        <f ca="1">Calculation!B122</f>
        <v/>
      </c>
      <c r="C141" s="221" t="str">
        <f ca="1">Calculation!C122</f>
        <v/>
      </c>
      <c r="D141" s="172" t="str">
        <f ca="1">Calculation!AN122</f>
        <v/>
      </c>
      <c r="E141" s="173" t="str">
        <f ca="1">Calculation!D122</f>
        <v/>
      </c>
      <c r="F141" s="174" t="str">
        <f ca="1">Calculation!C122</f>
        <v/>
      </c>
      <c r="G141" s="175" t="str">
        <f ca="1">Calculation!F122</f>
        <v/>
      </c>
      <c r="H141" s="176" t="str">
        <f ca="1">Calculation!AD122</f>
        <v/>
      </c>
      <c r="I141" s="177" t="str">
        <f ca="1">Calculation!AE122</f>
        <v/>
      </c>
      <c r="J141" s="272" t="str">
        <f ca="1">IF(Calculation!Q122="","Selection",Calculation!Q122)</f>
        <v>Selection</v>
      </c>
      <c r="K141" s="179" t="str">
        <f ca="1">Calculation!T122</f>
        <v/>
      </c>
      <c r="L141" s="180" t="str">
        <f ca="1">Calculation!U122</f>
        <v>-</v>
      </c>
      <c r="M141" s="180" t="str">
        <f ca="1">Calculation!V122</f>
        <v>-</v>
      </c>
      <c r="N141" s="181"/>
      <c r="O141" s="180" t="str">
        <f ca="1">Calculation!X122</f>
        <v>-</v>
      </c>
      <c r="P141" s="180" t="str">
        <f ca="1">Calculation!Y122</f>
        <v>-</v>
      </c>
      <c r="Q141" s="273"/>
      <c r="R141" s="182" t="str">
        <f ca="1">IF(AND(L141&lt;&gt;"-",Q141&lt;&gt;"bypass"),IFERROR(IF((U141*$R$23/0.05)-SUM(S141:U141)&gt;0,(U141*$R$23/0.05)-SUM(S141:U141),0),"-"),Calculation!AH122)</f>
        <v>-</v>
      </c>
      <c r="S141" s="179" t="str">
        <f ca="1">IF(AND(L141&lt;&gt;"-",Q141&lt;&gt;"bypass"),IFERROR(X141*((H141*10^-12-H141*10^-12*I141)/(Calculation!$U$8*10^-9)),"-"),Calculation!AF122)</f>
        <v>-</v>
      </c>
      <c r="T141" s="179" t="str">
        <f ca="1">IF(AND(L141&lt;&gt;"-",Q141&lt;&gt;"bypass"),IFERROR(H141*I141*X141/(IF(Cluster!AA141=Cluster!$W$8,Cluster!$W$10,IF(Cluster!AA141=Cluster!$X$8,Cluster!$X$10,IF(Cluster!AA141=Cluster!$Y$8,Cluster!$Y$10,0)))*10^3),"-"),Calculation!AK122)</f>
        <v>-</v>
      </c>
      <c r="U141" s="179" t="str">
        <f ca="1">IF(AND(L141&lt;&gt;"-",Q141&lt;&gt;"bypass"),IFERROR((0.5/50)*X141/$R$23,"-"),Calculation!AG122)</f>
        <v>-</v>
      </c>
      <c r="V141" s="179" t="str">
        <f ca="1">IF(AND(L141&lt;&gt;"-",Q141&lt;&gt;"bypass"),IFERROR(5/50*X141,"-"),Calculation!AI122)</f>
        <v>-</v>
      </c>
      <c r="W141" s="179" t="str">
        <f ca="1">IF(AND(L141&lt;&gt;"-",Q141&lt;&gt;"bypass"),IFERROR(35/50*X141,"-"),Calculation!AJ122)</f>
        <v>-</v>
      </c>
      <c r="X141" s="179" t="str">
        <f ca="1">IF(AND(L141&lt;&gt;"-",Q141&lt;&gt;"bypass"),$W$23,Calculation!AL122)</f>
        <v>-</v>
      </c>
      <c r="Y141" s="183" t="str">
        <f ca="1">IF(AND(L141&lt;&gt;"-",Q141&lt;&gt;"bypass"),IFERROR($R$23*U141/SUM(R141:U141),"-"),Calculation!AP122)</f>
        <v>-</v>
      </c>
      <c r="Z141" s="184" t="str">
        <f t="shared" ca="1" si="5"/>
        <v>-</v>
      </c>
      <c r="AA141" s="185" t="str">
        <f ca="1">IFERROR(IF(I141=0,"-",IF(AND(ROUND(H141*I141*X141/($W$10*10^3),1)&gt;=Calculation!$O$6,ROUND((((U141)*$R$23/0.05)-((S141)+(H141*I141*X141/($W$10*10^3))+(U141))),1)&gt;=0),Cluster!$W$8,IF(AND(ROUND(H141*I141*X141/($X$10*10^3),1)&gt;=Calculation!$O$6,ROUND((((U141)*$R$23/0.05)-((S141)+(H141*I141*X141/($X$10*10^3))+(U141))),1)&gt;=0),Cluster!$X$8,IF(AND(ROUND(H141*I141*X141/($Y$10*10^3),1)&gt;=Calculation!$O$6,ROUND((((U141)*$R$23/0.05)-((S141)+(H141*I141*X141/($Y$10*10^3))+(U141))),1)&gt;=0),Cluster!$Y$8,"Recepie by hand needed")))),"-")</f>
        <v>-</v>
      </c>
      <c r="AC141" s="37" t="str">
        <f t="shared" ca="1" si="6"/>
        <v>-</v>
      </c>
      <c r="AD141" s="37" t="str">
        <f t="shared" ca="1" si="7"/>
        <v>-</v>
      </c>
      <c r="AE141" s="220" t="str">
        <f t="shared" ca="1" si="8"/>
        <v>-</v>
      </c>
      <c r="AF141" s="37" t="str">
        <f t="shared" ca="1" si="9"/>
        <v>-</v>
      </c>
    </row>
    <row r="142" spans="1:32" ht="14.25" x14ac:dyDescent="0.5">
      <c r="A142" s="170" t="str">
        <f>Calculation!I123</f>
        <v/>
      </c>
      <c r="B142" s="221" t="str">
        <f ca="1">Calculation!B123</f>
        <v/>
      </c>
      <c r="C142" s="221" t="str">
        <f ca="1">Calculation!C123</f>
        <v/>
      </c>
      <c r="D142" s="172" t="str">
        <f ca="1">Calculation!AN123</f>
        <v/>
      </c>
      <c r="E142" s="173" t="str">
        <f ca="1">Calculation!D123</f>
        <v/>
      </c>
      <c r="F142" s="174" t="str">
        <f ca="1">Calculation!C123</f>
        <v/>
      </c>
      <c r="G142" s="175" t="str">
        <f ca="1">Calculation!F123</f>
        <v/>
      </c>
      <c r="H142" s="176" t="str">
        <f ca="1">Calculation!AD123</f>
        <v/>
      </c>
      <c r="I142" s="177" t="str">
        <f ca="1">Calculation!AE123</f>
        <v/>
      </c>
      <c r="J142" s="272" t="str">
        <f ca="1">IF(Calculation!Q123="","Selection",Calculation!Q123)</f>
        <v>Selection</v>
      </c>
      <c r="K142" s="179" t="str">
        <f ca="1">Calculation!T123</f>
        <v/>
      </c>
      <c r="L142" s="180" t="str">
        <f ca="1">Calculation!U123</f>
        <v>-</v>
      </c>
      <c r="M142" s="180" t="str">
        <f ca="1">Calculation!V123</f>
        <v>-</v>
      </c>
      <c r="N142" s="181"/>
      <c r="O142" s="180" t="str">
        <f ca="1">Calculation!X123</f>
        <v>-</v>
      </c>
      <c r="P142" s="180" t="str">
        <f ca="1">Calculation!Y123</f>
        <v>-</v>
      </c>
      <c r="Q142" s="273"/>
      <c r="R142" s="182" t="str">
        <f ca="1">IF(AND(L142&lt;&gt;"-",Q142&lt;&gt;"bypass"),IFERROR(IF((U142*$R$23/0.05)-SUM(S142:U142)&gt;0,(U142*$R$23/0.05)-SUM(S142:U142),0),"-"),Calculation!AH123)</f>
        <v>-</v>
      </c>
      <c r="S142" s="179" t="str">
        <f ca="1">IF(AND(L142&lt;&gt;"-",Q142&lt;&gt;"bypass"),IFERROR(X142*((H142*10^-12-H142*10^-12*I142)/(Calculation!$U$8*10^-9)),"-"),Calculation!AF123)</f>
        <v>-</v>
      </c>
      <c r="T142" s="179" t="str">
        <f ca="1">IF(AND(L142&lt;&gt;"-",Q142&lt;&gt;"bypass"),IFERROR(H142*I142*X142/(IF(Cluster!AA142=Cluster!$W$8,Cluster!$W$10,IF(Cluster!AA142=Cluster!$X$8,Cluster!$X$10,IF(Cluster!AA142=Cluster!$Y$8,Cluster!$Y$10,0)))*10^3),"-"),Calculation!AK123)</f>
        <v>-</v>
      </c>
      <c r="U142" s="179" t="str">
        <f ca="1">IF(AND(L142&lt;&gt;"-",Q142&lt;&gt;"bypass"),IFERROR((0.5/50)*X142/$R$23,"-"),Calculation!AG123)</f>
        <v>-</v>
      </c>
      <c r="V142" s="179" t="str">
        <f ca="1">IF(AND(L142&lt;&gt;"-",Q142&lt;&gt;"bypass"),IFERROR(5/50*X142,"-"),Calculation!AI123)</f>
        <v>-</v>
      </c>
      <c r="W142" s="179" t="str">
        <f ca="1">IF(AND(L142&lt;&gt;"-",Q142&lt;&gt;"bypass"),IFERROR(35/50*X142,"-"),Calculation!AJ123)</f>
        <v>-</v>
      </c>
      <c r="X142" s="179" t="str">
        <f ca="1">IF(AND(L142&lt;&gt;"-",Q142&lt;&gt;"bypass"),$W$23,Calculation!AL123)</f>
        <v>-</v>
      </c>
      <c r="Y142" s="183" t="str">
        <f ca="1">IF(AND(L142&lt;&gt;"-",Q142&lt;&gt;"bypass"),IFERROR($R$23*U142/SUM(R142:U142),"-"),Calculation!AP123)</f>
        <v>-</v>
      </c>
      <c r="Z142" s="184" t="str">
        <f t="shared" ca="1" si="5"/>
        <v>-</v>
      </c>
      <c r="AA142" s="185" t="str">
        <f ca="1">IFERROR(IF(I142=0,"-",IF(AND(ROUND(H142*I142*X142/($W$10*10^3),1)&gt;=Calculation!$O$6,ROUND((((U142)*$R$23/0.05)-((S142)+(H142*I142*X142/($W$10*10^3))+(U142))),1)&gt;=0),Cluster!$W$8,IF(AND(ROUND(H142*I142*X142/($X$10*10^3),1)&gt;=Calculation!$O$6,ROUND((((U142)*$R$23/0.05)-((S142)+(H142*I142*X142/($X$10*10^3))+(U142))),1)&gt;=0),Cluster!$X$8,IF(AND(ROUND(H142*I142*X142/($Y$10*10^3),1)&gt;=Calculation!$O$6,ROUND((((U142)*$R$23/0.05)-((S142)+(H142*I142*X142/($Y$10*10^3))+(U142))),1)&gt;=0),Cluster!$Y$8,"Recepie by hand needed")))),"-")</f>
        <v>-</v>
      </c>
      <c r="AC142" s="37" t="str">
        <f t="shared" ca="1" si="6"/>
        <v>-</v>
      </c>
      <c r="AD142" s="37" t="str">
        <f t="shared" ca="1" si="7"/>
        <v>-</v>
      </c>
      <c r="AE142" s="220" t="str">
        <f t="shared" ca="1" si="8"/>
        <v>-</v>
      </c>
      <c r="AF142" s="37" t="str">
        <f t="shared" ca="1" si="9"/>
        <v>-</v>
      </c>
    </row>
    <row r="143" spans="1:32" ht="14.25" x14ac:dyDescent="0.5">
      <c r="A143" s="170" t="str">
        <f>Calculation!I124</f>
        <v/>
      </c>
      <c r="B143" s="221" t="str">
        <f ca="1">Calculation!B124</f>
        <v/>
      </c>
      <c r="C143" s="221" t="str">
        <f ca="1">Calculation!C124</f>
        <v/>
      </c>
      <c r="D143" s="172" t="str">
        <f ca="1">Calculation!AN124</f>
        <v/>
      </c>
      <c r="E143" s="173" t="str">
        <f ca="1">Calculation!D124</f>
        <v/>
      </c>
      <c r="F143" s="174" t="str">
        <f ca="1">Calculation!C124</f>
        <v/>
      </c>
      <c r="G143" s="175" t="str">
        <f ca="1">Calculation!F124</f>
        <v/>
      </c>
      <c r="H143" s="176" t="str">
        <f ca="1">Calculation!AD124</f>
        <v/>
      </c>
      <c r="I143" s="177" t="str">
        <f ca="1">Calculation!AE124</f>
        <v/>
      </c>
      <c r="J143" s="272" t="str">
        <f ca="1">IF(Calculation!Q124="","Selection",Calculation!Q124)</f>
        <v>Selection</v>
      </c>
      <c r="K143" s="179" t="str">
        <f ca="1">Calculation!T124</f>
        <v/>
      </c>
      <c r="L143" s="180" t="str">
        <f ca="1">Calculation!U124</f>
        <v>-</v>
      </c>
      <c r="M143" s="180" t="str">
        <f ca="1">Calculation!V124</f>
        <v>-</v>
      </c>
      <c r="N143" s="181"/>
      <c r="O143" s="180" t="str">
        <f ca="1">Calculation!X124</f>
        <v>-</v>
      </c>
      <c r="P143" s="180" t="str">
        <f ca="1">Calculation!Y124</f>
        <v>-</v>
      </c>
      <c r="Q143" s="273"/>
      <c r="R143" s="182" t="str">
        <f ca="1">IF(AND(L143&lt;&gt;"-",Q143&lt;&gt;"bypass"),IFERROR(IF((U143*$R$23/0.05)-SUM(S143:U143)&gt;0,(U143*$R$23/0.05)-SUM(S143:U143),0),"-"),Calculation!AH124)</f>
        <v>-</v>
      </c>
      <c r="S143" s="179" t="str">
        <f ca="1">IF(AND(L143&lt;&gt;"-",Q143&lt;&gt;"bypass"),IFERROR(X143*((H143*10^-12-H143*10^-12*I143)/(Calculation!$U$8*10^-9)),"-"),Calculation!AF124)</f>
        <v>-</v>
      </c>
      <c r="T143" s="179" t="str">
        <f ca="1">IF(AND(L143&lt;&gt;"-",Q143&lt;&gt;"bypass"),IFERROR(H143*I143*X143/(IF(Cluster!AA143=Cluster!$W$8,Cluster!$W$10,IF(Cluster!AA143=Cluster!$X$8,Cluster!$X$10,IF(Cluster!AA143=Cluster!$Y$8,Cluster!$Y$10,0)))*10^3),"-"),Calculation!AK124)</f>
        <v>-</v>
      </c>
      <c r="U143" s="179" t="str">
        <f ca="1">IF(AND(L143&lt;&gt;"-",Q143&lt;&gt;"bypass"),IFERROR((0.5/50)*X143/$R$23,"-"),Calculation!AG124)</f>
        <v>-</v>
      </c>
      <c r="V143" s="179" t="str">
        <f ca="1">IF(AND(L143&lt;&gt;"-",Q143&lt;&gt;"bypass"),IFERROR(5/50*X143,"-"),Calculation!AI124)</f>
        <v>-</v>
      </c>
      <c r="W143" s="179" t="str">
        <f ca="1">IF(AND(L143&lt;&gt;"-",Q143&lt;&gt;"bypass"),IFERROR(35/50*X143,"-"),Calculation!AJ124)</f>
        <v>-</v>
      </c>
      <c r="X143" s="179" t="str">
        <f ca="1">IF(AND(L143&lt;&gt;"-",Q143&lt;&gt;"bypass"),$W$23,Calculation!AL124)</f>
        <v>-</v>
      </c>
      <c r="Y143" s="183" t="str">
        <f ca="1">IF(AND(L143&lt;&gt;"-",Q143&lt;&gt;"bypass"),IFERROR($R$23*U143/SUM(R143:U143),"-"),Calculation!AP124)</f>
        <v>-</v>
      </c>
      <c r="Z143" s="184" t="str">
        <f t="shared" ca="1" si="5"/>
        <v>-</v>
      </c>
      <c r="AA143" s="185" t="str">
        <f ca="1">IFERROR(IF(I143=0,"-",IF(AND(ROUND(H143*I143*X143/($W$10*10^3),1)&gt;=Calculation!$O$6,ROUND((((U143)*$R$23/0.05)-((S143)+(H143*I143*X143/($W$10*10^3))+(U143))),1)&gt;=0),Cluster!$W$8,IF(AND(ROUND(H143*I143*X143/($X$10*10^3),1)&gt;=Calculation!$O$6,ROUND((((U143)*$R$23/0.05)-((S143)+(H143*I143*X143/($X$10*10^3))+(U143))),1)&gt;=0),Cluster!$X$8,IF(AND(ROUND(H143*I143*X143/($Y$10*10^3),1)&gt;=Calculation!$O$6,ROUND((((U143)*$R$23/0.05)-((S143)+(H143*I143*X143/($Y$10*10^3))+(U143))),1)&gt;=0),Cluster!$Y$8,"Recepie by hand needed")))),"-")</f>
        <v>-</v>
      </c>
      <c r="AC143" s="37" t="str">
        <f t="shared" ca="1" si="6"/>
        <v>-</v>
      </c>
      <c r="AD143" s="37" t="str">
        <f t="shared" ca="1" si="7"/>
        <v>-</v>
      </c>
      <c r="AE143" s="220" t="str">
        <f t="shared" ca="1" si="8"/>
        <v>-</v>
      </c>
      <c r="AF143" s="37" t="str">
        <f t="shared" ca="1" si="9"/>
        <v>-</v>
      </c>
    </row>
    <row r="144" spans="1:32" ht="14.25" x14ac:dyDescent="0.5">
      <c r="A144" s="170" t="str">
        <f>Calculation!I125</f>
        <v/>
      </c>
      <c r="B144" s="221" t="str">
        <f ca="1">Calculation!B125</f>
        <v/>
      </c>
      <c r="C144" s="221" t="str">
        <f ca="1">Calculation!C125</f>
        <v/>
      </c>
      <c r="D144" s="172" t="str">
        <f ca="1">Calculation!AN125</f>
        <v/>
      </c>
      <c r="E144" s="173" t="str">
        <f ca="1">Calculation!D125</f>
        <v/>
      </c>
      <c r="F144" s="174" t="str">
        <f ca="1">Calculation!C125</f>
        <v/>
      </c>
      <c r="G144" s="175" t="str">
        <f ca="1">Calculation!F125</f>
        <v/>
      </c>
      <c r="H144" s="176" t="str">
        <f ca="1">Calculation!AD125</f>
        <v/>
      </c>
      <c r="I144" s="177" t="str">
        <f ca="1">Calculation!AE125</f>
        <v/>
      </c>
      <c r="J144" s="272" t="str">
        <f ca="1">IF(Calculation!Q125="","Selection",Calculation!Q125)</f>
        <v>Selection</v>
      </c>
      <c r="K144" s="179" t="str">
        <f ca="1">Calculation!T125</f>
        <v/>
      </c>
      <c r="L144" s="180" t="str">
        <f ca="1">Calculation!U125</f>
        <v>-</v>
      </c>
      <c r="M144" s="180" t="str">
        <f ca="1">Calculation!V125</f>
        <v>-</v>
      </c>
      <c r="N144" s="181"/>
      <c r="O144" s="180" t="str">
        <f ca="1">Calculation!X125</f>
        <v>-</v>
      </c>
      <c r="P144" s="180" t="str">
        <f ca="1">Calculation!Y125</f>
        <v>-</v>
      </c>
      <c r="Q144" s="273"/>
      <c r="R144" s="182" t="str">
        <f ca="1">IF(AND(L144&lt;&gt;"-",Q144&lt;&gt;"bypass"),IFERROR(IF((U144*$R$23/0.05)-SUM(S144:U144)&gt;0,(U144*$R$23/0.05)-SUM(S144:U144),0),"-"),Calculation!AH125)</f>
        <v>-</v>
      </c>
      <c r="S144" s="179" t="str">
        <f ca="1">IF(AND(L144&lt;&gt;"-",Q144&lt;&gt;"bypass"),IFERROR(X144*((H144*10^-12-H144*10^-12*I144)/(Calculation!$U$8*10^-9)),"-"),Calculation!AF125)</f>
        <v>-</v>
      </c>
      <c r="T144" s="179" t="str">
        <f ca="1">IF(AND(L144&lt;&gt;"-",Q144&lt;&gt;"bypass"),IFERROR(H144*I144*X144/(IF(Cluster!AA144=Cluster!$W$8,Cluster!$W$10,IF(Cluster!AA144=Cluster!$X$8,Cluster!$X$10,IF(Cluster!AA144=Cluster!$Y$8,Cluster!$Y$10,0)))*10^3),"-"),Calculation!AK125)</f>
        <v>-</v>
      </c>
      <c r="U144" s="179" t="str">
        <f ca="1">IF(AND(L144&lt;&gt;"-",Q144&lt;&gt;"bypass"),IFERROR((0.5/50)*X144/$R$23,"-"),Calculation!AG125)</f>
        <v>-</v>
      </c>
      <c r="V144" s="179" t="str">
        <f ca="1">IF(AND(L144&lt;&gt;"-",Q144&lt;&gt;"bypass"),IFERROR(5/50*X144,"-"),Calculation!AI125)</f>
        <v>-</v>
      </c>
      <c r="W144" s="179" t="str">
        <f ca="1">IF(AND(L144&lt;&gt;"-",Q144&lt;&gt;"bypass"),IFERROR(35/50*X144,"-"),Calculation!AJ125)</f>
        <v>-</v>
      </c>
      <c r="X144" s="179" t="str">
        <f ca="1">IF(AND(L144&lt;&gt;"-",Q144&lt;&gt;"bypass"),$W$23,Calculation!AL125)</f>
        <v>-</v>
      </c>
      <c r="Y144" s="183" t="str">
        <f ca="1">IF(AND(L144&lt;&gt;"-",Q144&lt;&gt;"bypass"),IFERROR($R$23*U144/SUM(R144:U144),"-"),Calculation!AP125)</f>
        <v>-</v>
      </c>
      <c r="Z144" s="184" t="str">
        <f t="shared" ca="1" si="5"/>
        <v>-</v>
      </c>
      <c r="AA144" s="185" t="str">
        <f ca="1">IFERROR(IF(I144=0,"-",IF(AND(ROUND(H144*I144*X144/($W$10*10^3),1)&gt;=Calculation!$O$6,ROUND((((U144)*$R$23/0.05)-((S144)+(H144*I144*X144/($W$10*10^3))+(U144))),1)&gt;=0),Cluster!$W$8,IF(AND(ROUND(H144*I144*X144/($X$10*10^3),1)&gt;=Calculation!$O$6,ROUND((((U144)*$R$23/0.05)-((S144)+(H144*I144*X144/($X$10*10^3))+(U144))),1)&gt;=0),Cluster!$X$8,IF(AND(ROUND(H144*I144*X144/($Y$10*10^3),1)&gt;=Calculation!$O$6,ROUND((((U144)*$R$23/0.05)-((S144)+(H144*I144*X144/($Y$10*10^3))+(U144))),1)&gt;=0),Cluster!$Y$8,"Recepie by hand needed")))),"-")</f>
        <v>-</v>
      </c>
      <c r="AC144" s="37" t="str">
        <f t="shared" ca="1" si="6"/>
        <v>-</v>
      </c>
      <c r="AD144" s="37" t="str">
        <f t="shared" ca="1" si="7"/>
        <v>-</v>
      </c>
      <c r="AE144" s="220" t="str">
        <f t="shared" ca="1" si="8"/>
        <v>-</v>
      </c>
      <c r="AF144" s="37" t="str">
        <f t="shared" ca="1" si="9"/>
        <v>-</v>
      </c>
    </row>
    <row r="145" spans="1:32" ht="14.25" x14ac:dyDescent="0.5">
      <c r="A145" s="170" t="str">
        <f>Calculation!I126</f>
        <v/>
      </c>
      <c r="B145" s="221" t="str">
        <f ca="1">Calculation!B126</f>
        <v/>
      </c>
      <c r="C145" s="221" t="str">
        <f ca="1">Calculation!C126</f>
        <v/>
      </c>
      <c r="D145" s="172" t="str">
        <f ca="1">Calculation!AN126</f>
        <v/>
      </c>
      <c r="E145" s="173" t="str">
        <f ca="1">Calculation!D126</f>
        <v/>
      </c>
      <c r="F145" s="174" t="str">
        <f ca="1">Calculation!C126</f>
        <v/>
      </c>
      <c r="G145" s="175" t="str">
        <f ca="1">Calculation!F126</f>
        <v/>
      </c>
      <c r="H145" s="176" t="str">
        <f ca="1">Calculation!AD126</f>
        <v/>
      </c>
      <c r="I145" s="177" t="str">
        <f ca="1">Calculation!AE126</f>
        <v/>
      </c>
      <c r="J145" s="272" t="str">
        <f ca="1">IF(Calculation!Q126="","Selection",Calculation!Q126)</f>
        <v>Selection</v>
      </c>
      <c r="K145" s="179" t="str">
        <f ca="1">Calculation!T126</f>
        <v/>
      </c>
      <c r="L145" s="180" t="str">
        <f ca="1">Calculation!U126</f>
        <v>-</v>
      </c>
      <c r="M145" s="180" t="str">
        <f ca="1">Calculation!V126</f>
        <v>-</v>
      </c>
      <c r="N145" s="181"/>
      <c r="O145" s="180" t="str">
        <f ca="1">Calculation!X126</f>
        <v>-</v>
      </c>
      <c r="P145" s="180" t="str">
        <f ca="1">Calculation!Y126</f>
        <v>-</v>
      </c>
      <c r="Q145" s="273"/>
      <c r="R145" s="182" t="str">
        <f ca="1">IF(AND(L145&lt;&gt;"-",Q145&lt;&gt;"bypass"),IFERROR(IF((U145*$R$23/0.05)-SUM(S145:U145)&gt;0,(U145*$R$23/0.05)-SUM(S145:U145),0),"-"),Calculation!AH126)</f>
        <v>-</v>
      </c>
      <c r="S145" s="179" t="str">
        <f ca="1">IF(AND(L145&lt;&gt;"-",Q145&lt;&gt;"bypass"),IFERROR(X145*((H145*10^-12-H145*10^-12*I145)/(Calculation!$U$8*10^-9)),"-"),Calculation!AF126)</f>
        <v>-</v>
      </c>
      <c r="T145" s="179" t="str">
        <f ca="1">IF(AND(L145&lt;&gt;"-",Q145&lt;&gt;"bypass"),IFERROR(H145*I145*X145/(IF(Cluster!AA145=Cluster!$W$8,Cluster!$W$10,IF(Cluster!AA145=Cluster!$X$8,Cluster!$X$10,IF(Cluster!AA145=Cluster!$Y$8,Cluster!$Y$10,0)))*10^3),"-"),Calculation!AK126)</f>
        <v>-</v>
      </c>
      <c r="U145" s="179" t="str">
        <f ca="1">IF(AND(L145&lt;&gt;"-",Q145&lt;&gt;"bypass"),IFERROR((0.5/50)*X145/$R$23,"-"),Calculation!AG126)</f>
        <v>-</v>
      </c>
      <c r="V145" s="179" t="str">
        <f ca="1">IF(AND(L145&lt;&gt;"-",Q145&lt;&gt;"bypass"),IFERROR(5/50*X145,"-"),Calculation!AI126)</f>
        <v>-</v>
      </c>
      <c r="W145" s="179" t="str">
        <f ca="1">IF(AND(L145&lt;&gt;"-",Q145&lt;&gt;"bypass"),IFERROR(35/50*X145,"-"),Calculation!AJ126)</f>
        <v>-</v>
      </c>
      <c r="X145" s="179" t="str">
        <f ca="1">IF(AND(L145&lt;&gt;"-",Q145&lt;&gt;"bypass"),$W$23,Calculation!AL126)</f>
        <v>-</v>
      </c>
      <c r="Y145" s="183" t="str">
        <f ca="1">IF(AND(L145&lt;&gt;"-",Q145&lt;&gt;"bypass"),IFERROR($R$23*U145/SUM(R145:U145),"-"),Calculation!AP126)</f>
        <v>-</v>
      </c>
      <c r="Z145" s="184" t="str">
        <f t="shared" ca="1" si="5"/>
        <v>-</v>
      </c>
      <c r="AA145" s="185" t="str">
        <f ca="1">IFERROR(IF(I145=0,"-",IF(AND(ROUND(H145*I145*X145/($W$10*10^3),1)&gt;=Calculation!$O$6,ROUND((((U145)*$R$23/0.05)-((S145)+(H145*I145*X145/($W$10*10^3))+(U145))),1)&gt;=0),Cluster!$W$8,IF(AND(ROUND(H145*I145*X145/($X$10*10^3),1)&gt;=Calculation!$O$6,ROUND((((U145)*$R$23/0.05)-((S145)+(H145*I145*X145/($X$10*10^3))+(U145))),1)&gt;=0),Cluster!$X$8,IF(AND(ROUND(H145*I145*X145/($Y$10*10^3),1)&gt;=Calculation!$O$6,ROUND((((U145)*$R$23/0.05)-((S145)+(H145*I145*X145/($Y$10*10^3))+(U145))),1)&gt;=0),Cluster!$Y$8,"Recepie by hand needed")))),"-")</f>
        <v>-</v>
      </c>
      <c r="AC145" s="37" t="str">
        <f t="shared" ca="1" si="6"/>
        <v>-</v>
      </c>
      <c r="AD145" s="37" t="str">
        <f t="shared" ca="1" si="7"/>
        <v>-</v>
      </c>
      <c r="AE145" s="220" t="str">
        <f t="shared" ca="1" si="8"/>
        <v>-</v>
      </c>
      <c r="AF145" s="37" t="str">
        <f t="shared" ca="1" si="9"/>
        <v>-</v>
      </c>
    </row>
    <row r="146" spans="1:32" ht="14.25" x14ac:dyDescent="0.5">
      <c r="A146" s="170" t="str">
        <f>Calculation!I127</f>
        <v/>
      </c>
      <c r="B146" s="221" t="str">
        <f ca="1">Calculation!B127</f>
        <v/>
      </c>
      <c r="C146" s="221" t="str">
        <f ca="1">Calculation!C127</f>
        <v/>
      </c>
      <c r="D146" s="172" t="str">
        <f ca="1">Calculation!AN127</f>
        <v/>
      </c>
      <c r="E146" s="173" t="str">
        <f ca="1">Calculation!D127</f>
        <v/>
      </c>
      <c r="F146" s="174" t="str">
        <f ca="1">Calculation!C127</f>
        <v/>
      </c>
      <c r="G146" s="175" t="str">
        <f ca="1">Calculation!F127</f>
        <v/>
      </c>
      <c r="H146" s="176" t="str">
        <f ca="1">Calculation!AD127</f>
        <v/>
      </c>
      <c r="I146" s="177" t="str">
        <f ca="1">Calculation!AE127</f>
        <v/>
      </c>
      <c r="J146" s="272" t="str">
        <f ca="1">IF(Calculation!Q127="","Selection",Calculation!Q127)</f>
        <v>Selection</v>
      </c>
      <c r="K146" s="179" t="str">
        <f ca="1">Calculation!T127</f>
        <v/>
      </c>
      <c r="L146" s="180" t="str">
        <f ca="1">Calculation!U127</f>
        <v>-</v>
      </c>
      <c r="M146" s="180" t="str">
        <f ca="1">Calculation!V127</f>
        <v>-</v>
      </c>
      <c r="N146" s="181"/>
      <c r="O146" s="180" t="str">
        <f ca="1">Calculation!X127</f>
        <v>-</v>
      </c>
      <c r="P146" s="180" t="str">
        <f ca="1">Calculation!Y127</f>
        <v>-</v>
      </c>
      <c r="Q146" s="273"/>
      <c r="R146" s="182" t="str">
        <f ca="1">IF(AND(L146&lt;&gt;"-",Q146&lt;&gt;"bypass"),IFERROR(IF((U146*$R$23/0.05)-SUM(S146:U146)&gt;0,(U146*$R$23/0.05)-SUM(S146:U146),0),"-"),Calculation!AH127)</f>
        <v>-</v>
      </c>
      <c r="S146" s="179" t="str">
        <f ca="1">IF(AND(L146&lt;&gt;"-",Q146&lt;&gt;"bypass"),IFERROR(X146*((H146*10^-12-H146*10^-12*I146)/(Calculation!$U$8*10^-9)),"-"),Calculation!AF127)</f>
        <v>-</v>
      </c>
      <c r="T146" s="179" t="str">
        <f ca="1">IF(AND(L146&lt;&gt;"-",Q146&lt;&gt;"bypass"),IFERROR(H146*I146*X146/(IF(Cluster!AA146=Cluster!$W$8,Cluster!$W$10,IF(Cluster!AA146=Cluster!$X$8,Cluster!$X$10,IF(Cluster!AA146=Cluster!$Y$8,Cluster!$Y$10,0)))*10^3),"-"),Calculation!AK127)</f>
        <v>-</v>
      </c>
      <c r="U146" s="179" t="str">
        <f ca="1">IF(AND(L146&lt;&gt;"-",Q146&lt;&gt;"bypass"),IFERROR((0.5/50)*X146/$R$23,"-"),Calculation!AG127)</f>
        <v>-</v>
      </c>
      <c r="V146" s="179" t="str">
        <f ca="1">IF(AND(L146&lt;&gt;"-",Q146&lt;&gt;"bypass"),IFERROR(5/50*X146,"-"),Calculation!AI127)</f>
        <v>-</v>
      </c>
      <c r="W146" s="179" t="str">
        <f ca="1">IF(AND(L146&lt;&gt;"-",Q146&lt;&gt;"bypass"),IFERROR(35/50*X146,"-"),Calculation!AJ127)</f>
        <v>-</v>
      </c>
      <c r="X146" s="179" t="str">
        <f ca="1">IF(AND(L146&lt;&gt;"-",Q146&lt;&gt;"bypass"),$W$23,Calculation!AL127)</f>
        <v>-</v>
      </c>
      <c r="Y146" s="183" t="str">
        <f ca="1">IF(AND(L146&lt;&gt;"-",Q146&lt;&gt;"bypass"),IFERROR($R$23*U146/SUM(R146:U146),"-"),Calculation!AP127)</f>
        <v>-</v>
      </c>
      <c r="Z146" s="184" t="str">
        <f t="shared" ca="1" si="5"/>
        <v>-</v>
      </c>
      <c r="AA146" s="185" t="str">
        <f ca="1">IFERROR(IF(I146=0,"-",IF(AND(ROUND(H146*I146*X146/($W$10*10^3),1)&gt;=Calculation!$O$6,ROUND((((U146)*$R$23/0.05)-((S146)+(H146*I146*X146/($W$10*10^3))+(U146))),1)&gt;=0),Cluster!$W$8,IF(AND(ROUND(H146*I146*X146/($X$10*10^3),1)&gt;=Calculation!$O$6,ROUND((((U146)*$R$23/0.05)-((S146)+(H146*I146*X146/($X$10*10^3))+(U146))),1)&gt;=0),Cluster!$X$8,IF(AND(ROUND(H146*I146*X146/($Y$10*10^3),1)&gt;=Calculation!$O$6,ROUND((((U146)*$R$23/0.05)-((S146)+(H146*I146*X146/($Y$10*10^3))+(U146))),1)&gt;=0),Cluster!$Y$8,"Recepie by hand needed")))),"-")</f>
        <v>-</v>
      </c>
      <c r="AC146" s="37" t="str">
        <f t="shared" ca="1" si="6"/>
        <v>-</v>
      </c>
      <c r="AD146" s="37" t="str">
        <f t="shared" ca="1" si="7"/>
        <v>-</v>
      </c>
      <c r="AE146" s="220" t="str">
        <f t="shared" ca="1" si="8"/>
        <v>-</v>
      </c>
      <c r="AF146" s="37" t="str">
        <f t="shared" ca="1" si="9"/>
        <v>-</v>
      </c>
    </row>
    <row r="147" spans="1:32" ht="14.25" x14ac:dyDescent="0.5">
      <c r="A147" s="170" t="str">
        <f>Calculation!I128</f>
        <v/>
      </c>
      <c r="B147" s="221" t="str">
        <f ca="1">Calculation!B128</f>
        <v/>
      </c>
      <c r="C147" s="221" t="str">
        <f ca="1">Calculation!C128</f>
        <v/>
      </c>
      <c r="D147" s="172" t="str">
        <f ca="1">Calculation!AN128</f>
        <v/>
      </c>
      <c r="E147" s="173" t="str">
        <f ca="1">Calculation!D128</f>
        <v/>
      </c>
      <c r="F147" s="174" t="str">
        <f ca="1">Calculation!C128</f>
        <v/>
      </c>
      <c r="G147" s="175" t="str">
        <f ca="1">Calculation!F128</f>
        <v/>
      </c>
      <c r="H147" s="176" t="str">
        <f ca="1">Calculation!AD128</f>
        <v/>
      </c>
      <c r="I147" s="177" t="str">
        <f ca="1">Calculation!AE128</f>
        <v/>
      </c>
      <c r="J147" s="272" t="str">
        <f ca="1">IF(Calculation!Q128="","Selection",Calculation!Q128)</f>
        <v>Selection</v>
      </c>
      <c r="K147" s="179" t="str">
        <f ca="1">Calculation!T128</f>
        <v/>
      </c>
      <c r="L147" s="180" t="str">
        <f ca="1">Calculation!U128</f>
        <v>-</v>
      </c>
      <c r="M147" s="180" t="str">
        <f ca="1">Calculation!V128</f>
        <v>-</v>
      </c>
      <c r="N147" s="181"/>
      <c r="O147" s="180" t="str">
        <f ca="1">Calculation!X128</f>
        <v>-</v>
      </c>
      <c r="P147" s="180" t="str">
        <f ca="1">Calculation!Y128</f>
        <v>-</v>
      </c>
      <c r="Q147" s="273"/>
      <c r="R147" s="182" t="str">
        <f ca="1">IF(AND(L147&lt;&gt;"-",Q147&lt;&gt;"bypass"),IFERROR(IF((U147*$R$23/0.05)-SUM(S147:U147)&gt;0,(U147*$R$23/0.05)-SUM(S147:U147),0),"-"),Calculation!AH128)</f>
        <v>-</v>
      </c>
      <c r="S147" s="179" t="str">
        <f ca="1">IF(AND(L147&lt;&gt;"-",Q147&lt;&gt;"bypass"),IFERROR(X147*((H147*10^-12-H147*10^-12*I147)/(Calculation!$U$8*10^-9)),"-"),Calculation!AF128)</f>
        <v>-</v>
      </c>
      <c r="T147" s="179" t="str">
        <f ca="1">IF(AND(L147&lt;&gt;"-",Q147&lt;&gt;"bypass"),IFERROR(H147*I147*X147/(IF(Cluster!AA147=Cluster!$W$8,Cluster!$W$10,IF(Cluster!AA147=Cluster!$X$8,Cluster!$X$10,IF(Cluster!AA147=Cluster!$Y$8,Cluster!$Y$10,0)))*10^3),"-"),Calculation!AK128)</f>
        <v>-</v>
      </c>
      <c r="U147" s="179" t="str">
        <f ca="1">IF(AND(L147&lt;&gt;"-",Q147&lt;&gt;"bypass"),IFERROR((0.5/50)*X147/$R$23,"-"),Calculation!AG128)</f>
        <v>-</v>
      </c>
      <c r="V147" s="179" t="str">
        <f ca="1">IF(AND(L147&lt;&gt;"-",Q147&lt;&gt;"bypass"),IFERROR(5/50*X147,"-"),Calculation!AI128)</f>
        <v>-</v>
      </c>
      <c r="W147" s="179" t="str">
        <f ca="1">IF(AND(L147&lt;&gt;"-",Q147&lt;&gt;"bypass"),IFERROR(35/50*X147,"-"),Calculation!AJ128)</f>
        <v>-</v>
      </c>
      <c r="X147" s="179" t="str">
        <f ca="1">IF(AND(L147&lt;&gt;"-",Q147&lt;&gt;"bypass"),$W$23,Calculation!AL128)</f>
        <v>-</v>
      </c>
      <c r="Y147" s="183" t="str">
        <f ca="1">IF(AND(L147&lt;&gt;"-",Q147&lt;&gt;"bypass"),IFERROR($R$23*U147/SUM(R147:U147),"-"),Calculation!AP128)</f>
        <v>-</v>
      </c>
      <c r="Z147" s="184" t="str">
        <f t="shared" ca="1" si="5"/>
        <v>-</v>
      </c>
      <c r="AA147" s="185" t="str">
        <f ca="1">IFERROR(IF(I147=0,"-",IF(AND(ROUND(H147*I147*X147/($W$10*10^3),1)&gt;=Calculation!$O$6,ROUND((((U147)*$R$23/0.05)-((S147)+(H147*I147*X147/($W$10*10^3))+(U147))),1)&gt;=0),Cluster!$W$8,IF(AND(ROUND(H147*I147*X147/($X$10*10^3),1)&gt;=Calculation!$O$6,ROUND((((U147)*$R$23/0.05)-((S147)+(H147*I147*X147/($X$10*10^3))+(U147))),1)&gt;=0),Cluster!$X$8,IF(AND(ROUND(H147*I147*X147/($Y$10*10^3),1)&gt;=Calculation!$O$6,ROUND((((U147)*$R$23/0.05)-((S147)+(H147*I147*X147/($Y$10*10^3))+(U147))),1)&gt;=0),Cluster!$Y$8,"Recepie by hand needed")))),"-")</f>
        <v>-</v>
      </c>
      <c r="AC147" s="37" t="str">
        <f t="shared" ca="1" si="6"/>
        <v>-</v>
      </c>
      <c r="AD147" s="37" t="str">
        <f t="shared" ca="1" si="7"/>
        <v>-</v>
      </c>
      <c r="AE147" s="220" t="str">
        <f t="shared" ca="1" si="8"/>
        <v>-</v>
      </c>
      <c r="AF147" s="37" t="str">
        <f t="shared" ca="1" si="9"/>
        <v>-</v>
      </c>
    </row>
    <row r="148" spans="1:32" ht="14.25" x14ac:dyDescent="0.5">
      <c r="A148" s="170" t="str">
        <f>Calculation!I129</f>
        <v/>
      </c>
      <c r="B148" s="221" t="str">
        <f ca="1">Calculation!B129</f>
        <v/>
      </c>
      <c r="C148" s="221" t="str">
        <f ca="1">Calculation!C129</f>
        <v/>
      </c>
      <c r="D148" s="172" t="str">
        <f ca="1">Calculation!AN129</f>
        <v/>
      </c>
      <c r="E148" s="173" t="str">
        <f ca="1">Calculation!D129</f>
        <v/>
      </c>
      <c r="F148" s="174" t="str">
        <f ca="1">Calculation!C129</f>
        <v/>
      </c>
      <c r="G148" s="175" t="str">
        <f ca="1">Calculation!F129</f>
        <v/>
      </c>
      <c r="H148" s="176" t="str">
        <f ca="1">Calculation!AD129</f>
        <v/>
      </c>
      <c r="I148" s="177" t="str">
        <f ca="1">Calculation!AE129</f>
        <v/>
      </c>
      <c r="J148" s="272" t="str">
        <f ca="1">IF(Calculation!Q129="","Selection",Calculation!Q129)</f>
        <v>Selection</v>
      </c>
      <c r="K148" s="179" t="str">
        <f ca="1">Calculation!T129</f>
        <v/>
      </c>
      <c r="L148" s="180" t="str">
        <f ca="1">Calculation!U129</f>
        <v>-</v>
      </c>
      <c r="M148" s="180" t="str">
        <f ca="1">Calculation!V129</f>
        <v>-</v>
      </c>
      <c r="N148" s="181"/>
      <c r="O148" s="180" t="str">
        <f ca="1">Calculation!X129</f>
        <v>-</v>
      </c>
      <c r="P148" s="180" t="str">
        <f ca="1">Calculation!Y129</f>
        <v>-</v>
      </c>
      <c r="Q148" s="273"/>
      <c r="R148" s="182" t="str">
        <f ca="1">IF(AND(L148&lt;&gt;"-",Q148&lt;&gt;"bypass"),IFERROR(IF((U148*$R$23/0.05)-SUM(S148:U148)&gt;0,(U148*$R$23/0.05)-SUM(S148:U148),0),"-"),Calculation!AH129)</f>
        <v>-</v>
      </c>
      <c r="S148" s="179" t="str">
        <f ca="1">IF(AND(L148&lt;&gt;"-",Q148&lt;&gt;"bypass"),IFERROR(X148*((H148*10^-12-H148*10^-12*I148)/(Calculation!$U$8*10^-9)),"-"),Calculation!AF129)</f>
        <v>-</v>
      </c>
      <c r="T148" s="179" t="str">
        <f ca="1">IF(AND(L148&lt;&gt;"-",Q148&lt;&gt;"bypass"),IFERROR(H148*I148*X148/(IF(Cluster!AA148=Cluster!$W$8,Cluster!$W$10,IF(Cluster!AA148=Cluster!$X$8,Cluster!$X$10,IF(Cluster!AA148=Cluster!$Y$8,Cluster!$Y$10,0)))*10^3),"-"),Calculation!AK129)</f>
        <v>-</v>
      </c>
      <c r="U148" s="179" t="str">
        <f ca="1">IF(AND(L148&lt;&gt;"-",Q148&lt;&gt;"bypass"),IFERROR((0.5/50)*X148/$R$23,"-"),Calculation!AG129)</f>
        <v>-</v>
      </c>
      <c r="V148" s="179" t="str">
        <f ca="1">IF(AND(L148&lt;&gt;"-",Q148&lt;&gt;"bypass"),IFERROR(5/50*X148,"-"),Calculation!AI129)</f>
        <v>-</v>
      </c>
      <c r="W148" s="179" t="str">
        <f ca="1">IF(AND(L148&lt;&gt;"-",Q148&lt;&gt;"bypass"),IFERROR(35/50*X148,"-"),Calculation!AJ129)</f>
        <v>-</v>
      </c>
      <c r="X148" s="179" t="str">
        <f ca="1">IF(AND(L148&lt;&gt;"-",Q148&lt;&gt;"bypass"),$W$23,Calculation!AL129)</f>
        <v>-</v>
      </c>
      <c r="Y148" s="183" t="str">
        <f ca="1">IF(AND(L148&lt;&gt;"-",Q148&lt;&gt;"bypass"),IFERROR($R$23*U148/SUM(R148:U148),"-"),Calculation!AP129)</f>
        <v>-</v>
      </c>
      <c r="Z148" s="184" t="str">
        <f t="shared" ca="1" si="5"/>
        <v>-</v>
      </c>
      <c r="AA148" s="185" t="str">
        <f ca="1">IFERROR(IF(I148=0,"-",IF(AND(ROUND(H148*I148*X148/($W$10*10^3),1)&gt;=Calculation!$O$6,ROUND((((U148)*$R$23/0.05)-((S148)+(H148*I148*X148/($W$10*10^3))+(U148))),1)&gt;=0),Cluster!$W$8,IF(AND(ROUND(H148*I148*X148/($X$10*10^3),1)&gt;=Calculation!$O$6,ROUND((((U148)*$R$23/0.05)-((S148)+(H148*I148*X148/($X$10*10^3))+(U148))),1)&gt;=0),Cluster!$X$8,IF(AND(ROUND(H148*I148*X148/($Y$10*10^3),1)&gt;=Calculation!$O$6,ROUND((((U148)*$R$23/0.05)-((S148)+(H148*I148*X148/($Y$10*10^3))+(U148))),1)&gt;=0),Cluster!$Y$8,"Recepie by hand needed")))),"-")</f>
        <v>-</v>
      </c>
      <c r="AC148" s="37" t="str">
        <f t="shared" ca="1" si="6"/>
        <v>-</v>
      </c>
      <c r="AD148" s="37" t="str">
        <f t="shared" ca="1" si="7"/>
        <v>-</v>
      </c>
      <c r="AE148" s="220" t="str">
        <f t="shared" ca="1" si="8"/>
        <v>-</v>
      </c>
      <c r="AF148" s="37" t="str">
        <f t="shared" ca="1" si="9"/>
        <v>-</v>
      </c>
    </row>
    <row r="149" spans="1:32" ht="14.25" x14ac:dyDescent="0.5">
      <c r="A149" s="170" t="str">
        <f>Calculation!I130</f>
        <v/>
      </c>
      <c r="B149" s="221" t="str">
        <f ca="1">Calculation!B130</f>
        <v/>
      </c>
      <c r="C149" s="221" t="str">
        <f ca="1">Calculation!C130</f>
        <v/>
      </c>
      <c r="D149" s="172" t="str">
        <f ca="1">Calculation!AN130</f>
        <v/>
      </c>
      <c r="E149" s="173" t="str">
        <f ca="1">Calculation!D130</f>
        <v/>
      </c>
      <c r="F149" s="174" t="str">
        <f ca="1">Calculation!C130</f>
        <v/>
      </c>
      <c r="G149" s="175" t="str">
        <f ca="1">Calculation!F130</f>
        <v/>
      </c>
      <c r="H149" s="176" t="str">
        <f ca="1">Calculation!AD130</f>
        <v/>
      </c>
      <c r="I149" s="177" t="str">
        <f ca="1">Calculation!AE130</f>
        <v/>
      </c>
      <c r="J149" s="272" t="str">
        <f ca="1">IF(Calculation!Q130="","Selection",Calculation!Q130)</f>
        <v>Selection</v>
      </c>
      <c r="K149" s="179" t="str">
        <f ca="1">Calculation!T130</f>
        <v/>
      </c>
      <c r="L149" s="180" t="str">
        <f ca="1">Calculation!U130</f>
        <v>-</v>
      </c>
      <c r="M149" s="180" t="str">
        <f ca="1">Calculation!V130</f>
        <v>-</v>
      </c>
      <c r="N149" s="181"/>
      <c r="O149" s="180" t="str">
        <f ca="1">Calculation!X130</f>
        <v>-</v>
      </c>
      <c r="P149" s="180" t="str">
        <f ca="1">Calculation!Y130</f>
        <v>-</v>
      </c>
      <c r="Q149" s="273"/>
      <c r="R149" s="182" t="str">
        <f ca="1">IF(AND(L149&lt;&gt;"-",Q149&lt;&gt;"bypass"),IFERROR(IF((U149*$R$23/0.05)-SUM(S149:U149)&gt;0,(U149*$R$23/0.05)-SUM(S149:U149),0),"-"),Calculation!AH130)</f>
        <v>-</v>
      </c>
      <c r="S149" s="179" t="str">
        <f ca="1">IF(AND(L149&lt;&gt;"-",Q149&lt;&gt;"bypass"),IFERROR(X149*((H149*10^-12-H149*10^-12*I149)/(Calculation!$U$8*10^-9)),"-"),Calculation!AF130)</f>
        <v>-</v>
      </c>
      <c r="T149" s="179" t="str">
        <f ca="1">IF(AND(L149&lt;&gt;"-",Q149&lt;&gt;"bypass"),IFERROR(H149*I149*X149/(IF(Cluster!AA149=Cluster!$W$8,Cluster!$W$10,IF(Cluster!AA149=Cluster!$X$8,Cluster!$X$10,IF(Cluster!AA149=Cluster!$Y$8,Cluster!$Y$10,0)))*10^3),"-"),Calculation!AK130)</f>
        <v>-</v>
      </c>
      <c r="U149" s="179" t="str">
        <f ca="1">IF(AND(L149&lt;&gt;"-",Q149&lt;&gt;"bypass"),IFERROR((0.5/50)*X149/$R$23,"-"),Calculation!AG130)</f>
        <v>-</v>
      </c>
      <c r="V149" s="179" t="str">
        <f ca="1">IF(AND(L149&lt;&gt;"-",Q149&lt;&gt;"bypass"),IFERROR(5/50*X149,"-"),Calculation!AI130)</f>
        <v>-</v>
      </c>
      <c r="W149" s="179" t="str">
        <f ca="1">IF(AND(L149&lt;&gt;"-",Q149&lt;&gt;"bypass"),IFERROR(35/50*X149,"-"),Calculation!AJ130)</f>
        <v>-</v>
      </c>
      <c r="X149" s="179" t="str">
        <f ca="1">IF(AND(L149&lt;&gt;"-",Q149&lt;&gt;"bypass"),$W$23,Calculation!AL130)</f>
        <v>-</v>
      </c>
      <c r="Y149" s="183" t="str">
        <f ca="1">IF(AND(L149&lt;&gt;"-",Q149&lt;&gt;"bypass"),IFERROR($R$23*U149/SUM(R149:U149),"-"),Calculation!AP130)</f>
        <v>-</v>
      </c>
      <c r="Z149" s="184" t="str">
        <f t="shared" ca="1" si="5"/>
        <v>-</v>
      </c>
      <c r="AA149" s="185" t="str">
        <f ca="1">IFERROR(IF(I149=0,"-",IF(AND(ROUND(H149*I149*X149/($W$10*10^3),1)&gt;=Calculation!$O$6,ROUND((((U149)*$R$23/0.05)-((S149)+(H149*I149*X149/($W$10*10^3))+(U149))),1)&gt;=0),Cluster!$W$8,IF(AND(ROUND(H149*I149*X149/($X$10*10^3),1)&gt;=Calculation!$O$6,ROUND((((U149)*$R$23/0.05)-((S149)+(H149*I149*X149/($X$10*10^3))+(U149))),1)&gt;=0),Cluster!$X$8,IF(AND(ROUND(H149*I149*X149/($Y$10*10^3),1)&gt;=Calculation!$O$6,ROUND((((U149)*$R$23/0.05)-((S149)+(H149*I149*X149/($Y$10*10^3))+(U149))),1)&gt;=0),Cluster!$Y$8,"Recepie by hand needed")))),"-")</f>
        <v>-</v>
      </c>
      <c r="AC149" s="37" t="str">
        <f t="shared" ca="1" si="6"/>
        <v>-</v>
      </c>
      <c r="AD149" s="37" t="str">
        <f t="shared" ca="1" si="7"/>
        <v>-</v>
      </c>
      <c r="AE149" s="220" t="str">
        <f t="shared" ca="1" si="8"/>
        <v>-</v>
      </c>
      <c r="AF149" s="37" t="str">
        <f t="shared" ca="1" si="9"/>
        <v>-</v>
      </c>
    </row>
    <row r="150" spans="1:32" ht="14.25" x14ac:dyDescent="0.5">
      <c r="A150" s="170" t="str">
        <f>Calculation!I131</f>
        <v/>
      </c>
      <c r="B150" s="221" t="str">
        <f ca="1">Calculation!B131</f>
        <v/>
      </c>
      <c r="C150" s="221" t="str">
        <f ca="1">Calculation!C131</f>
        <v/>
      </c>
      <c r="D150" s="172" t="str">
        <f ca="1">Calculation!AN131</f>
        <v/>
      </c>
      <c r="E150" s="173" t="str">
        <f ca="1">Calculation!D131</f>
        <v/>
      </c>
      <c r="F150" s="174" t="str">
        <f ca="1">Calculation!C131</f>
        <v/>
      </c>
      <c r="G150" s="175" t="str">
        <f ca="1">Calculation!F131</f>
        <v/>
      </c>
      <c r="H150" s="176" t="str">
        <f ca="1">Calculation!AD131</f>
        <v/>
      </c>
      <c r="I150" s="177" t="str">
        <f ca="1">Calculation!AE131</f>
        <v/>
      </c>
      <c r="J150" s="272" t="str">
        <f ca="1">IF(Calculation!Q131="","Selection",Calculation!Q131)</f>
        <v>Selection</v>
      </c>
      <c r="K150" s="179" t="str">
        <f ca="1">Calculation!T131</f>
        <v/>
      </c>
      <c r="L150" s="180" t="str">
        <f ca="1">Calculation!U131</f>
        <v>-</v>
      </c>
      <c r="M150" s="180" t="str">
        <f ca="1">Calculation!V131</f>
        <v>-</v>
      </c>
      <c r="N150" s="181"/>
      <c r="O150" s="180" t="str">
        <f ca="1">Calculation!X131</f>
        <v>-</v>
      </c>
      <c r="P150" s="180" t="str">
        <f ca="1">Calculation!Y131</f>
        <v>-</v>
      </c>
      <c r="Q150" s="273"/>
      <c r="R150" s="182" t="str">
        <f ca="1">IF(AND(L150&lt;&gt;"-",Q150&lt;&gt;"bypass"),IFERROR(IF((U150*$R$23/0.05)-SUM(S150:U150)&gt;0,(U150*$R$23/0.05)-SUM(S150:U150),0),"-"),Calculation!AH131)</f>
        <v>-</v>
      </c>
      <c r="S150" s="179" t="str">
        <f ca="1">IF(AND(L150&lt;&gt;"-",Q150&lt;&gt;"bypass"),IFERROR(X150*((H150*10^-12-H150*10^-12*I150)/(Calculation!$U$8*10^-9)),"-"),Calculation!AF131)</f>
        <v>-</v>
      </c>
      <c r="T150" s="179" t="str">
        <f ca="1">IF(AND(L150&lt;&gt;"-",Q150&lt;&gt;"bypass"),IFERROR(H150*I150*X150/(IF(Cluster!AA150=Cluster!$W$8,Cluster!$W$10,IF(Cluster!AA150=Cluster!$X$8,Cluster!$X$10,IF(Cluster!AA150=Cluster!$Y$8,Cluster!$Y$10,0)))*10^3),"-"),Calculation!AK131)</f>
        <v>-</v>
      </c>
      <c r="U150" s="179" t="str">
        <f ca="1">IF(AND(L150&lt;&gt;"-",Q150&lt;&gt;"bypass"),IFERROR((0.5/50)*X150/$R$23,"-"),Calculation!AG131)</f>
        <v>-</v>
      </c>
      <c r="V150" s="179" t="str">
        <f ca="1">IF(AND(L150&lt;&gt;"-",Q150&lt;&gt;"bypass"),IFERROR(5/50*X150,"-"),Calculation!AI131)</f>
        <v>-</v>
      </c>
      <c r="W150" s="179" t="str">
        <f ca="1">IF(AND(L150&lt;&gt;"-",Q150&lt;&gt;"bypass"),IFERROR(35/50*X150,"-"),Calculation!AJ131)</f>
        <v>-</v>
      </c>
      <c r="X150" s="179" t="str">
        <f ca="1">IF(AND(L150&lt;&gt;"-",Q150&lt;&gt;"bypass"),$W$23,Calculation!AL131)</f>
        <v>-</v>
      </c>
      <c r="Y150" s="183" t="str">
        <f ca="1">IF(AND(L150&lt;&gt;"-",Q150&lt;&gt;"bypass"),IFERROR($R$23*U150/SUM(R150:U150),"-"),Calculation!AP131)</f>
        <v>-</v>
      </c>
      <c r="Z150" s="184" t="str">
        <f t="shared" ca="1" si="5"/>
        <v>-</v>
      </c>
      <c r="AA150" s="185" t="str">
        <f ca="1">IFERROR(IF(I150=0,"-",IF(AND(ROUND(H150*I150*X150/($W$10*10^3),1)&gt;=Calculation!$O$6,ROUND((((U150)*$R$23/0.05)-((S150)+(H150*I150*X150/($W$10*10^3))+(U150))),1)&gt;=0),Cluster!$W$8,IF(AND(ROUND(H150*I150*X150/($X$10*10^3),1)&gt;=Calculation!$O$6,ROUND((((U150)*$R$23/0.05)-((S150)+(H150*I150*X150/($X$10*10^3))+(U150))),1)&gt;=0),Cluster!$X$8,IF(AND(ROUND(H150*I150*X150/($Y$10*10^3),1)&gt;=Calculation!$O$6,ROUND((((U150)*$R$23/0.05)-((S150)+(H150*I150*X150/($Y$10*10^3))+(U150))),1)&gt;=0),Cluster!$Y$8,"Recepie by hand needed")))),"-")</f>
        <v>-</v>
      </c>
      <c r="AC150" s="37" t="str">
        <f t="shared" ca="1" si="6"/>
        <v>-</v>
      </c>
      <c r="AD150" s="37" t="str">
        <f t="shared" ca="1" si="7"/>
        <v>-</v>
      </c>
      <c r="AE150" s="220" t="str">
        <f t="shared" ca="1" si="8"/>
        <v>-</v>
      </c>
      <c r="AF150" s="37" t="str">
        <f t="shared" ca="1" si="9"/>
        <v>-</v>
      </c>
    </row>
    <row r="151" spans="1:32" ht="14.25" x14ac:dyDescent="0.5">
      <c r="A151" s="170" t="str">
        <f>Calculation!I132</f>
        <v/>
      </c>
      <c r="B151" s="221" t="str">
        <f ca="1">Calculation!B132</f>
        <v/>
      </c>
      <c r="C151" s="221" t="str">
        <f ca="1">Calculation!C132</f>
        <v/>
      </c>
      <c r="D151" s="172" t="str">
        <f ca="1">Calculation!AN132</f>
        <v/>
      </c>
      <c r="E151" s="173" t="str">
        <f ca="1">Calculation!D132</f>
        <v/>
      </c>
      <c r="F151" s="174" t="str">
        <f ca="1">Calculation!C132</f>
        <v/>
      </c>
      <c r="G151" s="175" t="str">
        <f ca="1">Calculation!F132</f>
        <v/>
      </c>
      <c r="H151" s="176" t="str">
        <f ca="1">Calculation!AD132</f>
        <v/>
      </c>
      <c r="I151" s="177" t="str">
        <f ca="1">Calculation!AE132</f>
        <v/>
      </c>
      <c r="J151" s="272" t="str">
        <f ca="1">IF(Calculation!Q132="","Selection",Calculation!Q132)</f>
        <v>Selection</v>
      </c>
      <c r="K151" s="179" t="str">
        <f ca="1">Calculation!T132</f>
        <v/>
      </c>
      <c r="L151" s="180" t="str">
        <f ca="1">Calculation!U132</f>
        <v>-</v>
      </c>
      <c r="M151" s="180" t="str">
        <f ca="1">Calculation!V132</f>
        <v>-</v>
      </c>
      <c r="N151" s="181"/>
      <c r="O151" s="180" t="str">
        <f ca="1">Calculation!X132</f>
        <v>-</v>
      </c>
      <c r="P151" s="180" t="str">
        <f ca="1">Calculation!Y132</f>
        <v>-</v>
      </c>
      <c r="Q151" s="273"/>
      <c r="R151" s="182" t="str">
        <f ca="1">IF(AND(L151&lt;&gt;"-",Q151&lt;&gt;"bypass"),IFERROR(IF((U151*$R$23/0.05)-SUM(S151:U151)&gt;0,(U151*$R$23/0.05)-SUM(S151:U151),0),"-"),Calculation!AH132)</f>
        <v>-</v>
      </c>
      <c r="S151" s="179" t="str">
        <f ca="1">IF(AND(L151&lt;&gt;"-",Q151&lt;&gt;"bypass"),IFERROR(X151*((H151*10^-12-H151*10^-12*I151)/(Calculation!$U$8*10^-9)),"-"),Calculation!AF132)</f>
        <v>-</v>
      </c>
      <c r="T151" s="179" t="str">
        <f ca="1">IF(AND(L151&lt;&gt;"-",Q151&lt;&gt;"bypass"),IFERROR(H151*I151*X151/(IF(Cluster!AA151=Cluster!$W$8,Cluster!$W$10,IF(Cluster!AA151=Cluster!$X$8,Cluster!$X$10,IF(Cluster!AA151=Cluster!$Y$8,Cluster!$Y$10,0)))*10^3),"-"),Calculation!AK132)</f>
        <v>-</v>
      </c>
      <c r="U151" s="179" t="str">
        <f ca="1">IF(AND(L151&lt;&gt;"-",Q151&lt;&gt;"bypass"),IFERROR((0.5/50)*X151/$R$23,"-"),Calculation!AG132)</f>
        <v>-</v>
      </c>
      <c r="V151" s="179" t="str">
        <f ca="1">IF(AND(L151&lt;&gt;"-",Q151&lt;&gt;"bypass"),IFERROR(5/50*X151,"-"),Calculation!AI132)</f>
        <v>-</v>
      </c>
      <c r="W151" s="179" t="str">
        <f ca="1">IF(AND(L151&lt;&gt;"-",Q151&lt;&gt;"bypass"),IFERROR(35/50*X151,"-"),Calculation!AJ132)</f>
        <v>-</v>
      </c>
      <c r="X151" s="179" t="str">
        <f ca="1">IF(AND(L151&lt;&gt;"-",Q151&lt;&gt;"bypass"),$W$23,Calculation!AL132)</f>
        <v>-</v>
      </c>
      <c r="Y151" s="183" t="str">
        <f ca="1">IF(AND(L151&lt;&gt;"-",Q151&lt;&gt;"bypass"),IFERROR($R$23*U151/SUM(R151:U151),"-"),Calculation!AP132)</f>
        <v>-</v>
      </c>
      <c r="Z151" s="184" t="str">
        <f t="shared" ca="1" si="5"/>
        <v>-</v>
      </c>
      <c r="AA151" s="185" t="str">
        <f ca="1">IFERROR(IF(I151=0,"-",IF(AND(ROUND(H151*I151*X151/($W$10*10^3),1)&gt;=Calculation!$O$6,ROUND((((U151)*$R$23/0.05)-((S151)+(H151*I151*X151/($W$10*10^3))+(U151))),1)&gt;=0),Cluster!$W$8,IF(AND(ROUND(H151*I151*X151/($X$10*10^3),1)&gt;=Calculation!$O$6,ROUND((((U151)*$R$23/0.05)-((S151)+(H151*I151*X151/($X$10*10^3))+(U151))),1)&gt;=0),Cluster!$X$8,IF(AND(ROUND(H151*I151*X151/($Y$10*10^3),1)&gt;=Calculation!$O$6,ROUND((((U151)*$R$23/0.05)-((S151)+(H151*I151*X151/($Y$10*10^3))+(U151))),1)&gt;=0),Cluster!$Y$8,"Recepie by hand needed")))),"-")</f>
        <v>-</v>
      </c>
      <c r="AC151" s="37" t="str">
        <f t="shared" ca="1" si="6"/>
        <v>-</v>
      </c>
      <c r="AD151" s="37" t="str">
        <f t="shared" ca="1" si="7"/>
        <v>-</v>
      </c>
      <c r="AE151" s="220" t="str">
        <f t="shared" ca="1" si="8"/>
        <v>-</v>
      </c>
      <c r="AF151" s="37" t="str">
        <f t="shared" ca="1" si="9"/>
        <v>-</v>
      </c>
    </row>
    <row r="152" spans="1:32" ht="14.25" x14ac:dyDescent="0.5">
      <c r="A152" s="170" t="str">
        <f>Calculation!I133</f>
        <v/>
      </c>
      <c r="B152" s="221" t="str">
        <f ca="1">Calculation!B133</f>
        <v/>
      </c>
      <c r="C152" s="221" t="str">
        <f ca="1">Calculation!C133</f>
        <v/>
      </c>
      <c r="D152" s="172" t="str">
        <f ca="1">Calculation!AN133</f>
        <v/>
      </c>
      <c r="E152" s="173" t="str">
        <f ca="1">Calculation!D133</f>
        <v/>
      </c>
      <c r="F152" s="174" t="str">
        <f ca="1">Calculation!C133</f>
        <v/>
      </c>
      <c r="G152" s="175" t="str">
        <f ca="1">Calculation!F133</f>
        <v/>
      </c>
      <c r="H152" s="176" t="str">
        <f ca="1">Calculation!AD133</f>
        <v/>
      </c>
      <c r="I152" s="177" t="str">
        <f ca="1">Calculation!AE133</f>
        <v/>
      </c>
      <c r="J152" s="272" t="str">
        <f ca="1">IF(Calculation!Q133="","Selection",Calculation!Q133)</f>
        <v>Selection</v>
      </c>
      <c r="K152" s="179" t="str">
        <f ca="1">Calculation!T133</f>
        <v/>
      </c>
      <c r="L152" s="180" t="str">
        <f ca="1">Calculation!U133</f>
        <v>-</v>
      </c>
      <c r="M152" s="180" t="str">
        <f ca="1">Calculation!V133</f>
        <v>-</v>
      </c>
      <c r="N152" s="181"/>
      <c r="O152" s="180" t="str">
        <f ca="1">Calculation!X133</f>
        <v>-</v>
      </c>
      <c r="P152" s="180" t="str">
        <f ca="1">Calculation!Y133</f>
        <v>-</v>
      </c>
      <c r="Q152" s="273"/>
      <c r="R152" s="182" t="str">
        <f ca="1">IF(AND(L152&lt;&gt;"-",Q152&lt;&gt;"bypass"),IFERROR(IF((U152*$R$23/0.05)-SUM(S152:U152)&gt;0,(U152*$R$23/0.05)-SUM(S152:U152),0),"-"),Calculation!AH133)</f>
        <v>-</v>
      </c>
      <c r="S152" s="179" t="str">
        <f ca="1">IF(AND(L152&lt;&gt;"-",Q152&lt;&gt;"bypass"),IFERROR(X152*((H152*10^-12-H152*10^-12*I152)/(Calculation!$U$8*10^-9)),"-"),Calculation!AF133)</f>
        <v>-</v>
      </c>
      <c r="T152" s="179" t="str">
        <f ca="1">IF(AND(L152&lt;&gt;"-",Q152&lt;&gt;"bypass"),IFERROR(H152*I152*X152/(IF(Cluster!AA152=Cluster!$W$8,Cluster!$W$10,IF(Cluster!AA152=Cluster!$X$8,Cluster!$X$10,IF(Cluster!AA152=Cluster!$Y$8,Cluster!$Y$10,0)))*10^3),"-"),Calculation!AK133)</f>
        <v>-</v>
      </c>
      <c r="U152" s="179" t="str">
        <f ca="1">IF(AND(L152&lt;&gt;"-",Q152&lt;&gt;"bypass"),IFERROR((0.5/50)*X152/$R$23,"-"),Calculation!AG133)</f>
        <v>-</v>
      </c>
      <c r="V152" s="179" t="str">
        <f ca="1">IF(AND(L152&lt;&gt;"-",Q152&lt;&gt;"bypass"),IFERROR(5/50*X152,"-"),Calculation!AI133)</f>
        <v>-</v>
      </c>
      <c r="W152" s="179" t="str">
        <f ca="1">IF(AND(L152&lt;&gt;"-",Q152&lt;&gt;"bypass"),IFERROR(35/50*X152,"-"),Calculation!AJ133)</f>
        <v>-</v>
      </c>
      <c r="X152" s="179" t="str">
        <f ca="1">IF(AND(L152&lt;&gt;"-",Q152&lt;&gt;"bypass"),$W$23,Calculation!AL133)</f>
        <v>-</v>
      </c>
      <c r="Y152" s="183" t="str">
        <f ca="1">IF(AND(L152&lt;&gt;"-",Q152&lt;&gt;"bypass"),IFERROR($R$23*U152/SUM(R152:U152),"-"),Calculation!AP133)</f>
        <v>-</v>
      </c>
      <c r="Z152" s="184" t="str">
        <f t="shared" ca="1" si="5"/>
        <v>-</v>
      </c>
      <c r="AA152" s="185" t="str">
        <f ca="1">IFERROR(IF(I152=0,"-",IF(AND(ROUND(H152*I152*X152/($W$10*10^3),1)&gt;=Calculation!$O$6,ROUND((((U152)*$R$23/0.05)-((S152)+(H152*I152*X152/($W$10*10^3))+(U152))),1)&gt;=0),Cluster!$W$8,IF(AND(ROUND(H152*I152*X152/($X$10*10^3),1)&gt;=Calculation!$O$6,ROUND((((U152)*$R$23/0.05)-((S152)+(H152*I152*X152/($X$10*10^3))+(U152))),1)&gt;=0),Cluster!$X$8,IF(AND(ROUND(H152*I152*X152/($Y$10*10^3),1)&gt;=Calculation!$O$6,ROUND((((U152)*$R$23/0.05)-((S152)+(H152*I152*X152/($Y$10*10^3))+(U152))),1)&gt;=0),Cluster!$Y$8,"Recepie by hand needed")))),"-")</f>
        <v>-</v>
      </c>
      <c r="AC152" s="37" t="str">
        <f t="shared" ca="1" si="6"/>
        <v>-</v>
      </c>
      <c r="AD152" s="37" t="str">
        <f t="shared" ca="1" si="7"/>
        <v>-</v>
      </c>
      <c r="AE152" s="220" t="str">
        <f t="shared" ca="1" si="8"/>
        <v>-</v>
      </c>
      <c r="AF152" s="37" t="str">
        <f t="shared" ca="1" si="9"/>
        <v>-</v>
      </c>
    </row>
    <row r="153" spans="1:32" ht="14.25" x14ac:dyDescent="0.5">
      <c r="A153" s="170" t="str">
        <f>Calculation!I134</f>
        <v/>
      </c>
      <c r="B153" s="221" t="str">
        <f ca="1">Calculation!B134</f>
        <v/>
      </c>
      <c r="C153" s="221" t="str">
        <f ca="1">Calculation!C134</f>
        <v/>
      </c>
      <c r="D153" s="172" t="str">
        <f ca="1">Calculation!AN134</f>
        <v/>
      </c>
      <c r="E153" s="173" t="str">
        <f ca="1">Calculation!D134</f>
        <v/>
      </c>
      <c r="F153" s="174" t="str">
        <f ca="1">Calculation!C134</f>
        <v/>
      </c>
      <c r="G153" s="175" t="str">
        <f ca="1">Calculation!F134</f>
        <v/>
      </c>
      <c r="H153" s="176" t="str">
        <f ca="1">Calculation!AD134</f>
        <v/>
      </c>
      <c r="I153" s="177" t="str">
        <f ca="1">Calculation!AE134</f>
        <v/>
      </c>
      <c r="J153" s="272" t="str">
        <f ca="1">IF(Calculation!Q134="","Selection",Calculation!Q134)</f>
        <v>Selection</v>
      </c>
      <c r="K153" s="179" t="str">
        <f ca="1">Calculation!T134</f>
        <v/>
      </c>
      <c r="L153" s="180" t="str">
        <f ca="1">Calculation!U134</f>
        <v>-</v>
      </c>
      <c r="M153" s="180" t="str">
        <f ca="1">Calculation!V134</f>
        <v>-</v>
      </c>
      <c r="N153" s="181"/>
      <c r="O153" s="180" t="str">
        <f ca="1">Calculation!X134</f>
        <v>-</v>
      </c>
      <c r="P153" s="180" t="str">
        <f ca="1">Calculation!Y134</f>
        <v>-</v>
      </c>
      <c r="Q153" s="273"/>
      <c r="R153" s="182" t="str">
        <f ca="1">IF(AND(L153&lt;&gt;"-",Q153&lt;&gt;"bypass"),IFERROR(IF((U153*$R$23/0.05)-SUM(S153:U153)&gt;0,(U153*$R$23/0.05)-SUM(S153:U153),0),"-"),Calculation!AH134)</f>
        <v>-</v>
      </c>
      <c r="S153" s="179" t="str">
        <f ca="1">IF(AND(L153&lt;&gt;"-",Q153&lt;&gt;"bypass"),IFERROR(X153*((H153*10^-12-H153*10^-12*I153)/(Calculation!$U$8*10^-9)),"-"),Calculation!AF134)</f>
        <v>-</v>
      </c>
      <c r="T153" s="179" t="str">
        <f ca="1">IF(AND(L153&lt;&gt;"-",Q153&lt;&gt;"bypass"),IFERROR(H153*I153*X153/(IF(Cluster!AA153=Cluster!$W$8,Cluster!$W$10,IF(Cluster!AA153=Cluster!$X$8,Cluster!$X$10,IF(Cluster!AA153=Cluster!$Y$8,Cluster!$Y$10,0)))*10^3),"-"),Calculation!AK134)</f>
        <v>-</v>
      </c>
      <c r="U153" s="179" t="str">
        <f ca="1">IF(AND(L153&lt;&gt;"-",Q153&lt;&gt;"bypass"),IFERROR((0.5/50)*X153/$R$23,"-"),Calculation!AG134)</f>
        <v>-</v>
      </c>
      <c r="V153" s="179" t="str">
        <f ca="1">IF(AND(L153&lt;&gt;"-",Q153&lt;&gt;"bypass"),IFERROR(5/50*X153,"-"),Calculation!AI134)</f>
        <v>-</v>
      </c>
      <c r="W153" s="179" t="str">
        <f ca="1">IF(AND(L153&lt;&gt;"-",Q153&lt;&gt;"bypass"),IFERROR(35/50*X153,"-"),Calculation!AJ134)</f>
        <v>-</v>
      </c>
      <c r="X153" s="179" t="str">
        <f ca="1">IF(AND(L153&lt;&gt;"-",Q153&lt;&gt;"bypass"),$W$23,Calculation!AL134)</f>
        <v>-</v>
      </c>
      <c r="Y153" s="183" t="str">
        <f ca="1">IF(AND(L153&lt;&gt;"-",Q153&lt;&gt;"bypass"),IFERROR($R$23*U153/SUM(R153:U153),"-"),Calculation!AP134)</f>
        <v>-</v>
      </c>
      <c r="Z153" s="184" t="str">
        <f t="shared" ca="1" si="5"/>
        <v>-</v>
      </c>
      <c r="AA153" s="185" t="str">
        <f ca="1">IFERROR(IF(I153=0,"-",IF(AND(ROUND(H153*I153*X153/($W$10*10^3),1)&gt;=Calculation!$O$6,ROUND((((U153)*$R$23/0.05)-((S153)+(H153*I153*X153/($W$10*10^3))+(U153))),1)&gt;=0),Cluster!$W$8,IF(AND(ROUND(H153*I153*X153/($X$10*10^3),1)&gt;=Calculation!$O$6,ROUND((((U153)*$R$23/0.05)-((S153)+(H153*I153*X153/($X$10*10^3))+(U153))),1)&gt;=0),Cluster!$X$8,IF(AND(ROUND(H153*I153*X153/($Y$10*10^3),1)&gt;=Calculation!$O$6,ROUND((((U153)*$R$23/0.05)-((S153)+(H153*I153*X153/($Y$10*10^3))+(U153))),1)&gt;=0),Cluster!$Y$8,"Recepie by hand needed")))),"-")</f>
        <v>-</v>
      </c>
      <c r="AC153" s="37" t="str">
        <f t="shared" ca="1" si="6"/>
        <v>-</v>
      </c>
      <c r="AD153" s="37" t="str">
        <f t="shared" ca="1" si="7"/>
        <v>-</v>
      </c>
      <c r="AE153" s="220" t="str">
        <f t="shared" ca="1" si="8"/>
        <v>-</v>
      </c>
      <c r="AF153" s="37" t="str">
        <f t="shared" ca="1" si="9"/>
        <v>-</v>
      </c>
    </row>
    <row r="154" spans="1:32" ht="14.25" x14ac:dyDescent="0.5">
      <c r="A154" s="170" t="str">
        <f>Calculation!I135</f>
        <v/>
      </c>
      <c r="B154" s="221" t="str">
        <f ca="1">Calculation!B135</f>
        <v/>
      </c>
      <c r="C154" s="221" t="str">
        <f ca="1">Calculation!C135</f>
        <v/>
      </c>
      <c r="D154" s="172" t="str">
        <f ca="1">Calculation!AN135</f>
        <v/>
      </c>
      <c r="E154" s="173" t="str">
        <f ca="1">Calculation!D135</f>
        <v/>
      </c>
      <c r="F154" s="174" t="str">
        <f ca="1">Calculation!C135</f>
        <v/>
      </c>
      <c r="G154" s="175" t="str">
        <f ca="1">Calculation!F135</f>
        <v/>
      </c>
      <c r="H154" s="176" t="str">
        <f ca="1">Calculation!AD135</f>
        <v/>
      </c>
      <c r="I154" s="177" t="str">
        <f ca="1">Calculation!AE135</f>
        <v/>
      </c>
      <c r="J154" s="272" t="str">
        <f ca="1">IF(Calculation!Q135="","Selection",Calculation!Q135)</f>
        <v>Selection</v>
      </c>
      <c r="K154" s="179" t="str">
        <f ca="1">Calculation!T135</f>
        <v/>
      </c>
      <c r="L154" s="180" t="str">
        <f ca="1">Calculation!U135</f>
        <v>-</v>
      </c>
      <c r="M154" s="180" t="str">
        <f ca="1">Calculation!V135</f>
        <v>-</v>
      </c>
      <c r="N154" s="181"/>
      <c r="O154" s="180" t="str">
        <f ca="1">Calculation!X135</f>
        <v>-</v>
      </c>
      <c r="P154" s="180" t="str">
        <f ca="1">Calculation!Y135</f>
        <v>-</v>
      </c>
      <c r="Q154" s="273"/>
      <c r="R154" s="182" t="str">
        <f ca="1">IF(AND(L154&lt;&gt;"-",Q154&lt;&gt;"bypass"),IFERROR(IF((U154*$R$23/0.05)-SUM(S154:U154)&gt;0,(U154*$R$23/0.05)-SUM(S154:U154),0),"-"),Calculation!AH135)</f>
        <v>-</v>
      </c>
      <c r="S154" s="179" t="str">
        <f ca="1">IF(AND(L154&lt;&gt;"-",Q154&lt;&gt;"bypass"),IFERROR(X154*((H154*10^-12-H154*10^-12*I154)/(Calculation!$U$8*10^-9)),"-"),Calculation!AF135)</f>
        <v>-</v>
      </c>
      <c r="T154" s="179" t="str">
        <f ca="1">IF(AND(L154&lt;&gt;"-",Q154&lt;&gt;"bypass"),IFERROR(H154*I154*X154/(IF(Cluster!AA154=Cluster!$W$8,Cluster!$W$10,IF(Cluster!AA154=Cluster!$X$8,Cluster!$X$10,IF(Cluster!AA154=Cluster!$Y$8,Cluster!$Y$10,0)))*10^3),"-"),Calculation!AK135)</f>
        <v>-</v>
      </c>
      <c r="U154" s="179" t="str">
        <f ca="1">IF(AND(L154&lt;&gt;"-",Q154&lt;&gt;"bypass"),IFERROR((0.5/50)*X154/$R$23,"-"),Calculation!AG135)</f>
        <v>-</v>
      </c>
      <c r="V154" s="179" t="str">
        <f ca="1">IF(AND(L154&lt;&gt;"-",Q154&lt;&gt;"bypass"),IFERROR(5/50*X154,"-"),Calculation!AI135)</f>
        <v>-</v>
      </c>
      <c r="W154" s="179" t="str">
        <f ca="1">IF(AND(L154&lt;&gt;"-",Q154&lt;&gt;"bypass"),IFERROR(35/50*X154,"-"),Calculation!AJ135)</f>
        <v>-</v>
      </c>
      <c r="X154" s="179" t="str">
        <f ca="1">IF(AND(L154&lt;&gt;"-",Q154&lt;&gt;"bypass"),$W$23,Calculation!AL135)</f>
        <v>-</v>
      </c>
      <c r="Y154" s="183" t="str">
        <f ca="1">IF(AND(L154&lt;&gt;"-",Q154&lt;&gt;"bypass"),IFERROR($R$23*U154/SUM(R154:U154),"-"),Calculation!AP135)</f>
        <v>-</v>
      </c>
      <c r="Z154" s="184" t="str">
        <f t="shared" ca="1" si="5"/>
        <v>-</v>
      </c>
      <c r="AA154" s="185" t="str">
        <f ca="1">IFERROR(IF(I154=0,"-",IF(AND(ROUND(H154*I154*X154/($W$10*10^3),1)&gt;=Calculation!$O$6,ROUND((((U154)*$R$23/0.05)-((S154)+(H154*I154*X154/($W$10*10^3))+(U154))),1)&gt;=0),Cluster!$W$8,IF(AND(ROUND(H154*I154*X154/($X$10*10^3),1)&gt;=Calculation!$O$6,ROUND((((U154)*$R$23/0.05)-((S154)+(H154*I154*X154/($X$10*10^3))+(U154))),1)&gt;=0),Cluster!$X$8,IF(AND(ROUND(H154*I154*X154/($Y$10*10^3),1)&gt;=Calculation!$O$6,ROUND((((U154)*$R$23/0.05)-((S154)+(H154*I154*X154/($Y$10*10^3))+(U154))),1)&gt;=0),Cluster!$Y$8,"Recepie by hand needed")))),"-")</f>
        <v>-</v>
      </c>
      <c r="AC154" s="37" t="str">
        <f t="shared" ca="1" si="6"/>
        <v>-</v>
      </c>
      <c r="AD154" s="37" t="str">
        <f t="shared" ca="1" si="7"/>
        <v>-</v>
      </c>
      <c r="AE154" s="220" t="str">
        <f t="shared" ca="1" si="8"/>
        <v>-</v>
      </c>
      <c r="AF154" s="37" t="str">
        <f t="shared" ca="1" si="9"/>
        <v>-</v>
      </c>
    </row>
    <row r="155" spans="1:32" ht="14.25" x14ac:dyDescent="0.5">
      <c r="A155" s="170" t="str">
        <f>Calculation!I136</f>
        <v/>
      </c>
      <c r="B155" s="221" t="str">
        <f ca="1">Calculation!B136</f>
        <v/>
      </c>
      <c r="C155" s="221" t="str">
        <f ca="1">Calculation!C136</f>
        <v/>
      </c>
      <c r="D155" s="172" t="str">
        <f ca="1">Calculation!AN136</f>
        <v/>
      </c>
      <c r="E155" s="173" t="str">
        <f ca="1">Calculation!D136</f>
        <v/>
      </c>
      <c r="F155" s="174" t="str">
        <f ca="1">Calculation!C136</f>
        <v/>
      </c>
      <c r="G155" s="175" t="str">
        <f ca="1">Calculation!F136</f>
        <v/>
      </c>
      <c r="H155" s="176" t="str">
        <f ca="1">Calculation!AD136</f>
        <v/>
      </c>
      <c r="I155" s="177" t="str">
        <f ca="1">Calculation!AE136</f>
        <v/>
      </c>
      <c r="J155" s="272" t="str">
        <f ca="1">IF(Calculation!Q136="","Selection",Calculation!Q136)</f>
        <v>Selection</v>
      </c>
      <c r="K155" s="179" t="str">
        <f ca="1">Calculation!T136</f>
        <v/>
      </c>
      <c r="L155" s="180" t="str">
        <f ca="1">Calculation!U136</f>
        <v>-</v>
      </c>
      <c r="M155" s="180" t="str">
        <f ca="1">Calculation!V136</f>
        <v>-</v>
      </c>
      <c r="N155" s="181"/>
      <c r="O155" s="180" t="str">
        <f ca="1">Calculation!X136</f>
        <v>-</v>
      </c>
      <c r="P155" s="180" t="str">
        <f ca="1">Calculation!Y136</f>
        <v>-</v>
      </c>
      <c r="Q155" s="273"/>
      <c r="R155" s="182" t="str">
        <f ca="1">IF(AND(L155&lt;&gt;"-",Q155&lt;&gt;"bypass"),IFERROR(IF((U155*$R$23/0.05)-SUM(S155:U155)&gt;0,(U155*$R$23/0.05)-SUM(S155:U155),0),"-"),Calculation!AH136)</f>
        <v>-</v>
      </c>
      <c r="S155" s="179" t="str">
        <f ca="1">IF(AND(L155&lt;&gt;"-",Q155&lt;&gt;"bypass"),IFERROR(X155*((H155*10^-12-H155*10^-12*I155)/(Calculation!$U$8*10^-9)),"-"),Calculation!AF136)</f>
        <v>-</v>
      </c>
      <c r="T155" s="179" t="str">
        <f ca="1">IF(AND(L155&lt;&gt;"-",Q155&lt;&gt;"bypass"),IFERROR(H155*I155*X155/(IF(Cluster!AA155=Cluster!$W$8,Cluster!$W$10,IF(Cluster!AA155=Cluster!$X$8,Cluster!$X$10,IF(Cluster!AA155=Cluster!$Y$8,Cluster!$Y$10,0)))*10^3),"-"),Calculation!AK136)</f>
        <v>-</v>
      </c>
      <c r="U155" s="179" t="str">
        <f ca="1">IF(AND(L155&lt;&gt;"-",Q155&lt;&gt;"bypass"),IFERROR((0.5/50)*X155/$R$23,"-"),Calculation!AG136)</f>
        <v>-</v>
      </c>
      <c r="V155" s="179" t="str">
        <f ca="1">IF(AND(L155&lt;&gt;"-",Q155&lt;&gt;"bypass"),IFERROR(5/50*X155,"-"),Calculation!AI136)</f>
        <v>-</v>
      </c>
      <c r="W155" s="179" t="str">
        <f ca="1">IF(AND(L155&lt;&gt;"-",Q155&lt;&gt;"bypass"),IFERROR(35/50*X155,"-"),Calculation!AJ136)</f>
        <v>-</v>
      </c>
      <c r="X155" s="179" t="str">
        <f ca="1">IF(AND(L155&lt;&gt;"-",Q155&lt;&gt;"bypass"),$W$23,Calculation!AL136)</f>
        <v>-</v>
      </c>
      <c r="Y155" s="183" t="str">
        <f ca="1">IF(AND(L155&lt;&gt;"-",Q155&lt;&gt;"bypass"),IFERROR($R$23*U155/SUM(R155:U155),"-"),Calculation!AP136)</f>
        <v>-</v>
      </c>
      <c r="Z155" s="184" t="str">
        <f t="shared" ca="1" si="5"/>
        <v>-</v>
      </c>
      <c r="AA155" s="185" t="str">
        <f ca="1">IFERROR(IF(I155=0,"-",IF(AND(ROUND(H155*I155*X155/($W$10*10^3),1)&gt;=Calculation!$O$6,ROUND((((U155)*$R$23/0.05)-((S155)+(H155*I155*X155/($W$10*10^3))+(U155))),1)&gt;=0),Cluster!$W$8,IF(AND(ROUND(H155*I155*X155/($X$10*10^3),1)&gt;=Calculation!$O$6,ROUND((((U155)*$R$23/0.05)-((S155)+(H155*I155*X155/($X$10*10^3))+(U155))),1)&gt;=0),Cluster!$X$8,IF(AND(ROUND(H155*I155*X155/($Y$10*10^3),1)&gt;=Calculation!$O$6,ROUND((((U155)*$R$23/0.05)-((S155)+(H155*I155*X155/($Y$10*10^3))+(U155))),1)&gt;=0),Cluster!$Y$8,"Recepie by hand needed")))),"-")</f>
        <v>-</v>
      </c>
      <c r="AC155" s="37" t="str">
        <f t="shared" ca="1" si="6"/>
        <v>-</v>
      </c>
      <c r="AD155" s="37" t="str">
        <f t="shared" ca="1" si="7"/>
        <v>-</v>
      </c>
      <c r="AE155" s="220" t="str">
        <f t="shared" ca="1" si="8"/>
        <v>-</v>
      </c>
      <c r="AF155" s="37" t="str">
        <f t="shared" ca="1" si="9"/>
        <v>-</v>
      </c>
    </row>
    <row r="156" spans="1:32" ht="14.25" x14ac:dyDescent="0.5">
      <c r="A156" s="170" t="str">
        <f>Calculation!I137</f>
        <v/>
      </c>
      <c r="B156" s="221" t="str">
        <f ca="1">Calculation!B137</f>
        <v/>
      </c>
      <c r="C156" s="221" t="str">
        <f ca="1">Calculation!C137</f>
        <v/>
      </c>
      <c r="D156" s="172" t="str">
        <f ca="1">Calculation!AN137</f>
        <v/>
      </c>
      <c r="E156" s="173" t="str">
        <f ca="1">Calculation!D137</f>
        <v/>
      </c>
      <c r="F156" s="174" t="str">
        <f ca="1">Calculation!C137</f>
        <v/>
      </c>
      <c r="G156" s="175" t="str">
        <f ca="1">Calculation!F137</f>
        <v/>
      </c>
      <c r="H156" s="176" t="str">
        <f ca="1">Calculation!AD137</f>
        <v/>
      </c>
      <c r="I156" s="177" t="str">
        <f ca="1">Calculation!AE137</f>
        <v/>
      </c>
      <c r="J156" s="272" t="str">
        <f ca="1">IF(Calculation!Q137="","Selection",Calculation!Q137)</f>
        <v>Selection</v>
      </c>
      <c r="K156" s="179" t="str">
        <f ca="1">Calculation!T137</f>
        <v/>
      </c>
      <c r="L156" s="180" t="str">
        <f ca="1">Calculation!U137</f>
        <v>-</v>
      </c>
      <c r="M156" s="180" t="str">
        <f ca="1">Calculation!V137</f>
        <v>-</v>
      </c>
      <c r="N156" s="181"/>
      <c r="O156" s="180" t="str">
        <f ca="1">Calculation!X137</f>
        <v>-</v>
      </c>
      <c r="P156" s="180" t="str">
        <f ca="1">Calculation!Y137</f>
        <v>-</v>
      </c>
      <c r="Q156" s="273"/>
      <c r="R156" s="182" t="str">
        <f ca="1">IF(AND(L156&lt;&gt;"-",Q156&lt;&gt;"bypass"),IFERROR(IF((U156*$R$23/0.05)-SUM(S156:U156)&gt;0,(U156*$R$23/0.05)-SUM(S156:U156),0),"-"),Calculation!AH137)</f>
        <v>-</v>
      </c>
      <c r="S156" s="179" t="str">
        <f ca="1">IF(AND(L156&lt;&gt;"-",Q156&lt;&gt;"bypass"),IFERROR(X156*((H156*10^-12-H156*10^-12*I156)/(Calculation!$U$8*10^-9)),"-"),Calculation!AF137)</f>
        <v>-</v>
      </c>
      <c r="T156" s="179" t="str">
        <f ca="1">IF(AND(L156&lt;&gt;"-",Q156&lt;&gt;"bypass"),IFERROR(H156*I156*X156/(IF(Cluster!AA156=Cluster!$W$8,Cluster!$W$10,IF(Cluster!AA156=Cluster!$X$8,Cluster!$X$10,IF(Cluster!AA156=Cluster!$Y$8,Cluster!$Y$10,0)))*10^3),"-"),Calculation!AK137)</f>
        <v>-</v>
      </c>
      <c r="U156" s="179" t="str">
        <f ca="1">IF(AND(L156&lt;&gt;"-",Q156&lt;&gt;"bypass"),IFERROR((0.5/50)*X156/$R$23,"-"),Calculation!AG137)</f>
        <v>-</v>
      </c>
      <c r="V156" s="179" t="str">
        <f ca="1">IF(AND(L156&lt;&gt;"-",Q156&lt;&gt;"bypass"),IFERROR(5/50*X156,"-"),Calculation!AI137)</f>
        <v>-</v>
      </c>
      <c r="W156" s="179" t="str">
        <f ca="1">IF(AND(L156&lt;&gt;"-",Q156&lt;&gt;"bypass"),IFERROR(35/50*X156,"-"),Calculation!AJ137)</f>
        <v>-</v>
      </c>
      <c r="X156" s="179" t="str">
        <f ca="1">IF(AND(L156&lt;&gt;"-",Q156&lt;&gt;"bypass"),$W$23,Calculation!AL137)</f>
        <v>-</v>
      </c>
      <c r="Y156" s="183" t="str">
        <f ca="1">IF(AND(L156&lt;&gt;"-",Q156&lt;&gt;"bypass"),IFERROR($R$23*U156/SUM(R156:U156),"-"),Calculation!AP137)</f>
        <v>-</v>
      </c>
      <c r="Z156" s="184" t="str">
        <f t="shared" ca="1" si="5"/>
        <v>-</v>
      </c>
      <c r="AA156" s="185" t="str">
        <f ca="1">IFERROR(IF(I156=0,"-",IF(AND(ROUND(H156*I156*X156/($W$10*10^3),1)&gt;=Calculation!$O$6,ROUND((((U156)*$R$23/0.05)-((S156)+(H156*I156*X156/($W$10*10^3))+(U156))),1)&gt;=0),Cluster!$W$8,IF(AND(ROUND(H156*I156*X156/($X$10*10^3),1)&gt;=Calculation!$O$6,ROUND((((U156)*$R$23/0.05)-((S156)+(H156*I156*X156/($X$10*10^3))+(U156))),1)&gt;=0),Cluster!$X$8,IF(AND(ROUND(H156*I156*X156/($Y$10*10^3),1)&gt;=Calculation!$O$6,ROUND((((U156)*$R$23/0.05)-((S156)+(H156*I156*X156/($Y$10*10^3))+(U156))),1)&gt;=0),Cluster!$Y$8,"Recepie by hand needed")))),"-")</f>
        <v>-</v>
      </c>
      <c r="AC156" s="37" t="str">
        <f t="shared" ca="1" si="6"/>
        <v>-</v>
      </c>
      <c r="AD156" s="37" t="str">
        <f t="shared" ca="1" si="7"/>
        <v>-</v>
      </c>
      <c r="AE156" s="220" t="str">
        <f t="shared" ca="1" si="8"/>
        <v>-</v>
      </c>
      <c r="AF156" s="37" t="str">
        <f t="shared" ca="1" si="9"/>
        <v>-</v>
      </c>
    </row>
    <row r="157" spans="1:32" ht="14.25" x14ac:dyDescent="0.5">
      <c r="A157" s="170" t="str">
        <f>Calculation!I138</f>
        <v/>
      </c>
      <c r="B157" s="221" t="str">
        <f ca="1">Calculation!B138</f>
        <v/>
      </c>
      <c r="C157" s="221" t="str">
        <f ca="1">Calculation!C138</f>
        <v/>
      </c>
      <c r="D157" s="172" t="str">
        <f ca="1">Calculation!AN138</f>
        <v/>
      </c>
      <c r="E157" s="173" t="str">
        <f ca="1">Calculation!D138</f>
        <v/>
      </c>
      <c r="F157" s="174" t="str">
        <f ca="1">Calculation!C138</f>
        <v/>
      </c>
      <c r="G157" s="175" t="str">
        <f ca="1">Calculation!F138</f>
        <v/>
      </c>
      <c r="H157" s="176" t="str">
        <f ca="1">Calculation!AD138</f>
        <v/>
      </c>
      <c r="I157" s="177" t="str">
        <f ca="1">Calculation!AE138</f>
        <v/>
      </c>
      <c r="J157" s="272" t="str">
        <f ca="1">IF(Calculation!Q138="","Selection",Calculation!Q138)</f>
        <v>Selection</v>
      </c>
      <c r="K157" s="179" t="str">
        <f ca="1">Calculation!T138</f>
        <v/>
      </c>
      <c r="L157" s="180" t="str">
        <f ca="1">Calculation!U138</f>
        <v>-</v>
      </c>
      <c r="M157" s="180" t="str">
        <f ca="1">Calculation!V138</f>
        <v>-</v>
      </c>
      <c r="N157" s="181"/>
      <c r="O157" s="180" t="str">
        <f ca="1">Calculation!X138</f>
        <v>-</v>
      </c>
      <c r="P157" s="180" t="str">
        <f ca="1">Calculation!Y138</f>
        <v>-</v>
      </c>
      <c r="Q157" s="273"/>
      <c r="R157" s="182" t="str">
        <f ca="1">IF(AND(L157&lt;&gt;"-",Q157&lt;&gt;"bypass"),IFERROR(IF((U157*$R$23/0.05)-SUM(S157:U157)&gt;0,(U157*$R$23/0.05)-SUM(S157:U157),0),"-"),Calculation!AH138)</f>
        <v>-</v>
      </c>
      <c r="S157" s="179" t="str">
        <f ca="1">IF(AND(L157&lt;&gt;"-",Q157&lt;&gt;"bypass"),IFERROR(X157*((H157*10^-12-H157*10^-12*I157)/(Calculation!$U$8*10^-9)),"-"),Calculation!AF138)</f>
        <v>-</v>
      </c>
      <c r="T157" s="179" t="str">
        <f ca="1">IF(AND(L157&lt;&gt;"-",Q157&lt;&gt;"bypass"),IFERROR(H157*I157*X157/(IF(Cluster!AA157=Cluster!$W$8,Cluster!$W$10,IF(Cluster!AA157=Cluster!$X$8,Cluster!$X$10,IF(Cluster!AA157=Cluster!$Y$8,Cluster!$Y$10,0)))*10^3),"-"),Calculation!AK138)</f>
        <v>-</v>
      </c>
      <c r="U157" s="179" t="str">
        <f ca="1">IF(AND(L157&lt;&gt;"-",Q157&lt;&gt;"bypass"),IFERROR((0.5/50)*X157/$R$23,"-"),Calculation!AG138)</f>
        <v>-</v>
      </c>
      <c r="V157" s="179" t="str">
        <f ca="1">IF(AND(L157&lt;&gt;"-",Q157&lt;&gt;"bypass"),IFERROR(5/50*X157,"-"),Calculation!AI138)</f>
        <v>-</v>
      </c>
      <c r="W157" s="179" t="str">
        <f ca="1">IF(AND(L157&lt;&gt;"-",Q157&lt;&gt;"bypass"),IFERROR(35/50*X157,"-"),Calculation!AJ138)</f>
        <v>-</v>
      </c>
      <c r="X157" s="179" t="str">
        <f ca="1">IF(AND(L157&lt;&gt;"-",Q157&lt;&gt;"bypass"),$W$23,Calculation!AL138)</f>
        <v>-</v>
      </c>
      <c r="Y157" s="183" t="str">
        <f ca="1">IF(AND(L157&lt;&gt;"-",Q157&lt;&gt;"bypass"),IFERROR($R$23*U157/SUM(R157:U157),"-"),Calculation!AP138)</f>
        <v>-</v>
      </c>
      <c r="Z157" s="184" t="str">
        <f t="shared" ref="Z157:Z220" ca="1" si="10">IF(INDEX(Calculation_Tab,MATCH(C157,Identifier,0),45)&lt;&gt;"-",A157,"-")</f>
        <v>-</v>
      </c>
      <c r="AA157" s="185" t="str">
        <f ca="1">IFERROR(IF(I157=0,"-",IF(AND(ROUND(H157*I157*X157/($W$10*10^3),1)&gt;=Calculation!$O$6,ROUND((((U157)*$R$23/0.05)-((S157)+(H157*I157*X157/($W$10*10^3))+(U157))),1)&gt;=0),Cluster!$W$8,IF(AND(ROUND(H157*I157*X157/($X$10*10^3),1)&gt;=Calculation!$O$6,ROUND((((U157)*$R$23/0.05)-((S157)+(H157*I157*X157/($X$10*10^3))+(U157))),1)&gt;=0),Cluster!$X$8,IF(AND(ROUND(H157*I157*X157/($Y$10*10^3),1)&gt;=Calculation!$O$6,ROUND((((U157)*$R$23/0.05)-((S157)+(H157*I157*X157/($Y$10*10^3))+(U157))),1)&gt;=0),Cluster!$Y$8,"Recepie by hand needed")))),"-")</f>
        <v>-</v>
      </c>
      <c r="AC157" s="37" t="str">
        <f t="shared" ref="AC157:AC220" ca="1" si="11">IFERROR(IF((I157*(H157*10^-12)*X157/((U157*$R$23-0.05*SUM(S157,U157))/0.05))/10^-9&lt;=0,"-",(I157*(H157*10^-12)*X157/((U157*$R$23-0.05*SUM(S157,U157))/0.05))/10^-9),"-")</f>
        <v>-</v>
      </c>
      <c r="AD157" s="37" t="str">
        <f t="shared" ref="AD157:AD220" ca="1" si="12">IFERROR(IF((I157*(H157*10^-12)*X157/10^-9)&lt;=0,"-",I157*(H157*10^-12)*X157/10^-9),"-")</f>
        <v>-</v>
      </c>
      <c r="AE157" s="220" t="str">
        <f t="shared" ref="AE157:AE220" ca="1" si="13">IFERROR(AD157-AC157,"-")</f>
        <v>-</v>
      </c>
      <c r="AF157" s="37" t="str">
        <f t="shared" ref="AF157:AF220" ca="1" si="14">IFERROR(IF(AVERAGE(AC157:AD157)&lt;=0,0.1,AVERAGE(AC157:AD157)),"-")</f>
        <v>-</v>
      </c>
    </row>
    <row r="158" spans="1:32" ht="14.25" x14ac:dyDescent="0.5">
      <c r="A158" s="170" t="str">
        <f>Calculation!I139</f>
        <v/>
      </c>
      <c r="B158" s="221" t="str">
        <f ca="1">Calculation!B139</f>
        <v/>
      </c>
      <c r="C158" s="221" t="str">
        <f ca="1">Calculation!C139</f>
        <v/>
      </c>
      <c r="D158" s="172" t="str">
        <f ca="1">Calculation!AN139</f>
        <v/>
      </c>
      <c r="E158" s="173" t="str">
        <f ca="1">Calculation!D139</f>
        <v/>
      </c>
      <c r="F158" s="174" t="str">
        <f ca="1">Calculation!C139</f>
        <v/>
      </c>
      <c r="G158" s="175" t="str">
        <f ca="1">Calculation!F139</f>
        <v/>
      </c>
      <c r="H158" s="176" t="str">
        <f ca="1">Calculation!AD139</f>
        <v/>
      </c>
      <c r="I158" s="177" t="str">
        <f ca="1">Calculation!AE139</f>
        <v/>
      </c>
      <c r="J158" s="272" t="str">
        <f ca="1">IF(Calculation!Q139="","Selection",Calculation!Q139)</f>
        <v>Selection</v>
      </c>
      <c r="K158" s="179" t="str">
        <f ca="1">Calculation!T139</f>
        <v/>
      </c>
      <c r="L158" s="180" t="str">
        <f ca="1">Calculation!U139</f>
        <v>-</v>
      </c>
      <c r="M158" s="180" t="str">
        <f ca="1">Calculation!V139</f>
        <v>-</v>
      </c>
      <c r="N158" s="181"/>
      <c r="O158" s="180" t="str">
        <f ca="1">Calculation!X139</f>
        <v>-</v>
      </c>
      <c r="P158" s="180" t="str">
        <f ca="1">Calculation!Y139</f>
        <v>-</v>
      </c>
      <c r="Q158" s="273"/>
      <c r="R158" s="182" t="str">
        <f ca="1">IF(AND(L158&lt;&gt;"-",Q158&lt;&gt;"bypass"),IFERROR(IF((U158*$R$23/0.05)-SUM(S158:U158)&gt;0,(U158*$R$23/0.05)-SUM(S158:U158),0),"-"),Calculation!AH139)</f>
        <v>-</v>
      </c>
      <c r="S158" s="179" t="str">
        <f ca="1">IF(AND(L158&lt;&gt;"-",Q158&lt;&gt;"bypass"),IFERROR(X158*((H158*10^-12-H158*10^-12*I158)/(Calculation!$U$8*10^-9)),"-"),Calculation!AF139)</f>
        <v>-</v>
      </c>
      <c r="T158" s="179" t="str">
        <f ca="1">IF(AND(L158&lt;&gt;"-",Q158&lt;&gt;"bypass"),IFERROR(H158*I158*X158/(IF(Cluster!AA158=Cluster!$W$8,Cluster!$W$10,IF(Cluster!AA158=Cluster!$X$8,Cluster!$X$10,IF(Cluster!AA158=Cluster!$Y$8,Cluster!$Y$10,0)))*10^3),"-"),Calculation!AK139)</f>
        <v>-</v>
      </c>
      <c r="U158" s="179" t="str">
        <f ca="1">IF(AND(L158&lt;&gt;"-",Q158&lt;&gt;"bypass"),IFERROR((0.5/50)*X158/$R$23,"-"),Calculation!AG139)</f>
        <v>-</v>
      </c>
      <c r="V158" s="179" t="str">
        <f ca="1">IF(AND(L158&lt;&gt;"-",Q158&lt;&gt;"bypass"),IFERROR(5/50*X158,"-"),Calculation!AI139)</f>
        <v>-</v>
      </c>
      <c r="W158" s="179" t="str">
        <f ca="1">IF(AND(L158&lt;&gt;"-",Q158&lt;&gt;"bypass"),IFERROR(35/50*X158,"-"),Calculation!AJ139)</f>
        <v>-</v>
      </c>
      <c r="X158" s="179" t="str">
        <f ca="1">IF(AND(L158&lt;&gt;"-",Q158&lt;&gt;"bypass"),$W$23,Calculation!AL139)</f>
        <v>-</v>
      </c>
      <c r="Y158" s="183" t="str">
        <f ca="1">IF(AND(L158&lt;&gt;"-",Q158&lt;&gt;"bypass"),IFERROR($R$23*U158/SUM(R158:U158),"-"),Calculation!AP139)</f>
        <v>-</v>
      </c>
      <c r="Z158" s="184" t="str">
        <f t="shared" ca="1" si="10"/>
        <v>-</v>
      </c>
      <c r="AA158" s="185" t="str">
        <f ca="1">IFERROR(IF(I158=0,"-",IF(AND(ROUND(H158*I158*X158/($W$10*10^3),1)&gt;=Calculation!$O$6,ROUND((((U158)*$R$23/0.05)-((S158)+(H158*I158*X158/($W$10*10^3))+(U158))),1)&gt;=0),Cluster!$W$8,IF(AND(ROUND(H158*I158*X158/($X$10*10^3),1)&gt;=Calculation!$O$6,ROUND((((U158)*$R$23/0.05)-((S158)+(H158*I158*X158/($X$10*10^3))+(U158))),1)&gt;=0),Cluster!$X$8,IF(AND(ROUND(H158*I158*X158/($Y$10*10^3),1)&gt;=Calculation!$O$6,ROUND((((U158)*$R$23/0.05)-((S158)+(H158*I158*X158/($Y$10*10^3))+(U158))),1)&gt;=0),Cluster!$Y$8,"Recepie by hand needed")))),"-")</f>
        <v>-</v>
      </c>
      <c r="AC158" s="37" t="str">
        <f t="shared" ca="1" si="11"/>
        <v>-</v>
      </c>
      <c r="AD158" s="37" t="str">
        <f t="shared" ca="1" si="12"/>
        <v>-</v>
      </c>
      <c r="AE158" s="220" t="str">
        <f t="shared" ca="1" si="13"/>
        <v>-</v>
      </c>
      <c r="AF158" s="37" t="str">
        <f t="shared" ca="1" si="14"/>
        <v>-</v>
      </c>
    </row>
    <row r="159" spans="1:32" ht="14.25" x14ac:dyDescent="0.5">
      <c r="A159" s="170" t="str">
        <f>Calculation!I140</f>
        <v/>
      </c>
      <c r="B159" s="221" t="str">
        <f ca="1">Calculation!B140</f>
        <v/>
      </c>
      <c r="C159" s="221" t="str">
        <f ca="1">Calculation!C140</f>
        <v/>
      </c>
      <c r="D159" s="172" t="str">
        <f ca="1">Calculation!AN140</f>
        <v/>
      </c>
      <c r="E159" s="173" t="str">
        <f ca="1">Calculation!D140</f>
        <v/>
      </c>
      <c r="F159" s="174" t="str">
        <f ca="1">Calculation!C140</f>
        <v/>
      </c>
      <c r="G159" s="175" t="str">
        <f ca="1">Calculation!F140</f>
        <v/>
      </c>
      <c r="H159" s="176" t="str">
        <f ca="1">Calculation!AD140</f>
        <v/>
      </c>
      <c r="I159" s="177" t="str">
        <f ca="1">Calculation!AE140</f>
        <v/>
      </c>
      <c r="J159" s="272" t="str">
        <f ca="1">IF(Calculation!Q140="","Selection",Calculation!Q140)</f>
        <v>Selection</v>
      </c>
      <c r="K159" s="179" t="str">
        <f ca="1">Calculation!T140</f>
        <v/>
      </c>
      <c r="L159" s="180" t="str">
        <f ca="1">Calculation!U140</f>
        <v>-</v>
      </c>
      <c r="M159" s="180" t="str">
        <f ca="1">Calculation!V140</f>
        <v>-</v>
      </c>
      <c r="N159" s="181"/>
      <c r="O159" s="180" t="str">
        <f ca="1">Calculation!X140</f>
        <v>-</v>
      </c>
      <c r="P159" s="180" t="str">
        <f ca="1">Calculation!Y140</f>
        <v>-</v>
      </c>
      <c r="Q159" s="273"/>
      <c r="R159" s="182" t="str">
        <f ca="1">IF(AND(L159&lt;&gt;"-",Q159&lt;&gt;"bypass"),IFERROR(IF((U159*$R$23/0.05)-SUM(S159:U159)&gt;0,(U159*$R$23/0.05)-SUM(S159:U159),0),"-"),Calculation!AH140)</f>
        <v>-</v>
      </c>
      <c r="S159" s="179" t="str">
        <f ca="1">IF(AND(L159&lt;&gt;"-",Q159&lt;&gt;"bypass"),IFERROR(X159*((H159*10^-12-H159*10^-12*I159)/(Calculation!$U$8*10^-9)),"-"),Calculation!AF140)</f>
        <v>-</v>
      </c>
      <c r="T159" s="179" t="str">
        <f ca="1">IF(AND(L159&lt;&gt;"-",Q159&lt;&gt;"bypass"),IFERROR(H159*I159*X159/(IF(Cluster!AA159=Cluster!$W$8,Cluster!$W$10,IF(Cluster!AA159=Cluster!$X$8,Cluster!$X$10,IF(Cluster!AA159=Cluster!$Y$8,Cluster!$Y$10,0)))*10^3),"-"),Calculation!AK140)</f>
        <v>-</v>
      </c>
      <c r="U159" s="179" t="str">
        <f ca="1">IF(AND(L159&lt;&gt;"-",Q159&lt;&gt;"bypass"),IFERROR((0.5/50)*X159/$R$23,"-"),Calculation!AG140)</f>
        <v>-</v>
      </c>
      <c r="V159" s="179" t="str">
        <f ca="1">IF(AND(L159&lt;&gt;"-",Q159&lt;&gt;"bypass"),IFERROR(5/50*X159,"-"),Calculation!AI140)</f>
        <v>-</v>
      </c>
      <c r="W159" s="179" t="str">
        <f ca="1">IF(AND(L159&lt;&gt;"-",Q159&lt;&gt;"bypass"),IFERROR(35/50*X159,"-"),Calculation!AJ140)</f>
        <v>-</v>
      </c>
      <c r="X159" s="179" t="str">
        <f ca="1">IF(AND(L159&lt;&gt;"-",Q159&lt;&gt;"bypass"),$W$23,Calculation!AL140)</f>
        <v>-</v>
      </c>
      <c r="Y159" s="183" t="str">
        <f ca="1">IF(AND(L159&lt;&gt;"-",Q159&lt;&gt;"bypass"),IFERROR($R$23*U159/SUM(R159:U159),"-"),Calculation!AP140)</f>
        <v>-</v>
      </c>
      <c r="Z159" s="184" t="str">
        <f t="shared" ca="1" si="10"/>
        <v>-</v>
      </c>
      <c r="AA159" s="185" t="str">
        <f ca="1">IFERROR(IF(I159=0,"-",IF(AND(ROUND(H159*I159*X159/($W$10*10^3),1)&gt;=Calculation!$O$6,ROUND((((U159)*$R$23/0.05)-((S159)+(H159*I159*X159/($W$10*10^3))+(U159))),1)&gt;=0),Cluster!$W$8,IF(AND(ROUND(H159*I159*X159/($X$10*10^3),1)&gt;=Calculation!$O$6,ROUND((((U159)*$R$23/0.05)-((S159)+(H159*I159*X159/($X$10*10^3))+(U159))),1)&gt;=0),Cluster!$X$8,IF(AND(ROUND(H159*I159*X159/($Y$10*10^3),1)&gt;=Calculation!$O$6,ROUND((((U159)*$R$23/0.05)-((S159)+(H159*I159*X159/($Y$10*10^3))+(U159))),1)&gt;=0),Cluster!$Y$8,"Recepie by hand needed")))),"-")</f>
        <v>-</v>
      </c>
      <c r="AC159" s="37" t="str">
        <f t="shared" ca="1" si="11"/>
        <v>-</v>
      </c>
      <c r="AD159" s="37" t="str">
        <f t="shared" ca="1" si="12"/>
        <v>-</v>
      </c>
      <c r="AE159" s="220" t="str">
        <f t="shared" ca="1" si="13"/>
        <v>-</v>
      </c>
      <c r="AF159" s="37" t="str">
        <f t="shared" ca="1" si="14"/>
        <v>-</v>
      </c>
    </row>
    <row r="160" spans="1:32" ht="14.25" x14ac:dyDescent="0.5">
      <c r="A160" s="170" t="str">
        <f>Calculation!I141</f>
        <v/>
      </c>
      <c r="B160" s="221" t="str">
        <f ca="1">Calculation!B141</f>
        <v/>
      </c>
      <c r="C160" s="221" t="str">
        <f ca="1">Calculation!C141</f>
        <v/>
      </c>
      <c r="D160" s="172" t="str">
        <f ca="1">Calculation!AN141</f>
        <v/>
      </c>
      <c r="E160" s="173" t="str">
        <f ca="1">Calculation!D141</f>
        <v/>
      </c>
      <c r="F160" s="174" t="str">
        <f ca="1">Calculation!C141</f>
        <v/>
      </c>
      <c r="G160" s="175" t="str">
        <f ca="1">Calculation!F141</f>
        <v/>
      </c>
      <c r="H160" s="176" t="str">
        <f ca="1">Calculation!AD141</f>
        <v/>
      </c>
      <c r="I160" s="177" t="str">
        <f ca="1">Calculation!AE141</f>
        <v/>
      </c>
      <c r="J160" s="272" t="str">
        <f ca="1">IF(Calculation!Q141="","Selection",Calculation!Q141)</f>
        <v>Selection</v>
      </c>
      <c r="K160" s="179" t="str">
        <f ca="1">Calculation!T141</f>
        <v/>
      </c>
      <c r="L160" s="180" t="str">
        <f ca="1">Calculation!U141</f>
        <v>-</v>
      </c>
      <c r="M160" s="180" t="str">
        <f ca="1">Calculation!V141</f>
        <v>-</v>
      </c>
      <c r="N160" s="181"/>
      <c r="O160" s="180" t="str">
        <f ca="1">Calculation!X141</f>
        <v>-</v>
      </c>
      <c r="P160" s="180" t="str">
        <f ca="1">Calculation!Y141</f>
        <v>-</v>
      </c>
      <c r="Q160" s="273"/>
      <c r="R160" s="182" t="str">
        <f ca="1">IF(AND(L160&lt;&gt;"-",Q160&lt;&gt;"bypass"),IFERROR(IF((U160*$R$23/0.05)-SUM(S160:U160)&gt;0,(U160*$R$23/0.05)-SUM(S160:U160),0),"-"),Calculation!AH141)</f>
        <v>-</v>
      </c>
      <c r="S160" s="179" t="str">
        <f ca="1">IF(AND(L160&lt;&gt;"-",Q160&lt;&gt;"bypass"),IFERROR(X160*((H160*10^-12-H160*10^-12*I160)/(Calculation!$U$8*10^-9)),"-"),Calculation!AF141)</f>
        <v>-</v>
      </c>
      <c r="T160" s="179" t="str">
        <f ca="1">IF(AND(L160&lt;&gt;"-",Q160&lt;&gt;"bypass"),IFERROR(H160*I160*X160/(IF(Cluster!AA160=Cluster!$W$8,Cluster!$W$10,IF(Cluster!AA160=Cluster!$X$8,Cluster!$X$10,IF(Cluster!AA160=Cluster!$Y$8,Cluster!$Y$10,0)))*10^3),"-"),Calculation!AK141)</f>
        <v>-</v>
      </c>
      <c r="U160" s="179" t="str">
        <f ca="1">IF(AND(L160&lt;&gt;"-",Q160&lt;&gt;"bypass"),IFERROR((0.5/50)*X160/$R$23,"-"),Calculation!AG141)</f>
        <v>-</v>
      </c>
      <c r="V160" s="179" t="str">
        <f ca="1">IF(AND(L160&lt;&gt;"-",Q160&lt;&gt;"bypass"),IFERROR(5/50*X160,"-"),Calculation!AI141)</f>
        <v>-</v>
      </c>
      <c r="W160" s="179" t="str">
        <f ca="1">IF(AND(L160&lt;&gt;"-",Q160&lt;&gt;"bypass"),IFERROR(35/50*X160,"-"),Calculation!AJ141)</f>
        <v>-</v>
      </c>
      <c r="X160" s="179" t="str">
        <f ca="1">IF(AND(L160&lt;&gt;"-",Q160&lt;&gt;"bypass"),$W$23,Calculation!AL141)</f>
        <v>-</v>
      </c>
      <c r="Y160" s="183" t="str">
        <f ca="1">IF(AND(L160&lt;&gt;"-",Q160&lt;&gt;"bypass"),IFERROR($R$23*U160/SUM(R160:U160),"-"),Calculation!AP141)</f>
        <v>-</v>
      </c>
      <c r="Z160" s="184" t="str">
        <f t="shared" ca="1" si="10"/>
        <v>-</v>
      </c>
      <c r="AA160" s="185" t="str">
        <f ca="1">IFERROR(IF(I160=0,"-",IF(AND(ROUND(H160*I160*X160/($W$10*10^3),1)&gt;=Calculation!$O$6,ROUND((((U160)*$R$23/0.05)-((S160)+(H160*I160*X160/($W$10*10^3))+(U160))),1)&gt;=0),Cluster!$W$8,IF(AND(ROUND(H160*I160*X160/($X$10*10^3),1)&gt;=Calculation!$O$6,ROUND((((U160)*$R$23/0.05)-((S160)+(H160*I160*X160/($X$10*10^3))+(U160))),1)&gt;=0),Cluster!$X$8,IF(AND(ROUND(H160*I160*X160/($Y$10*10^3),1)&gt;=Calculation!$O$6,ROUND((((U160)*$R$23/0.05)-((S160)+(H160*I160*X160/($Y$10*10^3))+(U160))),1)&gt;=0),Cluster!$Y$8,"Recepie by hand needed")))),"-")</f>
        <v>-</v>
      </c>
      <c r="AC160" s="37" t="str">
        <f t="shared" ca="1" si="11"/>
        <v>-</v>
      </c>
      <c r="AD160" s="37" t="str">
        <f t="shared" ca="1" si="12"/>
        <v>-</v>
      </c>
      <c r="AE160" s="220" t="str">
        <f t="shared" ca="1" si="13"/>
        <v>-</v>
      </c>
      <c r="AF160" s="37" t="str">
        <f t="shared" ca="1" si="14"/>
        <v>-</v>
      </c>
    </row>
    <row r="161" spans="1:32" ht="14.25" x14ac:dyDescent="0.5">
      <c r="A161" s="170" t="str">
        <f>Calculation!I142</f>
        <v/>
      </c>
      <c r="B161" s="221" t="str">
        <f ca="1">Calculation!B142</f>
        <v/>
      </c>
      <c r="C161" s="221" t="str">
        <f ca="1">Calculation!C142</f>
        <v/>
      </c>
      <c r="D161" s="172" t="str">
        <f ca="1">Calculation!AN142</f>
        <v/>
      </c>
      <c r="E161" s="173" t="str">
        <f ca="1">Calculation!D142</f>
        <v/>
      </c>
      <c r="F161" s="174" t="str">
        <f ca="1">Calculation!C142</f>
        <v/>
      </c>
      <c r="G161" s="175" t="str">
        <f ca="1">Calculation!F142</f>
        <v/>
      </c>
      <c r="H161" s="176" t="str">
        <f ca="1">Calculation!AD142</f>
        <v/>
      </c>
      <c r="I161" s="177" t="str">
        <f ca="1">Calculation!AE142</f>
        <v/>
      </c>
      <c r="J161" s="272" t="str">
        <f ca="1">IF(Calculation!Q142="","Selection",Calculation!Q142)</f>
        <v>Selection</v>
      </c>
      <c r="K161" s="179" t="str">
        <f ca="1">Calculation!T142</f>
        <v/>
      </c>
      <c r="L161" s="180" t="str">
        <f ca="1">Calculation!U142</f>
        <v>-</v>
      </c>
      <c r="M161" s="180" t="str">
        <f ca="1">Calculation!V142</f>
        <v>-</v>
      </c>
      <c r="N161" s="181"/>
      <c r="O161" s="180" t="str">
        <f ca="1">Calculation!X142</f>
        <v>-</v>
      </c>
      <c r="P161" s="180" t="str">
        <f ca="1">Calculation!Y142</f>
        <v>-</v>
      </c>
      <c r="Q161" s="273"/>
      <c r="R161" s="182" t="str">
        <f ca="1">IF(AND(L161&lt;&gt;"-",Q161&lt;&gt;"bypass"),IFERROR(IF((U161*$R$23/0.05)-SUM(S161:U161)&gt;0,(U161*$R$23/0.05)-SUM(S161:U161),0),"-"),Calculation!AH142)</f>
        <v>-</v>
      </c>
      <c r="S161" s="179" t="str">
        <f ca="1">IF(AND(L161&lt;&gt;"-",Q161&lt;&gt;"bypass"),IFERROR(X161*((H161*10^-12-H161*10^-12*I161)/(Calculation!$U$8*10^-9)),"-"),Calculation!AF142)</f>
        <v>-</v>
      </c>
      <c r="T161" s="179" t="str">
        <f ca="1">IF(AND(L161&lt;&gt;"-",Q161&lt;&gt;"bypass"),IFERROR(H161*I161*X161/(IF(Cluster!AA161=Cluster!$W$8,Cluster!$W$10,IF(Cluster!AA161=Cluster!$X$8,Cluster!$X$10,IF(Cluster!AA161=Cluster!$Y$8,Cluster!$Y$10,0)))*10^3),"-"),Calculation!AK142)</f>
        <v>-</v>
      </c>
      <c r="U161" s="179" t="str">
        <f ca="1">IF(AND(L161&lt;&gt;"-",Q161&lt;&gt;"bypass"),IFERROR((0.5/50)*X161/$R$23,"-"),Calculation!AG142)</f>
        <v>-</v>
      </c>
      <c r="V161" s="179" t="str">
        <f ca="1">IF(AND(L161&lt;&gt;"-",Q161&lt;&gt;"bypass"),IFERROR(5/50*X161,"-"),Calculation!AI142)</f>
        <v>-</v>
      </c>
      <c r="W161" s="179" t="str">
        <f ca="1">IF(AND(L161&lt;&gt;"-",Q161&lt;&gt;"bypass"),IFERROR(35/50*X161,"-"),Calculation!AJ142)</f>
        <v>-</v>
      </c>
      <c r="X161" s="179" t="str">
        <f ca="1">IF(AND(L161&lt;&gt;"-",Q161&lt;&gt;"bypass"),$W$23,Calculation!AL142)</f>
        <v>-</v>
      </c>
      <c r="Y161" s="183" t="str">
        <f ca="1">IF(AND(L161&lt;&gt;"-",Q161&lt;&gt;"bypass"),IFERROR($R$23*U161/SUM(R161:U161),"-"),Calculation!AP142)</f>
        <v>-</v>
      </c>
      <c r="Z161" s="184" t="str">
        <f t="shared" ca="1" si="10"/>
        <v>-</v>
      </c>
      <c r="AA161" s="185" t="str">
        <f ca="1">IFERROR(IF(I161=0,"-",IF(AND(ROUND(H161*I161*X161/($W$10*10^3),1)&gt;=Calculation!$O$6,ROUND((((U161)*$R$23/0.05)-((S161)+(H161*I161*X161/($W$10*10^3))+(U161))),1)&gt;=0),Cluster!$W$8,IF(AND(ROUND(H161*I161*X161/($X$10*10^3),1)&gt;=Calculation!$O$6,ROUND((((U161)*$R$23/0.05)-((S161)+(H161*I161*X161/($X$10*10^3))+(U161))),1)&gt;=0),Cluster!$X$8,IF(AND(ROUND(H161*I161*X161/($Y$10*10^3),1)&gt;=Calculation!$O$6,ROUND((((U161)*$R$23/0.05)-((S161)+(H161*I161*X161/($Y$10*10^3))+(U161))),1)&gt;=0),Cluster!$Y$8,"Recepie by hand needed")))),"-")</f>
        <v>-</v>
      </c>
      <c r="AC161" s="37" t="str">
        <f t="shared" ca="1" si="11"/>
        <v>-</v>
      </c>
      <c r="AD161" s="37" t="str">
        <f t="shared" ca="1" si="12"/>
        <v>-</v>
      </c>
      <c r="AE161" s="220" t="str">
        <f t="shared" ca="1" si="13"/>
        <v>-</v>
      </c>
      <c r="AF161" s="37" t="str">
        <f t="shared" ca="1" si="14"/>
        <v>-</v>
      </c>
    </row>
    <row r="162" spans="1:32" ht="14.25" x14ac:dyDescent="0.5">
      <c r="A162" s="170" t="str">
        <f>Calculation!I143</f>
        <v/>
      </c>
      <c r="B162" s="221" t="str">
        <f ca="1">Calculation!B143</f>
        <v/>
      </c>
      <c r="C162" s="221" t="str">
        <f ca="1">Calculation!C143</f>
        <v/>
      </c>
      <c r="D162" s="172" t="str">
        <f ca="1">Calculation!AN143</f>
        <v/>
      </c>
      <c r="E162" s="173" t="str">
        <f ca="1">Calculation!D143</f>
        <v/>
      </c>
      <c r="F162" s="174" t="str">
        <f ca="1">Calculation!C143</f>
        <v/>
      </c>
      <c r="G162" s="175" t="str">
        <f ca="1">Calculation!F143</f>
        <v/>
      </c>
      <c r="H162" s="176" t="str">
        <f ca="1">Calculation!AD143</f>
        <v/>
      </c>
      <c r="I162" s="177" t="str">
        <f ca="1">Calculation!AE143</f>
        <v/>
      </c>
      <c r="J162" s="272" t="str">
        <f ca="1">IF(Calculation!Q143="","Selection",Calculation!Q143)</f>
        <v>Selection</v>
      </c>
      <c r="K162" s="179" t="str">
        <f ca="1">Calculation!T143</f>
        <v/>
      </c>
      <c r="L162" s="180" t="str">
        <f ca="1">Calculation!U143</f>
        <v>-</v>
      </c>
      <c r="M162" s="180" t="str">
        <f ca="1">Calculation!V143</f>
        <v>-</v>
      </c>
      <c r="N162" s="181"/>
      <c r="O162" s="180" t="str">
        <f ca="1">Calculation!X143</f>
        <v>-</v>
      </c>
      <c r="P162" s="180" t="str">
        <f ca="1">Calculation!Y143</f>
        <v>-</v>
      </c>
      <c r="Q162" s="273"/>
      <c r="R162" s="182" t="str">
        <f ca="1">IF(AND(L162&lt;&gt;"-",Q162&lt;&gt;"bypass"),IFERROR(IF((U162*$R$23/0.05)-SUM(S162:U162)&gt;0,(U162*$R$23/0.05)-SUM(S162:U162),0),"-"),Calculation!AH143)</f>
        <v>-</v>
      </c>
      <c r="S162" s="179" t="str">
        <f ca="1">IF(AND(L162&lt;&gt;"-",Q162&lt;&gt;"bypass"),IFERROR(X162*((H162*10^-12-H162*10^-12*I162)/(Calculation!$U$8*10^-9)),"-"),Calculation!AF143)</f>
        <v>-</v>
      </c>
      <c r="T162" s="179" t="str">
        <f ca="1">IF(AND(L162&lt;&gt;"-",Q162&lt;&gt;"bypass"),IFERROR(H162*I162*X162/(IF(Cluster!AA162=Cluster!$W$8,Cluster!$W$10,IF(Cluster!AA162=Cluster!$X$8,Cluster!$X$10,IF(Cluster!AA162=Cluster!$Y$8,Cluster!$Y$10,0)))*10^3),"-"),Calculation!AK143)</f>
        <v>-</v>
      </c>
      <c r="U162" s="179" t="str">
        <f ca="1">IF(AND(L162&lt;&gt;"-",Q162&lt;&gt;"bypass"),IFERROR((0.5/50)*X162/$R$23,"-"),Calculation!AG143)</f>
        <v>-</v>
      </c>
      <c r="V162" s="179" t="str">
        <f ca="1">IF(AND(L162&lt;&gt;"-",Q162&lt;&gt;"bypass"),IFERROR(5/50*X162,"-"),Calculation!AI143)</f>
        <v>-</v>
      </c>
      <c r="W162" s="179" t="str">
        <f ca="1">IF(AND(L162&lt;&gt;"-",Q162&lt;&gt;"bypass"),IFERROR(35/50*X162,"-"),Calculation!AJ143)</f>
        <v>-</v>
      </c>
      <c r="X162" s="179" t="str">
        <f ca="1">IF(AND(L162&lt;&gt;"-",Q162&lt;&gt;"bypass"),$W$23,Calculation!AL143)</f>
        <v>-</v>
      </c>
      <c r="Y162" s="183" t="str">
        <f ca="1">IF(AND(L162&lt;&gt;"-",Q162&lt;&gt;"bypass"),IFERROR($R$23*U162/SUM(R162:U162),"-"),Calculation!AP143)</f>
        <v>-</v>
      </c>
      <c r="Z162" s="184" t="str">
        <f t="shared" ca="1" si="10"/>
        <v>-</v>
      </c>
      <c r="AA162" s="185" t="str">
        <f ca="1">IFERROR(IF(I162=0,"-",IF(AND(ROUND(H162*I162*X162/($W$10*10^3),1)&gt;=Calculation!$O$6,ROUND((((U162)*$R$23/0.05)-((S162)+(H162*I162*X162/($W$10*10^3))+(U162))),1)&gt;=0),Cluster!$W$8,IF(AND(ROUND(H162*I162*X162/($X$10*10^3),1)&gt;=Calculation!$O$6,ROUND((((U162)*$R$23/0.05)-((S162)+(H162*I162*X162/($X$10*10^3))+(U162))),1)&gt;=0),Cluster!$X$8,IF(AND(ROUND(H162*I162*X162/($Y$10*10^3),1)&gt;=Calculation!$O$6,ROUND((((U162)*$R$23/0.05)-((S162)+(H162*I162*X162/($Y$10*10^3))+(U162))),1)&gt;=0),Cluster!$Y$8,"Recepie by hand needed")))),"-")</f>
        <v>-</v>
      </c>
      <c r="AC162" s="37" t="str">
        <f t="shared" ca="1" si="11"/>
        <v>-</v>
      </c>
      <c r="AD162" s="37" t="str">
        <f t="shared" ca="1" si="12"/>
        <v>-</v>
      </c>
      <c r="AE162" s="220" t="str">
        <f t="shared" ca="1" si="13"/>
        <v>-</v>
      </c>
      <c r="AF162" s="37" t="str">
        <f t="shared" ca="1" si="14"/>
        <v>-</v>
      </c>
    </row>
    <row r="163" spans="1:32" ht="14.25" x14ac:dyDescent="0.5">
      <c r="A163" s="170" t="str">
        <f>Calculation!I144</f>
        <v/>
      </c>
      <c r="B163" s="221" t="str">
        <f ca="1">Calculation!B144</f>
        <v/>
      </c>
      <c r="C163" s="221" t="str">
        <f ca="1">Calculation!C144</f>
        <v/>
      </c>
      <c r="D163" s="172" t="str">
        <f ca="1">Calculation!AN144</f>
        <v/>
      </c>
      <c r="E163" s="173" t="str">
        <f ca="1">Calculation!D144</f>
        <v/>
      </c>
      <c r="F163" s="174" t="str">
        <f ca="1">Calculation!C144</f>
        <v/>
      </c>
      <c r="G163" s="175" t="str">
        <f ca="1">Calculation!F144</f>
        <v/>
      </c>
      <c r="H163" s="176" t="str">
        <f ca="1">Calculation!AD144</f>
        <v/>
      </c>
      <c r="I163" s="177" t="str">
        <f ca="1">Calculation!AE144</f>
        <v/>
      </c>
      <c r="J163" s="272" t="str">
        <f ca="1">IF(Calculation!Q144="","Selection",Calculation!Q144)</f>
        <v>Selection</v>
      </c>
      <c r="K163" s="179" t="str">
        <f ca="1">Calculation!T144</f>
        <v/>
      </c>
      <c r="L163" s="180" t="str">
        <f ca="1">Calculation!U144</f>
        <v>-</v>
      </c>
      <c r="M163" s="180" t="str">
        <f ca="1">Calculation!V144</f>
        <v>-</v>
      </c>
      <c r="N163" s="181"/>
      <c r="O163" s="180" t="str">
        <f ca="1">Calculation!X144</f>
        <v>-</v>
      </c>
      <c r="P163" s="180" t="str">
        <f ca="1">Calculation!Y144</f>
        <v>-</v>
      </c>
      <c r="Q163" s="273"/>
      <c r="R163" s="182" t="str">
        <f ca="1">IF(AND(L163&lt;&gt;"-",Q163&lt;&gt;"bypass"),IFERROR(IF((U163*$R$23/0.05)-SUM(S163:U163)&gt;0,(U163*$R$23/0.05)-SUM(S163:U163),0),"-"),Calculation!AH144)</f>
        <v>-</v>
      </c>
      <c r="S163" s="179" t="str">
        <f ca="1">IF(AND(L163&lt;&gt;"-",Q163&lt;&gt;"bypass"),IFERROR(X163*((H163*10^-12-H163*10^-12*I163)/(Calculation!$U$8*10^-9)),"-"),Calculation!AF144)</f>
        <v>-</v>
      </c>
      <c r="T163" s="179" t="str">
        <f ca="1">IF(AND(L163&lt;&gt;"-",Q163&lt;&gt;"bypass"),IFERROR(H163*I163*X163/(IF(Cluster!AA163=Cluster!$W$8,Cluster!$W$10,IF(Cluster!AA163=Cluster!$X$8,Cluster!$X$10,IF(Cluster!AA163=Cluster!$Y$8,Cluster!$Y$10,0)))*10^3),"-"),Calculation!AK144)</f>
        <v>-</v>
      </c>
      <c r="U163" s="179" t="str">
        <f ca="1">IF(AND(L163&lt;&gt;"-",Q163&lt;&gt;"bypass"),IFERROR((0.5/50)*X163/$R$23,"-"),Calculation!AG144)</f>
        <v>-</v>
      </c>
      <c r="V163" s="179" t="str">
        <f ca="1">IF(AND(L163&lt;&gt;"-",Q163&lt;&gt;"bypass"),IFERROR(5/50*X163,"-"),Calculation!AI144)</f>
        <v>-</v>
      </c>
      <c r="W163" s="179" t="str">
        <f ca="1">IF(AND(L163&lt;&gt;"-",Q163&lt;&gt;"bypass"),IFERROR(35/50*X163,"-"),Calculation!AJ144)</f>
        <v>-</v>
      </c>
      <c r="X163" s="179" t="str">
        <f ca="1">IF(AND(L163&lt;&gt;"-",Q163&lt;&gt;"bypass"),$W$23,Calculation!AL144)</f>
        <v>-</v>
      </c>
      <c r="Y163" s="183" t="str">
        <f ca="1">IF(AND(L163&lt;&gt;"-",Q163&lt;&gt;"bypass"),IFERROR($R$23*U163/SUM(R163:U163),"-"),Calculation!AP144)</f>
        <v>-</v>
      </c>
      <c r="Z163" s="184" t="str">
        <f t="shared" ca="1" si="10"/>
        <v>-</v>
      </c>
      <c r="AA163" s="185" t="str">
        <f ca="1">IFERROR(IF(I163=0,"-",IF(AND(ROUND(H163*I163*X163/($W$10*10^3),1)&gt;=Calculation!$O$6,ROUND((((U163)*$R$23/0.05)-((S163)+(H163*I163*X163/($W$10*10^3))+(U163))),1)&gt;=0),Cluster!$W$8,IF(AND(ROUND(H163*I163*X163/($X$10*10^3),1)&gt;=Calculation!$O$6,ROUND((((U163)*$R$23/0.05)-((S163)+(H163*I163*X163/($X$10*10^3))+(U163))),1)&gt;=0),Cluster!$X$8,IF(AND(ROUND(H163*I163*X163/($Y$10*10^3),1)&gt;=Calculation!$O$6,ROUND((((U163)*$R$23/0.05)-((S163)+(H163*I163*X163/($Y$10*10^3))+(U163))),1)&gt;=0),Cluster!$Y$8,"Recepie by hand needed")))),"-")</f>
        <v>-</v>
      </c>
      <c r="AC163" s="37" t="str">
        <f t="shared" ca="1" si="11"/>
        <v>-</v>
      </c>
      <c r="AD163" s="37" t="str">
        <f t="shared" ca="1" si="12"/>
        <v>-</v>
      </c>
      <c r="AE163" s="220" t="str">
        <f t="shared" ca="1" si="13"/>
        <v>-</v>
      </c>
      <c r="AF163" s="37" t="str">
        <f t="shared" ca="1" si="14"/>
        <v>-</v>
      </c>
    </row>
    <row r="164" spans="1:32" ht="14.25" x14ac:dyDescent="0.5">
      <c r="A164" s="170" t="str">
        <f>Calculation!I145</f>
        <v/>
      </c>
      <c r="B164" s="221" t="str">
        <f ca="1">Calculation!B145</f>
        <v/>
      </c>
      <c r="C164" s="221" t="str">
        <f ca="1">Calculation!C145</f>
        <v/>
      </c>
      <c r="D164" s="172" t="str">
        <f ca="1">Calculation!AN145</f>
        <v/>
      </c>
      <c r="E164" s="173" t="str">
        <f ca="1">Calculation!D145</f>
        <v/>
      </c>
      <c r="F164" s="174" t="str">
        <f ca="1">Calculation!C145</f>
        <v/>
      </c>
      <c r="G164" s="175" t="str">
        <f ca="1">Calculation!F145</f>
        <v/>
      </c>
      <c r="H164" s="176" t="str">
        <f ca="1">Calculation!AD145</f>
        <v/>
      </c>
      <c r="I164" s="177" t="str">
        <f ca="1">Calculation!AE145</f>
        <v/>
      </c>
      <c r="J164" s="272" t="str">
        <f ca="1">IF(Calculation!Q145="","Selection",Calculation!Q145)</f>
        <v>Selection</v>
      </c>
      <c r="K164" s="179" t="str">
        <f ca="1">Calculation!T145</f>
        <v/>
      </c>
      <c r="L164" s="180" t="str">
        <f ca="1">Calculation!U145</f>
        <v>-</v>
      </c>
      <c r="M164" s="180" t="str">
        <f ca="1">Calculation!V145</f>
        <v>-</v>
      </c>
      <c r="N164" s="181"/>
      <c r="O164" s="180" t="str">
        <f ca="1">Calculation!X145</f>
        <v>-</v>
      </c>
      <c r="P164" s="180" t="str">
        <f ca="1">Calculation!Y145</f>
        <v>-</v>
      </c>
      <c r="Q164" s="273"/>
      <c r="R164" s="182" t="str">
        <f ca="1">IF(AND(L164&lt;&gt;"-",Q164&lt;&gt;"bypass"),IFERROR(IF((U164*$R$23/0.05)-SUM(S164:U164)&gt;0,(U164*$R$23/0.05)-SUM(S164:U164),0),"-"),Calculation!AH145)</f>
        <v>-</v>
      </c>
      <c r="S164" s="179" t="str">
        <f ca="1">IF(AND(L164&lt;&gt;"-",Q164&lt;&gt;"bypass"),IFERROR(X164*((H164*10^-12-H164*10^-12*I164)/(Calculation!$U$8*10^-9)),"-"),Calculation!AF145)</f>
        <v>-</v>
      </c>
      <c r="T164" s="179" t="str">
        <f ca="1">IF(AND(L164&lt;&gt;"-",Q164&lt;&gt;"bypass"),IFERROR(H164*I164*X164/(IF(Cluster!AA164=Cluster!$W$8,Cluster!$W$10,IF(Cluster!AA164=Cluster!$X$8,Cluster!$X$10,IF(Cluster!AA164=Cluster!$Y$8,Cluster!$Y$10,0)))*10^3),"-"),Calculation!AK145)</f>
        <v>-</v>
      </c>
      <c r="U164" s="179" t="str">
        <f ca="1">IF(AND(L164&lt;&gt;"-",Q164&lt;&gt;"bypass"),IFERROR((0.5/50)*X164/$R$23,"-"),Calculation!AG145)</f>
        <v>-</v>
      </c>
      <c r="V164" s="179" t="str">
        <f ca="1">IF(AND(L164&lt;&gt;"-",Q164&lt;&gt;"bypass"),IFERROR(5/50*X164,"-"),Calculation!AI145)</f>
        <v>-</v>
      </c>
      <c r="W164" s="179" t="str">
        <f ca="1">IF(AND(L164&lt;&gt;"-",Q164&lt;&gt;"bypass"),IFERROR(35/50*X164,"-"),Calculation!AJ145)</f>
        <v>-</v>
      </c>
      <c r="X164" s="179" t="str">
        <f ca="1">IF(AND(L164&lt;&gt;"-",Q164&lt;&gt;"bypass"),$W$23,Calculation!AL145)</f>
        <v>-</v>
      </c>
      <c r="Y164" s="183" t="str">
        <f ca="1">IF(AND(L164&lt;&gt;"-",Q164&lt;&gt;"bypass"),IFERROR($R$23*U164/SUM(R164:U164),"-"),Calculation!AP145)</f>
        <v>-</v>
      </c>
      <c r="Z164" s="184" t="str">
        <f t="shared" ca="1" si="10"/>
        <v>-</v>
      </c>
      <c r="AA164" s="185" t="str">
        <f ca="1">IFERROR(IF(I164=0,"-",IF(AND(ROUND(H164*I164*X164/($W$10*10^3),1)&gt;=Calculation!$O$6,ROUND((((U164)*$R$23/0.05)-((S164)+(H164*I164*X164/($W$10*10^3))+(U164))),1)&gt;=0),Cluster!$W$8,IF(AND(ROUND(H164*I164*X164/($X$10*10^3),1)&gt;=Calculation!$O$6,ROUND((((U164)*$R$23/0.05)-((S164)+(H164*I164*X164/($X$10*10^3))+(U164))),1)&gt;=0),Cluster!$X$8,IF(AND(ROUND(H164*I164*X164/($Y$10*10^3),1)&gt;=Calculation!$O$6,ROUND((((U164)*$R$23/0.05)-((S164)+(H164*I164*X164/($Y$10*10^3))+(U164))),1)&gt;=0),Cluster!$Y$8,"Recepie by hand needed")))),"-")</f>
        <v>-</v>
      </c>
      <c r="AC164" s="37" t="str">
        <f t="shared" ca="1" si="11"/>
        <v>-</v>
      </c>
      <c r="AD164" s="37" t="str">
        <f t="shared" ca="1" si="12"/>
        <v>-</v>
      </c>
      <c r="AE164" s="220" t="str">
        <f t="shared" ca="1" si="13"/>
        <v>-</v>
      </c>
      <c r="AF164" s="37" t="str">
        <f t="shared" ca="1" si="14"/>
        <v>-</v>
      </c>
    </row>
    <row r="165" spans="1:32" ht="14.25" x14ac:dyDescent="0.5">
      <c r="A165" s="170" t="str">
        <f>Calculation!I146</f>
        <v/>
      </c>
      <c r="B165" s="221" t="str">
        <f ca="1">Calculation!B146</f>
        <v/>
      </c>
      <c r="C165" s="221" t="str">
        <f ca="1">Calculation!C146</f>
        <v/>
      </c>
      <c r="D165" s="172" t="str">
        <f ca="1">Calculation!AN146</f>
        <v/>
      </c>
      <c r="E165" s="173" t="str">
        <f ca="1">Calculation!D146</f>
        <v/>
      </c>
      <c r="F165" s="174" t="str">
        <f ca="1">Calculation!C146</f>
        <v/>
      </c>
      <c r="G165" s="175" t="str">
        <f ca="1">Calculation!F146</f>
        <v/>
      </c>
      <c r="H165" s="176" t="str">
        <f ca="1">Calculation!AD146</f>
        <v/>
      </c>
      <c r="I165" s="177" t="str">
        <f ca="1">Calculation!AE146</f>
        <v/>
      </c>
      <c r="J165" s="272" t="str">
        <f ca="1">IF(Calculation!Q146="","Selection",Calculation!Q146)</f>
        <v>Selection</v>
      </c>
      <c r="K165" s="179" t="str">
        <f ca="1">Calculation!T146</f>
        <v/>
      </c>
      <c r="L165" s="180" t="str">
        <f ca="1">Calculation!U146</f>
        <v>-</v>
      </c>
      <c r="M165" s="180" t="str">
        <f ca="1">Calculation!V146</f>
        <v>-</v>
      </c>
      <c r="N165" s="181"/>
      <c r="O165" s="180" t="str">
        <f ca="1">Calculation!X146</f>
        <v>-</v>
      </c>
      <c r="P165" s="180" t="str">
        <f ca="1">Calculation!Y146</f>
        <v>-</v>
      </c>
      <c r="Q165" s="273"/>
      <c r="R165" s="182" t="str">
        <f ca="1">IF(AND(L165&lt;&gt;"-",Q165&lt;&gt;"bypass"),IFERROR(IF((U165*$R$23/0.05)-SUM(S165:U165)&gt;0,(U165*$R$23/0.05)-SUM(S165:U165),0),"-"),Calculation!AH146)</f>
        <v>-</v>
      </c>
      <c r="S165" s="179" t="str">
        <f ca="1">IF(AND(L165&lt;&gt;"-",Q165&lt;&gt;"bypass"),IFERROR(X165*((H165*10^-12-H165*10^-12*I165)/(Calculation!$U$8*10^-9)),"-"),Calculation!AF146)</f>
        <v>-</v>
      </c>
      <c r="T165" s="179" t="str">
        <f ca="1">IF(AND(L165&lt;&gt;"-",Q165&lt;&gt;"bypass"),IFERROR(H165*I165*X165/(IF(Cluster!AA165=Cluster!$W$8,Cluster!$W$10,IF(Cluster!AA165=Cluster!$X$8,Cluster!$X$10,IF(Cluster!AA165=Cluster!$Y$8,Cluster!$Y$10,0)))*10^3),"-"),Calculation!AK146)</f>
        <v>-</v>
      </c>
      <c r="U165" s="179" t="str">
        <f ca="1">IF(AND(L165&lt;&gt;"-",Q165&lt;&gt;"bypass"),IFERROR((0.5/50)*X165/$R$23,"-"),Calculation!AG146)</f>
        <v>-</v>
      </c>
      <c r="V165" s="179" t="str">
        <f ca="1">IF(AND(L165&lt;&gt;"-",Q165&lt;&gt;"bypass"),IFERROR(5/50*X165,"-"),Calculation!AI146)</f>
        <v>-</v>
      </c>
      <c r="W165" s="179" t="str">
        <f ca="1">IF(AND(L165&lt;&gt;"-",Q165&lt;&gt;"bypass"),IFERROR(35/50*X165,"-"),Calculation!AJ146)</f>
        <v>-</v>
      </c>
      <c r="X165" s="179" t="str">
        <f ca="1">IF(AND(L165&lt;&gt;"-",Q165&lt;&gt;"bypass"),$W$23,Calculation!AL146)</f>
        <v>-</v>
      </c>
      <c r="Y165" s="183" t="str">
        <f ca="1">IF(AND(L165&lt;&gt;"-",Q165&lt;&gt;"bypass"),IFERROR($R$23*U165/SUM(R165:U165),"-"),Calculation!AP146)</f>
        <v>-</v>
      </c>
      <c r="Z165" s="184" t="str">
        <f t="shared" ca="1" si="10"/>
        <v>-</v>
      </c>
      <c r="AA165" s="185" t="str">
        <f ca="1">IFERROR(IF(I165=0,"-",IF(AND(ROUND(H165*I165*X165/($W$10*10^3),1)&gt;=Calculation!$O$6,ROUND((((U165)*$R$23/0.05)-((S165)+(H165*I165*X165/($W$10*10^3))+(U165))),1)&gt;=0),Cluster!$W$8,IF(AND(ROUND(H165*I165*X165/($X$10*10^3),1)&gt;=Calculation!$O$6,ROUND((((U165)*$R$23/0.05)-((S165)+(H165*I165*X165/($X$10*10^3))+(U165))),1)&gt;=0),Cluster!$X$8,IF(AND(ROUND(H165*I165*X165/($Y$10*10^3),1)&gt;=Calculation!$O$6,ROUND((((U165)*$R$23/0.05)-((S165)+(H165*I165*X165/($Y$10*10^3))+(U165))),1)&gt;=0),Cluster!$Y$8,"Recepie by hand needed")))),"-")</f>
        <v>-</v>
      </c>
      <c r="AC165" s="37" t="str">
        <f t="shared" ca="1" si="11"/>
        <v>-</v>
      </c>
      <c r="AD165" s="37" t="str">
        <f t="shared" ca="1" si="12"/>
        <v>-</v>
      </c>
      <c r="AE165" s="220" t="str">
        <f t="shared" ca="1" si="13"/>
        <v>-</v>
      </c>
      <c r="AF165" s="37" t="str">
        <f t="shared" ca="1" si="14"/>
        <v>-</v>
      </c>
    </row>
    <row r="166" spans="1:32" ht="14.25" x14ac:dyDescent="0.5">
      <c r="A166" s="170" t="str">
        <f>Calculation!I147</f>
        <v/>
      </c>
      <c r="B166" s="221" t="str">
        <f ca="1">Calculation!B147</f>
        <v/>
      </c>
      <c r="C166" s="221" t="str">
        <f ca="1">Calculation!C147</f>
        <v/>
      </c>
      <c r="D166" s="172" t="str">
        <f ca="1">Calculation!AN147</f>
        <v/>
      </c>
      <c r="E166" s="173" t="str">
        <f ca="1">Calculation!D147</f>
        <v/>
      </c>
      <c r="F166" s="174" t="str">
        <f ca="1">Calculation!C147</f>
        <v/>
      </c>
      <c r="G166" s="175" t="str">
        <f ca="1">Calculation!F147</f>
        <v/>
      </c>
      <c r="H166" s="176" t="str">
        <f ca="1">Calculation!AD147</f>
        <v/>
      </c>
      <c r="I166" s="177" t="str">
        <f ca="1">Calculation!AE147</f>
        <v/>
      </c>
      <c r="J166" s="272" t="str">
        <f ca="1">IF(Calculation!Q147="","Selection",Calculation!Q147)</f>
        <v>Selection</v>
      </c>
      <c r="K166" s="179" t="str">
        <f ca="1">Calculation!T147</f>
        <v/>
      </c>
      <c r="L166" s="180" t="str">
        <f ca="1">Calculation!U147</f>
        <v>-</v>
      </c>
      <c r="M166" s="180" t="str">
        <f ca="1">Calculation!V147</f>
        <v>-</v>
      </c>
      <c r="N166" s="181"/>
      <c r="O166" s="180" t="str">
        <f ca="1">Calculation!X147</f>
        <v>-</v>
      </c>
      <c r="P166" s="180" t="str">
        <f ca="1">Calculation!Y147</f>
        <v>-</v>
      </c>
      <c r="Q166" s="273"/>
      <c r="R166" s="182" t="str">
        <f ca="1">IF(AND(L166&lt;&gt;"-",Q166&lt;&gt;"bypass"),IFERROR(IF((U166*$R$23/0.05)-SUM(S166:U166)&gt;0,(U166*$R$23/0.05)-SUM(S166:U166),0),"-"),Calculation!AH147)</f>
        <v>-</v>
      </c>
      <c r="S166" s="179" t="str">
        <f ca="1">IF(AND(L166&lt;&gt;"-",Q166&lt;&gt;"bypass"),IFERROR(X166*((H166*10^-12-H166*10^-12*I166)/(Calculation!$U$8*10^-9)),"-"),Calculation!AF147)</f>
        <v>-</v>
      </c>
      <c r="T166" s="179" t="str">
        <f ca="1">IF(AND(L166&lt;&gt;"-",Q166&lt;&gt;"bypass"),IFERROR(H166*I166*X166/(IF(Cluster!AA166=Cluster!$W$8,Cluster!$W$10,IF(Cluster!AA166=Cluster!$X$8,Cluster!$X$10,IF(Cluster!AA166=Cluster!$Y$8,Cluster!$Y$10,0)))*10^3),"-"),Calculation!AK147)</f>
        <v>-</v>
      </c>
      <c r="U166" s="179" t="str">
        <f ca="1">IF(AND(L166&lt;&gt;"-",Q166&lt;&gt;"bypass"),IFERROR((0.5/50)*X166/$R$23,"-"),Calculation!AG147)</f>
        <v>-</v>
      </c>
      <c r="V166" s="179" t="str">
        <f ca="1">IF(AND(L166&lt;&gt;"-",Q166&lt;&gt;"bypass"),IFERROR(5/50*X166,"-"),Calculation!AI147)</f>
        <v>-</v>
      </c>
      <c r="W166" s="179" t="str">
        <f ca="1">IF(AND(L166&lt;&gt;"-",Q166&lt;&gt;"bypass"),IFERROR(35/50*X166,"-"),Calculation!AJ147)</f>
        <v>-</v>
      </c>
      <c r="X166" s="179" t="str">
        <f ca="1">IF(AND(L166&lt;&gt;"-",Q166&lt;&gt;"bypass"),$W$23,Calculation!AL147)</f>
        <v>-</v>
      </c>
      <c r="Y166" s="183" t="str">
        <f ca="1">IF(AND(L166&lt;&gt;"-",Q166&lt;&gt;"bypass"),IFERROR($R$23*U166/SUM(R166:U166),"-"),Calculation!AP147)</f>
        <v>-</v>
      </c>
      <c r="Z166" s="184" t="str">
        <f t="shared" ca="1" si="10"/>
        <v>-</v>
      </c>
      <c r="AA166" s="185" t="str">
        <f ca="1">IFERROR(IF(I166=0,"-",IF(AND(ROUND(H166*I166*X166/($W$10*10^3),1)&gt;=Calculation!$O$6,ROUND((((U166)*$R$23/0.05)-((S166)+(H166*I166*X166/($W$10*10^3))+(U166))),1)&gt;=0),Cluster!$W$8,IF(AND(ROUND(H166*I166*X166/($X$10*10^3),1)&gt;=Calculation!$O$6,ROUND((((U166)*$R$23/0.05)-((S166)+(H166*I166*X166/($X$10*10^3))+(U166))),1)&gt;=0),Cluster!$X$8,IF(AND(ROUND(H166*I166*X166/($Y$10*10^3),1)&gt;=Calculation!$O$6,ROUND((((U166)*$R$23/0.05)-((S166)+(H166*I166*X166/($Y$10*10^3))+(U166))),1)&gt;=0),Cluster!$Y$8,"Recepie by hand needed")))),"-")</f>
        <v>-</v>
      </c>
      <c r="AC166" s="37" t="str">
        <f t="shared" ca="1" si="11"/>
        <v>-</v>
      </c>
      <c r="AD166" s="37" t="str">
        <f t="shared" ca="1" si="12"/>
        <v>-</v>
      </c>
      <c r="AE166" s="220" t="str">
        <f t="shared" ca="1" si="13"/>
        <v>-</v>
      </c>
      <c r="AF166" s="37" t="str">
        <f t="shared" ca="1" si="14"/>
        <v>-</v>
      </c>
    </row>
    <row r="167" spans="1:32" ht="14.25" x14ac:dyDescent="0.5">
      <c r="A167" s="170" t="str">
        <f>Calculation!I148</f>
        <v/>
      </c>
      <c r="B167" s="221" t="str">
        <f ca="1">Calculation!B148</f>
        <v/>
      </c>
      <c r="C167" s="221" t="str">
        <f ca="1">Calculation!C148</f>
        <v/>
      </c>
      <c r="D167" s="172" t="str">
        <f ca="1">Calculation!AN148</f>
        <v/>
      </c>
      <c r="E167" s="173" t="str">
        <f ca="1">Calculation!D148</f>
        <v/>
      </c>
      <c r="F167" s="174" t="str">
        <f ca="1">Calculation!C148</f>
        <v/>
      </c>
      <c r="G167" s="175" t="str">
        <f ca="1">Calculation!F148</f>
        <v/>
      </c>
      <c r="H167" s="176" t="str">
        <f ca="1">Calculation!AD148</f>
        <v/>
      </c>
      <c r="I167" s="177" t="str">
        <f ca="1">Calculation!AE148</f>
        <v/>
      </c>
      <c r="J167" s="272" t="str">
        <f ca="1">IF(Calculation!Q148="","Selection",Calculation!Q148)</f>
        <v>Selection</v>
      </c>
      <c r="K167" s="179" t="str">
        <f ca="1">Calculation!T148</f>
        <v/>
      </c>
      <c r="L167" s="180" t="str">
        <f ca="1">Calculation!U148</f>
        <v>-</v>
      </c>
      <c r="M167" s="180" t="str">
        <f ca="1">Calculation!V148</f>
        <v>-</v>
      </c>
      <c r="N167" s="181"/>
      <c r="O167" s="180" t="str">
        <f ca="1">Calculation!X148</f>
        <v>-</v>
      </c>
      <c r="P167" s="180" t="str">
        <f ca="1">Calculation!Y148</f>
        <v>-</v>
      </c>
      <c r="Q167" s="273"/>
      <c r="R167" s="182" t="str">
        <f ca="1">IF(AND(L167&lt;&gt;"-",Q167&lt;&gt;"bypass"),IFERROR(IF((U167*$R$23/0.05)-SUM(S167:U167)&gt;0,(U167*$R$23/0.05)-SUM(S167:U167),0),"-"),Calculation!AH148)</f>
        <v>-</v>
      </c>
      <c r="S167" s="179" t="str">
        <f ca="1">IF(AND(L167&lt;&gt;"-",Q167&lt;&gt;"bypass"),IFERROR(X167*((H167*10^-12-H167*10^-12*I167)/(Calculation!$U$8*10^-9)),"-"),Calculation!AF148)</f>
        <v>-</v>
      </c>
      <c r="T167" s="179" t="str">
        <f ca="1">IF(AND(L167&lt;&gt;"-",Q167&lt;&gt;"bypass"),IFERROR(H167*I167*X167/(IF(Cluster!AA167=Cluster!$W$8,Cluster!$W$10,IF(Cluster!AA167=Cluster!$X$8,Cluster!$X$10,IF(Cluster!AA167=Cluster!$Y$8,Cluster!$Y$10,0)))*10^3),"-"),Calculation!AK148)</f>
        <v>-</v>
      </c>
      <c r="U167" s="179" t="str">
        <f ca="1">IF(AND(L167&lt;&gt;"-",Q167&lt;&gt;"bypass"),IFERROR((0.5/50)*X167/$R$23,"-"),Calculation!AG148)</f>
        <v>-</v>
      </c>
      <c r="V167" s="179" t="str">
        <f ca="1">IF(AND(L167&lt;&gt;"-",Q167&lt;&gt;"bypass"),IFERROR(5/50*X167,"-"),Calculation!AI148)</f>
        <v>-</v>
      </c>
      <c r="W167" s="179" t="str">
        <f ca="1">IF(AND(L167&lt;&gt;"-",Q167&lt;&gt;"bypass"),IFERROR(35/50*X167,"-"),Calculation!AJ148)</f>
        <v>-</v>
      </c>
      <c r="X167" s="179" t="str">
        <f ca="1">IF(AND(L167&lt;&gt;"-",Q167&lt;&gt;"bypass"),$W$23,Calculation!AL148)</f>
        <v>-</v>
      </c>
      <c r="Y167" s="183" t="str">
        <f ca="1">IF(AND(L167&lt;&gt;"-",Q167&lt;&gt;"bypass"),IFERROR($R$23*U167/SUM(R167:U167),"-"),Calculation!AP148)</f>
        <v>-</v>
      </c>
      <c r="Z167" s="184" t="str">
        <f t="shared" ca="1" si="10"/>
        <v>-</v>
      </c>
      <c r="AA167" s="185" t="str">
        <f ca="1">IFERROR(IF(I167=0,"-",IF(AND(ROUND(H167*I167*X167/($W$10*10^3),1)&gt;=Calculation!$O$6,ROUND((((U167)*$R$23/0.05)-((S167)+(H167*I167*X167/($W$10*10^3))+(U167))),1)&gt;=0),Cluster!$W$8,IF(AND(ROUND(H167*I167*X167/($X$10*10^3),1)&gt;=Calculation!$O$6,ROUND((((U167)*$R$23/0.05)-((S167)+(H167*I167*X167/($X$10*10^3))+(U167))),1)&gt;=0),Cluster!$X$8,IF(AND(ROUND(H167*I167*X167/($Y$10*10^3),1)&gt;=Calculation!$O$6,ROUND((((U167)*$R$23/0.05)-((S167)+(H167*I167*X167/($Y$10*10^3))+(U167))),1)&gt;=0),Cluster!$Y$8,"Recepie by hand needed")))),"-")</f>
        <v>-</v>
      </c>
      <c r="AC167" s="37" t="str">
        <f t="shared" ca="1" si="11"/>
        <v>-</v>
      </c>
      <c r="AD167" s="37" t="str">
        <f t="shared" ca="1" si="12"/>
        <v>-</v>
      </c>
      <c r="AE167" s="220" t="str">
        <f t="shared" ca="1" si="13"/>
        <v>-</v>
      </c>
      <c r="AF167" s="37" t="str">
        <f t="shared" ca="1" si="14"/>
        <v>-</v>
      </c>
    </row>
    <row r="168" spans="1:32" ht="14.25" x14ac:dyDescent="0.5">
      <c r="A168" s="170" t="str">
        <f>Calculation!I149</f>
        <v/>
      </c>
      <c r="B168" s="221" t="str">
        <f ca="1">Calculation!B149</f>
        <v/>
      </c>
      <c r="C168" s="221" t="str">
        <f ca="1">Calculation!C149</f>
        <v/>
      </c>
      <c r="D168" s="172" t="str">
        <f ca="1">Calculation!AN149</f>
        <v/>
      </c>
      <c r="E168" s="173" t="str">
        <f ca="1">Calculation!D149</f>
        <v/>
      </c>
      <c r="F168" s="174" t="str">
        <f ca="1">Calculation!C149</f>
        <v/>
      </c>
      <c r="G168" s="175" t="str">
        <f ca="1">Calculation!F149</f>
        <v/>
      </c>
      <c r="H168" s="176" t="str">
        <f ca="1">Calculation!AD149</f>
        <v/>
      </c>
      <c r="I168" s="177" t="str">
        <f ca="1">Calculation!AE149</f>
        <v/>
      </c>
      <c r="J168" s="272" t="str">
        <f ca="1">IF(Calculation!Q149="","Selection",Calculation!Q149)</f>
        <v>Selection</v>
      </c>
      <c r="K168" s="179" t="str">
        <f ca="1">Calculation!T149</f>
        <v/>
      </c>
      <c r="L168" s="180" t="str">
        <f ca="1">Calculation!U149</f>
        <v>-</v>
      </c>
      <c r="M168" s="180" t="str">
        <f ca="1">Calculation!V149</f>
        <v>-</v>
      </c>
      <c r="N168" s="181"/>
      <c r="O168" s="180" t="str">
        <f ca="1">Calculation!X149</f>
        <v>-</v>
      </c>
      <c r="P168" s="180" t="str">
        <f ca="1">Calculation!Y149</f>
        <v>-</v>
      </c>
      <c r="Q168" s="273"/>
      <c r="R168" s="182" t="str">
        <f ca="1">IF(AND(L168&lt;&gt;"-",Q168&lt;&gt;"bypass"),IFERROR(IF((U168*$R$23/0.05)-SUM(S168:U168)&gt;0,(U168*$R$23/0.05)-SUM(S168:U168),0),"-"),Calculation!AH149)</f>
        <v>-</v>
      </c>
      <c r="S168" s="179" t="str">
        <f ca="1">IF(AND(L168&lt;&gt;"-",Q168&lt;&gt;"bypass"),IFERROR(X168*((H168*10^-12-H168*10^-12*I168)/(Calculation!$U$8*10^-9)),"-"),Calculation!AF149)</f>
        <v>-</v>
      </c>
      <c r="T168" s="179" t="str">
        <f ca="1">IF(AND(L168&lt;&gt;"-",Q168&lt;&gt;"bypass"),IFERROR(H168*I168*X168/(IF(Cluster!AA168=Cluster!$W$8,Cluster!$W$10,IF(Cluster!AA168=Cluster!$X$8,Cluster!$X$10,IF(Cluster!AA168=Cluster!$Y$8,Cluster!$Y$10,0)))*10^3),"-"),Calculation!AK149)</f>
        <v>-</v>
      </c>
      <c r="U168" s="179" t="str">
        <f ca="1">IF(AND(L168&lt;&gt;"-",Q168&lt;&gt;"bypass"),IFERROR((0.5/50)*X168/$R$23,"-"),Calculation!AG149)</f>
        <v>-</v>
      </c>
      <c r="V168" s="179" t="str">
        <f ca="1">IF(AND(L168&lt;&gt;"-",Q168&lt;&gt;"bypass"),IFERROR(5/50*X168,"-"),Calculation!AI149)</f>
        <v>-</v>
      </c>
      <c r="W168" s="179" t="str">
        <f ca="1">IF(AND(L168&lt;&gt;"-",Q168&lt;&gt;"bypass"),IFERROR(35/50*X168,"-"),Calculation!AJ149)</f>
        <v>-</v>
      </c>
      <c r="X168" s="179" t="str">
        <f ca="1">IF(AND(L168&lt;&gt;"-",Q168&lt;&gt;"bypass"),$W$23,Calculation!AL149)</f>
        <v>-</v>
      </c>
      <c r="Y168" s="183" t="str">
        <f ca="1">IF(AND(L168&lt;&gt;"-",Q168&lt;&gt;"bypass"),IFERROR($R$23*U168/SUM(R168:U168),"-"),Calculation!AP149)</f>
        <v>-</v>
      </c>
      <c r="Z168" s="184" t="str">
        <f t="shared" ca="1" si="10"/>
        <v>-</v>
      </c>
      <c r="AA168" s="185" t="str">
        <f ca="1">IFERROR(IF(I168=0,"-",IF(AND(ROUND(H168*I168*X168/($W$10*10^3),1)&gt;=Calculation!$O$6,ROUND((((U168)*$R$23/0.05)-((S168)+(H168*I168*X168/($W$10*10^3))+(U168))),1)&gt;=0),Cluster!$W$8,IF(AND(ROUND(H168*I168*X168/($X$10*10^3),1)&gt;=Calculation!$O$6,ROUND((((U168)*$R$23/0.05)-((S168)+(H168*I168*X168/($X$10*10^3))+(U168))),1)&gt;=0),Cluster!$X$8,IF(AND(ROUND(H168*I168*X168/($Y$10*10^3),1)&gt;=Calculation!$O$6,ROUND((((U168)*$R$23/0.05)-((S168)+(H168*I168*X168/($Y$10*10^3))+(U168))),1)&gt;=0),Cluster!$Y$8,"Recepie by hand needed")))),"-")</f>
        <v>-</v>
      </c>
      <c r="AC168" s="37" t="str">
        <f t="shared" ca="1" si="11"/>
        <v>-</v>
      </c>
      <c r="AD168" s="37" t="str">
        <f t="shared" ca="1" si="12"/>
        <v>-</v>
      </c>
      <c r="AE168" s="220" t="str">
        <f t="shared" ca="1" si="13"/>
        <v>-</v>
      </c>
      <c r="AF168" s="37" t="str">
        <f t="shared" ca="1" si="14"/>
        <v>-</v>
      </c>
    </row>
    <row r="169" spans="1:32" ht="14.25" x14ac:dyDescent="0.5">
      <c r="A169" s="170" t="str">
        <f>Calculation!I150</f>
        <v/>
      </c>
      <c r="B169" s="221" t="str">
        <f ca="1">Calculation!B150</f>
        <v/>
      </c>
      <c r="C169" s="221" t="str">
        <f ca="1">Calculation!C150</f>
        <v/>
      </c>
      <c r="D169" s="172" t="str">
        <f ca="1">Calculation!AN150</f>
        <v/>
      </c>
      <c r="E169" s="173" t="str">
        <f ca="1">Calculation!D150</f>
        <v/>
      </c>
      <c r="F169" s="174" t="str">
        <f ca="1">Calculation!C150</f>
        <v/>
      </c>
      <c r="G169" s="175" t="str">
        <f ca="1">Calculation!F150</f>
        <v/>
      </c>
      <c r="H169" s="176" t="str">
        <f ca="1">Calculation!AD150</f>
        <v/>
      </c>
      <c r="I169" s="177" t="str">
        <f ca="1">Calculation!AE150</f>
        <v/>
      </c>
      <c r="J169" s="272" t="str">
        <f ca="1">IF(Calculation!Q150="","Selection",Calculation!Q150)</f>
        <v>Selection</v>
      </c>
      <c r="K169" s="179" t="str">
        <f ca="1">Calculation!T150</f>
        <v/>
      </c>
      <c r="L169" s="180" t="str">
        <f ca="1">Calculation!U150</f>
        <v>-</v>
      </c>
      <c r="M169" s="180" t="str">
        <f ca="1">Calculation!V150</f>
        <v>-</v>
      </c>
      <c r="N169" s="181"/>
      <c r="O169" s="180" t="str">
        <f ca="1">Calculation!X150</f>
        <v>-</v>
      </c>
      <c r="P169" s="180" t="str">
        <f ca="1">Calculation!Y150</f>
        <v>-</v>
      </c>
      <c r="Q169" s="273"/>
      <c r="R169" s="182" t="str">
        <f ca="1">IF(AND(L169&lt;&gt;"-",Q169&lt;&gt;"bypass"),IFERROR(IF((U169*$R$23/0.05)-SUM(S169:U169)&gt;0,(U169*$R$23/0.05)-SUM(S169:U169),0),"-"),Calculation!AH150)</f>
        <v>-</v>
      </c>
      <c r="S169" s="179" t="str">
        <f ca="1">IF(AND(L169&lt;&gt;"-",Q169&lt;&gt;"bypass"),IFERROR(X169*((H169*10^-12-H169*10^-12*I169)/(Calculation!$U$8*10^-9)),"-"),Calculation!AF150)</f>
        <v>-</v>
      </c>
      <c r="T169" s="179" t="str">
        <f ca="1">IF(AND(L169&lt;&gt;"-",Q169&lt;&gt;"bypass"),IFERROR(H169*I169*X169/(IF(Cluster!AA169=Cluster!$W$8,Cluster!$W$10,IF(Cluster!AA169=Cluster!$X$8,Cluster!$X$10,IF(Cluster!AA169=Cluster!$Y$8,Cluster!$Y$10,0)))*10^3),"-"),Calculation!AK150)</f>
        <v>-</v>
      </c>
      <c r="U169" s="179" t="str">
        <f ca="1">IF(AND(L169&lt;&gt;"-",Q169&lt;&gt;"bypass"),IFERROR((0.5/50)*X169/$R$23,"-"),Calculation!AG150)</f>
        <v>-</v>
      </c>
      <c r="V169" s="179" t="str">
        <f ca="1">IF(AND(L169&lt;&gt;"-",Q169&lt;&gt;"bypass"),IFERROR(5/50*X169,"-"),Calculation!AI150)</f>
        <v>-</v>
      </c>
      <c r="W169" s="179" t="str">
        <f ca="1">IF(AND(L169&lt;&gt;"-",Q169&lt;&gt;"bypass"),IFERROR(35/50*X169,"-"),Calculation!AJ150)</f>
        <v>-</v>
      </c>
      <c r="X169" s="179" t="str">
        <f ca="1">IF(AND(L169&lt;&gt;"-",Q169&lt;&gt;"bypass"),$W$23,Calculation!AL150)</f>
        <v>-</v>
      </c>
      <c r="Y169" s="183" t="str">
        <f ca="1">IF(AND(L169&lt;&gt;"-",Q169&lt;&gt;"bypass"),IFERROR($R$23*U169/SUM(R169:U169),"-"),Calculation!AP150)</f>
        <v>-</v>
      </c>
      <c r="Z169" s="184" t="str">
        <f t="shared" ca="1" si="10"/>
        <v>-</v>
      </c>
      <c r="AA169" s="185" t="str">
        <f ca="1">IFERROR(IF(I169=0,"-",IF(AND(ROUND(H169*I169*X169/($W$10*10^3),1)&gt;=Calculation!$O$6,ROUND((((U169)*$R$23/0.05)-((S169)+(H169*I169*X169/($W$10*10^3))+(U169))),1)&gt;=0),Cluster!$W$8,IF(AND(ROUND(H169*I169*X169/($X$10*10^3),1)&gt;=Calculation!$O$6,ROUND((((U169)*$R$23/0.05)-((S169)+(H169*I169*X169/($X$10*10^3))+(U169))),1)&gt;=0),Cluster!$X$8,IF(AND(ROUND(H169*I169*X169/($Y$10*10^3),1)&gt;=Calculation!$O$6,ROUND((((U169)*$R$23/0.05)-((S169)+(H169*I169*X169/($Y$10*10^3))+(U169))),1)&gt;=0),Cluster!$Y$8,"Recepie by hand needed")))),"-")</f>
        <v>-</v>
      </c>
      <c r="AC169" s="37" t="str">
        <f t="shared" ca="1" si="11"/>
        <v>-</v>
      </c>
      <c r="AD169" s="37" t="str">
        <f t="shared" ca="1" si="12"/>
        <v>-</v>
      </c>
      <c r="AE169" s="220" t="str">
        <f t="shared" ca="1" si="13"/>
        <v>-</v>
      </c>
      <c r="AF169" s="37" t="str">
        <f t="shared" ca="1" si="14"/>
        <v>-</v>
      </c>
    </row>
    <row r="170" spans="1:32" ht="14.25" x14ac:dyDescent="0.5">
      <c r="A170" s="170" t="str">
        <f>Calculation!I151</f>
        <v/>
      </c>
      <c r="B170" s="221" t="str">
        <f ca="1">Calculation!B151</f>
        <v/>
      </c>
      <c r="C170" s="221" t="str">
        <f ca="1">Calculation!C151</f>
        <v/>
      </c>
      <c r="D170" s="172" t="str">
        <f ca="1">Calculation!AN151</f>
        <v/>
      </c>
      <c r="E170" s="173" t="str">
        <f ca="1">Calculation!D151</f>
        <v/>
      </c>
      <c r="F170" s="174" t="str">
        <f ca="1">Calculation!C151</f>
        <v/>
      </c>
      <c r="G170" s="175" t="str">
        <f ca="1">Calculation!F151</f>
        <v/>
      </c>
      <c r="H170" s="176" t="str">
        <f ca="1">Calculation!AD151</f>
        <v/>
      </c>
      <c r="I170" s="177" t="str">
        <f ca="1">Calculation!AE151</f>
        <v/>
      </c>
      <c r="J170" s="272" t="str">
        <f ca="1">IF(Calculation!Q151="","Selection",Calculation!Q151)</f>
        <v>Selection</v>
      </c>
      <c r="K170" s="179" t="str">
        <f ca="1">Calculation!T151</f>
        <v/>
      </c>
      <c r="L170" s="180" t="str">
        <f ca="1">Calculation!U151</f>
        <v>-</v>
      </c>
      <c r="M170" s="180" t="str">
        <f ca="1">Calculation!V151</f>
        <v>-</v>
      </c>
      <c r="N170" s="181"/>
      <c r="O170" s="180" t="str">
        <f ca="1">Calculation!X151</f>
        <v>-</v>
      </c>
      <c r="P170" s="180" t="str">
        <f ca="1">Calculation!Y151</f>
        <v>-</v>
      </c>
      <c r="Q170" s="273"/>
      <c r="R170" s="182" t="str">
        <f ca="1">IF(AND(L170&lt;&gt;"-",Q170&lt;&gt;"bypass"),IFERROR(IF((U170*$R$23/0.05)-SUM(S170:U170)&gt;0,(U170*$R$23/0.05)-SUM(S170:U170),0),"-"),Calculation!AH151)</f>
        <v>-</v>
      </c>
      <c r="S170" s="179" t="str">
        <f ca="1">IF(AND(L170&lt;&gt;"-",Q170&lt;&gt;"bypass"),IFERROR(X170*((H170*10^-12-H170*10^-12*I170)/(Calculation!$U$8*10^-9)),"-"),Calculation!AF151)</f>
        <v>-</v>
      </c>
      <c r="T170" s="179" t="str">
        <f ca="1">IF(AND(L170&lt;&gt;"-",Q170&lt;&gt;"bypass"),IFERROR(H170*I170*X170/(IF(Cluster!AA170=Cluster!$W$8,Cluster!$W$10,IF(Cluster!AA170=Cluster!$X$8,Cluster!$X$10,IF(Cluster!AA170=Cluster!$Y$8,Cluster!$Y$10,0)))*10^3),"-"),Calculation!AK151)</f>
        <v>-</v>
      </c>
      <c r="U170" s="179" t="str">
        <f ca="1">IF(AND(L170&lt;&gt;"-",Q170&lt;&gt;"bypass"),IFERROR((0.5/50)*X170/$R$23,"-"),Calculation!AG151)</f>
        <v>-</v>
      </c>
      <c r="V170" s="179" t="str">
        <f ca="1">IF(AND(L170&lt;&gt;"-",Q170&lt;&gt;"bypass"),IFERROR(5/50*X170,"-"),Calculation!AI151)</f>
        <v>-</v>
      </c>
      <c r="W170" s="179" t="str">
        <f ca="1">IF(AND(L170&lt;&gt;"-",Q170&lt;&gt;"bypass"),IFERROR(35/50*X170,"-"),Calculation!AJ151)</f>
        <v>-</v>
      </c>
      <c r="X170" s="179" t="str">
        <f ca="1">IF(AND(L170&lt;&gt;"-",Q170&lt;&gt;"bypass"),$W$23,Calculation!AL151)</f>
        <v>-</v>
      </c>
      <c r="Y170" s="183" t="str">
        <f ca="1">IF(AND(L170&lt;&gt;"-",Q170&lt;&gt;"bypass"),IFERROR($R$23*U170/SUM(R170:U170),"-"),Calculation!AP151)</f>
        <v>-</v>
      </c>
      <c r="Z170" s="184" t="str">
        <f t="shared" ca="1" si="10"/>
        <v>-</v>
      </c>
      <c r="AA170" s="185" t="str">
        <f ca="1">IFERROR(IF(I170=0,"-",IF(AND(ROUND(H170*I170*X170/($W$10*10^3),1)&gt;=Calculation!$O$6,ROUND((((U170)*$R$23/0.05)-((S170)+(H170*I170*X170/($W$10*10^3))+(U170))),1)&gt;=0),Cluster!$W$8,IF(AND(ROUND(H170*I170*X170/($X$10*10^3),1)&gt;=Calculation!$O$6,ROUND((((U170)*$R$23/0.05)-((S170)+(H170*I170*X170/($X$10*10^3))+(U170))),1)&gt;=0),Cluster!$X$8,IF(AND(ROUND(H170*I170*X170/($Y$10*10^3),1)&gt;=Calculation!$O$6,ROUND((((U170)*$R$23/0.05)-((S170)+(H170*I170*X170/($Y$10*10^3))+(U170))),1)&gt;=0),Cluster!$Y$8,"Recepie by hand needed")))),"-")</f>
        <v>-</v>
      </c>
      <c r="AC170" s="37" t="str">
        <f t="shared" ca="1" si="11"/>
        <v>-</v>
      </c>
      <c r="AD170" s="37" t="str">
        <f t="shared" ca="1" si="12"/>
        <v>-</v>
      </c>
      <c r="AE170" s="220" t="str">
        <f t="shared" ca="1" si="13"/>
        <v>-</v>
      </c>
      <c r="AF170" s="37" t="str">
        <f t="shared" ca="1" si="14"/>
        <v>-</v>
      </c>
    </row>
    <row r="171" spans="1:32" ht="14.25" x14ac:dyDescent="0.5">
      <c r="A171" s="170" t="str">
        <f>Calculation!I152</f>
        <v/>
      </c>
      <c r="B171" s="221" t="str">
        <f ca="1">Calculation!B152</f>
        <v/>
      </c>
      <c r="C171" s="221" t="str">
        <f ca="1">Calculation!C152</f>
        <v/>
      </c>
      <c r="D171" s="172" t="str">
        <f ca="1">Calculation!AN152</f>
        <v/>
      </c>
      <c r="E171" s="173" t="str">
        <f ca="1">Calculation!D152</f>
        <v/>
      </c>
      <c r="F171" s="174" t="str">
        <f ca="1">Calculation!C152</f>
        <v/>
      </c>
      <c r="G171" s="175" t="str">
        <f ca="1">Calculation!F152</f>
        <v/>
      </c>
      <c r="H171" s="176" t="str">
        <f ca="1">Calculation!AD152</f>
        <v/>
      </c>
      <c r="I171" s="177" t="str">
        <f ca="1">Calculation!AE152</f>
        <v/>
      </c>
      <c r="J171" s="272" t="str">
        <f ca="1">IF(Calculation!Q152="","Selection",Calculation!Q152)</f>
        <v>Selection</v>
      </c>
      <c r="K171" s="179" t="str">
        <f ca="1">Calculation!T152</f>
        <v/>
      </c>
      <c r="L171" s="180" t="str">
        <f ca="1">Calculation!U152</f>
        <v>-</v>
      </c>
      <c r="M171" s="180" t="str">
        <f ca="1">Calculation!V152</f>
        <v>-</v>
      </c>
      <c r="N171" s="181"/>
      <c r="O171" s="180" t="str">
        <f ca="1">Calculation!X152</f>
        <v>-</v>
      </c>
      <c r="P171" s="180" t="str">
        <f ca="1">Calculation!Y152</f>
        <v>-</v>
      </c>
      <c r="Q171" s="273"/>
      <c r="R171" s="182" t="str">
        <f ca="1">IF(AND(L171&lt;&gt;"-",Q171&lt;&gt;"bypass"),IFERROR(IF((U171*$R$23/0.05)-SUM(S171:U171)&gt;0,(U171*$R$23/0.05)-SUM(S171:U171),0),"-"),Calculation!AH152)</f>
        <v>-</v>
      </c>
      <c r="S171" s="179" t="str">
        <f ca="1">IF(AND(L171&lt;&gt;"-",Q171&lt;&gt;"bypass"),IFERROR(X171*((H171*10^-12-H171*10^-12*I171)/(Calculation!$U$8*10^-9)),"-"),Calculation!AF152)</f>
        <v>-</v>
      </c>
      <c r="T171" s="179" t="str">
        <f ca="1">IF(AND(L171&lt;&gt;"-",Q171&lt;&gt;"bypass"),IFERROR(H171*I171*X171/(IF(Cluster!AA171=Cluster!$W$8,Cluster!$W$10,IF(Cluster!AA171=Cluster!$X$8,Cluster!$X$10,IF(Cluster!AA171=Cluster!$Y$8,Cluster!$Y$10,0)))*10^3),"-"),Calculation!AK152)</f>
        <v>-</v>
      </c>
      <c r="U171" s="179" t="str">
        <f ca="1">IF(AND(L171&lt;&gt;"-",Q171&lt;&gt;"bypass"),IFERROR((0.5/50)*X171/$R$23,"-"),Calculation!AG152)</f>
        <v>-</v>
      </c>
      <c r="V171" s="179" t="str">
        <f ca="1">IF(AND(L171&lt;&gt;"-",Q171&lt;&gt;"bypass"),IFERROR(5/50*X171,"-"),Calculation!AI152)</f>
        <v>-</v>
      </c>
      <c r="W171" s="179" t="str">
        <f ca="1">IF(AND(L171&lt;&gt;"-",Q171&lt;&gt;"bypass"),IFERROR(35/50*X171,"-"),Calculation!AJ152)</f>
        <v>-</v>
      </c>
      <c r="X171" s="179" t="str">
        <f ca="1">IF(AND(L171&lt;&gt;"-",Q171&lt;&gt;"bypass"),$W$23,Calculation!AL152)</f>
        <v>-</v>
      </c>
      <c r="Y171" s="183" t="str">
        <f ca="1">IF(AND(L171&lt;&gt;"-",Q171&lt;&gt;"bypass"),IFERROR($R$23*U171/SUM(R171:U171),"-"),Calculation!AP152)</f>
        <v>-</v>
      </c>
      <c r="Z171" s="184" t="str">
        <f t="shared" ca="1" si="10"/>
        <v>-</v>
      </c>
      <c r="AA171" s="185" t="str">
        <f ca="1">IFERROR(IF(I171=0,"-",IF(AND(ROUND(H171*I171*X171/($W$10*10^3),1)&gt;=Calculation!$O$6,ROUND((((U171)*$R$23/0.05)-((S171)+(H171*I171*X171/($W$10*10^3))+(U171))),1)&gt;=0),Cluster!$W$8,IF(AND(ROUND(H171*I171*X171/($X$10*10^3),1)&gt;=Calculation!$O$6,ROUND((((U171)*$R$23/0.05)-((S171)+(H171*I171*X171/($X$10*10^3))+(U171))),1)&gt;=0),Cluster!$X$8,IF(AND(ROUND(H171*I171*X171/($Y$10*10^3),1)&gt;=Calculation!$O$6,ROUND((((U171)*$R$23/0.05)-((S171)+(H171*I171*X171/($Y$10*10^3))+(U171))),1)&gt;=0),Cluster!$Y$8,"Recepie by hand needed")))),"-")</f>
        <v>-</v>
      </c>
      <c r="AC171" s="37" t="str">
        <f t="shared" ca="1" si="11"/>
        <v>-</v>
      </c>
      <c r="AD171" s="37" t="str">
        <f t="shared" ca="1" si="12"/>
        <v>-</v>
      </c>
      <c r="AE171" s="220" t="str">
        <f t="shared" ca="1" si="13"/>
        <v>-</v>
      </c>
      <c r="AF171" s="37" t="str">
        <f t="shared" ca="1" si="14"/>
        <v>-</v>
      </c>
    </row>
    <row r="172" spans="1:32" ht="14.25" x14ac:dyDescent="0.5">
      <c r="A172" s="170" t="str">
        <f>Calculation!I153</f>
        <v/>
      </c>
      <c r="B172" s="221" t="str">
        <f ca="1">Calculation!B153</f>
        <v/>
      </c>
      <c r="C172" s="221" t="str">
        <f ca="1">Calculation!C153</f>
        <v/>
      </c>
      <c r="D172" s="172" t="str">
        <f ca="1">Calculation!AN153</f>
        <v/>
      </c>
      <c r="E172" s="173" t="str">
        <f ca="1">Calculation!D153</f>
        <v/>
      </c>
      <c r="F172" s="174" t="str">
        <f ca="1">Calculation!C153</f>
        <v/>
      </c>
      <c r="G172" s="175" t="str">
        <f ca="1">Calculation!F153</f>
        <v/>
      </c>
      <c r="H172" s="176" t="str">
        <f ca="1">Calculation!AD153</f>
        <v/>
      </c>
      <c r="I172" s="177" t="str">
        <f ca="1">Calculation!AE153</f>
        <v/>
      </c>
      <c r="J172" s="272" t="str">
        <f ca="1">IF(Calculation!Q153="","Selection",Calculation!Q153)</f>
        <v>Selection</v>
      </c>
      <c r="K172" s="179" t="str">
        <f ca="1">Calculation!T153</f>
        <v/>
      </c>
      <c r="L172" s="180" t="str">
        <f ca="1">Calculation!U153</f>
        <v>-</v>
      </c>
      <c r="M172" s="180" t="str">
        <f ca="1">Calculation!V153</f>
        <v>-</v>
      </c>
      <c r="N172" s="181"/>
      <c r="O172" s="180" t="str">
        <f ca="1">Calculation!X153</f>
        <v>-</v>
      </c>
      <c r="P172" s="180" t="str">
        <f ca="1">Calculation!Y153</f>
        <v>-</v>
      </c>
      <c r="Q172" s="273"/>
      <c r="R172" s="182" t="str">
        <f ca="1">IF(AND(L172&lt;&gt;"-",Q172&lt;&gt;"bypass"),IFERROR(IF((U172*$R$23/0.05)-SUM(S172:U172)&gt;0,(U172*$R$23/0.05)-SUM(S172:U172),0),"-"),Calculation!AH153)</f>
        <v>-</v>
      </c>
      <c r="S172" s="179" t="str">
        <f ca="1">IF(AND(L172&lt;&gt;"-",Q172&lt;&gt;"bypass"),IFERROR(X172*((H172*10^-12-H172*10^-12*I172)/(Calculation!$U$8*10^-9)),"-"),Calculation!AF153)</f>
        <v>-</v>
      </c>
      <c r="T172" s="179" t="str">
        <f ca="1">IF(AND(L172&lt;&gt;"-",Q172&lt;&gt;"bypass"),IFERROR(H172*I172*X172/(IF(Cluster!AA172=Cluster!$W$8,Cluster!$W$10,IF(Cluster!AA172=Cluster!$X$8,Cluster!$X$10,IF(Cluster!AA172=Cluster!$Y$8,Cluster!$Y$10,0)))*10^3),"-"),Calculation!AK153)</f>
        <v>-</v>
      </c>
      <c r="U172" s="179" t="str">
        <f ca="1">IF(AND(L172&lt;&gt;"-",Q172&lt;&gt;"bypass"),IFERROR((0.5/50)*X172/$R$23,"-"),Calculation!AG153)</f>
        <v>-</v>
      </c>
      <c r="V172" s="179" t="str">
        <f ca="1">IF(AND(L172&lt;&gt;"-",Q172&lt;&gt;"bypass"),IFERROR(5/50*X172,"-"),Calculation!AI153)</f>
        <v>-</v>
      </c>
      <c r="W172" s="179" t="str">
        <f ca="1">IF(AND(L172&lt;&gt;"-",Q172&lt;&gt;"bypass"),IFERROR(35/50*X172,"-"),Calculation!AJ153)</f>
        <v>-</v>
      </c>
      <c r="X172" s="179" t="str">
        <f ca="1">IF(AND(L172&lt;&gt;"-",Q172&lt;&gt;"bypass"),$W$23,Calculation!AL153)</f>
        <v>-</v>
      </c>
      <c r="Y172" s="183" t="str">
        <f ca="1">IF(AND(L172&lt;&gt;"-",Q172&lt;&gt;"bypass"),IFERROR($R$23*U172/SUM(R172:U172),"-"),Calculation!AP153)</f>
        <v>-</v>
      </c>
      <c r="Z172" s="184" t="str">
        <f t="shared" ca="1" si="10"/>
        <v>-</v>
      </c>
      <c r="AA172" s="185" t="str">
        <f ca="1">IFERROR(IF(I172=0,"-",IF(AND(ROUND(H172*I172*X172/($W$10*10^3),1)&gt;=Calculation!$O$6,ROUND((((U172)*$R$23/0.05)-((S172)+(H172*I172*X172/($W$10*10^3))+(U172))),1)&gt;=0),Cluster!$W$8,IF(AND(ROUND(H172*I172*X172/($X$10*10^3),1)&gt;=Calculation!$O$6,ROUND((((U172)*$R$23/0.05)-((S172)+(H172*I172*X172/($X$10*10^3))+(U172))),1)&gt;=0),Cluster!$X$8,IF(AND(ROUND(H172*I172*X172/($Y$10*10^3),1)&gt;=Calculation!$O$6,ROUND((((U172)*$R$23/0.05)-((S172)+(H172*I172*X172/($Y$10*10^3))+(U172))),1)&gt;=0),Cluster!$Y$8,"Recepie by hand needed")))),"-")</f>
        <v>-</v>
      </c>
      <c r="AC172" s="37" t="str">
        <f t="shared" ca="1" si="11"/>
        <v>-</v>
      </c>
      <c r="AD172" s="37" t="str">
        <f t="shared" ca="1" si="12"/>
        <v>-</v>
      </c>
      <c r="AE172" s="220" t="str">
        <f t="shared" ca="1" si="13"/>
        <v>-</v>
      </c>
      <c r="AF172" s="37" t="str">
        <f t="shared" ca="1" si="14"/>
        <v>-</v>
      </c>
    </row>
    <row r="173" spans="1:32" ht="14.25" x14ac:dyDescent="0.5">
      <c r="A173" s="170" t="str">
        <f>Calculation!I154</f>
        <v/>
      </c>
      <c r="B173" s="221" t="str">
        <f ca="1">Calculation!B154</f>
        <v/>
      </c>
      <c r="C173" s="221" t="str">
        <f ca="1">Calculation!C154</f>
        <v/>
      </c>
      <c r="D173" s="172" t="str">
        <f ca="1">Calculation!AN154</f>
        <v/>
      </c>
      <c r="E173" s="173" t="str">
        <f ca="1">Calculation!D154</f>
        <v/>
      </c>
      <c r="F173" s="174" t="str">
        <f ca="1">Calculation!C154</f>
        <v/>
      </c>
      <c r="G173" s="175" t="str">
        <f ca="1">Calculation!F154</f>
        <v/>
      </c>
      <c r="H173" s="176" t="str">
        <f ca="1">Calculation!AD154</f>
        <v/>
      </c>
      <c r="I173" s="177" t="str">
        <f ca="1">Calculation!AE154</f>
        <v/>
      </c>
      <c r="J173" s="272" t="str">
        <f ca="1">IF(Calculation!Q154="","Selection",Calculation!Q154)</f>
        <v>Selection</v>
      </c>
      <c r="K173" s="179" t="str">
        <f ca="1">Calculation!T154</f>
        <v/>
      </c>
      <c r="L173" s="180" t="str">
        <f ca="1">Calculation!U154</f>
        <v>-</v>
      </c>
      <c r="M173" s="180" t="str">
        <f ca="1">Calculation!V154</f>
        <v>-</v>
      </c>
      <c r="N173" s="181"/>
      <c r="O173" s="180" t="str">
        <f ca="1">Calculation!X154</f>
        <v>-</v>
      </c>
      <c r="P173" s="180" t="str">
        <f ca="1">Calculation!Y154</f>
        <v>-</v>
      </c>
      <c r="Q173" s="273"/>
      <c r="R173" s="182" t="str">
        <f ca="1">IF(AND(L173&lt;&gt;"-",Q173&lt;&gt;"bypass"),IFERROR(IF((U173*$R$23/0.05)-SUM(S173:U173)&gt;0,(U173*$R$23/0.05)-SUM(S173:U173),0),"-"),Calculation!AH154)</f>
        <v>-</v>
      </c>
      <c r="S173" s="179" t="str">
        <f ca="1">IF(AND(L173&lt;&gt;"-",Q173&lt;&gt;"bypass"),IFERROR(X173*((H173*10^-12-H173*10^-12*I173)/(Calculation!$U$8*10^-9)),"-"),Calculation!AF154)</f>
        <v>-</v>
      </c>
      <c r="T173" s="179" t="str">
        <f ca="1">IF(AND(L173&lt;&gt;"-",Q173&lt;&gt;"bypass"),IFERROR(H173*I173*X173/(IF(Cluster!AA173=Cluster!$W$8,Cluster!$W$10,IF(Cluster!AA173=Cluster!$X$8,Cluster!$X$10,IF(Cluster!AA173=Cluster!$Y$8,Cluster!$Y$10,0)))*10^3),"-"),Calculation!AK154)</f>
        <v>-</v>
      </c>
      <c r="U173" s="179" t="str">
        <f ca="1">IF(AND(L173&lt;&gt;"-",Q173&lt;&gt;"bypass"),IFERROR((0.5/50)*X173/$R$23,"-"),Calculation!AG154)</f>
        <v>-</v>
      </c>
      <c r="V173" s="179" t="str">
        <f ca="1">IF(AND(L173&lt;&gt;"-",Q173&lt;&gt;"bypass"),IFERROR(5/50*X173,"-"),Calculation!AI154)</f>
        <v>-</v>
      </c>
      <c r="W173" s="179" t="str">
        <f ca="1">IF(AND(L173&lt;&gt;"-",Q173&lt;&gt;"bypass"),IFERROR(35/50*X173,"-"),Calculation!AJ154)</f>
        <v>-</v>
      </c>
      <c r="X173" s="179" t="str">
        <f ca="1">IF(AND(L173&lt;&gt;"-",Q173&lt;&gt;"bypass"),$W$23,Calculation!AL154)</f>
        <v>-</v>
      </c>
      <c r="Y173" s="183" t="str">
        <f ca="1">IF(AND(L173&lt;&gt;"-",Q173&lt;&gt;"bypass"),IFERROR($R$23*U173/SUM(R173:U173),"-"),Calculation!AP154)</f>
        <v>-</v>
      </c>
      <c r="Z173" s="184" t="str">
        <f t="shared" ca="1" si="10"/>
        <v>-</v>
      </c>
      <c r="AA173" s="185" t="str">
        <f ca="1">IFERROR(IF(I173=0,"-",IF(AND(ROUND(H173*I173*X173/($W$10*10^3),1)&gt;=Calculation!$O$6,ROUND((((U173)*$R$23/0.05)-((S173)+(H173*I173*X173/($W$10*10^3))+(U173))),1)&gt;=0),Cluster!$W$8,IF(AND(ROUND(H173*I173*X173/($X$10*10^3),1)&gt;=Calculation!$O$6,ROUND((((U173)*$R$23/0.05)-((S173)+(H173*I173*X173/($X$10*10^3))+(U173))),1)&gt;=0),Cluster!$X$8,IF(AND(ROUND(H173*I173*X173/($Y$10*10^3),1)&gt;=Calculation!$O$6,ROUND((((U173)*$R$23/0.05)-((S173)+(H173*I173*X173/($Y$10*10^3))+(U173))),1)&gt;=0),Cluster!$Y$8,"Recepie by hand needed")))),"-")</f>
        <v>-</v>
      </c>
      <c r="AC173" s="37" t="str">
        <f t="shared" ca="1" si="11"/>
        <v>-</v>
      </c>
      <c r="AD173" s="37" t="str">
        <f t="shared" ca="1" si="12"/>
        <v>-</v>
      </c>
      <c r="AE173" s="220" t="str">
        <f t="shared" ca="1" si="13"/>
        <v>-</v>
      </c>
      <c r="AF173" s="37" t="str">
        <f t="shared" ca="1" si="14"/>
        <v>-</v>
      </c>
    </row>
    <row r="174" spans="1:32" ht="14.25" x14ac:dyDescent="0.5">
      <c r="A174" s="170" t="str">
        <f>Calculation!I155</f>
        <v/>
      </c>
      <c r="B174" s="221" t="str">
        <f ca="1">Calculation!B155</f>
        <v/>
      </c>
      <c r="C174" s="221" t="str">
        <f ca="1">Calculation!C155</f>
        <v/>
      </c>
      <c r="D174" s="172" t="str">
        <f ca="1">Calculation!AN155</f>
        <v/>
      </c>
      <c r="E174" s="173" t="str">
        <f ca="1">Calculation!D155</f>
        <v/>
      </c>
      <c r="F174" s="174" t="str">
        <f ca="1">Calculation!C155</f>
        <v/>
      </c>
      <c r="G174" s="175" t="str">
        <f ca="1">Calculation!F155</f>
        <v/>
      </c>
      <c r="H174" s="176" t="str">
        <f ca="1">Calculation!AD155</f>
        <v/>
      </c>
      <c r="I174" s="177" t="str">
        <f ca="1">Calculation!AE155</f>
        <v/>
      </c>
      <c r="J174" s="272" t="str">
        <f ca="1">IF(Calculation!Q155="","Selection",Calculation!Q155)</f>
        <v>Selection</v>
      </c>
      <c r="K174" s="179" t="str">
        <f ca="1">Calculation!T155</f>
        <v/>
      </c>
      <c r="L174" s="180" t="str">
        <f ca="1">Calculation!U155</f>
        <v>-</v>
      </c>
      <c r="M174" s="180" t="str">
        <f ca="1">Calculation!V155</f>
        <v>-</v>
      </c>
      <c r="N174" s="181"/>
      <c r="O174" s="180" t="str">
        <f ca="1">Calculation!X155</f>
        <v>-</v>
      </c>
      <c r="P174" s="180" t="str">
        <f ca="1">Calculation!Y155</f>
        <v>-</v>
      </c>
      <c r="Q174" s="273"/>
      <c r="R174" s="182" t="str">
        <f ca="1">IF(AND(L174&lt;&gt;"-",Q174&lt;&gt;"bypass"),IFERROR(IF((U174*$R$23/0.05)-SUM(S174:U174)&gt;0,(U174*$R$23/0.05)-SUM(S174:U174),0),"-"),Calculation!AH155)</f>
        <v>-</v>
      </c>
      <c r="S174" s="179" t="str">
        <f ca="1">IF(AND(L174&lt;&gt;"-",Q174&lt;&gt;"bypass"),IFERROR(X174*((H174*10^-12-H174*10^-12*I174)/(Calculation!$U$8*10^-9)),"-"),Calculation!AF155)</f>
        <v>-</v>
      </c>
      <c r="T174" s="179" t="str">
        <f ca="1">IF(AND(L174&lt;&gt;"-",Q174&lt;&gt;"bypass"),IFERROR(H174*I174*X174/(IF(Cluster!AA174=Cluster!$W$8,Cluster!$W$10,IF(Cluster!AA174=Cluster!$X$8,Cluster!$X$10,IF(Cluster!AA174=Cluster!$Y$8,Cluster!$Y$10,0)))*10^3),"-"),Calculation!AK155)</f>
        <v>-</v>
      </c>
      <c r="U174" s="179" t="str">
        <f ca="1">IF(AND(L174&lt;&gt;"-",Q174&lt;&gt;"bypass"),IFERROR((0.5/50)*X174/$R$23,"-"),Calculation!AG155)</f>
        <v>-</v>
      </c>
      <c r="V174" s="179" t="str">
        <f ca="1">IF(AND(L174&lt;&gt;"-",Q174&lt;&gt;"bypass"),IFERROR(5/50*X174,"-"),Calculation!AI155)</f>
        <v>-</v>
      </c>
      <c r="W174" s="179" t="str">
        <f ca="1">IF(AND(L174&lt;&gt;"-",Q174&lt;&gt;"bypass"),IFERROR(35/50*X174,"-"),Calculation!AJ155)</f>
        <v>-</v>
      </c>
      <c r="X174" s="179" t="str">
        <f ca="1">IF(AND(L174&lt;&gt;"-",Q174&lt;&gt;"bypass"),$W$23,Calculation!AL155)</f>
        <v>-</v>
      </c>
      <c r="Y174" s="183" t="str">
        <f ca="1">IF(AND(L174&lt;&gt;"-",Q174&lt;&gt;"bypass"),IFERROR($R$23*U174/SUM(R174:U174),"-"),Calculation!AP155)</f>
        <v>-</v>
      </c>
      <c r="Z174" s="184" t="str">
        <f t="shared" ca="1" si="10"/>
        <v>-</v>
      </c>
      <c r="AA174" s="185" t="str">
        <f ca="1">IFERROR(IF(I174=0,"-",IF(AND(ROUND(H174*I174*X174/($W$10*10^3),1)&gt;=Calculation!$O$6,ROUND((((U174)*$R$23/0.05)-((S174)+(H174*I174*X174/($W$10*10^3))+(U174))),1)&gt;=0),Cluster!$W$8,IF(AND(ROUND(H174*I174*X174/($X$10*10^3),1)&gt;=Calculation!$O$6,ROUND((((U174)*$R$23/0.05)-((S174)+(H174*I174*X174/($X$10*10^3))+(U174))),1)&gt;=0),Cluster!$X$8,IF(AND(ROUND(H174*I174*X174/($Y$10*10^3),1)&gt;=Calculation!$O$6,ROUND((((U174)*$R$23/0.05)-((S174)+(H174*I174*X174/($Y$10*10^3))+(U174))),1)&gt;=0),Cluster!$Y$8,"Recepie by hand needed")))),"-")</f>
        <v>-</v>
      </c>
      <c r="AC174" s="37" t="str">
        <f t="shared" ca="1" si="11"/>
        <v>-</v>
      </c>
      <c r="AD174" s="37" t="str">
        <f t="shared" ca="1" si="12"/>
        <v>-</v>
      </c>
      <c r="AE174" s="220" t="str">
        <f t="shared" ca="1" si="13"/>
        <v>-</v>
      </c>
      <c r="AF174" s="37" t="str">
        <f t="shared" ca="1" si="14"/>
        <v>-</v>
      </c>
    </row>
    <row r="175" spans="1:32" ht="14.25" x14ac:dyDescent="0.5">
      <c r="A175" s="170" t="str">
        <f>Calculation!I156</f>
        <v/>
      </c>
      <c r="B175" s="221" t="str">
        <f ca="1">Calculation!B156</f>
        <v/>
      </c>
      <c r="C175" s="221" t="str">
        <f ca="1">Calculation!C156</f>
        <v/>
      </c>
      <c r="D175" s="172" t="str">
        <f ca="1">Calculation!AN156</f>
        <v/>
      </c>
      <c r="E175" s="173" t="str">
        <f ca="1">Calculation!D156</f>
        <v/>
      </c>
      <c r="F175" s="174" t="str">
        <f ca="1">Calculation!C156</f>
        <v/>
      </c>
      <c r="G175" s="175" t="str">
        <f ca="1">Calculation!F156</f>
        <v/>
      </c>
      <c r="H175" s="176" t="str">
        <f ca="1">Calculation!AD156</f>
        <v/>
      </c>
      <c r="I175" s="177" t="str">
        <f ca="1">Calculation!AE156</f>
        <v/>
      </c>
      <c r="J175" s="272" t="str">
        <f ca="1">IF(Calculation!Q156="","Selection",Calculation!Q156)</f>
        <v>Selection</v>
      </c>
      <c r="K175" s="179" t="str">
        <f ca="1">Calculation!T156</f>
        <v/>
      </c>
      <c r="L175" s="180" t="str">
        <f ca="1">Calculation!U156</f>
        <v>-</v>
      </c>
      <c r="M175" s="180" t="str">
        <f ca="1">Calculation!V156</f>
        <v>-</v>
      </c>
      <c r="N175" s="181"/>
      <c r="O175" s="180" t="str">
        <f ca="1">Calculation!X156</f>
        <v>-</v>
      </c>
      <c r="P175" s="180" t="str">
        <f ca="1">Calculation!Y156</f>
        <v>-</v>
      </c>
      <c r="Q175" s="273"/>
      <c r="R175" s="182" t="str">
        <f ca="1">IF(AND(L175&lt;&gt;"-",Q175&lt;&gt;"bypass"),IFERROR(IF((U175*$R$23/0.05)-SUM(S175:U175)&gt;0,(U175*$R$23/0.05)-SUM(S175:U175),0),"-"),Calculation!AH156)</f>
        <v>-</v>
      </c>
      <c r="S175" s="179" t="str">
        <f ca="1">IF(AND(L175&lt;&gt;"-",Q175&lt;&gt;"bypass"),IFERROR(X175*((H175*10^-12-H175*10^-12*I175)/(Calculation!$U$8*10^-9)),"-"),Calculation!AF156)</f>
        <v>-</v>
      </c>
      <c r="T175" s="179" t="str">
        <f ca="1">IF(AND(L175&lt;&gt;"-",Q175&lt;&gt;"bypass"),IFERROR(H175*I175*X175/(IF(Cluster!AA175=Cluster!$W$8,Cluster!$W$10,IF(Cluster!AA175=Cluster!$X$8,Cluster!$X$10,IF(Cluster!AA175=Cluster!$Y$8,Cluster!$Y$10,0)))*10^3),"-"),Calculation!AK156)</f>
        <v>-</v>
      </c>
      <c r="U175" s="179" t="str">
        <f ca="1">IF(AND(L175&lt;&gt;"-",Q175&lt;&gt;"bypass"),IFERROR((0.5/50)*X175/$R$23,"-"),Calculation!AG156)</f>
        <v>-</v>
      </c>
      <c r="V175" s="179" t="str">
        <f ca="1">IF(AND(L175&lt;&gt;"-",Q175&lt;&gt;"bypass"),IFERROR(5/50*X175,"-"),Calculation!AI156)</f>
        <v>-</v>
      </c>
      <c r="W175" s="179" t="str">
        <f ca="1">IF(AND(L175&lt;&gt;"-",Q175&lt;&gt;"bypass"),IFERROR(35/50*X175,"-"),Calculation!AJ156)</f>
        <v>-</v>
      </c>
      <c r="X175" s="179" t="str">
        <f ca="1">IF(AND(L175&lt;&gt;"-",Q175&lt;&gt;"bypass"),$W$23,Calculation!AL156)</f>
        <v>-</v>
      </c>
      <c r="Y175" s="183" t="str">
        <f ca="1">IF(AND(L175&lt;&gt;"-",Q175&lt;&gt;"bypass"),IFERROR($R$23*U175/SUM(R175:U175),"-"),Calculation!AP156)</f>
        <v>-</v>
      </c>
      <c r="Z175" s="184" t="str">
        <f t="shared" ca="1" si="10"/>
        <v>-</v>
      </c>
      <c r="AA175" s="185" t="str">
        <f ca="1">IFERROR(IF(I175=0,"-",IF(AND(ROUND(H175*I175*X175/($W$10*10^3),1)&gt;=Calculation!$O$6,ROUND((((U175)*$R$23/0.05)-((S175)+(H175*I175*X175/($W$10*10^3))+(U175))),1)&gt;=0),Cluster!$W$8,IF(AND(ROUND(H175*I175*X175/($X$10*10^3),1)&gt;=Calculation!$O$6,ROUND((((U175)*$R$23/0.05)-((S175)+(H175*I175*X175/($X$10*10^3))+(U175))),1)&gt;=0),Cluster!$X$8,IF(AND(ROUND(H175*I175*X175/($Y$10*10^3),1)&gt;=Calculation!$O$6,ROUND((((U175)*$R$23/0.05)-((S175)+(H175*I175*X175/($Y$10*10^3))+(U175))),1)&gt;=0),Cluster!$Y$8,"Recepie by hand needed")))),"-")</f>
        <v>-</v>
      </c>
      <c r="AC175" s="37" t="str">
        <f t="shared" ca="1" si="11"/>
        <v>-</v>
      </c>
      <c r="AD175" s="37" t="str">
        <f t="shared" ca="1" si="12"/>
        <v>-</v>
      </c>
      <c r="AE175" s="220" t="str">
        <f t="shared" ca="1" si="13"/>
        <v>-</v>
      </c>
      <c r="AF175" s="37" t="str">
        <f t="shared" ca="1" si="14"/>
        <v>-</v>
      </c>
    </row>
    <row r="176" spans="1:32" ht="14.25" x14ac:dyDescent="0.5">
      <c r="A176" s="170" t="str">
        <f>Calculation!I157</f>
        <v/>
      </c>
      <c r="B176" s="221" t="str">
        <f ca="1">Calculation!B157</f>
        <v/>
      </c>
      <c r="C176" s="221" t="str">
        <f ca="1">Calculation!C157</f>
        <v/>
      </c>
      <c r="D176" s="172" t="str">
        <f ca="1">Calculation!AN157</f>
        <v/>
      </c>
      <c r="E176" s="173" t="str">
        <f ca="1">Calculation!D157</f>
        <v/>
      </c>
      <c r="F176" s="174" t="str">
        <f ca="1">Calculation!C157</f>
        <v/>
      </c>
      <c r="G176" s="175" t="str">
        <f ca="1">Calculation!F157</f>
        <v/>
      </c>
      <c r="H176" s="176" t="str">
        <f ca="1">Calculation!AD157</f>
        <v/>
      </c>
      <c r="I176" s="177" t="str">
        <f ca="1">Calculation!AE157</f>
        <v/>
      </c>
      <c r="J176" s="272" t="str">
        <f ca="1">IF(Calculation!Q157="","Selection",Calculation!Q157)</f>
        <v>Selection</v>
      </c>
      <c r="K176" s="179" t="str">
        <f ca="1">Calculation!T157</f>
        <v/>
      </c>
      <c r="L176" s="180" t="str">
        <f ca="1">Calculation!U157</f>
        <v>-</v>
      </c>
      <c r="M176" s="180" t="str">
        <f ca="1">Calculation!V157</f>
        <v>-</v>
      </c>
      <c r="N176" s="181"/>
      <c r="O176" s="180" t="str">
        <f ca="1">Calculation!X157</f>
        <v>-</v>
      </c>
      <c r="P176" s="180" t="str">
        <f ca="1">Calculation!Y157</f>
        <v>-</v>
      </c>
      <c r="Q176" s="273"/>
      <c r="R176" s="182" t="str">
        <f ca="1">IF(AND(L176&lt;&gt;"-",Q176&lt;&gt;"bypass"),IFERROR(IF((U176*$R$23/0.05)-SUM(S176:U176)&gt;0,(U176*$R$23/0.05)-SUM(S176:U176),0),"-"),Calculation!AH157)</f>
        <v>-</v>
      </c>
      <c r="S176" s="179" t="str">
        <f ca="1">IF(AND(L176&lt;&gt;"-",Q176&lt;&gt;"bypass"),IFERROR(X176*((H176*10^-12-H176*10^-12*I176)/(Calculation!$U$8*10^-9)),"-"),Calculation!AF157)</f>
        <v>-</v>
      </c>
      <c r="T176" s="179" t="str">
        <f ca="1">IF(AND(L176&lt;&gt;"-",Q176&lt;&gt;"bypass"),IFERROR(H176*I176*X176/(IF(Cluster!AA176=Cluster!$W$8,Cluster!$W$10,IF(Cluster!AA176=Cluster!$X$8,Cluster!$X$10,IF(Cluster!AA176=Cluster!$Y$8,Cluster!$Y$10,0)))*10^3),"-"),Calculation!AK157)</f>
        <v>-</v>
      </c>
      <c r="U176" s="179" t="str">
        <f ca="1">IF(AND(L176&lt;&gt;"-",Q176&lt;&gt;"bypass"),IFERROR((0.5/50)*X176/$R$23,"-"),Calculation!AG157)</f>
        <v>-</v>
      </c>
      <c r="V176" s="179" t="str">
        <f ca="1">IF(AND(L176&lt;&gt;"-",Q176&lt;&gt;"bypass"),IFERROR(5/50*X176,"-"),Calculation!AI157)</f>
        <v>-</v>
      </c>
      <c r="W176" s="179" t="str">
        <f ca="1">IF(AND(L176&lt;&gt;"-",Q176&lt;&gt;"bypass"),IFERROR(35/50*X176,"-"),Calculation!AJ157)</f>
        <v>-</v>
      </c>
      <c r="X176" s="179" t="str">
        <f ca="1">IF(AND(L176&lt;&gt;"-",Q176&lt;&gt;"bypass"),$W$23,Calculation!AL157)</f>
        <v>-</v>
      </c>
      <c r="Y176" s="183" t="str">
        <f ca="1">IF(AND(L176&lt;&gt;"-",Q176&lt;&gt;"bypass"),IFERROR($R$23*U176/SUM(R176:U176),"-"),Calculation!AP157)</f>
        <v>-</v>
      </c>
      <c r="Z176" s="184" t="str">
        <f t="shared" ca="1" si="10"/>
        <v>-</v>
      </c>
      <c r="AA176" s="185" t="str">
        <f ca="1">IFERROR(IF(I176=0,"-",IF(AND(ROUND(H176*I176*X176/($W$10*10^3),1)&gt;=Calculation!$O$6,ROUND((((U176)*$R$23/0.05)-((S176)+(H176*I176*X176/($W$10*10^3))+(U176))),1)&gt;=0),Cluster!$W$8,IF(AND(ROUND(H176*I176*X176/($X$10*10^3),1)&gt;=Calculation!$O$6,ROUND((((U176)*$R$23/0.05)-((S176)+(H176*I176*X176/($X$10*10^3))+(U176))),1)&gt;=0),Cluster!$X$8,IF(AND(ROUND(H176*I176*X176/($Y$10*10^3),1)&gt;=Calculation!$O$6,ROUND((((U176)*$R$23/0.05)-((S176)+(H176*I176*X176/($Y$10*10^3))+(U176))),1)&gt;=0),Cluster!$Y$8,"Recepie by hand needed")))),"-")</f>
        <v>-</v>
      </c>
      <c r="AC176" s="37" t="str">
        <f t="shared" ca="1" si="11"/>
        <v>-</v>
      </c>
      <c r="AD176" s="37" t="str">
        <f t="shared" ca="1" si="12"/>
        <v>-</v>
      </c>
      <c r="AE176" s="220" t="str">
        <f t="shared" ca="1" si="13"/>
        <v>-</v>
      </c>
      <c r="AF176" s="37" t="str">
        <f t="shared" ca="1" si="14"/>
        <v>-</v>
      </c>
    </row>
    <row r="177" spans="1:32" ht="14.25" x14ac:dyDescent="0.5">
      <c r="A177" s="170" t="str">
        <f>Calculation!I158</f>
        <v/>
      </c>
      <c r="B177" s="221" t="str">
        <f ca="1">Calculation!B158</f>
        <v/>
      </c>
      <c r="C177" s="221" t="str">
        <f ca="1">Calculation!C158</f>
        <v/>
      </c>
      <c r="D177" s="172" t="str">
        <f ca="1">Calculation!AN158</f>
        <v/>
      </c>
      <c r="E177" s="173" t="str">
        <f ca="1">Calculation!D158</f>
        <v/>
      </c>
      <c r="F177" s="174" t="str">
        <f ca="1">Calculation!C158</f>
        <v/>
      </c>
      <c r="G177" s="175" t="str">
        <f ca="1">Calculation!F158</f>
        <v/>
      </c>
      <c r="H177" s="176" t="str">
        <f ca="1">Calculation!AD158</f>
        <v/>
      </c>
      <c r="I177" s="177" t="str">
        <f ca="1">Calculation!AE158</f>
        <v/>
      </c>
      <c r="J177" s="272" t="str">
        <f ca="1">IF(Calculation!Q158="","Selection",Calculation!Q158)</f>
        <v>Selection</v>
      </c>
      <c r="K177" s="179" t="str">
        <f ca="1">Calculation!T158</f>
        <v/>
      </c>
      <c r="L177" s="180" t="str">
        <f ca="1">Calculation!U158</f>
        <v>-</v>
      </c>
      <c r="M177" s="180" t="str">
        <f ca="1">Calculation!V158</f>
        <v>-</v>
      </c>
      <c r="N177" s="181"/>
      <c r="O177" s="180" t="str">
        <f ca="1">Calculation!X158</f>
        <v>-</v>
      </c>
      <c r="P177" s="180" t="str">
        <f ca="1">Calculation!Y158</f>
        <v>-</v>
      </c>
      <c r="Q177" s="273"/>
      <c r="R177" s="182" t="str">
        <f ca="1">IF(AND(L177&lt;&gt;"-",Q177&lt;&gt;"bypass"),IFERROR(IF((U177*$R$23/0.05)-SUM(S177:U177)&gt;0,(U177*$R$23/0.05)-SUM(S177:U177),0),"-"),Calculation!AH158)</f>
        <v>-</v>
      </c>
      <c r="S177" s="179" t="str">
        <f ca="1">IF(AND(L177&lt;&gt;"-",Q177&lt;&gt;"bypass"),IFERROR(X177*((H177*10^-12-H177*10^-12*I177)/(Calculation!$U$8*10^-9)),"-"),Calculation!AF158)</f>
        <v>-</v>
      </c>
      <c r="T177" s="179" t="str">
        <f ca="1">IF(AND(L177&lt;&gt;"-",Q177&lt;&gt;"bypass"),IFERROR(H177*I177*X177/(IF(Cluster!AA177=Cluster!$W$8,Cluster!$W$10,IF(Cluster!AA177=Cluster!$X$8,Cluster!$X$10,IF(Cluster!AA177=Cluster!$Y$8,Cluster!$Y$10,0)))*10^3),"-"),Calculation!AK158)</f>
        <v>-</v>
      </c>
      <c r="U177" s="179" t="str">
        <f ca="1">IF(AND(L177&lt;&gt;"-",Q177&lt;&gt;"bypass"),IFERROR((0.5/50)*X177/$R$23,"-"),Calculation!AG158)</f>
        <v>-</v>
      </c>
      <c r="V177" s="179" t="str">
        <f ca="1">IF(AND(L177&lt;&gt;"-",Q177&lt;&gt;"bypass"),IFERROR(5/50*X177,"-"),Calculation!AI158)</f>
        <v>-</v>
      </c>
      <c r="W177" s="179" t="str">
        <f ca="1">IF(AND(L177&lt;&gt;"-",Q177&lt;&gt;"bypass"),IFERROR(35/50*X177,"-"),Calculation!AJ158)</f>
        <v>-</v>
      </c>
      <c r="X177" s="179" t="str">
        <f ca="1">IF(AND(L177&lt;&gt;"-",Q177&lt;&gt;"bypass"),$W$23,Calculation!AL158)</f>
        <v>-</v>
      </c>
      <c r="Y177" s="183" t="str">
        <f ca="1">IF(AND(L177&lt;&gt;"-",Q177&lt;&gt;"bypass"),IFERROR($R$23*U177/SUM(R177:U177),"-"),Calculation!AP158)</f>
        <v>-</v>
      </c>
      <c r="Z177" s="184" t="str">
        <f t="shared" ca="1" si="10"/>
        <v>-</v>
      </c>
      <c r="AA177" s="185" t="str">
        <f ca="1">IFERROR(IF(I177=0,"-",IF(AND(ROUND(H177*I177*X177/($W$10*10^3),1)&gt;=Calculation!$O$6,ROUND((((U177)*$R$23/0.05)-((S177)+(H177*I177*X177/($W$10*10^3))+(U177))),1)&gt;=0),Cluster!$W$8,IF(AND(ROUND(H177*I177*X177/($X$10*10^3),1)&gt;=Calculation!$O$6,ROUND((((U177)*$R$23/0.05)-((S177)+(H177*I177*X177/($X$10*10^3))+(U177))),1)&gt;=0),Cluster!$X$8,IF(AND(ROUND(H177*I177*X177/($Y$10*10^3),1)&gt;=Calculation!$O$6,ROUND((((U177)*$R$23/0.05)-((S177)+(H177*I177*X177/($Y$10*10^3))+(U177))),1)&gt;=0),Cluster!$Y$8,"Recepie by hand needed")))),"-")</f>
        <v>-</v>
      </c>
      <c r="AC177" s="37" t="str">
        <f t="shared" ca="1" si="11"/>
        <v>-</v>
      </c>
      <c r="AD177" s="37" t="str">
        <f t="shared" ca="1" si="12"/>
        <v>-</v>
      </c>
      <c r="AE177" s="220" t="str">
        <f t="shared" ca="1" si="13"/>
        <v>-</v>
      </c>
      <c r="AF177" s="37" t="str">
        <f t="shared" ca="1" si="14"/>
        <v>-</v>
      </c>
    </row>
    <row r="178" spans="1:32" ht="14.25" x14ac:dyDescent="0.5">
      <c r="A178" s="170" t="str">
        <f>Calculation!I159</f>
        <v/>
      </c>
      <c r="B178" s="221" t="str">
        <f ca="1">Calculation!B159</f>
        <v/>
      </c>
      <c r="C178" s="221" t="str">
        <f ca="1">Calculation!C159</f>
        <v/>
      </c>
      <c r="D178" s="172" t="str">
        <f ca="1">Calculation!AN159</f>
        <v/>
      </c>
      <c r="E178" s="173" t="str">
        <f ca="1">Calculation!D159</f>
        <v/>
      </c>
      <c r="F178" s="174" t="str">
        <f ca="1">Calculation!C159</f>
        <v/>
      </c>
      <c r="G178" s="175" t="str">
        <f ca="1">Calculation!F159</f>
        <v/>
      </c>
      <c r="H178" s="176" t="str">
        <f ca="1">Calculation!AD159</f>
        <v/>
      </c>
      <c r="I178" s="177" t="str">
        <f ca="1">Calculation!AE159</f>
        <v/>
      </c>
      <c r="J178" s="272" t="str">
        <f ca="1">IF(Calculation!Q159="","Selection",Calculation!Q159)</f>
        <v>Selection</v>
      </c>
      <c r="K178" s="179" t="str">
        <f ca="1">Calculation!T159</f>
        <v/>
      </c>
      <c r="L178" s="180" t="str">
        <f ca="1">Calculation!U159</f>
        <v>-</v>
      </c>
      <c r="M178" s="180" t="str">
        <f ca="1">Calculation!V159</f>
        <v>-</v>
      </c>
      <c r="N178" s="181"/>
      <c r="O178" s="180" t="str">
        <f ca="1">Calculation!X159</f>
        <v>-</v>
      </c>
      <c r="P178" s="180" t="str">
        <f ca="1">Calculation!Y159</f>
        <v>-</v>
      </c>
      <c r="Q178" s="273"/>
      <c r="R178" s="182" t="str">
        <f ca="1">IF(AND(L178&lt;&gt;"-",Q178&lt;&gt;"bypass"),IFERROR(IF((U178*$R$23/0.05)-SUM(S178:U178)&gt;0,(U178*$R$23/0.05)-SUM(S178:U178),0),"-"),Calculation!AH159)</f>
        <v>-</v>
      </c>
      <c r="S178" s="179" t="str">
        <f ca="1">IF(AND(L178&lt;&gt;"-",Q178&lt;&gt;"bypass"),IFERROR(X178*((H178*10^-12-H178*10^-12*I178)/(Calculation!$U$8*10^-9)),"-"),Calculation!AF159)</f>
        <v>-</v>
      </c>
      <c r="T178" s="179" t="str">
        <f ca="1">IF(AND(L178&lt;&gt;"-",Q178&lt;&gt;"bypass"),IFERROR(H178*I178*X178/(IF(Cluster!AA178=Cluster!$W$8,Cluster!$W$10,IF(Cluster!AA178=Cluster!$X$8,Cluster!$X$10,IF(Cluster!AA178=Cluster!$Y$8,Cluster!$Y$10,0)))*10^3),"-"),Calculation!AK159)</f>
        <v>-</v>
      </c>
      <c r="U178" s="179" t="str">
        <f ca="1">IF(AND(L178&lt;&gt;"-",Q178&lt;&gt;"bypass"),IFERROR((0.5/50)*X178/$R$23,"-"),Calculation!AG159)</f>
        <v>-</v>
      </c>
      <c r="V178" s="179" t="str">
        <f ca="1">IF(AND(L178&lt;&gt;"-",Q178&lt;&gt;"bypass"),IFERROR(5/50*X178,"-"),Calculation!AI159)</f>
        <v>-</v>
      </c>
      <c r="W178" s="179" t="str">
        <f ca="1">IF(AND(L178&lt;&gt;"-",Q178&lt;&gt;"bypass"),IFERROR(35/50*X178,"-"),Calculation!AJ159)</f>
        <v>-</v>
      </c>
      <c r="X178" s="179" t="str">
        <f ca="1">IF(AND(L178&lt;&gt;"-",Q178&lt;&gt;"bypass"),$W$23,Calculation!AL159)</f>
        <v>-</v>
      </c>
      <c r="Y178" s="183" t="str">
        <f ca="1">IF(AND(L178&lt;&gt;"-",Q178&lt;&gt;"bypass"),IFERROR($R$23*U178/SUM(R178:U178),"-"),Calculation!AP159)</f>
        <v>-</v>
      </c>
      <c r="Z178" s="184" t="str">
        <f t="shared" ca="1" si="10"/>
        <v>-</v>
      </c>
      <c r="AA178" s="185" t="str">
        <f ca="1">IFERROR(IF(I178=0,"-",IF(AND(ROUND(H178*I178*X178/($W$10*10^3),1)&gt;=Calculation!$O$6,ROUND((((U178)*$R$23/0.05)-((S178)+(H178*I178*X178/($W$10*10^3))+(U178))),1)&gt;=0),Cluster!$W$8,IF(AND(ROUND(H178*I178*X178/($X$10*10^3),1)&gt;=Calculation!$O$6,ROUND((((U178)*$R$23/0.05)-((S178)+(H178*I178*X178/($X$10*10^3))+(U178))),1)&gt;=0),Cluster!$X$8,IF(AND(ROUND(H178*I178*X178/($Y$10*10^3),1)&gt;=Calculation!$O$6,ROUND((((U178)*$R$23/0.05)-((S178)+(H178*I178*X178/($Y$10*10^3))+(U178))),1)&gt;=0),Cluster!$Y$8,"Recepie by hand needed")))),"-")</f>
        <v>-</v>
      </c>
      <c r="AC178" s="37" t="str">
        <f t="shared" ca="1" si="11"/>
        <v>-</v>
      </c>
      <c r="AD178" s="37" t="str">
        <f t="shared" ca="1" si="12"/>
        <v>-</v>
      </c>
      <c r="AE178" s="220" t="str">
        <f t="shared" ca="1" si="13"/>
        <v>-</v>
      </c>
      <c r="AF178" s="37" t="str">
        <f t="shared" ca="1" si="14"/>
        <v>-</v>
      </c>
    </row>
    <row r="179" spans="1:32" ht="14.25" x14ac:dyDescent="0.5">
      <c r="A179" s="170" t="str">
        <f>Calculation!I160</f>
        <v/>
      </c>
      <c r="B179" s="221" t="str">
        <f ca="1">Calculation!B160</f>
        <v/>
      </c>
      <c r="C179" s="221" t="str">
        <f ca="1">Calculation!C160</f>
        <v/>
      </c>
      <c r="D179" s="172" t="str">
        <f ca="1">Calculation!AN160</f>
        <v/>
      </c>
      <c r="E179" s="173" t="str">
        <f ca="1">Calculation!D160</f>
        <v/>
      </c>
      <c r="F179" s="174" t="str">
        <f ca="1">Calculation!C160</f>
        <v/>
      </c>
      <c r="G179" s="175" t="str">
        <f ca="1">Calculation!F160</f>
        <v/>
      </c>
      <c r="H179" s="176" t="str">
        <f ca="1">Calculation!AD160</f>
        <v/>
      </c>
      <c r="I179" s="177" t="str">
        <f ca="1">Calculation!AE160</f>
        <v/>
      </c>
      <c r="J179" s="272" t="str">
        <f ca="1">IF(Calculation!Q160="","Selection",Calculation!Q160)</f>
        <v>Selection</v>
      </c>
      <c r="K179" s="179" t="str">
        <f ca="1">Calculation!T160</f>
        <v/>
      </c>
      <c r="L179" s="180" t="str">
        <f ca="1">Calculation!U160</f>
        <v>-</v>
      </c>
      <c r="M179" s="180" t="str">
        <f ca="1">Calculation!V160</f>
        <v>-</v>
      </c>
      <c r="N179" s="181"/>
      <c r="O179" s="180" t="str">
        <f ca="1">Calculation!X160</f>
        <v>-</v>
      </c>
      <c r="P179" s="180" t="str">
        <f ca="1">Calculation!Y160</f>
        <v>-</v>
      </c>
      <c r="Q179" s="273"/>
      <c r="R179" s="182" t="str">
        <f ca="1">IF(AND(L179&lt;&gt;"-",Q179&lt;&gt;"bypass"),IFERROR(IF((U179*$R$23/0.05)-SUM(S179:U179)&gt;0,(U179*$R$23/0.05)-SUM(S179:U179),0),"-"),Calculation!AH160)</f>
        <v>-</v>
      </c>
      <c r="S179" s="179" t="str">
        <f ca="1">IF(AND(L179&lt;&gt;"-",Q179&lt;&gt;"bypass"),IFERROR(X179*((H179*10^-12-H179*10^-12*I179)/(Calculation!$U$8*10^-9)),"-"),Calculation!AF160)</f>
        <v>-</v>
      </c>
      <c r="T179" s="179" t="str">
        <f ca="1">IF(AND(L179&lt;&gt;"-",Q179&lt;&gt;"bypass"),IFERROR(H179*I179*X179/(IF(Cluster!AA179=Cluster!$W$8,Cluster!$W$10,IF(Cluster!AA179=Cluster!$X$8,Cluster!$X$10,IF(Cluster!AA179=Cluster!$Y$8,Cluster!$Y$10,0)))*10^3),"-"),Calculation!AK160)</f>
        <v>-</v>
      </c>
      <c r="U179" s="179" t="str">
        <f ca="1">IF(AND(L179&lt;&gt;"-",Q179&lt;&gt;"bypass"),IFERROR((0.5/50)*X179/$R$23,"-"),Calculation!AG160)</f>
        <v>-</v>
      </c>
      <c r="V179" s="179" t="str">
        <f ca="1">IF(AND(L179&lt;&gt;"-",Q179&lt;&gt;"bypass"),IFERROR(5/50*X179,"-"),Calculation!AI160)</f>
        <v>-</v>
      </c>
      <c r="W179" s="179" t="str">
        <f ca="1">IF(AND(L179&lt;&gt;"-",Q179&lt;&gt;"bypass"),IFERROR(35/50*X179,"-"),Calculation!AJ160)</f>
        <v>-</v>
      </c>
      <c r="X179" s="179" t="str">
        <f ca="1">IF(AND(L179&lt;&gt;"-",Q179&lt;&gt;"bypass"),$W$23,Calculation!AL160)</f>
        <v>-</v>
      </c>
      <c r="Y179" s="183" t="str">
        <f ca="1">IF(AND(L179&lt;&gt;"-",Q179&lt;&gt;"bypass"),IFERROR($R$23*U179/SUM(R179:U179),"-"),Calculation!AP160)</f>
        <v>-</v>
      </c>
      <c r="Z179" s="184" t="str">
        <f t="shared" ca="1" si="10"/>
        <v>-</v>
      </c>
      <c r="AA179" s="185" t="str">
        <f ca="1">IFERROR(IF(I179=0,"-",IF(AND(ROUND(H179*I179*X179/($W$10*10^3),1)&gt;=Calculation!$O$6,ROUND((((U179)*$R$23/0.05)-((S179)+(H179*I179*X179/($W$10*10^3))+(U179))),1)&gt;=0),Cluster!$W$8,IF(AND(ROUND(H179*I179*X179/($X$10*10^3),1)&gt;=Calculation!$O$6,ROUND((((U179)*$R$23/0.05)-((S179)+(H179*I179*X179/($X$10*10^3))+(U179))),1)&gt;=0),Cluster!$X$8,IF(AND(ROUND(H179*I179*X179/($Y$10*10^3),1)&gt;=Calculation!$O$6,ROUND((((U179)*$R$23/0.05)-((S179)+(H179*I179*X179/($Y$10*10^3))+(U179))),1)&gt;=0),Cluster!$Y$8,"Recepie by hand needed")))),"-")</f>
        <v>-</v>
      </c>
      <c r="AC179" s="37" t="str">
        <f t="shared" ca="1" si="11"/>
        <v>-</v>
      </c>
      <c r="AD179" s="37" t="str">
        <f t="shared" ca="1" si="12"/>
        <v>-</v>
      </c>
      <c r="AE179" s="220" t="str">
        <f t="shared" ca="1" si="13"/>
        <v>-</v>
      </c>
      <c r="AF179" s="37" t="str">
        <f t="shared" ca="1" si="14"/>
        <v>-</v>
      </c>
    </row>
    <row r="180" spans="1:32" ht="14.25" x14ac:dyDescent="0.5">
      <c r="A180" s="170" t="str">
        <f>Calculation!I161</f>
        <v/>
      </c>
      <c r="B180" s="221" t="str">
        <f ca="1">Calculation!B161</f>
        <v/>
      </c>
      <c r="C180" s="221" t="str">
        <f ca="1">Calculation!C161</f>
        <v/>
      </c>
      <c r="D180" s="172" t="str">
        <f ca="1">Calculation!AN161</f>
        <v/>
      </c>
      <c r="E180" s="173" t="str">
        <f ca="1">Calculation!D161</f>
        <v/>
      </c>
      <c r="F180" s="174" t="str">
        <f ca="1">Calculation!C161</f>
        <v/>
      </c>
      <c r="G180" s="175" t="str">
        <f ca="1">Calculation!F161</f>
        <v/>
      </c>
      <c r="H180" s="176" t="str">
        <f ca="1">Calculation!AD161</f>
        <v/>
      </c>
      <c r="I180" s="177" t="str">
        <f ca="1">Calculation!AE161</f>
        <v/>
      </c>
      <c r="J180" s="272" t="str">
        <f ca="1">IF(Calculation!Q161="","Selection",Calculation!Q161)</f>
        <v>Selection</v>
      </c>
      <c r="K180" s="179" t="str">
        <f ca="1">Calculation!T161</f>
        <v/>
      </c>
      <c r="L180" s="180" t="str">
        <f ca="1">Calculation!U161</f>
        <v>-</v>
      </c>
      <c r="M180" s="180" t="str">
        <f ca="1">Calculation!V161</f>
        <v>-</v>
      </c>
      <c r="N180" s="181"/>
      <c r="O180" s="180" t="str">
        <f ca="1">Calculation!X161</f>
        <v>-</v>
      </c>
      <c r="P180" s="180" t="str">
        <f ca="1">Calculation!Y161</f>
        <v>-</v>
      </c>
      <c r="Q180" s="273"/>
      <c r="R180" s="182" t="str">
        <f ca="1">IF(AND(L180&lt;&gt;"-",Q180&lt;&gt;"bypass"),IFERROR(IF((U180*$R$23/0.05)-SUM(S180:U180)&gt;0,(U180*$R$23/0.05)-SUM(S180:U180),0),"-"),Calculation!AH161)</f>
        <v>-</v>
      </c>
      <c r="S180" s="179" t="str">
        <f ca="1">IF(AND(L180&lt;&gt;"-",Q180&lt;&gt;"bypass"),IFERROR(X180*((H180*10^-12-H180*10^-12*I180)/(Calculation!$U$8*10^-9)),"-"),Calculation!AF161)</f>
        <v>-</v>
      </c>
      <c r="T180" s="179" t="str">
        <f ca="1">IF(AND(L180&lt;&gt;"-",Q180&lt;&gt;"bypass"),IFERROR(H180*I180*X180/(IF(Cluster!AA180=Cluster!$W$8,Cluster!$W$10,IF(Cluster!AA180=Cluster!$X$8,Cluster!$X$10,IF(Cluster!AA180=Cluster!$Y$8,Cluster!$Y$10,0)))*10^3),"-"),Calculation!AK161)</f>
        <v>-</v>
      </c>
      <c r="U180" s="179" t="str">
        <f ca="1">IF(AND(L180&lt;&gt;"-",Q180&lt;&gt;"bypass"),IFERROR((0.5/50)*X180/$R$23,"-"),Calculation!AG161)</f>
        <v>-</v>
      </c>
      <c r="V180" s="179" t="str">
        <f ca="1">IF(AND(L180&lt;&gt;"-",Q180&lt;&gt;"bypass"),IFERROR(5/50*X180,"-"),Calculation!AI161)</f>
        <v>-</v>
      </c>
      <c r="W180" s="179" t="str">
        <f ca="1">IF(AND(L180&lt;&gt;"-",Q180&lt;&gt;"bypass"),IFERROR(35/50*X180,"-"),Calculation!AJ161)</f>
        <v>-</v>
      </c>
      <c r="X180" s="179" t="str">
        <f ca="1">IF(AND(L180&lt;&gt;"-",Q180&lt;&gt;"bypass"),$W$23,Calculation!AL161)</f>
        <v>-</v>
      </c>
      <c r="Y180" s="183" t="str">
        <f ca="1">IF(AND(L180&lt;&gt;"-",Q180&lt;&gt;"bypass"),IFERROR($R$23*U180/SUM(R180:U180),"-"),Calculation!AP161)</f>
        <v>-</v>
      </c>
      <c r="Z180" s="184" t="str">
        <f t="shared" ca="1" si="10"/>
        <v>-</v>
      </c>
      <c r="AA180" s="185" t="str">
        <f ca="1">IFERROR(IF(I180=0,"-",IF(AND(ROUND(H180*I180*X180/($W$10*10^3),1)&gt;=Calculation!$O$6,ROUND((((U180)*$R$23/0.05)-((S180)+(H180*I180*X180/($W$10*10^3))+(U180))),1)&gt;=0),Cluster!$W$8,IF(AND(ROUND(H180*I180*X180/($X$10*10^3),1)&gt;=Calculation!$O$6,ROUND((((U180)*$R$23/0.05)-((S180)+(H180*I180*X180/($X$10*10^3))+(U180))),1)&gt;=0),Cluster!$X$8,IF(AND(ROUND(H180*I180*X180/($Y$10*10^3),1)&gt;=Calculation!$O$6,ROUND((((U180)*$R$23/0.05)-((S180)+(H180*I180*X180/($Y$10*10^3))+(U180))),1)&gt;=0),Cluster!$Y$8,"Recepie by hand needed")))),"-")</f>
        <v>-</v>
      </c>
      <c r="AC180" s="37" t="str">
        <f t="shared" ca="1" si="11"/>
        <v>-</v>
      </c>
      <c r="AD180" s="37" t="str">
        <f t="shared" ca="1" si="12"/>
        <v>-</v>
      </c>
      <c r="AE180" s="220" t="str">
        <f t="shared" ca="1" si="13"/>
        <v>-</v>
      </c>
      <c r="AF180" s="37" t="str">
        <f t="shared" ca="1" si="14"/>
        <v>-</v>
      </c>
    </row>
    <row r="181" spans="1:32" ht="14.25" x14ac:dyDescent="0.5">
      <c r="A181" s="170" t="str">
        <f>Calculation!I162</f>
        <v/>
      </c>
      <c r="B181" s="221" t="str">
        <f ca="1">Calculation!B162</f>
        <v/>
      </c>
      <c r="C181" s="221" t="str">
        <f ca="1">Calculation!C162</f>
        <v/>
      </c>
      <c r="D181" s="172" t="str">
        <f ca="1">Calculation!AN162</f>
        <v/>
      </c>
      <c r="E181" s="173" t="str">
        <f ca="1">Calculation!D162</f>
        <v/>
      </c>
      <c r="F181" s="174" t="str">
        <f ca="1">Calculation!C162</f>
        <v/>
      </c>
      <c r="G181" s="175" t="str">
        <f ca="1">Calculation!F162</f>
        <v/>
      </c>
      <c r="H181" s="176" t="str">
        <f ca="1">Calculation!AD162</f>
        <v/>
      </c>
      <c r="I181" s="177" t="str">
        <f ca="1">Calculation!AE162</f>
        <v/>
      </c>
      <c r="J181" s="272" t="str">
        <f ca="1">IF(Calculation!Q162="","Selection",Calculation!Q162)</f>
        <v>Selection</v>
      </c>
      <c r="K181" s="179" t="str">
        <f ca="1">Calculation!T162</f>
        <v/>
      </c>
      <c r="L181" s="180" t="str">
        <f ca="1">Calculation!U162</f>
        <v>-</v>
      </c>
      <c r="M181" s="180" t="str">
        <f ca="1">Calculation!V162</f>
        <v>-</v>
      </c>
      <c r="N181" s="181"/>
      <c r="O181" s="180" t="str">
        <f ca="1">Calculation!X162</f>
        <v>-</v>
      </c>
      <c r="P181" s="180" t="str">
        <f ca="1">Calculation!Y162</f>
        <v>-</v>
      </c>
      <c r="Q181" s="273"/>
      <c r="R181" s="182" t="str">
        <f ca="1">IF(AND(L181&lt;&gt;"-",Q181&lt;&gt;"bypass"),IFERROR(IF((U181*$R$23/0.05)-SUM(S181:U181)&gt;0,(U181*$R$23/0.05)-SUM(S181:U181),0),"-"),Calculation!AH162)</f>
        <v>-</v>
      </c>
      <c r="S181" s="179" t="str">
        <f ca="1">IF(AND(L181&lt;&gt;"-",Q181&lt;&gt;"bypass"),IFERROR(X181*((H181*10^-12-H181*10^-12*I181)/(Calculation!$U$8*10^-9)),"-"),Calculation!AF162)</f>
        <v>-</v>
      </c>
      <c r="T181" s="179" t="str">
        <f ca="1">IF(AND(L181&lt;&gt;"-",Q181&lt;&gt;"bypass"),IFERROR(H181*I181*X181/(IF(Cluster!AA181=Cluster!$W$8,Cluster!$W$10,IF(Cluster!AA181=Cluster!$X$8,Cluster!$X$10,IF(Cluster!AA181=Cluster!$Y$8,Cluster!$Y$10,0)))*10^3),"-"),Calculation!AK162)</f>
        <v>-</v>
      </c>
      <c r="U181" s="179" t="str">
        <f ca="1">IF(AND(L181&lt;&gt;"-",Q181&lt;&gt;"bypass"),IFERROR((0.5/50)*X181/$R$23,"-"),Calculation!AG162)</f>
        <v>-</v>
      </c>
      <c r="V181" s="179" t="str">
        <f ca="1">IF(AND(L181&lt;&gt;"-",Q181&lt;&gt;"bypass"),IFERROR(5/50*X181,"-"),Calculation!AI162)</f>
        <v>-</v>
      </c>
      <c r="W181" s="179" t="str">
        <f ca="1">IF(AND(L181&lt;&gt;"-",Q181&lt;&gt;"bypass"),IFERROR(35/50*X181,"-"),Calculation!AJ162)</f>
        <v>-</v>
      </c>
      <c r="X181" s="179" t="str">
        <f ca="1">IF(AND(L181&lt;&gt;"-",Q181&lt;&gt;"bypass"),$W$23,Calculation!AL162)</f>
        <v>-</v>
      </c>
      <c r="Y181" s="183" t="str">
        <f ca="1">IF(AND(L181&lt;&gt;"-",Q181&lt;&gt;"bypass"),IFERROR($R$23*U181/SUM(R181:U181),"-"),Calculation!AP162)</f>
        <v>-</v>
      </c>
      <c r="Z181" s="184" t="str">
        <f t="shared" ca="1" si="10"/>
        <v>-</v>
      </c>
      <c r="AA181" s="185" t="str">
        <f ca="1">IFERROR(IF(I181=0,"-",IF(AND(ROUND(H181*I181*X181/($W$10*10^3),1)&gt;=Calculation!$O$6,ROUND((((U181)*$R$23/0.05)-((S181)+(H181*I181*X181/($W$10*10^3))+(U181))),1)&gt;=0),Cluster!$W$8,IF(AND(ROUND(H181*I181*X181/($X$10*10^3),1)&gt;=Calculation!$O$6,ROUND((((U181)*$R$23/0.05)-((S181)+(H181*I181*X181/($X$10*10^3))+(U181))),1)&gt;=0),Cluster!$X$8,IF(AND(ROUND(H181*I181*X181/($Y$10*10^3),1)&gt;=Calculation!$O$6,ROUND((((U181)*$R$23/0.05)-((S181)+(H181*I181*X181/($Y$10*10^3))+(U181))),1)&gt;=0),Cluster!$Y$8,"Recepie by hand needed")))),"-")</f>
        <v>-</v>
      </c>
      <c r="AC181" s="37" t="str">
        <f t="shared" ca="1" si="11"/>
        <v>-</v>
      </c>
      <c r="AD181" s="37" t="str">
        <f t="shared" ca="1" si="12"/>
        <v>-</v>
      </c>
      <c r="AE181" s="220" t="str">
        <f t="shared" ca="1" si="13"/>
        <v>-</v>
      </c>
      <c r="AF181" s="37" t="str">
        <f t="shared" ca="1" si="14"/>
        <v>-</v>
      </c>
    </row>
    <row r="182" spans="1:32" ht="14.25" x14ac:dyDescent="0.5">
      <c r="A182" s="170" t="str">
        <f>Calculation!I163</f>
        <v/>
      </c>
      <c r="B182" s="221" t="str">
        <f ca="1">Calculation!B163</f>
        <v/>
      </c>
      <c r="C182" s="221" t="str">
        <f ca="1">Calculation!C163</f>
        <v/>
      </c>
      <c r="D182" s="172" t="str">
        <f ca="1">Calculation!AN163</f>
        <v/>
      </c>
      <c r="E182" s="173" t="str">
        <f ca="1">Calculation!D163</f>
        <v/>
      </c>
      <c r="F182" s="174" t="str">
        <f ca="1">Calculation!C163</f>
        <v/>
      </c>
      <c r="G182" s="175" t="str">
        <f ca="1">Calculation!F163</f>
        <v/>
      </c>
      <c r="H182" s="176" t="str">
        <f ca="1">Calculation!AD163</f>
        <v/>
      </c>
      <c r="I182" s="177" t="str">
        <f ca="1">Calculation!AE163</f>
        <v/>
      </c>
      <c r="J182" s="272" t="str">
        <f ca="1">IF(Calculation!Q163="","Selection",Calculation!Q163)</f>
        <v>Selection</v>
      </c>
      <c r="K182" s="179" t="str">
        <f ca="1">Calculation!T163</f>
        <v/>
      </c>
      <c r="L182" s="180" t="str">
        <f ca="1">Calculation!U163</f>
        <v>-</v>
      </c>
      <c r="M182" s="180" t="str">
        <f ca="1">Calculation!V163</f>
        <v>-</v>
      </c>
      <c r="N182" s="181"/>
      <c r="O182" s="180" t="str">
        <f ca="1">Calculation!X163</f>
        <v>-</v>
      </c>
      <c r="P182" s="180" t="str">
        <f ca="1">Calculation!Y163</f>
        <v>-</v>
      </c>
      <c r="Q182" s="273"/>
      <c r="R182" s="182" t="str">
        <f ca="1">IF(AND(L182&lt;&gt;"-",Q182&lt;&gt;"bypass"),IFERROR(IF((U182*$R$23/0.05)-SUM(S182:U182)&gt;0,(U182*$R$23/0.05)-SUM(S182:U182),0),"-"),Calculation!AH163)</f>
        <v>-</v>
      </c>
      <c r="S182" s="179" t="str">
        <f ca="1">IF(AND(L182&lt;&gt;"-",Q182&lt;&gt;"bypass"),IFERROR(X182*((H182*10^-12-H182*10^-12*I182)/(Calculation!$U$8*10^-9)),"-"),Calculation!AF163)</f>
        <v>-</v>
      </c>
      <c r="T182" s="179" t="str">
        <f ca="1">IF(AND(L182&lt;&gt;"-",Q182&lt;&gt;"bypass"),IFERROR(H182*I182*X182/(IF(Cluster!AA182=Cluster!$W$8,Cluster!$W$10,IF(Cluster!AA182=Cluster!$X$8,Cluster!$X$10,IF(Cluster!AA182=Cluster!$Y$8,Cluster!$Y$10,0)))*10^3),"-"),Calculation!AK163)</f>
        <v>-</v>
      </c>
      <c r="U182" s="179" t="str">
        <f ca="1">IF(AND(L182&lt;&gt;"-",Q182&lt;&gt;"bypass"),IFERROR((0.5/50)*X182/$R$23,"-"),Calculation!AG163)</f>
        <v>-</v>
      </c>
      <c r="V182" s="179" t="str">
        <f ca="1">IF(AND(L182&lt;&gt;"-",Q182&lt;&gt;"bypass"),IFERROR(5/50*X182,"-"),Calculation!AI163)</f>
        <v>-</v>
      </c>
      <c r="W182" s="179" t="str">
        <f ca="1">IF(AND(L182&lt;&gt;"-",Q182&lt;&gt;"bypass"),IFERROR(35/50*X182,"-"),Calculation!AJ163)</f>
        <v>-</v>
      </c>
      <c r="X182" s="179" t="str">
        <f ca="1">IF(AND(L182&lt;&gt;"-",Q182&lt;&gt;"bypass"),$W$23,Calculation!AL163)</f>
        <v>-</v>
      </c>
      <c r="Y182" s="183" t="str">
        <f ca="1">IF(AND(L182&lt;&gt;"-",Q182&lt;&gt;"bypass"),IFERROR($R$23*U182/SUM(R182:U182),"-"),Calculation!AP163)</f>
        <v>-</v>
      </c>
      <c r="Z182" s="184" t="str">
        <f t="shared" ca="1" si="10"/>
        <v>-</v>
      </c>
      <c r="AA182" s="185" t="str">
        <f ca="1">IFERROR(IF(I182=0,"-",IF(AND(ROUND(H182*I182*X182/($W$10*10^3),1)&gt;=Calculation!$O$6,ROUND((((U182)*$R$23/0.05)-((S182)+(H182*I182*X182/($W$10*10^3))+(U182))),1)&gt;=0),Cluster!$W$8,IF(AND(ROUND(H182*I182*X182/($X$10*10^3),1)&gt;=Calculation!$O$6,ROUND((((U182)*$R$23/0.05)-((S182)+(H182*I182*X182/($X$10*10^3))+(U182))),1)&gt;=0),Cluster!$X$8,IF(AND(ROUND(H182*I182*X182/($Y$10*10^3),1)&gt;=Calculation!$O$6,ROUND((((U182)*$R$23/0.05)-((S182)+(H182*I182*X182/($Y$10*10^3))+(U182))),1)&gt;=0),Cluster!$Y$8,"Recepie by hand needed")))),"-")</f>
        <v>-</v>
      </c>
      <c r="AC182" s="37" t="str">
        <f t="shared" ca="1" si="11"/>
        <v>-</v>
      </c>
      <c r="AD182" s="37" t="str">
        <f t="shared" ca="1" si="12"/>
        <v>-</v>
      </c>
      <c r="AE182" s="220" t="str">
        <f t="shared" ca="1" si="13"/>
        <v>-</v>
      </c>
      <c r="AF182" s="37" t="str">
        <f t="shared" ca="1" si="14"/>
        <v>-</v>
      </c>
    </row>
    <row r="183" spans="1:32" ht="14.25" x14ac:dyDescent="0.5">
      <c r="A183" s="170" t="str">
        <f>Calculation!I164</f>
        <v/>
      </c>
      <c r="B183" s="221" t="str">
        <f ca="1">Calculation!B164</f>
        <v/>
      </c>
      <c r="C183" s="221" t="str">
        <f ca="1">Calculation!C164</f>
        <v/>
      </c>
      <c r="D183" s="172" t="str">
        <f ca="1">Calculation!AN164</f>
        <v/>
      </c>
      <c r="E183" s="173" t="str">
        <f ca="1">Calculation!D164</f>
        <v/>
      </c>
      <c r="F183" s="174" t="str">
        <f ca="1">Calculation!C164</f>
        <v/>
      </c>
      <c r="G183" s="175" t="str">
        <f ca="1">Calculation!F164</f>
        <v/>
      </c>
      <c r="H183" s="176" t="str">
        <f ca="1">Calculation!AD164</f>
        <v/>
      </c>
      <c r="I183" s="177" t="str">
        <f ca="1">Calculation!AE164</f>
        <v/>
      </c>
      <c r="J183" s="272" t="str">
        <f ca="1">IF(Calculation!Q164="","Selection",Calculation!Q164)</f>
        <v>Selection</v>
      </c>
      <c r="K183" s="179" t="str">
        <f ca="1">Calculation!T164</f>
        <v/>
      </c>
      <c r="L183" s="180" t="str">
        <f ca="1">Calculation!U164</f>
        <v>-</v>
      </c>
      <c r="M183" s="180" t="str">
        <f ca="1">Calculation!V164</f>
        <v>-</v>
      </c>
      <c r="N183" s="181"/>
      <c r="O183" s="180" t="str">
        <f ca="1">Calculation!X164</f>
        <v>-</v>
      </c>
      <c r="P183" s="180" t="str">
        <f ca="1">Calculation!Y164</f>
        <v>-</v>
      </c>
      <c r="Q183" s="273"/>
      <c r="R183" s="182" t="str">
        <f ca="1">IF(AND(L183&lt;&gt;"-",Q183&lt;&gt;"bypass"),IFERROR(IF((U183*$R$23/0.05)-SUM(S183:U183)&gt;0,(U183*$R$23/0.05)-SUM(S183:U183),0),"-"),Calculation!AH164)</f>
        <v>-</v>
      </c>
      <c r="S183" s="179" t="str">
        <f ca="1">IF(AND(L183&lt;&gt;"-",Q183&lt;&gt;"bypass"),IFERROR(X183*((H183*10^-12-H183*10^-12*I183)/(Calculation!$U$8*10^-9)),"-"),Calculation!AF164)</f>
        <v>-</v>
      </c>
      <c r="T183" s="179" t="str">
        <f ca="1">IF(AND(L183&lt;&gt;"-",Q183&lt;&gt;"bypass"),IFERROR(H183*I183*X183/(IF(Cluster!AA183=Cluster!$W$8,Cluster!$W$10,IF(Cluster!AA183=Cluster!$X$8,Cluster!$X$10,IF(Cluster!AA183=Cluster!$Y$8,Cluster!$Y$10,0)))*10^3),"-"),Calculation!AK164)</f>
        <v>-</v>
      </c>
      <c r="U183" s="179" t="str">
        <f ca="1">IF(AND(L183&lt;&gt;"-",Q183&lt;&gt;"bypass"),IFERROR((0.5/50)*X183/$R$23,"-"),Calculation!AG164)</f>
        <v>-</v>
      </c>
      <c r="V183" s="179" t="str">
        <f ca="1">IF(AND(L183&lt;&gt;"-",Q183&lt;&gt;"bypass"),IFERROR(5/50*X183,"-"),Calculation!AI164)</f>
        <v>-</v>
      </c>
      <c r="W183" s="179" t="str">
        <f ca="1">IF(AND(L183&lt;&gt;"-",Q183&lt;&gt;"bypass"),IFERROR(35/50*X183,"-"),Calculation!AJ164)</f>
        <v>-</v>
      </c>
      <c r="X183" s="179" t="str">
        <f ca="1">IF(AND(L183&lt;&gt;"-",Q183&lt;&gt;"bypass"),$W$23,Calculation!AL164)</f>
        <v>-</v>
      </c>
      <c r="Y183" s="183" t="str">
        <f ca="1">IF(AND(L183&lt;&gt;"-",Q183&lt;&gt;"bypass"),IFERROR($R$23*U183/SUM(R183:U183),"-"),Calculation!AP164)</f>
        <v>-</v>
      </c>
      <c r="Z183" s="184" t="str">
        <f t="shared" ca="1" si="10"/>
        <v>-</v>
      </c>
      <c r="AA183" s="185" t="str">
        <f ca="1">IFERROR(IF(I183=0,"-",IF(AND(ROUND(H183*I183*X183/($W$10*10^3),1)&gt;=Calculation!$O$6,ROUND((((U183)*$R$23/0.05)-((S183)+(H183*I183*X183/($W$10*10^3))+(U183))),1)&gt;=0),Cluster!$W$8,IF(AND(ROUND(H183*I183*X183/($X$10*10^3),1)&gt;=Calculation!$O$6,ROUND((((U183)*$R$23/0.05)-((S183)+(H183*I183*X183/($X$10*10^3))+(U183))),1)&gt;=0),Cluster!$X$8,IF(AND(ROUND(H183*I183*X183/($Y$10*10^3),1)&gt;=Calculation!$O$6,ROUND((((U183)*$R$23/0.05)-((S183)+(H183*I183*X183/($Y$10*10^3))+(U183))),1)&gt;=0),Cluster!$Y$8,"Recepie by hand needed")))),"-")</f>
        <v>-</v>
      </c>
      <c r="AC183" s="37" t="str">
        <f t="shared" ca="1" si="11"/>
        <v>-</v>
      </c>
      <c r="AD183" s="37" t="str">
        <f t="shared" ca="1" si="12"/>
        <v>-</v>
      </c>
      <c r="AE183" s="220" t="str">
        <f t="shared" ca="1" si="13"/>
        <v>-</v>
      </c>
      <c r="AF183" s="37" t="str">
        <f t="shared" ca="1" si="14"/>
        <v>-</v>
      </c>
    </row>
    <row r="184" spans="1:32" ht="14.25" x14ac:dyDescent="0.5">
      <c r="A184" s="170" t="str">
        <f>Calculation!I165</f>
        <v/>
      </c>
      <c r="B184" s="221" t="str">
        <f ca="1">Calculation!B165</f>
        <v/>
      </c>
      <c r="C184" s="221" t="str">
        <f ca="1">Calculation!C165</f>
        <v/>
      </c>
      <c r="D184" s="172" t="str">
        <f ca="1">Calculation!AN165</f>
        <v/>
      </c>
      <c r="E184" s="173" t="str">
        <f ca="1">Calculation!D165</f>
        <v/>
      </c>
      <c r="F184" s="174" t="str">
        <f ca="1">Calculation!C165</f>
        <v/>
      </c>
      <c r="G184" s="175" t="str">
        <f ca="1">Calculation!F165</f>
        <v/>
      </c>
      <c r="H184" s="176" t="str">
        <f ca="1">Calculation!AD165</f>
        <v/>
      </c>
      <c r="I184" s="177" t="str">
        <f ca="1">Calculation!AE165</f>
        <v/>
      </c>
      <c r="J184" s="272" t="str">
        <f ca="1">IF(Calculation!Q165="","Selection",Calculation!Q165)</f>
        <v>Selection</v>
      </c>
      <c r="K184" s="179" t="str">
        <f ca="1">Calculation!T165</f>
        <v/>
      </c>
      <c r="L184" s="180" t="str">
        <f ca="1">Calculation!U165</f>
        <v>-</v>
      </c>
      <c r="M184" s="180" t="str">
        <f ca="1">Calculation!V165</f>
        <v>-</v>
      </c>
      <c r="N184" s="181"/>
      <c r="O184" s="180" t="str">
        <f ca="1">Calculation!X165</f>
        <v>-</v>
      </c>
      <c r="P184" s="180" t="str">
        <f ca="1">Calculation!Y165</f>
        <v>-</v>
      </c>
      <c r="Q184" s="273"/>
      <c r="R184" s="182" t="str">
        <f ca="1">IF(AND(L184&lt;&gt;"-",Q184&lt;&gt;"bypass"),IFERROR(IF((U184*$R$23/0.05)-SUM(S184:U184)&gt;0,(U184*$R$23/0.05)-SUM(S184:U184),0),"-"),Calculation!AH165)</f>
        <v>-</v>
      </c>
      <c r="S184" s="179" t="str">
        <f ca="1">IF(AND(L184&lt;&gt;"-",Q184&lt;&gt;"bypass"),IFERROR(X184*((H184*10^-12-H184*10^-12*I184)/(Calculation!$U$8*10^-9)),"-"),Calculation!AF165)</f>
        <v>-</v>
      </c>
      <c r="T184" s="179" t="str">
        <f ca="1">IF(AND(L184&lt;&gt;"-",Q184&lt;&gt;"bypass"),IFERROR(H184*I184*X184/(IF(Cluster!AA184=Cluster!$W$8,Cluster!$W$10,IF(Cluster!AA184=Cluster!$X$8,Cluster!$X$10,IF(Cluster!AA184=Cluster!$Y$8,Cluster!$Y$10,0)))*10^3),"-"),Calculation!AK165)</f>
        <v>-</v>
      </c>
      <c r="U184" s="179" t="str">
        <f ca="1">IF(AND(L184&lt;&gt;"-",Q184&lt;&gt;"bypass"),IFERROR((0.5/50)*X184/$R$23,"-"),Calculation!AG165)</f>
        <v>-</v>
      </c>
      <c r="V184" s="179" t="str">
        <f ca="1">IF(AND(L184&lt;&gt;"-",Q184&lt;&gt;"bypass"),IFERROR(5/50*X184,"-"),Calculation!AI165)</f>
        <v>-</v>
      </c>
      <c r="W184" s="179" t="str">
        <f ca="1">IF(AND(L184&lt;&gt;"-",Q184&lt;&gt;"bypass"),IFERROR(35/50*X184,"-"),Calculation!AJ165)</f>
        <v>-</v>
      </c>
      <c r="X184" s="179" t="str">
        <f ca="1">IF(AND(L184&lt;&gt;"-",Q184&lt;&gt;"bypass"),$W$23,Calculation!AL165)</f>
        <v>-</v>
      </c>
      <c r="Y184" s="183" t="str">
        <f ca="1">IF(AND(L184&lt;&gt;"-",Q184&lt;&gt;"bypass"),IFERROR($R$23*U184/SUM(R184:U184),"-"),Calculation!AP165)</f>
        <v>-</v>
      </c>
      <c r="Z184" s="184" t="str">
        <f t="shared" ca="1" si="10"/>
        <v>-</v>
      </c>
      <c r="AA184" s="185" t="str">
        <f ca="1">IFERROR(IF(I184=0,"-",IF(AND(ROUND(H184*I184*X184/($W$10*10^3),1)&gt;=Calculation!$O$6,ROUND((((U184)*$R$23/0.05)-((S184)+(H184*I184*X184/($W$10*10^3))+(U184))),1)&gt;=0),Cluster!$W$8,IF(AND(ROUND(H184*I184*X184/($X$10*10^3),1)&gt;=Calculation!$O$6,ROUND((((U184)*$R$23/0.05)-((S184)+(H184*I184*X184/($X$10*10^3))+(U184))),1)&gt;=0),Cluster!$X$8,IF(AND(ROUND(H184*I184*X184/($Y$10*10^3),1)&gt;=Calculation!$O$6,ROUND((((U184)*$R$23/0.05)-((S184)+(H184*I184*X184/($Y$10*10^3))+(U184))),1)&gt;=0),Cluster!$Y$8,"Recepie by hand needed")))),"-")</f>
        <v>-</v>
      </c>
      <c r="AC184" s="37" t="str">
        <f t="shared" ca="1" si="11"/>
        <v>-</v>
      </c>
      <c r="AD184" s="37" t="str">
        <f t="shared" ca="1" si="12"/>
        <v>-</v>
      </c>
      <c r="AE184" s="220" t="str">
        <f t="shared" ca="1" si="13"/>
        <v>-</v>
      </c>
      <c r="AF184" s="37" t="str">
        <f t="shared" ca="1" si="14"/>
        <v>-</v>
      </c>
    </row>
    <row r="185" spans="1:32" ht="14.25" x14ac:dyDescent="0.5">
      <c r="A185" s="170" t="str">
        <f>Calculation!I166</f>
        <v/>
      </c>
      <c r="B185" s="221" t="str">
        <f ca="1">Calculation!B166</f>
        <v/>
      </c>
      <c r="C185" s="221" t="str">
        <f ca="1">Calculation!C166</f>
        <v/>
      </c>
      <c r="D185" s="172" t="str">
        <f ca="1">Calculation!AN166</f>
        <v/>
      </c>
      <c r="E185" s="173" t="str">
        <f ca="1">Calculation!D166</f>
        <v/>
      </c>
      <c r="F185" s="174" t="str">
        <f ca="1">Calculation!C166</f>
        <v/>
      </c>
      <c r="G185" s="175" t="str">
        <f ca="1">Calculation!F166</f>
        <v/>
      </c>
      <c r="H185" s="176" t="str">
        <f ca="1">Calculation!AD166</f>
        <v/>
      </c>
      <c r="I185" s="177" t="str">
        <f ca="1">Calculation!AE166</f>
        <v/>
      </c>
      <c r="J185" s="272" t="str">
        <f ca="1">IF(Calculation!Q166="","Selection",Calculation!Q166)</f>
        <v>Selection</v>
      </c>
      <c r="K185" s="179" t="str">
        <f ca="1">Calculation!T166</f>
        <v/>
      </c>
      <c r="L185" s="180" t="str">
        <f ca="1">Calculation!U166</f>
        <v>-</v>
      </c>
      <c r="M185" s="180" t="str">
        <f ca="1">Calculation!V166</f>
        <v>-</v>
      </c>
      <c r="N185" s="181"/>
      <c r="O185" s="180" t="str">
        <f ca="1">Calculation!X166</f>
        <v>-</v>
      </c>
      <c r="P185" s="180" t="str">
        <f ca="1">Calculation!Y166</f>
        <v>-</v>
      </c>
      <c r="Q185" s="273"/>
      <c r="R185" s="182" t="str">
        <f ca="1">IF(AND(L185&lt;&gt;"-",Q185&lt;&gt;"bypass"),IFERROR(IF((U185*$R$23/0.05)-SUM(S185:U185)&gt;0,(U185*$R$23/0.05)-SUM(S185:U185),0),"-"),Calculation!AH166)</f>
        <v>-</v>
      </c>
      <c r="S185" s="179" t="str">
        <f ca="1">IF(AND(L185&lt;&gt;"-",Q185&lt;&gt;"bypass"),IFERROR(X185*((H185*10^-12-H185*10^-12*I185)/(Calculation!$U$8*10^-9)),"-"),Calculation!AF166)</f>
        <v>-</v>
      </c>
      <c r="T185" s="179" t="str">
        <f ca="1">IF(AND(L185&lt;&gt;"-",Q185&lt;&gt;"bypass"),IFERROR(H185*I185*X185/(IF(Cluster!AA185=Cluster!$W$8,Cluster!$W$10,IF(Cluster!AA185=Cluster!$X$8,Cluster!$X$10,IF(Cluster!AA185=Cluster!$Y$8,Cluster!$Y$10,0)))*10^3),"-"),Calculation!AK166)</f>
        <v>-</v>
      </c>
      <c r="U185" s="179" t="str">
        <f ca="1">IF(AND(L185&lt;&gt;"-",Q185&lt;&gt;"bypass"),IFERROR((0.5/50)*X185/$R$23,"-"),Calculation!AG166)</f>
        <v>-</v>
      </c>
      <c r="V185" s="179" t="str">
        <f ca="1">IF(AND(L185&lt;&gt;"-",Q185&lt;&gt;"bypass"),IFERROR(5/50*X185,"-"),Calculation!AI166)</f>
        <v>-</v>
      </c>
      <c r="W185" s="179" t="str">
        <f ca="1">IF(AND(L185&lt;&gt;"-",Q185&lt;&gt;"bypass"),IFERROR(35/50*X185,"-"),Calculation!AJ166)</f>
        <v>-</v>
      </c>
      <c r="X185" s="179" t="str">
        <f ca="1">IF(AND(L185&lt;&gt;"-",Q185&lt;&gt;"bypass"),$W$23,Calculation!AL166)</f>
        <v>-</v>
      </c>
      <c r="Y185" s="183" t="str">
        <f ca="1">IF(AND(L185&lt;&gt;"-",Q185&lt;&gt;"bypass"),IFERROR($R$23*U185/SUM(R185:U185),"-"),Calculation!AP166)</f>
        <v>-</v>
      </c>
      <c r="Z185" s="184" t="str">
        <f t="shared" ca="1" si="10"/>
        <v>-</v>
      </c>
      <c r="AA185" s="185" t="str">
        <f ca="1">IFERROR(IF(I185=0,"-",IF(AND(ROUND(H185*I185*X185/($W$10*10^3),1)&gt;=Calculation!$O$6,ROUND((((U185)*$R$23/0.05)-((S185)+(H185*I185*X185/($W$10*10^3))+(U185))),1)&gt;=0),Cluster!$W$8,IF(AND(ROUND(H185*I185*X185/($X$10*10^3),1)&gt;=Calculation!$O$6,ROUND((((U185)*$R$23/0.05)-((S185)+(H185*I185*X185/($X$10*10^3))+(U185))),1)&gt;=0),Cluster!$X$8,IF(AND(ROUND(H185*I185*X185/($Y$10*10^3),1)&gt;=Calculation!$O$6,ROUND((((U185)*$R$23/0.05)-((S185)+(H185*I185*X185/($Y$10*10^3))+(U185))),1)&gt;=0),Cluster!$Y$8,"Recepie by hand needed")))),"-")</f>
        <v>-</v>
      </c>
      <c r="AC185" s="37" t="str">
        <f t="shared" ca="1" si="11"/>
        <v>-</v>
      </c>
      <c r="AD185" s="37" t="str">
        <f t="shared" ca="1" si="12"/>
        <v>-</v>
      </c>
      <c r="AE185" s="220" t="str">
        <f t="shared" ca="1" si="13"/>
        <v>-</v>
      </c>
      <c r="AF185" s="37" t="str">
        <f t="shared" ca="1" si="14"/>
        <v>-</v>
      </c>
    </row>
    <row r="186" spans="1:32" ht="14.25" x14ac:dyDescent="0.5">
      <c r="A186" s="170" t="str">
        <f>Calculation!I167</f>
        <v/>
      </c>
      <c r="B186" s="221" t="str">
        <f ca="1">Calculation!B167</f>
        <v/>
      </c>
      <c r="C186" s="221" t="str">
        <f ca="1">Calculation!C167</f>
        <v/>
      </c>
      <c r="D186" s="172" t="str">
        <f ca="1">Calculation!AN167</f>
        <v/>
      </c>
      <c r="E186" s="173" t="str">
        <f ca="1">Calculation!D167</f>
        <v/>
      </c>
      <c r="F186" s="174" t="str">
        <f ca="1">Calculation!C167</f>
        <v/>
      </c>
      <c r="G186" s="175" t="str">
        <f ca="1">Calculation!F167</f>
        <v/>
      </c>
      <c r="H186" s="176" t="str">
        <f ca="1">Calculation!AD167</f>
        <v/>
      </c>
      <c r="I186" s="177" t="str">
        <f ca="1">Calculation!AE167</f>
        <v/>
      </c>
      <c r="J186" s="272" t="str">
        <f ca="1">IF(Calculation!Q167="","Selection",Calculation!Q167)</f>
        <v>Selection</v>
      </c>
      <c r="K186" s="179" t="str">
        <f ca="1">Calculation!T167</f>
        <v/>
      </c>
      <c r="L186" s="180" t="str">
        <f ca="1">Calculation!U167</f>
        <v>-</v>
      </c>
      <c r="M186" s="180" t="str">
        <f ca="1">Calculation!V167</f>
        <v>-</v>
      </c>
      <c r="N186" s="181"/>
      <c r="O186" s="180" t="str">
        <f ca="1">Calculation!X167</f>
        <v>-</v>
      </c>
      <c r="P186" s="180" t="str">
        <f ca="1">Calculation!Y167</f>
        <v>-</v>
      </c>
      <c r="Q186" s="273"/>
      <c r="R186" s="182" t="str">
        <f ca="1">IF(AND(L186&lt;&gt;"-",Q186&lt;&gt;"bypass"),IFERROR(IF((U186*$R$23/0.05)-SUM(S186:U186)&gt;0,(U186*$R$23/0.05)-SUM(S186:U186),0),"-"),Calculation!AH167)</f>
        <v>-</v>
      </c>
      <c r="S186" s="179" t="str">
        <f ca="1">IF(AND(L186&lt;&gt;"-",Q186&lt;&gt;"bypass"),IFERROR(X186*((H186*10^-12-H186*10^-12*I186)/(Calculation!$U$8*10^-9)),"-"),Calculation!AF167)</f>
        <v>-</v>
      </c>
      <c r="T186" s="179" t="str">
        <f ca="1">IF(AND(L186&lt;&gt;"-",Q186&lt;&gt;"bypass"),IFERROR(H186*I186*X186/(IF(Cluster!AA186=Cluster!$W$8,Cluster!$W$10,IF(Cluster!AA186=Cluster!$X$8,Cluster!$X$10,IF(Cluster!AA186=Cluster!$Y$8,Cluster!$Y$10,0)))*10^3),"-"),Calculation!AK167)</f>
        <v>-</v>
      </c>
      <c r="U186" s="179" t="str">
        <f ca="1">IF(AND(L186&lt;&gt;"-",Q186&lt;&gt;"bypass"),IFERROR((0.5/50)*X186/$R$23,"-"),Calculation!AG167)</f>
        <v>-</v>
      </c>
      <c r="V186" s="179" t="str">
        <f ca="1">IF(AND(L186&lt;&gt;"-",Q186&lt;&gt;"bypass"),IFERROR(5/50*X186,"-"),Calculation!AI167)</f>
        <v>-</v>
      </c>
      <c r="W186" s="179" t="str">
        <f ca="1">IF(AND(L186&lt;&gt;"-",Q186&lt;&gt;"bypass"),IFERROR(35/50*X186,"-"),Calculation!AJ167)</f>
        <v>-</v>
      </c>
      <c r="X186" s="179" t="str">
        <f ca="1">IF(AND(L186&lt;&gt;"-",Q186&lt;&gt;"bypass"),$W$23,Calculation!AL167)</f>
        <v>-</v>
      </c>
      <c r="Y186" s="183" t="str">
        <f ca="1">IF(AND(L186&lt;&gt;"-",Q186&lt;&gt;"bypass"),IFERROR($R$23*U186/SUM(R186:U186),"-"),Calculation!AP167)</f>
        <v>-</v>
      </c>
      <c r="Z186" s="184" t="str">
        <f t="shared" ca="1" si="10"/>
        <v>-</v>
      </c>
      <c r="AA186" s="185" t="str">
        <f ca="1">IFERROR(IF(I186=0,"-",IF(AND(ROUND(H186*I186*X186/($W$10*10^3),1)&gt;=Calculation!$O$6,ROUND((((U186)*$R$23/0.05)-((S186)+(H186*I186*X186/($W$10*10^3))+(U186))),1)&gt;=0),Cluster!$W$8,IF(AND(ROUND(H186*I186*X186/($X$10*10^3),1)&gt;=Calculation!$O$6,ROUND((((U186)*$R$23/0.05)-((S186)+(H186*I186*X186/($X$10*10^3))+(U186))),1)&gt;=0),Cluster!$X$8,IF(AND(ROUND(H186*I186*X186/($Y$10*10^3),1)&gt;=Calculation!$O$6,ROUND((((U186)*$R$23/0.05)-((S186)+(H186*I186*X186/($Y$10*10^3))+(U186))),1)&gt;=0),Cluster!$Y$8,"Recepie by hand needed")))),"-")</f>
        <v>-</v>
      </c>
      <c r="AC186" s="37" t="str">
        <f t="shared" ca="1" si="11"/>
        <v>-</v>
      </c>
      <c r="AD186" s="37" t="str">
        <f t="shared" ca="1" si="12"/>
        <v>-</v>
      </c>
      <c r="AE186" s="220" t="str">
        <f t="shared" ca="1" si="13"/>
        <v>-</v>
      </c>
      <c r="AF186" s="37" t="str">
        <f t="shared" ca="1" si="14"/>
        <v>-</v>
      </c>
    </row>
    <row r="187" spans="1:32" ht="14.25" x14ac:dyDescent="0.5">
      <c r="A187" s="170" t="str">
        <f>Calculation!I168</f>
        <v/>
      </c>
      <c r="B187" s="221" t="str">
        <f ca="1">Calculation!B168</f>
        <v/>
      </c>
      <c r="C187" s="221" t="str">
        <f ca="1">Calculation!C168</f>
        <v/>
      </c>
      <c r="D187" s="172" t="str">
        <f ca="1">Calculation!AN168</f>
        <v/>
      </c>
      <c r="E187" s="173" t="str">
        <f ca="1">Calculation!D168</f>
        <v/>
      </c>
      <c r="F187" s="174" t="str">
        <f ca="1">Calculation!C168</f>
        <v/>
      </c>
      <c r="G187" s="175" t="str">
        <f ca="1">Calculation!F168</f>
        <v/>
      </c>
      <c r="H187" s="176" t="str">
        <f ca="1">Calculation!AD168</f>
        <v/>
      </c>
      <c r="I187" s="177" t="str">
        <f ca="1">Calculation!AE168</f>
        <v/>
      </c>
      <c r="J187" s="272" t="str">
        <f ca="1">IF(Calculation!Q168="","Selection",Calculation!Q168)</f>
        <v>Selection</v>
      </c>
      <c r="K187" s="179" t="str">
        <f ca="1">Calculation!T168</f>
        <v/>
      </c>
      <c r="L187" s="180" t="str">
        <f ca="1">Calculation!U168</f>
        <v>-</v>
      </c>
      <c r="M187" s="180" t="str">
        <f ca="1">Calculation!V168</f>
        <v>-</v>
      </c>
      <c r="N187" s="181"/>
      <c r="O187" s="180" t="str">
        <f ca="1">Calculation!X168</f>
        <v>-</v>
      </c>
      <c r="P187" s="180" t="str">
        <f ca="1">Calculation!Y168</f>
        <v>-</v>
      </c>
      <c r="Q187" s="273"/>
      <c r="R187" s="182" t="str">
        <f ca="1">IF(AND(L187&lt;&gt;"-",Q187&lt;&gt;"bypass"),IFERROR(IF((U187*$R$23/0.05)-SUM(S187:U187)&gt;0,(U187*$R$23/0.05)-SUM(S187:U187),0),"-"),Calculation!AH168)</f>
        <v>-</v>
      </c>
      <c r="S187" s="179" t="str">
        <f ca="1">IF(AND(L187&lt;&gt;"-",Q187&lt;&gt;"bypass"),IFERROR(X187*((H187*10^-12-H187*10^-12*I187)/(Calculation!$U$8*10^-9)),"-"),Calculation!AF168)</f>
        <v>-</v>
      </c>
      <c r="T187" s="179" t="str">
        <f ca="1">IF(AND(L187&lt;&gt;"-",Q187&lt;&gt;"bypass"),IFERROR(H187*I187*X187/(IF(Cluster!AA187=Cluster!$W$8,Cluster!$W$10,IF(Cluster!AA187=Cluster!$X$8,Cluster!$X$10,IF(Cluster!AA187=Cluster!$Y$8,Cluster!$Y$10,0)))*10^3),"-"),Calculation!AK168)</f>
        <v>-</v>
      </c>
      <c r="U187" s="179" t="str">
        <f ca="1">IF(AND(L187&lt;&gt;"-",Q187&lt;&gt;"bypass"),IFERROR((0.5/50)*X187/$R$23,"-"),Calculation!AG168)</f>
        <v>-</v>
      </c>
      <c r="V187" s="179" t="str">
        <f ca="1">IF(AND(L187&lt;&gt;"-",Q187&lt;&gt;"bypass"),IFERROR(5/50*X187,"-"),Calculation!AI168)</f>
        <v>-</v>
      </c>
      <c r="W187" s="179" t="str">
        <f ca="1">IF(AND(L187&lt;&gt;"-",Q187&lt;&gt;"bypass"),IFERROR(35/50*X187,"-"),Calculation!AJ168)</f>
        <v>-</v>
      </c>
      <c r="X187" s="179" t="str">
        <f ca="1">IF(AND(L187&lt;&gt;"-",Q187&lt;&gt;"bypass"),$W$23,Calculation!AL168)</f>
        <v>-</v>
      </c>
      <c r="Y187" s="183" t="str">
        <f ca="1">IF(AND(L187&lt;&gt;"-",Q187&lt;&gt;"bypass"),IFERROR($R$23*U187/SUM(R187:U187),"-"),Calculation!AP168)</f>
        <v>-</v>
      </c>
      <c r="Z187" s="184" t="str">
        <f t="shared" ca="1" si="10"/>
        <v>-</v>
      </c>
      <c r="AA187" s="185" t="str">
        <f ca="1">IFERROR(IF(I187=0,"-",IF(AND(ROUND(H187*I187*X187/($W$10*10^3),1)&gt;=Calculation!$O$6,ROUND((((U187)*$R$23/0.05)-((S187)+(H187*I187*X187/($W$10*10^3))+(U187))),1)&gt;=0),Cluster!$W$8,IF(AND(ROUND(H187*I187*X187/($X$10*10^3),1)&gt;=Calculation!$O$6,ROUND((((U187)*$R$23/0.05)-((S187)+(H187*I187*X187/($X$10*10^3))+(U187))),1)&gt;=0),Cluster!$X$8,IF(AND(ROUND(H187*I187*X187/($Y$10*10^3),1)&gt;=Calculation!$O$6,ROUND((((U187)*$R$23/0.05)-((S187)+(H187*I187*X187/($Y$10*10^3))+(U187))),1)&gt;=0),Cluster!$Y$8,"Recepie by hand needed")))),"-")</f>
        <v>-</v>
      </c>
      <c r="AC187" s="37" t="str">
        <f t="shared" ca="1" si="11"/>
        <v>-</v>
      </c>
      <c r="AD187" s="37" t="str">
        <f t="shared" ca="1" si="12"/>
        <v>-</v>
      </c>
      <c r="AE187" s="220" t="str">
        <f t="shared" ca="1" si="13"/>
        <v>-</v>
      </c>
      <c r="AF187" s="37" t="str">
        <f t="shared" ca="1" si="14"/>
        <v>-</v>
      </c>
    </row>
    <row r="188" spans="1:32" ht="14.25" x14ac:dyDescent="0.5">
      <c r="A188" s="170" t="str">
        <f>Calculation!I169</f>
        <v/>
      </c>
      <c r="B188" s="221" t="str">
        <f ca="1">Calculation!B169</f>
        <v/>
      </c>
      <c r="C188" s="221" t="str">
        <f ca="1">Calculation!C169</f>
        <v/>
      </c>
      <c r="D188" s="172" t="str">
        <f ca="1">Calculation!AN169</f>
        <v/>
      </c>
      <c r="E188" s="173" t="str">
        <f ca="1">Calculation!D169</f>
        <v/>
      </c>
      <c r="F188" s="174" t="str">
        <f ca="1">Calculation!C169</f>
        <v/>
      </c>
      <c r="G188" s="175" t="str">
        <f ca="1">Calculation!F169</f>
        <v/>
      </c>
      <c r="H188" s="176" t="str">
        <f ca="1">Calculation!AD169</f>
        <v/>
      </c>
      <c r="I188" s="177" t="str">
        <f ca="1">Calculation!AE169</f>
        <v/>
      </c>
      <c r="J188" s="272" t="str">
        <f ca="1">IF(Calculation!Q169="","Selection",Calculation!Q169)</f>
        <v>Selection</v>
      </c>
      <c r="K188" s="179" t="str">
        <f ca="1">Calculation!T169</f>
        <v/>
      </c>
      <c r="L188" s="180" t="str">
        <f ca="1">Calculation!U169</f>
        <v>-</v>
      </c>
      <c r="M188" s="180" t="str">
        <f ca="1">Calculation!V169</f>
        <v>-</v>
      </c>
      <c r="N188" s="181"/>
      <c r="O188" s="180" t="str">
        <f ca="1">Calculation!X169</f>
        <v>-</v>
      </c>
      <c r="P188" s="180" t="str">
        <f ca="1">Calculation!Y169</f>
        <v>-</v>
      </c>
      <c r="Q188" s="273"/>
      <c r="R188" s="182" t="str">
        <f ca="1">IF(AND(L188&lt;&gt;"-",Q188&lt;&gt;"bypass"),IFERROR(IF((U188*$R$23/0.05)-SUM(S188:U188)&gt;0,(U188*$R$23/0.05)-SUM(S188:U188),0),"-"),Calculation!AH169)</f>
        <v>-</v>
      </c>
      <c r="S188" s="179" t="str">
        <f ca="1">IF(AND(L188&lt;&gt;"-",Q188&lt;&gt;"bypass"),IFERROR(X188*((H188*10^-12-H188*10^-12*I188)/(Calculation!$U$8*10^-9)),"-"),Calculation!AF169)</f>
        <v>-</v>
      </c>
      <c r="T188" s="179" t="str">
        <f ca="1">IF(AND(L188&lt;&gt;"-",Q188&lt;&gt;"bypass"),IFERROR(H188*I188*X188/(IF(Cluster!AA188=Cluster!$W$8,Cluster!$W$10,IF(Cluster!AA188=Cluster!$X$8,Cluster!$X$10,IF(Cluster!AA188=Cluster!$Y$8,Cluster!$Y$10,0)))*10^3),"-"),Calculation!AK169)</f>
        <v>-</v>
      </c>
      <c r="U188" s="179" t="str">
        <f ca="1">IF(AND(L188&lt;&gt;"-",Q188&lt;&gt;"bypass"),IFERROR((0.5/50)*X188/$R$23,"-"),Calculation!AG169)</f>
        <v>-</v>
      </c>
      <c r="V188" s="179" t="str">
        <f ca="1">IF(AND(L188&lt;&gt;"-",Q188&lt;&gt;"bypass"),IFERROR(5/50*X188,"-"),Calculation!AI169)</f>
        <v>-</v>
      </c>
      <c r="W188" s="179" t="str">
        <f ca="1">IF(AND(L188&lt;&gt;"-",Q188&lt;&gt;"bypass"),IFERROR(35/50*X188,"-"),Calculation!AJ169)</f>
        <v>-</v>
      </c>
      <c r="X188" s="179" t="str">
        <f ca="1">IF(AND(L188&lt;&gt;"-",Q188&lt;&gt;"bypass"),$W$23,Calculation!AL169)</f>
        <v>-</v>
      </c>
      <c r="Y188" s="183" t="str">
        <f ca="1">IF(AND(L188&lt;&gt;"-",Q188&lt;&gt;"bypass"),IFERROR($R$23*U188/SUM(R188:U188),"-"),Calculation!AP169)</f>
        <v>-</v>
      </c>
      <c r="Z188" s="184" t="str">
        <f t="shared" ca="1" si="10"/>
        <v>-</v>
      </c>
      <c r="AA188" s="185" t="str">
        <f ca="1">IFERROR(IF(I188=0,"-",IF(AND(ROUND(H188*I188*X188/($W$10*10^3),1)&gt;=Calculation!$O$6,ROUND((((U188)*$R$23/0.05)-((S188)+(H188*I188*X188/($W$10*10^3))+(U188))),1)&gt;=0),Cluster!$W$8,IF(AND(ROUND(H188*I188*X188/($X$10*10^3),1)&gt;=Calculation!$O$6,ROUND((((U188)*$R$23/0.05)-((S188)+(H188*I188*X188/($X$10*10^3))+(U188))),1)&gt;=0),Cluster!$X$8,IF(AND(ROUND(H188*I188*X188/($Y$10*10^3),1)&gt;=Calculation!$O$6,ROUND((((U188)*$R$23/0.05)-((S188)+(H188*I188*X188/($Y$10*10^3))+(U188))),1)&gt;=0),Cluster!$Y$8,"Recepie by hand needed")))),"-")</f>
        <v>-</v>
      </c>
      <c r="AC188" s="37" t="str">
        <f t="shared" ca="1" si="11"/>
        <v>-</v>
      </c>
      <c r="AD188" s="37" t="str">
        <f t="shared" ca="1" si="12"/>
        <v>-</v>
      </c>
      <c r="AE188" s="220" t="str">
        <f t="shared" ca="1" si="13"/>
        <v>-</v>
      </c>
      <c r="AF188" s="37" t="str">
        <f t="shared" ca="1" si="14"/>
        <v>-</v>
      </c>
    </row>
    <row r="189" spans="1:32" ht="14.25" x14ac:dyDescent="0.5">
      <c r="A189" s="170" t="str">
        <f>Calculation!I170</f>
        <v/>
      </c>
      <c r="B189" s="221" t="str">
        <f ca="1">Calculation!B170</f>
        <v/>
      </c>
      <c r="C189" s="221" t="str">
        <f ca="1">Calculation!C170</f>
        <v/>
      </c>
      <c r="D189" s="172" t="str">
        <f ca="1">Calculation!AN170</f>
        <v/>
      </c>
      <c r="E189" s="173" t="str">
        <f ca="1">Calculation!D170</f>
        <v/>
      </c>
      <c r="F189" s="174" t="str">
        <f ca="1">Calculation!C170</f>
        <v/>
      </c>
      <c r="G189" s="175" t="str">
        <f ca="1">Calculation!F170</f>
        <v/>
      </c>
      <c r="H189" s="176" t="str">
        <f ca="1">Calculation!AD170</f>
        <v/>
      </c>
      <c r="I189" s="177" t="str">
        <f ca="1">Calculation!AE170</f>
        <v/>
      </c>
      <c r="J189" s="272" t="str">
        <f ca="1">IF(Calculation!Q170="","Selection",Calculation!Q170)</f>
        <v>Selection</v>
      </c>
      <c r="K189" s="179" t="str">
        <f ca="1">Calculation!T170</f>
        <v/>
      </c>
      <c r="L189" s="180" t="str">
        <f ca="1">Calculation!U170</f>
        <v>-</v>
      </c>
      <c r="M189" s="180" t="str">
        <f ca="1">Calculation!V170</f>
        <v>-</v>
      </c>
      <c r="N189" s="181"/>
      <c r="O189" s="180" t="str">
        <f ca="1">Calculation!X170</f>
        <v>-</v>
      </c>
      <c r="P189" s="180" t="str">
        <f ca="1">Calculation!Y170</f>
        <v>-</v>
      </c>
      <c r="Q189" s="273"/>
      <c r="R189" s="182" t="str">
        <f ca="1">IF(AND(L189&lt;&gt;"-",Q189&lt;&gt;"bypass"),IFERROR(IF((U189*$R$23/0.05)-SUM(S189:U189)&gt;0,(U189*$R$23/0.05)-SUM(S189:U189),0),"-"),Calculation!AH170)</f>
        <v>-</v>
      </c>
      <c r="S189" s="179" t="str">
        <f ca="1">IF(AND(L189&lt;&gt;"-",Q189&lt;&gt;"bypass"),IFERROR(X189*((H189*10^-12-H189*10^-12*I189)/(Calculation!$U$8*10^-9)),"-"),Calculation!AF170)</f>
        <v>-</v>
      </c>
      <c r="T189" s="179" t="str">
        <f ca="1">IF(AND(L189&lt;&gt;"-",Q189&lt;&gt;"bypass"),IFERROR(H189*I189*X189/(IF(Cluster!AA189=Cluster!$W$8,Cluster!$W$10,IF(Cluster!AA189=Cluster!$X$8,Cluster!$X$10,IF(Cluster!AA189=Cluster!$Y$8,Cluster!$Y$10,0)))*10^3),"-"),Calculation!AK170)</f>
        <v>-</v>
      </c>
      <c r="U189" s="179" t="str">
        <f ca="1">IF(AND(L189&lt;&gt;"-",Q189&lt;&gt;"bypass"),IFERROR((0.5/50)*X189/$R$23,"-"),Calculation!AG170)</f>
        <v>-</v>
      </c>
      <c r="V189" s="179" t="str">
        <f ca="1">IF(AND(L189&lt;&gt;"-",Q189&lt;&gt;"bypass"),IFERROR(5/50*X189,"-"),Calculation!AI170)</f>
        <v>-</v>
      </c>
      <c r="W189" s="179" t="str">
        <f ca="1">IF(AND(L189&lt;&gt;"-",Q189&lt;&gt;"bypass"),IFERROR(35/50*X189,"-"),Calculation!AJ170)</f>
        <v>-</v>
      </c>
      <c r="X189" s="179" t="str">
        <f ca="1">IF(AND(L189&lt;&gt;"-",Q189&lt;&gt;"bypass"),$W$23,Calculation!AL170)</f>
        <v>-</v>
      </c>
      <c r="Y189" s="183" t="str">
        <f ca="1">IF(AND(L189&lt;&gt;"-",Q189&lt;&gt;"bypass"),IFERROR($R$23*U189/SUM(R189:U189),"-"),Calculation!AP170)</f>
        <v>-</v>
      </c>
      <c r="Z189" s="184" t="str">
        <f t="shared" ca="1" si="10"/>
        <v>-</v>
      </c>
      <c r="AA189" s="185" t="str">
        <f ca="1">IFERROR(IF(I189=0,"-",IF(AND(ROUND(H189*I189*X189/($W$10*10^3),1)&gt;=Calculation!$O$6,ROUND((((U189)*$R$23/0.05)-((S189)+(H189*I189*X189/($W$10*10^3))+(U189))),1)&gt;=0),Cluster!$W$8,IF(AND(ROUND(H189*I189*X189/($X$10*10^3),1)&gt;=Calculation!$O$6,ROUND((((U189)*$R$23/0.05)-((S189)+(H189*I189*X189/($X$10*10^3))+(U189))),1)&gt;=0),Cluster!$X$8,IF(AND(ROUND(H189*I189*X189/($Y$10*10^3),1)&gt;=Calculation!$O$6,ROUND((((U189)*$R$23/0.05)-((S189)+(H189*I189*X189/($Y$10*10^3))+(U189))),1)&gt;=0),Cluster!$Y$8,"Recepie by hand needed")))),"-")</f>
        <v>-</v>
      </c>
      <c r="AC189" s="37" t="str">
        <f t="shared" ca="1" si="11"/>
        <v>-</v>
      </c>
      <c r="AD189" s="37" t="str">
        <f t="shared" ca="1" si="12"/>
        <v>-</v>
      </c>
      <c r="AE189" s="220" t="str">
        <f t="shared" ca="1" si="13"/>
        <v>-</v>
      </c>
      <c r="AF189" s="37" t="str">
        <f t="shared" ca="1" si="14"/>
        <v>-</v>
      </c>
    </row>
    <row r="190" spans="1:32" ht="14.25" x14ac:dyDescent="0.5">
      <c r="A190" s="170" t="str">
        <f>Calculation!I171</f>
        <v/>
      </c>
      <c r="B190" s="221" t="str">
        <f ca="1">Calculation!B171</f>
        <v/>
      </c>
      <c r="C190" s="221" t="str">
        <f ca="1">Calculation!C171</f>
        <v/>
      </c>
      <c r="D190" s="172" t="str">
        <f ca="1">Calculation!AN171</f>
        <v/>
      </c>
      <c r="E190" s="173" t="str">
        <f ca="1">Calculation!D171</f>
        <v/>
      </c>
      <c r="F190" s="174" t="str">
        <f ca="1">Calculation!C171</f>
        <v/>
      </c>
      <c r="G190" s="175" t="str">
        <f ca="1">Calculation!F171</f>
        <v/>
      </c>
      <c r="H190" s="176" t="str">
        <f ca="1">Calculation!AD171</f>
        <v/>
      </c>
      <c r="I190" s="177" t="str">
        <f ca="1">Calculation!AE171</f>
        <v/>
      </c>
      <c r="J190" s="272" t="str">
        <f ca="1">IF(Calculation!Q171="","Selection",Calculation!Q171)</f>
        <v>Selection</v>
      </c>
      <c r="K190" s="179" t="str">
        <f ca="1">Calculation!T171</f>
        <v/>
      </c>
      <c r="L190" s="180" t="str">
        <f ca="1">Calculation!U171</f>
        <v>-</v>
      </c>
      <c r="M190" s="180" t="str">
        <f ca="1">Calculation!V171</f>
        <v>-</v>
      </c>
      <c r="N190" s="181"/>
      <c r="O190" s="180" t="str">
        <f ca="1">Calculation!X171</f>
        <v>-</v>
      </c>
      <c r="P190" s="180" t="str">
        <f ca="1">Calculation!Y171</f>
        <v>-</v>
      </c>
      <c r="Q190" s="273"/>
      <c r="R190" s="182" t="str">
        <f ca="1">IF(AND(L190&lt;&gt;"-",Q190&lt;&gt;"bypass"),IFERROR(IF((U190*$R$23/0.05)-SUM(S190:U190)&gt;0,(U190*$R$23/0.05)-SUM(S190:U190),0),"-"),Calculation!AH171)</f>
        <v>-</v>
      </c>
      <c r="S190" s="179" t="str">
        <f ca="1">IF(AND(L190&lt;&gt;"-",Q190&lt;&gt;"bypass"),IFERROR(X190*((H190*10^-12-H190*10^-12*I190)/(Calculation!$U$8*10^-9)),"-"),Calculation!AF171)</f>
        <v>-</v>
      </c>
      <c r="T190" s="179" t="str">
        <f ca="1">IF(AND(L190&lt;&gt;"-",Q190&lt;&gt;"bypass"),IFERROR(H190*I190*X190/(IF(Cluster!AA190=Cluster!$W$8,Cluster!$W$10,IF(Cluster!AA190=Cluster!$X$8,Cluster!$X$10,IF(Cluster!AA190=Cluster!$Y$8,Cluster!$Y$10,0)))*10^3),"-"),Calculation!AK171)</f>
        <v>-</v>
      </c>
      <c r="U190" s="179" t="str">
        <f ca="1">IF(AND(L190&lt;&gt;"-",Q190&lt;&gt;"bypass"),IFERROR((0.5/50)*X190/$R$23,"-"),Calculation!AG171)</f>
        <v>-</v>
      </c>
      <c r="V190" s="179" t="str">
        <f ca="1">IF(AND(L190&lt;&gt;"-",Q190&lt;&gt;"bypass"),IFERROR(5/50*X190,"-"),Calculation!AI171)</f>
        <v>-</v>
      </c>
      <c r="W190" s="179" t="str">
        <f ca="1">IF(AND(L190&lt;&gt;"-",Q190&lt;&gt;"bypass"),IFERROR(35/50*X190,"-"),Calculation!AJ171)</f>
        <v>-</v>
      </c>
      <c r="X190" s="179" t="str">
        <f ca="1">IF(AND(L190&lt;&gt;"-",Q190&lt;&gt;"bypass"),$W$23,Calculation!AL171)</f>
        <v>-</v>
      </c>
      <c r="Y190" s="183" t="str">
        <f ca="1">IF(AND(L190&lt;&gt;"-",Q190&lt;&gt;"bypass"),IFERROR($R$23*U190/SUM(R190:U190),"-"),Calculation!AP171)</f>
        <v>-</v>
      </c>
      <c r="Z190" s="184" t="str">
        <f t="shared" ca="1" si="10"/>
        <v>-</v>
      </c>
      <c r="AA190" s="185" t="str">
        <f ca="1">IFERROR(IF(I190=0,"-",IF(AND(ROUND(H190*I190*X190/($W$10*10^3),1)&gt;=Calculation!$O$6,ROUND((((U190)*$R$23/0.05)-((S190)+(H190*I190*X190/($W$10*10^3))+(U190))),1)&gt;=0),Cluster!$W$8,IF(AND(ROUND(H190*I190*X190/($X$10*10^3),1)&gt;=Calculation!$O$6,ROUND((((U190)*$R$23/0.05)-((S190)+(H190*I190*X190/($X$10*10^3))+(U190))),1)&gt;=0),Cluster!$X$8,IF(AND(ROUND(H190*I190*X190/($Y$10*10^3),1)&gt;=Calculation!$O$6,ROUND((((U190)*$R$23/0.05)-((S190)+(H190*I190*X190/($Y$10*10^3))+(U190))),1)&gt;=0),Cluster!$Y$8,"Recepie by hand needed")))),"-")</f>
        <v>-</v>
      </c>
      <c r="AC190" s="37" t="str">
        <f t="shared" ca="1" si="11"/>
        <v>-</v>
      </c>
      <c r="AD190" s="37" t="str">
        <f t="shared" ca="1" si="12"/>
        <v>-</v>
      </c>
      <c r="AE190" s="220" t="str">
        <f t="shared" ca="1" si="13"/>
        <v>-</v>
      </c>
      <c r="AF190" s="37" t="str">
        <f t="shared" ca="1" si="14"/>
        <v>-</v>
      </c>
    </row>
    <row r="191" spans="1:32" ht="14.25" x14ac:dyDescent="0.5">
      <c r="A191" s="170" t="str">
        <f>Calculation!I172</f>
        <v/>
      </c>
      <c r="B191" s="221" t="str">
        <f ca="1">Calculation!B172</f>
        <v/>
      </c>
      <c r="C191" s="221" t="str">
        <f ca="1">Calculation!C172</f>
        <v/>
      </c>
      <c r="D191" s="172" t="str">
        <f ca="1">Calculation!AN172</f>
        <v/>
      </c>
      <c r="E191" s="173" t="str">
        <f ca="1">Calculation!D172</f>
        <v/>
      </c>
      <c r="F191" s="174" t="str">
        <f ca="1">Calculation!C172</f>
        <v/>
      </c>
      <c r="G191" s="175" t="str">
        <f ca="1">Calculation!F172</f>
        <v/>
      </c>
      <c r="H191" s="176" t="str">
        <f ca="1">Calculation!AD172</f>
        <v/>
      </c>
      <c r="I191" s="177" t="str">
        <f ca="1">Calculation!AE172</f>
        <v/>
      </c>
      <c r="J191" s="272" t="str">
        <f ca="1">IF(Calculation!Q172="","Selection",Calculation!Q172)</f>
        <v>Selection</v>
      </c>
      <c r="K191" s="179" t="str">
        <f ca="1">Calculation!T172</f>
        <v/>
      </c>
      <c r="L191" s="180" t="str">
        <f ca="1">Calculation!U172</f>
        <v>-</v>
      </c>
      <c r="M191" s="180" t="str">
        <f ca="1">Calculation!V172</f>
        <v>-</v>
      </c>
      <c r="N191" s="181"/>
      <c r="O191" s="180" t="str">
        <f ca="1">Calculation!X172</f>
        <v>-</v>
      </c>
      <c r="P191" s="180" t="str">
        <f ca="1">Calculation!Y172</f>
        <v>-</v>
      </c>
      <c r="Q191" s="273"/>
      <c r="R191" s="182" t="str">
        <f ca="1">IF(AND(L191&lt;&gt;"-",Q191&lt;&gt;"bypass"),IFERROR(IF((U191*$R$23/0.05)-SUM(S191:U191)&gt;0,(U191*$R$23/0.05)-SUM(S191:U191),0),"-"),Calculation!AH172)</f>
        <v>-</v>
      </c>
      <c r="S191" s="179" t="str">
        <f ca="1">IF(AND(L191&lt;&gt;"-",Q191&lt;&gt;"bypass"),IFERROR(X191*((H191*10^-12-H191*10^-12*I191)/(Calculation!$U$8*10^-9)),"-"),Calculation!AF172)</f>
        <v>-</v>
      </c>
      <c r="T191" s="179" t="str">
        <f ca="1">IF(AND(L191&lt;&gt;"-",Q191&lt;&gt;"bypass"),IFERROR(H191*I191*X191/(IF(Cluster!AA191=Cluster!$W$8,Cluster!$W$10,IF(Cluster!AA191=Cluster!$X$8,Cluster!$X$10,IF(Cluster!AA191=Cluster!$Y$8,Cluster!$Y$10,0)))*10^3),"-"),Calculation!AK172)</f>
        <v>-</v>
      </c>
      <c r="U191" s="179" t="str">
        <f ca="1">IF(AND(L191&lt;&gt;"-",Q191&lt;&gt;"bypass"),IFERROR((0.5/50)*X191/$R$23,"-"),Calculation!AG172)</f>
        <v>-</v>
      </c>
      <c r="V191" s="179" t="str">
        <f ca="1">IF(AND(L191&lt;&gt;"-",Q191&lt;&gt;"bypass"),IFERROR(5/50*X191,"-"),Calculation!AI172)</f>
        <v>-</v>
      </c>
      <c r="W191" s="179" t="str">
        <f ca="1">IF(AND(L191&lt;&gt;"-",Q191&lt;&gt;"bypass"),IFERROR(35/50*X191,"-"),Calculation!AJ172)</f>
        <v>-</v>
      </c>
      <c r="X191" s="179" t="str">
        <f ca="1">IF(AND(L191&lt;&gt;"-",Q191&lt;&gt;"bypass"),$W$23,Calculation!AL172)</f>
        <v>-</v>
      </c>
      <c r="Y191" s="183" t="str">
        <f ca="1">IF(AND(L191&lt;&gt;"-",Q191&lt;&gt;"bypass"),IFERROR($R$23*U191/SUM(R191:U191),"-"),Calculation!AP172)</f>
        <v>-</v>
      </c>
      <c r="Z191" s="184" t="str">
        <f t="shared" ca="1" si="10"/>
        <v>-</v>
      </c>
      <c r="AA191" s="185" t="str">
        <f ca="1">IFERROR(IF(I191=0,"-",IF(AND(ROUND(H191*I191*X191/($W$10*10^3),1)&gt;=Calculation!$O$6,ROUND((((U191)*$R$23/0.05)-((S191)+(H191*I191*X191/($W$10*10^3))+(U191))),1)&gt;=0),Cluster!$W$8,IF(AND(ROUND(H191*I191*X191/($X$10*10^3),1)&gt;=Calculation!$O$6,ROUND((((U191)*$R$23/0.05)-((S191)+(H191*I191*X191/($X$10*10^3))+(U191))),1)&gt;=0),Cluster!$X$8,IF(AND(ROUND(H191*I191*X191/($Y$10*10^3),1)&gt;=Calculation!$O$6,ROUND((((U191)*$R$23/0.05)-((S191)+(H191*I191*X191/($Y$10*10^3))+(U191))),1)&gt;=0),Cluster!$Y$8,"Recepie by hand needed")))),"-")</f>
        <v>-</v>
      </c>
      <c r="AC191" s="37" t="str">
        <f t="shared" ca="1" si="11"/>
        <v>-</v>
      </c>
      <c r="AD191" s="37" t="str">
        <f t="shared" ca="1" si="12"/>
        <v>-</v>
      </c>
      <c r="AE191" s="220" t="str">
        <f t="shared" ca="1" si="13"/>
        <v>-</v>
      </c>
      <c r="AF191" s="37" t="str">
        <f t="shared" ca="1" si="14"/>
        <v>-</v>
      </c>
    </row>
    <row r="192" spans="1:32" ht="14.25" x14ac:dyDescent="0.5">
      <c r="A192" s="170" t="str">
        <f>Calculation!I173</f>
        <v/>
      </c>
      <c r="B192" s="221" t="str">
        <f ca="1">Calculation!B173</f>
        <v/>
      </c>
      <c r="C192" s="221" t="str">
        <f ca="1">Calculation!C173</f>
        <v/>
      </c>
      <c r="D192" s="172" t="str">
        <f ca="1">Calculation!AN173</f>
        <v/>
      </c>
      <c r="E192" s="173" t="str">
        <f ca="1">Calculation!D173</f>
        <v/>
      </c>
      <c r="F192" s="174" t="str">
        <f ca="1">Calculation!C173</f>
        <v/>
      </c>
      <c r="G192" s="175" t="str">
        <f ca="1">Calculation!F173</f>
        <v/>
      </c>
      <c r="H192" s="176" t="str">
        <f ca="1">Calculation!AD173</f>
        <v/>
      </c>
      <c r="I192" s="177" t="str">
        <f ca="1">Calculation!AE173</f>
        <v/>
      </c>
      <c r="J192" s="272" t="str">
        <f ca="1">IF(Calculation!Q173="","Selection",Calculation!Q173)</f>
        <v>Selection</v>
      </c>
      <c r="K192" s="179" t="str">
        <f ca="1">Calculation!T173</f>
        <v/>
      </c>
      <c r="L192" s="180" t="str">
        <f ca="1">Calculation!U173</f>
        <v>-</v>
      </c>
      <c r="M192" s="180" t="str">
        <f ca="1">Calculation!V173</f>
        <v>-</v>
      </c>
      <c r="N192" s="181"/>
      <c r="O192" s="180" t="str">
        <f ca="1">Calculation!X173</f>
        <v>-</v>
      </c>
      <c r="P192" s="180" t="str">
        <f ca="1">Calculation!Y173</f>
        <v>-</v>
      </c>
      <c r="Q192" s="273"/>
      <c r="R192" s="182" t="str">
        <f ca="1">IF(AND(L192&lt;&gt;"-",Q192&lt;&gt;"bypass"),IFERROR(IF((U192*$R$23/0.05)-SUM(S192:U192)&gt;0,(U192*$R$23/0.05)-SUM(S192:U192),0),"-"),Calculation!AH173)</f>
        <v>-</v>
      </c>
      <c r="S192" s="179" t="str">
        <f ca="1">IF(AND(L192&lt;&gt;"-",Q192&lt;&gt;"bypass"),IFERROR(X192*((H192*10^-12-H192*10^-12*I192)/(Calculation!$U$8*10^-9)),"-"),Calculation!AF173)</f>
        <v>-</v>
      </c>
      <c r="T192" s="179" t="str">
        <f ca="1">IF(AND(L192&lt;&gt;"-",Q192&lt;&gt;"bypass"),IFERROR(H192*I192*X192/(IF(Cluster!AA192=Cluster!$W$8,Cluster!$W$10,IF(Cluster!AA192=Cluster!$X$8,Cluster!$X$10,IF(Cluster!AA192=Cluster!$Y$8,Cluster!$Y$10,0)))*10^3),"-"),Calculation!AK173)</f>
        <v>-</v>
      </c>
      <c r="U192" s="179" t="str">
        <f ca="1">IF(AND(L192&lt;&gt;"-",Q192&lt;&gt;"bypass"),IFERROR((0.5/50)*X192/$R$23,"-"),Calculation!AG173)</f>
        <v>-</v>
      </c>
      <c r="V192" s="179" t="str">
        <f ca="1">IF(AND(L192&lt;&gt;"-",Q192&lt;&gt;"bypass"),IFERROR(5/50*X192,"-"),Calculation!AI173)</f>
        <v>-</v>
      </c>
      <c r="W192" s="179" t="str">
        <f ca="1">IF(AND(L192&lt;&gt;"-",Q192&lt;&gt;"bypass"),IFERROR(35/50*X192,"-"),Calculation!AJ173)</f>
        <v>-</v>
      </c>
      <c r="X192" s="179" t="str">
        <f ca="1">IF(AND(L192&lt;&gt;"-",Q192&lt;&gt;"bypass"),$W$23,Calculation!AL173)</f>
        <v>-</v>
      </c>
      <c r="Y192" s="183" t="str">
        <f ca="1">IF(AND(L192&lt;&gt;"-",Q192&lt;&gt;"bypass"),IFERROR($R$23*U192/SUM(R192:U192),"-"),Calculation!AP173)</f>
        <v>-</v>
      </c>
      <c r="Z192" s="184" t="str">
        <f t="shared" ca="1" si="10"/>
        <v>-</v>
      </c>
      <c r="AA192" s="185" t="str">
        <f ca="1">IFERROR(IF(I192=0,"-",IF(AND(ROUND(H192*I192*X192/($W$10*10^3),1)&gt;=Calculation!$O$6,ROUND((((U192)*$R$23/0.05)-((S192)+(H192*I192*X192/($W$10*10^3))+(U192))),1)&gt;=0),Cluster!$W$8,IF(AND(ROUND(H192*I192*X192/($X$10*10^3),1)&gt;=Calculation!$O$6,ROUND((((U192)*$R$23/0.05)-((S192)+(H192*I192*X192/($X$10*10^3))+(U192))),1)&gt;=0),Cluster!$X$8,IF(AND(ROUND(H192*I192*X192/($Y$10*10^3),1)&gt;=Calculation!$O$6,ROUND((((U192)*$R$23/0.05)-((S192)+(H192*I192*X192/($Y$10*10^3))+(U192))),1)&gt;=0),Cluster!$Y$8,"Recepie by hand needed")))),"-")</f>
        <v>-</v>
      </c>
      <c r="AC192" s="37" t="str">
        <f t="shared" ca="1" si="11"/>
        <v>-</v>
      </c>
      <c r="AD192" s="37" t="str">
        <f t="shared" ca="1" si="12"/>
        <v>-</v>
      </c>
      <c r="AE192" s="220" t="str">
        <f t="shared" ca="1" si="13"/>
        <v>-</v>
      </c>
      <c r="AF192" s="37" t="str">
        <f t="shared" ca="1" si="14"/>
        <v>-</v>
      </c>
    </row>
    <row r="193" spans="1:32" ht="14.25" x14ac:dyDescent="0.5">
      <c r="A193" s="170" t="str">
        <f>Calculation!I174</f>
        <v/>
      </c>
      <c r="B193" s="221" t="str">
        <f ca="1">Calculation!B174</f>
        <v/>
      </c>
      <c r="C193" s="221" t="str">
        <f ca="1">Calculation!C174</f>
        <v/>
      </c>
      <c r="D193" s="172" t="str">
        <f ca="1">Calculation!AN174</f>
        <v/>
      </c>
      <c r="E193" s="173" t="str">
        <f ca="1">Calculation!D174</f>
        <v/>
      </c>
      <c r="F193" s="174" t="str">
        <f ca="1">Calculation!C174</f>
        <v/>
      </c>
      <c r="G193" s="175" t="str">
        <f ca="1">Calculation!F174</f>
        <v/>
      </c>
      <c r="H193" s="176" t="str">
        <f ca="1">Calculation!AD174</f>
        <v/>
      </c>
      <c r="I193" s="177" t="str">
        <f ca="1">Calculation!AE174</f>
        <v/>
      </c>
      <c r="J193" s="272" t="str">
        <f ca="1">IF(Calculation!Q174="","Selection",Calculation!Q174)</f>
        <v>Selection</v>
      </c>
      <c r="K193" s="179" t="str">
        <f ca="1">Calculation!T174</f>
        <v/>
      </c>
      <c r="L193" s="180" t="str">
        <f ca="1">Calculation!U174</f>
        <v>-</v>
      </c>
      <c r="M193" s="180" t="str">
        <f ca="1">Calculation!V174</f>
        <v>-</v>
      </c>
      <c r="N193" s="181"/>
      <c r="O193" s="180" t="str">
        <f ca="1">Calculation!X174</f>
        <v>-</v>
      </c>
      <c r="P193" s="180" t="str">
        <f ca="1">Calculation!Y174</f>
        <v>-</v>
      </c>
      <c r="Q193" s="273"/>
      <c r="R193" s="182" t="str">
        <f ca="1">IF(AND(L193&lt;&gt;"-",Q193&lt;&gt;"bypass"),IFERROR(IF((U193*$R$23/0.05)-SUM(S193:U193)&gt;0,(U193*$R$23/0.05)-SUM(S193:U193),0),"-"),Calculation!AH174)</f>
        <v>-</v>
      </c>
      <c r="S193" s="179" t="str">
        <f ca="1">IF(AND(L193&lt;&gt;"-",Q193&lt;&gt;"bypass"),IFERROR(X193*((H193*10^-12-H193*10^-12*I193)/(Calculation!$U$8*10^-9)),"-"),Calculation!AF174)</f>
        <v>-</v>
      </c>
      <c r="T193" s="179" t="str">
        <f ca="1">IF(AND(L193&lt;&gt;"-",Q193&lt;&gt;"bypass"),IFERROR(H193*I193*X193/(IF(Cluster!AA193=Cluster!$W$8,Cluster!$W$10,IF(Cluster!AA193=Cluster!$X$8,Cluster!$X$10,IF(Cluster!AA193=Cluster!$Y$8,Cluster!$Y$10,0)))*10^3),"-"),Calculation!AK174)</f>
        <v>-</v>
      </c>
      <c r="U193" s="179" t="str">
        <f ca="1">IF(AND(L193&lt;&gt;"-",Q193&lt;&gt;"bypass"),IFERROR((0.5/50)*X193/$R$23,"-"),Calculation!AG174)</f>
        <v>-</v>
      </c>
      <c r="V193" s="179" t="str">
        <f ca="1">IF(AND(L193&lt;&gt;"-",Q193&lt;&gt;"bypass"),IFERROR(5/50*X193,"-"),Calculation!AI174)</f>
        <v>-</v>
      </c>
      <c r="W193" s="179" t="str">
        <f ca="1">IF(AND(L193&lt;&gt;"-",Q193&lt;&gt;"bypass"),IFERROR(35/50*X193,"-"),Calculation!AJ174)</f>
        <v>-</v>
      </c>
      <c r="X193" s="179" t="str">
        <f ca="1">IF(AND(L193&lt;&gt;"-",Q193&lt;&gt;"bypass"),$W$23,Calculation!AL174)</f>
        <v>-</v>
      </c>
      <c r="Y193" s="183" t="str">
        <f ca="1">IF(AND(L193&lt;&gt;"-",Q193&lt;&gt;"bypass"),IFERROR($R$23*U193/SUM(R193:U193),"-"),Calculation!AP174)</f>
        <v>-</v>
      </c>
      <c r="Z193" s="184" t="str">
        <f t="shared" ca="1" si="10"/>
        <v>-</v>
      </c>
      <c r="AA193" s="185" t="str">
        <f ca="1">IFERROR(IF(I193=0,"-",IF(AND(ROUND(H193*I193*X193/($W$10*10^3),1)&gt;=Calculation!$O$6,ROUND((((U193)*$R$23/0.05)-((S193)+(H193*I193*X193/($W$10*10^3))+(U193))),1)&gt;=0),Cluster!$W$8,IF(AND(ROUND(H193*I193*X193/($X$10*10^3),1)&gt;=Calculation!$O$6,ROUND((((U193)*$R$23/0.05)-((S193)+(H193*I193*X193/($X$10*10^3))+(U193))),1)&gt;=0),Cluster!$X$8,IF(AND(ROUND(H193*I193*X193/($Y$10*10^3),1)&gt;=Calculation!$O$6,ROUND((((U193)*$R$23/0.05)-((S193)+(H193*I193*X193/($Y$10*10^3))+(U193))),1)&gt;=0),Cluster!$Y$8,"Recepie by hand needed")))),"-")</f>
        <v>-</v>
      </c>
      <c r="AC193" s="37" t="str">
        <f t="shared" ca="1" si="11"/>
        <v>-</v>
      </c>
      <c r="AD193" s="37" t="str">
        <f t="shared" ca="1" si="12"/>
        <v>-</v>
      </c>
      <c r="AE193" s="220" t="str">
        <f t="shared" ca="1" si="13"/>
        <v>-</v>
      </c>
      <c r="AF193" s="37" t="str">
        <f t="shared" ca="1" si="14"/>
        <v>-</v>
      </c>
    </row>
    <row r="194" spans="1:32" ht="14.25" x14ac:dyDescent="0.5">
      <c r="A194" s="170" t="str">
        <f>Calculation!I175</f>
        <v/>
      </c>
      <c r="B194" s="221" t="str">
        <f ca="1">Calculation!B175</f>
        <v/>
      </c>
      <c r="C194" s="221" t="str">
        <f ca="1">Calculation!C175</f>
        <v/>
      </c>
      <c r="D194" s="172" t="str">
        <f ca="1">Calculation!AN175</f>
        <v/>
      </c>
      <c r="E194" s="173" t="str">
        <f ca="1">Calculation!D175</f>
        <v/>
      </c>
      <c r="F194" s="174" t="str">
        <f ca="1">Calculation!C175</f>
        <v/>
      </c>
      <c r="G194" s="175" t="str">
        <f ca="1">Calculation!F175</f>
        <v/>
      </c>
      <c r="H194" s="176" t="str">
        <f ca="1">Calculation!AD175</f>
        <v/>
      </c>
      <c r="I194" s="177" t="str">
        <f ca="1">Calculation!AE175</f>
        <v/>
      </c>
      <c r="J194" s="272" t="str">
        <f ca="1">IF(Calculation!Q175="","Selection",Calculation!Q175)</f>
        <v>Selection</v>
      </c>
      <c r="K194" s="179" t="str">
        <f ca="1">Calculation!T175</f>
        <v/>
      </c>
      <c r="L194" s="180" t="str">
        <f ca="1">Calculation!U175</f>
        <v>-</v>
      </c>
      <c r="M194" s="180" t="str">
        <f ca="1">Calculation!V175</f>
        <v>-</v>
      </c>
      <c r="N194" s="181"/>
      <c r="O194" s="180" t="str">
        <f ca="1">Calculation!X175</f>
        <v>-</v>
      </c>
      <c r="P194" s="180" t="str">
        <f ca="1">Calculation!Y175</f>
        <v>-</v>
      </c>
      <c r="Q194" s="273"/>
      <c r="R194" s="182" t="str">
        <f ca="1">IF(AND(L194&lt;&gt;"-",Q194&lt;&gt;"bypass"),IFERROR(IF((U194*$R$23/0.05)-SUM(S194:U194)&gt;0,(U194*$R$23/0.05)-SUM(S194:U194),0),"-"),Calculation!AH175)</f>
        <v>-</v>
      </c>
      <c r="S194" s="179" t="str">
        <f ca="1">IF(AND(L194&lt;&gt;"-",Q194&lt;&gt;"bypass"),IFERROR(X194*((H194*10^-12-H194*10^-12*I194)/(Calculation!$U$8*10^-9)),"-"),Calculation!AF175)</f>
        <v>-</v>
      </c>
      <c r="T194" s="179" t="str">
        <f ca="1">IF(AND(L194&lt;&gt;"-",Q194&lt;&gt;"bypass"),IFERROR(H194*I194*X194/(IF(Cluster!AA194=Cluster!$W$8,Cluster!$W$10,IF(Cluster!AA194=Cluster!$X$8,Cluster!$X$10,IF(Cluster!AA194=Cluster!$Y$8,Cluster!$Y$10,0)))*10^3),"-"),Calculation!AK175)</f>
        <v>-</v>
      </c>
      <c r="U194" s="179" t="str">
        <f ca="1">IF(AND(L194&lt;&gt;"-",Q194&lt;&gt;"bypass"),IFERROR((0.5/50)*X194/$R$23,"-"),Calculation!AG175)</f>
        <v>-</v>
      </c>
      <c r="V194" s="179" t="str">
        <f ca="1">IF(AND(L194&lt;&gt;"-",Q194&lt;&gt;"bypass"),IFERROR(5/50*X194,"-"),Calculation!AI175)</f>
        <v>-</v>
      </c>
      <c r="W194" s="179" t="str">
        <f ca="1">IF(AND(L194&lt;&gt;"-",Q194&lt;&gt;"bypass"),IFERROR(35/50*X194,"-"),Calculation!AJ175)</f>
        <v>-</v>
      </c>
      <c r="X194" s="179" t="str">
        <f ca="1">IF(AND(L194&lt;&gt;"-",Q194&lt;&gt;"bypass"),$W$23,Calculation!AL175)</f>
        <v>-</v>
      </c>
      <c r="Y194" s="183" t="str">
        <f ca="1">IF(AND(L194&lt;&gt;"-",Q194&lt;&gt;"bypass"),IFERROR($R$23*U194/SUM(R194:U194),"-"),Calculation!AP175)</f>
        <v>-</v>
      </c>
      <c r="Z194" s="184" t="str">
        <f t="shared" ca="1" si="10"/>
        <v>-</v>
      </c>
      <c r="AA194" s="185" t="str">
        <f ca="1">IFERROR(IF(I194=0,"-",IF(AND(ROUND(H194*I194*X194/($W$10*10^3),1)&gt;=Calculation!$O$6,ROUND((((U194)*$R$23/0.05)-((S194)+(H194*I194*X194/($W$10*10^3))+(U194))),1)&gt;=0),Cluster!$W$8,IF(AND(ROUND(H194*I194*X194/($X$10*10^3),1)&gt;=Calculation!$O$6,ROUND((((U194)*$R$23/0.05)-((S194)+(H194*I194*X194/($X$10*10^3))+(U194))),1)&gt;=0),Cluster!$X$8,IF(AND(ROUND(H194*I194*X194/($Y$10*10^3),1)&gt;=Calculation!$O$6,ROUND((((U194)*$R$23/0.05)-((S194)+(H194*I194*X194/($Y$10*10^3))+(U194))),1)&gt;=0),Cluster!$Y$8,"Recepie by hand needed")))),"-")</f>
        <v>-</v>
      </c>
      <c r="AC194" s="37" t="str">
        <f t="shared" ca="1" si="11"/>
        <v>-</v>
      </c>
      <c r="AD194" s="37" t="str">
        <f t="shared" ca="1" si="12"/>
        <v>-</v>
      </c>
      <c r="AE194" s="220" t="str">
        <f t="shared" ca="1" si="13"/>
        <v>-</v>
      </c>
      <c r="AF194" s="37" t="str">
        <f t="shared" ca="1" si="14"/>
        <v>-</v>
      </c>
    </row>
    <row r="195" spans="1:32" ht="14.25" x14ac:dyDescent="0.5">
      <c r="A195" s="170" t="str">
        <f>Calculation!I176</f>
        <v/>
      </c>
      <c r="B195" s="221" t="str">
        <f ca="1">Calculation!B176</f>
        <v/>
      </c>
      <c r="C195" s="221" t="str">
        <f ca="1">Calculation!C176</f>
        <v/>
      </c>
      <c r="D195" s="172" t="str">
        <f ca="1">Calculation!AN176</f>
        <v/>
      </c>
      <c r="E195" s="173" t="str">
        <f ca="1">Calculation!D176</f>
        <v/>
      </c>
      <c r="F195" s="174" t="str">
        <f ca="1">Calculation!C176</f>
        <v/>
      </c>
      <c r="G195" s="175" t="str">
        <f ca="1">Calculation!F176</f>
        <v/>
      </c>
      <c r="H195" s="176" t="str">
        <f ca="1">Calculation!AD176</f>
        <v/>
      </c>
      <c r="I195" s="177" t="str">
        <f ca="1">Calculation!AE176</f>
        <v/>
      </c>
      <c r="J195" s="272" t="str">
        <f ca="1">IF(Calculation!Q176="","Selection",Calculation!Q176)</f>
        <v>Selection</v>
      </c>
      <c r="K195" s="179" t="str">
        <f ca="1">Calculation!T176</f>
        <v/>
      </c>
      <c r="L195" s="180" t="str">
        <f ca="1">Calculation!U176</f>
        <v>-</v>
      </c>
      <c r="M195" s="180" t="str">
        <f ca="1">Calculation!V176</f>
        <v>-</v>
      </c>
      <c r="N195" s="181"/>
      <c r="O195" s="180" t="str">
        <f ca="1">Calculation!X176</f>
        <v>-</v>
      </c>
      <c r="P195" s="180" t="str">
        <f ca="1">Calculation!Y176</f>
        <v>-</v>
      </c>
      <c r="Q195" s="273"/>
      <c r="R195" s="182" t="str">
        <f ca="1">IF(AND(L195&lt;&gt;"-",Q195&lt;&gt;"bypass"),IFERROR(IF((U195*$R$23/0.05)-SUM(S195:U195)&gt;0,(U195*$R$23/0.05)-SUM(S195:U195),0),"-"),Calculation!AH176)</f>
        <v>-</v>
      </c>
      <c r="S195" s="179" t="str">
        <f ca="1">IF(AND(L195&lt;&gt;"-",Q195&lt;&gt;"bypass"),IFERROR(X195*((H195*10^-12-H195*10^-12*I195)/(Calculation!$U$8*10^-9)),"-"),Calculation!AF176)</f>
        <v>-</v>
      </c>
      <c r="T195" s="179" t="str">
        <f ca="1">IF(AND(L195&lt;&gt;"-",Q195&lt;&gt;"bypass"),IFERROR(H195*I195*X195/(IF(Cluster!AA195=Cluster!$W$8,Cluster!$W$10,IF(Cluster!AA195=Cluster!$X$8,Cluster!$X$10,IF(Cluster!AA195=Cluster!$Y$8,Cluster!$Y$10,0)))*10^3),"-"),Calculation!AK176)</f>
        <v>-</v>
      </c>
      <c r="U195" s="179" t="str">
        <f ca="1">IF(AND(L195&lt;&gt;"-",Q195&lt;&gt;"bypass"),IFERROR((0.5/50)*X195/$R$23,"-"),Calculation!AG176)</f>
        <v>-</v>
      </c>
      <c r="V195" s="179" t="str">
        <f ca="1">IF(AND(L195&lt;&gt;"-",Q195&lt;&gt;"bypass"),IFERROR(5/50*X195,"-"),Calculation!AI176)</f>
        <v>-</v>
      </c>
      <c r="W195" s="179" t="str">
        <f ca="1">IF(AND(L195&lt;&gt;"-",Q195&lt;&gt;"bypass"),IFERROR(35/50*X195,"-"),Calculation!AJ176)</f>
        <v>-</v>
      </c>
      <c r="X195" s="179" t="str">
        <f ca="1">IF(AND(L195&lt;&gt;"-",Q195&lt;&gt;"bypass"),$W$23,Calculation!AL176)</f>
        <v>-</v>
      </c>
      <c r="Y195" s="183" t="str">
        <f ca="1">IF(AND(L195&lt;&gt;"-",Q195&lt;&gt;"bypass"),IFERROR($R$23*U195/SUM(R195:U195),"-"),Calculation!AP176)</f>
        <v>-</v>
      </c>
      <c r="Z195" s="184" t="str">
        <f t="shared" ca="1" si="10"/>
        <v>-</v>
      </c>
      <c r="AA195" s="185" t="str">
        <f ca="1">IFERROR(IF(I195=0,"-",IF(AND(ROUND(H195*I195*X195/($W$10*10^3),1)&gt;=Calculation!$O$6,ROUND((((U195)*$R$23/0.05)-((S195)+(H195*I195*X195/($W$10*10^3))+(U195))),1)&gt;=0),Cluster!$W$8,IF(AND(ROUND(H195*I195*X195/($X$10*10^3),1)&gt;=Calculation!$O$6,ROUND((((U195)*$R$23/0.05)-((S195)+(H195*I195*X195/($X$10*10^3))+(U195))),1)&gt;=0),Cluster!$X$8,IF(AND(ROUND(H195*I195*X195/($Y$10*10^3),1)&gt;=Calculation!$O$6,ROUND((((U195)*$R$23/0.05)-((S195)+(H195*I195*X195/($Y$10*10^3))+(U195))),1)&gt;=0),Cluster!$Y$8,"Recepie by hand needed")))),"-")</f>
        <v>-</v>
      </c>
      <c r="AC195" s="37" t="str">
        <f t="shared" ca="1" si="11"/>
        <v>-</v>
      </c>
      <c r="AD195" s="37" t="str">
        <f t="shared" ca="1" si="12"/>
        <v>-</v>
      </c>
      <c r="AE195" s="220" t="str">
        <f t="shared" ca="1" si="13"/>
        <v>-</v>
      </c>
      <c r="AF195" s="37" t="str">
        <f t="shared" ca="1" si="14"/>
        <v>-</v>
      </c>
    </row>
    <row r="196" spans="1:32" ht="14.25" x14ac:dyDescent="0.5">
      <c r="A196" s="170" t="str">
        <f>Calculation!I177</f>
        <v/>
      </c>
      <c r="B196" s="221" t="str">
        <f ca="1">Calculation!B177</f>
        <v/>
      </c>
      <c r="C196" s="221" t="str">
        <f ca="1">Calculation!C177</f>
        <v/>
      </c>
      <c r="D196" s="172" t="str">
        <f ca="1">Calculation!AN177</f>
        <v/>
      </c>
      <c r="E196" s="173" t="str">
        <f ca="1">Calculation!D177</f>
        <v/>
      </c>
      <c r="F196" s="174" t="str">
        <f ca="1">Calculation!C177</f>
        <v/>
      </c>
      <c r="G196" s="175" t="str">
        <f ca="1">Calculation!F177</f>
        <v/>
      </c>
      <c r="H196" s="176" t="str">
        <f ca="1">Calculation!AD177</f>
        <v/>
      </c>
      <c r="I196" s="177" t="str">
        <f ca="1">Calculation!AE177</f>
        <v/>
      </c>
      <c r="J196" s="272" t="str">
        <f ca="1">IF(Calculation!Q177="","Selection",Calculation!Q177)</f>
        <v>Selection</v>
      </c>
      <c r="K196" s="179" t="str">
        <f ca="1">Calculation!T177</f>
        <v/>
      </c>
      <c r="L196" s="180" t="str">
        <f ca="1">Calculation!U177</f>
        <v>-</v>
      </c>
      <c r="M196" s="180" t="str">
        <f ca="1">Calculation!V177</f>
        <v>-</v>
      </c>
      <c r="N196" s="181"/>
      <c r="O196" s="180" t="str">
        <f ca="1">Calculation!X177</f>
        <v>-</v>
      </c>
      <c r="P196" s="180" t="str">
        <f ca="1">Calculation!Y177</f>
        <v>-</v>
      </c>
      <c r="Q196" s="273"/>
      <c r="R196" s="182" t="str">
        <f ca="1">IF(AND(L196&lt;&gt;"-",Q196&lt;&gt;"bypass"),IFERROR(IF((U196*$R$23/0.05)-SUM(S196:U196)&gt;0,(U196*$R$23/0.05)-SUM(S196:U196),0),"-"),Calculation!AH177)</f>
        <v>-</v>
      </c>
      <c r="S196" s="179" t="str">
        <f ca="1">IF(AND(L196&lt;&gt;"-",Q196&lt;&gt;"bypass"),IFERROR(X196*((H196*10^-12-H196*10^-12*I196)/(Calculation!$U$8*10^-9)),"-"),Calculation!AF177)</f>
        <v>-</v>
      </c>
      <c r="T196" s="179" t="str">
        <f ca="1">IF(AND(L196&lt;&gt;"-",Q196&lt;&gt;"bypass"),IFERROR(H196*I196*X196/(IF(Cluster!AA196=Cluster!$W$8,Cluster!$W$10,IF(Cluster!AA196=Cluster!$X$8,Cluster!$X$10,IF(Cluster!AA196=Cluster!$Y$8,Cluster!$Y$10,0)))*10^3),"-"),Calculation!AK177)</f>
        <v>-</v>
      </c>
      <c r="U196" s="179" t="str">
        <f ca="1">IF(AND(L196&lt;&gt;"-",Q196&lt;&gt;"bypass"),IFERROR((0.5/50)*X196/$R$23,"-"),Calculation!AG177)</f>
        <v>-</v>
      </c>
      <c r="V196" s="179" t="str">
        <f ca="1">IF(AND(L196&lt;&gt;"-",Q196&lt;&gt;"bypass"),IFERROR(5/50*X196,"-"),Calculation!AI177)</f>
        <v>-</v>
      </c>
      <c r="W196" s="179" t="str">
        <f ca="1">IF(AND(L196&lt;&gt;"-",Q196&lt;&gt;"bypass"),IFERROR(35/50*X196,"-"),Calculation!AJ177)</f>
        <v>-</v>
      </c>
      <c r="X196" s="179" t="str">
        <f ca="1">IF(AND(L196&lt;&gt;"-",Q196&lt;&gt;"bypass"),$W$23,Calculation!AL177)</f>
        <v>-</v>
      </c>
      <c r="Y196" s="183" t="str">
        <f ca="1">IF(AND(L196&lt;&gt;"-",Q196&lt;&gt;"bypass"),IFERROR($R$23*U196/SUM(R196:U196),"-"),Calculation!AP177)</f>
        <v>-</v>
      </c>
      <c r="Z196" s="184" t="str">
        <f t="shared" ca="1" si="10"/>
        <v>-</v>
      </c>
      <c r="AA196" s="185" t="str">
        <f ca="1">IFERROR(IF(I196=0,"-",IF(AND(ROUND(H196*I196*X196/($W$10*10^3),1)&gt;=Calculation!$O$6,ROUND((((U196)*$R$23/0.05)-((S196)+(H196*I196*X196/($W$10*10^3))+(U196))),1)&gt;=0),Cluster!$W$8,IF(AND(ROUND(H196*I196*X196/($X$10*10^3),1)&gt;=Calculation!$O$6,ROUND((((U196)*$R$23/0.05)-((S196)+(H196*I196*X196/($X$10*10^3))+(U196))),1)&gt;=0),Cluster!$X$8,IF(AND(ROUND(H196*I196*X196/($Y$10*10^3),1)&gt;=Calculation!$O$6,ROUND((((U196)*$R$23/0.05)-((S196)+(H196*I196*X196/($Y$10*10^3))+(U196))),1)&gt;=0),Cluster!$Y$8,"Recepie by hand needed")))),"-")</f>
        <v>-</v>
      </c>
      <c r="AC196" s="37" t="str">
        <f t="shared" ca="1" si="11"/>
        <v>-</v>
      </c>
      <c r="AD196" s="37" t="str">
        <f t="shared" ca="1" si="12"/>
        <v>-</v>
      </c>
      <c r="AE196" s="220" t="str">
        <f t="shared" ca="1" si="13"/>
        <v>-</v>
      </c>
      <c r="AF196" s="37" t="str">
        <f t="shared" ca="1" si="14"/>
        <v>-</v>
      </c>
    </row>
    <row r="197" spans="1:32" ht="14.25" x14ac:dyDescent="0.5">
      <c r="A197" s="170" t="str">
        <f>Calculation!I178</f>
        <v/>
      </c>
      <c r="B197" s="221" t="str">
        <f ca="1">Calculation!B178</f>
        <v/>
      </c>
      <c r="C197" s="221" t="str">
        <f ca="1">Calculation!C178</f>
        <v/>
      </c>
      <c r="D197" s="172" t="str">
        <f ca="1">Calculation!AN178</f>
        <v/>
      </c>
      <c r="E197" s="173" t="str">
        <f ca="1">Calculation!D178</f>
        <v/>
      </c>
      <c r="F197" s="174" t="str">
        <f ca="1">Calculation!C178</f>
        <v/>
      </c>
      <c r="G197" s="175" t="str">
        <f ca="1">Calculation!F178</f>
        <v/>
      </c>
      <c r="H197" s="176" t="str">
        <f ca="1">Calculation!AD178</f>
        <v/>
      </c>
      <c r="I197" s="177" t="str">
        <f ca="1">Calculation!AE178</f>
        <v/>
      </c>
      <c r="J197" s="272" t="str">
        <f ca="1">IF(Calculation!Q178="","Selection",Calculation!Q178)</f>
        <v>Selection</v>
      </c>
      <c r="K197" s="179" t="str">
        <f ca="1">Calculation!T178</f>
        <v/>
      </c>
      <c r="L197" s="180" t="str">
        <f ca="1">Calculation!U178</f>
        <v>-</v>
      </c>
      <c r="M197" s="180" t="str">
        <f ca="1">Calculation!V178</f>
        <v>-</v>
      </c>
      <c r="N197" s="181"/>
      <c r="O197" s="180" t="str">
        <f ca="1">Calculation!X178</f>
        <v>-</v>
      </c>
      <c r="P197" s="180" t="str">
        <f ca="1">Calculation!Y178</f>
        <v>-</v>
      </c>
      <c r="Q197" s="273"/>
      <c r="R197" s="182" t="str">
        <f ca="1">IF(AND(L197&lt;&gt;"-",Q197&lt;&gt;"bypass"),IFERROR(IF((U197*$R$23/0.05)-SUM(S197:U197)&gt;0,(U197*$R$23/0.05)-SUM(S197:U197),0),"-"),Calculation!AH178)</f>
        <v>-</v>
      </c>
      <c r="S197" s="179" t="str">
        <f ca="1">IF(AND(L197&lt;&gt;"-",Q197&lt;&gt;"bypass"),IFERROR(X197*((H197*10^-12-H197*10^-12*I197)/(Calculation!$U$8*10^-9)),"-"),Calculation!AF178)</f>
        <v>-</v>
      </c>
      <c r="T197" s="179" t="str">
        <f ca="1">IF(AND(L197&lt;&gt;"-",Q197&lt;&gt;"bypass"),IFERROR(H197*I197*X197/(IF(Cluster!AA197=Cluster!$W$8,Cluster!$W$10,IF(Cluster!AA197=Cluster!$X$8,Cluster!$X$10,IF(Cluster!AA197=Cluster!$Y$8,Cluster!$Y$10,0)))*10^3),"-"),Calculation!AK178)</f>
        <v>-</v>
      </c>
      <c r="U197" s="179" t="str">
        <f ca="1">IF(AND(L197&lt;&gt;"-",Q197&lt;&gt;"bypass"),IFERROR((0.5/50)*X197/$R$23,"-"),Calculation!AG178)</f>
        <v>-</v>
      </c>
      <c r="V197" s="179" t="str">
        <f ca="1">IF(AND(L197&lt;&gt;"-",Q197&lt;&gt;"bypass"),IFERROR(5/50*X197,"-"),Calculation!AI178)</f>
        <v>-</v>
      </c>
      <c r="W197" s="179" t="str">
        <f ca="1">IF(AND(L197&lt;&gt;"-",Q197&lt;&gt;"bypass"),IFERROR(35/50*X197,"-"),Calculation!AJ178)</f>
        <v>-</v>
      </c>
      <c r="X197" s="179" t="str">
        <f ca="1">IF(AND(L197&lt;&gt;"-",Q197&lt;&gt;"bypass"),$W$23,Calculation!AL178)</f>
        <v>-</v>
      </c>
      <c r="Y197" s="183" t="str">
        <f ca="1">IF(AND(L197&lt;&gt;"-",Q197&lt;&gt;"bypass"),IFERROR($R$23*U197/SUM(R197:U197),"-"),Calculation!AP178)</f>
        <v>-</v>
      </c>
      <c r="Z197" s="184" t="str">
        <f t="shared" ca="1" si="10"/>
        <v>-</v>
      </c>
      <c r="AA197" s="185" t="str">
        <f ca="1">IFERROR(IF(I197=0,"-",IF(AND(ROUND(H197*I197*X197/($W$10*10^3),1)&gt;=Calculation!$O$6,ROUND((((U197)*$R$23/0.05)-((S197)+(H197*I197*X197/($W$10*10^3))+(U197))),1)&gt;=0),Cluster!$W$8,IF(AND(ROUND(H197*I197*X197/($X$10*10^3),1)&gt;=Calculation!$O$6,ROUND((((U197)*$R$23/0.05)-((S197)+(H197*I197*X197/($X$10*10^3))+(U197))),1)&gt;=0),Cluster!$X$8,IF(AND(ROUND(H197*I197*X197/($Y$10*10^3),1)&gt;=Calculation!$O$6,ROUND((((U197)*$R$23/0.05)-((S197)+(H197*I197*X197/($Y$10*10^3))+(U197))),1)&gt;=0),Cluster!$Y$8,"Recepie by hand needed")))),"-")</f>
        <v>-</v>
      </c>
      <c r="AC197" s="37" t="str">
        <f t="shared" ca="1" si="11"/>
        <v>-</v>
      </c>
      <c r="AD197" s="37" t="str">
        <f t="shared" ca="1" si="12"/>
        <v>-</v>
      </c>
      <c r="AE197" s="220" t="str">
        <f t="shared" ca="1" si="13"/>
        <v>-</v>
      </c>
      <c r="AF197" s="37" t="str">
        <f t="shared" ca="1" si="14"/>
        <v>-</v>
      </c>
    </row>
    <row r="198" spans="1:32" ht="14.25" x14ac:dyDescent="0.5">
      <c r="A198" s="170" t="str">
        <f>Calculation!I179</f>
        <v/>
      </c>
      <c r="B198" s="221" t="str">
        <f ca="1">Calculation!B179</f>
        <v/>
      </c>
      <c r="C198" s="221" t="str">
        <f ca="1">Calculation!C179</f>
        <v/>
      </c>
      <c r="D198" s="172" t="str">
        <f ca="1">Calculation!AN179</f>
        <v/>
      </c>
      <c r="E198" s="173" t="str">
        <f ca="1">Calculation!D179</f>
        <v/>
      </c>
      <c r="F198" s="174" t="str">
        <f ca="1">Calculation!C179</f>
        <v/>
      </c>
      <c r="G198" s="175" t="str">
        <f ca="1">Calculation!F179</f>
        <v/>
      </c>
      <c r="H198" s="176" t="str">
        <f ca="1">Calculation!AD179</f>
        <v/>
      </c>
      <c r="I198" s="177" t="str">
        <f ca="1">Calculation!AE179</f>
        <v/>
      </c>
      <c r="J198" s="272" t="str">
        <f ca="1">IF(Calculation!Q179="","Selection",Calculation!Q179)</f>
        <v>Selection</v>
      </c>
      <c r="K198" s="179" t="str">
        <f ca="1">Calculation!T179</f>
        <v/>
      </c>
      <c r="L198" s="180" t="str">
        <f ca="1">Calculation!U179</f>
        <v>-</v>
      </c>
      <c r="M198" s="180" t="str">
        <f ca="1">Calculation!V179</f>
        <v>-</v>
      </c>
      <c r="N198" s="181"/>
      <c r="O198" s="180" t="str">
        <f ca="1">Calculation!X179</f>
        <v>-</v>
      </c>
      <c r="P198" s="180" t="str">
        <f ca="1">Calculation!Y179</f>
        <v>-</v>
      </c>
      <c r="Q198" s="273"/>
      <c r="R198" s="182" t="str">
        <f ca="1">IF(AND(L198&lt;&gt;"-",Q198&lt;&gt;"bypass"),IFERROR(IF((U198*$R$23/0.05)-SUM(S198:U198)&gt;0,(U198*$R$23/0.05)-SUM(S198:U198),0),"-"),Calculation!AH179)</f>
        <v>-</v>
      </c>
      <c r="S198" s="179" t="str">
        <f ca="1">IF(AND(L198&lt;&gt;"-",Q198&lt;&gt;"bypass"),IFERROR(X198*((H198*10^-12-H198*10^-12*I198)/(Calculation!$U$8*10^-9)),"-"),Calculation!AF179)</f>
        <v>-</v>
      </c>
      <c r="T198" s="179" t="str">
        <f ca="1">IF(AND(L198&lt;&gt;"-",Q198&lt;&gt;"bypass"),IFERROR(H198*I198*X198/(IF(Cluster!AA198=Cluster!$W$8,Cluster!$W$10,IF(Cluster!AA198=Cluster!$X$8,Cluster!$X$10,IF(Cluster!AA198=Cluster!$Y$8,Cluster!$Y$10,0)))*10^3),"-"),Calculation!AK179)</f>
        <v>-</v>
      </c>
      <c r="U198" s="179" t="str">
        <f ca="1">IF(AND(L198&lt;&gt;"-",Q198&lt;&gt;"bypass"),IFERROR((0.5/50)*X198/$R$23,"-"),Calculation!AG179)</f>
        <v>-</v>
      </c>
      <c r="V198" s="179" t="str">
        <f ca="1">IF(AND(L198&lt;&gt;"-",Q198&lt;&gt;"bypass"),IFERROR(5/50*X198,"-"),Calculation!AI179)</f>
        <v>-</v>
      </c>
      <c r="W198" s="179" t="str">
        <f ca="1">IF(AND(L198&lt;&gt;"-",Q198&lt;&gt;"bypass"),IFERROR(35/50*X198,"-"),Calculation!AJ179)</f>
        <v>-</v>
      </c>
      <c r="X198" s="179" t="str">
        <f ca="1">IF(AND(L198&lt;&gt;"-",Q198&lt;&gt;"bypass"),$W$23,Calculation!AL179)</f>
        <v>-</v>
      </c>
      <c r="Y198" s="183" t="str">
        <f ca="1">IF(AND(L198&lt;&gt;"-",Q198&lt;&gt;"bypass"),IFERROR($R$23*U198/SUM(R198:U198),"-"),Calculation!AP179)</f>
        <v>-</v>
      </c>
      <c r="Z198" s="184" t="str">
        <f t="shared" ca="1" si="10"/>
        <v>-</v>
      </c>
      <c r="AA198" s="185" t="str">
        <f ca="1">IFERROR(IF(I198=0,"-",IF(AND(ROUND(H198*I198*X198/($W$10*10^3),1)&gt;=Calculation!$O$6,ROUND((((U198)*$R$23/0.05)-((S198)+(H198*I198*X198/($W$10*10^3))+(U198))),1)&gt;=0),Cluster!$W$8,IF(AND(ROUND(H198*I198*X198/($X$10*10^3),1)&gt;=Calculation!$O$6,ROUND((((U198)*$R$23/0.05)-((S198)+(H198*I198*X198/($X$10*10^3))+(U198))),1)&gt;=0),Cluster!$X$8,IF(AND(ROUND(H198*I198*X198/($Y$10*10^3),1)&gt;=Calculation!$O$6,ROUND((((U198)*$R$23/0.05)-((S198)+(H198*I198*X198/($Y$10*10^3))+(U198))),1)&gt;=0),Cluster!$Y$8,"Recepie by hand needed")))),"-")</f>
        <v>-</v>
      </c>
      <c r="AC198" s="37" t="str">
        <f t="shared" ca="1" si="11"/>
        <v>-</v>
      </c>
      <c r="AD198" s="37" t="str">
        <f t="shared" ca="1" si="12"/>
        <v>-</v>
      </c>
      <c r="AE198" s="220" t="str">
        <f t="shared" ca="1" si="13"/>
        <v>-</v>
      </c>
      <c r="AF198" s="37" t="str">
        <f t="shared" ca="1" si="14"/>
        <v>-</v>
      </c>
    </row>
    <row r="199" spans="1:32" ht="14.25" x14ac:dyDescent="0.5">
      <c r="A199" s="170" t="str">
        <f>Calculation!I180</f>
        <v/>
      </c>
      <c r="B199" s="221" t="str">
        <f ca="1">Calculation!B180</f>
        <v/>
      </c>
      <c r="C199" s="221" t="str">
        <f ca="1">Calculation!C180</f>
        <v/>
      </c>
      <c r="D199" s="172" t="str">
        <f ca="1">Calculation!AN180</f>
        <v/>
      </c>
      <c r="E199" s="173" t="str">
        <f ca="1">Calculation!D180</f>
        <v/>
      </c>
      <c r="F199" s="174" t="str">
        <f ca="1">Calculation!C180</f>
        <v/>
      </c>
      <c r="G199" s="175" t="str">
        <f ca="1">Calculation!F180</f>
        <v/>
      </c>
      <c r="H199" s="176" t="str">
        <f ca="1">Calculation!AD180</f>
        <v/>
      </c>
      <c r="I199" s="177" t="str">
        <f ca="1">Calculation!AE180</f>
        <v/>
      </c>
      <c r="J199" s="272" t="str">
        <f ca="1">IF(Calculation!Q180="","Selection",Calculation!Q180)</f>
        <v>Selection</v>
      </c>
      <c r="K199" s="179" t="str">
        <f ca="1">Calculation!T180</f>
        <v/>
      </c>
      <c r="L199" s="180" t="str">
        <f ca="1">Calculation!U180</f>
        <v>-</v>
      </c>
      <c r="M199" s="180" t="str">
        <f ca="1">Calculation!V180</f>
        <v>-</v>
      </c>
      <c r="N199" s="181"/>
      <c r="O199" s="180" t="str">
        <f ca="1">Calculation!X180</f>
        <v>-</v>
      </c>
      <c r="P199" s="180" t="str">
        <f ca="1">Calculation!Y180</f>
        <v>-</v>
      </c>
      <c r="Q199" s="273"/>
      <c r="R199" s="182" t="str">
        <f ca="1">IF(AND(L199&lt;&gt;"-",Q199&lt;&gt;"bypass"),IFERROR(IF((U199*$R$23/0.05)-SUM(S199:U199)&gt;0,(U199*$R$23/0.05)-SUM(S199:U199),0),"-"),Calculation!AH180)</f>
        <v>-</v>
      </c>
      <c r="S199" s="179" t="str">
        <f ca="1">IF(AND(L199&lt;&gt;"-",Q199&lt;&gt;"bypass"),IFERROR(X199*((H199*10^-12-H199*10^-12*I199)/(Calculation!$U$8*10^-9)),"-"),Calculation!AF180)</f>
        <v>-</v>
      </c>
      <c r="T199" s="179" t="str">
        <f ca="1">IF(AND(L199&lt;&gt;"-",Q199&lt;&gt;"bypass"),IFERROR(H199*I199*X199/(IF(Cluster!AA199=Cluster!$W$8,Cluster!$W$10,IF(Cluster!AA199=Cluster!$X$8,Cluster!$X$10,IF(Cluster!AA199=Cluster!$Y$8,Cluster!$Y$10,0)))*10^3),"-"),Calculation!AK180)</f>
        <v>-</v>
      </c>
      <c r="U199" s="179" t="str">
        <f ca="1">IF(AND(L199&lt;&gt;"-",Q199&lt;&gt;"bypass"),IFERROR((0.5/50)*X199/$R$23,"-"),Calculation!AG180)</f>
        <v>-</v>
      </c>
      <c r="V199" s="179" t="str">
        <f ca="1">IF(AND(L199&lt;&gt;"-",Q199&lt;&gt;"bypass"),IFERROR(5/50*X199,"-"),Calculation!AI180)</f>
        <v>-</v>
      </c>
      <c r="W199" s="179" t="str">
        <f ca="1">IF(AND(L199&lt;&gt;"-",Q199&lt;&gt;"bypass"),IFERROR(35/50*X199,"-"),Calculation!AJ180)</f>
        <v>-</v>
      </c>
      <c r="X199" s="179" t="str">
        <f ca="1">IF(AND(L199&lt;&gt;"-",Q199&lt;&gt;"bypass"),$W$23,Calculation!AL180)</f>
        <v>-</v>
      </c>
      <c r="Y199" s="183" t="str">
        <f ca="1">IF(AND(L199&lt;&gt;"-",Q199&lt;&gt;"bypass"),IFERROR($R$23*U199/SUM(R199:U199),"-"),Calculation!AP180)</f>
        <v>-</v>
      </c>
      <c r="Z199" s="184" t="str">
        <f t="shared" ca="1" si="10"/>
        <v>-</v>
      </c>
      <c r="AA199" s="185" t="str">
        <f ca="1">IFERROR(IF(I199=0,"-",IF(AND(ROUND(H199*I199*X199/($W$10*10^3),1)&gt;=Calculation!$O$6,ROUND((((U199)*$R$23/0.05)-((S199)+(H199*I199*X199/($W$10*10^3))+(U199))),1)&gt;=0),Cluster!$W$8,IF(AND(ROUND(H199*I199*X199/($X$10*10^3),1)&gt;=Calculation!$O$6,ROUND((((U199)*$R$23/0.05)-((S199)+(H199*I199*X199/($X$10*10^3))+(U199))),1)&gt;=0),Cluster!$X$8,IF(AND(ROUND(H199*I199*X199/($Y$10*10^3),1)&gt;=Calculation!$O$6,ROUND((((U199)*$R$23/0.05)-((S199)+(H199*I199*X199/($Y$10*10^3))+(U199))),1)&gt;=0),Cluster!$Y$8,"Recepie by hand needed")))),"-")</f>
        <v>-</v>
      </c>
      <c r="AC199" s="37" t="str">
        <f t="shared" ca="1" si="11"/>
        <v>-</v>
      </c>
      <c r="AD199" s="37" t="str">
        <f t="shared" ca="1" si="12"/>
        <v>-</v>
      </c>
      <c r="AE199" s="220" t="str">
        <f t="shared" ca="1" si="13"/>
        <v>-</v>
      </c>
      <c r="AF199" s="37" t="str">
        <f t="shared" ca="1" si="14"/>
        <v>-</v>
      </c>
    </row>
    <row r="200" spans="1:32" ht="14.25" x14ac:dyDescent="0.5">
      <c r="A200" s="170" t="str">
        <f>Calculation!I181</f>
        <v/>
      </c>
      <c r="B200" s="221" t="str">
        <f ca="1">Calculation!B181</f>
        <v/>
      </c>
      <c r="C200" s="221" t="str">
        <f ca="1">Calculation!C181</f>
        <v/>
      </c>
      <c r="D200" s="172" t="str">
        <f ca="1">Calculation!AN181</f>
        <v/>
      </c>
      <c r="E200" s="173" t="str">
        <f ca="1">Calculation!D181</f>
        <v/>
      </c>
      <c r="F200" s="174" t="str">
        <f ca="1">Calculation!C181</f>
        <v/>
      </c>
      <c r="G200" s="175" t="str">
        <f ca="1">Calculation!F181</f>
        <v/>
      </c>
      <c r="H200" s="176" t="str">
        <f ca="1">Calculation!AD181</f>
        <v/>
      </c>
      <c r="I200" s="177" t="str">
        <f ca="1">Calculation!AE181</f>
        <v/>
      </c>
      <c r="J200" s="272" t="str">
        <f ca="1">IF(Calculation!Q181="","Selection",Calculation!Q181)</f>
        <v>Selection</v>
      </c>
      <c r="K200" s="179" t="str">
        <f ca="1">Calculation!T181</f>
        <v/>
      </c>
      <c r="L200" s="180" t="str">
        <f ca="1">Calculation!U181</f>
        <v>-</v>
      </c>
      <c r="M200" s="180" t="str">
        <f ca="1">Calculation!V181</f>
        <v>-</v>
      </c>
      <c r="N200" s="181"/>
      <c r="O200" s="180" t="str">
        <f ca="1">Calculation!X181</f>
        <v>-</v>
      </c>
      <c r="P200" s="180" t="str">
        <f ca="1">Calculation!Y181</f>
        <v>-</v>
      </c>
      <c r="Q200" s="273"/>
      <c r="R200" s="182" t="str">
        <f ca="1">IF(AND(L200&lt;&gt;"-",Q200&lt;&gt;"bypass"),IFERROR(IF((U200*$R$23/0.05)-SUM(S200:U200)&gt;0,(U200*$R$23/0.05)-SUM(S200:U200),0),"-"),Calculation!AH181)</f>
        <v>-</v>
      </c>
      <c r="S200" s="179" t="str">
        <f ca="1">IF(AND(L200&lt;&gt;"-",Q200&lt;&gt;"bypass"),IFERROR(X200*((H200*10^-12-H200*10^-12*I200)/(Calculation!$U$8*10^-9)),"-"),Calculation!AF181)</f>
        <v>-</v>
      </c>
      <c r="T200" s="179" t="str">
        <f ca="1">IF(AND(L200&lt;&gt;"-",Q200&lt;&gt;"bypass"),IFERROR(H200*I200*X200/(IF(Cluster!AA200=Cluster!$W$8,Cluster!$W$10,IF(Cluster!AA200=Cluster!$X$8,Cluster!$X$10,IF(Cluster!AA200=Cluster!$Y$8,Cluster!$Y$10,0)))*10^3),"-"),Calculation!AK181)</f>
        <v>-</v>
      </c>
      <c r="U200" s="179" t="str">
        <f ca="1">IF(AND(L200&lt;&gt;"-",Q200&lt;&gt;"bypass"),IFERROR((0.5/50)*X200/$R$23,"-"),Calculation!AG181)</f>
        <v>-</v>
      </c>
      <c r="V200" s="179" t="str">
        <f ca="1">IF(AND(L200&lt;&gt;"-",Q200&lt;&gt;"bypass"),IFERROR(5/50*X200,"-"),Calculation!AI181)</f>
        <v>-</v>
      </c>
      <c r="W200" s="179" t="str">
        <f ca="1">IF(AND(L200&lt;&gt;"-",Q200&lt;&gt;"bypass"),IFERROR(35/50*X200,"-"),Calculation!AJ181)</f>
        <v>-</v>
      </c>
      <c r="X200" s="179" t="str">
        <f ca="1">IF(AND(L200&lt;&gt;"-",Q200&lt;&gt;"bypass"),$W$23,Calculation!AL181)</f>
        <v>-</v>
      </c>
      <c r="Y200" s="183" t="str">
        <f ca="1">IF(AND(L200&lt;&gt;"-",Q200&lt;&gt;"bypass"),IFERROR($R$23*U200/SUM(R200:U200),"-"),Calculation!AP181)</f>
        <v>-</v>
      </c>
      <c r="Z200" s="184" t="str">
        <f t="shared" ca="1" si="10"/>
        <v>-</v>
      </c>
      <c r="AA200" s="185" t="str">
        <f ca="1">IFERROR(IF(I200=0,"-",IF(AND(ROUND(H200*I200*X200/($W$10*10^3),1)&gt;=Calculation!$O$6,ROUND((((U200)*$R$23/0.05)-((S200)+(H200*I200*X200/($W$10*10^3))+(U200))),1)&gt;=0),Cluster!$W$8,IF(AND(ROUND(H200*I200*X200/($X$10*10^3),1)&gt;=Calculation!$O$6,ROUND((((U200)*$R$23/0.05)-((S200)+(H200*I200*X200/($X$10*10^3))+(U200))),1)&gt;=0),Cluster!$X$8,IF(AND(ROUND(H200*I200*X200/($Y$10*10^3),1)&gt;=Calculation!$O$6,ROUND((((U200)*$R$23/0.05)-((S200)+(H200*I200*X200/($Y$10*10^3))+(U200))),1)&gt;=0),Cluster!$Y$8,"Recepie by hand needed")))),"-")</f>
        <v>-</v>
      </c>
      <c r="AC200" s="37" t="str">
        <f t="shared" ca="1" si="11"/>
        <v>-</v>
      </c>
      <c r="AD200" s="37" t="str">
        <f t="shared" ca="1" si="12"/>
        <v>-</v>
      </c>
      <c r="AE200" s="220" t="str">
        <f t="shared" ca="1" si="13"/>
        <v>-</v>
      </c>
      <c r="AF200" s="37" t="str">
        <f t="shared" ca="1" si="14"/>
        <v>-</v>
      </c>
    </row>
    <row r="201" spans="1:32" ht="14.25" x14ac:dyDescent="0.5">
      <c r="A201" s="170" t="str">
        <f>Calculation!I182</f>
        <v/>
      </c>
      <c r="B201" s="221" t="str">
        <f ca="1">Calculation!B182</f>
        <v/>
      </c>
      <c r="C201" s="221" t="str">
        <f ca="1">Calculation!C182</f>
        <v/>
      </c>
      <c r="D201" s="172" t="str">
        <f ca="1">Calculation!AN182</f>
        <v/>
      </c>
      <c r="E201" s="173" t="str">
        <f ca="1">Calculation!D182</f>
        <v/>
      </c>
      <c r="F201" s="174" t="str">
        <f ca="1">Calculation!C182</f>
        <v/>
      </c>
      <c r="G201" s="175" t="str">
        <f ca="1">Calculation!F182</f>
        <v/>
      </c>
      <c r="H201" s="176" t="str">
        <f ca="1">Calculation!AD182</f>
        <v/>
      </c>
      <c r="I201" s="177" t="str">
        <f ca="1">Calculation!AE182</f>
        <v/>
      </c>
      <c r="J201" s="272" t="str">
        <f ca="1">IF(Calculation!Q182="","Selection",Calculation!Q182)</f>
        <v>Selection</v>
      </c>
      <c r="K201" s="179" t="str">
        <f ca="1">Calculation!T182</f>
        <v/>
      </c>
      <c r="L201" s="180" t="str">
        <f ca="1">Calculation!U182</f>
        <v>-</v>
      </c>
      <c r="M201" s="180" t="str">
        <f ca="1">Calculation!V182</f>
        <v>-</v>
      </c>
      <c r="N201" s="181"/>
      <c r="O201" s="180" t="str">
        <f ca="1">Calculation!X182</f>
        <v>-</v>
      </c>
      <c r="P201" s="180" t="str">
        <f ca="1">Calculation!Y182</f>
        <v>-</v>
      </c>
      <c r="Q201" s="273"/>
      <c r="R201" s="182" t="str">
        <f ca="1">IF(AND(L201&lt;&gt;"-",Q201&lt;&gt;"bypass"),IFERROR(IF((U201*$R$23/0.05)-SUM(S201:U201)&gt;0,(U201*$R$23/0.05)-SUM(S201:U201),0),"-"),Calculation!AH182)</f>
        <v>-</v>
      </c>
      <c r="S201" s="179" t="str">
        <f ca="1">IF(AND(L201&lt;&gt;"-",Q201&lt;&gt;"bypass"),IFERROR(X201*((H201*10^-12-H201*10^-12*I201)/(Calculation!$U$8*10^-9)),"-"),Calculation!AF182)</f>
        <v>-</v>
      </c>
      <c r="T201" s="179" t="str">
        <f ca="1">IF(AND(L201&lt;&gt;"-",Q201&lt;&gt;"bypass"),IFERROR(H201*I201*X201/(IF(Cluster!AA201=Cluster!$W$8,Cluster!$W$10,IF(Cluster!AA201=Cluster!$X$8,Cluster!$X$10,IF(Cluster!AA201=Cluster!$Y$8,Cluster!$Y$10,0)))*10^3),"-"),Calculation!AK182)</f>
        <v>-</v>
      </c>
      <c r="U201" s="179" t="str">
        <f ca="1">IF(AND(L201&lt;&gt;"-",Q201&lt;&gt;"bypass"),IFERROR((0.5/50)*X201/$R$23,"-"),Calculation!AG182)</f>
        <v>-</v>
      </c>
      <c r="V201" s="179" t="str">
        <f ca="1">IF(AND(L201&lt;&gt;"-",Q201&lt;&gt;"bypass"),IFERROR(5/50*X201,"-"),Calculation!AI182)</f>
        <v>-</v>
      </c>
      <c r="W201" s="179" t="str">
        <f ca="1">IF(AND(L201&lt;&gt;"-",Q201&lt;&gt;"bypass"),IFERROR(35/50*X201,"-"),Calculation!AJ182)</f>
        <v>-</v>
      </c>
      <c r="X201" s="179" t="str">
        <f ca="1">IF(AND(L201&lt;&gt;"-",Q201&lt;&gt;"bypass"),$W$23,Calculation!AL182)</f>
        <v>-</v>
      </c>
      <c r="Y201" s="183" t="str">
        <f ca="1">IF(AND(L201&lt;&gt;"-",Q201&lt;&gt;"bypass"),IFERROR($R$23*U201/SUM(R201:U201),"-"),Calculation!AP182)</f>
        <v>-</v>
      </c>
      <c r="Z201" s="184" t="str">
        <f t="shared" ca="1" si="10"/>
        <v>-</v>
      </c>
      <c r="AA201" s="185" t="str">
        <f ca="1">IFERROR(IF(I201=0,"-",IF(AND(ROUND(H201*I201*X201/($W$10*10^3),1)&gt;=Calculation!$O$6,ROUND((((U201)*$R$23/0.05)-((S201)+(H201*I201*X201/($W$10*10^3))+(U201))),1)&gt;=0),Cluster!$W$8,IF(AND(ROUND(H201*I201*X201/($X$10*10^3),1)&gt;=Calculation!$O$6,ROUND((((U201)*$R$23/0.05)-((S201)+(H201*I201*X201/($X$10*10^3))+(U201))),1)&gt;=0),Cluster!$X$8,IF(AND(ROUND(H201*I201*X201/($Y$10*10^3),1)&gt;=Calculation!$O$6,ROUND((((U201)*$R$23/0.05)-((S201)+(H201*I201*X201/($Y$10*10^3))+(U201))),1)&gt;=0),Cluster!$Y$8,"Recepie by hand needed")))),"-")</f>
        <v>-</v>
      </c>
      <c r="AC201" s="37" t="str">
        <f t="shared" ca="1" si="11"/>
        <v>-</v>
      </c>
      <c r="AD201" s="37" t="str">
        <f t="shared" ca="1" si="12"/>
        <v>-</v>
      </c>
      <c r="AE201" s="220" t="str">
        <f t="shared" ca="1" si="13"/>
        <v>-</v>
      </c>
      <c r="AF201" s="37" t="str">
        <f t="shared" ca="1" si="14"/>
        <v>-</v>
      </c>
    </row>
    <row r="202" spans="1:32" ht="14.25" x14ac:dyDescent="0.5">
      <c r="A202" s="170" t="str">
        <f>Calculation!I183</f>
        <v/>
      </c>
      <c r="B202" s="221" t="str">
        <f ca="1">Calculation!B183</f>
        <v/>
      </c>
      <c r="C202" s="221" t="str">
        <f ca="1">Calculation!C183</f>
        <v/>
      </c>
      <c r="D202" s="172" t="str">
        <f ca="1">Calculation!AN183</f>
        <v/>
      </c>
      <c r="E202" s="173" t="str">
        <f ca="1">Calculation!D183</f>
        <v/>
      </c>
      <c r="F202" s="174" t="str">
        <f ca="1">Calculation!C183</f>
        <v/>
      </c>
      <c r="G202" s="175" t="str">
        <f ca="1">Calculation!F183</f>
        <v/>
      </c>
      <c r="H202" s="176" t="str">
        <f ca="1">Calculation!AD183</f>
        <v/>
      </c>
      <c r="I202" s="177" t="str">
        <f ca="1">Calculation!AE183</f>
        <v/>
      </c>
      <c r="J202" s="272" t="str">
        <f ca="1">IF(Calculation!Q183="","Selection",Calculation!Q183)</f>
        <v>Selection</v>
      </c>
      <c r="K202" s="179" t="str">
        <f ca="1">Calculation!T183</f>
        <v/>
      </c>
      <c r="L202" s="180" t="str">
        <f ca="1">Calculation!U183</f>
        <v>-</v>
      </c>
      <c r="M202" s="180" t="str">
        <f ca="1">Calculation!V183</f>
        <v>-</v>
      </c>
      <c r="N202" s="181"/>
      <c r="O202" s="180" t="str">
        <f ca="1">Calculation!X183</f>
        <v>-</v>
      </c>
      <c r="P202" s="180" t="str">
        <f ca="1">Calculation!Y183</f>
        <v>-</v>
      </c>
      <c r="Q202" s="273"/>
      <c r="R202" s="182" t="str">
        <f ca="1">IF(AND(L202&lt;&gt;"-",Q202&lt;&gt;"bypass"),IFERROR(IF((U202*$R$23/0.05)-SUM(S202:U202)&gt;0,(U202*$R$23/0.05)-SUM(S202:U202),0),"-"),Calculation!AH183)</f>
        <v>-</v>
      </c>
      <c r="S202" s="179" t="str">
        <f ca="1">IF(AND(L202&lt;&gt;"-",Q202&lt;&gt;"bypass"),IFERROR(X202*((H202*10^-12-H202*10^-12*I202)/(Calculation!$U$8*10^-9)),"-"),Calculation!AF183)</f>
        <v>-</v>
      </c>
      <c r="T202" s="179" t="str">
        <f ca="1">IF(AND(L202&lt;&gt;"-",Q202&lt;&gt;"bypass"),IFERROR(H202*I202*X202/(IF(Cluster!AA202=Cluster!$W$8,Cluster!$W$10,IF(Cluster!AA202=Cluster!$X$8,Cluster!$X$10,IF(Cluster!AA202=Cluster!$Y$8,Cluster!$Y$10,0)))*10^3),"-"),Calculation!AK183)</f>
        <v>-</v>
      </c>
      <c r="U202" s="179" t="str">
        <f ca="1">IF(AND(L202&lt;&gt;"-",Q202&lt;&gt;"bypass"),IFERROR((0.5/50)*X202/$R$23,"-"),Calculation!AG183)</f>
        <v>-</v>
      </c>
      <c r="V202" s="179" t="str">
        <f ca="1">IF(AND(L202&lt;&gt;"-",Q202&lt;&gt;"bypass"),IFERROR(5/50*X202,"-"),Calculation!AI183)</f>
        <v>-</v>
      </c>
      <c r="W202" s="179" t="str">
        <f ca="1">IF(AND(L202&lt;&gt;"-",Q202&lt;&gt;"bypass"),IFERROR(35/50*X202,"-"),Calculation!AJ183)</f>
        <v>-</v>
      </c>
      <c r="X202" s="179" t="str">
        <f ca="1">IF(AND(L202&lt;&gt;"-",Q202&lt;&gt;"bypass"),$W$23,Calculation!AL183)</f>
        <v>-</v>
      </c>
      <c r="Y202" s="183" t="str">
        <f ca="1">IF(AND(L202&lt;&gt;"-",Q202&lt;&gt;"bypass"),IFERROR($R$23*U202/SUM(R202:U202),"-"),Calculation!AP183)</f>
        <v>-</v>
      </c>
      <c r="Z202" s="184" t="str">
        <f t="shared" ca="1" si="10"/>
        <v>-</v>
      </c>
      <c r="AA202" s="185" t="str">
        <f ca="1">IFERROR(IF(I202=0,"-",IF(AND(ROUND(H202*I202*X202/($W$10*10^3),1)&gt;=Calculation!$O$6,ROUND((((U202)*$R$23/0.05)-((S202)+(H202*I202*X202/($W$10*10^3))+(U202))),1)&gt;=0),Cluster!$W$8,IF(AND(ROUND(H202*I202*X202/($X$10*10^3),1)&gt;=Calculation!$O$6,ROUND((((U202)*$R$23/0.05)-((S202)+(H202*I202*X202/($X$10*10^3))+(U202))),1)&gt;=0),Cluster!$X$8,IF(AND(ROUND(H202*I202*X202/($Y$10*10^3),1)&gt;=Calculation!$O$6,ROUND((((U202)*$R$23/0.05)-((S202)+(H202*I202*X202/($Y$10*10^3))+(U202))),1)&gt;=0),Cluster!$Y$8,"Recepie by hand needed")))),"-")</f>
        <v>-</v>
      </c>
      <c r="AC202" s="37" t="str">
        <f t="shared" ca="1" si="11"/>
        <v>-</v>
      </c>
      <c r="AD202" s="37" t="str">
        <f t="shared" ca="1" si="12"/>
        <v>-</v>
      </c>
      <c r="AE202" s="220" t="str">
        <f t="shared" ca="1" si="13"/>
        <v>-</v>
      </c>
      <c r="AF202" s="37" t="str">
        <f t="shared" ca="1" si="14"/>
        <v>-</v>
      </c>
    </row>
    <row r="203" spans="1:32" ht="14.25" x14ac:dyDescent="0.5">
      <c r="A203" s="170" t="str">
        <f>Calculation!I184</f>
        <v/>
      </c>
      <c r="B203" s="221" t="str">
        <f ca="1">Calculation!B184</f>
        <v/>
      </c>
      <c r="C203" s="221" t="str">
        <f ca="1">Calculation!C184</f>
        <v/>
      </c>
      <c r="D203" s="172" t="str">
        <f ca="1">Calculation!AN184</f>
        <v/>
      </c>
      <c r="E203" s="173" t="str">
        <f ca="1">Calculation!D184</f>
        <v/>
      </c>
      <c r="F203" s="174" t="str">
        <f ca="1">Calculation!C184</f>
        <v/>
      </c>
      <c r="G203" s="175" t="str">
        <f ca="1">Calculation!F184</f>
        <v/>
      </c>
      <c r="H203" s="176" t="str">
        <f ca="1">Calculation!AD184</f>
        <v/>
      </c>
      <c r="I203" s="177" t="str">
        <f ca="1">Calculation!AE184</f>
        <v/>
      </c>
      <c r="J203" s="272" t="str">
        <f ca="1">IF(Calculation!Q184="","Selection",Calculation!Q184)</f>
        <v>Selection</v>
      </c>
      <c r="K203" s="179" t="str">
        <f ca="1">Calculation!T184</f>
        <v/>
      </c>
      <c r="L203" s="180" t="str">
        <f ca="1">Calculation!U184</f>
        <v>-</v>
      </c>
      <c r="M203" s="180" t="str">
        <f ca="1">Calculation!V184</f>
        <v>-</v>
      </c>
      <c r="N203" s="181"/>
      <c r="O203" s="180" t="str">
        <f ca="1">Calculation!X184</f>
        <v>-</v>
      </c>
      <c r="P203" s="180" t="str">
        <f ca="1">Calculation!Y184</f>
        <v>-</v>
      </c>
      <c r="Q203" s="273"/>
      <c r="R203" s="182" t="str">
        <f ca="1">IF(AND(L203&lt;&gt;"-",Q203&lt;&gt;"bypass"),IFERROR(IF((U203*$R$23/0.05)-SUM(S203:U203)&gt;0,(U203*$R$23/0.05)-SUM(S203:U203),0),"-"),Calculation!AH184)</f>
        <v>-</v>
      </c>
      <c r="S203" s="179" t="str">
        <f ca="1">IF(AND(L203&lt;&gt;"-",Q203&lt;&gt;"bypass"),IFERROR(X203*((H203*10^-12-H203*10^-12*I203)/(Calculation!$U$8*10^-9)),"-"),Calculation!AF184)</f>
        <v>-</v>
      </c>
      <c r="T203" s="179" t="str">
        <f ca="1">IF(AND(L203&lt;&gt;"-",Q203&lt;&gt;"bypass"),IFERROR(H203*I203*X203/(IF(Cluster!AA203=Cluster!$W$8,Cluster!$W$10,IF(Cluster!AA203=Cluster!$X$8,Cluster!$X$10,IF(Cluster!AA203=Cluster!$Y$8,Cluster!$Y$10,0)))*10^3),"-"),Calculation!AK184)</f>
        <v>-</v>
      </c>
      <c r="U203" s="179" t="str">
        <f ca="1">IF(AND(L203&lt;&gt;"-",Q203&lt;&gt;"bypass"),IFERROR((0.5/50)*X203/$R$23,"-"),Calculation!AG184)</f>
        <v>-</v>
      </c>
      <c r="V203" s="179" t="str">
        <f ca="1">IF(AND(L203&lt;&gt;"-",Q203&lt;&gt;"bypass"),IFERROR(5/50*X203,"-"),Calculation!AI184)</f>
        <v>-</v>
      </c>
      <c r="W203" s="179" t="str">
        <f ca="1">IF(AND(L203&lt;&gt;"-",Q203&lt;&gt;"bypass"),IFERROR(35/50*X203,"-"),Calculation!AJ184)</f>
        <v>-</v>
      </c>
      <c r="X203" s="179" t="str">
        <f ca="1">IF(AND(L203&lt;&gt;"-",Q203&lt;&gt;"bypass"),$W$23,Calculation!AL184)</f>
        <v>-</v>
      </c>
      <c r="Y203" s="183" t="str">
        <f ca="1">IF(AND(L203&lt;&gt;"-",Q203&lt;&gt;"bypass"),IFERROR($R$23*U203/SUM(R203:U203),"-"),Calculation!AP184)</f>
        <v>-</v>
      </c>
      <c r="Z203" s="184" t="str">
        <f t="shared" ca="1" si="10"/>
        <v>-</v>
      </c>
      <c r="AA203" s="185" t="str">
        <f ca="1">IFERROR(IF(I203=0,"-",IF(AND(ROUND(H203*I203*X203/($W$10*10^3),1)&gt;=Calculation!$O$6,ROUND((((U203)*$R$23/0.05)-((S203)+(H203*I203*X203/($W$10*10^3))+(U203))),1)&gt;=0),Cluster!$W$8,IF(AND(ROUND(H203*I203*X203/($X$10*10^3),1)&gt;=Calculation!$O$6,ROUND((((U203)*$R$23/0.05)-((S203)+(H203*I203*X203/($X$10*10^3))+(U203))),1)&gt;=0),Cluster!$X$8,IF(AND(ROUND(H203*I203*X203/($Y$10*10^3),1)&gt;=Calculation!$O$6,ROUND((((U203)*$R$23/0.05)-((S203)+(H203*I203*X203/($Y$10*10^3))+(U203))),1)&gt;=0),Cluster!$Y$8,"Recepie by hand needed")))),"-")</f>
        <v>-</v>
      </c>
      <c r="AC203" s="37" t="str">
        <f t="shared" ca="1" si="11"/>
        <v>-</v>
      </c>
      <c r="AD203" s="37" t="str">
        <f t="shared" ca="1" si="12"/>
        <v>-</v>
      </c>
      <c r="AE203" s="220" t="str">
        <f t="shared" ca="1" si="13"/>
        <v>-</v>
      </c>
      <c r="AF203" s="37" t="str">
        <f t="shared" ca="1" si="14"/>
        <v>-</v>
      </c>
    </row>
    <row r="204" spans="1:32" ht="14.25" x14ac:dyDescent="0.5">
      <c r="A204" s="170" t="str">
        <f>Calculation!I185</f>
        <v/>
      </c>
      <c r="B204" s="221" t="str">
        <f ca="1">Calculation!B185</f>
        <v/>
      </c>
      <c r="C204" s="221" t="str">
        <f ca="1">Calculation!C185</f>
        <v/>
      </c>
      <c r="D204" s="172" t="str">
        <f ca="1">Calculation!AN185</f>
        <v/>
      </c>
      <c r="E204" s="173" t="str">
        <f ca="1">Calculation!D185</f>
        <v/>
      </c>
      <c r="F204" s="174" t="str">
        <f ca="1">Calculation!C185</f>
        <v/>
      </c>
      <c r="G204" s="175" t="str">
        <f ca="1">Calculation!F185</f>
        <v/>
      </c>
      <c r="H204" s="176" t="str">
        <f ca="1">Calculation!AD185</f>
        <v/>
      </c>
      <c r="I204" s="177" t="str">
        <f ca="1">Calculation!AE185</f>
        <v/>
      </c>
      <c r="J204" s="272" t="str">
        <f ca="1">IF(Calculation!Q185="","Selection",Calculation!Q185)</f>
        <v>Selection</v>
      </c>
      <c r="K204" s="179" t="str">
        <f ca="1">Calculation!T185</f>
        <v/>
      </c>
      <c r="L204" s="180" t="str">
        <f ca="1">Calculation!U185</f>
        <v>-</v>
      </c>
      <c r="M204" s="180" t="str">
        <f ca="1">Calculation!V185</f>
        <v>-</v>
      </c>
      <c r="N204" s="181"/>
      <c r="O204" s="180" t="str">
        <f ca="1">Calculation!X185</f>
        <v>-</v>
      </c>
      <c r="P204" s="180" t="str">
        <f ca="1">Calculation!Y185</f>
        <v>-</v>
      </c>
      <c r="Q204" s="273"/>
      <c r="R204" s="182" t="str">
        <f ca="1">IF(AND(L204&lt;&gt;"-",Q204&lt;&gt;"bypass"),IFERROR(IF((U204*$R$23/0.05)-SUM(S204:U204)&gt;0,(U204*$R$23/0.05)-SUM(S204:U204),0),"-"),Calculation!AH185)</f>
        <v>-</v>
      </c>
      <c r="S204" s="179" t="str">
        <f ca="1">IF(AND(L204&lt;&gt;"-",Q204&lt;&gt;"bypass"),IFERROR(X204*((H204*10^-12-H204*10^-12*I204)/(Calculation!$U$8*10^-9)),"-"),Calculation!AF185)</f>
        <v>-</v>
      </c>
      <c r="T204" s="179" t="str">
        <f ca="1">IF(AND(L204&lt;&gt;"-",Q204&lt;&gt;"bypass"),IFERROR(H204*I204*X204/(IF(Cluster!AA204=Cluster!$W$8,Cluster!$W$10,IF(Cluster!AA204=Cluster!$X$8,Cluster!$X$10,IF(Cluster!AA204=Cluster!$Y$8,Cluster!$Y$10,0)))*10^3),"-"),Calculation!AK185)</f>
        <v>-</v>
      </c>
      <c r="U204" s="179" t="str">
        <f ca="1">IF(AND(L204&lt;&gt;"-",Q204&lt;&gt;"bypass"),IFERROR((0.5/50)*X204/$R$23,"-"),Calculation!AG185)</f>
        <v>-</v>
      </c>
      <c r="V204" s="179" t="str">
        <f ca="1">IF(AND(L204&lt;&gt;"-",Q204&lt;&gt;"bypass"),IFERROR(5/50*X204,"-"),Calculation!AI185)</f>
        <v>-</v>
      </c>
      <c r="W204" s="179" t="str">
        <f ca="1">IF(AND(L204&lt;&gt;"-",Q204&lt;&gt;"bypass"),IFERROR(35/50*X204,"-"),Calculation!AJ185)</f>
        <v>-</v>
      </c>
      <c r="X204" s="179" t="str">
        <f ca="1">IF(AND(L204&lt;&gt;"-",Q204&lt;&gt;"bypass"),$W$23,Calculation!AL185)</f>
        <v>-</v>
      </c>
      <c r="Y204" s="183" t="str">
        <f ca="1">IF(AND(L204&lt;&gt;"-",Q204&lt;&gt;"bypass"),IFERROR($R$23*U204/SUM(R204:U204),"-"),Calculation!AP185)</f>
        <v>-</v>
      </c>
      <c r="Z204" s="184" t="str">
        <f t="shared" ca="1" si="10"/>
        <v>-</v>
      </c>
      <c r="AA204" s="185" t="str">
        <f ca="1">IFERROR(IF(I204=0,"-",IF(AND(ROUND(H204*I204*X204/($W$10*10^3),1)&gt;=Calculation!$O$6,ROUND((((U204)*$R$23/0.05)-((S204)+(H204*I204*X204/($W$10*10^3))+(U204))),1)&gt;=0),Cluster!$W$8,IF(AND(ROUND(H204*I204*X204/($X$10*10^3),1)&gt;=Calculation!$O$6,ROUND((((U204)*$R$23/0.05)-((S204)+(H204*I204*X204/($X$10*10^3))+(U204))),1)&gt;=0),Cluster!$X$8,IF(AND(ROUND(H204*I204*X204/($Y$10*10^3),1)&gt;=Calculation!$O$6,ROUND((((U204)*$R$23/0.05)-((S204)+(H204*I204*X204/($Y$10*10^3))+(U204))),1)&gt;=0),Cluster!$Y$8,"Recepie by hand needed")))),"-")</f>
        <v>-</v>
      </c>
      <c r="AC204" s="37" t="str">
        <f t="shared" ca="1" si="11"/>
        <v>-</v>
      </c>
      <c r="AD204" s="37" t="str">
        <f t="shared" ca="1" si="12"/>
        <v>-</v>
      </c>
      <c r="AE204" s="220" t="str">
        <f t="shared" ca="1" si="13"/>
        <v>-</v>
      </c>
      <c r="AF204" s="37" t="str">
        <f t="shared" ca="1" si="14"/>
        <v>-</v>
      </c>
    </row>
    <row r="205" spans="1:32" ht="14.25" x14ac:dyDescent="0.5">
      <c r="A205" s="170" t="str">
        <f>Calculation!I186</f>
        <v/>
      </c>
      <c r="B205" s="221" t="str">
        <f ca="1">Calculation!B186</f>
        <v/>
      </c>
      <c r="C205" s="221" t="str">
        <f ca="1">Calculation!C186</f>
        <v/>
      </c>
      <c r="D205" s="172" t="str">
        <f ca="1">Calculation!AN186</f>
        <v/>
      </c>
      <c r="E205" s="173" t="str">
        <f ca="1">Calculation!D186</f>
        <v/>
      </c>
      <c r="F205" s="174" t="str">
        <f ca="1">Calculation!C186</f>
        <v/>
      </c>
      <c r="G205" s="175" t="str">
        <f ca="1">Calculation!F186</f>
        <v/>
      </c>
      <c r="H205" s="176" t="str">
        <f ca="1">Calculation!AD186</f>
        <v/>
      </c>
      <c r="I205" s="177" t="str">
        <f ca="1">Calculation!AE186</f>
        <v/>
      </c>
      <c r="J205" s="272" t="str">
        <f ca="1">IF(Calculation!Q186="","Selection",Calculation!Q186)</f>
        <v>Selection</v>
      </c>
      <c r="K205" s="179" t="str">
        <f ca="1">Calculation!T186</f>
        <v/>
      </c>
      <c r="L205" s="180" t="str">
        <f ca="1">Calculation!U186</f>
        <v>-</v>
      </c>
      <c r="M205" s="180" t="str">
        <f ca="1">Calculation!V186</f>
        <v>-</v>
      </c>
      <c r="N205" s="181"/>
      <c r="O205" s="180" t="str">
        <f ca="1">Calculation!X186</f>
        <v>-</v>
      </c>
      <c r="P205" s="180" t="str">
        <f ca="1">Calculation!Y186</f>
        <v>-</v>
      </c>
      <c r="Q205" s="273"/>
      <c r="R205" s="182" t="str">
        <f ca="1">IF(AND(L205&lt;&gt;"-",Q205&lt;&gt;"bypass"),IFERROR(IF((U205*$R$23/0.05)-SUM(S205:U205)&gt;0,(U205*$R$23/0.05)-SUM(S205:U205),0),"-"),Calculation!AH186)</f>
        <v>-</v>
      </c>
      <c r="S205" s="179" t="str">
        <f ca="1">IF(AND(L205&lt;&gt;"-",Q205&lt;&gt;"bypass"),IFERROR(X205*((H205*10^-12-H205*10^-12*I205)/(Calculation!$U$8*10^-9)),"-"),Calculation!AF186)</f>
        <v>-</v>
      </c>
      <c r="T205" s="179" t="str">
        <f ca="1">IF(AND(L205&lt;&gt;"-",Q205&lt;&gt;"bypass"),IFERROR(H205*I205*X205/(IF(Cluster!AA205=Cluster!$W$8,Cluster!$W$10,IF(Cluster!AA205=Cluster!$X$8,Cluster!$X$10,IF(Cluster!AA205=Cluster!$Y$8,Cluster!$Y$10,0)))*10^3),"-"),Calculation!AK186)</f>
        <v>-</v>
      </c>
      <c r="U205" s="179" t="str">
        <f ca="1">IF(AND(L205&lt;&gt;"-",Q205&lt;&gt;"bypass"),IFERROR((0.5/50)*X205/$R$23,"-"),Calculation!AG186)</f>
        <v>-</v>
      </c>
      <c r="V205" s="179" t="str">
        <f ca="1">IF(AND(L205&lt;&gt;"-",Q205&lt;&gt;"bypass"),IFERROR(5/50*X205,"-"),Calculation!AI186)</f>
        <v>-</v>
      </c>
      <c r="W205" s="179" t="str">
        <f ca="1">IF(AND(L205&lt;&gt;"-",Q205&lt;&gt;"bypass"),IFERROR(35/50*X205,"-"),Calculation!AJ186)</f>
        <v>-</v>
      </c>
      <c r="X205" s="179" t="str">
        <f ca="1">IF(AND(L205&lt;&gt;"-",Q205&lt;&gt;"bypass"),$W$23,Calculation!AL186)</f>
        <v>-</v>
      </c>
      <c r="Y205" s="183" t="str">
        <f ca="1">IF(AND(L205&lt;&gt;"-",Q205&lt;&gt;"bypass"),IFERROR($R$23*U205/SUM(R205:U205),"-"),Calculation!AP186)</f>
        <v>-</v>
      </c>
      <c r="Z205" s="184" t="str">
        <f t="shared" ca="1" si="10"/>
        <v>-</v>
      </c>
      <c r="AA205" s="185" t="str">
        <f ca="1">IFERROR(IF(I205=0,"-",IF(AND(ROUND(H205*I205*X205/($W$10*10^3),1)&gt;=Calculation!$O$6,ROUND((((U205)*$R$23/0.05)-((S205)+(H205*I205*X205/($W$10*10^3))+(U205))),1)&gt;=0),Cluster!$W$8,IF(AND(ROUND(H205*I205*X205/($X$10*10^3),1)&gt;=Calculation!$O$6,ROUND((((U205)*$R$23/0.05)-((S205)+(H205*I205*X205/($X$10*10^3))+(U205))),1)&gt;=0),Cluster!$X$8,IF(AND(ROUND(H205*I205*X205/($Y$10*10^3),1)&gt;=Calculation!$O$6,ROUND((((U205)*$R$23/0.05)-((S205)+(H205*I205*X205/($Y$10*10^3))+(U205))),1)&gt;=0),Cluster!$Y$8,"Recepie by hand needed")))),"-")</f>
        <v>-</v>
      </c>
      <c r="AC205" s="37" t="str">
        <f t="shared" ca="1" si="11"/>
        <v>-</v>
      </c>
      <c r="AD205" s="37" t="str">
        <f t="shared" ca="1" si="12"/>
        <v>-</v>
      </c>
      <c r="AE205" s="220" t="str">
        <f t="shared" ca="1" si="13"/>
        <v>-</v>
      </c>
      <c r="AF205" s="37" t="str">
        <f t="shared" ca="1" si="14"/>
        <v>-</v>
      </c>
    </row>
    <row r="206" spans="1:32" ht="14.25" x14ac:dyDescent="0.5">
      <c r="A206" s="170" t="str">
        <f>Calculation!I187</f>
        <v/>
      </c>
      <c r="B206" s="221" t="str">
        <f ca="1">Calculation!B187</f>
        <v/>
      </c>
      <c r="C206" s="221" t="str">
        <f ca="1">Calculation!C187</f>
        <v/>
      </c>
      <c r="D206" s="172" t="str">
        <f ca="1">Calculation!AN187</f>
        <v/>
      </c>
      <c r="E206" s="173" t="str">
        <f ca="1">Calculation!D187</f>
        <v/>
      </c>
      <c r="F206" s="174" t="str">
        <f ca="1">Calculation!C187</f>
        <v/>
      </c>
      <c r="G206" s="175" t="str">
        <f ca="1">Calculation!F187</f>
        <v/>
      </c>
      <c r="H206" s="176" t="str">
        <f ca="1">Calculation!AD187</f>
        <v/>
      </c>
      <c r="I206" s="177" t="str">
        <f ca="1">Calculation!AE187</f>
        <v/>
      </c>
      <c r="J206" s="272" t="str">
        <f ca="1">IF(Calculation!Q187="","Selection",Calculation!Q187)</f>
        <v>Selection</v>
      </c>
      <c r="K206" s="179" t="str">
        <f ca="1">Calculation!T187</f>
        <v/>
      </c>
      <c r="L206" s="180" t="str">
        <f ca="1">Calculation!U187</f>
        <v>-</v>
      </c>
      <c r="M206" s="180" t="str">
        <f ca="1">Calculation!V187</f>
        <v>-</v>
      </c>
      <c r="N206" s="181"/>
      <c r="O206" s="180" t="str">
        <f ca="1">Calculation!X187</f>
        <v>-</v>
      </c>
      <c r="P206" s="180" t="str">
        <f ca="1">Calculation!Y187</f>
        <v>-</v>
      </c>
      <c r="Q206" s="273"/>
      <c r="R206" s="182" t="str">
        <f ca="1">IF(AND(L206&lt;&gt;"-",Q206&lt;&gt;"bypass"),IFERROR(IF((U206*$R$23/0.05)-SUM(S206:U206)&gt;0,(U206*$R$23/0.05)-SUM(S206:U206),0),"-"),Calculation!AH187)</f>
        <v>-</v>
      </c>
      <c r="S206" s="179" t="str">
        <f ca="1">IF(AND(L206&lt;&gt;"-",Q206&lt;&gt;"bypass"),IFERROR(X206*((H206*10^-12-H206*10^-12*I206)/(Calculation!$U$8*10^-9)),"-"),Calculation!AF187)</f>
        <v>-</v>
      </c>
      <c r="T206" s="179" t="str">
        <f ca="1">IF(AND(L206&lt;&gt;"-",Q206&lt;&gt;"bypass"),IFERROR(H206*I206*X206/(IF(Cluster!AA206=Cluster!$W$8,Cluster!$W$10,IF(Cluster!AA206=Cluster!$X$8,Cluster!$X$10,IF(Cluster!AA206=Cluster!$Y$8,Cluster!$Y$10,0)))*10^3),"-"),Calculation!AK187)</f>
        <v>-</v>
      </c>
      <c r="U206" s="179" t="str">
        <f ca="1">IF(AND(L206&lt;&gt;"-",Q206&lt;&gt;"bypass"),IFERROR((0.5/50)*X206/$R$23,"-"),Calculation!AG187)</f>
        <v>-</v>
      </c>
      <c r="V206" s="179" t="str">
        <f ca="1">IF(AND(L206&lt;&gt;"-",Q206&lt;&gt;"bypass"),IFERROR(5/50*X206,"-"),Calculation!AI187)</f>
        <v>-</v>
      </c>
      <c r="W206" s="179" t="str">
        <f ca="1">IF(AND(L206&lt;&gt;"-",Q206&lt;&gt;"bypass"),IFERROR(35/50*X206,"-"),Calculation!AJ187)</f>
        <v>-</v>
      </c>
      <c r="X206" s="179" t="str">
        <f ca="1">IF(AND(L206&lt;&gt;"-",Q206&lt;&gt;"bypass"),$W$23,Calculation!AL187)</f>
        <v>-</v>
      </c>
      <c r="Y206" s="183" t="str">
        <f ca="1">IF(AND(L206&lt;&gt;"-",Q206&lt;&gt;"bypass"),IFERROR($R$23*U206/SUM(R206:U206),"-"),Calculation!AP187)</f>
        <v>-</v>
      </c>
      <c r="Z206" s="184" t="str">
        <f t="shared" ca="1" si="10"/>
        <v>-</v>
      </c>
      <c r="AA206" s="185" t="str">
        <f ca="1">IFERROR(IF(I206=0,"-",IF(AND(ROUND(H206*I206*X206/($W$10*10^3),1)&gt;=Calculation!$O$6,ROUND((((U206)*$R$23/0.05)-((S206)+(H206*I206*X206/($W$10*10^3))+(U206))),1)&gt;=0),Cluster!$W$8,IF(AND(ROUND(H206*I206*X206/($X$10*10^3),1)&gt;=Calculation!$O$6,ROUND((((U206)*$R$23/0.05)-((S206)+(H206*I206*X206/($X$10*10^3))+(U206))),1)&gt;=0),Cluster!$X$8,IF(AND(ROUND(H206*I206*X206/($Y$10*10^3),1)&gt;=Calculation!$O$6,ROUND((((U206)*$R$23/0.05)-((S206)+(H206*I206*X206/($Y$10*10^3))+(U206))),1)&gt;=0),Cluster!$Y$8,"Recepie by hand needed")))),"-")</f>
        <v>-</v>
      </c>
      <c r="AC206" s="37" t="str">
        <f t="shared" ca="1" si="11"/>
        <v>-</v>
      </c>
      <c r="AD206" s="37" t="str">
        <f t="shared" ca="1" si="12"/>
        <v>-</v>
      </c>
      <c r="AE206" s="220" t="str">
        <f t="shared" ca="1" si="13"/>
        <v>-</v>
      </c>
      <c r="AF206" s="37" t="str">
        <f t="shared" ca="1" si="14"/>
        <v>-</v>
      </c>
    </row>
    <row r="207" spans="1:32" ht="14.25" x14ac:dyDescent="0.5">
      <c r="A207" s="170" t="str">
        <f>Calculation!I188</f>
        <v/>
      </c>
      <c r="B207" s="221" t="str">
        <f ca="1">Calculation!B188</f>
        <v/>
      </c>
      <c r="C207" s="221" t="str">
        <f ca="1">Calculation!C188</f>
        <v/>
      </c>
      <c r="D207" s="172" t="str">
        <f ca="1">Calculation!AN188</f>
        <v/>
      </c>
      <c r="E207" s="173" t="str">
        <f ca="1">Calculation!D188</f>
        <v/>
      </c>
      <c r="F207" s="174" t="str">
        <f ca="1">Calculation!C188</f>
        <v/>
      </c>
      <c r="G207" s="175" t="str">
        <f ca="1">Calculation!F188</f>
        <v/>
      </c>
      <c r="H207" s="176" t="str">
        <f ca="1">Calculation!AD188</f>
        <v/>
      </c>
      <c r="I207" s="177" t="str">
        <f ca="1">Calculation!AE188</f>
        <v/>
      </c>
      <c r="J207" s="272" t="str">
        <f ca="1">IF(Calculation!Q188="","Selection",Calculation!Q188)</f>
        <v>Selection</v>
      </c>
      <c r="K207" s="179" t="str">
        <f ca="1">Calculation!T188</f>
        <v/>
      </c>
      <c r="L207" s="180" t="str">
        <f ca="1">Calculation!U188</f>
        <v>-</v>
      </c>
      <c r="M207" s="180" t="str">
        <f ca="1">Calculation!V188</f>
        <v>-</v>
      </c>
      <c r="N207" s="181"/>
      <c r="O207" s="180" t="str">
        <f ca="1">Calculation!X188</f>
        <v>-</v>
      </c>
      <c r="P207" s="180" t="str">
        <f ca="1">Calculation!Y188</f>
        <v>-</v>
      </c>
      <c r="Q207" s="273"/>
      <c r="R207" s="182" t="str">
        <f ca="1">IF(AND(L207&lt;&gt;"-",Q207&lt;&gt;"bypass"),IFERROR(IF((U207*$R$23/0.05)-SUM(S207:U207)&gt;0,(U207*$R$23/0.05)-SUM(S207:U207),0),"-"),Calculation!AH188)</f>
        <v>-</v>
      </c>
      <c r="S207" s="179" t="str">
        <f ca="1">IF(AND(L207&lt;&gt;"-",Q207&lt;&gt;"bypass"),IFERROR(X207*((H207*10^-12-H207*10^-12*I207)/(Calculation!$U$8*10^-9)),"-"),Calculation!AF188)</f>
        <v>-</v>
      </c>
      <c r="T207" s="179" t="str">
        <f ca="1">IF(AND(L207&lt;&gt;"-",Q207&lt;&gt;"bypass"),IFERROR(H207*I207*X207/(IF(Cluster!AA207=Cluster!$W$8,Cluster!$W$10,IF(Cluster!AA207=Cluster!$X$8,Cluster!$X$10,IF(Cluster!AA207=Cluster!$Y$8,Cluster!$Y$10,0)))*10^3),"-"),Calculation!AK188)</f>
        <v>-</v>
      </c>
      <c r="U207" s="179" t="str">
        <f ca="1">IF(AND(L207&lt;&gt;"-",Q207&lt;&gt;"bypass"),IFERROR((0.5/50)*X207/$R$23,"-"),Calculation!AG188)</f>
        <v>-</v>
      </c>
      <c r="V207" s="179" t="str">
        <f ca="1">IF(AND(L207&lt;&gt;"-",Q207&lt;&gt;"bypass"),IFERROR(5/50*X207,"-"),Calculation!AI188)</f>
        <v>-</v>
      </c>
      <c r="W207" s="179" t="str">
        <f ca="1">IF(AND(L207&lt;&gt;"-",Q207&lt;&gt;"bypass"),IFERROR(35/50*X207,"-"),Calculation!AJ188)</f>
        <v>-</v>
      </c>
      <c r="X207" s="179" t="str">
        <f ca="1">IF(AND(L207&lt;&gt;"-",Q207&lt;&gt;"bypass"),$W$23,Calculation!AL188)</f>
        <v>-</v>
      </c>
      <c r="Y207" s="183" t="str">
        <f ca="1">IF(AND(L207&lt;&gt;"-",Q207&lt;&gt;"bypass"),IFERROR($R$23*U207/SUM(R207:U207),"-"),Calculation!AP188)</f>
        <v>-</v>
      </c>
      <c r="Z207" s="184" t="str">
        <f t="shared" ca="1" si="10"/>
        <v>-</v>
      </c>
      <c r="AA207" s="185" t="str">
        <f ca="1">IFERROR(IF(I207=0,"-",IF(AND(ROUND(H207*I207*X207/($W$10*10^3),1)&gt;=Calculation!$O$6,ROUND((((U207)*$R$23/0.05)-((S207)+(H207*I207*X207/($W$10*10^3))+(U207))),1)&gt;=0),Cluster!$W$8,IF(AND(ROUND(H207*I207*X207/($X$10*10^3),1)&gt;=Calculation!$O$6,ROUND((((U207)*$R$23/0.05)-((S207)+(H207*I207*X207/($X$10*10^3))+(U207))),1)&gt;=0),Cluster!$X$8,IF(AND(ROUND(H207*I207*X207/($Y$10*10^3),1)&gt;=Calculation!$O$6,ROUND((((U207)*$R$23/0.05)-((S207)+(H207*I207*X207/($Y$10*10^3))+(U207))),1)&gt;=0),Cluster!$Y$8,"Recepie by hand needed")))),"-")</f>
        <v>-</v>
      </c>
      <c r="AC207" s="37" t="str">
        <f t="shared" ca="1" si="11"/>
        <v>-</v>
      </c>
      <c r="AD207" s="37" t="str">
        <f t="shared" ca="1" si="12"/>
        <v>-</v>
      </c>
      <c r="AE207" s="220" t="str">
        <f t="shared" ca="1" si="13"/>
        <v>-</v>
      </c>
      <c r="AF207" s="37" t="str">
        <f t="shared" ca="1" si="14"/>
        <v>-</v>
      </c>
    </row>
    <row r="208" spans="1:32" ht="14.25" x14ac:dyDescent="0.5">
      <c r="A208" s="170" t="str">
        <f>Calculation!I189</f>
        <v/>
      </c>
      <c r="B208" s="221" t="str">
        <f ca="1">Calculation!B189</f>
        <v/>
      </c>
      <c r="C208" s="221" t="str">
        <f ca="1">Calculation!C189</f>
        <v/>
      </c>
      <c r="D208" s="172" t="str">
        <f ca="1">Calculation!AN189</f>
        <v/>
      </c>
      <c r="E208" s="173" t="str">
        <f ca="1">Calculation!D189</f>
        <v/>
      </c>
      <c r="F208" s="174" t="str">
        <f ca="1">Calculation!C189</f>
        <v/>
      </c>
      <c r="G208" s="175" t="str">
        <f ca="1">Calculation!F189</f>
        <v/>
      </c>
      <c r="H208" s="176" t="str">
        <f ca="1">Calculation!AD189</f>
        <v/>
      </c>
      <c r="I208" s="177" t="str">
        <f ca="1">Calculation!AE189</f>
        <v/>
      </c>
      <c r="J208" s="272" t="str">
        <f ca="1">IF(Calculation!Q189="","Selection",Calculation!Q189)</f>
        <v>Selection</v>
      </c>
      <c r="K208" s="179" t="str">
        <f ca="1">Calculation!T189</f>
        <v/>
      </c>
      <c r="L208" s="180" t="str">
        <f ca="1">Calculation!U189</f>
        <v>-</v>
      </c>
      <c r="M208" s="180" t="str">
        <f ca="1">Calculation!V189</f>
        <v>-</v>
      </c>
      <c r="N208" s="181"/>
      <c r="O208" s="180" t="str">
        <f ca="1">Calculation!X189</f>
        <v>-</v>
      </c>
      <c r="P208" s="180" t="str">
        <f ca="1">Calculation!Y189</f>
        <v>-</v>
      </c>
      <c r="Q208" s="273"/>
      <c r="R208" s="182" t="str">
        <f ca="1">IF(AND(L208&lt;&gt;"-",Q208&lt;&gt;"bypass"),IFERROR(IF((U208*$R$23/0.05)-SUM(S208:U208)&gt;0,(U208*$R$23/0.05)-SUM(S208:U208),0),"-"),Calculation!AH189)</f>
        <v>-</v>
      </c>
      <c r="S208" s="179" t="str">
        <f ca="1">IF(AND(L208&lt;&gt;"-",Q208&lt;&gt;"bypass"),IFERROR(X208*((H208*10^-12-H208*10^-12*I208)/(Calculation!$U$8*10^-9)),"-"),Calculation!AF189)</f>
        <v>-</v>
      </c>
      <c r="T208" s="179" t="str">
        <f ca="1">IF(AND(L208&lt;&gt;"-",Q208&lt;&gt;"bypass"),IFERROR(H208*I208*X208/(IF(Cluster!AA208=Cluster!$W$8,Cluster!$W$10,IF(Cluster!AA208=Cluster!$X$8,Cluster!$X$10,IF(Cluster!AA208=Cluster!$Y$8,Cluster!$Y$10,0)))*10^3),"-"),Calculation!AK189)</f>
        <v>-</v>
      </c>
      <c r="U208" s="179" t="str">
        <f ca="1">IF(AND(L208&lt;&gt;"-",Q208&lt;&gt;"bypass"),IFERROR((0.5/50)*X208/$R$23,"-"),Calculation!AG189)</f>
        <v>-</v>
      </c>
      <c r="V208" s="179" t="str">
        <f ca="1">IF(AND(L208&lt;&gt;"-",Q208&lt;&gt;"bypass"),IFERROR(5/50*X208,"-"),Calculation!AI189)</f>
        <v>-</v>
      </c>
      <c r="W208" s="179" t="str">
        <f ca="1">IF(AND(L208&lt;&gt;"-",Q208&lt;&gt;"bypass"),IFERROR(35/50*X208,"-"),Calculation!AJ189)</f>
        <v>-</v>
      </c>
      <c r="X208" s="179" t="str">
        <f ca="1">IF(AND(L208&lt;&gt;"-",Q208&lt;&gt;"bypass"),$W$23,Calculation!AL189)</f>
        <v>-</v>
      </c>
      <c r="Y208" s="183" t="str">
        <f ca="1">IF(AND(L208&lt;&gt;"-",Q208&lt;&gt;"bypass"),IFERROR($R$23*U208/SUM(R208:U208),"-"),Calculation!AP189)</f>
        <v>-</v>
      </c>
      <c r="Z208" s="184" t="str">
        <f t="shared" ca="1" si="10"/>
        <v>-</v>
      </c>
      <c r="AA208" s="185" t="str">
        <f ca="1">IFERROR(IF(I208=0,"-",IF(AND(ROUND(H208*I208*X208/($W$10*10^3),1)&gt;=Calculation!$O$6,ROUND((((U208)*$R$23/0.05)-((S208)+(H208*I208*X208/($W$10*10^3))+(U208))),1)&gt;=0),Cluster!$W$8,IF(AND(ROUND(H208*I208*X208/($X$10*10^3),1)&gt;=Calculation!$O$6,ROUND((((U208)*$R$23/0.05)-((S208)+(H208*I208*X208/($X$10*10^3))+(U208))),1)&gt;=0),Cluster!$X$8,IF(AND(ROUND(H208*I208*X208/($Y$10*10^3),1)&gt;=Calculation!$O$6,ROUND((((U208)*$R$23/0.05)-((S208)+(H208*I208*X208/($Y$10*10^3))+(U208))),1)&gt;=0),Cluster!$Y$8,"Recepie by hand needed")))),"-")</f>
        <v>-</v>
      </c>
      <c r="AC208" s="37" t="str">
        <f t="shared" ca="1" si="11"/>
        <v>-</v>
      </c>
      <c r="AD208" s="37" t="str">
        <f t="shared" ca="1" si="12"/>
        <v>-</v>
      </c>
      <c r="AE208" s="220" t="str">
        <f t="shared" ca="1" si="13"/>
        <v>-</v>
      </c>
      <c r="AF208" s="37" t="str">
        <f t="shared" ca="1" si="14"/>
        <v>-</v>
      </c>
    </row>
    <row r="209" spans="1:32" ht="14.25" x14ac:dyDescent="0.5">
      <c r="A209" s="170" t="str">
        <f>Calculation!I190</f>
        <v/>
      </c>
      <c r="B209" s="221" t="str">
        <f ca="1">Calculation!B190</f>
        <v/>
      </c>
      <c r="C209" s="221" t="str">
        <f ca="1">Calculation!C190</f>
        <v/>
      </c>
      <c r="D209" s="172" t="str">
        <f ca="1">Calculation!AN190</f>
        <v/>
      </c>
      <c r="E209" s="173" t="str">
        <f ca="1">Calculation!D190</f>
        <v/>
      </c>
      <c r="F209" s="174" t="str">
        <f ca="1">Calculation!C190</f>
        <v/>
      </c>
      <c r="G209" s="175" t="str">
        <f ca="1">Calculation!F190</f>
        <v/>
      </c>
      <c r="H209" s="176" t="str">
        <f ca="1">Calculation!AD190</f>
        <v/>
      </c>
      <c r="I209" s="177" t="str">
        <f ca="1">Calculation!AE190</f>
        <v/>
      </c>
      <c r="J209" s="272" t="str">
        <f ca="1">IF(Calculation!Q190="","Selection",Calculation!Q190)</f>
        <v>Selection</v>
      </c>
      <c r="K209" s="179" t="str">
        <f ca="1">Calculation!T190</f>
        <v/>
      </c>
      <c r="L209" s="180" t="str">
        <f ca="1">Calculation!U190</f>
        <v>-</v>
      </c>
      <c r="M209" s="180" t="str">
        <f ca="1">Calculation!V190</f>
        <v>-</v>
      </c>
      <c r="N209" s="181"/>
      <c r="O209" s="180" t="str">
        <f ca="1">Calculation!X190</f>
        <v>-</v>
      </c>
      <c r="P209" s="180" t="str">
        <f ca="1">Calculation!Y190</f>
        <v>-</v>
      </c>
      <c r="Q209" s="273"/>
      <c r="R209" s="182" t="str">
        <f ca="1">IF(AND(L209&lt;&gt;"-",Q209&lt;&gt;"bypass"),IFERROR(IF((U209*$R$23/0.05)-SUM(S209:U209)&gt;0,(U209*$R$23/0.05)-SUM(S209:U209),0),"-"),Calculation!AH190)</f>
        <v>-</v>
      </c>
      <c r="S209" s="179" t="str">
        <f ca="1">IF(AND(L209&lt;&gt;"-",Q209&lt;&gt;"bypass"),IFERROR(X209*((H209*10^-12-H209*10^-12*I209)/(Calculation!$U$8*10^-9)),"-"),Calculation!AF190)</f>
        <v>-</v>
      </c>
      <c r="T209" s="179" t="str">
        <f ca="1">IF(AND(L209&lt;&gt;"-",Q209&lt;&gt;"bypass"),IFERROR(H209*I209*X209/(IF(Cluster!AA209=Cluster!$W$8,Cluster!$W$10,IF(Cluster!AA209=Cluster!$X$8,Cluster!$X$10,IF(Cluster!AA209=Cluster!$Y$8,Cluster!$Y$10,0)))*10^3),"-"),Calculation!AK190)</f>
        <v>-</v>
      </c>
      <c r="U209" s="179" t="str">
        <f ca="1">IF(AND(L209&lt;&gt;"-",Q209&lt;&gt;"bypass"),IFERROR((0.5/50)*X209/$R$23,"-"),Calculation!AG190)</f>
        <v>-</v>
      </c>
      <c r="V209" s="179" t="str">
        <f ca="1">IF(AND(L209&lt;&gt;"-",Q209&lt;&gt;"bypass"),IFERROR(5/50*X209,"-"),Calculation!AI190)</f>
        <v>-</v>
      </c>
      <c r="W209" s="179" t="str">
        <f ca="1">IF(AND(L209&lt;&gt;"-",Q209&lt;&gt;"bypass"),IFERROR(35/50*X209,"-"),Calculation!AJ190)</f>
        <v>-</v>
      </c>
      <c r="X209" s="179" t="str">
        <f ca="1">IF(AND(L209&lt;&gt;"-",Q209&lt;&gt;"bypass"),$W$23,Calculation!AL190)</f>
        <v>-</v>
      </c>
      <c r="Y209" s="183" t="str">
        <f ca="1">IF(AND(L209&lt;&gt;"-",Q209&lt;&gt;"bypass"),IFERROR($R$23*U209/SUM(R209:U209),"-"),Calculation!AP190)</f>
        <v>-</v>
      </c>
      <c r="Z209" s="184" t="str">
        <f t="shared" ca="1" si="10"/>
        <v>-</v>
      </c>
      <c r="AA209" s="185" t="str">
        <f ca="1">IFERROR(IF(I209=0,"-",IF(AND(ROUND(H209*I209*X209/($W$10*10^3),1)&gt;=Calculation!$O$6,ROUND((((U209)*$R$23/0.05)-((S209)+(H209*I209*X209/($W$10*10^3))+(U209))),1)&gt;=0),Cluster!$W$8,IF(AND(ROUND(H209*I209*X209/($X$10*10^3),1)&gt;=Calculation!$O$6,ROUND((((U209)*$R$23/0.05)-((S209)+(H209*I209*X209/($X$10*10^3))+(U209))),1)&gt;=0),Cluster!$X$8,IF(AND(ROUND(H209*I209*X209/($Y$10*10^3),1)&gt;=Calculation!$O$6,ROUND((((U209)*$R$23/0.05)-((S209)+(H209*I209*X209/($Y$10*10^3))+(U209))),1)&gt;=0),Cluster!$Y$8,"Recepie by hand needed")))),"-")</f>
        <v>-</v>
      </c>
      <c r="AC209" s="37" t="str">
        <f t="shared" ca="1" si="11"/>
        <v>-</v>
      </c>
      <c r="AD209" s="37" t="str">
        <f t="shared" ca="1" si="12"/>
        <v>-</v>
      </c>
      <c r="AE209" s="220" t="str">
        <f t="shared" ca="1" si="13"/>
        <v>-</v>
      </c>
      <c r="AF209" s="37" t="str">
        <f t="shared" ca="1" si="14"/>
        <v>-</v>
      </c>
    </row>
    <row r="210" spans="1:32" ht="14.25" x14ac:dyDescent="0.5">
      <c r="A210" s="170" t="str">
        <f>Calculation!I191</f>
        <v/>
      </c>
      <c r="B210" s="221" t="str">
        <f ca="1">Calculation!B191</f>
        <v/>
      </c>
      <c r="C210" s="221" t="str">
        <f ca="1">Calculation!C191</f>
        <v/>
      </c>
      <c r="D210" s="172" t="str">
        <f ca="1">Calculation!AN191</f>
        <v/>
      </c>
      <c r="E210" s="173" t="str">
        <f ca="1">Calculation!D191</f>
        <v/>
      </c>
      <c r="F210" s="174" t="str">
        <f ca="1">Calculation!C191</f>
        <v/>
      </c>
      <c r="G210" s="175" t="str">
        <f ca="1">Calculation!F191</f>
        <v/>
      </c>
      <c r="H210" s="176" t="str">
        <f ca="1">Calculation!AD191</f>
        <v/>
      </c>
      <c r="I210" s="177" t="str">
        <f ca="1">Calculation!AE191</f>
        <v/>
      </c>
      <c r="J210" s="272" t="str">
        <f ca="1">IF(Calculation!Q191="","Selection",Calculation!Q191)</f>
        <v>Selection</v>
      </c>
      <c r="K210" s="179" t="str">
        <f ca="1">Calculation!T191</f>
        <v/>
      </c>
      <c r="L210" s="180" t="str">
        <f ca="1">Calculation!U191</f>
        <v>-</v>
      </c>
      <c r="M210" s="180" t="str">
        <f ca="1">Calculation!V191</f>
        <v>-</v>
      </c>
      <c r="N210" s="181"/>
      <c r="O210" s="180" t="str">
        <f ca="1">Calculation!X191</f>
        <v>-</v>
      </c>
      <c r="P210" s="180" t="str">
        <f ca="1">Calculation!Y191</f>
        <v>-</v>
      </c>
      <c r="Q210" s="273"/>
      <c r="R210" s="182" t="str">
        <f ca="1">IF(AND(L210&lt;&gt;"-",Q210&lt;&gt;"bypass"),IFERROR(IF((U210*$R$23/0.05)-SUM(S210:U210)&gt;0,(U210*$R$23/0.05)-SUM(S210:U210),0),"-"),Calculation!AH191)</f>
        <v>-</v>
      </c>
      <c r="S210" s="179" t="str">
        <f ca="1">IF(AND(L210&lt;&gt;"-",Q210&lt;&gt;"bypass"),IFERROR(X210*((H210*10^-12-H210*10^-12*I210)/(Calculation!$U$8*10^-9)),"-"),Calculation!AF191)</f>
        <v>-</v>
      </c>
      <c r="T210" s="179" t="str">
        <f ca="1">IF(AND(L210&lt;&gt;"-",Q210&lt;&gt;"bypass"),IFERROR(H210*I210*X210/(IF(Cluster!AA210=Cluster!$W$8,Cluster!$W$10,IF(Cluster!AA210=Cluster!$X$8,Cluster!$X$10,IF(Cluster!AA210=Cluster!$Y$8,Cluster!$Y$10,0)))*10^3),"-"),Calculation!AK191)</f>
        <v>-</v>
      </c>
      <c r="U210" s="179" t="str">
        <f ca="1">IF(AND(L210&lt;&gt;"-",Q210&lt;&gt;"bypass"),IFERROR((0.5/50)*X210/$R$23,"-"),Calculation!AG191)</f>
        <v>-</v>
      </c>
      <c r="V210" s="179" t="str">
        <f ca="1">IF(AND(L210&lt;&gt;"-",Q210&lt;&gt;"bypass"),IFERROR(5/50*X210,"-"),Calculation!AI191)</f>
        <v>-</v>
      </c>
      <c r="W210" s="179" t="str">
        <f ca="1">IF(AND(L210&lt;&gt;"-",Q210&lt;&gt;"bypass"),IFERROR(35/50*X210,"-"),Calculation!AJ191)</f>
        <v>-</v>
      </c>
      <c r="X210" s="179" t="str">
        <f ca="1">IF(AND(L210&lt;&gt;"-",Q210&lt;&gt;"bypass"),$W$23,Calculation!AL191)</f>
        <v>-</v>
      </c>
      <c r="Y210" s="183" t="str">
        <f ca="1">IF(AND(L210&lt;&gt;"-",Q210&lt;&gt;"bypass"),IFERROR($R$23*U210/SUM(R210:U210),"-"),Calculation!AP191)</f>
        <v>-</v>
      </c>
      <c r="Z210" s="184" t="str">
        <f t="shared" ca="1" si="10"/>
        <v>-</v>
      </c>
      <c r="AA210" s="185" t="str">
        <f ca="1">IFERROR(IF(I210=0,"-",IF(AND(ROUND(H210*I210*X210/($W$10*10^3),1)&gt;=Calculation!$O$6,ROUND((((U210)*$R$23/0.05)-((S210)+(H210*I210*X210/($W$10*10^3))+(U210))),1)&gt;=0),Cluster!$W$8,IF(AND(ROUND(H210*I210*X210/($X$10*10^3),1)&gt;=Calculation!$O$6,ROUND((((U210)*$R$23/0.05)-((S210)+(H210*I210*X210/($X$10*10^3))+(U210))),1)&gt;=0),Cluster!$X$8,IF(AND(ROUND(H210*I210*X210/($Y$10*10^3),1)&gt;=Calculation!$O$6,ROUND((((U210)*$R$23/0.05)-((S210)+(H210*I210*X210/($Y$10*10^3))+(U210))),1)&gt;=0),Cluster!$Y$8,"Recepie by hand needed")))),"-")</f>
        <v>-</v>
      </c>
      <c r="AC210" s="37" t="str">
        <f t="shared" ca="1" si="11"/>
        <v>-</v>
      </c>
      <c r="AD210" s="37" t="str">
        <f t="shared" ca="1" si="12"/>
        <v>-</v>
      </c>
      <c r="AE210" s="220" t="str">
        <f t="shared" ca="1" si="13"/>
        <v>-</v>
      </c>
      <c r="AF210" s="37" t="str">
        <f t="shared" ca="1" si="14"/>
        <v>-</v>
      </c>
    </row>
    <row r="211" spans="1:32" ht="14.25" x14ac:dyDescent="0.5">
      <c r="A211" s="170" t="str">
        <f>Calculation!I192</f>
        <v/>
      </c>
      <c r="B211" s="221" t="str">
        <f ca="1">Calculation!B192</f>
        <v/>
      </c>
      <c r="C211" s="221" t="str">
        <f ca="1">Calculation!C192</f>
        <v/>
      </c>
      <c r="D211" s="172" t="str">
        <f ca="1">Calculation!AN192</f>
        <v/>
      </c>
      <c r="E211" s="173" t="str">
        <f ca="1">Calculation!D192</f>
        <v/>
      </c>
      <c r="F211" s="174" t="str">
        <f ca="1">Calculation!C192</f>
        <v/>
      </c>
      <c r="G211" s="175" t="str">
        <f ca="1">Calculation!F192</f>
        <v/>
      </c>
      <c r="H211" s="176" t="str">
        <f ca="1">Calculation!AD192</f>
        <v/>
      </c>
      <c r="I211" s="177" t="str">
        <f ca="1">Calculation!AE192</f>
        <v/>
      </c>
      <c r="J211" s="272" t="str">
        <f ca="1">IF(Calculation!Q192="","Selection",Calculation!Q192)</f>
        <v>Selection</v>
      </c>
      <c r="K211" s="179" t="str">
        <f ca="1">Calculation!T192</f>
        <v/>
      </c>
      <c r="L211" s="180" t="str">
        <f ca="1">Calculation!U192</f>
        <v>-</v>
      </c>
      <c r="M211" s="180" t="str">
        <f ca="1">Calculation!V192</f>
        <v>-</v>
      </c>
      <c r="N211" s="181"/>
      <c r="O211" s="180" t="str">
        <f ca="1">Calculation!X192</f>
        <v>-</v>
      </c>
      <c r="P211" s="180" t="str">
        <f ca="1">Calculation!Y192</f>
        <v>-</v>
      </c>
      <c r="Q211" s="273"/>
      <c r="R211" s="182" t="str">
        <f ca="1">IF(AND(L211&lt;&gt;"-",Q211&lt;&gt;"bypass"),IFERROR(IF((U211*$R$23/0.05)-SUM(S211:U211)&gt;0,(U211*$R$23/0.05)-SUM(S211:U211),0),"-"),Calculation!AH192)</f>
        <v>-</v>
      </c>
      <c r="S211" s="179" t="str">
        <f ca="1">IF(AND(L211&lt;&gt;"-",Q211&lt;&gt;"bypass"),IFERROR(X211*((H211*10^-12-H211*10^-12*I211)/(Calculation!$U$8*10^-9)),"-"),Calculation!AF192)</f>
        <v>-</v>
      </c>
      <c r="T211" s="179" t="str">
        <f ca="1">IF(AND(L211&lt;&gt;"-",Q211&lt;&gt;"bypass"),IFERROR(H211*I211*X211/(IF(Cluster!AA211=Cluster!$W$8,Cluster!$W$10,IF(Cluster!AA211=Cluster!$X$8,Cluster!$X$10,IF(Cluster!AA211=Cluster!$Y$8,Cluster!$Y$10,0)))*10^3),"-"),Calculation!AK192)</f>
        <v>-</v>
      </c>
      <c r="U211" s="179" t="str">
        <f ca="1">IF(AND(L211&lt;&gt;"-",Q211&lt;&gt;"bypass"),IFERROR((0.5/50)*X211/$R$23,"-"),Calculation!AG192)</f>
        <v>-</v>
      </c>
      <c r="V211" s="179" t="str">
        <f ca="1">IF(AND(L211&lt;&gt;"-",Q211&lt;&gt;"bypass"),IFERROR(5/50*X211,"-"),Calculation!AI192)</f>
        <v>-</v>
      </c>
      <c r="W211" s="179" t="str">
        <f ca="1">IF(AND(L211&lt;&gt;"-",Q211&lt;&gt;"bypass"),IFERROR(35/50*X211,"-"),Calculation!AJ192)</f>
        <v>-</v>
      </c>
      <c r="X211" s="179" t="str">
        <f ca="1">IF(AND(L211&lt;&gt;"-",Q211&lt;&gt;"bypass"),$W$23,Calculation!AL192)</f>
        <v>-</v>
      </c>
      <c r="Y211" s="183" t="str">
        <f ca="1">IF(AND(L211&lt;&gt;"-",Q211&lt;&gt;"bypass"),IFERROR($R$23*U211/SUM(R211:U211),"-"),Calculation!AP192)</f>
        <v>-</v>
      </c>
      <c r="Z211" s="184" t="str">
        <f t="shared" ca="1" si="10"/>
        <v>-</v>
      </c>
      <c r="AA211" s="185" t="str">
        <f ca="1">IFERROR(IF(I211=0,"-",IF(AND(ROUND(H211*I211*X211/($W$10*10^3),1)&gt;=Calculation!$O$6,ROUND((((U211)*$R$23/0.05)-((S211)+(H211*I211*X211/($W$10*10^3))+(U211))),1)&gt;=0),Cluster!$W$8,IF(AND(ROUND(H211*I211*X211/($X$10*10^3),1)&gt;=Calculation!$O$6,ROUND((((U211)*$R$23/0.05)-((S211)+(H211*I211*X211/($X$10*10^3))+(U211))),1)&gt;=0),Cluster!$X$8,IF(AND(ROUND(H211*I211*X211/($Y$10*10^3),1)&gt;=Calculation!$O$6,ROUND((((U211)*$R$23/0.05)-((S211)+(H211*I211*X211/($Y$10*10^3))+(U211))),1)&gt;=0),Cluster!$Y$8,"Recepie by hand needed")))),"-")</f>
        <v>-</v>
      </c>
      <c r="AC211" s="37" t="str">
        <f t="shared" ca="1" si="11"/>
        <v>-</v>
      </c>
      <c r="AD211" s="37" t="str">
        <f t="shared" ca="1" si="12"/>
        <v>-</v>
      </c>
      <c r="AE211" s="220" t="str">
        <f t="shared" ca="1" si="13"/>
        <v>-</v>
      </c>
      <c r="AF211" s="37" t="str">
        <f t="shared" ca="1" si="14"/>
        <v>-</v>
      </c>
    </row>
    <row r="212" spans="1:32" ht="14.25" x14ac:dyDescent="0.5">
      <c r="A212" s="170" t="str">
        <f>Calculation!I193</f>
        <v/>
      </c>
      <c r="B212" s="221" t="str">
        <f ca="1">Calculation!B193</f>
        <v/>
      </c>
      <c r="C212" s="221" t="str">
        <f ca="1">Calculation!C193</f>
        <v/>
      </c>
      <c r="D212" s="172" t="str">
        <f ca="1">Calculation!AN193</f>
        <v/>
      </c>
      <c r="E212" s="173" t="str">
        <f ca="1">Calculation!D193</f>
        <v/>
      </c>
      <c r="F212" s="174" t="str">
        <f ca="1">Calculation!C193</f>
        <v/>
      </c>
      <c r="G212" s="175" t="str">
        <f ca="1">Calculation!F193</f>
        <v/>
      </c>
      <c r="H212" s="176" t="str">
        <f ca="1">Calculation!AD193</f>
        <v/>
      </c>
      <c r="I212" s="177" t="str">
        <f ca="1">Calculation!AE193</f>
        <v/>
      </c>
      <c r="J212" s="272" t="str">
        <f ca="1">IF(Calculation!Q193="","Selection",Calculation!Q193)</f>
        <v>Selection</v>
      </c>
      <c r="K212" s="179" t="str">
        <f ca="1">Calculation!T193</f>
        <v/>
      </c>
      <c r="L212" s="180" t="str">
        <f ca="1">Calculation!U193</f>
        <v>-</v>
      </c>
      <c r="M212" s="180" t="str">
        <f ca="1">Calculation!V193</f>
        <v>-</v>
      </c>
      <c r="N212" s="181"/>
      <c r="O212" s="180" t="str">
        <f ca="1">Calculation!X193</f>
        <v>-</v>
      </c>
      <c r="P212" s="180" t="str">
        <f ca="1">Calculation!Y193</f>
        <v>-</v>
      </c>
      <c r="Q212" s="273"/>
      <c r="R212" s="182" t="str">
        <f ca="1">IF(AND(L212&lt;&gt;"-",Q212&lt;&gt;"bypass"),IFERROR(IF((U212*$R$23/0.05)-SUM(S212:U212)&gt;0,(U212*$R$23/0.05)-SUM(S212:U212),0),"-"),Calculation!AH193)</f>
        <v>-</v>
      </c>
      <c r="S212" s="179" t="str">
        <f ca="1">IF(AND(L212&lt;&gt;"-",Q212&lt;&gt;"bypass"),IFERROR(X212*((H212*10^-12-H212*10^-12*I212)/(Calculation!$U$8*10^-9)),"-"),Calculation!AF193)</f>
        <v>-</v>
      </c>
      <c r="T212" s="179" t="str">
        <f ca="1">IF(AND(L212&lt;&gt;"-",Q212&lt;&gt;"bypass"),IFERROR(H212*I212*X212/(IF(Cluster!AA212=Cluster!$W$8,Cluster!$W$10,IF(Cluster!AA212=Cluster!$X$8,Cluster!$X$10,IF(Cluster!AA212=Cluster!$Y$8,Cluster!$Y$10,0)))*10^3),"-"),Calculation!AK193)</f>
        <v>-</v>
      </c>
      <c r="U212" s="179" t="str">
        <f ca="1">IF(AND(L212&lt;&gt;"-",Q212&lt;&gt;"bypass"),IFERROR((0.5/50)*X212/$R$23,"-"),Calculation!AG193)</f>
        <v>-</v>
      </c>
      <c r="V212" s="179" t="str">
        <f ca="1">IF(AND(L212&lt;&gt;"-",Q212&lt;&gt;"bypass"),IFERROR(5/50*X212,"-"),Calculation!AI193)</f>
        <v>-</v>
      </c>
      <c r="W212" s="179" t="str">
        <f ca="1">IF(AND(L212&lt;&gt;"-",Q212&lt;&gt;"bypass"),IFERROR(35/50*X212,"-"),Calculation!AJ193)</f>
        <v>-</v>
      </c>
      <c r="X212" s="179" t="str">
        <f ca="1">IF(AND(L212&lt;&gt;"-",Q212&lt;&gt;"bypass"),$W$23,Calculation!AL193)</f>
        <v>-</v>
      </c>
      <c r="Y212" s="183" t="str">
        <f ca="1">IF(AND(L212&lt;&gt;"-",Q212&lt;&gt;"bypass"),IFERROR($R$23*U212/SUM(R212:U212),"-"),Calculation!AP193)</f>
        <v>-</v>
      </c>
      <c r="Z212" s="184" t="str">
        <f t="shared" ca="1" si="10"/>
        <v>-</v>
      </c>
      <c r="AA212" s="185" t="str">
        <f ca="1">IFERROR(IF(I212=0,"-",IF(AND(ROUND(H212*I212*X212/($W$10*10^3),1)&gt;=Calculation!$O$6,ROUND((((U212)*$R$23/0.05)-((S212)+(H212*I212*X212/($W$10*10^3))+(U212))),1)&gt;=0),Cluster!$W$8,IF(AND(ROUND(H212*I212*X212/($X$10*10^3),1)&gt;=Calculation!$O$6,ROUND((((U212)*$R$23/0.05)-((S212)+(H212*I212*X212/($X$10*10^3))+(U212))),1)&gt;=0),Cluster!$X$8,IF(AND(ROUND(H212*I212*X212/($Y$10*10^3),1)&gt;=Calculation!$O$6,ROUND((((U212)*$R$23/0.05)-((S212)+(H212*I212*X212/($Y$10*10^3))+(U212))),1)&gt;=0),Cluster!$Y$8,"Recepie by hand needed")))),"-")</f>
        <v>-</v>
      </c>
      <c r="AC212" s="37" t="str">
        <f t="shared" ca="1" si="11"/>
        <v>-</v>
      </c>
      <c r="AD212" s="37" t="str">
        <f t="shared" ca="1" si="12"/>
        <v>-</v>
      </c>
      <c r="AE212" s="220" t="str">
        <f t="shared" ca="1" si="13"/>
        <v>-</v>
      </c>
      <c r="AF212" s="37" t="str">
        <f t="shared" ca="1" si="14"/>
        <v>-</v>
      </c>
    </row>
    <row r="213" spans="1:32" ht="14.25" x14ac:dyDescent="0.5">
      <c r="A213" s="170" t="str">
        <f>Calculation!I194</f>
        <v/>
      </c>
      <c r="B213" s="221" t="str">
        <f ca="1">Calculation!B194</f>
        <v/>
      </c>
      <c r="C213" s="221" t="str">
        <f ca="1">Calculation!C194</f>
        <v/>
      </c>
      <c r="D213" s="172" t="str">
        <f ca="1">Calculation!AN194</f>
        <v/>
      </c>
      <c r="E213" s="173" t="str">
        <f ca="1">Calculation!D194</f>
        <v/>
      </c>
      <c r="F213" s="174" t="str">
        <f ca="1">Calculation!C194</f>
        <v/>
      </c>
      <c r="G213" s="175" t="str">
        <f ca="1">Calculation!F194</f>
        <v/>
      </c>
      <c r="H213" s="176" t="str">
        <f ca="1">Calculation!AD194</f>
        <v/>
      </c>
      <c r="I213" s="177" t="str">
        <f ca="1">Calculation!AE194</f>
        <v/>
      </c>
      <c r="J213" s="272" t="str">
        <f ca="1">IF(Calculation!Q194="","Selection",Calculation!Q194)</f>
        <v>Selection</v>
      </c>
      <c r="K213" s="179" t="str">
        <f ca="1">Calculation!T194</f>
        <v/>
      </c>
      <c r="L213" s="180" t="str">
        <f ca="1">Calculation!U194</f>
        <v>-</v>
      </c>
      <c r="M213" s="180" t="str">
        <f ca="1">Calculation!V194</f>
        <v>-</v>
      </c>
      <c r="N213" s="181"/>
      <c r="O213" s="180" t="str">
        <f ca="1">Calculation!X194</f>
        <v>-</v>
      </c>
      <c r="P213" s="180" t="str">
        <f ca="1">Calculation!Y194</f>
        <v>-</v>
      </c>
      <c r="Q213" s="273"/>
      <c r="R213" s="182" t="str">
        <f ca="1">IF(AND(L213&lt;&gt;"-",Q213&lt;&gt;"bypass"),IFERROR(IF((U213*$R$23/0.05)-SUM(S213:U213)&gt;0,(U213*$R$23/0.05)-SUM(S213:U213),0),"-"),Calculation!AH194)</f>
        <v>-</v>
      </c>
      <c r="S213" s="179" t="str">
        <f ca="1">IF(AND(L213&lt;&gt;"-",Q213&lt;&gt;"bypass"),IFERROR(X213*((H213*10^-12-H213*10^-12*I213)/(Calculation!$U$8*10^-9)),"-"),Calculation!AF194)</f>
        <v>-</v>
      </c>
      <c r="T213" s="179" t="str">
        <f ca="1">IF(AND(L213&lt;&gt;"-",Q213&lt;&gt;"bypass"),IFERROR(H213*I213*X213/(IF(Cluster!AA213=Cluster!$W$8,Cluster!$W$10,IF(Cluster!AA213=Cluster!$X$8,Cluster!$X$10,IF(Cluster!AA213=Cluster!$Y$8,Cluster!$Y$10,0)))*10^3),"-"),Calculation!AK194)</f>
        <v>-</v>
      </c>
      <c r="U213" s="179" t="str">
        <f ca="1">IF(AND(L213&lt;&gt;"-",Q213&lt;&gt;"bypass"),IFERROR((0.5/50)*X213/$R$23,"-"),Calculation!AG194)</f>
        <v>-</v>
      </c>
      <c r="V213" s="179" t="str">
        <f ca="1">IF(AND(L213&lt;&gt;"-",Q213&lt;&gt;"bypass"),IFERROR(5/50*X213,"-"),Calculation!AI194)</f>
        <v>-</v>
      </c>
      <c r="W213" s="179" t="str">
        <f ca="1">IF(AND(L213&lt;&gt;"-",Q213&lt;&gt;"bypass"),IFERROR(35/50*X213,"-"),Calculation!AJ194)</f>
        <v>-</v>
      </c>
      <c r="X213" s="179" t="str">
        <f ca="1">IF(AND(L213&lt;&gt;"-",Q213&lt;&gt;"bypass"),$W$23,Calculation!AL194)</f>
        <v>-</v>
      </c>
      <c r="Y213" s="183" t="str">
        <f ca="1">IF(AND(L213&lt;&gt;"-",Q213&lt;&gt;"bypass"),IFERROR($R$23*U213/SUM(R213:U213),"-"),Calculation!AP194)</f>
        <v>-</v>
      </c>
      <c r="Z213" s="184" t="str">
        <f t="shared" ca="1" si="10"/>
        <v>-</v>
      </c>
      <c r="AA213" s="185" t="str">
        <f ca="1">IFERROR(IF(I213=0,"-",IF(AND(ROUND(H213*I213*X213/($W$10*10^3),1)&gt;=Calculation!$O$6,ROUND((((U213)*$R$23/0.05)-((S213)+(H213*I213*X213/($W$10*10^3))+(U213))),1)&gt;=0),Cluster!$W$8,IF(AND(ROUND(H213*I213*X213/($X$10*10^3),1)&gt;=Calculation!$O$6,ROUND((((U213)*$R$23/0.05)-((S213)+(H213*I213*X213/($X$10*10^3))+(U213))),1)&gt;=0),Cluster!$X$8,IF(AND(ROUND(H213*I213*X213/($Y$10*10^3),1)&gt;=Calculation!$O$6,ROUND((((U213)*$R$23/0.05)-((S213)+(H213*I213*X213/($Y$10*10^3))+(U213))),1)&gt;=0),Cluster!$Y$8,"Recepie by hand needed")))),"-")</f>
        <v>-</v>
      </c>
      <c r="AC213" s="37" t="str">
        <f t="shared" ca="1" si="11"/>
        <v>-</v>
      </c>
      <c r="AD213" s="37" t="str">
        <f t="shared" ca="1" si="12"/>
        <v>-</v>
      </c>
      <c r="AE213" s="220" t="str">
        <f t="shared" ca="1" si="13"/>
        <v>-</v>
      </c>
      <c r="AF213" s="37" t="str">
        <f t="shared" ca="1" si="14"/>
        <v>-</v>
      </c>
    </row>
    <row r="214" spans="1:32" ht="14.25" x14ac:dyDescent="0.5">
      <c r="A214" s="170" t="str">
        <f>Calculation!I195</f>
        <v/>
      </c>
      <c r="B214" s="221" t="str">
        <f ca="1">Calculation!B195</f>
        <v/>
      </c>
      <c r="C214" s="221" t="str">
        <f ca="1">Calculation!C195</f>
        <v/>
      </c>
      <c r="D214" s="172" t="str">
        <f ca="1">Calculation!AN195</f>
        <v/>
      </c>
      <c r="E214" s="173" t="str">
        <f ca="1">Calculation!D195</f>
        <v/>
      </c>
      <c r="F214" s="174" t="str">
        <f ca="1">Calculation!C195</f>
        <v/>
      </c>
      <c r="G214" s="175" t="str">
        <f ca="1">Calculation!F195</f>
        <v/>
      </c>
      <c r="H214" s="176" t="str">
        <f ca="1">Calculation!AD195</f>
        <v/>
      </c>
      <c r="I214" s="177" t="str">
        <f ca="1">Calculation!AE195</f>
        <v/>
      </c>
      <c r="J214" s="272" t="str">
        <f ca="1">IF(Calculation!Q195="","Selection",Calculation!Q195)</f>
        <v>Selection</v>
      </c>
      <c r="K214" s="179" t="str">
        <f ca="1">Calculation!T195</f>
        <v/>
      </c>
      <c r="L214" s="180" t="str">
        <f ca="1">Calculation!U195</f>
        <v>-</v>
      </c>
      <c r="M214" s="180" t="str">
        <f ca="1">Calculation!V195</f>
        <v>-</v>
      </c>
      <c r="N214" s="181"/>
      <c r="O214" s="180" t="str">
        <f ca="1">Calculation!X195</f>
        <v>-</v>
      </c>
      <c r="P214" s="180" t="str">
        <f ca="1">Calculation!Y195</f>
        <v>-</v>
      </c>
      <c r="Q214" s="273"/>
      <c r="R214" s="182" t="str">
        <f ca="1">IF(AND(L214&lt;&gt;"-",Q214&lt;&gt;"bypass"),IFERROR(IF((U214*$R$23/0.05)-SUM(S214:U214)&gt;0,(U214*$R$23/0.05)-SUM(S214:U214),0),"-"),Calculation!AH195)</f>
        <v>-</v>
      </c>
      <c r="S214" s="179" t="str">
        <f ca="1">IF(AND(L214&lt;&gt;"-",Q214&lt;&gt;"bypass"),IFERROR(X214*((H214*10^-12-H214*10^-12*I214)/(Calculation!$U$8*10^-9)),"-"),Calculation!AF195)</f>
        <v>-</v>
      </c>
      <c r="T214" s="179" t="str">
        <f ca="1">IF(AND(L214&lt;&gt;"-",Q214&lt;&gt;"bypass"),IFERROR(H214*I214*X214/(IF(Cluster!AA214=Cluster!$W$8,Cluster!$W$10,IF(Cluster!AA214=Cluster!$X$8,Cluster!$X$10,IF(Cluster!AA214=Cluster!$Y$8,Cluster!$Y$10,0)))*10^3),"-"),Calculation!AK195)</f>
        <v>-</v>
      </c>
      <c r="U214" s="179" t="str">
        <f ca="1">IF(AND(L214&lt;&gt;"-",Q214&lt;&gt;"bypass"),IFERROR((0.5/50)*X214/$R$23,"-"),Calculation!AG195)</f>
        <v>-</v>
      </c>
      <c r="V214" s="179" t="str">
        <f ca="1">IF(AND(L214&lt;&gt;"-",Q214&lt;&gt;"bypass"),IFERROR(5/50*X214,"-"),Calculation!AI195)</f>
        <v>-</v>
      </c>
      <c r="W214" s="179" t="str">
        <f ca="1">IF(AND(L214&lt;&gt;"-",Q214&lt;&gt;"bypass"),IFERROR(35/50*X214,"-"),Calculation!AJ195)</f>
        <v>-</v>
      </c>
      <c r="X214" s="179" t="str">
        <f ca="1">IF(AND(L214&lt;&gt;"-",Q214&lt;&gt;"bypass"),$W$23,Calculation!AL195)</f>
        <v>-</v>
      </c>
      <c r="Y214" s="183" t="str">
        <f ca="1">IF(AND(L214&lt;&gt;"-",Q214&lt;&gt;"bypass"),IFERROR($R$23*U214/SUM(R214:U214),"-"),Calculation!AP195)</f>
        <v>-</v>
      </c>
      <c r="Z214" s="184" t="str">
        <f t="shared" ca="1" si="10"/>
        <v>-</v>
      </c>
      <c r="AA214" s="185" t="str">
        <f ca="1">IFERROR(IF(I214=0,"-",IF(AND(ROUND(H214*I214*X214/($W$10*10^3),1)&gt;=Calculation!$O$6,ROUND((((U214)*$R$23/0.05)-((S214)+(H214*I214*X214/($W$10*10^3))+(U214))),1)&gt;=0),Cluster!$W$8,IF(AND(ROUND(H214*I214*X214/($X$10*10^3),1)&gt;=Calculation!$O$6,ROUND((((U214)*$R$23/0.05)-((S214)+(H214*I214*X214/($X$10*10^3))+(U214))),1)&gt;=0),Cluster!$X$8,IF(AND(ROUND(H214*I214*X214/($Y$10*10^3),1)&gt;=Calculation!$O$6,ROUND((((U214)*$R$23/0.05)-((S214)+(H214*I214*X214/($Y$10*10^3))+(U214))),1)&gt;=0),Cluster!$Y$8,"Recepie by hand needed")))),"-")</f>
        <v>-</v>
      </c>
      <c r="AC214" s="37" t="str">
        <f t="shared" ca="1" si="11"/>
        <v>-</v>
      </c>
      <c r="AD214" s="37" t="str">
        <f t="shared" ca="1" si="12"/>
        <v>-</v>
      </c>
      <c r="AE214" s="220" t="str">
        <f t="shared" ca="1" si="13"/>
        <v>-</v>
      </c>
      <c r="AF214" s="37" t="str">
        <f t="shared" ca="1" si="14"/>
        <v>-</v>
      </c>
    </row>
    <row r="215" spans="1:32" ht="14.25" x14ac:dyDescent="0.5">
      <c r="A215" s="170" t="str">
        <f>Calculation!I196</f>
        <v/>
      </c>
      <c r="B215" s="221" t="str">
        <f ca="1">Calculation!B196</f>
        <v/>
      </c>
      <c r="C215" s="221" t="str">
        <f ca="1">Calculation!C196</f>
        <v/>
      </c>
      <c r="D215" s="172" t="str">
        <f ca="1">Calculation!AN196</f>
        <v/>
      </c>
      <c r="E215" s="173" t="str">
        <f ca="1">Calculation!D196</f>
        <v/>
      </c>
      <c r="F215" s="174" t="str">
        <f ca="1">Calculation!C196</f>
        <v/>
      </c>
      <c r="G215" s="175" t="str">
        <f ca="1">Calculation!F196</f>
        <v/>
      </c>
      <c r="H215" s="176" t="str">
        <f ca="1">Calculation!AD196</f>
        <v/>
      </c>
      <c r="I215" s="177" t="str">
        <f ca="1">Calculation!AE196</f>
        <v/>
      </c>
      <c r="J215" s="272" t="str">
        <f ca="1">IF(Calculation!Q196="","Selection",Calculation!Q196)</f>
        <v>Selection</v>
      </c>
      <c r="K215" s="179" t="str">
        <f ca="1">Calculation!T196</f>
        <v/>
      </c>
      <c r="L215" s="180" t="str">
        <f ca="1">Calculation!U196</f>
        <v>-</v>
      </c>
      <c r="M215" s="180" t="str">
        <f ca="1">Calculation!V196</f>
        <v>-</v>
      </c>
      <c r="N215" s="181"/>
      <c r="O215" s="180" t="str">
        <f ca="1">Calculation!X196</f>
        <v>-</v>
      </c>
      <c r="P215" s="180" t="str">
        <f ca="1">Calculation!Y196</f>
        <v>-</v>
      </c>
      <c r="Q215" s="273"/>
      <c r="R215" s="182" t="str">
        <f ca="1">IF(AND(L215&lt;&gt;"-",Q215&lt;&gt;"bypass"),IFERROR(IF((U215*$R$23/0.05)-SUM(S215:U215)&gt;0,(U215*$R$23/0.05)-SUM(S215:U215),0),"-"),Calculation!AH196)</f>
        <v>-</v>
      </c>
      <c r="S215" s="179" t="str">
        <f ca="1">IF(AND(L215&lt;&gt;"-",Q215&lt;&gt;"bypass"),IFERROR(X215*((H215*10^-12-H215*10^-12*I215)/(Calculation!$U$8*10^-9)),"-"),Calculation!AF196)</f>
        <v>-</v>
      </c>
      <c r="T215" s="179" t="str">
        <f ca="1">IF(AND(L215&lt;&gt;"-",Q215&lt;&gt;"bypass"),IFERROR(H215*I215*X215/(IF(Cluster!AA215=Cluster!$W$8,Cluster!$W$10,IF(Cluster!AA215=Cluster!$X$8,Cluster!$X$10,IF(Cluster!AA215=Cluster!$Y$8,Cluster!$Y$10,0)))*10^3),"-"),Calculation!AK196)</f>
        <v>-</v>
      </c>
      <c r="U215" s="179" t="str">
        <f ca="1">IF(AND(L215&lt;&gt;"-",Q215&lt;&gt;"bypass"),IFERROR((0.5/50)*X215/$R$23,"-"),Calculation!AG196)</f>
        <v>-</v>
      </c>
      <c r="V215" s="179" t="str">
        <f ca="1">IF(AND(L215&lt;&gt;"-",Q215&lt;&gt;"bypass"),IFERROR(5/50*X215,"-"),Calculation!AI196)</f>
        <v>-</v>
      </c>
      <c r="W215" s="179" t="str">
        <f ca="1">IF(AND(L215&lt;&gt;"-",Q215&lt;&gt;"bypass"),IFERROR(35/50*X215,"-"),Calculation!AJ196)</f>
        <v>-</v>
      </c>
      <c r="X215" s="179" t="str">
        <f ca="1">IF(AND(L215&lt;&gt;"-",Q215&lt;&gt;"bypass"),$W$23,Calculation!AL196)</f>
        <v>-</v>
      </c>
      <c r="Y215" s="183" t="str">
        <f ca="1">IF(AND(L215&lt;&gt;"-",Q215&lt;&gt;"bypass"),IFERROR($R$23*U215/SUM(R215:U215),"-"),Calculation!AP196)</f>
        <v>-</v>
      </c>
      <c r="Z215" s="184" t="str">
        <f t="shared" ca="1" si="10"/>
        <v>-</v>
      </c>
      <c r="AA215" s="185" t="str">
        <f ca="1">IFERROR(IF(I215=0,"-",IF(AND(ROUND(H215*I215*X215/($W$10*10^3),1)&gt;=Calculation!$O$6,ROUND((((U215)*$R$23/0.05)-((S215)+(H215*I215*X215/($W$10*10^3))+(U215))),1)&gt;=0),Cluster!$W$8,IF(AND(ROUND(H215*I215*X215/($X$10*10^3),1)&gt;=Calculation!$O$6,ROUND((((U215)*$R$23/0.05)-((S215)+(H215*I215*X215/($X$10*10^3))+(U215))),1)&gt;=0),Cluster!$X$8,IF(AND(ROUND(H215*I215*X215/($Y$10*10^3),1)&gt;=Calculation!$O$6,ROUND((((U215)*$R$23/0.05)-((S215)+(H215*I215*X215/($Y$10*10^3))+(U215))),1)&gt;=0),Cluster!$Y$8,"Recepie by hand needed")))),"-")</f>
        <v>-</v>
      </c>
      <c r="AC215" s="37" t="str">
        <f t="shared" ca="1" si="11"/>
        <v>-</v>
      </c>
      <c r="AD215" s="37" t="str">
        <f t="shared" ca="1" si="12"/>
        <v>-</v>
      </c>
      <c r="AE215" s="220" t="str">
        <f t="shared" ca="1" si="13"/>
        <v>-</v>
      </c>
      <c r="AF215" s="37" t="str">
        <f t="shared" ca="1" si="14"/>
        <v>-</v>
      </c>
    </row>
    <row r="216" spans="1:32" ht="14.25" x14ac:dyDescent="0.5">
      <c r="A216" s="170" t="str">
        <f>Calculation!I197</f>
        <v/>
      </c>
      <c r="B216" s="221" t="str">
        <f ca="1">Calculation!B197</f>
        <v/>
      </c>
      <c r="C216" s="221" t="str">
        <f ca="1">Calculation!C197</f>
        <v/>
      </c>
      <c r="D216" s="172" t="str">
        <f ca="1">Calculation!AN197</f>
        <v/>
      </c>
      <c r="E216" s="173" t="str">
        <f ca="1">Calculation!D197</f>
        <v/>
      </c>
      <c r="F216" s="174" t="str">
        <f ca="1">Calculation!C197</f>
        <v/>
      </c>
      <c r="G216" s="175" t="str">
        <f ca="1">Calculation!F197</f>
        <v/>
      </c>
      <c r="H216" s="176" t="str">
        <f ca="1">Calculation!AD197</f>
        <v/>
      </c>
      <c r="I216" s="177" t="str">
        <f ca="1">Calculation!AE197</f>
        <v/>
      </c>
      <c r="J216" s="272" t="str">
        <f ca="1">IF(Calculation!Q197="","Selection",Calculation!Q197)</f>
        <v>Selection</v>
      </c>
      <c r="K216" s="179" t="str">
        <f ca="1">Calculation!T197</f>
        <v/>
      </c>
      <c r="L216" s="180" t="str">
        <f ca="1">Calculation!U197</f>
        <v>-</v>
      </c>
      <c r="M216" s="180" t="str">
        <f ca="1">Calculation!V197</f>
        <v>-</v>
      </c>
      <c r="N216" s="181"/>
      <c r="O216" s="180" t="str">
        <f ca="1">Calculation!X197</f>
        <v>-</v>
      </c>
      <c r="P216" s="180" t="str">
        <f ca="1">Calculation!Y197</f>
        <v>-</v>
      </c>
      <c r="Q216" s="273"/>
      <c r="R216" s="182" t="str">
        <f ca="1">IF(AND(L216&lt;&gt;"-",Q216&lt;&gt;"bypass"),IFERROR(IF((U216*$R$23/0.05)-SUM(S216:U216)&gt;0,(U216*$R$23/0.05)-SUM(S216:U216),0),"-"),Calculation!AH197)</f>
        <v>-</v>
      </c>
      <c r="S216" s="179" t="str">
        <f ca="1">IF(AND(L216&lt;&gt;"-",Q216&lt;&gt;"bypass"),IFERROR(X216*((H216*10^-12-H216*10^-12*I216)/(Calculation!$U$8*10^-9)),"-"),Calculation!AF197)</f>
        <v>-</v>
      </c>
      <c r="T216" s="179" t="str">
        <f ca="1">IF(AND(L216&lt;&gt;"-",Q216&lt;&gt;"bypass"),IFERROR(H216*I216*X216/(IF(Cluster!AA216=Cluster!$W$8,Cluster!$W$10,IF(Cluster!AA216=Cluster!$X$8,Cluster!$X$10,IF(Cluster!AA216=Cluster!$Y$8,Cluster!$Y$10,0)))*10^3),"-"),Calculation!AK197)</f>
        <v>-</v>
      </c>
      <c r="U216" s="179" t="str">
        <f ca="1">IF(AND(L216&lt;&gt;"-",Q216&lt;&gt;"bypass"),IFERROR((0.5/50)*X216/$R$23,"-"),Calculation!AG197)</f>
        <v>-</v>
      </c>
      <c r="V216" s="179" t="str">
        <f ca="1">IF(AND(L216&lt;&gt;"-",Q216&lt;&gt;"bypass"),IFERROR(5/50*X216,"-"),Calculation!AI197)</f>
        <v>-</v>
      </c>
      <c r="W216" s="179" t="str">
        <f ca="1">IF(AND(L216&lt;&gt;"-",Q216&lt;&gt;"bypass"),IFERROR(35/50*X216,"-"),Calculation!AJ197)</f>
        <v>-</v>
      </c>
      <c r="X216" s="179" t="str">
        <f ca="1">IF(AND(L216&lt;&gt;"-",Q216&lt;&gt;"bypass"),$W$23,Calculation!AL197)</f>
        <v>-</v>
      </c>
      <c r="Y216" s="183" t="str">
        <f ca="1">IF(AND(L216&lt;&gt;"-",Q216&lt;&gt;"bypass"),IFERROR($R$23*U216/SUM(R216:U216),"-"),Calculation!AP197)</f>
        <v>-</v>
      </c>
      <c r="Z216" s="184" t="str">
        <f t="shared" ca="1" si="10"/>
        <v>-</v>
      </c>
      <c r="AA216" s="185" t="str">
        <f ca="1">IFERROR(IF(I216=0,"-",IF(AND(ROUND(H216*I216*X216/($W$10*10^3),1)&gt;=Calculation!$O$6,ROUND((((U216)*$R$23/0.05)-((S216)+(H216*I216*X216/($W$10*10^3))+(U216))),1)&gt;=0),Cluster!$W$8,IF(AND(ROUND(H216*I216*X216/($X$10*10^3),1)&gt;=Calculation!$O$6,ROUND((((U216)*$R$23/0.05)-((S216)+(H216*I216*X216/($X$10*10^3))+(U216))),1)&gt;=0),Cluster!$X$8,IF(AND(ROUND(H216*I216*X216/($Y$10*10^3),1)&gt;=Calculation!$O$6,ROUND((((U216)*$R$23/0.05)-((S216)+(H216*I216*X216/($Y$10*10^3))+(U216))),1)&gt;=0),Cluster!$Y$8,"Recepie by hand needed")))),"-")</f>
        <v>-</v>
      </c>
      <c r="AC216" s="37" t="str">
        <f t="shared" ca="1" si="11"/>
        <v>-</v>
      </c>
      <c r="AD216" s="37" t="str">
        <f t="shared" ca="1" si="12"/>
        <v>-</v>
      </c>
      <c r="AE216" s="220" t="str">
        <f t="shared" ca="1" si="13"/>
        <v>-</v>
      </c>
      <c r="AF216" s="37" t="str">
        <f t="shared" ca="1" si="14"/>
        <v>-</v>
      </c>
    </row>
    <row r="217" spans="1:32" ht="14.25" x14ac:dyDescent="0.5">
      <c r="A217" s="170" t="str">
        <f>Calculation!I198</f>
        <v/>
      </c>
      <c r="B217" s="221" t="str">
        <f ca="1">Calculation!B198</f>
        <v/>
      </c>
      <c r="C217" s="221" t="str">
        <f ca="1">Calculation!C198</f>
        <v/>
      </c>
      <c r="D217" s="172" t="str">
        <f ca="1">Calculation!AN198</f>
        <v/>
      </c>
      <c r="E217" s="173" t="str">
        <f ca="1">Calculation!D198</f>
        <v/>
      </c>
      <c r="F217" s="174" t="str">
        <f ca="1">Calculation!C198</f>
        <v/>
      </c>
      <c r="G217" s="175" t="str">
        <f ca="1">Calculation!F198</f>
        <v/>
      </c>
      <c r="H217" s="176" t="str">
        <f ca="1">Calculation!AD198</f>
        <v/>
      </c>
      <c r="I217" s="177" t="str">
        <f ca="1">Calculation!AE198</f>
        <v/>
      </c>
      <c r="J217" s="272" t="str">
        <f ca="1">IF(Calculation!Q198="","Selection",Calculation!Q198)</f>
        <v>Selection</v>
      </c>
      <c r="K217" s="179" t="str">
        <f ca="1">Calculation!T198</f>
        <v/>
      </c>
      <c r="L217" s="180" t="str">
        <f ca="1">Calculation!U198</f>
        <v>-</v>
      </c>
      <c r="M217" s="180" t="str">
        <f ca="1">Calculation!V198</f>
        <v>-</v>
      </c>
      <c r="N217" s="181"/>
      <c r="O217" s="180" t="str">
        <f ca="1">Calculation!X198</f>
        <v>-</v>
      </c>
      <c r="P217" s="180" t="str">
        <f ca="1">Calculation!Y198</f>
        <v>-</v>
      </c>
      <c r="Q217" s="273"/>
      <c r="R217" s="182" t="str">
        <f ca="1">IF(AND(L217&lt;&gt;"-",Q217&lt;&gt;"bypass"),IFERROR(IF((U217*$R$23/0.05)-SUM(S217:U217)&gt;0,(U217*$R$23/0.05)-SUM(S217:U217),0),"-"),Calculation!AH198)</f>
        <v>-</v>
      </c>
      <c r="S217" s="179" t="str">
        <f ca="1">IF(AND(L217&lt;&gt;"-",Q217&lt;&gt;"bypass"),IFERROR(X217*((H217*10^-12-H217*10^-12*I217)/(Calculation!$U$8*10^-9)),"-"),Calculation!AF198)</f>
        <v>-</v>
      </c>
      <c r="T217" s="179" t="str">
        <f ca="1">IF(AND(L217&lt;&gt;"-",Q217&lt;&gt;"bypass"),IFERROR(H217*I217*X217/(IF(Cluster!AA217=Cluster!$W$8,Cluster!$W$10,IF(Cluster!AA217=Cluster!$X$8,Cluster!$X$10,IF(Cluster!AA217=Cluster!$Y$8,Cluster!$Y$10,0)))*10^3),"-"),Calculation!AK198)</f>
        <v>-</v>
      </c>
      <c r="U217" s="179" t="str">
        <f ca="1">IF(AND(L217&lt;&gt;"-",Q217&lt;&gt;"bypass"),IFERROR((0.5/50)*X217/$R$23,"-"),Calculation!AG198)</f>
        <v>-</v>
      </c>
      <c r="V217" s="179" t="str">
        <f ca="1">IF(AND(L217&lt;&gt;"-",Q217&lt;&gt;"bypass"),IFERROR(5/50*X217,"-"),Calculation!AI198)</f>
        <v>-</v>
      </c>
      <c r="W217" s="179" t="str">
        <f ca="1">IF(AND(L217&lt;&gt;"-",Q217&lt;&gt;"bypass"),IFERROR(35/50*X217,"-"),Calculation!AJ198)</f>
        <v>-</v>
      </c>
      <c r="X217" s="179" t="str">
        <f ca="1">IF(AND(L217&lt;&gt;"-",Q217&lt;&gt;"bypass"),$W$23,Calculation!AL198)</f>
        <v>-</v>
      </c>
      <c r="Y217" s="183" t="str">
        <f ca="1">IF(AND(L217&lt;&gt;"-",Q217&lt;&gt;"bypass"),IFERROR($R$23*U217/SUM(R217:U217),"-"),Calculation!AP198)</f>
        <v>-</v>
      </c>
      <c r="Z217" s="184" t="str">
        <f t="shared" ca="1" si="10"/>
        <v>-</v>
      </c>
      <c r="AA217" s="185" t="str">
        <f ca="1">IFERROR(IF(I217=0,"-",IF(AND(ROUND(H217*I217*X217/($W$10*10^3),1)&gt;=Calculation!$O$6,ROUND((((U217)*$R$23/0.05)-((S217)+(H217*I217*X217/($W$10*10^3))+(U217))),1)&gt;=0),Cluster!$W$8,IF(AND(ROUND(H217*I217*X217/($X$10*10^3),1)&gt;=Calculation!$O$6,ROUND((((U217)*$R$23/0.05)-((S217)+(H217*I217*X217/($X$10*10^3))+(U217))),1)&gt;=0),Cluster!$X$8,IF(AND(ROUND(H217*I217*X217/($Y$10*10^3),1)&gt;=Calculation!$O$6,ROUND((((U217)*$R$23/0.05)-((S217)+(H217*I217*X217/($Y$10*10^3))+(U217))),1)&gt;=0),Cluster!$Y$8,"Recepie by hand needed")))),"-")</f>
        <v>-</v>
      </c>
      <c r="AC217" s="37" t="str">
        <f t="shared" ca="1" si="11"/>
        <v>-</v>
      </c>
      <c r="AD217" s="37" t="str">
        <f t="shared" ca="1" si="12"/>
        <v>-</v>
      </c>
      <c r="AE217" s="220" t="str">
        <f t="shared" ca="1" si="13"/>
        <v>-</v>
      </c>
      <c r="AF217" s="37" t="str">
        <f t="shared" ca="1" si="14"/>
        <v>-</v>
      </c>
    </row>
    <row r="218" spans="1:32" ht="14.25" x14ac:dyDescent="0.5">
      <c r="A218" s="170" t="str">
        <f>Calculation!I199</f>
        <v/>
      </c>
      <c r="B218" s="221" t="str">
        <f ca="1">Calculation!B199</f>
        <v/>
      </c>
      <c r="C218" s="221" t="str">
        <f ca="1">Calculation!C199</f>
        <v/>
      </c>
      <c r="D218" s="172" t="str">
        <f ca="1">Calculation!AN199</f>
        <v/>
      </c>
      <c r="E218" s="173" t="str">
        <f ca="1">Calculation!D199</f>
        <v/>
      </c>
      <c r="F218" s="174" t="str">
        <f ca="1">Calculation!C199</f>
        <v/>
      </c>
      <c r="G218" s="175" t="str">
        <f ca="1">Calculation!F199</f>
        <v/>
      </c>
      <c r="H218" s="176" t="str">
        <f ca="1">Calculation!AD199</f>
        <v/>
      </c>
      <c r="I218" s="177" t="str">
        <f ca="1">Calculation!AE199</f>
        <v/>
      </c>
      <c r="J218" s="272" t="str">
        <f ca="1">IF(Calculation!Q199="","Selection",Calculation!Q199)</f>
        <v>Selection</v>
      </c>
      <c r="K218" s="179" t="str">
        <f ca="1">Calculation!T199</f>
        <v/>
      </c>
      <c r="L218" s="180" t="str">
        <f ca="1">Calculation!U199</f>
        <v>-</v>
      </c>
      <c r="M218" s="180" t="str">
        <f ca="1">Calculation!V199</f>
        <v>-</v>
      </c>
      <c r="N218" s="181"/>
      <c r="O218" s="180" t="str">
        <f ca="1">Calculation!X199</f>
        <v>-</v>
      </c>
      <c r="P218" s="180" t="str">
        <f ca="1">Calculation!Y199</f>
        <v>-</v>
      </c>
      <c r="Q218" s="273"/>
      <c r="R218" s="182" t="str">
        <f ca="1">IF(AND(L218&lt;&gt;"-",Q218&lt;&gt;"bypass"),IFERROR(IF((U218*$R$23/0.05)-SUM(S218:U218)&gt;0,(U218*$R$23/0.05)-SUM(S218:U218),0),"-"),Calculation!AH199)</f>
        <v>-</v>
      </c>
      <c r="S218" s="179" t="str">
        <f ca="1">IF(AND(L218&lt;&gt;"-",Q218&lt;&gt;"bypass"),IFERROR(X218*((H218*10^-12-H218*10^-12*I218)/(Calculation!$U$8*10^-9)),"-"),Calculation!AF199)</f>
        <v>-</v>
      </c>
      <c r="T218" s="179" t="str">
        <f ca="1">IF(AND(L218&lt;&gt;"-",Q218&lt;&gt;"bypass"),IFERROR(H218*I218*X218/(IF(Cluster!AA218=Cluster!$W$8,Cluster!$W$10,IF(Cluster!AA218=Cluster!$X$8,Cluster!$X$10,IF(Cluster!AA218=Cluster!$Y$8,Cluster!$Y$10,0)))*10^3),"-"),Calculation!AK199)</f>
        <v>-</v>
      </c>
      <c r="U218" s="179" t="str">
        <f ca="1">IF(AND(L218&lt;&gt;"-",Q218&lt;&gt;"bypass"),IFERROR((0.5/50)*X218/$R$23,"-"),Calculation!AG199)</f>
        <v>-</v>
      </c>
      <c r="V218" s="179" t="str">
        <f ca="1">IF(AND(L218&lt;&gt;"-",Q218&lt;&gt;"bypass"),IFERROR(5/50*X218,"-"),Calculation!AI199)</f>
        <v>-</v>
      </c>
      <c r="W218" s="179" t="str">
        <f ca="1">IF(AND(L218&lt;&gt;"-",Q218&lt;&gt;"bypass"),IFERROR(35/50*X218,"-"),Calculation!AJ199)</f>
        <v>-</v>
      </c>
      <c r="X218" s="179" t="str">
        <f ca="1">IF(AND(L218&lt;&gt;"-",Q218&lt;&gt;"bypass"),$W$23,Calculation!AL199)</f>
        <v>-</v>
      </c>
      <c r="Y218" s="183" t="str">
        <f ca="1">IF(AND(L218&lt;&gt;"-",Q218&lt;&gt;"bypass"),IFERROR($R$23*U218/SUM(R218:U218),"-"),Calculation!AP199)</f>
        <v>-</v>
      </c>
      <c r="Z218" s="184" t="str">
        <f t="shared" ca="1" si="10"/>
        <v>-</v>
      </c>
      <c r="AA218" s="185" t="str">
        <f ca="1">IFERROR(IF(I218=0,"-",IF(AND(ROUND(H218*I218*X218/($W$10*10^3),1)&gt;=Calculation!$O$6,ROUND((((U218)*$R$23/0.05)-((S218)+(H218*I218*X218/($W$10*10^3))+(U218))),1)&gt;=0),Cluster!$W$8,IF(AND(ROUND(H218*I218*X218/($X$10*10^3),1)&gt;=Calculation!$O$6,ROUND((((U218)*$R$23/0.05)-((S218)+(H218*I218*X218/($X$10*10^3))+(U218))),1)&gt;=0),Cluster!$X$8,IF(AND(ROUND(H218*I218*X218/($Y$10*10^3),1)&gt;=Calculation!$O$6,ROUND((((U218)*$R$23/0.05)-((S218)+(H218*I218*X218/($Y$10*10^3))+(U218))),1)&gt;=0),Cluster!$Y$8,"Recepie by hand needed")))),"-")</f>
        <v>-</v>
      </c>
      <c r="AC218" s="37" t="str">
        <f t="shared" ca="1" si="11"/>
        <v>-</v>
      </c>
      <c r="AD218" s="37" t="str">
        <f t="shared" ca="1" si="12"/>
        <v>-</v>
      </c>
      <c r="AE218" s="220" t="str">
        <f t="shared" ca="1" si="13"/>
        <v>-</v>
      </c>
      <c r="AF218" s="37" t="str">
        <f t="shared" ca="1" si="14"/>
        <v>-</v>
      </c>
    </row>
    <row r="219" spans="1:32" ht="14.25" x14ac:dyDescent="0.5">
      <c r="A219" s="170" t="str">
        <f>Calculation!I200</f>
        <v/>
      </c>
      <c r="B219" s="221" t="str">
        <f ca="1">Calculation!B200</f>
        <v/>
      </c>
      <c r="C219" s="221" t="str">
        <f ca="1">Calculation!C200</f>
        <v/>
      </c>
      <c r="D219" s="172" t="str">
        <f ca="1">Calculation!AN200</f>
        <v/>
      </c>
      <c r="E219" s="173" t="str">
        <f ca="1">Calculation!D200</f>
        <v/>
      </c>
      <c r="F219" s="174" t="str">
        <f ca="1">Calculation!C200</f>
        <v/>
      </c>
      <c r="G219" s="175" t="str">
        <f ca="1">Calculation!F200</f>
        <v/>
      </c>
      <c r="H219" s="176" t="str">
        <f ca="1">Calculation!AD200</f>
        <v/>
      </c>
      <c r="I219" s="177" t="str">
        <f ca="1">Calculation!AE200</f>
        <v/>
      </c>
      <c r="J219" s="272" t="str">
        <f ca="1">IF(Calculation!Q200="","Selection",Calculation!Q200)</f>
        <v>Selection</v>
      </c>
      <c r="K219" s="179" t="str">
        <f ca="1">Calculation!T200</f>
        <v/>
      </c>
      <c r="L219" s="180" t="str">
        <f ca="1">Calculation!U200</f>
        <v>-</v>
      </c>
      <c r="M219" s="180" t="str">
        <f ca="1">Calculation!V200</f>
        <v>-</v>
      </c>
      <c r="N219" s="181"/>
      <c r="O219" s="180" t="str">
        <f ca="1">Calculation!X200</f>
        <v>-</v>
      </c>
      <c r="P219" s="180" t="str">
        <f ca="1">Calculation!Y200</f>
        <v>-</v>
      </c>
      <c r="Q219" s="273"/>
      <c r="R219" s="182" t="str">
        <f ca="1">IF(AND(L219&lt;&gt;"-",Q219&lt;&gt;"bypass"),IFERROR(IF((U219*$R$23/0.05)-SUM(S219:U219)&gt;0,(U219*$R$23/0.05)-SUM(S219:U219),0),"-"),Calculation!AH200)</f>
        <v>-</v>
      </c>
      <c r="S219" s="179" t="str">
        <f ca="1">IF(AND(L219&lt;&gt;"-",Q219&lt;&gt;"bypass"),IFERROR(X219*((H219*10^-12-H219*10^-12*I219)/(Calculation!$U$8*10^-9)),"-"),Calculation!AF200)</f>
        <v>-</v>
      </c>
      <c r="T219" s="179" t="str">
        <f ca="1">IF(AND(L219&lt;&gt;"-",Q219&lt;&gt;"bypass"),IFERROR(H219*I219*X219/(IF(Cluster!AA219=Cluster!$W$8,Cluster!$W$10,IF(Cluster!AA219=Cluster!$X$8,Cluster!$X$10,IF(Cluster!AA219=Cluster!$Y$8,Cluster!$Y$10,0)))*10^3),"-"),Calculation!AK200)</f>
        <v>-</v>
      </c>
      <c r="U219" s="179" t="str">
        <f ca="1">IF(AND(L219&lt;&gt;"-",Q219&lt;&gt;"bypass"),IFERROR((0.5/50)*X219/$R$23,"-"),Calculation!AG200)</f>
        <v>-</v>
      </c>
      <c r="V219" s="179" t="str">
        <f ca="1">IF(AND(L219&lt;&gt;"-",Q219&lt;&gt;"bypass"),IFERROR(5/50*X219,"-"),Calculation!AI200)</f>
        <v>-</v>
      </c>
      <c r="W219" s="179" t="str">
        <f ca="1">IF(AND(L219&lt;&gt;"-",Q219&lt;&gt;"bypass"),IFERROR(35/50*X219,"-"),Calculation!AJ200)</f>
        <v>-</v>
      </c>
      <c r="X219" s="179" t="str">
        <f ca="1">IF(AND(L219&lt;&gt;"-",Q219&lt;&gt;"bypass"),$W$23,Calculation!AL200)</f>
        <v>-</v>
      </c>
      <c r="Y219" s="183" t="str">
        <f ca="1">IF(AND(L219&lt;&gt;"-",Q219&lt;&gt;"bypass"),IFERROR($R$23*U219/SUM(R219:U219),"-"),Calculation!AP200)</f>
        <v>-</v>
      </c>
      <c r="Z219" s="184" t="str">
        <f t="shared" ca="1" si="10"/>
        <v>-</v>
      </c>
      <c r="AA219" s="185" t="str">
        <f ca="1">IFERROR(IF(I219=0,"-",IF(AND(ROUND(H219*I219*X219/($W$10*10^3),1)&gt;=Calculation!$O$6,ROUND((((U219)*$R$23/0.05)-((S219)+(H219*I219*X219/($W$10*10^3))+(U219))),1)&gt;=0),Cluster!$W$8,IF(AND(ROUND(H219*I219*X219/($X$10*10^3),1)&gt;=Calculation!$O$6,ROUND((((U219)*$R$23/0.05)-((S219)+(H219*I219*X219/($X$10*10^3))+(U219))),1)&gt;=0),Cluster!$X$8,IF(AND(ROUND(H219*I219*X219/($Y$10*10^3),1)&gt;=Calculation!$O$6,ROUND((((U219)*$R$23/0.05)-((S219)+(H219*I219*X219/($Y$10*10^3))+(U219))),1)&gt;=0),Cluster!$Y$8,"Recepie by hand needed")))),"-")</f>
        <v>-</v>
      </c>
      <c r="AC219" s="37" t="str">
        <f t="shared" ca="1" si="11"/>
        <v>-</v>
      </c>
      <c r="AD219" s="37" t="str">
        <f t="shared" ca="1" si="12"/>
        <v>-</v>
      </c>
      <c r="AE219" s="220" t="str">
        <f t="shared" ca="1" si="13"/>
        <v>-</v>
      </c>
      <c r="AF219" s="37" t="str">
        <f t="shared" ca="1" si="14"/>
        <v>-</v>
      </c>
    </row>
    <row r="220" spans="1:32" ht="14.25" x14ac:dyDescent="0.5">
      <c r="A220" s="170" t="str">
        <f>Calculation!I201</f>
        <v/>
      </c>
      <c r="B220" s="221" t="str">
        <f ca="1">Calculation!B201</f>
        <v/>
      </c>
      <c r="C220" s="221" t="str">
        <f ca="1">Calculation!C201</f>
        <v/>
      </c>
      <c r="D220" s="172" t="str">
        <f ca="1">Calculation!AN201</f>
        <v/>
      </c>
      <c r="E220" s="173" t="str">
        <f ca="1">Calculation!D201</f>
        <v/>
      </c>
      <c r="F220" s="174" t="str">
        <f ca="1">Calculation!C201</f>
        <v/>
      </c>
      <c r="G220" s="175" t="str">
        <f ca="1">Calculation!F201</f>
        <v/>
      </c>
      <c r="H220" s="176" t="str">
        <f ca="1">Calculation!AD201</f>
        <v/>
      </c>
      <c r="I220" s="177" t="str">
        <f ca="1">Calculation!AE201</f>
        <v/>
      </c>
      <c r="J220" s="272" t="str">
        <f ca="1">IF(Calculation!Q201="","Selection",Calculation!Q201)</f>
        <v>Selection</v>
      </c>
      <c r="K220" s="179" t="str">
        <f ca="1">Calculation!T201</f>
        <v/>
      </c>
      <c r="L220" s="180" t="str">
        <f ca="1">Calculation!U201</f>
        <v>-</v>
      </c>
      <c r="M220" s="180" t="str">
        <f ca="1">Calculation!V201</f>
        <v>-</v>
      </c>
      <c r="N220" s="181"/>
      <c r="O220" s="180" t="str">
        <f ca="1">Calculation!X201</f>
        <v>-</v>
      </c>
      <c r="P220" s="180" t="str">
        <f ca="1">Calculation!Y201</f>
        <v>-</v>
      </c>
      <c r="Q220" s="273"/>
      <c r="R220" s="182" t="str">
        <f ca="1">IF(AND(L220&lt;&gt;"-",Q220&lt;&gt;"bypass"),IFERROR(IF((U220*$R$23/0.05)-SUM(S220:U220)&gt;0,(U220*$R$23/0.05)-SUM(S220:U220),0),"-"),Calculation!AH201)</f>
        <v>-</v>
      </c>
      <c r="S220" s="179" t="str">
        <f ca="1">IF(AND(L220&lt;&gt;"-",Q220&lt;&gt;"bypass"),IFERROR(X220*((H220*10^-12-H220*10^-12*I220)/(Calculation!$U$8*10^-9)),"-"),Calculation!AF201)</f>
        <v>-</v>
      </c>
      <c r="T220" s="179" t="str">
        <f ca="1">IF(AND(L220&lt;&gt;"-",Q220&lt;&gt;"bypass"),IFERROR(H220*I220*X220/(IF(Cluster!AA220=Cluster!$W$8,Cluster!$W$10,IF(Cluster!AA220=Cluster!$X$8,Cluster!$X$10,IF(Cluster!AA220=Cluster!$Y$8,Cluster!$Y$10,0)))*10^3),"-"),Calculation!AK201)</f>
        <v>-</v>
      </c>
      <c r="U220" s="179" t="str">
        <f ca="1">IF(AND(L220&lt;&gt;"-",Q220&lt;&gt;"bypass"),IFERROR((0.5/50)*X220/$R$23,"-"),Calculation!AG201)</f>
        <v>-</v>
      </c>
      <c r="V220" s="179" t="str">
        <f ca="1">IF(AND(L220&lt;&gt;"-",Q220&lt;&gt;"bypass"),IFERROR(5/50*X220,"-"),Calculation!AI201)</f>
        <v>-</v>
      </c>
      <c r="W220" s="179" t="str">
        <f ca="1">IF(AND(L220&lt;&gt;"-",Q220&lt;&gt;"bypass"),IFERROR(35/50*X220,"-"),Calculation!AJ201)</f>
        <v>-</v>
      </c>
      <c r="X220" s="179" t="str">
        <f ca="1">IF(AND(L220&lt;&gt;"-",Q220&lt;&gt;"bypass"),$W$23,Calculation!AL201)</f>
        <v>-</v>
      </c>
      <c r="Y220" s="183" t="str">
        <f ca="1">IF(AND(L220&lt;&gt;"-",Q220&lt;&gt;"bypass"),IFERROR($R$23*U220/SUM(R220:U220),"-"),Calculation!AP201)</f>
        <v>-</v>
      </c>
      <c r="Z220" s="184" t="str">
        <f t="shared" ca="1" si="10"/>
        <v>-</v>
      </c>
      <c r="AA220" s="185" t="str">
        <f ca="1">IFERROR(IF(I220=0,"-",IF(AND(ROUND(H220*I220*X220/($W$10*10^3),1)&gt;=Calculation!$O$6,ROUND((((U220)*$R$23/0.05)-((S220)+(H220*I220*X220/($W$10*10^3))+(U220))),1)&gt;=0),Cluster!$W$8,IF(AND(ROUND(H220*I220*X220/($X$10*10^3),1)&gt;=Calculation!$O$6,ROUND((((U220)*$R$23/0.05)-((S220)+(H220*I220*X220/($X$10*10^3))+(U220))),1)&gt;=0),Cluster!$X$8,IF(AND(ROUND(H220*I220*X220/($Y$10*10^3),1)&gt;=Calculation!$O$6,ROUND((((U220)*$R$23/0.05)-((S220)+(H220*I220*X220/($Y$10*10^3))+(U220))),1)&gt;=0),Cluster!$Y$8,"Recepie by hand needed")))),"-")</f>
        <v>-</v>
      </c>
      <c r="AC220" s="37" t="str">
        <f t="shared" ca="1" si="11"/>
        <v>-</v>
      </c>
      <c r="AD220" s="37" t="str">
        <f t="shared" ca="1" si="12"/>
        <v>-</v>
      </c>
      <c r="AE220" s="220" t="str">
        <f t="shared" ca="1" si="13"/>
        <v>-</v>
      </c>
      <c r="AF220" s="37" t="str">
        <f t="shared" ca="1" si="14"/>
        <v>-</v>
      </c>
    </row>
    <row r="221" spans="1:32" ht="14.25" x14ac:dyDescent="0.5">
      <c r="A221" s="170" t="str">
        <f>Calculation!I202</f>
        <v/>
      </c>
      <c r="B221" s="221" t="str">
        <f ca="1">Calculation!B202</f>
        <v/>
      </c>
      <c r="C221" s="221" t="str">
        <f ca="1">Calculation!C202</f>
        <v/>
      </c>
      <c r="D221" s="172" t="str">
        <f ca="1">Calculation!AN202</f>
        <v/>
      </c>
      <c r="E221" s="173" t="str">
        <f ca="1">Calculation!D202</f>
        <v/>
      </c>
      <c r="F221" s="174" t="str">
        <f ca="1">Calculation!C202</f>
        <v/>
      </c>
      <c r="G221" s="175" t="str">
        <f ca="1">Calculation!F202</f>
        <v/>
      </c>
      <c r="H221" s="176" t="str">
        <f ca="1">Calculation!AD202</f>
        <v/>
      </c>
      <c r="I221" s="177" t="str">
        <f ca="1">Calculation!AE202</f>
        <v/>
      </c>
      <c r="J221" s="272" t="str">
        <f ca="1">IF(Calculation!Q202="","Selection",Calculation!Q202)</f>
        <v>Selection</v>
      </c>
      <c r="K221" s="179" t="str">
        <f ca="1">Calculation!T202</f>
        <v/>
      </c>
      <c r="L221" s="180" t="str">
        <f ca="1">Calculation!U202</f>
        <v>-</v>
      </c>
      <c r="M221" s="180" t="str">
        <f ca="1">Calculation!V202</f>
        <v>-</v>
      </c>
      <c r="N221" s="181"/>
      <c r="O221" s="180" t="str">
        <f ca="1">Calculation!X202</f>
        <v>-</v>
      </c>
      <c r="P221" s="180" t="str">
        <f ca="1">Calculation!Y202</f>
        <v>-</v>
      </c>
      <c r="Q221" s="273"/>
      <c r="R221" s="182" t="str">
        <f ca="1">IF(AND(L221&lt;&gt;"-",Q221&lt;&gt;"bypass"),IFERROR(IF((U221*$R$23/0.05)-SUM(S221:U221)&gt;0,(U221*$R$23/0.05)-SUM(S221:U221),0),"-"),Calculation!AH202)</f>
        <v>-</v>
      </c>
      <c r="S221" s="179" t="str">
        <f ca="1">IF(AND(L221&lt;&gt;"-",Q221&lt;&gt;"bypass"),IFERROR(X221*((H221*10^-12-H221*10^-12*I221)/(Calculation!$U$8*10^-9)),"-"),Calculation!AF202)</f>
        <v>-</v>
      </c>
      <c r="T221" s="179" t="str">
        <f ca="1">IF(AND(L221&lt;&gt;"-",Q221&lt;&gt;"bypass"),IFERROR(H221*I221*X221/(IF(Cluster!AA221=Cluster!$W$8,Cluster!$W$10,IF(Cluster!AA221=Cluster!$X$8,Cluster!$X$10,IF(Cluster!AA221=Cluster!$Y$8,Cluster!$Y$10,0)))*10^3),"-"),Calculation!AK202)</f>
        <v>-</v>
      </c>
      <c r="U221" s="179" t="str">
        <f ca="1">IF(AND(L221&lt;&gt;"-",Q221&lt;&gt;"bypass"),IFERROR((0.5/50)*X221/$R$23,"-"),Calculation!AG202)</f>
        <v>-</v>
      </c>
      <c r="V221" s="179" t="str">
        <f ca="1">IF(AND(L221&lt;&gt;"-",Q221&lt;&gt;"bypass"),IFERROR(5/50*X221,"-"),Calculation!AI202)</f>
        <v>-</v>
      </c>
      <c r="W221" s="179" t="str">
        <f ca="1">IF(AND(L221&lt;&gt;"-",Q221&lt;&gt;"bypass"),IFERROR(35/50*X221,"-"),Calculation!AJ202)</f>
        <v>-</v>
      </c>
      <c r="X221" s="179" t="str">
        <f ca="1">IF(AND(L221&lt;&gt;"-",Q221&lt;&gt;"bypass"),$W$23,Calculation!AL202)</f>
        <v>-</v>
      </c>
      <c r="Y221" s="183" t="str">
        <f ca="1">IF(AND(L221&lt;&gt;"-",Q221&lt;&gt;"bypass"),IFERROR($R$23*U221/SUM(R221:U221),"-"),Calculation!AP202)</f>
        <v>-</v>
      </c>
      <c r="Z221" s="184" t="str">
        <f t="shared" ref="Z221:Z284" ca="1" si="15">IF(INDEX(Calculation_Tab,MATCH(C221,Identifier,0),45)&lt;&gt;"-",A221,"-")</f>
        <v>-</v>
      </c>
      <c r="AA221" s="185" t="str">
        <f ca="1">IFERROR(IF(I221=0,"-",IF(AND(ROUND(H221*I221*X221/($W$10*10^3),1)&gt;=Calculation!$O$6,ROUND((((U221)*$R$23/0.05)-((S221)+(H221*I221*X221/($W$10*10^3))+(U221))),1)&gt;=0),Cluster!$W$8,IF(AND(ROUND(H221*I221*X221/($X$10*10^3),1)&gt;=Calculation!$O$6,ROUND((((U221)*$R$23/0.05)-((S221)+(H221*I221*X221/($X$10*10^3))+(U221))),1)&gt;=0),Cluster!$X$8,IF(AND(ROUND(H221*I221*X221/($Y$10*10^3),1)&gt;=Calculation!$O$6,ROUND((((U221)*$R$23/0.05)-((S221)+(H221*I221*X221/($Y$10*10^3))+(U221))),1)&gt;=0),Cluster!$Y$8,"Recepie by hand needed")))),"-")</f>
        <v>-</v>
      </c>
      <c r="AC221" s="37" t="str">
        <f t="shared" ref="AC221:AC284" ca="1" si="16">IFERROR(IF((I221*(H221*10^-12)*X221/((U221*$R$23-0.05*SUM(S221,U221))/0.05))/10^-9&lt;=0,"-",(I221*(H221*10^-12)*X221/((U221*$R$23-0.05*SUM(S221,U221))/0.05))/10^-9),"-")</f>
        <v>-</v>
      </c>
      <c r="AD221" s="37" t="str">
        <f t="shared" ref="AD221:AD284" ca="1" si="17">IFERROR(IF((I221*(H221*10^-12)*X221/10^-9)&lt;=0,"-",I221*(H221*10^-12)*X221/10^-9),"-")</f>
        <v>-</v>
      </c>
      <c r="AE221" s="220" t="str">
        <f t="shared" ref="AE221:AE284" ca="1" si="18">IFERROR(AD221-AC221,"-")</f>
        <v>-</v>
      </c>
      <c r="AF221" s="37" t="str">
        <f t="shared" ref="AF221:AF284" ca="1" si="19">IFERROR(IF(AVERAGE(AC221:AD221)&lt;=0,0.1,AVERAGE(AC221:AD221)),"-")</f>
        <v>-</v>
      </c>
    </row>
    <row r="222" spans="1:32" ht="14.25" x14ac:dyDescent="0.5">
      <c r="A222" s="170" t="str">
        <f>Calculation!I203</f>
        <v/>
      </c>
      <c r="B222" s="221" t="str">
        <f ca="1">Calculation!B203</f>
        <v/>
      </c>
      <c r="C222" s="221" t="str">
        <f ca="1">Calculation!C203</f>
        <v/>
      </c>
      <c r="D222" s="172" t="str">
        <f ca="1">Calculation!AN203</f>
        <v/>
      </c>
      <c r="E222" s="173" t="str">
        <f ca="1">Calculation!D203</f>
        <v/>
      </c>
      <c r="F222" s="174" t="str">
        <f ca="1">Calculation!C203</f>
        <v/>
      </c>
      <c r="G222" s="175" t="str">
        <f ca="1">Calculation!F203</f>
        <v/>
      </c>
      <c r="H222" s="176" t="str">
        <f ca="1">Calculation!AD203</f>
        <v/>
      </c>
      <c r="I222" s="177" t="str">
        <f ca="1">Calculation!AE203</f>
        <v/>
      </c>
      <c r="J222" s="272" t="str">
        <f ca="1">IF(Calculation!Q203="","Selection",Calculation!Q203)</f>
        <v>Selection</v>
      </c>
      <c r="K222" s="179" t="str">
        <f ca="1">Calculation!T203</f>
        <v/>
      </c>
      <c r="L222" s="180" t="str">
        <f ca="1">Calculation!U203</f>
        <v>-</v>
      </c>
      <c r="M222" s="180" t="str">
        <f ca="1">Calculation!V203</f>
        <v>-</v>
      </c>
      <c r="N222" s="181"/>
      <c r="O222" s="180" t="str">
        <f ca="1">Calculation!X203</f>
        <v>-</v>
      </c>
      <c r="P222" s="180" t="str">
        <f ca="1">Calculation!Y203</f>
        <v>-</v>
      </c>
      <c r="Q222" s="273"/>
      <c r="R222" s="182" t="str">
        <f ca="1">IF(AND(L222&lt;&gt;"-",Q222&lt;&gt;"bypass"),IFERROR(IF((U222*$R$23/0.05)-SUM(S222:U222)&gt;0,(U222*$R$23/0.05)-SUM(S222:U222),0),"-"),Calculation!AH203)</f>
        <v>-</v>
      </c>
      <c r="S222" s="179" t="str">
        <f ca="1">IF(AND(L222&lt;&gt;"-",Q222&lt;&gt;"bypass"),IFERROR(X222*((H222*10^-12-H222*10^-12*I222)/(Calculation!$U$8*10^-9)),"-"),Calculation!AF203)</f>
        <v>-</v>
      </c>
      <c r="T222" s="179" t="str">
        <f ca="1">IF(AND(L222&lt;&gt;"-",Q222&lt;&gt;"bypass"),IFERROR(H222*I222*X222/(IF(Cluster!AA222=Cluster!$W$8,Cluster!$W$10,IF(Cluster!AA222=Cluster!$X$8,Cluster!$X$10,IF(Cluster!AA222=Cluster!$Y$8,Cluster!$Y$10,0)))*10^3),"-"),Calculation!AK203)</f>
        <v>-</v>
      </c>
      <c r="U222" s="179" t="str">
        <f ca="1">IF(AND(L222&lt;&gt;"-",Q222&lt;&gt;"bypass"),IFERROR((0.5/50)*X222/$R$23,"-"),Calculation!AG203)</f>
        <v>-</v>
      </c>
      <c r="V222" s="179" t="str">
        <f ca="1">IF(AND(L222&lt;&gt;"-",Q222&lt;&gt;"bypass"),IFERROR(5/50*X222,"-"),Calculation!AI203)</f>
        <v>-</v>
      </c>
      <c r="W222" s="179" t="str">
        <f ca="1">IF(AND(L222&lt;&gt;"-",Q222&lt;&gt;"bypass"),IFERROR(35/50*X222,"-"),Calculation!AJ203)</f>
        <v>-</v>
      </c>
      <c r="X222" s="179" t="str">
        <f ca="1">IF(AND(L222&lt;&gt;"-",Q222&lt;&gt;"bypass"),$W$23,Calculation!AL203)</f>
        <v>-</v>
      </c>
      <c r="Y222" s="183" t="str">
        <f ca="1">IF(AND(L222&lt;&gt;"-",Q222&lt;&gt;"bypass"),IFERROR($R$23*U222/SUM(R222:U222),"-"),Calculation!AP203)</f>
        <v>-</v>
      </c>
      <c r="Z222" s="184" t="str">
        <f t="shared" ca="1" si="15"/>
        <v>-</v>
      </c>
      <c r="AA222" s="185" t="str">
        <f ca="1">IFERROR(IF(I222=0,"-",IF(AND(ROUND(H222*I222*X222/($W$10*10^3),1)&gt;=Calculation!$O$6,ROUND((((U222)*$R$23/0.05)-((S222)+(H222*I222*X222/($W$10*10^3))+(U222))),1)&gt;=0),Cluster!$W$8,IF(AND(ROUND(H222*I222*X222/($X$10*10^3),1)&gt;=Calculation!$O$6,ROUND((((U222)*$R$23/0.05)-((S222)+(H222*I222*X222/($X$10*10^3))+(U222))),1)&gt;=0),Cluster!$X$8,IF(AND(ROUND(H222*I222*X222/($Y$10*10^3),1)&gt;=Calculation!$O$6,ROUND((((U222)*$R$23/0.05)-((S222)+(H222*I222*X222/($Y$10*10^3))+(U222))),1)&gt;=0),Cluster!$Y$8,"Recepie by hand needed")))),"-")</f>
        <v>-</v>
      </c>
      <c r="AC222" s="37" t="str">
        <f t="shared" ca="1" si="16"/>
        <v>-</v>
      </c>
      <c r="AD222" s="37" t="str">
        <f t="shared" ca="1" si="17"/>
        <v>-</v>
      </c>
      <c r="AE222" s="220" t="str">
        <f t="shared" ca="1" si="18"/>
        <v>-</v>
      </c>
      <c r="AF222" s="37" t="str">
        <f t="shared" ca="1" si="19"/>
        <v>-</v>
      </c>
    </row>
    <row r="223" spans="1:32" ht="14.25" x14ac:dyDescent="0.5">
      <c r="A223" s="170" t="str">
        <f>Calculation!I204</f>
        <v/>
      </c>
      <c r="B223" s="221" t="str">
        <f ca="1">Calculation!B204</f>
        <v/>
      </c>
      <c r="C223" s="221" t="str">
        <f ca="1">Calculation!C204</f>
        <v/>
      </c>
      <c r="D223" s="172" t="str">
        <f ca="1">Calculation!AN204</f>
        <v/>
      </c>
      <c r="E223" s="173" t="str">
        <f ca="1">Calculation!D204</f>
        <v/>
      </c>
      <c r="F223" s="174" t="str">
        <f ca="1">Calculation!C204</f>
        <v/>
      </c>
      <c r="G223" s="175" t="str">
        <f ca="1">Calculation!F204</f>
        <v/>
      </c>
      <c r="H223" s="176" t="str">
        <f ca="1">Calculation!AD204</f>
        <v/>
      </c>
      <c r="I223" s="177" t="str">
        <f ca="1">Calculation!AE204</f>
        <v/>
      </c>
      <c r="J223" s="272" t="str">
        <f ca="1">IF(Calculation!Q204="","Selection",Calculation!Q204)</f>
        <v>Selection</v>
      </c>
      <c r="K223" s="179" t="str">
        <f ca="1">Calculation!T204</f>
        <v/>
      </c>
      <c r="L223" s="180" t="str">
        <f ca="1">Calculation!U204</f>
        <v>-</v>
      </c>
      <c r="M223" s="180" t="str">
        <f ca="1">Calculation!V204</f>
        <v>-</v>
      </c>
      <c r="N223" s="181"/>
      <c r="O223" s="180" t="str">
        <f ca="1">Calculation!X204</f>
        <v>-</v>
      </c>
      <c r="P223" s="180" t="str">
        <f ca="1">Calculation!Y204</f>
        <v>-</v>
      </c>
      <c r="Q223" s="273"/>
      <c r="R223" s="182" t="str">
        <f ca="1">IF(AND(L223&lt;&gt;"-",Q223&lt;&gt;"bypass"),IFERROR(IF((U223*$R$23/0.05)-SUM(S223:U223)&gt;0,(U223*$R$23/0.05)-SUM(S223:U223),0),"-"),Calculation!AH204)</f>
        <v>-</v>
      </c>
      <c r="S223" s="179" t="str">
        <f ca="1">IF(AND(L223&lt;&gt;"-",Q223&lt;&gt;"bypass"),IFERROR(X223*((H223*10^-12-H223*10^-12*I223)/(Calculation!$U$8*10^-9)),"-"),Calculation!AF204)</f>
        <v>-</v>
      </c>
      <c r="T223" s="179" t="str">
        <f ca="1">IF(AND(L223&lt;&gt;"-",Q223&lt;&gt;"bypass"),IFERROR(H223*I223*X223/(IF(Cluster!AA223=Cluster!$W$8,Cluster!$W$10,IF(Cluster!AA223=Cluster!$X$8,Cluster!$X$10,IF(Cluster!AA223=Cluster!$Y$8,Cluster!$Y$10,0)))*10^3),"-"),Calculation!AK204)</f>
        <v>-</v>
      </c>
      <c r="U223" s="179" t="str">
        <f ca="1">IF(AND(L223&lt;&gt;"-",Q223&lt;&gt;"bypass"),IFERROR((0.5/50)*X223/$R$23,"-"),Calculation!AG204)</f>
        <v>-</v>
      </c>
      <c r="V223" s="179" t="str">
        <f ca="1">IF(AND(L223&lt;&gt;"-",Q223&lt;&gt;"bypass"),IFERROR(5/50*X223,"-"),Calculation!AI204)</f>
        <v>-</v>
      </c>
      <c r="W223" s="179" t="str">
        <f ca="1">IF(AND(L223&lt;&gt;"-",Q223&lt;&gt;"bypass"),IFERROR(35/50*X223,"-"),Calculation!AJ204)</f>
        <v>-</v>
      </c>
      <c r="X223" s="179" t="str">
        <f ca="1">IF(AND(L223&lt;&gt;"-",Q223&lt;&gt;"bypass"),$W$23,Calculation!AL204)</f>
        <v>-</v>
      </c>
      <c r="Y223" s="183" t="str">
        <f ca="1">IF(AND(L223&lt;&gt;"-",Q223&lt;&gt;"bypass"),IFERROR($R$23*U223/SUM(R223:U223),"-"),Calculation!AP204)</f>
        <v>-</v>
      </c>
      <c r="Z223" s="184" t="str">
        <f t="shared" ca="1" si="15"/>
        <v>-</v>
      </c>
      <c r="AA223" s="185" t="str">
        <f ca="1">IFERROR(IF(I223=0,"-",IF(AND(ROUND(H223*I223*X223/($W$10*10^3),1)&gt;=Calculation!$O$6,ROUND((((U223)*$R$23/0.05)-((S223)+(H223*I223*X223/($W$10*10^3))+(U223))),1)&gt;=0),Cluster!$W$8,IF(AND(ROUND(H223*I223*X223/($X$10*10^3),1)&gt;=Calculation!$O$6,ROUND((((U223)*$R$23/0.05)-((S223)+(H223*I223*X223/($X$10*10^3))+(U223))),1)&gt;=0),Cluster!$X$8,IF(AND(ROUND(H223*I223*X223/($Y$10*10^3),1)&gt;=Calculation!$O$6,ROUND((((U223)*$R$23/0.05)-((S223)+(H223*I223*X223/($Y$10*10^3))+(U223))),1)&gt;=0),Cluster!$Y$8,"Recepie by hand needed")))),"-")</f>
        <v>-</v>
      </c>
      <c r="AC223" s="37" t="str">
        <f t="shared" ca="1" si="16"/>
        <v>-</v>
      </c>
      <c r="AD223" s="37" t="str">
        <f t="shared" ca="1" si="17"/>
        <v>-</v>
      </c>
      <c r="AE223" s="220" t="str">
        <f t="shared" ca="1" si="18"/>
        <v>-</v>
      </c>
      <c r="AF223" s="37" t="str">
        <f t="shared" ca="1" si="19"/>
        <v>-</v>
      </c>
    </row>
    <row r="224" spans="1:32" ht="14.25" x14ac:dyDescent="0.5">
      <c r="A224" s="170" t="str">
        <f>Calculation!I205</f>
        <v/>
      </c>
      <c r="B224" s="221" t="str">
        <f ca="1">Calculation!B205</f>
        <v/>
      </c>
      <c r="C224" s="221" t="str">
        <f ca="1">Calculation!C205</f>
        <v/>
      </c>
      <c r="D224" s="172" t="str">
        <f ca="1">Calculation!AN205</f>
        <v/>
      </c>
      <c r="E224" s="173" t="str">
        <f ca="1">Calculation!D205</f>
        <v/>
      </c>
      <c r="F224" s="174" t="str">
        <f ca="1">Calculation!C205</f>
        <v/>
      </c>
      <c r="G224" s="175" t="str">
        <f ca="1">Calculation!F205</f>
        <v/>
      </c>
      <c r="H224" s="176" t="str">
        <f ca="1">Calculation!AD205</f>
        <v/>
      </c>
      <c r="I224" s="177" t="str">
        <f ca="1">Calculation!AE205</f>
        <v/>
      </c>
      <c r="J224" s="272" t="str">
        <f ca="1">IF(Calculation!Q205="","Selection",Calculation!Q205)</f>
        <v>Selection</v>
      </c>
      <c r="K224" s="179" t="str">
        <f ca="1">Calculation!T205</f>
        <v/>
      </c>
      <c r="L224" s="180" t="str">
        <f ca="1">Calculation!U205</f>
        <v>-</v>
      </c>
      <c r="M224" s="180" t="str">
        <f ca="1">Calculation!V205</f>
        <v>-</v>
      </c>
      <c r="N224" s="181"/>
      <c r="O224" s="180" t="str">
        <f ca="1">Calculation!X205</f>
        <v>-</v>
      </c>
      <c r="P224" s="180" t="str">
        <f ca="1">Calculation!Y205</f>
        <v>-</v>
      </c>
      <c r="Q224" s="273"/>
      <c r="R224" s="182" t="str">
        <f ca="1">IF(AND(L224&lt;&gt;"-",Q224&lt;&gt;"bypass"),IFERROR(IF((U224*$R$23/0.05)-SUM(S224:U224)&gt;0,(U224*$R$23/0.05)-SUM(S224:U224),0),"-"),Calculation!AH205)</f>
        <v>-</v>
      </c>
      <c r="S224" s="179" t="str">
        <f ca="1">IF(AND(L224&lt;&gt;"-",Q224&lt;&gt;"bypass"),IFERROR(X224*((H224*10^-12-H224*10^-12*I224)/(Calculation!$U$8*10^-9)),"-"),Calculation!AF205)</f>
        <v>-</v>
      </c>
      <c r="T224" s="179" t="str">
        <f ca="1">IF(AND(L224&lt;&gt;"-",Q224&lt;&gt;"bypass"),IFERROR(H224*I224*X224/(IF(Cluster!AA224=Cluster!$W$8,Cluster!$W$10,IF(Cluster!AA224=Cluster!$X$8,Cluster!$X$10,IF(Cluster!AA224=Cluster!$Y$8,Cluster!$Y$10,0)))*10^3),"-"),Calculation!AK205)</f>
        <v>-</v>
      </c>
      <c r="U224" s="179" t="str">
        <f ca="1">IF(AND(L224&lt;&gt;"-",Q224&lt;&gt;"bypass"),IFERROR((0.5/50)*X224/$R$23,"-"),Calculation!AG205)</f>
        <v>-</v>
      </c>
      <c r="V224" s="179" t="str">
        <f ca="1">IF(AND(L224&lt;&gt;"-",Q224&lt;&gt;"bypass"),IFERROR(5/50*X224,"-"),Calculation!AI205)</f>
        <v>-</v>
      </c>
      <c r="W224" s="179" t="str">
        <f ca="1">IF(AND(L224&lt;&gt;"-",Q224&lt;&gt;"bypass"),IFERROR(35/50*X224,"-"),Calculation!AJ205)</f>
        <v>-</v>
      </c>
      <c r="X224" s="179" t="str">
        <f ca="1">IF(AND(L224&lt;&gt;"-",Q224&lt;&gt;"bypass"),$W$23,Calculation!AL205)</f>
        <v>-</v>
      </c>
      <c r="Y224" s="183" t="str">
        <f ca="1">IF(AND(L224&lt;&gt;"-",Q224&lt;&gt;"bypass"),IFERROR($R$23*U224/SUM(R224:U224),"-"),Calculation!AP205)</f>
        <v>-</v>
      </c>
      <c r="Z224" s="184" t="str">
        <f t="shared" ca="1" si="15"/>
        <v>-</v>
      </c>
      <c r="AA224" s="185" t="str">
        <f ca="1">IFERROR(IF(I224=0,"-",IF(AND(ROUND(H224*I224*X224/($W$10*10^3),1)&gt;=Calculation!$O$6,ROUND((((U224)*$R$23/0.05)-((S224)+(H224*I224*X224/($W$10*10^3))+(U224))),1)&gt;=0),Cluster!$W$8,IF(AND(ROUND(H224*I224*X224/($X$10*10^3),1)&gt;=Calculation!$O$6,ROUND((((U224)*$R$23/0.05)-((S224)+(H224*I224*X224/($X$10*10^3))+(U224))),1)&gt;=0),Cluster!$X$8,IF(AND(ROUND(H224*I224*X224/($Y$10*10^3),1)&gt;=Calculation!$O$6,ROUND((((U224)*$R$23/0.05)-((S224)+(H224*I224*X224/($Y$10*10^3))+(U224))),1)&gt;=0),Cluster!$Y$8,"Recepie by hand needed")))),"-")</f>
        <v>-</v>
      </c>
      <c r="AC224" s="37" t="str">
        <f t="shared" ca="1" si="16"/>
        <v>-</v>
      </c>
      <c r="AD224" s="37" t="str">
        <f t="shared" ca="1" si="17"/>
        <v>-</v>
      </c>
      <c r="AE224" s="220" t="str">
        <f t="shared" ca="1" si="18"/>
        <v>-</v>
      </c>
      <c r="AF224" s="37" t="str">
        <f t="shared" ca="1" si="19"/>
        <v>-</v>
      </c>
    </row>
    <row r="225" spans="1:32" ht="14.25" x14ac:dyDescent="0.5">
      <c r="A225" s="170" t="str">
        <f>Calculation!I206</f>
        <v/>
      </c>
      <c r="B225" s="221" t="str">
        <f ca="1">Calculation!B206</f>
        <v/>
      </c>
      <c r="C225" s="221" t="str">
        <f ca="1">Calculation!C206</f>
        <v/>
      </c>
      <c r="D225" s="172" t="str">
        <f ca="1">Calculation!AN206</f>
        <v/>
      </c>
      <c r="E225" s="173" t="str">
        <f ca="1">Calculation!D206</f>
        <v/>
      </c>
      <c r="F225" s="174" t="str">
        <f ca="1">Calculation!C206</f>
        <v/>
      </c>
      <c r="G225" s="175" t="str">
        <f ca="1">Calculation!F206</f>
        <v/>
      </c>
      <c r="H225" s="176" t="str">
        <f ca="1">Calculation!AD206</f>
        <v/>
      </c>
      <c r="I225" s="177" t="str">
        <f ca="1">Calculation!AE206</f>
        <v/>
      </c>
      <c r="J225" s="272" t="str">
        <f ca="1">IF(Calculation!Q206="","Selection",Calculation!Q206)</f>
        <v>Selection</v>
      </c>
      <c r="K225" s="179" t="str">
        <f ca="1">Calculation!T206</f>
        <v/>
      </c>
      <c r="L225" s="180" t="str">
        <f ca="1">Calculation!U206</f>
        <v>-</v>
      </c>
      <c r="M225" s="180" t="str">
        <f ca="1">Calculation!V206</f>
        <v>-</v>
      </c>
      <c r="N225" s="181"/>
      <c r="O225" s="180" t="str">
        <f ca="1">Calculation!X206</f>
        <v>-</v>
      </c>
      <c r="P225" s="180" t="str">
        <f ca="1">Calculation!Y206</f>
        <v>-</v>
      </c>
      <c r="Q225" s="273"/>
      <c r="R225" s="182" t="str">
        <f ca="1">IF(AND(L225&lt;&gt;"-",Q225&lt;&gt;"bypass"),IFERROR(IF((U225*$R$23/0.05)-SUM(S225:U225)&gt;0,(U225*$R$23/0.05)-SUM(S225:U225),0),"-"),Calculation!AH206)</f>
        <v>-</v>
      </c>
      <c r="S225" s="179" t="str">
        <f ca="1">IF(AND(L225&lt;&gt;"-",Q225&lt;&gt;"bypass"),IFERROR(X225*((H225*10^-12-H225*10^-12*I225)/(Calculation!$U$8*10^-9)),"-"),Calculation!AF206)</f>
        <v>-</v>
      </c>
      <c r="T225" s="179" t="str">
        <f ca="1">IF(AND(L225&lt;&gt;"-",Q225&lt;&gt;"bypass"),IFERROR(H225*I225*X225/(IF(Cluster!AA225=Cluster!$W$8,Cluster!$W$10,IF(Cluster!AA225=Cluster!$X$8,Cluster!$X$10,IF(Cluster!AA225=Cluster!$Y$8,Cluster!$Y$10,0)))*10^3),"-"),Calculation!AK206)</f>
        <v>-</v>
      </c>
      <c r="U225" s="179" t="str">
        <f ca="1">IF(AND(L225&lt;&gt;"-",Q225&lt;&gt;"bypass"),IFERROR((0.5/50)*X225/$R$23,"-"),Calculation!AG206)</f>
        <v>-</v>
      </c>
      <c r="V225" s="179" t="str">
        <f ca="1">IF(AND(L225&lt;&gt;"-",Q225&lt;&gt;"bypass"),IFERROR(5/50*X225,"-"),Calculation!AI206)</f>
        <v>-</v>
      </c>
      <c r="W225" s="179" t="str">
        <f ca="1">IF(AND(L225&lt;&gt;"-",Q225&lt;&gt;"bypass"),IFERROR(35/50*X225,"-"),Calculation!AJ206)</f>
        <v>-</v>
      </c>
      <c r="X225" s="179" t="str">
        <f ca="1">IF(AND(L225&lt;&gt;"-",Q225&lt;&gt;"bypass"),$W$23,Calculation!AL206)</f>
        <v>-</v>
      </c>
      <c r="Y225" s="183" t="str">
        <f ca="1">IF(AND(L225&lt;&gt;"-",Q225&lt;&gt;"bypass"),IFERROR($R$23*U225/SUM(R225:U225),"-"),Calculation!AP206)</f>
        <v>-</v>
      </c>
      <c r="Z225" s="184" t="str">
        <f t="shared" ca="1" si="15"/>
        <v>-</v>
      </c>
      <c r="AA225" s="185" t="str">
        <f ca="1">IFERROR(IF(I225=0,"-",IF(AND(ROUND(H225*I225*X225/($W$10*10^3),1)&gt;=Calculation!$O$6,ROUND((((U225)*$R$23/0.05)-((S225)+(H225*I225*X225/($W$10*10^3))+(U225))),1)&gt;=0),Cluster!$W$8,IF(AND(ROUND(H225*I225*X225/($X$10*10^3),1)&gt;=Calculation!$O$6,ROUND((((U225)*$R$23/0.05)-((S225)+(H225*I225*X225/($X$10*10^3))+(U225))),1)&gt;=0),Cluster!$X$8,IF(AND(ROUND(H225*I225*X225/($Y$10*10^3),1)&gt;=Calculation!$O$6,ROUND((((U225)*$R$23/0.05)-((S225)+(H225*I225*X225/($Y$10*10^3))+(U225))),1)&gt;=0),Cluster!$Y$8,"Recepie by hand needed")))),"-")</f>
        <v>-</v>
      </c>
      <c r="AC225" s="37" t="str">
        <f t="shared" ca="1" si="16"/>
        <v>-</v>
      </c>
      <c r="AD225" s="37" t="str">
        <f t="shared" ca="1" si="17"/>
        <v>-</v>
      </c>
      <c r="AE225" s="220" t="str">
        <f t="shared" ca="1" si="18"/>
        <v>-</v>
      </c>
      <c r="AF225" s="37" t="str">
        <f t="shared" ca="1" si="19"/>
        <v>-</v>
      </c>
    </row>
    <row r="226" spans="1:32" ht="14.25" x14ac:dyDescent="0.5">
      <c r="A226" s="170" t="str">
        <f>Calculation!I207</f>
        <v/>
      </c>
      <c r="B226" s="221" t="str">
        <f ca="1">Calculation!B207</f>
        <v/>
      </c>
      <c r="C226" s="221" t="str">
        <f ca="1">Calculation!C207</f>
        <v/>
      </c>
      <c r="D226" s="172" t="str">
        <f ca="1">Calculation!AN207</f>
        <v/>
      </c>
      <c r="E226" s="173" t="str">
        <f ca="1">Calculation!D207</f>
        <v/>
      </c>
      <c r="F226" s="174" t="str">
        <f ca="1">Calculation!C207</f>
        <v/>
      </c>
      <c r="G226" s="175" t="str">
        <f ca="1">Calculation!F207</f>
        <v/>
      </c>
      <c r="H226" s="176" t="str">
        <f ca="1">Calculation!AD207</f>
        <v/>
      </c>
      <c r="I226" s="177" t="str">
        <f ca="1">Calculation!AE207</f>
        <v/>
      </c>
      <c r="J226" s="272" t="str">
        <f ca="1">IF(Calculation!Q207="","Selection",Calculation!Q207)</f>
        <v>Selection</v>
      </c>
      <c r="K226" s="179" t="str">
        <f ca="1">Calculation!T207</f>
        <v/>
      </c>
      <c r="L226" s="180" t="str">
        <f ca="1">Calculation!U207</f>
        <v>-</v>
      </c>
      <c r="M226" s="180" t="str">
        <f ca="1">Calculation!V207</f>
        <v>-</v>
      </c>
      <c r="N226" s="181"/>
      <c r="O226" s="180" t="str">
        <f ca="1">Calculation!X207</f>
        <v>-</v>
      </c>
      <c r="P226" s="180" t="str">
        <f ca="1">Calculation!Y207</f>
        <v>-</v>
      </c>
      <c r="Q226" s="273"/>
      <c r="R226" s="182" t="str">
        <f ca="1">IF(AND(L226&lt;&gt;"-",Q226&lt;&gt;"bypass"),IFERROR(IF((U226*$R$23/0.05)-SUM(S226:U226)&gt;0,(U226*$R$23/0.05)-SUM(S226:U226),0),"-"),Calculation!AH207)</f>
        <v>-</v>
      </c>
      <c r="S226" s="179" t="str">
        <f ca="1">IF(AND(L226&lt;&gt;"-",Q226&lt;&gt;"bypass"),IFERROR(X226*((H226*10^-12-H226*10^-12*I226)/(Calculation!$U$8*10^-9)),"-"),Calculation!AF207)</f>
        <v>-</v>
      </c>
      <c r="T226" s="179" t="str">
        <f ca="1">IF(AND(L226&lt;&gt;"-",Q226&lt;&gt;"bypass"),IFERROR(H226*I226*X226/(IF(Cluster!AA226=Cluster!$W$8,Cluster!$W$10,IF(Cluster!AA226=Cluster!$X$8,Cluster!$X$10,IF(Cluster!AA226=Cluster!$Y$8,Cluster!$Y$10,0)))*10^3),"-"),Calculation!AK207)</f>
        <v>-</v>
      </c>
      <c r="U226" s="179" t="str">
        <f ca="1">IF(AND(L226&lt;&gt;"-",Q226&lt;&gt;"bypass"),IFERROR((0.5/50)*X226/$R$23,"-"),Calculation!AG207)</f>
        <v>-</v>
      </c>
      <c r="V226" s="179" t="str">
        <f ca="1">IF(AND(L226&lt;&gt;"-",Q226&lt;&gt;"bypass"),IFERROR(5/50*X226,"-"),Calculation!AI207)</f>
        <v>-</v>
      </c>
      <c r="W226" s="179" t="str">
        <f ca="1">IF(AND(L226&lt;&gt;"-",Q226&lt;&gt;"bypass"),IFERROR(35/50*X226,"-"),Calculation!AJ207)</f>
        <v>-</v>
      </c>
      <c r="X226" s="179" t="str">
        <f ca="1">IF(AND(L226&lt;&gt;"-",Q226&lt;&gt;"bypass"),$W$23,Calculation!AL207)</f>
        <v>-</v>
      </c>
      <c r="Y226" s="183" t="str">
        <f ca="1">IF(AND(L226&lt;&gt;"-",Q226&lt;&gt;"bypass"),IFERROR($R$23*U226/SUM(R226:U226),"-"),Calculation!AP207)</f>
        <v>-</v>
      </c>
      <c r="Z226" s="184" t="str">
        <f t="shared" ca="1" si="15"/>
        <v>-</v>
      </c>
      <c r="AA226" s="185" t="str">
        <f ca="1">IFERROR(IF(I226=0,"-",IF(AND(ROUND(H226*I226*X226/($W$10*10^3),1)&gt;=Calculation!$O$6,ROUND((((U226)*$R$23/0.05)-((S226)+(H226*I226*X226/($W$10*10^3))+(U226))),1)&gt;=0),Cluster!$W$8,IF(AND(ROUND(H226*I226*X226/($X$10*10^3),1)&gt;=Calculation!$O$6,ROUND((((U226)*$R$23/0.05)-((S226)+(H226*I226*X226/($X$10*10^3))+(U226))),1)&gt;=0),Cluster!$X$8,IF(AND(ROUND(H226*I226*X226/($Y$10*10^3),1)&gt;=Calculation!$O$6,ROUND((((U226)*$R$23/0.05)-((S226)+(H226*I226*X226/($Y$10*10^3))+(U226))),1)&gt;=0),Cluster!$Y$8,"Recepie by hand needed")))),"-")</f>
        <v>-</v>
      </c>
      <c r="AC226" s="37" t="str">
        <f t="shared" ca="1" si="16"/>
        <v>-</v>
      </c>
      <c r="AD226" s="37" t="str">
        <f t="shared" ca="1" si="17"/>
        <v>-</v>
      </c>
      <c r="AE226" s="220" t="str">
        <f t="shared" ca="1" si="18"/>
        <v>-</v>
      </c>
      <c r="AF226" s="37" t="str">
        <f t="shared" ca="1" si="19"/>
        <v>-</v>
      </c>
    </row>
    <row r="227" spans="1:32" ht="14.25" x14ac:dyDescent="0.5">
      <c r="A227" s="170" t="str">
        <f>Calculation!I208</f>
        <v/>
      </c>
      <c r="B227" s="221" t="str">
        <f ca="1">Calculation!B208</f>
        <v/>
      </c>
      <c r="C227" s="221" t="str">
        <f ca="1">Calculation!C208</f>
        <v/>
      </c>
      <c r="D227" s="172" t="str">
        <f ca="1">Calculation!AN208</f>
        <v/>
      </c>
      <c r="E227" s="173" t="str">
        <f ca="1">Calculation!D208</f>
        <v/>
      </c>
      <c r="F227" s="174" t="str">
        <f ca="1">Calculation!C208</f>
        <v/>
      </c>
      <c r="G227" s="175" t="str">
        <f ca="1">Calculation!F208</f>
        <v/>
      </c>
      <c r="H227" s="176" t="str">
        <f ca="1">Calculation!AD208</f>
        <v/>
      </c>
      <c r="I227" s="177" t="str">
        <f ca="1">Calculation!AE208</f>
        <v/>
      </c>
      <c r="J227" s="272" t="str">
        <f ca="1">IF(Calculation!Q208="","Selection",Calculation!Q208)</f>
        <v>Selection</v>
      </c>
      <c r="K227" s="179" t="str">
        <f ca="1">Calculation!T208</f>
        <v/>
      </c>
      <c r="L227" s="180" t="str">
        <f ca="1">Calculation!U208</f>
        <v>-</v>
      </c>
      <c r="M227" s="180" t="str">
        <f ca="1">Calculation!V208</f>
        <v>-</v>
      </c>
      <c r="N227" s="181"/>
      <c r="O227" s="180" t="str">
        <f ca="1">Calculation!X208</f>
        <v>-</v>
      </c>
      <c r="P227" s="180" t="str">
        <f ca="1">Calculation!Y208</f>
        <v>-</v>
      </c>
      <c r="Q227" s="273"/>
      <c r="R227" s="182" t="str">
        <f ca="1">IF(AND(L227&lt;&gt;"-",Q227&lt;&gt;"bypass"),IFERROR(IF((U227*$R$23/0.05)-SUM(S227:U227)&gt;0,(U227*$R$23/0.05)-SUM(S227:U227),0),"-"),Calculation!AH208)</f>
        <v>-</v>
      </c>
      <c r="S227" s="179" t="str">
        <f ca="1">IF(AND(L227&lt;&gt;"-",Q227&lt;&gt;"bypass"),IFERROR(X227*((H227*10^-12-H227*10^-12*I227)/(Calculation!$U$8*10^-9)),"-"),Calculation!AF208)</f>
        <v>-</v>
      </c>
      <c r="T227" s="179" t="str">
        <f ca="1">IF(AND(L227&lt;&gt;"-",Q227&lt;&gt;"bypass"),IFERROR(H227*I227*X227/(IF(Cluster!AA227=Cluster!$W$8,Cluster!$W$10,IF(Cluster!AA227=Cluster!$X$8,Cluster!$X$10,IF(Cluster!AA227=Cluster!$Y$8,Cluster!$Y$10,0)))*10^3),"-"),Calculation!AK208)</f>
        <v>-</v>
      </c>
      <c r="U227" s="179" t="str">
        <f ca="1">IF(AND(L227&lt;&gt;"-",Q227&lt;&gt;"bypass"),IFERROR((0.5/50)*X227/$R$23,"-"),Calculation!AG208)</f>
        <v>-</v>
      </c>
      <c r="V227" s="179" t="str">
        <f ca="1">IF(AND(L227&lt;&gt;"-",Q227&lt;&gt;"bypass"),IFERROR(5/50*X227,"-"),Calculation!AI208)</f>
        <v>-</v>
      </c>
      <c r="W227" s="179" t="str">
        <f ca="1">IF(AND(L227&lt;&gt;"-",Q227&lt;&gt;"bypass"),IFERROR(35/50*X227,"-"),Calculation!AJ208)</f>
        <v>-</v>
      </c>
      <c r="X227" s="179" t="str">
        <f ca="1">IF(AND(L227&lt;&gt;"-",Q227&lt;&gt;"bypass"),$W$23,Calculation!AL208)</f>
        <v>-</v>
      </c>
      <c r="Y227" s="183" t="str">
        <f ca="1">IF(AND(L227&lt;&gt;"-",Q227&lt;&gt;"bypass"),IFERROR($R$23*U227/SUM(R227:U227),"-"),Calculation!AP208)</f>
        <v>-</v>
      </c>
      <c r="Z227" s="184" t="str">
        <f t="shared" ca="1" si="15"/>
        <v>-</v>
      </c>
      <c r="AA227" s="185" t="str">
        <f ca="1">IFERROR(IF(I227=0,"-",IF(AND(ROUND(H227*I227*X227/($W$10*10^3),1)&gt;=Calculation!$O$6,ROUND((((U227)*$R$23/0.05)-((S227)+(H227*I227*X227/($W$10*10^3))+(U227))),1)&gt;=0),Cluster!$W$8,IF(AND(ROUND(H227*I227*X227/($X$10*10^3),1)&gt;=Calculation!$O$6,ROUND((((U227)*$R$23/0.05)-((S227)+(H227*I227*X227/($X$10*10^3))+(U227))),1)&gt;=0),Cluster!$X$8,IF(AND(ROUND(H227*I227*X227/($Y$10*10^3),1)&gt;=Calculation!$O$6,ROUND((((U227)*$R$23/0.05)-((S227)+(H227*I227*X227/($Y$10*10^3))+(U227))),1)&gt;=0),Cluster!$Y$8,"Recepie by hand needed")))),"-")</f>
        <v>-</v>
      </c>
      <c r="AC227" s="37" t="str">
        <f t="shared" ca="1" si="16"/>
        <v>-</v>
      </c>
      <c r="AD227" s="37" t="str">
        <f t="shared" ca="1" si="17"/>
        <v>-</v>
      </c>
      <c r="AE227" s="220" t="str">
        <f t="shared" ca="1" si="18"/>
        <v>-</v>
      </c>
      <c r="AF227" s="37" t="str">
        <f t="shared" ca="1" si="19"/>
        <v>-</v>
      </c>
    </row>
    <row r="228" spans="1:32" ht="14.25" x14ac:dyDescent="0.5">
      <c r="A228" s="170" t="str">
        <f>Calculation!I209</f>
        <v/>
      </c>
      <c r="B228" s="221" t="str">
        <f ca="1">Calculation!B209</f>
        <v/>
      </c>
      <c r="C228" s="221" t="str">
        <f ca="1">Calculation!C209</f>
        <v/>
      </c>
      <c r="D228" s="172" t="str">
        <f ca="1">Calculation!AN209</f>
        <v/>
      </c>
      <c r="E228" s="173" t="str">
        <f ca="1">Calculation!D209</f>
        <v/>
      </c>
      <c r="F228" s="174" t="str">
        <f ca="1">Calculation!C209</f>
        <v/>
      </c>
      <c r="G228" s="175" t="str">
        <f ca="1">Calculation!F209</f>
        <v/>
      </c>
      <c r="H228" s="176" t="str">
        <f ca="1">Calculation!AD209</f>
        <v/>
      </c>
      <c r="I228" s="177" t="str">
        <f ca="1">Calculation!AE209</f>
        <v/>
      </c>
      <c r="J228" s="272" t="str">
        <f ca="1">IF(Calculation!Q209="","Selection",Calculation!Q209)</f>
        <v>Selection</v>
      </c>
      <c r="K228" s="179" t="str">
        <f ca="1">Calculation!T209</f>
        <v/>
      </c>
      <c r="L228" s="180" t="str">
        <f ca="1">Calculation!U209</f>
        <v>-</v>
      </c>
      <c r="M228" s="180" t="str">
        <f ca="1">Calculation!V209</f>
        <v>-</v>
      </c>
      <c r="N228" s="181"/>
      <c r="O228" s="180" t="str">
        <f ca="1">Calculation!X209</f>
        <v>-</v>
      </c>
      <c r="P228" s="180" t="str">
        <f ca="1">Calculation!Y209</f>
        <v>-</v>
      </c>
      <c r="Q228" s="273"/>
      <c r="R228" s="182" t="str">
        <f ca="1">IF(AND(L228&lt;&gt;"-",Q228&lt;&gt;"bypass"),IFERROR(IF((U228*$R$23/0.05)-SUM(S228:U228)&gt;0,(U228*$R$23/0.05)-SUM(S228:U228),0),"-"),Calculation!AH209)</f>
        <v>-</v>
      </c>
      <c r="S228" s="179" t="str">
        <f ca="1">IF(AND(L228&lt;&gt;"-",Q228&lt;&gt;"bypass"),IFERROR(X228*((H228*10^-12-H228*10^-12*I228)/(Calculation!$U$8*10^-9)),"-"),Calculation!AF209)</f>
        <v>-</v>
      </c>
      <c r="T228" s="179" t="str">
        <f ca="1">IF(AND(L228&lt;&gt;"-",Q228&lt;&gt;"bypass"),IFERROR(H228*I228*X228/(IF(Cluster!AA228=Cluster!$W$8,Cluster!$W$10,IF(Cluster!AA228=Cluster!$X$8,Cluster!$X$10,IF(Cluster!AA228=Cluster!$Y$8,Cluster!$Y$10,0)))*10^3),"-"),Calculation!AK209)</f>
        <v>-</v>
      </c>
      <c r="U228" s="179" t="str">
        <f ca="1">IF(AND(L228&lt;&gt;"-",Q228&lt;&gt;"bypass"),IFERROR((0.5/50)*X228/$R$23,"-"),Calculation!AG209)</f>
        <v>-</v>
      </c>
      <c r="V228" s="179" t="str">
        <f ca="1">IF(AND(L228&lt;&gt;"-",Q228&lt;&gt;"bypass"),IFERROR(5/50*X228,"-"),Calculation!AI209)</f>
        <v>-</v>
      </c>
      <c r="W228" s="179" t="str">
        <f ca="1">IF(AND(L228&lt;&gt;"-",Q228&lt;&gt;"bypass"),IFERROR(35/50*X228,"-"),Calculation!AJ209)</f>
        <v>-</v>
      </c>
      <c r="X228" s="179" t="str">
        <f ca="1">IF(AND(L228&lt;&gt;"-",Q228&lt;&gt;"bypass"),$W$23,Calculation!AL209)</f>
        <v>-</v>
      </c>
      <c r="Y228" s="183" t="str">
        <f ca="1">IF(AND(L228&lt;&gt;"-",Q228&lt;&gt;"bypass"),IFERROR($R$23*U228/SUM(R228:U228),"-"),Calculation!AP209)</f>
        <v>-</v>
      </c>
      <c r="Z228" s="184" t="str">
        <f t="shared" ca="1" si="15"/>
        <v>-</v>
      </c>
      <c r="AA228" s="185" t="str">
        <f ca="1">IFERROR(IF(I228=0,"-",IF(AND(ROUND(H228*I228*X228/($W$10*10^3),1)&gt;=Calculation!$O$6,ROUND((((U228)*$R$23/0.05)-((S228)+(H228*I228*X228/($W$10*10^3))+(U228))),1)&gt;=0),Cluster!$W$8,IF(AND(ROUND(H228*I228*X228/($X$10*10^3),1)&gt;=Calculation!$O$6,ROUND((((U228)*$R$23/0.05)-((S228)+(H228*I228*X228/($X$10*10^3))+(U228))),1)&gt;=0),Cluster!$X$8,IF(AND(ROUND(H228*I228*X228/($Y$10*10^3),1)&gt;=Calculation!$O$6,ROUND((((U228)*$R$23/0.05)-((S228)+(H228*I228*X228/($Y$10*10^3))+(U228))),1)&gt;=0),Cluster!$Y$8,"Recepie by hand needed")))),"-")</f>
        <v>-</v>
      </c>
      <c r="AC228" s="37" t="str">
        <f t="shared" ca="1" si="16"/>
        <v>-</v>
      </c>
      <c r="AD228" s="37" t="str">
        <f t="shared" ca="1" si="17"/>
        <v>-</v>
      </c>
      <c r="AE228" s="220" t="str">
        <f t="shared" ca="1" si="18"/>
        <v>-</v>
      </c>
      <c r="AF228" s="37" t="str">
        <f t="shared" ca="1" si="19"/>
        <v>-</v>
      </c>
    </row>
    <row r="229" spans="1:32" ht="14.25" x14ac:dyDescent="0.5">
      <c r="A229" s="170" t="str">
        <f>Calculation!I210</f>
        <v/>
      </c>
      <c r="B229" s="221" t="str">
        <f ca="1">Calculation!B210</f>
        <v/>
      </c>
      <c r="C229" s="221" t="str">
        <f ca="1">Calculation!C210</f>
        <v/>
      </c>
      <c r="D229" s="172" t="str">
        <f ca="1">Calculation!AN210</f>
        <v/>
      </c>
      <c r="E229" s="173" t="str">
        <f ca="1">Calculation!D210</f>
        <v/>
      </c>
      <c r="F229" s="174" t="str">
        <f ca="1">Calculation!C210</f>
        <v/>
      </c>
      <c r="G229" s="175" t="str">
        <f ca="1">Calculation!F210</f>
        <v/>
      </c>
      <c r="H229" s="176" t="str">
        <f ca="1">Calculation!AD210</f>
        <v/>
      </c>
      <c r="I229" s="177" t="str">
        <f ca="1">Calculation!AE210</f>
        <v/>
      </c>
      <c r="J229" s="272" t="str">
        <f ca="1">IF(Calculation!Q210="","Selection",Calculation!Q210)</f>
        <v>Selection</v>
      </c>
      <c r="K229" s="179" t="str">
        <f ca="1">Calculation!T210</f>
        <v/>
      </c>
      <c r="L229" s="180" t="str">
        <f ca="1">Calculation!U210</f>
        <v>-</v>
      </c>
      <c r="M229" s="180" t="str">
        <f ca="1">Calculation!V210</f>
        <v>-</v>
      </c>
      <c r="N229" s="181"/>
      <c r="O229" s="180" t="str">
        <f ca="1">Calculation!X210</f>
        <v>-</v>
      </c>
      <c r="P229" s="180" t="str">
        <f ca="1">Calculation!Y210</f>
        <v>-</v>
      </c>
      <c r="Q229" s="273"/>
      <c r="R229" s="182" t="str">
        <f ca="1">IF(AND(L229&lt;&gt;"-",Q229&lt;&gt;"bypass"),IFERROR(IF((U229*$R$23/0.05)-SUM(S229:U229)&gt;0,(U229*$R$23/0.05)-SUM(S229:U229),0),"-"),Calculation!AH210)</f>
        <v>-</v>
      </c>
      <c r="S229" s="179" t="str">
        <f ca="1">IF(AND(L229&lt;&gt;"-",Q229&lt;&gt;"bypass"),IFERROR(X229*((H229*10^-12-H229*10^-12*I229)/(Calculation!$U$8*10^-9)),"-"),Calculation!AF210)</f>
        <v>-</v>
      </c>
      <c r="T229" s="179" t="str">
        <f ca="1">IF(AND(L229&lt;&gt;"-",Q229&lt;&gt;"bypass"),IFERROR(H229*I229*X229/(IF(Cluster!AA229=Cluster!$W$8,Cluster!$W$10,IF(Cluster!AA229=Cluster!$X$8,Cluster!$X$10,IF(Cluster!AA229=Cluster!$Y$8,Cluster!$Y$10,0)))*10^3),"-"),Calculation!AK210)</f>
        <v>-</v>
      </c>
      <c r="U229" s="179" t="str">
        <f ca="1">IF(AND(L229&lt;&gt;"-",Q229&lt;&gt;"bypass"),IFERROR((0.5/50)*X229/$R$23,"-"),Calculation!AG210)</f>
        <v>-</v>
      </c>
      <c r="V229" s="179" t="str">
        <f ca="1">IF(AND(L229&lt;&gt;"-",Q229&lt;&gt;"bypass"),IFERROR(5/50*X229,"-"),Calculation!AI210)</f>
        <v>-</v>
      </c>
      <c r="W229" s="179" t="str">
        <f ca="1">IF(AND(L229&lt;&gt;"-",Q229&lt;&gt;"bypass"),IFERROR(35/50*X229,"-"),Calculation!AJ210)</f>
        <v>-</v>
      </c>
      <c r="X229" s="179" t="str">
        <f ca="1">IF(AND(L229&lt;&gt;"-",Q229&lt;&gt;"bypass"),$W$23,Calculation!AL210)</f>
        <v>-</v>
      </c>
      <c r="Y229" s="183" t="str">
        <f ca="1">IF(AND(L229&lt;&gt;"-",Q229&lt;&gt;"bypass"),IFERROR($R$23*U229/SUM(R229:U229),"-"),Calculation!AP210)</f>
        <v>-</v>
      </c>
      <c r="Z229" s="184" t="str">
        <f t="shared" ca="1" si="15"/>
        <v>-</v>
      </c>
      <c r="AA229" s="185" t="str">
        <f ca="1">IFERROR(IF(I229=0,"-",IF(AND(ROUND(H229*I229*X229/($W$10*10^3),1)&gt;=Calculation!$O$6,ROUND((((U229)*$R$23/0.05)-((S229)+(H229*I229*X229/($W$10*10^3))+(U229))),1)&gt;=0),Cluster!$W$8,IF(AND(ROUND(H229*I229*X229/($X$10*10^3),1)&gt;=Calculation!$O$6,ROUND((((U229)*$R$23/0.05)-((S229)+(H229*I229*X229/($X$10*10^3))+(U229))),1)&gt;=0),Cluster!$X$8,IF(AND(ROUND(H229*I229*X229/($Y$10*10^3),1)&gt;=Calculation!$O$6,ROUND((((U229)*$R$23/0.05)-((S229)+(H229*I229*X229/($Y$10*10^3))+(U229))),1)&gt;=0),Cluster!$Y$8,"Recepie by hand needed")))),"-")</f>
        <v>-</v>
      </c>
      <c r="AC229" s="37" t="str">
        <f t="shared" ca="1" si="16"/>
        <v>-</v>
      </c>
      <c r="AD229" s="37" t="str">
        <f t="shared" ca="1" si="17"/>
        <v>-</v>
      </c>
      <c r="AE229" s="220" t="str">
        <f t="shared" ca="1" si="18"/>
        <v>-</v>
      </c>
      <c r="AF229" s="37" t="str">
        <f t="shared" ca="1" si="19"/>
        <v>-</v>
      </c>
    </row>
    <row r="230" spans="1:32" ht="14.25" x14ac:dyDescent="0.5">
      <c r="A230" s="170" t="str">
        <f>Calculation!I211</f>
        <v/>
      </c>
      <c r="B230" s="221" t="str">
        <f ca="1">Calculation!B211</f>
        <v/>
      </c>
      <c r="C230" s="221" t="str">
        <f ca="1">Calculation!C211</f>
        <v/>
      </c>
      <c r="D230" s="172" t="str">
        <f ca="1">Calculation!AN211</f>
        <v/>
      </c>
      <c r="E230" s="173" t="str">
        <f ca="1">Calculation!D211</f>
        <v/>
      </c>
      <c r="F230" s="174" t="str">
        <f ca="1">Calculation!C211</f>
        <v/>
      </c>
      <c r="G230" s="175" t="str">
        <f ca="1">Calculation!F211</f>
        <v/>
      </c>
      <c r="H230" s="176" t="str">
        <f ca="1">Calculation!AD211</f>
        <v/>
      </c>
      <c r="I230" s="177" t="str">
        <f ca="1">Calculation!AE211</f>
        <v/>
      </c>
      <c r="J230" s="272" t="str">
        <f ca="1">IF(Calculation!Q211="","Selection",Calculation!Q211)</f>
        <v>Selection</v>
      </c>
      <c r="K230" s="179" t="str">
        <f ca="1">Calculation!T211</f>
        <v/>
      </c>
      <c r="L230" s="180" t="str">
        <f ca="1">Calculation!U211</f>
        <v>-</v>
      </c>
      <c r="M230" s="180" t="str">
        <f ca="1">Calculation!V211</f>
        <v>-</v>
      </c>
      <c r="N230" s="181"/>
      <c r="O230" s="180" t="str">
        <f ca="1">Calculation!X211</f>
        <v>-</v>
      </c>
      <c r="P230" s="180" t="str">
        <f ca="1">Calculation!Y211</f>
        <v>-</v>
      </c>
      <c r="Q230" s="273"/>
      <c r="R230" s="182" t="str">
        <f ca="1">IF(AND(L230&lt;&gt;"-",Q230&lt;&gt;"bypass"),IFERROR(IF((U230*$R$23/0.05)-SUM(S230:U230)&gt;0,(U230*$R$23/0.05)-SUM(S230:U230),0),"-"),Calculation!AH211)</f>
        <v>-</v>
      </c>
      <c r="S230" s="179" t="str">
        <f ca="1">IF(AND(L230&lt;&gt;"-",Q230&lt;&gt;"bypass"),IFERROR(X230*((H230*10^-12-H230*10^-12*I230)/(Calculation!$U$8*10^-9)),"-"),Calculation!AF211)</f>
        <v>-</v>
      </c>
      <c r="T230" s="179" t="str">
        <f ca="1">IF(AND(L230&lt;&gt;"-",Q230&lt;&gt;"bypass"),IFERROR(H230*I230*X230/(IF(Cluster!AA230=Cluster!$W$8,Cluster!$W$10,IF(Cluster!AA230=Cluster!$X$8,Cluster!$X$10,IF(Cluster!AA230=Cluster!$Y$8,Cluster!$Y$10,0)))*10^3),"-"),Calculation!AK211)</f>
        <v>-</v>
      </c>
      <c r="U230" s="179" t="str">
        <f ca="1">IF(AND(L230&lt;&gt;"-",Q230&lt;&gt;"bypass"),IFERROR((0.5/50)*X230/$R$23,"-"),Calculation!AG211)</f>
        <v>-</v>
      </c>
      <c r="V230" s="179" t="str">
        <f ca="1">IF(AND(L230&lt;&gt;"-",Q230&lt;&gt;"bypass"),IFERROR(5/50*X230,"-"),Calculation!AI211)</f>
        <v>-</v>
      </c>
      <c r="W230" s="179" t="str">
        <f ca="1">IF(AND(L230&lt;&gt;"-",Q230&lt;&gt;"bypass"),IFERROR(35/50*X230,"-"),Calculation!AJ211)</f>
        <v>-</v>
      </c>
      <c r="X230" s="179" t="str">
        <f ca="1">IF(AND(L230&lt;&gt;"-",Q230&lt;&gt;"bypass"),$W$23,Calculation!AL211)</f>
        <v>-</v>
      </c>
      <c r="Y230" s="183" t="str">
        <f ca="1">IF(AND(L230&lt;&gt;"-",Q230&lt;&gt;"bypass"),IFERROR($R$23*U230/SUM(R230:U230),"-"),Calculation!AP211)</f>
        <v>-</v>
      </c>
      <c r="Z230" s="184" t="str">
        <f t="shared" ca="1" si="15"/>
        <v>-</v>
      </c>
      <c r="AA230" s="185" t="str">
        <f ca="1">IFERROR(IF(I230=0,"-",IF(AND(ROUND(H230*I230*X230/($W$10*10^3),1)&gt;=Calculation!$O$6,ROUND((((U230)*$R$23/0.05)-((S230)+(H230*I230*X230/($W$10*10^3))+(U230))),1)&gt;=0),Cluster!$W$8,IF(AND(ROUND(H230*I230*X230/($X$10*10^3),1)&gt;=Calculation!$O$6,ROUND((((U230)*$R$23/0.05)-((S230)+(H230*I230*X230/($X$10*10^3))+(U230))),1)&gt;=0),Cluster!$X$8,IF(AND(ROUND(H230*I230*X230/($Y$10*10^3),1)&gt;=Calculation!$O$6,ROUND((((U230)*$R$23/0.05)-((S230)+(H230*I230*X230/($Y$10*10^3))+(U230))),1)&gt;=0),Cluster!$Y$8,"Recepie by hand needed")))),"-")</f>
        <v>-</v>
      </c>
      <c r="AC230" s="37" t="str">
        <f t="shared" ca="1" si="16"/>
        <v>-</v>
      </c>
      <c r="AD230" s="37" t="str">
        <f t="shared" ca="1" si="17"/>
        <v>-</v>
      </c>
      <c r="AE230" s="220" t="str">
        <f t="shared" ca="1" si="18"/>
        <v>-</v>
      </c>
      <c r="AF230" s="37" t="str">
        <f t="shared" ca="1" si="19"/>
        <v>-</v>
      </c>
    </row>
    <row r="231" spans="1:32" ht="14.25" x14ac:dyDescent="0.5">
      <c r="A231" s="170" t="str">
        <f>Calculation!I212</f>
        <v/>
      </c>
      <c r="B231" s="221" t="str">
        <f ca="1">Calculation!B212</f>
        <v/>
      </c>
      <c r="C231" s="221" t="str">
        <f ca="1">Calculation!C212</f>
        <v/>
      </c>
      <c r="D231" s="172" t="str">
        <f ca="1">Calculation!AN212</f>
        <v/>
      </c>
      <c r="E231" s="173" t="str">
        <f ca="1">Calculation!D212</f>
        <v/>
      </c>
      <c r="F231" s="174" t="str">
        <f ca="1">Calculation!C212</f>
        <v/>
      </c>
      <c r="G231" s="175" t="str">
        <f ca="1">Calculation!F212</f>
        <v/>
      </c>
      <c r="H231" s="176" t="str">
        <f ca="1">Calculation!AD212</f>
        <v/>
      </c>
      <c r="I231" s="177" t="str">
        <f ca="1">Calculation!AE212</f>
        <v/>
      </c>
      <c r="J231" s="272" t="str">
        <f ca="1">IF(Calculation!Q212="","Selection",Calculation!Q212)</f>
        <v>Selection</v>
      </c>
      <c r="K231" s="179" t="str">
        <f ca="1">Calculation!T212</f>
        <v/>
      </c>
      <c r="L231" s="180" t="str">
        <f ca="1">Calculation!U212</f>
        <v>-</v>
      </c>
      <c r="M231" s="180" t="str">
        <f ca="1">Calculation!V212</f>
        <v>-</v>
      </c>
      <c r="N231" s="181"/>
      <c r="O231" s="180" t="str">
        <f ca="1">Calculation!X212</f>
        <v>-</v>
      </c>
      <c r="P231" s="180" t="str">
        <f ca="1">Calculation!Y212</f>
        <v>-</v>
      </c>
      <c r="Q231" s="273"/>
      <c r="R231" s="182" t="str">
        <f ca="1">IF(AND(L231&lt;&gt;"-",Q231&lt;&gt;"bypass"),IFERROR(IF((U231*$R$23/0.05)-SUM(S231:U231)&gt;0,(U231*$R$23/0.05)-SUM(S231:U231),0),"-"),Calculation!AH212)</f>
        <v>-</v>
      </c>
      <c r="S231" s="179" t="str">
        <f ca="1">IF(AND(L231&lt;&gt;"-",Q231&lt;&gt;"bypass"),IFERROR(X231*((H231*10^-12-H231*10^-12*I231)/(Calculation!$U$8*10^-9)),"-"),Calculation!AF212)</f>
        <v>-</v>
      </c>
      <c r="T231" s="179" t="str">
        <f ca="1">IF(AND(L231&lt;&gt;"-",Q231&lt;&gt;"bypass"),IFERROR(H231*I231*X231/(IF(Cluster!AA231=Cluster!$W$8,Cluster!$W$10,IF(Cluster!AA231=Cluster!$X$8,Cluster!$X$10,IF(Cluster!AA231=Cluster!$Y$8,Cluster!$Y$10,0)))*10^3),"-"),Calculation!AK212)</f>
        <v>-</v>
      </c>
      <c r="U231" s="179" t="str">
        <f ca="1">IF(AND(L231&lt;&gt;"-",Q231&lt;&gt;"bypass"),IFERROR((0.5/50)*X231/$R$23,"-"),Calculation!AG212)</f>
        <v>-</v>
      </c>
      <c r="V231" s="179" t="str">
        <f ca="1">IF(AND(L231&lt;&gt;"-",Q231&lt;&gt;"bypass"),IFERROR(5/50*X231,"-"),Calculation!AI212)</f>
        <v>-</v>
      </c>
      <c r="W231" s="179" t="str">
        <f ca="1">IF(AND(L231&lt;&gt;"-",Q231&lt;&gt;"bypass"),IFERROR(35/50*X231,"-"),Calculation!AJ212)</f>
        <v>-</v>
      </c>
      <c r="X231" s="179" t="str">
        <f ca="1">IF(AND(L231&lt;&gt;"-",Q231&lt;&gt;"bypass"),$W$23,Calculation!AL212)</f>
        <v>-</v>
      </c>
      <c r="Y231" s="183" t="str">
        <f ca="1">IF(AND(L231&lt;&gt;"-",Q231&lt;&gt;"bypass"),IFERROR($R$23*U231/SUM(R231:U231),"-"),Calculation!AP212)</f>
        <v>-</v>
      </c>
      <c r="Z231" s="184" t="str">
        <f t="shared" ca="1" si="15"/>
        <v>-</v>
      </c>
      <c r="AA231" s="185" t="str">
        <f ca="1">IFERROR(IF(I231=0,"-",IF(AND(ROUND(H231*I231*X231/($W$10*10^3),1)&gt;=Calculation!$O$6,ROUND((((U231)*$R$23/0.05)-((S231)+(H231*I231*X231/($W$10*10^3))+(U231))),1)&gt;=0),Cluster!$W$8,IF(AND(ROUND(H231*I231*X231/($X$10*10^3),1)&gt;=Calculation!$O$6,ROUND((((U231)*$R$23/0.05)-((S231)+(H231*I231*X231/($X$10*10^3))+(U231))),1)&gt;=0),Cluster!$X$8,IF(AND(ROUND(H231*I231*X231/($Y$10*10^3),1)&gt;=Calculation!$O$6,ROUND((((U231)*$R$23/0.05)-((S231)+(H231*I231*X231/($Y$10*10^3))+(U231))),1)&gt;=0),Cluster!$Y$8,"Recepie by hand needed")))),"-")</f>
        <v>-</v>
      </c>
      <c r="AC231" s="37" t="str">
        <f t="shared" ca="1" si="16"/>
        <v>-</v>
      </c>
      <c r="AD231" s="37" t="str">
        <f t="shared" ca="1" si="17"/>
        <v>-</v>
      </c>
      <c r="AE231" s="220" t="str">
        <f t="shared" ca="1" si="18"/>
        <v>-</v>
      </c>
      <c r="AF231" s="37" t="str">
        <f t="shared" ca="1" si="19"/>
        <v>-</v>
      </c>
    </row>
    <row r="232" spans="1:32" ht="14.25" x14ac:dyDescent="0.5">
      <c r="A232" s="170" t="str">
        <f>Calculation!I213</f>
        <v/>
      </c>
      <c r="B232" s="221" t="str">
        <f ca="1">Calculation!B213</f>
        <v/>
      </c>
      <c r="C232" s="221" t="str">
        <f ca="1">Calculation!C213</f>
        <v/>
      </c>
      <c r="D232" s="172" t="str">
        <f ca="1">Calculation!AN213</f>
        <v/>
      </c>
      <c r="E232" s="173" t="str">
        <f ca="1">Calculation!D213</f>
        <v/>
      </c>
      <c r="F232" s="174" t="str">
        <f ca="1">Calculation!C213</f>
        <v/>
      </c>
      <c r="G232" s="175" t="str">
        <f ca="1">Calculation!F213</f>
        <v/>
      </c>
      <c r="H232" s="176" t="str">
        <f ca="1">Calculation!AD213</f>
        <v/>
      </c>
      <c r="I232" s="177" t="str">
        <f ca="1">Calculation!AE213</f>
        <v/>
      </c>
      <c r="J232" s="272" t="str">
        <f ca="1">IF(Calculation!Q213="","Selection",Calculation!Q213)</f>
        <v>Selection</v>
      </c>
      <c r="K232" s="179" t="str">
        <f ca="1">Calculation!T213</f>
        <v/>
      </c>
      <c r="L232" s="180" t="str">
        <f ca="1">Calculation!U213</f>
        <v>-</v>
      </c>
      <c r="M232" s="180" t="str">
        <f ca="1">Calculation!V213</f>
        <v>-</v>
      </c>
      <c r="N232" s="181"/>
      <c r="O232" s="180" t="str">
        <f ca="1">Calculation!X213</f>
        <v>-</v>
      </c>
      <c r="P232" s="180" t="str">
        <f ca="1">Calculation!Y213</f>
        <v>-</v>
      </c>
      <c r="Q232" s="273"/>
      <c r="R232" s="182" t="str">
        <f ca="1">IF(AND(L232&lt;&gt;"-",Q232&lt;&gt;"bypass"),IFERROR(IF((U232*$R$23/0.05)-SUM(S232:U232)&gt;0,(U232*$R$23/0.05)-SUM(S232:U232),0),"-"),Calculation!AH213)</f>
        <v>-</v>
      </c>
      <c r="S232" s="179" t="str">
        <f ca="1">IF(AND(L232&lt;&gt;"-",Q232&lt;&gt;"bypass"),IFERROR(X232*((H232*10^-12-H232*10^-12*I232)/(Calculation!$U$8*10^-9)),"-"),Calculation!AF213)</f>
        <v>-</v>
      </c>
      <c r="T232" s="179" t="str">
        <f ca="1">IF(AND(L232&lt;&gt;"-",Q232&lt;&gt;"bypass"),IFERROR(H232*I232*X232/(IF(Cluster!AA232=Cluster!$W$8,Cluster!$W$10,IF(Cluster!AA232=Cluster!$X$8,Cluster!$X$10,IF(Cluster!AA232=Cluster!$Y$8,Cluster!$Y$10,0)))*10^3),"-"),Calculation!AK213)</f>
        <v>-</v>
      </c>
      <c r="U232" s="179" t="str">
        <f ca="1">IF(AND(L232&lt;&gt;"-",Q232&lt;&gt;"bypass"),IFERROR((0.5/50)*X232/$R$23,"-"),Calculation!AG213)</f>
        <v>-</v>
      </c>
      <c r="V232" s="179" t="str">
        <f ca="1">IF(AND(L232&lt;&gt;"-",Q232&lt;&gt;"bypass"),IFERROR(5/50*X232,"-"),Calculation!AI213)</f>
        <v>-</v>
      </c>
      <c r="W232" s="179" t="str">
        <f ca="1">IF(AND(L232&lt;&gt;"-",Q232&lt;&gt;"bypass"),IFERROR(35/50*X232,"-"),Calculation!AJ213)</f>
        <v>-</v>
      </c>
      <c r="X232" s="179" t="str">
        <f ca="1">IF(AND(L232&lt;&gt;"-",Q232&lt;&gt;"bypass"),$W$23,Calculation!AL213)</f>
        <v>-</v>
      </c>
      <c r="Y232" s="183" t="str">
        <f ca="1">IF(AND(L232&lt;&gt;"-",Q232&lt;&gt;"bypass"),IFERROR($R$23*U232/SUM(R232:U232),"-"),Calculation!AP213)</f>
        <v>-</v>
      </c>
      <c r="Z232" s="184" t="str">
        <f t="shared" ca="1" si="15"/>
        <v>-</v>
      </c>
      <c r="AA232" s="185" t="str">
        <f ca="1">IFERROR(IF(I232=0,"-",IF(AND(ROUND(H232*I232*X232/($W$10*10^3),1)&gt;=Calculation!$O$6,ROUND((((U232)*$R$23/0.05)-((S232)+(H232*I232*X232/($W$10*10^3))+(U232))),1)&gt;=0),Cluster!$W$8,IF(AND(ROUND(H232*I232*X232/($X$10*10^3),1)&gt;=Calculation!$O$6,ROUND((((U232)*$R$23/0.05)-((S232)+(H232*I232*X232/($X$10*10^3))+(U232))),1)&gt;=0),Cluster!$X$8,IF(AND(ROUND(H232*I232*X232/($Y$10*10^3),1)&gt;=Calculation!$O$6,ROUND((((U232)*$R$23/0.05)-((S232)+(H232*I232*X232/($Y$10*10^3))+(U232))),1)&gt;=0),Cluster!$Y$8,"Recepie by hand needed")))),"-")</f>
        <v>-</v>
      </c>
      <c r="AC232" s="37" t="str">
        <f t="shared" ca="1" si="16"/>
        <v>-</v>
      </c>
      <c r="AD232" s="37" t="str">
        <f t="shared" ca="1" si="17"/>
        <v>-</v>
      </c>
      <c r="AE232" s="220" t="str">
        <f t="shared" ca="1" si="18"/>
        <v>-</v>
      </c>
      <c r="AF232" s="37" t="str">
        <f t="shared" ca="1" si="19"/>
        <v>-</v>
      </c>
    </row>
    <row r="233" spans="1:32" ht="14.25" x14ac:dyDescent="0.5">
      <c r="A233" s="170" t="str">
        <f>Calculation!I214</f>
        <v/>
      </c>
      <c r="B233" s="221" t="str">
        <f ca="1">Calculation!B214</f>
        <v/>
      </c>
      <c r="C233" s="221" t="str">
        <f ca="1">Calculation!C214</f>
        <v/>
      </c>
      <c r="D233" s="172" t="str">
        <f ca="1">Calculation!AN214</f>
        <v/>
      </c>
      <c r="E233" s="173" t="str">
        <f ca="1">Calculation!D214</f>
        <v/>
      </c>
      <c r="F233" s="174" t="str">
        <f ca="1">Calculation!C214</f>
        <v/>
      </c>
      <c r="G233" s="175" t="str">
        <f ca="1">Calculation!F214</f>
        <v/>
      </c>
      <c r="H233" s="176" t="str">
        <f ca="1">Calculation!AD214</f>
        <v/>
      </c>
      <c r="I233" s="177" t="str">
        <f ca="1">Calculation!AE214</f>
        <v/>
      </c>
      <c r="J233" s="272" t="str">
        <f ca="1">IF(Calculation!Q214="","Selection",Calculation!Q214)</f>
        <v>Selection</v>
      </c>
      <c r="K233" s="179" t="str">
        <f ca="1">Calculation!T214</f>
        <v/>
      </c>
      <c r="L233" s="180" t="str">
        <f ca="1">Calculation!U214</f>
        <v>-</v>
      </c>
      <c r="M233" s="180" t="str">
        <f ca="1">Calculation!V214</f>
        <v>-</v>
      </c>
      <c r="N233" s="181"/>
      <c r="O233" s="180" t="str">
        <f ca="1">Calculation!X214</f>
        <v>-</v>
      </c>
      <c r="P233" s="180" t="str">
        <f ca="1">Calculation!Y214</f>
        <v>-</v>
      </c>
      <c r="Q233" s="273"/>
      <c r="R233" s="182" t="str">
        <f ca="1">IF(AND(L233&lt;&gt;"-",Q233&lt;&gt;"bypass"),IFERROR(IF((U233*$R$23/0.05)-SUM(S233:U233)&gt;0,(U233*$R$23/0.05)-SUM(S233:U233),0),"-"),Calculation!AH214)</f>
        <v>-</v>
      </c>
      <c r="S233" s="179" t="str">
        <f ca="1">IF(AND(L233&lt;&gt;"-",Q233&lt;&gt;"bypass"),IFERROR(X233*((H233*10^-12-H233*10^-12*I233)/(Calculation!$U$8*10^-9)),"-"),Calculation!AF214)</f>
        <v>-</v>
      </c>
      <c r="T233" s="179" t="str">
        <f ca="1">IF(AND(L233&lt;&gt;"-",Q233&lt;&gt;"bypass"),IFERROR(H233*I233*X233/(IF(Cluster!AA233=Cluster!$W$8,Cluster!$W$10,IF(Cluster!AA233=Cluster!$X$8,Cluster!$X$10,IF(Cluster!AA233=Cluster!$Y$8,Cluster!$Y$10,0)))*10^3),"-"),Calculation!AK214)</f>
        <v>-</v>
      </c>
      <c r="U233" s="179" t="str">
        <f ca="1">IF(AND(L233&lt;&gt;"-",Q233&lt;&gt;"bypass"),IFERROR((0.5/50)*X233/$R$23,"-"),Calculation!AG214)</f>
        <v>-</v>
      </c>
      <c r="V233" s="179" t="str">
        <f ca="1">IF(AND(L233&lt;&gt;"-",Q233&lt;&gt;"bypass"),IFERROR(5/50*X233,"-"),Calculation!AI214)</f>
        <v>-</v>
      </c>
      <c r="W233" s="179" t="str">
        <f ca="1">IF(AND(L233&lt;&gt;"-",Q233&lt;&gt;"bypass"),IFERROR(35/50*X233,"-"),Calculation!AJ214)</f>
        <v>-</v>
      </c>
      <c r="X233" s="179" t="str">
        <f ca="1">IF(AND(L233&lt;&gt;"-",Q233&lt;&gt;"bypass"),$W$23,Calculation!AL214)</f>
        <v>-</v>
      </c>
      <c r="Y233" s="183" t="str">
        <f ca="1">IF(AND(L233&lt;&gt;"-",Q233&lt;&gt;"bypass"),IFERROR($R$23*U233/SUM(R233:U233),"-"),Calculation!AP214)</f>
        <v>-</v>
      </c>
      <c r="Z233" s="184" t="str">
        <f t="shared" ca="1" si="15"/>
        <v>-</v>
      </c>
      <c r="AA233" s="185" t="str">
        <f ca="1">IFERROR(IF(I233=0,"-",IF(AND(ROUND(H233*I233*X233/($W$10*10^3),1)&gt;=Calculation!$O$6,ROUND((((U233)*$R$23/0.05)-((S233)+(H233*I233*X233/($W$10*10^3))+(U233))),1)&gt;=0),Cluster!$W$8,IF(AND(ROUND(H233*I233*X233/($X$10*10^3),1)&gt;=Calculation!$O$6,ROUND((((U233)*$R$23/0.05)-((S233)+(H233*I233*X233/($X$10*10^3))+(U233))),1)&gt;=0),Cluster!$X$8,IF(AND(ROUND(H233*I233*X233/($Y$10*10^3),1)&gt;=Calculation!$O$6,ROUND((((U233)*$R$23/0.05)-((S233)+(H233*I233*X233/($Y$10*10^3))+(U233))),1)&gt;=0),Cluster!$Y$8,"Recepie by hand needed")))),"-")</f>
        <v>-</v>
      </c>
      <c r="AC233" s="37" t="str">
        <f t="shared" ca="1" si="16"/>
        <v>-</v>
      </c>
      <c r="AD233" s="37" t="str">
        <f t="shared" ca="1" si="17"/>
        <v>-</v>
      </c>
      <c r="AE233" s="220" t="str">
        <f t="shared" ca="1" si="18"/>
        <v>-</v>
      </c>
      <c r="AF233" s="37" t="str">
        <f t="shared" ca="1" si="19"/>
        <v>-</v>
      </c>
    </row>
    <row r="234" spans="1:32" ht="14.25" x14ac:dyDescent="0.5">
      <c r="A234" s="170" t="str">
        <f>Calculation!I215</f>
        <v/>
      </c>
      <c r="B234" s="221" t="str">
        <f ca="1">Calculation!B215</f>
        <v/>
      </c>
      <c r="C234" s="221" t="str">
        <f ca="1">Calculation!C215</f>
        <v/>
      </c>
      <c r="D234" s="172" t="str">
        <f ca="1">Calculation!AN215</f>
        <v/>
      </c>
      <c r="E234" s="173" t="str">
        <f ca="1">Calculation!D215</f>
        <v/>
      </c>
      <c r="F234" s="174" t="str">
        <f ca="1">Calculation!C215</f>
        <v/>
      </c>
      <c r="G234" s="175" t="str">
        <f ca="1">Calculation!F215</f>
        <v/>
      </c>
      <c r="H234" s="176" t="str">
        <f ca="1">Calculation!AD215</f>
        <v/>
      </c>
      <c r="I234" s="177" t="str">
        <f ca="1">Calculation!AE215</f>
        <v/>
      </c>
      <c r="J234" s="272" t="str">
        <f ca="1">IF(Calculation!Q215="","Selection",Calculation!Q215)</f>
        <v>Selection</v>
      </c>
      <c r="K234" s="179" t="str">
        <f ca="1">Calculation!T215</f>
        <v/>
      </c>
      <c r="L234" s="180" t="str">
        <f ca="1">Calculation!U215</f>
        <v>-</v>
      </c>
      <c r="M234" s="180" t="str">
        <f ca="1">Calculation!V215</f>
        <v>-</v>
      </c>
      <c r="N234" s="181"/>
      <c r="O234" s="180" t="str">
        <f ca="1">Calculation!X215</f>
        <v>-</v>
      </c>
      <c r="P234" s="180" t="str">
        <f ca="1">Calculation!Y215</f>
        <v>-</v>
      </c>
      <c r="Q234" s="273"/>
      <c r="R234" s="182" t="str">
        <f ca="1">IF(AND(L234&lt;&gt;"-",Q234&lt;&gt;"bypass"),IFERROR(IF((U234*$R$23/0.05)-SUM(S234:U234)&gt;0,(U234*$R$23/0.05)-SUM(S234:U234),0),"-"),Calculation!AH215)</f>
        <v>-</v>
      </c>
      <c r="S234" s="179" t="str">
        <f ca="1">IF(AND(L234&lt;&gt;"-",Q234&lt;&gt;"bypass"),IFERROR(X234*((H234*10^-12-H234*10^-12*I234)/(Calculation!$U$8*10^-9)),"-"),Calculation!AF215)</f>
        <v>-</v>
      </c>
      <c r="T234" s="179" t="str">
        <f ca="1">IF(AND(L234&lt;&gt;"-",Q234&lt;&gt;"bypass"),IFERROR(H234*I234*X234/(IF(Cluster!AA234=Cluster!$W$8,Cluster!$W$10,IF(Cluster!AA234=Cluster!$X$8,Cluster!$X$10,IF(Cluster!AA234=Cluster!$Y$8,Cluster!$Y$10,0)))*10^3),"-"),Calculation!AK215)</f>
        <v>-</v>
      </c>
      <c r="U234" s="179" t="str">
        <f ca="1">IF(AND(L234&lt;&gt;"-",Q234&lt;&gt;"bypass"),IFERROR((0.5/50)*X234/$R$23,"-"),Calculation!AG215)</f>
        <v>-</v>
      </c>
      <c r="V234" s="179" t="str">
        <f ca="1">IF(AND(L234&lt;&gt;"-",Q234&lt;&gt;"bypass"),IFERROR(5/50*X234,"-"),Calculation!AI215)</f>
        <v>-</v>
      </c>
      <c r="W234" s="179" t="str">
        <f ca="1">IF(AND(L234&lt;&gt;"-",Q234&lt;&gt;"bypass"),IFERROR(35/50*X234,"-"),Calculation!AJ215)</f>
        <v>-</v>
      </c>
      <c r="X234" s="179" t="str">
        <f ca="1">IF(AND(L234&lt;&gt;"-",Q234&lt;&gt;"bypass"),$W$23,Calculation!AL215)</f>
        <v>-</v>
      </c>
      <c r="Y234" s="183" t="str">
        <f ca="1">IF(AND(L234&lt;&gt;"-",Q234&lt;&gt;"bypass"),IFERROR($R$23*U234/SUM(R234:U234),"-"),Calculation!AP215)</f>
        <v>-</v>
      </c>
      <c r="Z234" s="184" t="str">
        <f t="shared" ca="1" si="15"/>
        <v>-</v>
      </c>
      <c r="AA234" s="185" t="str">
        <f ca="1">IFERROR(IF(I234=0,"-",IF(AND(ROUND(H234*I234*X234/($W$10*10^3),1)&gt;=Calculation!$O$6,ROUND((((U234)*$R$23/0.05)-((S234)+(H234*I234*X234/($W$10*10^3))+(U234))),1)&gt;=0),Cluster!$W$8,IF(AND(ROUND(H234*I234*X234/($X$10*10^3),1)&gt;=Calculation!$O$6,ROUND((((U234)*$R$23/0.05)-((S234)+(H234*I234*X234/($X$10*10^3))+(U234))),1)&gt;=0),Cluster!$X$8,IF(AND(ROUND(H234*I234*X234/($Y$10*10^3),1)&gt;=Calculation!$O$6,ROUND((((U234)*$R$23/0.05)-((S234)+(H234*I234*X234/($Y$10*10^3))+(U234))),1)&gt;=0),Cluster!$Y$8,"Recepie by hand needed")))),"-")</f>
        <v>-</v>
      </c>
      <c r="AC234" s="37" t="str">
        <f t="shared" ca="1" si="16"/>
        <v>-</v>
      </c>
      <c r="AD234" s="37" t="str">
        <f t="shared" ca="1" si="17"/>
        <v>-</v>
      </c>
      <c r="AE234" s="220" t="str">
        <f t="shared" ca="1" si="18"/>
        <v>-</v>
      </c>
      <c r="AF234" s="37" t="str">
        <f t="shared" ca="1" si="19"/>
        <v>-</v>
      </c>
    </row>
    <row r="235" spans="1:32" ht="14.25" x14ac:dyDescent="0.5">
      <c r="A235" s="170" t="str">
        <f>Calculation!I216</f>
        <v/>
      </c>
      <c r="B235" s="221" t="str">
        <f ca="1">Calculation!B216</f>
        <v/>
      </c>
      <c r="C235" s="221" t="str">
        <f ca="1">Calculation!C216</f>
        <v/>
      </c>
      <c r="D235" s="172" t="str">
        <f ca="1">Calculation!AN216</f>
        <v/>
      </c>
      <c r="E235" s="173" t="str">
        <f ca="1">Calculation!D216</f>
        <v/>
      </c>
      <c r="F235" s="174" t="str">
        <f ca="1">Calculation!C216</f>
        <v/>
      </c>
      <c r="G235" s="175" t="str">
        <f ca="1">Calculation!F216</f>
        <v/>
      </c>
      <c r="H235" s="176" t="str">
        <f ca="1">Calculation!AD216</f>
        <v/>
      </c>
      <c r="I235" s="177" t="str">
        <f ca="1">Calculation!AE216</f>
        <v/>
      </c>
      <c r="J235" s="272" t="str">
        <f ca="1">IF(Calculation!Q216="","Selection",Calculation!Q216)</f>
        <v>Selection</v>
      </c>
      <c r="K235" s="179" t="str">
        <f ca="1">Calculation!T216</f>
        <v/>
      </c>
      <c r="L235" s="180" t="str">
        <f ca="1">Calculation!U216</f>
        <v>-</v>
      </c>
      <c r="M235" s="180" t="str">
        <f ca="1">Calculation!V216</f>
        <v>-</v>
      </c>
      <c r="N235" s="181"/>
      <c r="O235" s="180" t="str">
        <f ca="1">Calculation!X216</f>
        <v>-</v>
      </c>
      <c r="P235" s="180" t="str">
        <f ca="1">Calculation!Y216</f>
        <v>-</v>
      </c>
      <c r="Q235" s="273"/>
      <c r="R235" s="182" t="str">
        <f ca="1">IF(AND(L235&lt;&gt;"-",Q235&lt;&gt;"bypass"),IFERROR(IF((U235*$R$23/0.05)-SUM(S235:U235)&gt;0,(U235*$R$23/0.05)-SUM(S235:U235),0),"-"),Calculation!AH216)</f>
        <v>-</v>
      </c>
      <c r="S235" s="179" t="str">
        <f ca="1">IF(AND(L235&lt;&gt;"-",Q235&lt;&gt;"bypass"),IFERROR(X235*((H235*10^-12-H235*10^-12*I235)/(Calculation!$U$8*10^-9)),"-"),Calculation!AF216)</f>
        <v>-</v>
      </c>
      <c r="T235" s="179" t="str">
        <f ca="1">IF(AND(L235&lt;&gt;"-",Q235&lt;&gt;"bypass"),IFERROR(H235*I235*X235/(IF(Cluster!AA235=Cluster!$W$8,Cluster!$W$10,IF(Cluster!AA235=Cluster!$X$8,Cluster!$X$10,IF(Cluster!AA235=Cluster!$Y$8,Cluster!$Y$10,0)))*10^3),"-"),Calculation!AK216)</f>
        <v>-</v>
      </c>
      <c r="U235" s="179" t="str">
        <f ca="1">IF(AND(L235&lt;&gt;"-",Q235&lt;&gt;"bypass"),IFERROR((0.5/50)*X235/$R$23,"-"),Calculation!AG216)</f>
        <v>-</v>
      </c>
      <c r="V235" s="179" t="str">
        <f ca="1">IF(AND(L235&lt;&gt;"-",Q235&lt;&gt;"bypass"),IFERROR(5/50*X235,"-"),Calculation!AI216)</f>
        <v>-</v>
      </c>
      <c r="W235" s="179" t="str">
        <f ca="1">IF(AND(L235&lt;&gt;"-",Q235&lt;&gt;"bypass"),IFERROR(35/50*X235,"-"),Calculation!AJ216)</f>
        <v>-</v>
      </c>
      <c r="X235" s="179" t="str">
        <f ca="1">IF(AND(L235&lt;&gt;"-",Q235&lt;&gt;"bypass"),$W$23,Calculation!AL216)</f>
        <v>-</v>
      </c>
      <c r="Y235" s="183" t="str">
        <f ca="1">IF(AND(L235&lt;&gt;"-",Q235&lt;&gt;"bypass"),IFERROR($R$23*U235/SUM(R235:U235),"-"),Calculation!AP216)</f>
        <v>-</v>
      </c>
      <c r="Z235" s="184" t="str">
        <f t="shared" ca="1" si="15"/>
        <v>-</v>
      </c>
      <c r="AA235" s="185" t="str">
        <f ca="1">IFERROR(IF(I235=0,"-",IF(AND(ROUND(H235*I235*X235/($W$10*10^3),1)&gt;=Calculation!$O$6,ROUND((((U235)*$R$23/0.05)-((S235)+(H235*I235*X235/($W$10*10^3))+(U235))),1)&gt;=0),Cluster!$W$8,IF(AND(ROUND(H235*I235*X235/($X$10*10^3),1)&gt;=Calculation!$O$6,ROUND((((U235)*$R$23/0.05)-((S235)+(H235*I235*X235/($X$10*10^3))+(U235))),1)&gt;=0),Cluster!$X$8,IF(AND(ROUND(H235*I235*X235/($Y$10*10^3),1)&gt;=Calculation!$O$6,ROUND((((U235)*$R$23/0.05)-((S235)+(H235*I235*X235/($Y$10*10^3))+(U235))),1)&gt;=0),Cluster!$Y$8,"Recepie by hand needed")))),"-")</f>
        <v>-</v>
      </c>
      <c r="AC235" s="37" t="str">
        <f t="shared" ca="1" si="16"/>
        <v>-</v>
      </c>
      <c r="AD235" s="37" t="str">
        <f t="shared" ca="1" si="17"/>
        <v>-</v>
      </c>
      <c r="AE235" s="220" t="str">
        <f t="shared" ca="1" si="18"/>
        <v>-</v>
      </c>
      <c r="AF235" s="37" t="str">
        <f t="shared" ca="1" si="19"/>
        <v>-</v>
      </c>
    </row>
    <row r="236" spans="1:32" ht="14.25" x14ac:dyDescent="0.5">
      <c r="A236" s="170" t="str">
        <f>Calculation!I217</f>
        <v/>
      </c>
      <c r="B236" s="221" t="str">
        <f ca="1">Calculation!B217</f>
        <v/>
      </c>
      <c r="C236" s="221" t="str">
        <f ca="1">Calculation!C217</f>
        <v/>
      </c>
      <c r="D236" s="172" t="str">
        <f ca="1">Calculation!AN217</f>
        <v/>
      </c>
      <c r="E236" s="173" t="str">
        <f ca="1">Calculation!D217</f>
        <v/>
      </c>
      <c r="F236" s="174" t="str">
        <f ca="1">Calculation!C217</f>
        <v/>
      </c>
      <c r="G236" s="175" t="str">
        <f ca="1">Calculation!F217</f>
        <v/>
      </c>
      <c r="H236" s="176" t="str">
        <f ca="1">Calculation!AD217</f>
        <v/>
      </c>
      <c r="I236" s="177" t="str">
        <f ca="1">Calculation!AE217</f>
        <v/>
      </c>
      <c r="J236" s="272" t="str">
        <f ca="1">IF(Calculation!Q217="","Selection",Calculation!Q217)</f>
        <v>Selection</v>
      </c>
      <c r="K236" s="179" t="str">
        <f ca="1">Calculation!T217</f>
        <v/>
      </c>
      <c r="L236" s="180" t="str">
        <f ca="1">Calculation!U217</f>
        <v>-</v>
      </c>
      <c r="M236" s="180" t="str">
        <f ca="1">Calculation!V217</f>
        <v>-</v>
      </c>
      <c r="N236" s="181"/>
      <c r="O236" s="180" t="str">
        <f ca="1">Calculation!X217</f>
        <v>-</v>
      </c>
      <c r="P236" s="180" t="str">
        <f ca="1">Calculation!Y217</f>
        <v>-</v>
      </c>
      <c r="Q236" s="273"/>
      <c r="R236" s="182" t="str">
        <f ca="1">IF(AND(L236&lt;&gt;"-",Q236&lt;&gt;"bypass"),IFERROR(IF((U236*$R$23/0.05)-SUM(S236:U236)&gt;0,(U236*$R$23/0.05)-SUM(S236:U236),0),"-"),Calculation!AH217)</f>
        <v>-</v>
      </c>
      <c r="S236" s="179" t="str">
        <f ca="1">IF(AND(L236&lt;&gt;"-",Q236&lt;&gt;"bypass"),IFERROR(X236*((H236*10^-12-H236*10^-12*I236)/(Calculation!$U$8*10^-9)),"-"),Calculation!AF217)</f>
        <v>-</v>
      </c>
      <c r="T236" s="179" t="str">
        <f ca="1">IF(AND(L236&lt;&gt;"-",Q236&lt;&gt;"bypass"),IFERROR(H236*I236*X236/(IF(Cluster!AA236=Cluster!$W$8,Cluster!$W$10,IF(Cluster!AA236=Cluster!$X$8,Cluster!$X$10,IF(Cluster!AA236=Cluster!$Y$8,Cluster!$Y$10,0)))*10^3),"-"),Calculation!AK217)</f>
        <v>-</v>
      </c>
      <c r="U236" s="179" t="str">
        <f ca="1">IF(AND(L236&lt;&gt;"-",Q236&lt;&gt;"bypass"),IFERROR((0.5/50)*X236/$R$23,"-"),Calculation!AG217)</f>
        <v>-</v>
      </c>
      <c r="V236" s="179" t="str">
        <f ca="1">IF(AND(L236&lt;&gt;"-",Q236&lt;&gt;"bypass"),IFERROR(5/50*X236,"-"),Calculation!AI217)</f>
        <v>-</v>
      </c>
      <c r="W236" s="179" t="str">
        <f ca="1">IF(AND(L236&lt;&gt;"-",Q236&lt;&gt;"bypass"),IFERROR(35/50*X236,"-"),Calculation!AJ217)</f>
        <v>-</v>
      </c>
      <c r="X236" s="179" t="str">
        <f ca="1">IF(AND(L236&lt;&gt;"-",Q236&lt;&gt;"bypass"),$W$23,Calculation!AL217)</f>
        <v>-</v>
      </c>
      <c r="Y236" s="183" t="str">
        <f ca="1">IF(AND(L236&lt;&gt;"-",Q236&lt;&gt;"bypass"),IFERROR($R$23*U236/SUM(R236:U236),"-"),Calculation!AP217)</f>
        <v>-</v>
      </c>
      <c r="Z236" s="184" t="str">
        <f t="shared" ca="1" si="15"/>
        <v>-</v>
      </c>
      <c r="AA236" s="185" t="str">
        <f ca="1">IFERROR(IF(I236=0,"-",IF(AND(ROUND(H236*I236*X236/($W$10*10^3),1)&gt;=Calculation!$O$6,ROUND((((U236)*$R$23/0.05)-((S236)+(H236*I236*X236/($W$10*10^3))+(U236))),1)&gt;=0),Cluster!$W$8,IF(AND(ROUND(H236*I236*X236/($X$10*10^3),1)&gt;=Calculation!$O$6,ROUND((((U236)*$R$23/0.05)-((S236)+(H236*I236*X236/($X$10*10^3))+(U236))),1)&gt;=0),Cluster!$X$8,IF(AND(ROUND(H236*I236*X236/($Y$10*10^3),1)&gt;=Calculation!$O$6,ROUND((((U236)*$R$23/0.05)-((S236)+(H236*I236*X236/($Y$10*10^3))+(U236))),1)&gt;=0),Cluster!$Y$8,"Recepie by hand needed")))),"-")</f>
        <v>-</v>
      </c>
      <c r="AC236" s="37" t="str">
        <f t="shared" ca="1" si="16"/>
        <v>-</v>
      </c>
      <c r="AD236" s="37" t="str">
        <f t="shared" ca="1" si="17"/>
        <v>-</v>
      </c>
      <c r="AE236" s="220" t="str">
        <f t="shared" ca="1" si="18"/>
        <v>-</v>
      </c>
      <c r="AF236" s="37" t="str">
        <f t="shared" ca="1" si="19"/>
        <v>-</v>
      </c>
    </row>
    <row r="237" spans="1:32" ht="14.25" x14ac:dyDescent="0.5">
      <c r="A237" s="170" t="str">
        <f>Calculation!I218</f>
        <v/>
      </c>
      <c r="B237" s="221" t="str">
        <f ca="1">Calculation!B218</f>
        <v/>
      </c>
      <c r="C237" s="221" t="str">
        <f ca="1">Calculation!C218</f>
        <v/>
      </c>
      <c r="D237" s="172" t="str">
        <f ca="1">Calculation!AN218</f>
        <v/>
      </c>
      <c r="E237" s="173" t="str">
        <f ca="1">Calculation!D218</f>
        <v/>
      </c>
      <c r="F237" s="174" t="str">
        <f ca="1">Calculation!C218</f>
        <v/>
      </c>
      <c r="G237" s="175" t="str">
        <f ca="1">Calculation!F218</f>
        <v/>
      </c>
      <c r="H237" s="176" t="str">
        <f ca="1">Calculation!AD218</f>
        <v/>
      </c>
      <c r="I237" s="177" t="str">
        <f ca="1">Calculation!AE218</f>
        <v/>
      </c>
      <c r="J237" s="272" t="str">
        <f ca="1">IF(Calculation!Q218="","Selection",Calculation!Q218)</f>
        <v>Selection</v>
      </c>
      <c r="K237" s="179" t="str">
        <f ca="1">Calculation!T218</f>
        <v/>
      </c>
      <c r="L237" s="180" t="str">
        <f ca="1">Calculation!U218</f>
        <v>-</v>
      </c>
      <c r="M237" s="180" t="str">
        <f ca="1">Calculation!V218</f>
        <v>-</v>
      </c>
      <c r="N237" s="181"/>
      <c r="O237" s="180" t="str">
        <f ca="1">Calculation!X218</f>
        <v>-</v>
      </c>
      <c r="P237" s="180" t="str">
        <f ca="1">Calculation!Y218</f>
        <v>-</v>
      </c>
      <c r="Q237" s="273"/>
      <c r="R237" s="182" t="str">
        <f ca="1">IF(AND(L237&lt;&gt;"-",Q237&lt;&gt;"bypass"),IFERROR(IF((U237*$R$23/0.05)-SUM(S237:U237)&gt;0,(U237*$R$23/0.05)-SUM(S237:U237),0),"-"),Calculation!AH218)</f>
        <v>-</v>
      </c>
      <c r="S237" s="179" t="str">
        <f ca="1">IF(AND(L237&lt;&gt;"-",Q237&lt;&gt;"bypass"),IFERROR(X237*((H237*10^-12-H237*10^-12*I237)/(Calculation!$U$8*10^-9)),"-"),Calculation!AF218)</f>
        <v>-</v>
      </c>
      <c r="T237" s="179" t="str">
        <f ca="1">IF(AND(L237&lt;&gt;"-",Q237&lt;&gt;"bypass"),IFERROR(H237*I237*X237/(IF(Cluster!AA237=Cluster!$W$8,Cluster!$W$10,IF(Cluster!AA237=Cluster!$X$8,Cluster!$X$10,IF(Cluster!AA237=Cluster!$Y$8,Cluster!$Y$10,0)))*10^3),"-"),Calculation!AK218)</f>
        <v>-</v>
      </c>
      <c r="U237" s="179" t="str">
        <f ca="1">IF(AND(L237&lt;&gt;"-",Q237&lt;&gt;"bypass"),IFERROR((0.5/50)*X237/$R$23,"-"),Calculation!AG218)</f>
        <v>-</v>
      </c>
      <c r="V237" s="179" t="str">
        <f ca="1">IF(AND(L237&lt;&gt;"-",Q237&lt;&gt;"bypass"),IFERROR(5/50*X237,"-"),Calculation!AI218)</f>
        <v>-</v>
      </c>
      <c r="W237" s="179" t="str">
        <f ca="1">IF(AND(L237&lt;&gt;"-",Q237&lt;&gt;"bypass"),IFERROR(35/50*X237,"-"),Calculation!AJ218)</f>
        <v>-</v>
      </c>
      <c r="X237" s="179" t="str">
        <f ca="1">IF(AND(L237&lt;&gt;"-",Q237&lt;&gt;"bypass"),$W$23,Calculation!AL218)</f>
        <v>-</v>
      </c>
      <c r="Y237" s="183" t="str">
        <f ca="1">IF(AND(L237&lt;&gt;"-",Q237&lt;&gt;"bypass"),IFERROR($R$23*U237/SUM(R237:U237),"-"),Calculation!AP218)</f>
        <v>-</v>
      </c>
      <c r="Z237" s="184" t="str">
        <f t="shared" ca="1" si="15"/>
        <v>-</v>
      </c>
      <c r="AA237" s="185" t="str">
        <f ca="1">IFERROR(IF(I237=0,"-",IF(AND(ROUND(H237*I237*X237/($W$10*10^3),1)&gt;=Calculation!$O$6,ROUND((((U237)*$R$23/0.05)-((S237)+(H237*I237*X237/($W$10*10^3))+(U237))),1)&gt;=0),Cluster!$W$8,IF(AND(ROUND(H237*I237*X237/($X$10*10^3),1)&gt;=Calculation!$O$6,ROUND((((U237)*$R$23/0.05)-((S237)+(H237*I237*X237/($X$10*10^3))+(U237))),1)&gt;=0),Cluster!$X$8,IF(AND(ROUND(H237*I237*X237/($Y$10*10^3),1)&gt;=Calculation!$O$6,ROUND((((U237)*$R$23/0.05)-((S237)+(H237*I237*X237/($Y$10*10^3))+(U237))),1)&gt;=0),Cluster!$Y$8,"Recepie by hand needed")))),"-")</f>
        <v>-</v>
      </c>
      <c r="AC237" s="37" t="str">
        <f t="shared" ca="1" si="16"/>
        <v>-</v>
      </c>
      <c r="AD237" s="37" t="str">
        <f t="shared" ca="1" si="17"/>
        <v>-</v>
      </c>
      <c r="AE237" s="220" t="str">
        <f t="shared" ca="1" si="18"/>
        <v>-</v>
      </c>
      <c r="AF237" s="37" t="str">
        <f t="shared" ca="1" si="19"/>
        <v>-</v>
      </c>
    </row>
    <row r="238" spans="1:32" ht="14.25" x14ac:dyDescent="0.5">
      <c r="A238" s="170" t="str">
        <f>Calculation!I219</f>
        <v/>
      </c>
      <c r="B238" s="221" t="str">
        <f ca="1">Calculation!B219</f>
        <v/>
      </c>
      <c r="C238" s="221" t="str">
        <f ca="1">Calculation!C219</f>
        <v/>
      </c>
      <c r="D238" s="172" t="str">
        <f ca="1">Calculation!AN219</f>
        <v/>
      </c>
      <c r="E238" s="173" t="str">
        <f ca="1">Calculation!D219</f>
        <v/>
      </c>
      <c r="F238" s="174" t="str">
        <f ca="1">Calculation!C219</f>
        <v/>
      </c>
      <c r="G238" s="175" t="str">
        <f ca="1">Calculation!F219</f>
        <v/>
      </c>
      <c r="H238" s="176" t="str">
        <f ca="1">Calculation!AD219</f>
        <v/>
      </c>
      <c r="I238" s="177" t="str">
        <f ca="1">Calculation!AE219</f>
        <v/>
      </c>
      <c r="J238" s="272" t="str">
        <f ca="1">IF(Calculation!Q219="","Selection",Calculation!Q219)</f>
        <v>Selection</v>
      </c>
      <c r="K238" s="179" t="str">
        <f ca="1">Calculation!T219</f>
        <v/>
      </c>
      <c r="L238" s="180" t="str">
        <f ca="1">Calculation!U219</f>
        <v>-</v>
      </c>
      <c r="M238" s="180" t="str">
        <f ca="1">Calculation!V219</f>
        <v>-</v>
      </c>
      <c r="N238" s="181"/>
      <c r="O238" s="180" t="str">
        <f ca="1">Calculation!X219</f>
        <v>-</v>
      </c>
      <c r="P238" s="180" t="str">
        <f ca="1">Calculation!Y219</f>
        <v>-</v>
      </c>
      <c r="Q238" s="273"/>
      <c r="R238" s="182" t="str">
        <f ca="1">IF(AND(L238&lt;&gt;"-",Q238&lt;&gt;"bypass"),IFERROR(IF((U238*$R$23/0.05)-SUM(S238:U238)&gt;0,(U238*$R$23/0.05)-SUM(S238:U238),0),"-"),Calculation!AH219)</f>
        <v>-</v>
      </c>
      <c r="S238" s="179" t="str">
        <f ca="1">IF(AND(L238&lt;&gt;"-",Q238&lt;&gt;"bypass"),IFERROR(X238*((H238*10^-12-H238*10^-12*I238)/(Calculation!$U$8*10^-9)),"-"),Calculation!AF219)</f>
        <v>-</v>
      </c>
      <c r="T238" s="179" t="str">
        <f ca="1">IF(AND(L238&lt;&gt;"-",Q238&lt;&gt;"bypass"),IFERROR(H238*I238*X238/(IF(Cluster!AA238=Cluster!$W$8,Cluster!$W$10,IF(Cluster!AA238=Cluster!$X$8,Cluster!$X$10,IF(Cluster!AA238=Cluster!$Y$8,Cluster!$Y$10,0)))*10^3),"-"),Calculation!AK219)</f>
        <v>-</v>
      </c>
      <c r="U238" s="179" t="str">
        <f ca="1">IF(AND(L238&lt;&gt;"-",Q238&lt;&gt;"bypass"),IFERROR((0.5/50)*X238/$R$23,"-"),Calculation!AG219)</f>
        <v>-</v>
      </c>
      <c r="V238" s="179" t="str">
        <f ca="1">IF(AND(L238&lt;&gt;"-",Q238&lt;&gt;"bypass"),IFERROR(5/50*X238,"-"),Calculation!AI219)</f>
        <v>-</v>
      </c>
      <c r="W238" s="179" t="str">
        <f ca="1">IF(AND(L238&lt;&gt;"-",Q238&lt;&gt;"bypass"),IFERROR(35/50*X238,"-"),Calculation!AJ219)</f>
        <v>-</v>
      </c>
      <c r="X238" s="179" t="str">
        <f ca="1">IF(AND(L238&lt;&gt;"-",Q238&lt;&gt;"bypass"),$W$23,Calculation!AL219)</f>
        <v>-</v>
      </c>
      <c r="Y238" s="183" t="str">
        <f ca="1">IF(AND(L238&lt;&gt;"-",Q238&lt;&gt;"bypass"),IFERROR($R$23*U238/SUM(R238:U238),"-"),Calculation!AP219)</f>
        <v>-</v>
      </c>
      <c r="Z238" s="184" t="str">
        <f t="shared" ca="1" si="15"/>
        <v>-</v>
      </c>
      <c r="AA238" s="185" t="str">
        <f ca="1">IFERROR(IF(I238=0,"-",IF(AND(ROUND(H238*I238*X238/($W$10*10^3),1)&gt;=Calculation!$O$6,ROUND((((U238)*$R$23/0.05)-((S238)+(H238*I238*X238/($W$10*10^3))+(U238))),1)&gt;=0),Cluster!$W$8,IF(AND(ROUND(H238*I238*X238/($X$10*10^3),1)&gt;=Calculation!$O$6,ROUND((((U238)*$R$23/0.05)-((S238)+(H238*I238*X238/($X$10*10^3))+(U238))),1)&gt;=0),Cluster!$X$8,IF(AND(ROUND(H238*I238*X238/($Y$10*10^3),1)&gt;=Calculation!$O$6,ROUND((((U238)*$R$23/0.05)-((S238)+(H238*I238*X238/($Y$10*10^3))+(U238))),1)&gt;=0),Cluster!$Y$8,"Recepie by hand needed")))),"-")</f>
        <v>-</v>
      </c>
      <c r="AC238" s="37" t="str">
        <f t="shared" ca="1" si="16"/>
        <v>-</v>
      </c>
      <c r="AD238" s="37" t="str">
        <f t="shared" ca="1" si="17"/>
        <v>-</v>
      </c>
      <c r="AE238" s="220" t="str">
        <f t="shared" ca="1" si="18"/>
        <v>-</v>
      </c>
      <c r="AF238" s="37" t="str">
        <f t="shared" ca="1" si="19"/>
        <v>-</v>
      </c>
    </row>
    <row r="239" spans="1:32" ht="14.25" x14ac:dyDescent="0.5">
      <c r="A239" s="170" t="str">
        <f>Calculation!I220</f>
        <v/>
      </c>
      <c r="B239" s="221" t="str">
        <f ca="1">Calculation!B220</f>
        <v/>
      </c>
      <c r="C239" s="221" t="str">
        <f ca="1">Calculation!C220</f>
        <v/>
      </c>
      <c r="D239" s="172" t="str">
        <f ca="1">Calculation!AN220</f>
        <v/>
      </c>
      <c r="E239" s="173" t="str">
        <f ca="1">Calculation!D220</f>
        <v/>
      </c>
      <c r="F239" s="174" t="str">
        <f ca="1">Calculation!C220</f>
        <v/>
      </c>
      <c r="G239" s="175" t="str">
        <f ca="1">Calculation!F220</f>
        <v/>
      </c>
      <c r="H239" s="176" t="str">
        <f ca="1">Calculation!AD220</f>
        <v/>
      </c>
      <c r="I239" s="177" t="str">
        <f ca="1">Calculation!AE220</f>
        <v/>
      </c>
      <c r="J239" s="272" t="str">
        <f ca="1">IF(Calculation!Q220="","Selection",Calculation!Q220)</f>
        <v>Selection</v>
      </c>
      <c r="K239" s="179" t="str">
        <f ca="1">Calculation!T220</f>
        <v/>
      </c>
      <c r="L239" s="180" t="str">
        <f ca="1">Calculation!U220</f>
        <v>-</v>
      </c>
      <c r="M239" s="180" t="str">
        <f ca="1">Calculation!V220</f>
        <v>-</v>
      </c>
      <c r="N239" s="181"/>
      <c r="O239" s="180" t="str">
        <f ca="1">Calculation!X220</f>
        <v>-</v>
      </c>
      <c r="P239" s="180" t="str">
        <f ca="1">Calculation!Y220</f>
        <v>-</v>
      </c>
      <c r="Q239" s="273"/>
      <c r="R239" s="182" t="str">
        <f ca="1">IF(AND(L239&lt;&gt;"-",Q239&lt;&gt;"bypass"),IFERROR(IF((U239*$R$23/0.05)-SUM(S239:U239)&gt;0,(U239*$R$23/0.05)-SUM(S239:U239),0),"-"),Calculation!AH220)</f>
        <v>-</v>
      </c>
      <c r="S239" s="179" t="str">
        <f ca="1">IF(AND(L239&lt;&gt;"-",Q239&lt;&gt;"bypass"),IFERROR(X239*((H239*10^-12-H239*10^-12*I239)/(Calculation!$U$8*10^-9)),"-"),Calculation!AF220)</f>
        <v>-</v>
      </c>
      <c r="T239" s="179" t="str">
        <f ca="1">IF(AND(L239&lt;&gt;"-",Q239&lt;&gt;"bypass"),IFERROR(H239*I239*X239/(IF(Cluster!AA239=Cluster!$W$8,Cluster!$W$10,IF(Cluster!AA239=Cluster!$X$8,Cluster!$X$10,IF(Cluster!AA239=Cluster!$Y$8,Cluster!$Y$10,0)))*10^3),"-"),Calculation!AK220)</f>
        <v>-</v>
      </c>
      <c r="U239" s="179" t="str">
        <f ca="1">IF(AND(L239&lt;&gt;"-",Q239&lt;&gt;"bypass"),IFERROR((0.5/50)*X239/$R$23,"-"),Calculation!AG220)</f>
        <v>-</v>
      </c>
      <c r="V239" s="179" t="str">
        <f ca="1">IF(AND(L239&lt;&gt;"-",Q239&lt;&gt;"bypass"),IFERROR(5/50*X239,"-"),Calculation!AI220)</f>
        <v>-</v>
      </c>
      <c r="W239" s="179" t="str">
        <f ca="1">IF(AND(L239&lt;&gt;"-",Q239&lt;&gt;"bypass"),IFERROR(35/50*X239,"-"),Calculation!AJ220)</f>
        <v>-</v>
      </c>
      <c r="X239" s="179" t="str">
        <f ca="1">IF(AND(L239&lt;&gt;"-",Q239&lt;&gt;"bypass"),$W$23,Calculation!AL220)</f>
        <v>-</v>
      </c>
      <c r="Y239" s="183" t="str">
        <f ca="1">IF(AND(L239&lt;&gt;"-",Q239&lt;&gt;"bypass"),IFERROR($R$23*U239/SUM(R239:U239),"-"),Calculation!AP220)</f>
        <v>-</v>
      </c>
      <c r="Z239" s="184" t="str">
        <f t="shared" ca="1" si="15"/>
        <v>-</v>
      </c>
      <c r="AA239" s="185" t="str">
        <f ca="1">IFERROR(IF(I239=0,"-",IF(AND(ROUND(H239*I239*X239/($W$10*10^3),1)&gt;=Calculation!$O$6,ROUND((((U239)*$R$23/0.05)-((S239)+(H239*I239*X239/($W$10*10^3))+(U239))),1)&gt;=0),Cluster!$W$8,IF(AND(ROUND(H239*I239*X239/($X$10*10^3),1)&gt;=Calculation!$O$6,ROUND((((U239)*$R$23/0.05)-((S239)+(H239*I239*X239/($X$10*10^3))+(U239))),1)&gt;=0),Cluster!$X$8,IF(AND(ROUND(H239*I239*X239/($Y$10*10^3),1)&gt;=Calculation!$O$6,ROUND((((U239)*$R$23/0.05)-((S239)+(H239*I239*X239/($Y$10*10^3))+(U239))),1)&gt;=0),Cluster!$Y$8,"Recepie by hand needed")))),"-")</f>
        <v>-</v>
      </c>
      <c r="AC239" s="37" t="str">
        <f t="shared" ca="1" si="16"/>
        <v>-</v>
      </c>
      <c r="AD239" s="37" t="str">
        <f t="shared" ca="1" si="17"/>
        <v>-</v>
      </c>
      <c r="AE239" s="220" t="str">
        <f t="shared" ca="1" si="18"/>
        <v>-</v>
      </c>
      <c r="AF239" s="37" t="str">
        <f t="shared" ca="1" si="19"/>
        <v>-</v>
      </c>
    </row>
    <row r="240" spans="1:32" ht="14.25" x14ac:dyDescent="0.5">
      <c r="A240" s="170" t="str">
        <f>Calculation!I221</f>
        <v/>
      </c>
      <c r="B240" s="221" t="str">
        <f ca="1">Calculation!B221</f>
        <v/>
      </c>
      <c r="C240" s="221" t="str">
        <f ca="1">Calculation!C221</f>
        <v/>
      </c>
      <c r="D240" s="172" t="str">
        <f ca="1">Calculation!AN221</f>
        <v/>
      </c>
      <c r="E240" s="173" t="str">
        <f ca="1">Calculation!D221</f>
        <v/>
      </c>
      <c r="F240" s="174" t="str">
        <f ca="1">Calculation!C221</f>
        <v/>
      </c>
      <c r="G240" s="175" t="str">
        <f ca="1">Calculation!F221</f>
        <v/>
      </c>
      <c r="H240" s="176" t="str">
        <f ca="1">Calculation!AD221</f>
        <v/>
      </c>
      <c r="I240" s="177" t="str">
        <f ca="1">Calculation!AE221</f>
        <v/>
      </c>
      <c r="J240" s="272" t="str">
        <f ca="1">IF(Calculation!Q221="","Selection",Calculation!Q221)</f>
        <v>Selection</v>
      </c>
      <c r="K240" s="179" t="str">
        <f ca="1">Calculation!T221</f>
        <v/>
      </c>
      <c r="L240" s="180" t="str">
        <f ca="1">Calculation!U221</f>
        <v>-</v>
      </c>
      <c r="M240" s="180" t="str">
        <f ca="1">Calculation!V221</f>
        <v>-</v>
      </c>
      <c r="N240" s="181"/>
      <c r="O240" s="180" t="str">
        <f ca="1">Calculation!X221</f>
        <v>-</v>
      </c>
      <c r="P240" s="180" t="str">
        <f ca="1">Calculation!Y221</f>
        <v>-</v>
      </c>
      <c r="Q240" s="273"/>
      <c r="R240" s="182" t="str">
        <f ca="1">IF(AND(L240&lt;&gt;"-",Q240&lt;&gt;"bypass"),IFERROR(IF((U240*$R$23/0.05)-SUM(S240:U240)&gt;0,(U240*$R$23/0.05)-SUM(S240:U240),0),"-"),Calculation!AH221)</f>
        <v>-</v>
      </c>
      <c r="S240" s="179" t="str">
        <f ca="1">IF(AND(L240&lt;&gt;"-",Q240&lt;&gt;"bypass"),IFERROR(X240*((H240*10^-12-H240*10^-12*I240)/(Calculation!$U$8*10^-9)),"-"),Calculation!AF221)</f>
        <v>-</v>
      </c>
      <c r="T240" s="179" t="str">
        <f ca="1">IF(AND(L240&lt;&gt;"-",Q240&lt;&gt;"bypass"),IFERROR(H240*I240*X240/(IF(Cluster!AA240=Cluster!$W$8,Cluster!$W$10,IF(Cluster!AA240=Cluster!$X$8,Cluster!$X$10,IF(Cluster!AA240=Cluster!$Y$8,Cluster!$Y$10,0)))*10^3),"-"),Calculation!AK221)</f>
        <v>-</v>
      </c>
      <c r="U240" s="179" t="str">
        <f ca="1">IF(AND(L240&lt;&gt;"-",Q240&lt;&gt;"bypass"),IFERROR((0.5/50)*X240/$R$23,"-"),Calculation!AG221)</f>
        <v>-</v>
      </c>
      <c r="V240" s="179" t="str">
        <f ca="1">IF(AND(L240&lt;&gt;"-",Q240&lt;&gt;"bypass"),IFERROR(5/50*X240,"-"),Calculation!AI221)</f>
        <v>-</v>
      </c>
      <c r="W240" s="179" t="str">
        <f ca="1">IF(AND(L240&lt;&gt;"-",Q240&lt;&gt;"bypass"),IFERROR(35/50*X240,"-"),Calculation!AJ221)</f>
        <v>-</v>
      </c>
      <c r="X240" s="179" t="str">
        <f ca="1">IF(AND(L240&lt;&gt;"-",Q240&lt;&gt;"bypass"),$W$23,Calculation!AL221)</f>
        <v>-</v>
      </c>
      <c r="Y240" s="183" t="str">
        <f ca="1">IF(AND(L240&lt;&gt;"-",Q240&lt;&gt;"bypass"),IFERROR($R$23*U240/SUM(R240:U240),"-"),Calculation!AP221)</f>
        <v>-</v>
      </c>
      <c r="Z240" s="184" t="str">
        <f t="shared" ca="1" si="15"/>
        <v>-</v>
      </c>
      <c r="AA240" s="185" t="str">
        <f ca="1">IFERROR(IF(I240=0,"-",IF(AND(ROUND(H240*I240*X240/($W$10*10^3),1)&gt;=Calculation!$O$6,ROUND((((U240)*$R$23/0.05)-((S240)+(H240*I240*X240/($W$10*10^3))+(U240))),1)&gt;=0),Cluster!$W$8,IF(AND(ROUND(H240*I240*X240/($X$10*10^3),1)&gt;=Calculation!$O$6,ROUND((((U240)*$R$23/0.05)-((S240)+(H240*I240*X240/($X$10*10^3))+(U240))),1)&gt;=0),Cluster!$X$8,IF(AND(ROUND(H240*I240*X240/($Y$10*10^3),1)&gt;=Calculation!$O$6,ROUND((((U240)*$R$23/0.05)-((S240)+(H240*I240*X240/($Y$10*10^3))+(U240))),1)&gt;=0),Cluster!$Y$8,"Recepie by hand needed")))),"-")</f>
        <v>-</v>
      </c>
      <c r="AC240" s="37" t="str">
        <f t="shared" ca="1" si="16"/>
        <v>-</v>
      </c>
      <c r="AD240" s="37" t="str">
        <f t="shared" ca="1" si="17"/>
        <v>-</v>
      </c>
      <c r="AE240" s="220" t="str">
        <f t="shared" ca="1" si="18"/>
        <v>-</v>
      </c>
      <c r="AF240" s="37" t="str">
        <f t="shared" ca="1" si="19"/>
        <v>-</v>
      </c>
    </row>
    <row r="241" spans="1:32" ht="14.25" x14ac:dyDescent="0.5">
      <c r="A241" s="170" t="str">
        <f>Calculation!I222</f>
        <v/>
      </c>
      <c r="B241" s="221" t="str">
        <f ca="1">Calculation!B222</f>
        <v/>
      </c>
      <c r="C241" s="221" t="str">
        <f ca="1">Calculation!C222</f>
        <v/>
      </c>
      <c r="D241" s="172" t="str">
        <f ca="1">Calculation!AN222</f>
        <v/>
      </c>
      <c r="E241" s="173" t="str">
        <f ca="1">Calculation!D222</f>
        <v/>
      </c>
      <c r="F241" s="174" t="str">
        <f ca="1">Calculation!C222</f>
        <v/>
      </c>
      <c r="G241" s="175" t="str">
        <f ca="1">Calculation!F222</f>
        <v/>
      </c>
      <c r="H241" s="176" t="str">
        <f ca="1">Calculation!AD222</f>
        <v/>
      </c>
      <c r="I241" s="177" t="str">
        <f ca="1">Calculation!AE222</f>
        <v/>
      </c>
      <c r="J241" s="272" t="str">
        <f ca="1">IF(Calculation!Q222="","Selection",Calculation!Q222)</f>
        <v>Selection</v>
      </c>
      <c r="K241" s="179" t="str">
        <f ca="1">Calculation!T222</f>
        <v/>
      </c>
      <c r="L241" s="180" t="str">
        <f ca="1">Calculation!U222</f>
        <v>-</v>
      </c>
      <c r="M241" s="180" t="str">
        <f ca="1">Calculation!V222</f>
        <v>-</v>
      </c>
      <c r="N241" s="181"/>
      <c r="O241" s="180" t="str">
        <f ca="1">Calculation!X222</f>
        <v>-</v>
      </c>
      <c r="P241" s="180" t="str">
        <f ca="1">Calculation!Y222</f>
        <v>-</v>
      </c>
      <c r="Q241" s="273"/>
      <c r="R241" s="182" t="str">
        <f ca="1">IF(AND(L241&lt;&gt;"-",Q241&lt;&gt;"bypass"),IFERROR(IF((U241*$R$23/0.05)-SUM(S241:U241)&gt;0,(U241*$R$23/0.05)-SUM(S241:U241),0),"-"),Calculation!AH222)</f>
        <v>-</v>
      </c>
      <c r="S241" s="179" t="str">
        <f ca="1">IF(AND(L241&lt;&gt;"-",Q241&lt;&gt;"bypass"),IFERROR(X241*((H241*10^-12-H241*10^-12*I241)/(Calculation!$U$8*10^-9)),"-"),Calculation!AF222)</f>
        <v>-</v>
      </c>
      <c r="T241" s="179" t="str">
        <f ca="1">IF(AND(L241&lt;&gt;"-",Q241&lt;&gt;"bypass"),IFERROR(H241*I241*X241/(IF(Cluster!AA241=Cluster!$W$8,Cluster!$W$10,IF(Cluster!AA241=Cluster!$X$8,Cluster!$X$10,IF(Cluster!AA241=Cluster!$Y$8,Cluster!$Y$10,0)))*10^3),"-"),Calculation!AK222)</f>
        <v>-</v>
      </c>
      <c r="U241" s="179" t="str">
        <f ca="1">IF(AND(L241&lt;&gt;"-",Q241&lt;&gt;"bypass"),IFERROR((0.5/50)*X241/$R$23,"-"),Calculation!AG222)</f>
        <v>-</v>
      </c>
      <c r="V241" s="179" t="str">
        <f ca="1">IF(AND(L241&lt;&gt;"-",Q241&lt;&gt;"bypass"),IFERROR(5/50*X241,"-"),Calculation!AI222)</f>
        <v>-</v>
      </c>
      <c r="W241" s="179" t="str">
        <f ca="1">IF(AND(L241&lt;&gt;"-",Q241&lt;&gt;"bypass"),IFERROR(35/50*X241,"-"),Calculation!AJ222)</f>
        <v>-</v>
      </c>
      <c r="X241" s="179" t="str">
        <f ca="1">IF(AND(L241&lt;&gt;"-",Q241&lt;&gt;"bypass"),$W$23,Calculation!AL222)</f>
        <v>-</v>
      </c>
      <c r="Y241" s="183" t="str">
        <f ca="1">IF(AND(L241&lt;&gt;"-",Q241&lt;&gt;"bypass"),IFERROR($R$23*U241/SUM(R241:U241),"-"),Calculation!AP222)</f>
        <v>-</v>
      </c>
      <c r="Z241" s="184" t="str">
        <f t="shared" ca="1" si="15"/>
        <v>-</v>
      </c>
      <c r="AA241" s="185" t="str">
        <f ca="1">IFERROR(IF(I241=0,"-",IF(AND(ROUND(H241*I241*X241/($W$10*10^3),1)&gt;=Calculation!$O$6,ROUND((((U241)*$R$23/0.05)-((S241)+(H241*I241*X241/($W$10*10^3))+(U241))),1)&gt;=0),Cluster!$W$8,IF(AND(ROUND(H241*I241*X241/($X$10*10^3),1)&gt;=Calculation!$O$6,ROUND((((U241)*$R$23/0.05)-((S241)+(H241*I241*X241/($X$10*10^3))+(U241))),1)&gt;=0),Cluster!$X$8,IF(AND(ROUND(H241*I241*X241/($Y$10*10^3),1)&gt;=Calculation!$O$6,ROUND((((U241)*$R$23/0.05)-((S241)+(H241*I241*X241/($Y$10*10^3))+(U241))),1)&gt;=0),Cluster!$Y$8,"Recepie by hand needed")))),"-")</f>
        <v>-</v>
      </c>
      <c r="AC241" s="37" t="str">
        <f t="shared" ca="1" si="16"/>
        <v>-</v>
      </c>
      <c r="AD241" s="37" t="str">
        <f t="shared" ca="1" si="17"/>
        <v>-</v>
      </c>
      <c r="AE241" s="220" t="str">
        <f t="shared" ca="1" si="18"/>
        <v>-</v>
      </c>
      <c r="AF241" s="37" t="str">
        <f t="shared" ca="1" si="19"/>
        <v>-</v>
      </c>
    </row>
    <row r="242" spans="1:32" ht="14.25" x14ac:dyDescent="0.5">
      <c r="A242" s="170" t="str">
        <f>Calculation!I223</f>
        <v/>
      </c>
      <c r="B242" s="221" t="str">
        <f ca="1">Calculation!B223</f>
        <v/>
      </c>
      <c r="C242" s="221" t="str">
        <f ca="1">Calculation!C223</f>
        <v/>
      </c>
      <c r="D242" s="172" t="str">
        <f ca="1">Calculation!AN223</f>
        <v/>
      </c>
      <c r="E242" s="173" t="str">
        <f ca="1">Calculation!D223</f>
        <v/>
      </c>
      <c r="F242" s="174" t="str">
        <f ca="1">Calculation!C223</f>
        <v/>
      </c>
      <c r="G242" s="175" t="str">
        <f ca="1">Calculation!F223</f>
        <v/>
      </c>
      <c r="H242" s="176" t="str">
        <f ca="1">Calculation!AD223</f>
        <v/>
      </c>
      <c r="I242" s="177" t="str">
        <f ca="1">Calculation!AE223</f>
        <v/>
      </c>
      <c r="J242" s="272" t="str">
        <f ca="1">IF(Calculation!Q223="","Selection",Calculation!Q223)</f>
        <v>Selection</v>
      </c>
      <c r="K242" s="179" t="str">
        <f ca="1">Calculation!T223</f>
        <v/>
      </c>
      <c r="L242" s="180" t="str">
        <f ca="1">Calculation!U223</f>
        <v>-</v>
      </c>
      <c r="M242" s="180" t="str">
        <f ca="1">Calculation!V223</f>
        <v>-</v>
      </c>
      <c r="N242" s="181"/>
      <c r="O242" s="180" t="str">
        <f ca="1">Calculation!X223</f>
        <v>-</v>
      </c>
      <c r="P242" s="180" t="str">
        <f ca="1">Calculation!Y223</f>
        <v>-</v>
      </c>
      <c r="Q242" s="273"/>
      <c r="R242" s="182" t="str">
        <f ca="1">IF(AND(L242&lt;&gt;"-",Q242&lt;&gt;"bypass"),IFERROR(IF((U242*$R$23/0.05)-SUM(S242:U242)&gt;0,(U242*$R$23/0.05)-SUM(S242:U242),0),"-"),Calculation!AH223)</f>
        <v>-</v>
      </c>
      <c r="S242" s="179" t="str">
        <f ca="1">IF(AND(L242&lt;&gt;"-",Q242&lt;&gt;"bypass"),IFERROR(X242*((H242*10^-12-H242*10^-12*I242)/(Calculation!$U$8*10^-9)),"-"),Calculation!AF223)</f>
        <v>-</v>
      </c>
      <c r="T242" s="179" t="str">
        <f ca="1">IF(AND(L242&lt;&gt;"-",Q242&lt;&gt;"bypass"),IFERROR(H242*I242*X242/(IF(Cluster!AA242=Cluster!$W$8,Cluster!$W$10,IF(Cluster!AA242=Cluster!$X$8,Cluster!$X$10,IF(Cluster!AA242=Cluster!$Y$8,Cluster!$Y$10,0)))*10^3),"-"),Calculation!AK223)</f>
        <v>-</v>
      </c>
      <c r="U242" s="179" t="str">
        <f ca="1">IF(AND(L242&lt;&gt;"-",Q242&lt;&gt;"bypass"),IFERROR((0.5/50)*X242/$R$23,"-"),Calculation!AG223)</f>
        <v>-</v>
      </c>
      <c r="V242" s="179" t="str">
        <f ca="1">IF(AND(L242&lt;&gt;"-",Q242&lt;&gt;"bypass"),IFERROR(5/50*X242,"-"),Calculation!AI223)</f>
        <v>-</v>
      </c>
      <c r="W242" s="179" t="str">
        <f ca="1">IF(AND(L242&lt;&gt;"-",Q242&lt;&gt;"bypass"),IFERROR(35/50*X242,"-"),Calculation!AJ223)</f>
        <v>-</v>
      </c>
      <c r="X242" s="179" t="str">
        <f ca="1">IF(AND(L242&lt;&gt;"-",Q242&lt;&gt;"bypass"),$W$23,Calculation!AL223)</f>
        <v>-</v>
      </c>
      <c r="Y242" s="183" t="str">
        <f ca="1">IF(AND(L242&lt;&gt;"-",Q242&lt;&gt;"bypass"),IFERROR($R$23*U242/SUM(R242:U242),"-"),Calculation!AP223)</f>
        <v>-</v>
      </c>
      <c r="Z242" s="184" t="str">
        <f t="shared" ca="1" si="15"/>
        <v>-</v>
      </c>
      <c r="AA242" s="185" t="str">
        <f ca="1">IFERROR(IF(I242=0,"-",IF(AND(ROUND(H242*I242*X242/($W$10*10^3),1)&gt;=Calculation!$O$6,ROUND((((U242)*$R$23/0.05)-((S242)+(H242*I242*X242/($W$10*10^3))+(U242))),1)&gt;=0),Cluster!$W$8,IF(AND(ROUND(H242*I242*X242/($X$10*10^3),1)&gt;=Calculation!$O$6,ROUND((((U242)*$R$23/0.05)-((S242)+(H242*I242*X242/($X$10*10^3))+(U242))),1)&gt;=0),Cluster!$X$8,IF(AND(ROUND(H242*I242*X242/($Y$10*10^3),1)&gt;=Calculation!$O$6,ROUND((((U242)*$R$23/0.05)-((S242)+(H242*I242*X242/($Y$10*10^3))+(U242))),1)&gt;=0),Cluster!$Y$8,"Recepie by hand needed")))),"-")</f>
        <v>-</v>
      </c>
      <c r="AC242" s="37" t="str">
        <f t="shared" ca="1" si="16"/>
        <v>-</v>
      </c>
      <c r="AD242" s="37" t="str">
        <f t="shared" ca="1" si="17"/>
        <v>-</v>
      </c>
      <c r="AE242" s="220" t="str">
        <f t="shared" ca="1" si="18"/>
        <v>-</v>
      </c>
      <c r="AF242" s="37" t="str">
        <f t="shared" ca="1" si="19"/>
        <v>-</v>
      </c>
    </row>
    <row r="243" spans="1:32" ht="14.25" x14ac:dyDescent="0.5">
      <c r="A243" s="170" t="str">
        <f>Calculation!I224</f>
        <v/>
      </c>
      <c r="B243" s="221" t="str">
        <f ca="1">Calculation!B224</f>
        <v/>
      </c>
      <c r="C243" s="221" t="str">
        <f ca="1">Calculation!C224</f>
        <v/>
      </c>
      <c r="D243" s="172" t="str">
        <f ca="1">Calculation!AN224</f>
        <v/>
      </c>
      <c r="E243" s="173" t="str">
        <f ca="1">Calculation!D224</f>
        <v/>
      </c>
      <c r="F243" s="174" t="str">
        <f ca="1">Calculation!C224</f>
        <v/>
      </c>
      <c r="G243" s="175" t="str">
        <f ca="1">Calculation!F224</f>
        <v/>
      </c>
      <c r="H243" s="176" t="str">
        <f ca="1">Calculation!AD224</f>
        <v/>
      </c>
      <c r="I243" s="177" t="str">
        <f ca="1">Calculation!AE224</f>
        <v/>
      </c>
      <c r="J243" s="272" t="str">
        <f ca="1">IF(Calculation!Q224="","Selection",Calculation!Q224)</f>
        <v>Selection</v>
      </c>
      <c r="K243" s="179" t="str">
        <f ca="1">Calculation!T224</f>
        <v/>
      </c>
      <c r="L243" s="180" t="str">
        <f ca="1">Calculation!U224</f>
        <v>-</v>
      </c>
      <c r="M243" s="180" t="str">
        <f ca="1">Calculation!V224</f>
        <v>-</v>
      </c>
      <c r="N243" s="181"/>
      <c r="O243" s="180" t="str">
        <f ca="1">Calculation!X224</f>
        <v>-</v>
      </c>
      <c r="P243" s="180" t="str">
        <f ca="1">Calculation!Y224</f>
        <v>-</v>
      </c>
      <c r="Q243" s="273"/>
      <c r="R243" s="182" t="str">
        <f ca="1">IF(AND(L243&lt;&gt;"-",Q243&lt;&gt;"bypass"),IFERROR(IF((U243*$R$23/0.05)-SUM(S243:U243)&gt;0,(U243*$R$23/0.05)-SUM(S243:U243),0),"-"),Calculation!AH224)</f>
        <v>-</v>
      </c>
      <c r="S243" s="179" t="str">
        <f ca="1">IF(AND(L243&lt;&gt;"-",Q243&lt;&gt;"bypass"),IFERROR(X243*((H243*10^-12-H243*10^-12*I243)/(Calculation!$U$8*10^-9)),"-"),Calculation!AF224)</f>
        <v>-</v>
      </c>
      <c r="T243" s="179" t="str">
        <f ca="1">IF(AND(L243&lt;&gt;"-",Q243&lt;&gt;"bypass"),IFERROR(H243*I243*X243/(IF(Cluster!AA243=Cluster!$W$8,Cluster!$W$10,IF(Cluster!AA243=Cluster!$X$8,Cluster!$X$10,IF(Cluster!AA243=Cluster!$Y$8,Cluster!$Y$10,0)))*10^3),"-"),Calculation!AK224)</f>
        <v>-</v>
      </c>
      <c r="U243" s="179" t="str">
        <f ca="1">IF(AND(L243&lt;&gt;"-",Q243&lt;&gt;"bypass"),IFERROR((0.5/50)*X243/$R$23,"-"),Calculation!AG224)</f>
        <v>-</v>
      </c>
      <c r="V243" s="179" t="str">
        <f ca="1">IF(AND(L243&lt;&gt;"-",Q243&lt;&gt;"bypass"),IFERROR(5/50*X243,"-"),Calculation!AI224)</f>
        <v>-</v>
      </c>
      <c r="W243" s="179" t="str">
        <f ca="1">IF(AND(L243&lt;&gt;"-",Q243&lt;&gt;"bypass"),IFERROR(35/50*X243,"-"),Calculation!AJ224)</f>
        <v>-</v>
      </c>
      <c r="X243" s="179" t="str">
        <f ca="1">IF(AND(L243&lt;&gt;"-",Q243&lt;&gt;"bypass"),$W$23,Calculation!AL224)</f>
        <v>-</v>
      </c>
      <c r="Y243" s="183" t="str">
        <f ca="1">IF(AND(L243&lt;&gt;"-",Q243&lt;&gt;"bypass"),IFERROR($R$23*U243/SUM(R243:U243),"-"),Calculation!AP224)</f>
        <v>-</v>
      </c>
      <c r="Z243" s="184" t="str">
        <f t="shared" ca="1" si="15"/>
        <v>-</v>
      </c>
      <c r="AA243" s="185" t="str">
        <f ca="1">IFERROR(IF(I243=0,"-",IF(AND(ROUND(H243*I243*X243/($W$10*10^3),1)&gt;=Calculation!$O$6,ROUND((((U243)*$R$23/0.05)-((S243)+(H243*I243*X243/($W$10*10^3))+(U243))),1)&gt;=0),Cluster!$W$8,IF(AND(ROUND(H243*I243*X243/($X$10*10^3),1)&gt;=Calculation!$O$6,ROUND((((U243)*$R$23/0.05)-((S243)+(H243*I243*X243/($X$10*10^3))+(U243))),1)&gt;=0),Cluster!$X$8,IF(AND(ROUND(H243*I243*X243/($Y$10*10^3),1)&gt;=Calculation!$O$6,ROUND((((U243)*$R$23/0.05)-((S243)+(H243*I243*X243/($Y$10*10^3))+(U243))),1)&gt;=0),Cluster!$Y$8,"Recepie by hand needed")))),"-")</f>
        <v>-</v>
      </c>
      <c r="AC243" s="37" t="str">
        <f t="shared" ca="1" si="16"/>
        <v>-</v>
      </c>
      <c r="AD243" s="37" t="str">
        <f t="shared" ca="1" si="17"/>
        <v>-</v>
      </c>
      <c r="AE243" s="220" t="str">
        <f t="shared" ca="1" si="18"/>
        <v>-</v>
      </c>
      <c r="AF243" s="37" t="str">
        <f t="shared" ca="1" si="19"/>
        <v>-</v>
      </c>
    </row>
    <row r="244" spans="1:32" ht="14.25" x14ac:dyDescent="0.5">
      <c r="A244" s="170" t="str">
        <f>Calculation!I225</f>
        <v/>
      </c>
      <c r="B244" s="221" t="str">
        <f ca="1">Calculation!B225</f>
        <v/>
      </c>
      <c r="C244" s="221" t="str">
        <f ca="1">Calculation!C225</f>
        <v/>
      </c>
      <c r="D244" s="172" t="str">
        <f ca="1">Calculation!AN225</f>
        <v/>
      </c>
      <c r="E244" s="173" t="str">
        <f ca="1">Calculation!D225</f>
        <v/>
      </c>
      <c r="F244" s="174" t="str">
        <f ca="1">Calculation!C225</f>
        <v/>
      </c>
      <c r="G244" s="175" t="str">
        <f ca="1">Calculation!F225</f>
        <v/>
      </c>
      <c r="H244" s="176" t="str">
        <f ca="1">Calculation!AD225</f>
        <v/>
      </c>
      <c r="I244" s="177" t="str">
        <f ca="1">Calculation!AE225</f>
        <v/>
      </c>
      <c r="J244" s="272" t="str">
        <f ca="1">IF(Calculation!Q225="","Selection",Calculation!Q225)</f>
        <v>Selection</v>
      </c>
      <c r="K244" s="179" t="str">
        <f ca="1">Calculation!T225</f>
        <v/>
      </c>
      <c r="L244" s="180" t="str">
        <f ca="1">Calculation!U225</f>
        <v>-</v>
      </c>
      <c r="M244" s="180" t="str">
        <f ca="1">Calculation!V225</f>
        <v>-</v>
      </c>
      <c r="N244" s="181"/>
      <c r="O244" s="180" t="str">
        <f ca="1">Calculation!X225</f>
        <v>-</v>
      </c>
      <c r="P244" s="180" t="str">
        <f ca="1">Calculation!Y225</f>
        <v>-</v>
      </c>
      <c r="Q244" s="273"/>
      <c r="R244" s="182" t="str">
        <f ca="1">IF(AND(L244&lt;&gt;"-",Q244&lt;&gt;"bypass"),IFERROR(IF((U244*$R$23/0.05)-SUM(S244:U244)&gt;0,(U244*$R$23/0.05)-SUM(S244:U244),0),"-"),Calculation!AH225)</f>
        <v>-</v>
      </c>
      <c r="S244" s="179" t="str">
        <f ca="1">IF(AND(L244&lt;&gt;"-",Q244&lt;&gt;"bypass"),IFERROR(X244*((H244*10^-12-H244*10^-12*I244)/(Calculation!$U$8*10^-9)),"-"),Calculation!AF225)</f>
        <v>-</v>
      </c>
      <c r="T244" s="179" t="str">
        <f ca="1">IF(AND(L244&lt;&gt;"-",Q244&lt;&gt;"bypass"),IFERROR(H244*I244*X244/(IF(Cluster!AA244=Cluster!$W$8,Cluster!$W$10,IF(Cluster!AA244=Cluster!$X$8,Cluster!$X$10,IF(Cluster!AA244=Cluster!$Y$8,Cluster!$Y$10,0)))*10^3),"-"),Calculation!AK225)</f>
        <v>-</v>
      </c>
      <c r="U244" s="179" t="str">
        <f ca="1">IF(AND(L244&lt;&gt;"-",Q244&lt;&gt;"bypass"),IFERROR((0.5/50)*X244/$R$23,"-"),Calculation!AG225)</f>
        <v>-</v>
      </c>
      <c r="V244" s="179" t="str">
        <f ca="1">IF(AND(L244&lt;&gt;"-",Q244&lt;&gt;"bypass"),IFERROR(5/50*X244,"-"),Calculation!AI225)</f>
        <v>-</v>
      </c>
      <c r="W244" s="179" t="str">
        <f ca="1">IF(AND(L244&lt;&gt;"-",Q244&lt;&gt;"bypass"),IFERROR(35/50*X244,"-"),Calculation!AJ225)</f>
        <v>-</v>
      </c>
      <c r="X244" s="179" t="str">
        <f ca="1">IF(AND(L244&lt;&gt;"-",Q244&lt;&gt;"bypass"),$W$23,Calculation!AL225)</f>
        <v>-</v>
      </c>
      <c r="Y244" s="183" t="str">
        <f ca="1">IF(AND(L244&lt;&gt;"-",Q244&lt;&gt;"bypass"),IFERROR($R$23*U244/SUM(R244:U244),"-"),Calculation!AP225)</f>
        <v>-</v>
      </c>
      <c r="Z244" s="184" t="str">
        <f t="shared" ca="1" si="15"/>
        <v>-</v>
      </c>
      <c r="AA244" s="185" t="str">
        <f ca="1">IFERROR(IF(I244=0,"-",IF(AND(ROUND(H244*I244*X244/($W$10*10^3),1)&gt;=Calculation!$O$6,ROUND((((U244)*$R$23/0.05)-((S244)+(H244*I244*X244/($W$10*10^3))+(U244))),1)&gt;=0),Cluster!$W$8,IF(AND(ROUND(H244*I244*X244/($X$10*10^3),1)&gt;=Calculation!$O$6,ROUND((((U244)*$R$23/0.05)-((S244)+(H244*I244*X244/($X$10*10^3))+(U244))),1)&gt;=0),Cluster!$X$8,IF(AND(ROUND(H244*I244*X244/($Y$10*10^3),1)&gt;=Calculation!$O$6,ROUND((((U244)*$R$23/0.05)-((S244)+(H244*I244*X244/($Y$10*10^3))+(U244))),1)&gt;=0),Cluster!$Y$8,"Recepie by hand needed")))),"-")</f>
        <v>-</v>
      </c>
      <c r="AC244" s="37" t="str">
        <f t="shared" ca="1" si="16"/>
        <v>-</v>
      </c>
      <c r="AD244" s="37" t="str">
        <f t="shared" ca="1" si="17"/>
        <v>-</v>
      </c>
      <c r="AE244" s="220" t="str">
        <f t="shared" ca="1" si="18"/>
        <v>-</v>
      </c>
      <c r="AF244" s="37" t="str">
        <f t="shared" ca="1" si="19"/>
        <v>-</v>
      </c>
    </row>
    <row r="245" spans="1:32" ht="14.25" x14ac:dyDescent="0.5">
      <c r="A245" s="170" t="str">
        <f>Calculation!I226</f>
        <v/>
      </c>
      <c r="B245" s="221" t="str">
        <f ca="1">Calculation!B226</f>
        <v/>
      </c>
      <c r="C245" s="221" t="str">
        <f ca="1">Calculation!C226</f>
        <v/>
      </c>
      <c r="D245" s="172" t="str">
        <f ca="1">Calculation!AN226</f>
        <v/>
      </c>
      <c r="E245" s="173" t="str">
        <f ca="1">Calculation!D226</f>
        <v/>
      </c>
      <c r="F245" s="174" t="str">
        <f ca="1">Calculation!C226</f>
        <v/>
      </c>
      <c r="G245" s="175" t="str">
        <f ca="1">Calculation!F226</f>
        <v/>
      </c>
      <c r="H245" s="176" t="str">
        <f ca="1">Calculation!AD226</f>
        <v/>
      </c>
      <c r="I245" s="177" t="str">
        <f ca="1">Calculation!AE226</f>
        <v/>
      </c>
      <c r="J245" s="272" t="str">
        <f ca="1">IF(Calculation!Q226="","Selection",Calculation!Q226)</f>
        <v>Selection</v>
      </c>
      <c r="K245" s="179" t="str">
        <f ca="1">Calculation!T226</f>
        <v/>
      </c>
      <c r="L245" s="180" t="str">
        <f ca="1">Calculation!U226</f>
        <v>-</v>
      </c>
      <c r="M245" s="180" t="str">
        <f ca="1">Calculation!V226</f>
        <v>-</v>
      </c>
      <c r="N245" s="181"/>
      <c r="O245" s="180" t="str">
        <f ca="1">Calculation!X226</f>
        <v>-</v>
      </c>
      <c r="P245" s="180" t="str">
        <f ca="1">Calculation!Y226</f>
        <v>-</v>
      </c>
      <c r="Q245" s="273"/>
      <c r="R245" s="182" t="str">
        <f ca="1">IF(AND(L245&lt;&gt;"-",Q245&lt;&gt;"bypass"),IFERROR(IF((U245*$R$23/0.05)-SUM(S245:U245)&gt;0,(U245*$R$23/0.05)-SUM(S245:U245),0),"-"),Calculation!AH226)</f>
        <v>-</v>
      </c>
      <c r="S245" s="179" t="str">
        <f ca="1">IF(AND(L245&lt;&gt;"-",Q245&lt;&gt;"bypass"),IFERROR(X245*((H245*10^-12-H245*10^-12*I245)/(Calculation!$U$8*10^-9)),"-"),Calculation!AF226)</f>
        <v>-</v>
      </c>
      <c r="T245" s="179" t="str">
        <f ca="1">IF(AND(L245&lt;&gt;"-",Q245&lt;&gt;"bypass"),IFERROR(H245*I245*X245/(IF(Cluster!AA245=Cluster!$W$8,Cluster!$W$10,IF(Cluster!AA245=Cluster!$X$8,Cluster!$X$10,IF(Cluster!AA245=Cluster!$Y$8,Cluster!$Y$10,0)))*10^3),"-"),Calculation!AK226)</f>
        <v>-</v>
      </c>
      <c r="U245" s="179" t="str">
        <f ca="1">IF(AND(L245&lt;&gt;"-",Q245&lt;&gt;"bypass"),IFERROR((0.5/50)*X245/$R$23,"-"),Calculation!AG226)</f>
        <v>-</v>
      </c>
      <c r="V245" s="179" t="str">
        <f ca="1">IF(AND(L245&lt;&gt;"-",Q245&lt;&gt;"bypass"),IFERROR(5/50*X245,"-"),Calculation!AI226)</f>
        <v>-</v>
      </c>
      <c r="W245" s="179" t="str">
        <f ca="1">IF(AND(L245&lt;&gt;"-",Q245&lt;&gt;"bypass"),IFERROR(35/50*X245,"-"),Calculation!AJ226)</f>
        <v>-</v>
      </c>
      <c r="X245" s="179" t="str">
        <f ca="1">IF(AND(L245&lt;&gt;"-",Q245&lt;&gt;"bypass"),$W$23,Calculation!AL226)</f>
        <v>-</v>
      </c>
      <c r="Y245" s="183" t="str">
        <f ca="1">IF(AND(L245&lt;&gt;"-",Q245&lt;&gt;"bypass"),IFERROR($R$23*U245/SUM(R245:U245),"-"),Calculation!AP226)</f>
        <v>-</v>
      </c>
      <c r="Z245" s="184" t="str">
        <f t="shared" ca="1" si="15"/>
        <v>-</v>
      </c>
      <c r="AA245" s="185" t="str">
        <f ca="1">IFERROR(IF(I245=0,"-",IF(AND(ROUND(H245*I245*X245/($W$10*10^3),1)&gt;=Calculation!$O$6,ROUND((((U245)*$R$23/0.05)-((S245)+(H245*I245*X245/($W$10*10^3))+(U245))),1)&gt;=0),Cluster!$W$8,IF(AND(ROUND(H245*I245*X245/($X$10*10^3),1)&gt;=Calculation!$O$6,ROUND((((U245)*$R$23/0.05)-((S245)+(H245*I245*X245/($X$10*10^3))+(U245))),1)&gt;=0),Cluster!$X$8,IF(AND(ROUND(H245*I245*X245/($Y$10*10^3),1)&gt;=Calculation!$O$6,ROUND((((U245)*$R$23/0.05)-((S245)+(H245*I245*X245/($Y$10*10^3))+(U245))),1)&gt;=0),Cluster!$Y$8,"Recepie by hand needed")))),"-")</f>
        <v>-</v>
      </c>
      <c r="AC245" s="37" t="str">
        <f t="shared" ca="1" si="16"/>
        <v>-</v>
      </c>
      <c r="AD245" s="37" t="str">
        <f t="shared" ca="1" si="17"/>
        <v>-</v>
      </c>
      <c r="AE245" s="220" t="str">
        <f t="shared" ca="1" si="18"/>
        <v>-</v>
      </c>
      <c r="AF245" s="37" t="str">
        <f t="shared" ca="1" si="19"/>
        <v>-</v>
      </c>
    </row>
    <row r="246" spans="1:32" ht="14.25" x14ac:dyDescent="0.5">
      <c r="A246" s="170" t="str">
        <f>Calculation!I227</f>
        <v/>
      </c>
      <c r="B246" s="221" t="str">
        <f ca="1">Calculation!B227</f>
        <v/>
      </c>
      <c r="C246" s="221" t="str">
        <f ca="1">Calculation!C227</f>
        <v/>
      </c>
      <c r="D246" s="172" t="str">
        <f ca="1">Calculation!AN227</f>
        <v/>
      </c>
      <c r="E246" s="173" t="str">
        <f ca="1">Calculation!D227</f>
        <v/>
      </c>
      <c r="F246" s="174" t="str">
        <f ca="1">Calculation!C227</f>
        <v/>
      </c>
      <c r="G246" s="175" t="str">
        <f ca="1">Calculation!F227</f>
        <v/>
      </c>
      <c r="H246" s="176" t="str">
        <f ca="1">Calculation!AD227</f>
        <v/>
      </c>
      <c r="I246" s="177" t="str">
        <f ca="1">Calculation!AE227</f>
        <v/>
      </c>
      <c r="J246" s="272" t="str">
        <f ca="1">IF(Calculation!Q227="","Selection",Calculation!Q227)</f>
        <v>Selection</v>
      </c>
      <c r="K246" s="179" t="str">
        <f ca="1">Calculation!T227</f>
        <v/>
      </c>
      <c r="L246" s="180" t="str">
        <f ca="1">Calculation!U227</f>
        <v>-</v>
      </c>
      <c r="M246" s="180" t="str">
        <f ca="1">Calculation!V227</f>
        <v>-</v>
      </c>
      <c r="N246" s="181"/>
      <c r="O246" s="180" t="str">
        <f ca="1">Calculation!X227</f>
        <v>-</v>
      </c>
      <c r="P246" s="180" t="str">
        <f ca="1">Calculation!Y227</f>
        <v>-</v>
      </c>
      <c r="Q246" s="273"/>
      <c r="R246" s="182" t="str">
        <f ca="1">IF(AND(L246&lt;&gt;"-",Q246&lt;&gt;"bypass"),IFERROR(IF((U246*$R$23/0.05)-SUM(S246:U246)&gt;0,(U246*$R$23/0.05)-SUM(S246:U246),0),"-"),Calculation!AH227)</f>
        <v>-</v>
      </c>
      <c r="S246" s="179" t="str">
        <f ca="1">IF(AND(L246&lt;&gt;"-",Q246&lt;&gt;"bypass"),IFERROR(X246*((H246*10^-12-H246*10^-12*I246)/(Calculation!$U$8*10^-9)),"-"),Calculation!AF227)</f>
        <v>-</v>
      </c>
      <c r="T246" s="179" t="str">
        <f ca="1">IF(AND(L246&lt;&gt;"-",Q246&lt;&gt;"bypass"),IFERROR(H246*I246*X246/(IF(Cluster!AA246=Cluster!$W$8,Cluster!$W$10,IF(Cluster!AA246=Cluster!$X$8,Cluster!$X$10,IF(Cluster!AA246=Cluster!$Y$8,Cluster!$Y$10,0)))*10^3),"-"),Calculation!AK227)</f>
        <v>-</v>
      </c>
      <c r="U246" s="179" t="str">
        <f ca="1">IF(AND(L246&lt;&gt;"-",Q246&lt;&gt;"bypass"),IFERROR((0.5/50)*X246/$R$23,"-"),Calculation!AG227)</f>
        <v>-</v>
      </c>
      <c r="V246" s="179" t="str">
        <f ca="1">IF(AND(L246&lt;&gt;"-",Q246&lt;&gt;"bypass"),IFERROR(5/50*X246,"-"),Calculation!AI227)</f>
        <v>-</v>
      </c>
      <c r="W246" s="179" t="str">
        <f ca="1">IF(AND(L246&lt;&gt;"-",Q246&lt;&gt;"bypass"),IFERROR(35/50*X246,"-"),Calculation!AJ227)</f>
        <v>-</v>
      </c>
      <c r="X246" s="179" t="str">
        <f ca="1">IF(AND(L246&lt;&gt;"-",Q246&lt;&gt;"bypass"),$W$23,Calculation!AL227)</f>
        <v>-</v>
      </c>
      <c r="Y246" s="183" t="str">
        <f ca="1">IF(AND(L246&lt;&gt;"-",Q246&lt;&gt;"bypass"),IFERROR($R$23*U246/SUM(R246:U246),"-"),Calculation!AP227)</f>
        <v>-</v>
      </c>
      <c r="Z246" s="184" t="str">
        <f t="shared" ca="1" si="15"/>
        <v>-</v>
      </c>
      <c r="AA246" s="185" t="str">
        <f ca="1">IFERROR(IF(I246=0,"-",IF(AND(ROUND(H246*I246*X246/($W$10*10^3),1)&gt;=Calculation!$O$6,ROUND((((U246)*$R$23/0.05)-((S246)+(H246*I246*X246/($W$10*10^3))+(U246))),1)&gt;=0),Cluster!$W$8,IF(AND(ROUND(H246*I246*X246/($X$10*10^3),1)&gt;=Calculation!$O$6,ROUND((((U246)*$R$23/0.05)-((S246)+(H246*I246*X246/($X$10*10^3))+(U246))),1)&gt;=0),Cluster!$X$8,IF(AND(ROUND(H246*I246*X246/($Y$10*10^3),1)&gt;=Calculation!$O$6,ROUND((((U246)*$R$23/0.05)-((S246)+(H246*I246*X246/($Y$10*10^3))+(U246))),1)&gt;=0),Cluster!$Y$8,"Recepie by hand needed")))),"-")</f>
        <v>-</v>
      </c>
      <c r="AC246" s="37" t="str">
        <f t="shared" ca="1" si="16"/>
        <v>-</v>
      </c>
      <c r="AD246" s="37" t="str">
        <f t="shared" ca="1" si="17"/>
        <v>-</v>
      </c>
      <c r="AE246" s="220" t="str">
        <f t="shared" ca="1" si="18"/>
        <v>-</v>
      </c>
      <c r="AF246" s="37" t="str">
        <f t="shared" ca="1" si="19"/>
        <v>-</v>
      </c>
    </row>
    <row r="247" spans="1:32" ht="14.25" x14ac:dyDescent="0.5">
      <c r="A247" s="170" t="str">
        <f>Calculation!I228</f>
        <v/>
      </c>
      <c r="B247" s="221" t="str">
        <f ca="1">Calculation!B228</f>
        <v/>
      </c>
      <c r="C247" s="221" t="str">
        <f ca="1">Calculation!C228</f>
        <v/>
      </c>
      <c r="D247" s="172" t="str">
        <f ca="1">Calculation!AN228</f>
        <v/>
      </c>
      <c r="E247" s="173" t="str">
        <f ca="1">Calculation!D228</f>
        <v/>
      </c>
      <c r="F247" s="174" t="str">
        <f ca="1">Calculation!C228</f>
        <v/>
      </c>
      <c r="G247" s="175" t="str">
        <f ca="1">Calculation!F228</f>
        <v/>
      </c>
      <c r="H247" s="176" t="str">
        <f ca="1">Calculation!AD228</f>
        <v/>
      </c>
      <c r="I247" s="177" t="str">
        <f ca="1">Calculation!AE228</f>
        <v/>
      </c>
      <c r="J247" s="272" t="str">
        <f ca="1">IF(Calculation!Q228="","Selection",Calculation!Q228)</f>
        <v>Selection</v>
      </c>
      <c r="K247" s="179" t="str">
        <f ca="1">Calculation!T228</f>
        <v/>
      </c>
      <c r="L247" s="180" t="str">
        <f ca="1">Calculation!U228</f>
        <v>-</v>
      </c>
      <c r="M247" s="180" t="str">
        <f ca="1">Calculation!V228</f>
        <v>-</v>
      </c>
      <c r="N247" s="181"/>
      <c r="O247" s="180" t="str">
        <f ca="1">Calculation!X228</f>
        <v>-</v>
      </c>
      <c r="P247" s="180" t="str">
        <f ca="1">Calculation!Y228</f>
        <v>-</v>
      </c>
      <c r="Q247" s="273"/>
      <c r="R247" s="182" t="str">
        <f ca="1">IF(AND(L247&lt;&gt;"-",Q247&lt;&gt;"bypass"),IFERROR(IF((U247*$R$23/0.05)-SUM(S247:U247)&gt;0,(U247*$R$23/0.05)-SUM(S247:U247),0),"-"),Calculation!AH228)</f>
        <v>-</v>
      </c>
      <c r="S247" s="179" t="str">
        <f ca="1">IF(AND(L247&lt;&gt;"-",Q247&lt;&gt;"bypass"),IFERROR(X247*((H247*10^-12-H247*10^-12*I247)/(Calculation!$U$8*10^-9)),"-"),Calculation!AF228)</f>
        <v>-</v>
      </c>
      <c r="T247" s="179" t="str">
        <f ca="1">IF(AND(L247&lt;&gt;"-",Q247&lt;&gt;"bypass"),IFERROR(H247*I247*X247/(IF(Cluster!AA247=Cluster!$W$8,Cluster!$W$10,IF(Cluster!AA247=Cluster!$X$8,Cluster!$X$10,IF(Cluster!AA247=Cluster!$Y$8,Cluster!$Y$10,0)))*10^3),"-"),Calculation!AK228)</f>
        <v>-</v>
      </c>
      <c r="U247" s="179" t="str">
        <f ca="1">IF(AND(L247&lt;&gt;"-",Q247&lt;&gt;"bypass"),IFERROR((0.5/50)*X247/$R$23,"-"),Calculation!AG228)</f>
        <v>-</v>
      </c>
      <c r="V247" s="179" t="str">
        <f ca="1">IF(AND(L247&lt;&gt;"-",Q247&lt;&gt;"bypass"),IFERROR(5/50*X247,"-"),Calculation!AI228)</f>
        <v>-</v>
      </c>
      <c r="W247" s="179" t="str">
        <f ca="1">IF(AND(L247&lt;&gt;"-",Q247&lt;&gt;"bypass"),IFERROR(35/50*X247,"-"),Calculation!AJ228)</f>
        <v>-</v>
      </c>
      <c r="X247" s="179" t="str">
        <f ca="1">IF(AND(L247&lt;&gt;"-",Q247&lt;&gt;"bypass"),$W$23,Calculation!AL228)</f>
        <v>-</v>
      </c>
      <c r="Y247" s="183" t="str">
        <f ca="1">IF(AND(L247&lt;&gt;"-",Q247&lt;&gt;"bypass"),IFERROR($R$23*U247/SUM(R247:U247),"-"),Calculation!AP228)</f>
        <v>-</v>
      </c>
      <c r="Z247" s="184" t="str">
        <f t="shared" ca="1" si="15"/>
        <v>-</v>
      </c>
      <c r="AA247" s="185" t="str">
        <f ca="1">IFERROR(IF(I247=0,"-",IF(AND(ROUND(H247*I247*X247/($W$10*10^3),1)&gt;=Calculation!$O$6,ROUND((((U247)*$R$23/0.05)-((S247)+(H247*I247*X247/($W$10*10^3))+(U247))),1)&gt;=0),Cluster!$W$8,IF(AND(ROUND(H247*I247*X247/($X$10*10^3),1)&gt;=Calculation!$O$6,ROUND((((U247)*$R$23/0.05)-((S247)+(H247*I247*X247/($X$10*10^3))+(U247))),1)&gt;=0),Cluster!$X$8,IF(AND(ROUND(H247*I247*X247/($Y$10*10^3),1)&gt;=Calculation!$O$6,ROUND((((U247)*$R$23/0.05)-((S247)+(H247*I247*X247/($Y$10*10^3))+(U247))),1)&gt;=0),Cluster!$Y$8,"Recepie by hand needed")))),"-")</f>
        <v>-</v>
      </c>
      <c r="AC247" s="37" t="str">
        <f t="shared" ca="1" si="16"/>
        <v>-</v>
      </c>
      <c r="AD247" s="37" t="str">
        <f t="shared" ca="1" si="17"/>
        <v>-</v>
      </c>
      <c r="AE247" s="220" t="str">
        <f t="shared" ca="1" si="18"/>
        <v>-</v>
      </c>
      <c r="AF247" s="37" t="str">
        <f t="shared" ca="1" si="19"/>
        <v>-</v>
      </c>
    </row>
    <row r="248" spans="1:32" ht="14.25" x14ac:dyDescent="0.5">
      <c r="A248" s="170" t="str">
        <f>Calculation!I229</f>
        <v/>
      </c>
      <c r="B248" s="221" t="str">
        <f ca="1">Calculation!B229</f>
        <v/>
      </c>
      <c r="C248" s="221" t="str">
        <f ca="1">Calculation!C229</f>
        <v/>
      </c>
      <c r="D248" s="172" t="str">
        <f ca="1">Calculation!AN229</f>
        <v/>
      </c>
      <c r="E248" s="173" t="str">
        <f ca="1">Calculation!D229</f>
        <v/>
      </c>
      <c r="F248" s="174" t="str">
        <f ca="1">Calculation!C229</f>
        <v/>
      </c>
      <c r="G248" s="175" t="str">
        <f ca="1">Calculation!F229</f>
        <v/>
      </c>
      <c r="H248" s="176" t="str">
        <f ca="1">Calculation!AD229</f>
        <v/>
      </c>
      <c r="I248" s="177" t="str">
        <f ca="1">Calculation!AE229</f>
        <v/>
      </c>
      <c r="J248" s="272" t="str">
        <f ca="1">IF(Calculation!Q229="","Selection",Calculation!Q229)</f>
        <v>Selection</v>
      </c>
      <c r="K248" s="179" t="str">
        <f ca="1">Calculation!T229</f>
        <v/>
      </c>
      <c r="L248" s="180" t="str">
        <f ca="1">Calculation!U229</f>
        <v>-</v>
      </c>
      <c r="M248" s="180" t="str">
        <f ca="1">Calculation!V229</f>
        <v>-</v>
      </c>
      <c r="N248" s="181"/>
      <c r="O248" s="180" t="str">
        <f ca="1">Calculation!X229</f>
        <v>-</v>
      </c>
      <c r="P248" s="180" t="str">
        <f ca="1">Calculation!Y229</f>
        <v>-</v>
      </c>
      <c r="Q248" s="273"/>
      <c r="R248" s="182" t="str">
        <f ca="1">IF(AND(L248&lt;&gt;"-",Q248&lt;&gt;"bypass"),IFERROR(IF((U248*$R$23/0.05)-SUM(S248:U248)&gt;0,(U248*$R$23/0.05)-SUM(S248:U248),0),"-"),Calculation!AH229)</f>
        <v>-</v>
      </c>
      <c r="S248" s="179" t="str">
        <f ca="1">IF(AND(L248&lt;&gt;"-",Q248&lt;&gt;"bypass"),IFERROR(X248*((H248*10^-12-H248*10^-12*I248)/(Calculation!$U$8*10^-9)),"-"),Calculation!AF229)</f>
        <v>-</v>
      </c>
      <c r="T248" s="179" t="str">
        <f ca="1">IF(AND(L248&lt;&gt;"-",Q248&lt;&gt;"bypass"),IFERROR(H248*I248*X248/(IF(Cluster!AA248=Cluster!$W$8,Cluster!$W$10,IF(Cluster!AA248=Cluster!$X$8,Cluster!$X$10,IF(Cluster!AA248=Cluster!$Y$8,Cluster!$Y$10,0)))*10^3),"-"),Calculation!AK229)</f>
        <v>-</v>
      </c>
      <c r="U248" s="179" t="str">
        <f ca="1">IF(AND(L248&lt;&gt;"-",Q248&lt;&gt;"bypass"),IFERROR((0.5/50)*X248/$R$23,"-"),Calculation!AG229)</f>
        <v>-</v>
      </c>
      <c r="V248" s="179" t="str">
        <f ca="1">IF(AND(L248&lt;&gt;"-",Q248&lt;&gt;"bypass"),IFERROR(5/50*X248,"-"),Calculation!AI229)</f>
        <v>-</v>
      </c>
      <c r="W248" s="179" t="str">
        <f ca="1">IF(AND(L248&lt;&gt;"-",Q248&lt;&gt;"bypass"),IFERROR(35/50*X248,"-"),Calculation!AJ229)</f>
        <v>-</v>
      </c>
      <c r="X248" s="179" t="str">
        <f ca="1">IF(AND(L248&lt;&gt;"-",Q248&lt;&gt;"bypass"),$W$23,Calculation!AL229)</f>
        <v>-</v>
      </c>
      <c r="Y248" s="183" t="str">
        <f ca="1">IF(AND(L248&lt;&gt;"-",Q248&lt;&gt;"bypass"),IFERROR($R$23*U248/SUM(R248:U248),"-"),Calculation!AP229)</f>
        <v>-</v>
      </c>
      <c r="Z248" s="184" t="str">
        <f t="shared" ca="1" si="15"/>
        <v>-</v>
      </c>
      <c r="AA248" s="185" t="str">
        <f ca="1">IFERROR(IF(I248=0,"-",IF(AND(ROUND(H248*I248*X248/($W$10*10^3),1)&gt;=Calculation!$O$6,ROUND((((U248)*$R$23/0.05)-((S248)+(H248*I248*X248/($W$10*10^3))+(U248))),1)&gt;=0),Cluster!$W$8,IF(AND(ROUND(H248*I248*X248/($X$10*10^3),1)&gt;=Calculation!$O$6,ROUND((((U248)*$R$23/0.05)-((S248)+(H248*I248*X248/($X$10*10^3))+(U248))),1)&gt;=0),Cluster!$X$8,IF(AND(ROUND(H248*I248*X248/($Y$10*10^3),1)&gt;=Calculation!$O$6,ROUND((((U248)*$R$23/0.05)-((S248)+(H248*I248*X248/($Y$10*10^3))+(U248))),1)&gt;=0),Cluster!$Y$8,"Recepie by hand needed")))),"-")</f>
        <v>-</v>
      </c>
      <c r="AC248" s="37" t="str">
        <f t="shared" ca="1" si="16"/>
        <v>-</v>
      </c>
      <c r="AD248" s="37" t="str">
        <f t="shared" ca="1" si="17"/>
        <v>-</v>
      </c>
      <c r="AE248" s="220" t="str">
        <f t="shared" ca="1" si="18"/>
        <v>-</v>
      </c>
      <c r="AF248" s="37" t="str">
        <f t="shared" ca="1" si="19"/>
        <v>-</v>
      </c>
    </row>
    <row r="249" spans="1:32" ht="14.25" x14ac:dyDescent="0.5">
      <c r="A249" s="170" t="str">
        <f>Calculation!I230</f>
        <v/>
      </c>
      <c r="B249" s="221" t="str">
        <f ca="1">Calculation!B230</f>
        <v/>
      </c>
      <c r="C249" s="221" t="str">
        <f ca="1">Calculation!C230</f>
        <v/>
      </c>
      <c r="D249" s="172" t="str">
        <f ca="1">Calculation!AN230</f>
        <v/>
      </c>
      <c r="E249" s="173" t="str">
        <f ca="1">Calculation!D230</f>
        <v/>
      </c>
      <c r="F249" s="174" t="str">
        <f ca="1">Calculation!C230</f>
        <v/>
      </c>
      <c r="G249" s="175" t="str">
        <f ca="1">Calculation!F230</f>
        <v/>
      </c>
      <c r="H249" s="176" t="str">
        <f ca="1">Calculation!AD230</f>
        <v/>
      </c>
      <c r="I249" s="177" t="str">
        <f ca="1">Calculation!AE230</f>
        <v/>
      </c>
      <c r="J249" s="272" t="str">
        <f ca="1">IF(Calculation!Q230="","Selection",Calculation!Q230)</f>
        <v>Selection</v>
      </c>
      <c r="K249" s="179" t="str">
        <f ca="1">Calculation!T230</f>
        <v/>
      </c>
      <c r="L249" s="180" t="str">
        <f ca="1">Calculation!U230</f>
        <v>-</v>
      </c>
      <c r="M249" s="180" t="str">
        <f ca="1">Calculation!V230</f>
        <v>-</v>
      </c>
      <c r="N249" s="181"/>
      <c r="O249" s="180" t="str">
        <f ca="1">Calculation!X230</f>
        <v>-</v>
      </c>
      <c r="P249" s="180" t="str">
        <f ca="1">Calculation!Y230</f>
        <v>-</v>
      </c>
      <c r="Q249" s="273"/>
      <c r="R249" s="182" t="str">
        <f ca="1">IF(AND(L249&lt;&gt;"-",Q249&lt;&gt;"bypass"),IFERROR(IF((U249*$R$23/0.05)-SUM(S249:U249)&gt;0,(U249*$R$23/0.05)-SUM(S249:U249),0),"-"),Calculation!AH230)</f>
        <v>-</v>
      </c>
      <c r="S249" s="179" t="str">
        <f ca="1">IF(AND(L249&lt;&gt;"-",Q249&lt;&gt;"bypass"),IFERROR(X249*((H249*10^-12-H249*10^-12*I249)/(Calculation!$U$8*10^-9)),"-"),Calculation!AF230)</f>
        <v>-</v>
      </c>
      <c r="T249" s="179" t="str">
        <f ca="1">IF(AND(L249&lt;&gt;"-",Q249&lt;&gt;"bypass"),IFERROR(H249*I249*X249/(IF(Cluster!AA249=Cluster!$W$8,Cluster!$W$10,IF(Cluster!AA249=Cluster!$X$8,Cluster!$X$10,IF(Cluster!AA249=Cluster!$Y$8,Cluster!$Y$10,0)))*10^3),"-"),Calculation!AK230)</f>
        <v>-</v>
      </c>
      <c r="U249" s="179" t="str">
        <f ca="1">IF(AND(L249&lt;&gt;"-",Q249&lt;&gt;"bypass"),IFERROR((0.5/50)*X249/$R$23,"-"),Calculation!AG230)</f>
        <v>-</v>
      </c>
      <c r="V249" s="179" t="str">
        <f ca="1">IF(AND(L249&lt;&gt;"-",Q249&lt;&gt;"bypass"),IFERROR(5/50*X249,"-"),Calculation!AI230)</f>
        <v>-</v>
      </c>
      <c r="W249" s="179" t="str">
        <f ca="1">IF(AND(L249&lt;&gt;"-",Q249&lt;&gt;"bypass"),IFERROR(35/50*X249,"-"),Calculation!AJ230)</f>
        <v>-</v>
      </c>
      <c r="X249" s="179" t="str">
        <f ca="1">IF(AND(L249&lt;&gt;"-",Q249&lt;&gt;"bypass"),$W$23,Calculation!AL230)</f>
        <v>-</v>
      </c>
      <c r="Y249" s="183" t="str">
        <f ca="1">IF(AND(L249&lt;&gt;"-",Q249&lt;&gt;"bypass"),IFERROR($R$23*U249/SUM(R249:U249),"-"),Calculation!AP230)</f>
        <v>-</v>
      </c>
      <c r="Z249" s="184" t="str">
        <f t="shared" ca="1" si="15"/>
        <v>-</v>
      </c>
      <c r="AA249" s="185" t="str">
        <f ca="1">IFERROR(IF(I249=0,"-",IF(AND(ROUND(H249*I249*X249/($W$10*10^3),1)&gt;=Calculation!$O$6,ROUND((((U249)*$R$23/0.05)-((S249)+(H249*I249*X249/($W$10*10^3))+(U249))),1)&gt;=0),Cluster!$W$8,IF(AND(ROUND(H249*I249*X249/($X$10*10^3),1)&gt;=Calculation!$O$6,ROUND((((U249)*$R$23/0.05)-((S249)+(H249*I249*X249/($X$10*10^3))+(U249))),1)&gt;=0),Cluster!$X$8,IF(AND(ROUND(H249*I249*X249/($Y$10*10^3),1)&gt;=Calculation!$O$6,ROUND((((U249)*$R$23/0.05)-((S249)+(H249*I249*X249/($Y$10*10^3))+(U249))),1)&gt;=0),Cluster!$Y$8,"Recepie by hand needed")))),"-")</f>
        <v>-</v>
      </c>
      <c r="AC249" s="37" t="str">
        <f t="shared" ca="1" si="16"/>
        <v>-</v>
      </c>
      <c r="AD249" s="37" t="str">
        <f t="shared" ca="1" si="17"/>
        <v>-</v>
      </c>
      <c r="AE249" s="220" t="str">
        <f t="shared" ca="1" si="18"/>
        <v>-</v>
      </c>
      <c r="AF249" s="37" t="str">
        <f t="shared" ca="1" si="19"/>
        <v>-</v>
      </c>
    </row>
    <row r="250" spans="1:32" ht="14.25" x14ac:dyDescent="0.5">
      <c r="A250" s="170" t="str">
        <f>Calculation!I231</f>
        <v/>
      </c>
      <c r="B250" s="221" t="str">
        <f ca="1">Calculation!B231</f>
        <v/>
      </c>
      <c r="C250" s="221" t="str">
        <f ca="1">Calculation!C231</f>
        <v/>
      </c>
      <c r="D250" s="172" t="str">
        <f ca="1">Calculation!AN231</f>
        <v/>
      </c>
      <c r="E250" s="173" t="str">
        <f ca="1">Calculation!D231</f>
        <v/>
      </c>
      <c r="F250" s="174" t="str">
        <f ca="1">Calculation!C231</f>
        <v/>
      </c>
      <c r="G250" s="175" t="str">
        <f ca="1">Calculation!F231</f>
        <v/>
      </c>
      <c r="H250" s="176" t="str">
        <f ca="1">Calculation!AD231</f>
        <v/>
      </c>
      <c r="I250" s="177" t="str">
        <f ca="1">Calculation!AE231</f>
        <v/>
      </c>
      <c r="J250" s="272" t="str">
        <f ca="1">IF(Calculation!Q231="","Selection",Calculation!Q231)</f>
        <v>Selection</v>
      </c>
      <c r="K250" s="179" t="str">
        <f ca="1">Calculation!T231</f>
        <v/>
      </c>
      <c r="L250" s="180" t="str">
        <f ca="1">Calculation!U231</f>
        <v>-</v>
      </c>
      <c r="M250" s="180" t="str">
        <f ca="1">Calculation!V231</f>
        <v>-</v>
      </c>
      <c r="N250" s="181"/>
      <c r="O250" s="180" t="str">
        <f ca="1">Calculation!X231</f>
        <v>-</v>
      </c>
      <c r="P250" s="180" t="str">
        <f ca="1">Calculation!Y231</f>
        <v>-</v>
      </c>
      <c r="Q250" s="273"/>
      <c r="R250" s="182" t="str">
        <f ca="1">IF(AND(L250&lt;&gt;"-",Q250&lt;&gt;"bypass"),IFERROR(IF((U250*$R$23/0.05)-SUM(S250:U250)&gt;0,(U250*$R$23/0.05)-SUM(S250:U250),0),"-"),Calculation!AH231)</f>
        <v>-</v>
      </c>
      <c r="S250" s="179" t="str">
        <f ca="1">IF(AND(L250&lt;&gt;"-",Q250&lt;&gt;"bypass"),IFERROR(X250*((H250*10^-12-H250*10^-12*I250)/(Calculation!$U$8*10^-9)),"-"),Calculation!AF231)</f>
        <v>-</v>
      </c>
      <c r="T250" s="179" t="str">
        <f ca="1">IF(AND(L250&lt;&gt;"-",Q250&lt;&gt;"bypass"),IFERROR(H250*I250*X250/(IF(Cluster!AA250=Cluster!$W$8,Cluster!$W$10,IF(Cluster!AA250=Cluster!$X$8,Cluster!$X$10,IF(Cluster!AA250=Cluster!$Y$8,Cluster!$Y$10,0)))*10^3),"-"),Calculation!AK231)</f>
        <v>-</v>
      </c>
      <c r="U250" s="179" t="str">
        <f ca="1">IF(AND(L250&lt;&gt;"-",Q250&lt;&gt;"bypass"),IFERROR((0.5/50)*X250/$R$23,"-"),Calculation!AG231)</f>
        <v>-</v>
      </c>
      <c r="V250" s="179" t="str">
        <f ca="1">IF(AND(L250&lt;&gt;"-",Q250&lt;&gt;"bypass"),IFERROR(5/50*X250,"-"),Calculation!AI231)</f>
        <v>-</v>
      </c>
      <c r="W250" s="179" t="str">
        <f ca="1">IF(AND(L250&lt;&gt;"-",Q250&lt;&gt;"bypass"),IFERROR(35/50*X250,"-"),Calculation!AJ231)</f>
        <v>-</v>
      </c>
      <c r="X250" s="179" t="str">
        <f ca="1">IF(AND(L250&lt;&gt;"-",Q250&lt;&gt;"bypass"),$W$23,Calculation!AL231)</f>
        <v>-</v>
      </c>
      <c r="Y250" s="183" t="str">
        <f ca="1">IF(AND(L250&lt;&gt;"-",Q250&lt;&gt;"bypass"),IFERROR($R$23*U250/SUM(R250:U250),"-"),Calculation!AP231)</f>
        <v>-</v>
      </c>
      <c r="Z250" s="184" t="str">
        <f t="shared" ca="1" si="15"/>
        <v>-</v>
      </c>
      <c r="AA250" s="185" t="str">
        <f ca="1">IFERROR(IF(I250=0,"-",IF(AND(ROUND(H250*I250*X250/($W$10*10^3),1)&gt;=Calculation!$O$6,ROUND((((U250)*$R$23/0.05)-((S250)+(H250*I250*X250/($W$10*10^3))+(U250))),1)&gt;=0),Cluster!$W$8,IF(AND(ROUND(H250*I250*X250/($X$10*10^3),1)&gt;=Calculation!$O$6,ROUND((((U250)*$R$23/0.05)-((S250)+(H250*I250*X250/($X$10*10^3))+(U250))),1)&gt;=0),Cluster!$X$8,IF(AND(ROUND(H250*I250*X250/($Y$10*10^3),1)&gt;=Calculation!$O$6,ROUND((((U250)*$R$23/0.05)-((S250)+(H250*I250*X250/($Y$10*10^3))+(U250))),1)&gt;=0),Cluster!$Y$8,"Recepie by hand needed")))),"-")</f>
        <v>-</v>
      </c>
      <c r="AC250" s="37" t="str">
        <f t="shared" ca="1" si="16"/>
        <v>-</v>
      </c>
      <c r="AD250" s="37" t="str">
        <f t="shared" ca="1" si="17"/>
        <v>-</v>
      </c>
      <c r="AE250" s="220" t="str">
        <f t="shared" ca="1" si="18"/>
        <v>-</v>
      </c>
      <c r="AF250" s="37" t="str">
        <f t="shared" ca="1" si="19"/>
        <v>-</v>
      </c>
    </row>
    <row r="251" spans="1:32" ht="14.25" x14ac:dyDescent="0.5">
      <c r="A251" s="170" t="str">
        <f>Calculation!I232</f>
        <v/>
      </c>
      <c r="B251" s="221" t="str">
        <f ca="1">Calculation!B232</f>
        <v/>
      </c>
      <c r="C251" s="221" t="str">
        <f ca="1">Calculation!C232</f>
        <v/>
      </c>
      <c r="D251" s="172" t="str">
        <f ca="1">Calculation!AN232</f>
        <v/>
      </c>
      <c r="E251" s="173" t="str">
        <f ca="1">Calculation!D232</f>
        <v/>
      </c>
      <c r="F251" s="174" t="str">
        <f ca="1">Calculation!C232</f>
        <v/>
      </c>
      <c r="G251" s="175" t="str">
        <f ca="1">Calculation!F232</f>
        <v/>
      </c>
      <c r="H251" s="176" t="str">
        <f ca="1">Calculation!AD232</f>
        <v/>
      </c>
      <c r="I251" s="177" t="str">
        <f ca="1">Calculation!AE232</f>
        <v/>
      </c>
      <c r="J251" s="272" t="str">
        <f ca="1">IF(Calculation!Q232="","Selection",Calculation!Q232)</f>
        <v>Selection</v>
      </c>
      <c r="K251" s="179" t="str">
        <f ca="1">Calculation!T232</f>
        <v/>
      </c>
      <c r="L251" s="180" t="str">
        <f ca="1">Calculation!U232</f>
        <v>-</v>
      </c>
      <c r="M251" s="180" t="str">
        <f ca="1">Calculation!V232</f>
        <v>-</v>
      </c>
      <c r="N251" s="181"/>
      <c r="O251" s="180" t="str">
        <f ca="1">Calculation!X232</f>
        <v>-</v>
      </c>
      <c r="P251" s="180" t="str">
        <f ca="1">Calculation!Y232</f>
        <v>-</v>
      </c>
      <c r="Q251" s="273"/>
      <c r="R251" s="182" t="str">
        <f ca="1">IF(AND(L251&lt;&gt;"-",Q251&lt;&gt;"bypass"),IFERROR(IF((U251*$R$23/0.05)-SUM(S251:U251)&gt;0,(U251*$R$23/0.05)-SUM(S251:U251),0),"-"),Calculation!AH232)</f>
        <v>-</v>
      </c>
      <c r="S251" s="179" t="str">
        <f ca="1">IF(AND(L251&lt;&gt;"-",Q251&lt;&gt;"bypass"),IFERROR(X251*((H251*10^-12-H251*10^-12*I251)/(Calculation!$U$8*10^-9)),"-"),Calculation!AF232)</f>
        <v>-</v>
      </c>
      <c r="T251" s="179" t="str">
        <f ca="1">IF(AND(L251&lt;&gt;"-",Q251&lt;&gt;"bypass"),IFERROR(H251*I251*X251/(IF(Cluster!AA251=Cluster!$W$8,Cluster!$W$10,IF(Cluster!AA251=Cluster!$X$8,Cluster!$X$10,IF(Cluster!AA251=Cluster!$Y$8,Cluster!$Y$10,0)))*10^3),"-"),Calculation!AK232)</f>
        <v>-</v>
      </c>
      <c r="U251" s="179" t="str">
        <f ca="1">IF(AND(L251&lt;&gt;"-",Q251&lt;&gt;"bypass"),IFERROR((0.5/50)*X251/$R$23,"-"),Calculation!AG232)</f>
        <v>-</v>
      </c>
      <c r="V251" s="179" t="str">
        <f ca="1">IF(AND(L251&lt;&gt;"-",Q251&lt;&gt;"bypass"),IFERROR(5/50*X251,"-"),Calculation!AI232)</f>
        <v>-</v>
      </c>
      <c r="W251" s="179" t="str">
        <f ca="1">IF(AND(L251&lt;&gt;"-",Q251&lt;&gt;"bypass"),IFERROR(35/50*X251,"-"),Calculation!AJ232)</f>
        <v>-</v>
      </c>
      <c r="X251" s="179" t="str">
        <f ca="1">IF(AND(L251&lt;&gt;"-",Q251&lt;&gt;"bypass"),$W$23,Calculation!AL232)</f>
        <v>-</v>
      </c>
      <c r="Y251" s="183" t="str">
        <f ca="1">IF(AND(L251&lt;&gt;"-",Q251&lt;&gt;"bypass"),IFERROR($R$23*U251/SUM(R251:U251),"-"),Calculation!AP232)</f>
        <v>-</v>
      </c>
      <c r="Z251" s="184" t="str">
        <f t="shared" ca="1" si="15"/>
        <v>-</v>
      </c>
      <c r="AA251" s="185" t="str">
        <f ca="1">IFERROR(IF(I251=0,"-",IF(AND(ROUND(H251*I251*X251/($W$10*10^3),1)&gt;=Calculation!$O$6,ROUND((((U251)*$R$23/0.05)-((S251)+(H251*I251*X251/($W$10*10^3))+(U251))),1)&gt;=0),Cluster!$W$8,IF(AND(ROUND(H251*I251*X251/($X$10*10^3),1)&gt;=Calculation!$O$6,ROUND((((U251)*$R$23/0.05)-((S251)+(H251*I251*X251/($X$10*10^3))+(U251))),1)&gt;=0),Cluster!$X$8,IF(AND(ROUND(H251*I251*X251/($Y$10*10^3),1)&gt;=Calculation!$O$6,ROUND((((U251)*$R$23/0.05)-((S251)+(H251*I251*X251/($Y$10*10^3))+(U251))),1)&gt;=0),Cluster!$Y$8,"Recepie by hand needed")))),"-")</f>
        <v>-</v>
      </c>
      <c r="AC251" s="37" t="str">
        <f t="shared" ca="1" si="16"/>
        <v>-</v>
      </c>
      <c r="AD251" s="37" t="str">
        <f t="shared" ca="1" si="17"/>
        <v>-</v>
      </c>
      <c r="AE251" s="220" t="str">
        <f t="shared" ca="1" si="18"/>
        <v>-</v>
      </c>
      <c r="AF251" s="37" t="str">
        <f t="shared" ca="1" si="19"/>
        <v>-</v>
      </c>
    </row>
    <row r="252" spans="1:32" ht="14.25" x14ac:dyDescent="0.5">
      <c r="A252" s="170" t="str">
        <f>Calculation!I233</f>
        <v/>
      </c>
      <c r="B252" s="221" t="str">
        <f ca="1">Calculation!B233</f>
        <v/>
      </c>
      <c r="C252" s="221" t="str">
        <f ca="1">Calculation!C233</f>
        <v/>
      </c>
      <c r="D252" s="172" t="str">
        <f ca="1">Calculation!AN233</f>
        <v/>
      </c>
      <c r="E252" s="173" t="str">
        <f ca="1">Calculation!D233</f>
        <v/>
      </c>
      <c r="F252" s="174" t="str">
        <f ca="1">Calculation!C233</f>
        <v/>
      </c>
      <c r="G252" s="175" t="str">
        <f ca="1">Calculation!F233</f>
        <v/>
      </c>
      <c r="H252" s="176" t="str">
        <f ca="1">Calculation!AD233</f>
        <v/>
      </c>
      <c r="I252" s="177" t="str">
        <f ca="1">Calculation!AE233</f>
        <v/>
      </c>
      <c r="J252" s="272" t="str">
        <f ca="1">IF(Calculation!Q233="","Selection",Calculation!Q233)</f>
        <v>Selection</v>
      </c>
      <c r="K252" s="179" t="str">
        <f ca="1">Calculation!T233</f>
        <v/>
      </c>
      <c r="L252" s="180" t="str">
        <f ca="1">Calculation!U233</f>
        <v>-</v>
      </c>
      <c r="M252" s="180" t="str">
        <f ca="1">Calculation!V233</f>
        <v>-</v>
      </c>
      <c r="N252" s="181"/>
      <c r="O252" s="180" t="str">
        <f ca="1">Calculation!X233</f>
        <v>-</v>
      </c>
      <c r="P252" s="180" t="str">
        <f ca="1">Calculation!Y233</f>
        <v>-</v>
      </c>
      <c r="Q252" s="273"/>
      <c r="R252" s="182" t="str">
        <f ca="1">IF(AND(L252&lt;&gt;"-",Q252&lt;&gt;"bypass"),IFERROR(IF((U252*$R$23/0.05)-SUM(S252:U252)&gt;0,(U252*$R$23/0.05)-SUM(S252:U252),0),"-"),Calculation!AH233)</f>
        <v>-</v>
      </c>
      <c r="S252" s="179" t="str">
        <f ca="1">IF(AND(L252&lt;&gt;"-",Q252&lt;&gt;"bypass"),IFERROR(X252*((H252*10^-12-H252*10^-12*I252)/(Calculation!$U$8*10^-9)),"-"),Calculation!AF233)</f>
        <v>-</v>
      </c>
      <c r="T252" s="179" t="str">
        <f ca="1">IF(AND(L252&lt;&gt;"-",Q252&lt;&gt;"bypass"),IFERROR(H252*I252*X252/(IF(Cluster!AA252=Cluster!$W$8,Cluster!$W$10,IF(Cluster!AA252=Cluster!$X$8,Cluster!$X$10,IF(Cluster!AA252=Cluster!$Y$8,Cluster!$Y$10,0)))*10^3),"-"),Calculation!AK233)</f>
        <v>-</v>
      </c>
      <c r="U252" s="179" t="str">
        <f ca="1">IF(AND(L252&lt;&gt;"-",Q252&lt;&gt;"bypass"),IFERROR((0.5/50)*X252/$R$23,"-"),Calculation!AG233)</f>
        <v>-</v>
      </c>
      <c r="V252" s="179" t="str">
        <f ca="1">IF(AND(L252&lt;&gt;"-",Q252&lt;&gt;"bypass"),IFERROR(5/50*X252,"-"),Calculation!AI233)</f>
        <v>-</v>
      </c>
      <c r="W252" s="179" t="str">
        <f ca="1">IF(AND(L252&lt;&gt;"-",Q252&lt;&gt;"bypass"),IFERROR(35/50*X252,"-"),Calculation!AJ233)</f>
        <v>-</v>
      </c>
      <c r="X252" s="179" t="str">
        <f ca="1">IF(AND(L252&lt;&gt;"-",Q252&lt;&gt;"bypass"),$W$23,Calculation!AL233)</f>
        <v>-</v>
      </c>
      <c r="Y252" s="183" t="str">
        <f ca="1">IF(AND(L252&lt;&gt;"-",Q252&lt;&gt;"bypass"),IFERROR($R$23*U252/SUM(R252:U252),"-"),Calculation!AP233)</f>
        <v>-</v>
      </c>
      <c r="Z252" s="184" t="str">
        <f t="shared" ca="1" si="15"/>
        <v>-</v>
      </c>
      <c r="AA252" s="185" t="str">
        <f ca="1">IFERROR(IF(I252=0,"-",IF(AND(ROUND(H252*I252*X252/($W$10*10^3),1)&gt;=Calculation!$O$6,ROUND((((U252)*$R$23/0.05)-((S252)+(H252*I252*X252/($W$10*10^3))+(U252))),1)&gt;=0),Cluster!$W$8,IF(AND(ROUND(H252*I252*X252/($X$10*10^3),1)&gt;=Calculation!$O$6,ROUND((((U252)*$R$23/0.05)-((S252)+(H252*I252*X252/($X$10*10^3))+(U252))),1)&gt;=0),Cluster!$X$8,IF(AND(ROUND(H252*I252*X252/($Y$10*10^3),1)&gt;=Calculation!$O$6,ROUND((((U252)*$R$23/0.05)-((S252)+(H252*I252*X252/($Y$10*10^3))+(U252))),1)&gt;=0),Cluster!$Y$8,"Recepie by hand needed")))),"-")</f>
        <v>-</v>
      </c>
      <c r="AC252" s="37" t="str">
        <f t="shared" ca="1" si="16"/>
        <v>-</v>
      </c>
      <c r="AD252" s="37" t="str">
        <f t="shared" ca="1" si="17"/>
        <v>-</v>
      </c>
      <c r="AE252" s="220" t="str">
        <f t="shared" ca="1" si="18"/>
        <v>-</v>
      </c>
      <c r="AF252" s="37" t="str">
        <f t="shared" ca="1" si="19"/>
        <v>-</v>
      </c>
    </row>
    <row r="253" spans="1:32" ht="14.25" x14ac:dyDescent="0.5">
      <c r="A253" s="170" t="str">
        <f>Calculation!I234</f>
        <v/>
      </c>
      <c r="B253" s="221" t="str">
        <f ca="1">Calculation!B234</f>
        <v/>
      </c>
      <c r="C253" s="221" t="str">
        <f ca="1">Calculation!C234</f>
        <v/>
      </c>
      <c r="D253" s="172" t="str">
        <f ca="1">Calculation!AN234</f>
        <v/>
      </c>
      <c r="E253" s="173" t="str">
        <f ca="1">Calculation!D234</f>
        <v/>
      </c>
      <c r="F253" s="174" t="str">
        <f ca="1">Calculation!C234</f>
        <v/>
      </c>
      <c r="G253" s="175" t="str">
        <f ca="1">Calculation!F234</f>
        <v/>
      </c>
      <c r="H253" s="176" t="str">
        <f ca="1">Calculation!AD234</f>
        <v/>
      </c>
      <c r="I253" s="177" t="str">
        <f ca="1">Calculation!AE234</f>
        <v/>
      </c>
      <c r="J253" s="272" t="str">
        <f ca="1">IF(Calculation!Q234="","Selection",Calculation!Q234)</f>
        <v>Selection</v>
      </c>
      <c r="K253" s="179" t="str">
        <f ca="1">Calculation!T234</f>
        <v/>
      </c>
      <c r="L253" s="180" t="str">
        <f ca="1">Calculation!U234</f>
        <v>-</v>
      </c>
      <c r="M253" s="180" t="str">
        <f ca="1">Calculation!V234</f>
        <v>-</v>
      </c>
      <c r="N253" s="181"/>
      <c r="O253" s="180" t="str">
        <f ca="1">Calculation!X234</f>
        <v>-</v>
      </c>
      <c r="P253" s="180" t="str">
        <f ca="1">Calculation!Y234</f>
        <v>-</v>
      </c>
      <c r="Q253" s="273"/>
      <c r="R253" s="182" t="str">
        <f ca="1">IF(AND(L253&lt;&gt;"-",Q253&lt;&gt;"bypass"),IFERROR(IF((U253*$R$23/0.05)-SUM(S253:U253)&gt;0,(U253*$R$23/0.05)-SUM(S253:U253),0),"-"),Calculation!AH234)</f>
        <v>-</v>
      </c>
      <c r="S253" s="179" t="str">
        <f ca="1">IF(AND(L253&lt;&gt;"-",Q253&lt;&gt;"bypass"),IFERROR(X253*((H253*10^-12-H253*10^-12*I253)/(Calculation!$U$8*10^-9)),"-"),Calculation!AF234)</f>
        <v>-</v>
      </c>
      <c r="T253" s="179" t="str">
        <f ca="1">IF(AND(L253&lt;&gt;"-",Q253&lt;&gt;"bypass"),IFERROR(H253*I253*X253/(IF(Cluster!AA253=Cluster!$W$8,Cluster!$W$10,IF(Cluster!AA253=Cluster!$X$8,Cluster!$X$10,IF(Cluster!AA253=Cluster!$Y$8,Cluster!$Y$10,0)))*10^3),"-"),Calculation!AK234)</f>
        <v>-</v>
      </c>
      <c r="U253" s="179" t="str">
        <f ca="1">IF(AND(L253&lt;&gt;"-",Q253&lt;&gt;"bypass"),IFERROR((0.5/50)*X253/$R$23,"-"),Calculation!AG234)</f>
        <v>-</v>
      </c>
      <c r="V253" s="179" t="str">
        <f ca="1">IF(AND(L253&lt;&gt;"-",Q253&lt;&gt;"bypass"),IFERROR(5/50*X253,"-"),Calculation!AI234)</f>
        <v>-</v>
      </c>
      <c r="W253" s="179" t="str">
        <f ca="1">IF(AND(L253&lt;&gt;"-",Q253&lt;&gt;"bypass"),IFERROR(35/50*X253,"-"),Calculation!AJ234)</f>
        <v>-</v>
      </c>
      <c r="X253" s="179" t="str">
        <f ca="1">IF(AND(L253&lt;&gt;"-",Q253&lt;&gt;"bypass"),$W$23,Calculation!AL234)</f>
        <v>-</v>
      </c>
      <c r="Y253" s="183" t="str">
        <f ca="1">IF(AND(L253&lt;&gt;"-",Q253&lt;&gt;"bypass"),IFERROR($R$23*U253/SUM(R253:U253),"-"),Calculation!AP234)</f>
        <v>-</v>
      </c>
      <c r="Z253" s="184" t="str">
        <f t="shared" ca="1" si="15"/>
        <v>-</v>
      </c>
      <c r="AA253" s="185" t="str">
        <f ca="1">IFERROR(IF(I253=0,"-",IF(AND(ROUND(H253*I253*X253/($W$10*10^3),1)&gt;=Calculation!$O$6,ROUND((((U253)*$R$23/0.05)-((S253)+(H253*I253*X253/($W$10*10^3))+(U253))),1)&gt;=0),Cluster!$W$8,IF(AND(ROUND(H253*I253*X253/($X$10*10^3),1)&gt;=Calculation!$O$6,ROUND((((U253)*$R$23/0.05)-((S253)+(H253*I253*X253/($X$10*10^3))+(U253))),1)&gt;=0),Cluster!$X$8,IF(AND(ROUND(H253*I253*X253/($Y$10*10^3),1)&gt;=Calculation!$O$6,ROUND((((U253)*$R$23/0.05)-((S253)+(H253*I253*X253/($Y$10*10^3))+(U253))),1)&gt;=0),Cluster!$Y$8,"Recepie by hand needed")))),"-")</f>
        <v>-</v>
      </c>
      <c r="AC253" s="37" t="str">
        <f t="shared" ca="1" si="16"/>
        <v>-</v>
      </c>
      <c r="AD253" s="37" t="str">
        <f t="shared" ca="1" si="17"/>
        <v>-</v>
      </c>
      <c r="AE253" s="220" t="str">
        <f t="shared" ca="1" si="18"/>
        <v>-</v>
      </c>
      <c r="AF253" s="37" t="str">
        <f t="shared" ca="1" si="19"/>
        <v>-</v>
      </c>
    </row>
    <row r="254" spans="1:32" ht="14.25" x14ac:dyDescent="0.5">
      <c r="A254" s="170" t="str">
        <f>Calculation!I235</f>
        <v/>
      </c>
      <c r="B254" s="221" t="str">
        <f ca="1">Calculation!B235</f>
        <v/>
      </c>
      <c r="C254" s="221" t="str">
        <f ca="1">Calculation!C235</f>
        <v/>
      </c>
      <c r="D254" s="172" t="str">
        <f ca="1">Calculation!AN235</f>
        <v/>
      </c>
      <c r="E254" s="173" t="str">
        <f ca="1">Calculation!D235</f>
        <v/>
      </c>
      <c r="F254" s="174" t="str">
        <f ca="1">Calculation!C235</f>
        <v/>
      </c>
      <c r="G254" s="175" t="str">
        <f ca="1">Calculation!F235</f>
        <v/>
      </c>
      <c r="H254" s="176" t="str">
        <f ca="1">Calculation!AD235</f>
        <v/>
      </c>
      <c r="I254" s="177" t="str">
        <f ca="1">Calculation!AE235</f>
        <v/>
      </c>
      <c r="J254" s="272" t="str">
        <f ca="1">IF(Calculation!Q235="","Selection",Calculation!Q235)</f>
        <v>Selection</v>
      </c>
      <c r="K254" s="179" t="str">
        <f ca="1">Calculation!T235</f>
        <v/>
      </c>
      <c r="L254" s="180" t="str">
        <f ca="1">Calculation!U235</f>
        <v>-</v>
      </c>
      <c r="M254" s="180" t="str">
        <f ca="1">Calculation!V235</f>
        <v>-</v>
      </c>
      <c r="N254" s="181"/>
      <c r="O254" s="180" t="str">
        <f ca="1">Calculation!X235</f>
        <v>-</v>
      </c>
      <c r="P254" s="180" t="str">
        <f ca="1">Calculation!Y235</f>
        <v>-</v>
      </c>
      <c r="Q254" s="273"/>
      <c r="R254" s="182" t="str">
        <f ca="1">IF(AND(L254&lt;&gt;"-",Q254&lt;&gt;"bypass"),IFERROR(IF((U254*$R$23/0.05)-SUM(S254:U254)&gt;0,(U254*$R$23/0.05)-SUM(S254:U254),0),"-"),Calculation!AH235)</f>
        <v>-</v>
      </c>
      <c r="S254" s="179" t="str">
        <f ca="1">IF(AND(L254&lt;&gt;"-",Q254&lt;&gt;"bypass"),IFERROR(X254*((H254*10^-12-H254*10^-12*I254)/(Calculation!$U$8*10^-9)),"-"),Calculation!AF235)</f>
        <v>-</v>
      </c>
      <c r="T254" s="179" t="str">
        <f ca="1">IF(AND(L254&lt;&gt;"-",Q254&lt;&gt;"bypass"),IFERROR(H254*I254*X254/(IF(Cluster!AA254=Cluster!$W$8,Cluster!$W$10,IF(Cluster!AA254=Cluster!$X$8,Cluster!$X$10,IF(Cluster!AA254=Cluster!$Y$8,Cluster!$Y$10,0)))*10^3),"-"),Calculation!AK235)</f>
        <v>-</v>
      </c>
      <c r="U254" s="179" t="str">
        <f ca="1">IF(AND(L254&lt;&gt;"-",Q254&lt;&gt;"bypass"),IFERROR((0.5/50)*X254/$R$23,"-"),Calculation!AG235)</f>
        <v>-</v>
      </c>
      <c r="V254" s="179" t="str">
        <f ca="1">IF(AND(L254&lt;&gt;"-",Q254&lt;&gt;"bypass"),IFERROR(5/50*X254,"-"),Calculation!AI235)</f>
        <v>-</v>
      </c>
      <c r="W254" s="179" t="str">
        <f ca="1">IF(AND(L254&lt;&gt;"-",Q254&lt;&gt;"bypass"),IFERROR(35/50*X254,"-"),Calculation!AJ235)</f>
        <v>-</v>
      </c>
      <c r="X254" s="179" t="str">
        <f ca="1">IF(AND(L254&lt;&gt;"-",Q254&lt;&gt;"bypass"),$W$23,Calculation!AL235)</f>
        <v>-</v>
      </c>
      <c r="Y254" s="183" t="str">
        <f ca="1">IF(AND(L254&lt;&gt;"-",Q254&lt;&gt;"bypass"),IFERROR($R$23*U254/SUM(R254:U254),"-"),Calculation!AP235)</f>
        <v>-</v>
      </c>
      <c r="Z254" s="184" t="str">
        <f t="shared" ca="1" si="15"/>
        <v>-</v>
      </c>
      <c r="AA254" s="185" t="str">
        <f ca="1">IFERROR(IF(I254=0,"-",IF(AND(ROUND(H254*I254*X254/($W$10*10^3),1)&gt;=Calculation!$O$6,ROUND((((U254)*$R$23/0.05)-((S254)+(H254*I254*X254/($W$10*10^3))+(U254))),1)&gt;=0),Cluster!$W$8,IF(AND(ROUND(H254*I254*X254/($X$10*10^3),1)&gt;=Calculation!$O$6,ROUND((((U254)*$R$23/0.05)-((S254)+(H254*I254*X254/($X$10*10^3))+(U254))),1)&gt;=0),Cluster!$X$8,IF(AND(ROUND(H254*I254*X254/($Y$10*10^3),1)&gt;=Calculation!$O$6,ROUND((((U254)*$R$23/0.05)-((S254)+(H254*I254*X254/($Y$10*10^3))+(U254))),1)&gt;=0),Cluster!$Y$8,"Recepie by hand needed")))),"-")</f>
        <v>-</v>
      </c>
      <c r="AC254" s="37" t="str">
        <f t="shared" ca="1" si="16"/>
        <v>-</v>
      </c>
      <c r="AD254" s="37" t="str">
        <f t="shared" ca="1" si="17"/>
        <v>-</v>
      </c>
      <c r="AE254" s="220" t="str">
        <f t="shared" ca="1" si="18"/>
        <v>-</v>
      </c>
      <c r="AF254" s="37" t="str">
        <f t="shared" ca="1" si="19"/>
        <v>-</v>
      </c>
    </row>
    <row r="255" spans="1:32" ht="14.25" x14ac:dyDescent="0.5">
      <c r="A255" s="170" t="str">
        <f>Calculation!I236</f>
        <v/>
      </c>
      <c r="B255" s="221" t="str">
        <f ca="1">Calculation!B236</f>
        <v/>
      </c>
      <c r="C255" s="221" t="str">
        <f ca="1">Calculation!C236</f>
        <v/>
      </c>
      <c r="D255" s="172" t="str">
        <f ca="1">Calculation!AN236</f>
        <v/>
      </c>
      <c r="E255" s="173" t="str">
        <f ca="1">Calculation!D236</f>
        <v/>
      </c>
      <c r="F255" s="174" t="str">
        <f ca="1">Calculation!C236</f>
        <v/>
      </c>
      <c r="G255" s="175" t="str">
        <f ca="1">Calculation!F236</f>
        <v/>
      </c>
      <c r="H255" s="176" t="str">
        <f ca="1">Calculation!AD236</f>
        <v/>
      </c>
      <c r="I255" s="177" t="str">
        <f ca="1">Calculation!AE236</f>
        <v/>
      </c>
      <c r="J255" s="272" t="str">
        <f ca="1">IF(Calculation!Q236="","Selection",Calculation!Q236)</f>
        <v>Selection</v>
      </c>
      <c r="K255" s="179" t="str">
        <f ca="1">Calculation!T236</f>
        <v/>
      </c>
      <c r="L255" s="180" t="str">
        <f ca="1">Calculation!U236</f>
        <v>-</v>
      </c>
      <c r="M255" s="180" t="str">
        <f ca="1">Calculation!V236</f>
        <v>-</v>
      </c>
      <c r="N255" s="181"/>
      <c r="O255" s="180" t="str">
        <f ca="1">Calculation!X236</f>
        <v>-</v>
      </c>
      <c r="P255" s="180" t="str">
        <f ca="1">Calculation!Y236</f>
        <v>-</v>
      </c>
      <c r="Q255" s="273"/>
      <c r="R255" s="182" t="str">
        <f ca="1">IF(AND(L255&lt;&gt;"-",Q255&lt;&gt;"bypass"),IFERROR(IF((U255*$R$23/0.05)-SUM(S255:U255)&gt;0,(U255*$R$23/0.05)-SUM(S255:U255),0),"-"),Calculation!AH236)</f>
        <v>-</v>
      </c>
      <c r="S255" s="179" t="str">
        <f ca="1">IF(AND(L255&lt;&gt;"-",Q255&lt;&gt;"bypass"),IFERROR(X255*((H255*10^-12-H255*10^-12*I255)/(Calculation!$U$8*10^-9)),"-"),Calculation!AF236)</f>
        <v>-</v>
      </c>
      <c r="T255" s="179" t="str">
        <f ca="1">IF(AND(L255&lt;&gt;"-",Q255&lt;&gt;"bypass"),IFERROR(H255*I255*X255/(IF(Cluster!AA255=Cluster!$W$8,Cluster!$W$10,IF(Cluster!AA255=Cluster!$X$8,Cluster!$X$10,IF(Cluster!AA255=Cluster!$Y$8,Cluster!$Y$10,0)))*10^3),"-"),Calculation!AK236)</f>
        <v>-</v>
      </c>
      <c r="U255" s="179" t="str">
        <f ca="1">IF(AND(L255&lt;&gt;"-",Q255&lt;&gt;"bypass"),IFERROR((0.5/50)*X255/$R$23,"-"),Calculation!AG236)</f>
        <v>-</v>
      </c>
      <c r="V255" s="179" t="str">
        <f ca="1">IF(AND(L255&lt;&gt;"-",Q255&lt;&gt;"bypass"),IFERROR(5/50*X255,"-"),Calculation!AI236)</f>
        <v>-</v>
      </c>
      <c r="W255" s="179" t="str">
        <f ca="1">IF(AND(L255&lt;&gt;"-",Q255&lt;&gt;"bypass"),IFERROR(35/50*X255,"-"),Calculation!AJ236)</f>
        <v>-</v>
      </c>
      <c r="X255" s="179" t="str">
        <f ca="1">IF(AND(L255&lt;&gt;"-",Q255&lt;&gt;"bypass"),$W$23,Calculation!AL236)</f>
        <v>-</v>
      </c>
      <c r="Y255" s="183" t="str">
        <f ca="1">IF(AND(L255&lt;&gt;"-",Q255&lt;&gt;"bypass"),IFERROR($R$23*U255/SUM(R255:U255),"-"),Calculation!AP236)</f>
        <v>-</v>
      </c>
      <c r="Z255" s="184" t="str">
        <f t="shared" ca="1" si="15"/>
        <v>-</v>
      </c>
      <c r="AA255" s="185" t="str">
        <f ca="1">IFERROR(IF(I255=0,"-",IF(AND(ROUND(H255*I255*X255/($W$10*10^3),1)&gt;=Calculation!$O$6,ROUND((((U255)*$R$23/0.05)-((S255)+(H255*I255*X255/($W$10*10^3))+(U255))),1)&gt;=0),Cluster!$W$8,IF(AND(ROUND(H255*I255*X255/($X$10*10^3),1)&gt;=Calculation!$O$6,ROUND((((U255)*$R$23/0.05)-((S255)+(H255*I255*X255/($X$10*10^3))+(U255))),1)&gt;=0),Cluster!$X$8,IF(AND(ROUND(H255*I255*X255/($Y$10*10^3),1)&gt;=Calculation!$O$6,ROUND((((U255)*$R$23/0.05)-((S255)+(H255*I255*X255/($Y$10*10^3))+(U255))),1)&gt;=0),Cluster!$Y$8,"Recepie by hand needed")))),"-")</f>
        <v>-</v>
      </c>
      <c r="AC255" s="37" t="str">
        <f t="shared" ca="1" si="16"/>
        <v>-</v>
      </c>
      <c r="AD255" s="37" t="str">
        <f t="shared" ca="1" si="17"/>
        <v>-</v>
      </c>
      <c r="AE255" s="220" t="str">
        <f t="shared" ca="1" si="18"/>
        <v>-</v>
      </c>
      <c r="AF255" s="37" t="str">
        <f t="shared" ca="1" si="19"/>
        <v>-</v>
      </c>
    </row>
    <row r="256" spans="1:32" ht="14.25" x14ac:dyDescent="0.5">
      <c r="A256" s="170" t="str">
        <f>Calculation!I237</f>
        <v/>
      </c>
      <c r="B256" s="221" t="str">
        <f ca="1">Calculation!B237</f>
        <v/>
      </c>
      <c r="C256" s="221" t="str">
        <f ca="1">Calculation!C237</f>
        <v/>
      </c>
      <c r="D256" s="172" t="str">
        <f ca="1">Calculation!AN237</f>
        <v/>
      </c>
      <c r="E256" s="173" t="str">
        <f ca="1">Calculation!D237</f>
        <v/>
      </c>
      <c r="F256" s="174" t="str">
        <f ca="1">Calculation!C237</f>
        <v/>
      </c>
      <c r="G256" s="175" t="str">
        <f ca="1">Calculation!F237</f>
        <v/>
      </c>
      <c r="H256" s="176" t="str">
        <f ca="1">Calculation!AD237</f>
        <v/>
      </c>
      <c r="I256" s="177" t="str">
        <f ca="1">Calculation!AE237</f>
        <v/>
      </c>
      <c r="J256" s="272" t="str">
        <f ca="1">IF(Calculation!Q237="","Selection",Calculation!Q237)</f>
        <v>Selection</v>
      </c>
      <c r="K256" s="179" t="str">
        <f ca="1">Calculation!T237</f>
        <v/>
      </c>
      <c r="L256" s="180" t="str">
        <f ca="1">Calculation!U237</f>
        <v>-</v>
      </c>
      <c r="M256" s="180" t="str">
        <f ca="1">Calculation!V237</f>
        <v>-</v>
      </c>
      <c r="N256" s="181"/>
      <c r="O256" s="180" t="str">
        <f ca="1">Calculation!X237</f>
        <v>-</v>
      </c>
      <c r="P256" s="180" t="str">
        <f ca="1">Calculation!Y237</f>
        <v>-</v>
      </c>
      <c r="Q256" s="273"/>
      <c r="R256" s="182" t="str">
        <f ca="1">IF(AND(L256&lt;&gt;"-",Q256&lt;&gt;"bypass"),IFERROR(IF((U256*$R$23/0.05)-SUM(S256:U256)&gt;0,(U256*$R$23/0.05)-SUM(S256:U256),0),"-"),Calculation!AH237)</f>
        <v>-</v>
      </c>
      <c r="S256" s="179" t="str">
        <f ca="1">IF(AND(L256&lt;&gt;"-",Q256&lt;&gt;"bypass"),IFERROR(X256*((H256*10^-12-H256*10^-12*I256)/(Calculation!$U$8*10^-9)),"-"),Calculation!AF237)</f>
        <v>-</v>
      </c>
      <c r="T256" s="179" t="str">
        <f ca="1">IF(AND(L256&lt;&gt;"-",Q256&lt;&gt;"bypass"),IFERROR(H256*I256*X256/(IF(Cluster!AA256=Cluster!$W$8,Cluster!$W$10,IF(Cluster!AA256=Cluster!$X$8,Cluster!$X$10,IF(Cluster!AA256=Cluster!$Y$8,Cluster!$Y$10,0)))*10^3),"-"),Calculation!AK237)</f>
        <v>-</v>
      </c>
      <c r="U256" s="179" t="str">
        <f ca="1">IF(AND(L256&lt;&gt;"-",Q256&lt;&gt;"bypass"),IFERROR((0.5/50)*X256/$R$23,"-"),Calculation!AG237)</f>
        <v>-</v>
      </c>
      <c r="V256" s="179" t="str">
        <f ca="1">IF(AND(L256&lt;&gt;"-",Q256&lt;&gt;"bypass"),IFERROR(5/50*X256,"-"),Calculation!AI237)</f>
        <v>-</v>
      </c>
      <c r="W256" s="179" t="str">
        <f ca="1">IF(AND(L256&lt;&gt;"-",Q256&lt;&gt;"bypass"),IFERROR(35/50*X256,"-"),Calculation!AJ237)</f>
        <v>-</v>
      </c>
      <c r="X256" s="179" t="str">
        <f ca="1">IF(AND(L256&lt;&gt;"-",Q256&lt;&gt;"bypass"),$W$23,Calculation!AL237)</f>
        <v>-</v>
      </c>
      <c r="Y256" s="183" t="str">
        <f ca="1">IF(AND(L256&lt;&gt;"-",Q256&lt;&gt;"bypass"),IFERROR($R$23*U256/SUM(R256:U256),"-"),Calculation!AP237)</f>
        <v>-</v>
      </c>
      <c r="Z256" s="184" t="str">
        <f t="shared" ca="1" si="15"/>
        <v>-</v>
      </c>
      <c r="AA256" s="185" t="str">
        <f ca="1">IFERROR(IF(I256=0,"-",IF(AND(ROUND(H256*I256*X256/($W$10*10^3),1)&gt;=Calculation!$O$6,ROUND((((U256)*$R$23/0.05)-((S256)+(H256*I256*X256/($W$10*10^3))+(U256))),1)&gt;=0),Cluster!$W$8,IF(AND(ROUND(H256*I256*X256/($X$10*10^3),1)&gt;=Calculation!$O$6,ROUND((((U256)*$R$23/0.05)-((S256)+(H256*I256*X256/($X$10*10^3))+(U256))),1)&gt;=0),Cluster!$X$8,IF(AND(ROUND(H256*I256*X256/($Y$10*10^3),1)&gt;=Calculation!$O$6,ROUND((((U256)*$R$23/0.05)-((S256)+(H256*I256*X256/($Y$10*10^3))+(U256))),1)&gt;=0),Cluster!$Y$8,"Recepie by hand needed")))),"-")</f>
        <v>-</v>
      </c>
      <c r="AC256" s="37" t="str">
        <f t="shared" ca="1" si="16"/>
        <v>-</v>
      </c>
      <c r="AD256" s="37" t="str">
        <f t="shared" ca="1" si="17"/>
        <v>-</v>
      </c>
      <c r="AE256" s="220" t="str">
        <f t="shared" ca="1" si="18"/>
        <v>-</v>
      </c>
      <c r="AF256" s="37" t="str">
        <f t="shared" ca="1" si="19"/>
        <v>-</v>
      </c>
    </row>
    <row r="257" spans="1:32" ht="14.25" x14ac:dyDescent="0.5">
      <c r="A257" s="170" t="str">
        <f>Calculation!I238</f>
        <v/>
      </c>
      <c r="B257" s="221" t="str">
        <f ca="1">Calculation!B238</f>
        <v/>
      </c>
      <c r="C257" s="221" t="str">
        <f ca="1">Calculation!C238</f>
        <v/>
      </c>
      <c r="D257" s="172" t="str">
        <f ca="1">Calculation!AN238</f>
        <v/>
      </c>
      <c r="E257" s="173" t="str">
        <f ca="1">Calculation!D238</f>
        <v/>
      </c>
      <c r="F257" s="174" t="str">
        <f ca="1">Calculation!C238</f>
        <v/>
      </c>
      <c r="G257" s="175" t="str">
        <f ca="1">Calculation!F238</f>
        <v/>
      </c>
      <c r="H257" s="176" t="str">
        <f ca="1">Calculation!AD238</f>
        <v/>
      </c>
      <c r="I257" s="177" t="str">
        <f ca="1">Calculation!AE238</f>
        <v/>
      </c>
      <c r="J257" s="272" t="str">
        <f ca="1">IF(Calculation!Q238="","Selection",Calculation!Q238)</f>
        <v>Selection</v>
      </c>
      <c r="K257" s="179" t="str">
        <f ca="1">Calculation!T238</f>
        <v/>
      </c>
      <c r="L257" s="180" t="str">
        <f ca="1">Calculation!U238</f>
        <v>-</v>
      </c>
      <c r="M257" s="180" t="str">
        <f ca="1">Calculation!V238</f>
        <v>-</v>
      </c>
      <c r="N257" s="181"/>
      <c r="O257" s="180" t="str">
        <f ca="1">Calculation!X238</f>
        <v>-</v>
      </c>
      <c r="P257" s="180" t="str">
        <f ca="1">Calculation!Y238</f>
        <v>-</v>
      </c>
      <c r="Q257" s="273"/>
      <c r="R257" s="182" t="str">
        <f ca="1">IF(AND(L257&lt;&gt;"-",Q257&lt;&gt;"bypass"),IFERROR(IF((U257*$R$23/0.05)-SUM(S257:U257)&gt;0,(U257*$R$23/0.05)-SUM(S257:U257),0),"-"),Calculation!AH238)</f>
        <v>-</v>
      </c>
      <c r="S257" s="179" t="str">
        <f ca="1">IF(AND(L257&lt;&gt;"-",Q257&lt;&gt;"bypass"),IFERROR(X257*((H257*10^-12-H257*10^-12*I257)/(Calculation!$U$8*10^-9)),"-"),Calculation!AF238)</f>
        <v>-</v>
      </c>
      <c r="T257" s="179" t="str">
        <f ca="1">IF(AND(L257&lt;&gt;"-",Q257&lt;&gt;"bypass"),IFERROR(H257*I257*X257/(IF(Cluster!AA257=Cluster!$W$8,Cluster!$W$10,IF(Cluster!AA257=Cluster!$X$8,Cluster!$X$10,IF(Cluster!AA257=Cluster!$Y$8,Cluster!$Y$10,0)))*10^3),"-"),Calculation!AK238)</f>
        <v>-</v>
      </c>
      <c r="U257" s="179" t="str">
        <f ca="1">IF(AND(L257&lt;&gt;"-",Q257&lt;&gt;"bypass"),IFERROR((0.5/50)*X257/$R$23,"-"),Calculation!AG238)</f>
        <v>-</v>
      </c>
      <c r="V257" s="179" t="str">
        <f ca="1">IF(AND(L257&lt;&gt;"-",Q257&lt;&gt;"bypass"),IFERROR(5/50*X257,"-"),Calculation!AI238)</f>
        <v>-</v>
      </c>
      <c r="W257" s="179" t="str">
        <f ca="1">IF(AND(L257&lt;&gt;"-",Q257&lt;&gt;"bypass"),IFERROR(35/50*X257,"-"),Calculation!AJ238)</f>
        <v>-</v>
      </c>
      <c r="X257" s="179" t="str">
        <f ca="1">IF(AND(L257&lt;&gt;"-",Q257&lt;&gt;"bypass"),$W$23,Calculation!AL238)</f>
        <v>-</v>
      </c>
      <c r="Y257" s="183" t="str">
        <f ca="1">IF(AND(L257&lt;&gt;"-",Q257&lt;&gt;"bypass"),IFERROR($R$23*U257/SUM(R257:U257),"-"),Calculation!AP238)</f>
        <v>-</v>
      </c>
      <c r="Z257" s="184" t="str">
        <f t="shared" ca="1" si="15"/>
        <v>-</v>
      </c>
      <c r="AA257" s="185" t="str">
        <f ca="1">IFERROR(IF(I257=0,"-",IF(AND(ROUND(H257*I257*X257/($W$10*10^3),1)&gt;=Calculation!$O$6,ROUND((((U257)*$R$23/0.05)-((S257)+(H257*I257*X257/($W$10*10^3))+(U257))),1)&gt;=0),Cluster!$W$8,IF(AND(ROUND(H257*I257*X257/($X$10*10^3),1)&gt;=Calculation!$O$6,ROUND((((U257)*$R$23/0.05)-((S257)+(H257*I257*X257/($X$10*10^3))+(U257))),1)&gt;=0),Cluster!$X$8,IF(AND(ROUND(H257*I257*X257/($Y$10*10^3),1)&gt;=Calculation!$O$6,ROUND((((U257)*$R$23/0.05)-((S257)+(H257*I257*X257/($Y$10*10^3))+(U257))),1)&gt;=0),Cluster!$Y$8,"Recepie by hand needed")))),"-")</f>
        <v>-</v>
      </c>
      <c r="AC257" s="37" t="str">
        <f t="shared" ca="1" si="16"/>
        <v>-</v>
      </c>
      <c r="AD257" s="37" t="str">
        <f t="shared" ca="1" si="17"/>
        <v>-</v>
      </c>
      <c r="AE257" s="220" t="str">
        <f t="shared" ca="1" si="18"/>
        <v>-</v>
      </c>
      <c r="AF257" s="37" t="str">
        <f t="shared" ca="1" si="19"/>
        <v>-</v>
      </c>
    </row>
    <row r="258" spans="1:32" ht="14.25" x14ac:dyDescent="0.5">
      <c r="A258" s="170" t="str">
        <f>Calculation!I239</f>
        <v/>
      </c>
      <c r="B258" s="221" t="str">
        <f ca="1">Calculation!B239</f>
        <v/>
      </c>
      <c r="C258" s="221" t="str">
        <f ca="1">Calculation!C239</f>
        <v/>
      </c>
      <c r="D258" s="172" t="str">
        <f ca="1">Calculation!AN239</f>
        <v/>
      </c>
      <c r="E258" s="173" t="str">
        <f ca="1">Calculation!D239</f>
        <v/>
      </c>
      <c r="F258" s="174" t="str">
        <f ca="1">Calculation!C239</f>
        <v/>
      </c>
      <c r="G258" s="175" t="str">
        <f ca="1">Calculation!F239</f>
        <v/>
      </c>
      <c r="H258" s="176" t="str">
        <f ca="1">Calculation!AD239</f>
        <v/>
      </c>
      <c r="I258" s="177" t="str">
        <f ca="1">Calculation!AE239</f>
        <v/>
      </c>
      <c r="J258" s="272" t="str">
        <f ca="1">IF(Calculation!Q239="","Selection",Calculation!Q239)</f>
        <v>Selection</v>
      </c>
      <c r="K258" s="179" t="str">
        <f ca="1">Calculation!T239</f>
        <v/>
      </c>
      <c r="L258" s="180" t="str">
        <f ca="1">Calculation!U239</f>
        <v>-</v>
      </c>
      <c r="M258" s="180" t="str">
        <f ca="1">Calculation!V239</f>
        <v>-</v>
      </c>
      <c r="N258" s="181"/>
      <c r="O258" s="180" t="str">
        <f ca="1">Calculation!X239</f>
        <v>-</v>
      </c>
      <c r="P258" s="180" t="str">
        <f ca="1">Calculation!Y239</f>
        <v>-</v>
      </c>
      <c r="Q258" s="273"/>
      <c r="R258" s="182" t="str">
        <f ca="1">IF(AND(L258&lt;&gt;"-",Q258&lt;&gt;"bypass"),IFERROR(IF((U258*$R$23/0.05)-SUM(S258:U258)&gt;0,(U258*$R$23/0.05)-SUM(S258:U258),0),"-"),Calculation!AH239)</f>
        <v>-</v>
      </c>
      <c r="S258" s="179" t="str">
        <f ca="1">IF(AND(L258&lt;&gt;"-",Q258&lt;&gt;"bypass"),IFERROR(X258*((H258*10^-12-H258*10^-12*I258)/(Calculation!$U$8*10^-9)),"-"),Calculation!AF239)</f>
        <v>-</v>
      </c>
      <c r="T258" s="179" t="str">
        <f ca="1">IF(AND(L258&lt;&gt;"-",Q258&lt;&gt;"bypass"),IFERROR(H258*I258*X258/(IF(Cluster!AA258=Cluster!$W$8,Cluster!$W$10,IF(Cluster!AA258=Cluster!$X$8,Cluster!$X$10,IF(Cluster!AA258=Cluster!$Y$8,Cluster!$Y$10,0)))*10^3),"-"),Calculation!AK239)</f>
        <v>-</v>
      </c>
      <c r="U258" s="179" t="str">
        <f ca="1">IF(AND(L258&lt;&gt;"-",Q258&lt;&gt;"bypass"),IFERROR((0.5/50)*X258/$R$23,"-"),Calculation!AG239)</f>
        <v>-</v>
      </c>
      <c r="V258" s="179" t="str">
        <f ca="1">IF(AND(L258&lt;&gt;"-",Q258&lt;&gt;"bypass"),IFERROR(5/50*X258,"-"),Calculation!AI239)</f>
        <v>-</v>
      </c>
      <c r="W258" s="179" t="str">
        <f ca="1">IF(AND(L258&lt;&gt;"-",Q258&lt;&gt;"bypass"),IFERROR(35/50*X258,"-"),Calculation!AJ239)</f>
        <v>-</v>
      </c>
      <c r="X258" s="179" t="str">
        <f ca="1">IF(AND(L258&lt;&gt;"-",Q258&lt;&gt;"bypass"),$W$23,Calculation!AL239)</f>
        <v>-</v>
      </c>
      <c r="Y258" s="183" t="str">
        <f ca="1">IF(AND(L258&lt;&gt;"-",Q258&lt;&gt;"bypass"),IFERROR($R$23*U258/SUM(R258:U258),"-"),Calculation!AP239)</f>
        <v>-</v>
      </c>
      <c r="Z258" s="184" t="str">
        <f t="shared" ca="1" si="15"/>
        <v>-</v>
      </c>
      <c r="AA258" s="185" t="str">
        <f ca="1">IFERROR(IF(I258=0,"-",IF(AND(ROUND(H258*I258*X258/($W$10*10^3),1)&gt;=Calculation!$O$6,ROUND((((U258)*$R$23/0.05)-((S258)+(H258*I258*X258/($W$10*10^3))+(U258))),1)&gt;=0),Cluster!$W$8,IF(AND(ROUND(H258*I258*X258/($X$10*10^3),1)&gt;=Calculation!$O$6,ROUND((((U258)*$R$23/0.05)-((S258)+(H258*I258*X258/($X$10*10^3))+(U258))),1)&gt;=0),Cluster!$X$8,IF(AND(ROUND(H258*I258*X258/($Y$10*10^3),1)&gt;=Calculation!$O$6,ROUND((((U258)*$R$23/0.05)-((S258)+(H258*I258*X258/($Y$10*10^3))+(U258))),1)&gt;=0),Cluster!$Y$8,"Recepie by hand needed")))),"-")</f>
        <v>-</v>
      </c>
      <c r="AC258" s="37" t="str">
        <f t="shared" ca="1" si="16"/>
        <v>-</v>
      </c>
      <c r="AD258" s="37" t="str">
        <f t="shared" ca="1" si="17"/>
        <v>-</v>
      </c>
      <c r="AE258" s="220" t="str">
        <f t="shared" ca="1" si="18"/>
        <v>-</v>
      </c>
      <c r="AF258" s="37" t="str">
        <f t="shared" ca="1" si="19"/>
        <v>-</v>
      </c>
    </row>
    <row r="259" spans="1:32" ht="14.25" x14ac:dyDescent="0.5">
      <c r="A259" s="170" t="str">
        <f>Calculation!I240</f>
        <v/>
      </c>
      <c r="B259" s="221" t="str">
        <f ca="1">Calculation!B240</f>
        <v/>
      </c>
      <c r="C259" s="221" t="str">
        <f ca="1">Calculation!C240</f>
        <v/>
      </c>
      <c r="D259" s="172" t="str">
        <f ca="1">Calculation!AN240</f>
        <v/>
      </c>
      <c r="E259" s="173" t="str">
        <f ca="1">Calculation!D240</f>
        <v/>
      </c>
      <c r="F259" s="174" t="str">
        <f ca="1">Calculation!C240</f>
        <v/>
      </c>
      <c r="G259" s="175" t="str">
        <f ca="1">Calculation!F240</f>
        <v/>
      </c>
      <c r="H259" s="176" t="str">
        <f ca="1">Calculation!AD240</f>
        <v/>
      </c>
      <c r="I259" s="177" t="str">
        <f ca="1">Calculation!AE240</f>
        <v/>
      </c>
      <c r="J259" s="272" t="str">
        <f ca="1">IF(Calculation!Q240="","Selection",Calculation!Q240)</f>
        <v>Selection</v>
      </c>
      <c r="K259" s="179" t="str">
        <f ca="1">Calculation!T240</f>
        <v/>
      </c>
      <c r="L259" s="180" t="str">
        <f ca="1">Calculation!U240</f>
        <v>-</v>
      </c>
      <c r="M259" s="180" t="str">
        <f ca="1">Calculation!V240</f>
        <v>-</v>
      </c>
      <c r="N259" s="181"/>
      <c r="O259" s="180" t="str">
        <f ca="1">Calculation!X240</f>
        <v>-</v>
      </c>
      <c r="P259" s="180" t="str">
        <f ca="1">Calculation!Y240</f>
        <v>-</v>
      </c>
      <c r="Q259" s="273"/>
      <c r="R259" s="182" t="str">
        <f ca="1">IF(AND(L259&lt;&gt;"-",Q259&lt;&gt;"bypass"),IFERROR(IF((U259*$R$23/0.05)-SUM(S259:U259)&gt;0,(U259*$R$23/0.05)-SUM(S259:U259),0),"-"),Calculation!AH240)</f>
        <v>-</v>
      </c>
      <c r="S259" s="179" t="str">
        <f ca="1">IF(AND(L259&lt;&gt;"-",Q259&lt;&gt;"bypass"),IFERROR(X259*((H259*10^-12-H259*10^-12*I259)/(Calculation!$U$8*10^-9)),"-"),Calculation!AF240)</f>
        <v>-</v>
      </c>
      <c r="T259" s="179" t="str">
        <f ca="1">IF(AND(L259&lt;&gt;"-",Q259&lt;&gt;"bypass"),IFERROR(H259*I259*X259/(IF(Cluster!AA259=Cluster!$W$8,Cluster!$W$10,IF(Cluster!AA259=Cluster!$X$8,Cluster!$X$10,IF(Cluster!AA259=Cluster!$Y$8,Cluster!$Y$10,0)))*10^3),"-"),Calculation!AK240)</f>
        <v>-</v>
      </c>
      <c r="U259" s="179" t="str">
        <f ca="1">IF(AND(L259&lt;&gt;"-",Q259&lt;&gt;"bypass"),IFERROR((0.5/50)*X259/$R$23,"-"),Calculation!AG240)</f>
        <v>-</v>
      </c>
      <c r="V259" s="179" t="str">
        <f ca="1">IF(AND(L259&lt;&gt;"-",Q259&lt;&gt;"bypass"),IFERROR(5/50*X259,"-"),Calculation!AI240)</f>
        <v>-</v>
      </c>
      <c r="W259" s="179" t="str">
        <f ca="1">IF(AND(L259&lt;&gt;"-",Q259&lt;&gt;"bypass"),IFERROR(35/50*X259,"-"),Calculation!AJ240)</f>
        <v>-</v>
      </c>
      <c r="X259" s="179" t="str">
        <f ca="1">IF(AND(L259&lt;&gt;"-",Q259&lt;&gt;"bypass"),$W$23,Calculation!AL240)</f>
        <v>-</v>
      </c>
      <c r="Y259" s="183" t="str">
        <f ca="1">IF(AND(L259&lt;&gt;"-",Q259&lt;&gt;"bypass"),IFERROR($R$23*U259/SUM(R259:U259),"-"),Calculation!AP240)</f>
        <v>-</v>
      </c>
      <c r="Z259" s="184" t="str">
        <f t="shared" ca="1" si="15"/>
        <v>-</v>
      </c>
      <c r="AA259" s="185" t="str">
        <f ca="1">IFERROR(IF(I259=0,"-",IF(AND(ROUND(H259*I259*X259/($W$10*10^3),1)&gt;=Calculation!$O$6,ROUND((((U259)*$R$23/0.05)-((S259)+(H259*I259*X259/($W$10*10^3))+(U259))),1)&gt;=0),Cluster!$W$8,IF(AND(ROUND(H259*I259*X259/($X$10*10^3),1)&gt;=Calculation!$O$6,ROUND((((U259)*$R$23/0.05)-((S259)+(H259*I259*X259/($X$10*10^3))+(U259))),1)&gt;=0),Cluster!$X$8,IF(AND(ROUND(H259*I259*X259/($Y$10*10^3),1)&gt;=Calculation!$O$6,ROUND((((U259)*$R$23/0.05)-((S259)+(H259*I259*X259/($Y$10*10^3))+(U259))),1)&gt;=0),Cluster!$Y$8,"Recepie by hand needed")))),"-")</f>
        <v>-</v>
      </c>
      <c r="AC259" s="37" t="str">
        <f t="shared" ca="1" si="16"/>
        <v>-</v>
      </c>
      <c r="AD259" s="37" t="str">
        <f t="shared" ca="1" si="17"/>
        <v>-</v>
      </c>
      <c r="AE259" s="220" t="str">
        <f t="shared" ca="1" si="18"/>
        <v>-</v>
      </c>
      <c r="AF259" s="37" t="str">
        <f t="shared" ca="1" si="19"/>
        <v>-</v>
      </c>
    </row>
    <row r="260" spans="1:32" ht="14.25" x14ac:dyDescent="0.5">
      <c r="A260" s="170" t="str">
        <f>Calculation!I241</f>
        <v/>
      </c>
      <c r="B260" s="221" t="str">
        <f ca="1">Calculation!B241</f>
        <v/>
      </c>
      <c r="C260" s="221" t="str">
        <f ca="1">Calculation!C241</f>
        <v/>
      </c>
      <c r="D260" s="172" t="str">
        <f ca="1">Calculation!AN241</f>
        <v/>
      </c>
      <c r="E260" s="173" t="str">
        <f ca="1">Calculation!D241</f>
        <v/>
      </c>
      <c r="F260" s="174" t="str">
        <f ca="1">Calculation!C241</f>
        <v/>
      </c>
      <c r="G260" s="175" t="str">
        <f ca="1">Calculation!F241</f>
        <v/>
      </c>
      <c r="H260" s="176" t="str">
        <f ca="1">Calculation!AD241</f>
        <v/>
      </c>
      <c r="I260" s="177" t="str">
        <f ca="1">Calculation!AE241</f>
        <v/>
      </c>
      <c r="J260" s="272" t="str">
        <f ca="1">IF(Calculation!Q241="","Selection",Calculation!Q241)</f>
        <v>Selection</v>
      </c>
      <c r="K260" s="179" t="str">
        <f ca="1">Calculation!T241</f>
        <v/>
      </c>
      <c r="L260" s="180" t="str">
        <f ca="1">Calculation!U241</f>
        <v>-</v>
      </c>
      <c r="M260" s="180" t="str">
        <f ca="1">Calculation!V241</f>
        <v>-</v>
      </c>
      <c r="N260" s="181"/>
      <c r="O260" s="180" t="str">
        <f ca="1">Calculation!X241</f>
        <v>-</v>
      </c>
      <c r="P260" s="180" t="str">
        <f ca="1">Calculation!Y241</f>
        <v>-</v>
      </c>
      <c r="Q260" s="273"/>
      <c r="R260" s="182" t="str">
        <f ca="1">IF(AND(L260&lt;&gt;"-",Q260&lt;&gt;"bypass"),IFERROR(IF((U260*$R$23/0.05)-SUM(S260:U260)&gt;0,(U260*$R$23/0.05)-SUM(S260:U260),0),"-"),Calculation!AH241)</f>
        <v>-</v>
      </c>
      <c r="S260" s="179" t="str">
        <f ca="1">IF(AND(L260&lt;&gt;"-",Q260&lt;&gt;"bypass"),IFERROR(X260*((H260*10^-12-H260*10^-12*I260)/(Calculation!$U$8*10^-9)),"-"),Calculation!AF241)</f>
        <v>-</v>
      </c>
      <c r="T260" s="179" t="str">
        <f ca="1">IF(AND(L260&lt;&gt;"-",Q260&lt;&gt;"bypass"),IFERROR(H260*I260*X260/(IF(Cluster!AA260=Cluster!$W$8,Cluster!$W$10,IF(Cluster!AA260=Cluster!$X$8,Cluster!$X$10,IF(Cluster!AA260=Cluster!$Y$8,Cluster!$Y$10,0)))*10^3),"-"),Calculation!AK241)</f>
        <v>-</v>
      </c>
      <c r="U260" s="179" t="str">
        <f ca="1">IF(AND(L260&lt;&gt;"-",Q260&lt;&gt;"bypass"),IFERROR((0.5/50)*X260/$R$23,"-"),Calculation!AG241)</f>
        <v>-</v>
      </c>
      <c r="V260" s="179" t="str">
        <f ca="1">IF(AND(L260&lt;&gt;"-",Q260&lt;&gt;"bypass"),IFERROR(5/50*X260,"-"),Calculation!AI241)</f>
        <v>-</v>
      </c>
      <c r="W260" s="179" t="str">
        <f ca="1">IF(AND(L260&lt;&gt;"-",Q260&lt;&gt;"bypass"),IFERROR(35/50*X260,"-"),Calculation!AJ241)</f>
        <v>-</v>
      </c>
      <c r="X260" s="179" t="str">
        <f ca="1">IF(AND(L260&lt;&gt;"-",Q260&lt;&gt;"bypass"),$W$23,Calculation!AL241)</f>
        <v>-</v>
      </c>
      <c r="Y260" s="183" t="str">
        <f ca="1">IF(AND(L260&lt;&gt;"-",Q260&lt;&gt;"bypass"),IFERROR($R$23*U260/SUM(R260:U260),"-"),Calculation!AP241)</f>
        <v>-</v>
      </c>
      <c r="Z260" s="184" t="str">
        <f t="shared" ca="1" si="15"/>
        <v>-</v>
      </c>
      <c r="AA260" s="185" t="str">
        <f ca="1">IFERROR(IF(I260=0,"-",IF(AND(ROUND(H260*I260*X260/($W$10*10^3),1)&gt;=Calculation!$O$6,ROUND((((U260)*$R$23/0.05)-((S260)+(H260*I260*X260/($W$10*10^3))+(U260))),1)&gt;=0),Cluster!$W$8,IF(AND(ROUND(H260*I260*X260/($X$10*10^3),1)&gt;=Calculation!$O$6,ROUND((((U260)*$R$23/0.05)-((S260)+(H260*I260*X260/($X$10*10^3))+(U260))),1)&gt;=0),Cluster!$X$8,IF(AND(ROUND(H260*I260*X260/($Y$10*10^3),1)&gt;=Calculation!$O$6,ROUND((((U260)*$R$23/0.05)-((S260)+(H260*I260*X260/($Y$10*10^3))+(U260))),1)&gt;=0),Cluster!$Y$8,"Recepie by hand needed")))),"-")</f>
        <v>-</v>
      </c>
      <c r="AC260" s="37" t="str">
        <f t="shared" ca="1" si="16"/>
        <v>-</v>
      </c>
      <c r="AD260" s="37" t="str">
        <f t="shared" ca="1" si="17"/>
        <v>-</v>
      </c>
      <c r="AE260" s="220" t="str">
        <f t="shared" ca="1" si="18"/>
        <v>-</v>
      </c>
      <c r="AF260" s="37" t="str">
        <f t="shared" ca="1" si="19"/>
        <v>-</v>
      </c>
    </row>
    <row r="261" spans="1:32" ht="14.25" x14ac:dyDescent="0.5">
      <c r="A261" s="170" t="str">
        <f>Calculation!I242</f>
        <v/>
      </c>
      <c r="B261" s="221" t="str">
        <f ca="1">Calculation!B242</f>
        <v/>
      </c>
      <c r="C261" s="221" t="str">
        <f ca="1">Calculation!C242</f>
        <v/>
      </c>
      <c r="D261" s="172" t="str">
        <f ca="1">Calculation!AN242</f>
        <v/>
      </c>
      <c r="E261" s="173" t="str">
        <f ca="1">Calculation!D242</f>
        <v/>
      </c>
      <c r="F261" s="174" t="str">
        <f ca="1">Calculation!C242</f>
        <v/>
      </c>
      <c r="G261" s="175" t="str">
        <f ca="1">Calculation!F242</f>
        <v/>
      </c>
      <c r="H261" s="176" t="str">
        <f ca="1">Calculation!AD242</f>
        <v/>
      </c>
      <c r="I261" s="177" t="str">
        <f ca="1">Calculation!AE242</f>
        <v/>
      </c>
      <c r="J261" s="272" t="str">
        <f ca="1">IF(Calculation!Q242="","Selection",Calculation!Q242)</f>
        <v>Selection</v>
      </c>
      <c r="K261" s="179" t="str">
        <f ca="1">Calculation!T242</f>
        <v/>
      </c>
      <c r="L261" s="180" t="str">
        <f ca="1">Calculation!U242</f>
        <v>-</v>
      </c>
      <c r="M261" s="180" t="str">
        <f ca="1">Calculation!V242</f>
        <v>-</v>
      </c>
      <c r="N261" s="181"/>
      <c r="O261" s="180" t="str">
        <f ca="1">Calculation!X242</f>
        <v>-</v>
      </c>
      <c r="P261" s="180" t="str">
        <f ca="1">Calculation!Y242</f>
        <v>-</v>
      </c>
      <c r="Q261" s="273"/>
      <c r="R261" s="182" t="str">
        <f ca="1">IF(AND(L261&lt;&gt;"-",Q261&lt;&gt;"bypass"),IFERROR(IF((U261*$R$23/0.05)-SUM(S261:U261)&gt;0,(U261*$R$23/0.05)-SUM(S261:U261),0),"-"),Calculation!AH242)</f>
        <v>-</v>
      </c>
      <c r="S261" s="179" t="str">
        <f ca="1">IF(AND(L261&lt;&gt;"-",Q261&lt;&gt;"bypass"),IFERROR(X261*((H261*10^-12-H261*10^-12*I261)/(Calculation!$U$8*10^-9)),"-"),Calculation!AF242)</f>
        <v>-</v>
      </c>
      <c r="T261" s="179" t="str">
        <f ca="1">IF(AND(L261&lt;&gt;"-",Q261&lt;&gt;"bypass"),IFERROR(H261*I261*X261/(IF(Cluster!AA261=Cluster!$W$8,Cluster!$W$10,IF(Cluster!AA261=Cluster!$X$8,Cluster!$X$10,IF(Cluster!AA261=Cluster!$Y$8,Cluster!$Y$10,0)))*10^3),"-"),Calculation!AK242)</f>
        <v>-</v>
      </c>
      <c r="U261" s="179" t="str">
        <f ca="1">IF(AND(L261&lt;&gt;"-",Q261&lt;&gt;"bypass"),IFERROR((0.5/50)*X261/$R$23,"-"),Calculation!AG242)</f>
        <v>-</v>
      </c>
      <c r="V261" s="179" t="str">
        <f ca="1">IF(AND(L261&lt;&gt;"-",Q261&lt;&gt;"bypass"),IFERROR(5/50*X261,"-"),Calculation!AI242)</f>
        <v>-</v>
      </c>
      <c r="W261" s="179" t="str">
        <f ca="1">IF(AND(L261&lt;&gt;"-",Q261&lt;&gt;"bypass"),IFERROR(35/50*X261,"-"),Calculation!AJ242)</f>
        <v>-</v>
      </c>
      <c r="X261" s="179" t="str">
        <f ca="1">IF(AND(L261&lt;&gt;"-",Q261&lt;&gt;"bypass"),$W$23,Calculation!AL242)</f>
        <v>-</v>
      </c>
      <c r="Y261" s="183" t="str">
        <f ca="1">IF(AND(L261&lt;&gt;"-",Q261&lt;&gt;"bypass"),IFERROR($R$23*U261/SUM(R261:U261),"-"),Calculation!AP242)</f>
        <v>-</v>
      </c>
      <c r="Z261" s="184" t="str">
        <f t="shared" ca="1" si="15"/>
        <v>-</v>
      </c>
      <c r="AA261" s="185" t="str">
        <f ca="1">IFERROR(IF(I261=0,"-",IF(AND(ROUND(H261*I261*X261/($W$10*10^3),1)&gt;=Calculation!$O$6,ROUND((((U261)*$R$23/0.05)-((S261)+(H261*I261*X261/($W$10*10^3))+(U261))),1)&gt;=0),Cluster!$W$8,IF(AND(ROUND(H261*I261*X261/($X$10*10^3),1)&gt;=Calculation!$O$6,ROUND((((U261)*$R$23/0.05)-((S261)+(H261*I261*X261/($X$10*10^3))+(U261))),1)&gt;=0),Cluster!$X$8,IF(AND(ROUND(H261*I261*X261/($Y$10*10^3),1)&gt;=Calculation!$O$6,ROUND((((U261)*$R$23/0.05)-((S261)+(H261*I261*X261/($Y$10*10^3))+(U261))),1)&gt;=0),Cluster!$Y$8,"Recepie by hand needed")))),"-")</f>
        <v>-</v>
      </c>
      <c r="AC261" s="37" t="str">
        <f t="shared" ca="1" si="16"/>
        <v>-</v>
      </c>
      <c r="AD261" s="37" t="str">
        <f t="shared" ca="1" si="17"/>
        <v>-</v>
      </c>
      <c r="AE261" s="220" t="str">
        <f t="shared" ca="1" si="18"/>
        <v>-</v>
      </c>
      <c r="AF261" s="37" t="str">
        <f t="shared" ca="1" si="19"/>
        <v>-</v>
      </c>
    </row>
    <row r="262" spans="1:32" ht="14.25" x14ac:dyDescent="0.5">
      <c r="A262" s="170" t="str">
        <f>Calculation!I243</f>
        <v/>
      </c>
      <c r="B262" s="221" t="str">
        <f ca="1">Calculation!B243</f>
        <v/>
      </c>
      <c r="C262" s="221" t="str">
        <f ca="1">Calculation!C243</f>
        <v/>
      </c>
      <c r="D262" s="172" t="str">
        <f ca="1">Calculation!AN243</f>
        <v/>
      </c>
      <c r="E262" s="173" t="str">
        <f ca="1">Calculation!D243</f>
        <v/>
      </c>
      <c r="F262" s="174" t="str">
        <f ca="1">Calculation!C243</f>
        <v/>
      </c>
      <c r="G262" s="175" t="str">
        <f ca="1">Calculation!F243</f>
        <v/>
      </c>
      <c r="H262" s="176" t="str">
        <f ca="1">Calculation!AD243</f>
        <v/>
      </c>
      <c r="I262" s="177" t="str">
        <f ca="1">Calculation!AE243</f>
        <v/>
      </c>
      <c r="J262" s="272" t="str">
        <f ca="1">IF(Calculation!Q243="","Selection",Calculation!Q243)</f>
        <v>Selection</v>
      </c>
      <c r="K262" s="179" t="str">
        <f ca="1">Calculation!T243</f>
        <v/>
      </c>
      <c r="L262" s="180" t="str">
        <f ca="1">Calculation!U243</f>
        <v>-</v>
      </c>
      <c r="M262" s="180" t="str">
        <f ca="1">Calculation!V243</f>
        <v>-</v>
      </c>
      <c r="N262" s="181"/>
      <c r="O262" s="180" t="str">
        <f ca="1">Calculation!X243</f>
        <v>-</v>
      </c>
      <c r="P262" s="180" t="str">
        <f ca="1">Calculation!Y243</f>
        <v>-</v>
      </c>
      <c r="Q262" s="273"/>
      <c r="R262" s="182" t="str">
        <f ca="1">IF(AND(L262&lt;&gt;"-",Q262&lt;&gt;"bypass"),IFERROR(IF((U262*$R$23/0.05)-SUM(S262:U262)&gt;0,(U262*$R$23/0.05)-SUM(S262:U262),0),"-"),Calculation!AH243)</f>
        <v>-</v>
      </c>
      <c r="S262" s="179" t="str">
        <f ca="1">IF(AND(L262&lt;&gt;"-",Q262&lt;&gt;"bypass"),IFERROR(X262*((H262*10^-12-H262*10^-12*I262)/(Calculation!$U$8*10^-9)),"-"),Calculation!AF243)</f>
        <v>-</v>
      </c>
      <c r="T262" s="179" t="str">
        <f ca="1">IF(AND(L262&lt;&gt;"-",Q262&lt;&gt;"bypass"),IFERROR(H262*I262*X262/(IF(Cluster!AA262=Cluster!$W$8,Cluster!$W$10,IF(Cluster!AA262=Cluster!$X$8,Cluster!$X$10,IF(Cluster!AA262=Cluster!$Y$8,Cluster!$Y$10,0)))*10^3),"-"),Calculation!AK243)</f>
        <v>-</v>
      </c>
      <c r="U262" s="179" t="str">
        <f ca="1">IF(AND(L262&lt;&gt;"-",Q262&lt;&gt;"bypass"),IFERROR((0.5/50)*X262/$R$23,"-"),Calculation!AG243)</f>
        <v>-</v>
      </c>
      <c r="V262" s="179" t="str">
        <f ca="1">IF(AND(L262&lt;&gt;"-",Q262&lt;&gt;"bypass"),IFERROR(5/50*X262,"-"),Calculation!AI243)</f>
        <v>-</v>
      </c>
      <c r="W262" s="179" t="str">
        <f ca="1">IF(AND(L262&lt;&gt;"-",Q262&lt;&gt;"bypass"),IFERROR(35/50*X262,"-"),Calculation!AJ243)</f>
        <v>-</v>
      </c>
      <c r="X262" s="179" t="str">
        <f ca="1">IF(AND(L262&lt;&gt;"-",Q262&lt;&gt;"bypass"),$W$23,Calculation!AL243)</f>
        <v>-</v>
      </c>
      <c r="Y262" s="183" t="str">
        <f ca="1">IF(AND(L262&lt;&gt;"-",Q262&lt;&gt;"bypass"),IFERROR($R$23*U262/SUM(R262:U262),"-"),Calculation!AP243)</f>
        <v>-</v>
      </c>
      <c r="Z262" s="184" t="str">
        <f t="shared" ca="1" si="15"/>
        <v>-</v>
      </c>
      <c r="AA262" s="185" t="str">
        <f ca="1">IFERROR(IF(I262=0,"-",IF(AND(ROUND(H262*I262*X262/($W$10*10^3),1)&gt;=Calculation!$O$6,ROUND((((U262)*$R$23/0.05)-((S262)+(H262*I262*X262/($W$10*10^3))+(U262))),1)&gt;=0),Cluster!$W$8,IF(AND(ROUND(H262*I262*X262/($X$10*10^3),1)&gt;=Calculation!$O$6,ROUND((((U262)*$R$23/0.05)-((S262)+(H262*I262*X262/($X$10*10^3))+(U262))),1)&gt;=0),Cluster!$X$8,IF(AND(ROUND(H262*I262*X262/($Y$10*10^3),1)&gt;=Calculation!$O$6,ROUND((((U262)*$R$23/0.05)-((S262)+(H262*I262*X262/($Y$10*10^3))+(U262))),1)&gt;=0),Cluster!$Y$8,"Recepie by hand needed")))),"-")</f>
        <v>-</v>
      </c>
      <c r="AC262" s="37" t="str">
        <f t="shared" ca="1" si="16"/>
        <v>-</v>
      </c>
      <c r="AD262" s="37" t="str">
        <f t="shared" ca="1" si="17"/>
        <v>-</v>
      </c>
      <c r="AE262" s="220" t="str">
        <f t="shared" ca="1" si="18"/>
        <v>-</v>
      </c>
      <c r="AF262" s="37" t="str">
        <f t="shared" ca="1" si="19"/>
        <v>-</v>
      </c>
    </row>
    <row r="263" spans="1:32" ht="14.25" x14ac:dyDescent="0.5">
      <c r="A263" s="170" t="str">
        <f>Calculation!I244</f>
        <v/>
      </c>
      <c r="B263" s="221" t="str">
        <f ca="1">Calculation!B244</f>
        <v/>
      </c>
      <c r="C263" s="221" t="str">
        <f ca="1">Calculation!C244</f>
        <v/>
      </c>
      <c r="D263" s="172" t="str">
        <f ca="1">Calculation!AN244</f>
        <v/>
      </c>
      <c r="E263" s="173" t="str">
        <f ca="1">Calculation!D244</f>
        <v/>
      </c>
      <c r="F263" s="174" t="str">
        <f ca="1">Calculation!C244</f>
        <v/>
      </c>
      <c r="G263" s="175" t="str">
        <f ca="1">Calculation!F244</f>
        <v/>
      </c>
      <c r="H263" s="176" t="str">
        <f ca="1">Calculation!AD244</f>
        <v/>
      </c>
      <c r="I263" s="177" t="str">
        <f ca="1">Calculation!AE244</f>
        <v/>
      </c>
      <c r="J263" s="272" t="str">
        <f ca="1">IF(Calculation!Q244="","Selection",Calculation!Q244)</f>
        <v>Selection</v>
      </c>
      <c r="K263" s="179" t="str">
        <f ca="1">Calculation!T244</f>
        <v/>
      </c>
      <c r="L263" s="180" t="str">
        <f ca="1">Calculation!U244</f>
        <v>-</v>
      </c>
      <c r="M263" s="180" t="str">
        <f ca="1">Calculation!V244</f>
        <v>-</v>
      </c>
      <c r="N263" s="181"/>
      <c r="O263" s="180" t="str">
        <f ca="1">Calculation!X244</f>
        <v>-</v>
      </c>
      <c r="P263" s="180" t="str">
        <f ca="1">Calculation!Y244</f>
        <v>-</v>
      </c>
      <c r="Q263" s="273"/>
      <c r="R263" s="182" t="str">
        <f ca="1">IF(AND(L263&lt;&gt;"-",Q263&lt;&gt;"bypass"),IFERROR(IF((U263*$R$23/0.05)-SUM(S263:U263)&gt;0,(U263*$R$23/0.05)-SUM(S263:U263),0),"-"),Calculation!AH244)</f>
        <v>-</v>
      </c>
      <c r="S263" s="179" t="str">
        <f ca="1">IF(AND(L263&lt;&gt;"-",Q263&lt;&gt;"bypass"),IFERROR(X263*((H263*10^-12-H263*10^-12*I263)/(Calculation!$U$8*10^-9)),"-"),Calculation!AF244)</f>
        <v>-</v>
      </c>
      <c r="T263" s="179" t="str">
        <f ca="1">IF(AND(L263&lt;&gt;"-",Q263&lt;&gt;"bypass"),IFERROR(H263*I263*X263/(IF(Cluster!AA263=Cluster!$W$8,Cluster!$W$10,IF(Cluster!AA263=Cluster!$X$8,Cluster!$X$10,IF(Cluster!AA263=Cluster!$Y$8,Cluster!$Y$10,0)))*10^3),"-"),Calculation!AK244)</f>
        <v>-</v>
      </c>
      <c r="U263" s="179" t="str">
        <f ca="1">IF(AND(L263&lt;&gt;"-",Q263&lt;&gt;"bypass"),IFERROR((0.5/50)*X263/$R$23,"-"),Calculation!AG244)</f>
        <v>-</v>
      </c>
      <c r="V263" s="179" t="str">
        <f ca="1">IF(AND(L263&lt;&gt;"-",Q263&lt;&gt;"bypass"),IFERROR(5/50*X263,"-"),Calculation!AI244)</f>
        <v>-</v>
      </c>
      <c r="W263" s="179" t="str">
        <f ca="1">IF(AND(L263&lt;&gt;"-",Q263&lt;&gt;"bypass"),IFERROR(35/50*X263,"-"),Calculation!AJ244)</f>
        <v>-</v>
      </c>
      <c r="X263" s="179" t="str">
        <f ca="1">IF(AND(L263&lt;&gt;"-",Q263&lt;&gt;"bypass"),$W$23,Calculation!AL244)</f>
        <v>-</v>
      </c>
      <c r="Y263" s="183" t="str">
        <f ca="1">IF(AND(L263&lt;&gt;"-",Q263&lt;&gt;"bypass"),IFERROR($R$23*U263/SUM(R263:U263),"-"),Calculation!AP244)</f>
        <v>-</v>
      </c>
      <c r="Z263" s="184" t="str">
        <f t="shared" ca="1" si="15"/>
        <v>-</v>
      </c>
      <c r="AA263" s="185" t="str">
        <f ca="1">IFERROR(IF(I263=0,"-",IF(AND(ROUND(H263*I263*X263/($W$10*10^3),1)&gt;=Calculation!$O$6,ROUND((((U263)*$R$23/0.05)-((S263)+(H263*I263*X263/($W$10*10^3))+(U263))),1)&gt;=0),Cluster!$W$8,IF(AND(ROUND(H263*I263*X263/($X$10*10^3),1)&gt;=Calculation!$O$6,ROUND((((U263)*$R$23/0.05)-((S263)+(H263*I263*X263/($X$10*10^3))+(U263))),1)&gt;=0),Cluster!$X$8,IF(AND(ROUND(H263*I263*X263/($Y$10*10^3),1)&gt;=Calculation!$O$6,ROUND((((U263)*$R$23/0.05)-((S263)+(H263*I263*X263/($Y$10*10^3))+(U263))),1)&gt;=0),Cluster!$Y$8,"Recepie by hand needed")))),"-")</f>
        <v>-</v>
      </c>
      <c r="AC263" s="37" t="str">
        <f t="shared" ca="1" si="16"/>
        <v>-</v>
      </c>
      <c r="AD263" s="37" t="str">
        <f t="shared" ca="1" si="17"/>
        <v>-</v>
      </c>
      <c r="AE263" s="220" t="str">
        <f t="shared" ca="1" si="18"/>
        <v>-</v>
      </c>
      <c r="AF263" s="37" t="str">
        <f t="shared" ca="1" si="19"/>
        <v>-</v>
      </c>
    </row>
    <row r="264" spans="1:32" ht="14.25" x14ac:dyDescent="0.5">
      <c r="A264" s="170" t="str">
        <f>Calculation!I245</f>
        <v/>
      </c>
      <c r="B264" s="221" t="str">
        <f ca="1">Calculation!B245</f>
        <v/>
      </c>
      <c r="C264" s="221" t="str">
        <f ca="1">Calculation!C245</f>
        <v/>
      </c>
      <c r="D264" s="172" t="str">
        <f ca="1">Calculation!AN245</f>
        <v/>
      </c>
      <c r="E264" s="173" t="str">
        <f ca="1">Calculation!D245</f>
        <v/>
      </c>
      <c r="F264" s="174" t="str">
        <f ca="1">Calculation!C245</f>
        <v/>
      </c>
      <c r="G264" s="175" t="str">
        <f ca="1">Calculation!F245</f>
        <v/>
      </c>
      <c r="H264" s="176" t="str">
        <f ca="1">Calculation!AD245</f>
        <v/>
      </c>
      <c r="I264" s="177" t="str">
        <f ca="1">Calculation!AE245</f>
        <v/>
      </c>
      <c r="J264" s="272" t="str">
        <f ca="1">IF(Calculation!Q245="","Selection",Calculation!Q245)</f>
        <v>Selection</v>
      </c>
      <c r="K264" s="179" t="str">
        <f ca="1">Calculation!T245</f>
        <v/>
      </c>
      <c r="L264" s="180" t="str">
        <f ca="1">Calculation!U245</f>
        <v>-</v>
      </c>
      <c r="M264" s="180" t="str">
        <f ca="1">Calculation!V245</f>
        <v>-</v>
      </c>
      <c r="N264" s="181"/>
      <c r="O264" s="180" t="str">
        <f ca="1">Calculation!X245</f>
        <v>-</v>
      </c>
      <c r="P264" s="180" t="str">
        <f ca="1">Calculation!Y245</f>
        <v>-</v>
      </c>
      <c r="Q264" s="273"/>
      <c r="R264" s="182" t="str">
        <f ca="1">IF(AND(L264&lt;&gt;"-",Q264&lt;&gt;"bypass"),IFERROR(IF((U264*$R$23/0.05)-SUM(S264:U264)&gt;0,(U264*$R$23/0.05)-SUM(S264:U264),0),"-"),Calculation!AH245)</f>
        <v>-</v>
      </c>
      <c r="S264" s="179" t="str">
        <f ca="1">IF(AND(L264&lt;&gt;"-",Q264&lt;&gt;"bypass"),IFERROR(X264*((H264*10^-12-H264*10^-12*I264)/(Calculation!$U$8*10^-9)),"-"),Calculation!AF245)</f>
        <v>-</v>
      </c>
      <c r="T264" s="179" t="str">
        <f ca="1">IF(AND(L264&lt;&gt;"-",Q264&lt;&gt;"bypass"),IFERROR(H264*I264*X264/(IF(Cluster!AA264=Cluster!$W$8,Cluster!$W$10,IF(Cluster!AA264=Cluster!$X$8,Cluster!$X$10,IF(Cluster!AA264=Cluster!$Y$8,Cluster!$Y$10,0)))*10^3),"-"),Calculation!AK245)</f>
        <v>-</v>
      </c>
      <c r="U264" s="179" t="str">
        <f ca="1">IF(AND(L264&lt;&gt;"-",Q264&lt;&gt;"bypass"),IFERROR((0.5/50)*X264/$R$23,"-"),Calculation!AG245)</f>
        <v>-</v>
      </c>
      <c r="V264" s="179" t="str">
        <f ca="1">IF(AND(L264&lt;&gt;"-",Q264&lt;&gt;"bypass"),IFERROR(5/50*X264,"-"),Calculation!AI245)</f>
        <v>-</v>
      </c>
      <c r="W264" s="179" t="str">
        <f ca="1">IF(AND(L264&lt;&gt;"-",Q264&lt;&gt;"bypass"),IFERROR(35/50*X264,"-"),Calculation!AJ245)</f>
        <v>-</v>
      </c>
      <c r="X264" s="179" t="str">
        <f ca="1">IF(AND(L264&lt;&gt;"-",Q264&lt;&gt;"bypass"),$W$23,Calculation!AL245)</f>
        <v>-</v>
      </c>
      <c r="Y264" s="183" t="str">
        <f ca="1">IF(AND(L264&lt;&gt;"-",Q264&lt;&gt;"bypass"),IFERROR($R$23*U264/SUM(R264:U264),"-"),Calculation!AP245)</f>
        <v>-</v>
      </c>
      <c r="Z264" s="184" t="str">
        <f t="shared" ca="1" si="15"/>
        <v>-</v>
      </c>
      <c r="AA264" s="185" t="str">
        <f ca="1">IFERROR(IF(I264=0,"-",IF(AND(ROUND(H264*I264*X264/($W$10*10^3),1)&gt;=Calculation!$O$6,ROUND((((U264)*$R$23/0.05)-((S264)+(H264*I264*X264/($W$10*10^3))+(U264))),1)&gt;=0),Cluster!$W$8,IF(AND(ROUND(H264*I264*X264/($X$10*10^3),1)&gt;=Calculation!$O$6,ROUND((((U264)*$R$23/0.05)-((S264)+(H264*I264*X264/($X$10*10^3))+(U264))),1)&gt;=0),Cluster!$X$8,IF(AND(ROUND(H264*I264*X264/($Y$10*10^3),1)&gt;=Calculation!$O$6,ROUND((((U264)*$R$23/0.05)-((S264)+(H264*I264*X264/($Y$10*10^3))+(U264))),1)&gt;=0),Cluster!$Y$8,"Recepie by hand needed")))),"-")</f>
        <v>-</v>
      </c>
      <c r="AC264" s="37" t="str">
        <f t="shared" ca="1" si="16"/>
        <v>-</v>
      </c>
      <c r="AD264" s="37" t="str">
        <f t="shared" ca="1" si="17"/>
        <v>-</v>
      </c>
      <c r="AE264" s="220" t="str">
        <f t="shared" ca="1" si="18"/>
        <v>-</v>
      </c>
      <c r="AF264" s="37" t="str">
        <f t="shared" ca="1" si="19"/>
        <v>-</v>
      </c>
    </row>
    <row r="265" spans="1:32" ht="14.25" x14ac:dyDescent="0.5">
      <c r="A265" s="170" t="str">
        <f>Calculation!I246</f>
        <v/>
      </c>
      <c r="B265" s="221" t="str">
        <f ca="1">Calculation!B246</f>
        <v/>
      </c>
      <c r="C265" s="221" t="str">
        <f ca="1">Calculation!C246</f>
        <v/>
      </c>
      <c r="D265" s="172" t="str">
        <f ca="1">Calculation!AN246</f>
        <v/>
      </c>
      <c r="E265" s="173" t="str">
        <f ca="1">Calculation!D246</f>
        <v/>
      </c>
      <c r="F265" s="174" t="str">
        <f ca="1">Calculation!C246</f>
        <v/>
      </c>
      <c r="G265" s="175" t="str">
        <f ca="1">Calculation!F246</f>
        <v/>
      </c>
      <c r="H265" s="176" t="str">
        <f ca="1">Calculation!AD246</f>
        <v/>
      </c>
      <c r="I265" s="177" t="str">
        <f ca="1">Calculation!AE246</f>
        <v/>
      </c>
      <c r="J265" s="272" t="str">
        <f ca="1">IF(Calculation!Q246="","Selection",Calculation!Q246)</f>
        <v>Selection</v>
      </c>
      <c r="K265" s="179" t="str">
        <f ca="1">Calculation!T246</f>
        <v/>
      </c>
      <c r="L265" s="180" t="str">
        <f ca="1">Calculation!U246</f>
        <v>-</v>
      </c>
      <c r="M265" s="180" t="str">
        <f ca="1">Calculation!V246</f>
        <v>-</v>
      </c>
      <c r="N265" s="181"/>
      <c r="O265" s="180" t="str">
        <f ca="1">Calculation!X246</f>
        <v>-</v>
      </c>
      <c r="P265" s="180" t="str">
        <f ca="1">Calculation!Y246</f>
        <v>-</v>
      </c>
      <c r="Q265" s="273"/>
      <c r="R265" s="182" t="str">
        <f ca="1">IF(AND(L265&lt;&gt;"-",Q265&lt;&gt;"bypass"),IFERROR(IF((U265*$R$23/0.05)-SUM(S265:U265)&gt;0,(U265*$R$23/0.05)-SUM(S265:U265),0),"-"),Calculation!AH246)</f>
        <v>-</v>
      </c>
      <c r="S265" s="179" t="str">
        <f ca="1">IF(AND(L265&lt;&gt;"-",Q265&lt;&gt;"bypass"),IFERROR(X265*((H265*10^-12-H265*10^-12*I265)/(Calculation!$U$8*10^-9)),"-"),Calculation!AF246)</f>
        <v>-</v>
      </c>
      <c r="T265" s="179" t="str">
        <f ca="1">IF(AND(L265&lt;&gt;"-",Q265&lt;&gt;"bypass"),IFERROR(H265*I265*X265/(IF(Cluster!AA265=Cluster!$W$8,Cluster!$W$10,IF(Cluster!AA265=Cluster!$X$8,Cluster!$X$10,IF(Cluster!AA265=Cluster!$Y$8,Cluster!$Y$10,0)))*10^3),"-"),Calculation!AK246)</f>
        <v>-</v>
      </c>
      <c r="U265" s="179" t="str">
        <f ca="1">IF(AND(L265&lt;&gt;"-",Q265&lt;&gt;"bypass"),IFERROR((0.5/50)*X265/$R$23,"-"),Calculation!AG246)</f>
        <v>-</v>
      </c>
      <c r="V265" s="179" t="str">
        <f ca="1">IF(AND(L265&lt;&gt;"-",Q265&lt;&gt;"bypass"),IFERROR(5/50*X265,"-"),Calculation!AI246)</f>
        <v>-</v>
      </c>
      <c r="W265" s="179" t="str">
        <f ca="1">IF(AND(L265&lt;&gt;"-",Q265&lt;&gt;"bypass"),IFERROR(35/50*X265,"-"),Calculation!AJ246)</f>
        <v>-</v>
      </c>
      <c r="X265" s="179" t="str">
        <f ca="1">IF(AND(L265&lt;&gt;"-",Q265&lt;&gt;"bypass"),$W$23,Calculation!AL246)</f>
        <v>-</v>
      </c>
      <c r="Y265" s="183" t="str">
        <f ca="1">IF(AND(L265&lt;&gt;"-",Q265&lt;&gt;"bypass"),IFERROR($R$23*U265/SUM(R265:U265),"-"),Calculation!AP246)</f>
        <v>-</v>
      </c>
      <c r="Z265" s="184" t="str">
        <f t="shared" ca="1" si="15"/>
        <v>-</v>
      </c>
      <c r="AA265" s="185" t="str">
        <f ca="1">IFERROR(IF(I265=0,"-",IF(AND(ROUND(H265*I265*X265/($W$10*10^3),1)&gt;=Calculation!$O$6,ROUND((((U265)*$R$23/0.05)-((S265)+(H265*I265*X265/($W$10*10^3))+(U265))),1)&gt;=0),Cluster!$W$8,IF(AND(ROUND(H265*I265*X265/($X$10*10^3),1)&gt;=Calculation!$O$6,ROUND((((U265)*$R$23/0.05)-((S265)+(H265*I265*X265/($X$10*10^3))+(U265))),1)&gt;=0),Cluster!$X$8,IF(AND(ROUND(H265*I265*X265/($Y$10*10^3),1)&gt;=Calculation!$O$6,ROUND((((U265)*$R$23/0.05)-((S265)+(H265*I265*X265/($Y$10*10^3))+(U265))),1)&gt;=0),Cluster!$Y$8,"Recepie by hand needed")))),"-")</f>
        <v>-</v>
      </c>
      <c r="AC265" s="37" t="str">
        <f t="shared" ca="1" si="16"/>
        <v>-</v>
      </c>
      <c r="AD265" s="37" t="str">
        <f t="shared" ca="1" si="17"/>
        <v>-</v>
      </c>
      <c r="AE265" s="220" t="str">
        <f t="shared" ca="1" si="18"/>
        <v>-</v>
      </c>
      <c r="AF265" s="37" t="str">
        <f t="shared" ca="1" si="19"/>
        <v>-</v>
      </c>
    </row>
    <row r="266" spans="1:32" ht="14.25" x14ac:dyDescent="0.5">
      <c r="A266" s="170" t="str">
        <f>Calculation!I247</f>
        <v/>
      </c>
      <c r="B266" s="221" t="str">
        <f ca="1">Calculation!B247</f>
        <v/>
      </c>
      <c r="C266" s="221" t="str">
        <f ca="1">Calculation!C247</f>
        <v/>
      </c>
      <c r="D266" s="172" t="str">
        <f ca="1">Calculation!AN247</f>
        <v/>
      </c>
      <c r="E266" s="173" t="str">
        <f ca="1">Calculation!D247</f>
        <v/>
      </c>
      <c r="F266" s="174" t="str">
        <f ca="1">Calculation!C247</f>
        <v/>
      </c>
      <c r="G266" s="175" t="str">
        <f ca="1">Calculation!F247</f>
        <v/>
      </c>
      <c r="H266" s="176" t="str">
        <f ca="1">Calculation!AD247</f>
        <v/>
      </c>
      <c r="I266" s="177" t="str">
        <f ca="1">Calculation!AE247</f>
        <v/>
      </c>
      <c r="J266" s="272" t="str">
        <f ca="1">IF(Calculation!Q247="","Selection",Calculation!Q247)</f>
        <v>Selection</v>
      </c>
      <c r="K266" s="179" t="str">
        <f ca="1">Calculation!T247</f>
        <v/>
      </c>
      <c r="L266" s="180" t="str">
        <f ca="1">Calculation!U247</f>
        <v>-</v>
      </c>
      <c r="M266" s="180" t="str">
        <f ca="1">Calculation!V247</f>
        <v>-</v>
      </c>
      <c r="N266" s="181"/>
      <c r="O266" s="180" t="str">
        <f ca="1">Calculation!X247</f>
        <v>-</v>
      </c>
      <c r="P266" s="180" t="str">
        <f ca="1">Calculation!Y247</f>
        <v>-</v>
      </c>
      <c r="Q266" s="273"/>
      <c r="R266" s="182" t="str">
        <f ca="1">IF(AND(L266&lt;&gt;"-",Q266&lt;&gt;"bypass"),IFERROR(IF((U266*$R$23/0.05)-SUM(S266:U266)&gt;0,(U266*$R$23/0.05)-SUM(S266:U266),0),"-"),Calculation!AH247)</f>
        <v>-</v>
      </c>
      <c r="S266" s="179" t="str">
        <f ca="1">IF(AND(L266&lt;&gt;"-",Q266&lt;&gt;"bypass"),IFERROR(X266*((H266*10^-12-H266*10^-12*I266)/(Calculation!$U$8*10^-9)),"-"),Calculation!AF247)</f>
        <v>-</v>
      </c>
      <c r="T266" s="179" t="str">
        <f ca="1">IF(AND(L266&lt;&gt;"-",Q266&lt;&gt;"bypass"),IFERROR(H266*I266*X266/(IF(Cluster!AA266=Cluster!$W$8,Cluster!$W$10,IF(Cluster!AA266=Cluster!$X$8,Cluster!$X$10,IF(Cluster!AA266=Cluster!$Y$8,Cluster!$Y$10,0)))*10^3),"-"),Calculation!AK247)</f>
        <v>-</v>
      </c>
      <c r="U266" s="179" t="str">
        <f ca="1">IF(AND(L266&lt;&gt;"-",Q266&lt;&gt;"bypass"),IFERROR((0.5/50)*X266/$R$23,"-"),Calculation!AG247)</f>
        <v>-</v>
      </c>
      <c r="V266" s="179" t="str">
        <f ca="1">IF(AND(L266&lt;&gt;"-",Q266&lt;&gt;"bypass"),IFERROR(5/50*X266,"-"),Calculation!AI247)</f>
        <v>-</v>
      </c>
      <c r="W266" s="179" t="str">
        <f ca="1">IF(AND(L266&lt;&gt;"-",Q266&lt;&gt;"bypass"),IFERROR(35/50*X266,"-"),Calculation!AJ247)</f>
        <v>-</v>
      </c>
      <c r="X266" s="179" t="str">
        <f ca="1">IF(AND(L266&lt;&gt;"-",Q266&lt;&gt;"bypass"),$W$23,Calculation!AL247)</f>
        <v>-</v>
      </c>
      <c r="Y266" s="183" t="str">
        <f ca="1">IF(AND(L266&lt;&gt;"-",Q266&lt;&gt;"bypass"),IFERROR($R$23*U266/SUM(R266:U266),"-"),Calculation!AP247)</f>
        <v>-</v>
      </c>
      <c r="Z266" s="184" t="str">
        <f t="shared" ca="1" si="15"/>
        <v>-</v>
      </c>
      <c r="AA266" s="185" t="str">
        <f ca="1">IFERROR(IF(I266=0,"-",IF(AND(ROUND(H266*I266*X266/($W$10*10^3),1)&gt;=Calculation!$O$6,ROUND((((U266)*$R$23/0.05)-((S266)+(H266*I266*X266/($W$10*10^3))+(U266))),1)&gt;=0),Cluster!$W$8,IF(AND(ROUND(H266*I266*X266/($X$10*10^3),1)&gt;=Calculation!$O$6,ROUND((((U266)*$R$23/0.05)-((S266)+(H266*I266*X266/($X$10*10^3))+(U266))),1)&gt;=0),Cluster!$X$8,IF(AND(ROUND(H266*I266*X266/($Y$10*10^3),1)&gt;=Calculation!$O$6,ROUND((((U266)*$R$23/0.05)-((S266)+(H266*I266*X266/($Y$10*10^3))+(U266))),1)&gt;=0),Cluster!$Y$8,"Recepie by hand needed")))),"-")</f>
        <v>-</v>
      </c>
      <c r="AC266" s="37" t="str">
        <f t="shared" ca="1" si="16"/>
        <v>-</v>
      </c>
      <c r="AD266" s="37" t="str">
        <f t="shared" ca="1" si="17"/>
        <v>-</v>
      </c>
      <c r="AE266" s="220" t="str">
        <f t="shared" ca="1" si="18"/>
        <v>-</v>
      </c>
      <c r="AF266" s="37" t="str">
        <f t="shared" ca="1" si="19"/>
        <v>-</v>
      </c>
    </row>
    <row r="267" spans="1:32" ht="14.25" x14ac:dyDescent="0.5">
      <c r="A267" s="170" t="str">
        <f>Calculation!I248</f>
        <v/>
      </c>
      <c r="B267" s="221" t="str">
        <f ca="1">Calculation!B248</f>
        <v/>
      </c>
      <c r="C267" s="221" t="str">
        <f ca="1">Calculation!C248</f>
        <v/>
      </c>
      <c r="D267" s="172" t="str">
        <f ca="1">Calculation!AN248</f>
        <v/>
      </c>
      <c r="E267" s="173" t="str">
        <f ca="1">Calculation!D248</f>
        <v/>
      </c>
      <c r="F267" s="174" t="str">
        <f ca="1">Calculation!C248</f>
        <v/>
      </c>
      <c r="G267" s="175" t="str">
        <f ca="1">Calculation!F248</f>
        <v/>
      </c>
      <c r="H267" s="176" t="str">
        <f ca="1">Calculation!AD248</f>
        <v/>
      </c>
      <c r="I267" s="177" t="str">
        <f ca="1">Calculation!AE248</f>
        <v/>
      </c>
      <c r="J267" s="272" t="str">
        <f ca="1">IF(Calculation!Q248="","Selection",Calculation!Q248)</f>
        <v>Selection</v>
      </c>
      <c r="K267" s="179" t="str">
        <f ca="1">Calculation!T248</f>
        <v/>
      </c>
      <c r="L267" s="180" t="str">
        <f ca="1">Calculation!U248</f>
        <v>-</v>
      </c>
      <c r="M267" s="180" t="str">
        <f ca="1">Calculation!V248</f>
        <v>-</v>
      </c>
      <c r="N267" s="181"/>
      <c r="O267" s="180" t="str">
        <f ca="1">Calculation!X248</f>
        <v>-</v>
      </c>
      <c r="P267" s="180" t="str">
        <f ca="1">Calculation!Y248</f>
        <v>-</v>
      </c>
      <c r="Q267" s="273"/>
      <c r="R267" s="182" t="str">
        <f ca="1">IF(AND(L267&lt;&gt;"-",Q267&lt;&gt;"bypass"),IFERROR(IF((U267*$R$23/0.05)-SUM(S267:U267)&gt;0,(U267*$R$23/0.05)-SUM(S267:U267),0),"-"),Calculation!AH248)</f>
        <v>-</v>
      </c>
      <c r="S267" s="179" t="str">
        <f ca="1">IF(AND(L267&lt;&gt;"-",Q267&lt;&gt;"bypass"),IFERROR(X267*((H267*10^-12-H267*10^-12*I267)/(Calculation!$U$8*10^-9)),"-"),Calculation!AF248)</f>
        <v>-</v>
      </c>
      <c r="T267" s="179" t="str">
        <f ca="1">IF(AND(L267&lt;&gt;"-",Q267&lt;&gt;"bypass"),IFERROR(H267*I267*X267/(IF(Cluster!AA267=Cluster!$W$8,Cluster!$W$10,IF(Cluster!AA267=Cluster!$X$8,Cluster!$X$10,IF(Cluster!AA267=Cluster!$Y$8,Cluster!$Y$10,0)))*10^3),"-"),Calculation!AK248)</f>
        <v>-</v>
      </c>
      <c r="U267" s="179" t="str">
        <f ca="1">IF(AND(L267&lt;&gt;"-",Q267&lt;&gt;"bypass"),IFERROR((0.5/50)*X267/$R$23,"-"),Calculation!AG248)</f>
        <v>-</v>
      </c>
      <c r="V267" s="179" t="str">
        <f ca="1">IF(AND(L267&lt;&gt;"-",Q267&lt;&gt;"bypass"),IFERROR(5/50*X267,"-"),Calculation!AI248)</f>
        <v>-</v>
      </c>
      <c r="W267" s="179" t="str">
        <f ca="1">IF(AND(L267&lt;&gt;"-",Q267&lt;&gt;"bypass"),IFERROR(35/50*X267,"-"),Calculation!AJ248)</f>
        <v>-</v>
      </c>
      <c r="X267" s="179" t="str">
        <f ca="1">IF(AND(L267&lt;&gt;"-",Q267&lt;&gt;"bypass"),$W$23,Calculation!AL248)</f>
        <v>-</v>
      </c>
      <c r="Y267" s="183" t="str">
        <f ca="1">IF(AND(L267&lt;&gt;"-",Q267&lt;&gt;"bypass"),IFERROR($R$23*U267/SUM(R267:U267),"-"),Calculation!AP248)</f>
        <v>-</v>
      </c>
      <c r="Z267" s="184" t="str">
        <f t="shared" ca="1" si="15"/>
        <v>-</v>
      </c>
      <c r="AA267" s="185" t="str">
        <f ca="1">IFERROR(IF(I267=0,"-",IF(AND(ROUND(H267*I267*X267/($W$10*10^3),1)&gt;=Calculation!$O$6,ROUND((((U267)*$R$23/0.05)-((S267)+(H267*I267*X267/($W$10*10^3))+(U267))),1)&gt;=0),Cluster!$W$8,IF(AND(ROUND(H267*I267*X267/($X$10*10^3),1)&gt;=Calculation!$O$6,ROUND((((U267)*$R$23/0.05)-((S267)+(H267*I267*X267/($X$10*10^3))+(U267))),1)&gt;=0),Cluster!$X$8,IF(AND(ROUND(H267*I267*X267/($Y$10*10^3),1)&gt;=Calculation!$O$6,ROUND((((U267)*$R$23/0.05)-((S267)+(H267*I267*X267/($Y$10*10^3))+(U267))),1)&gt;=0),Cluster!$Y$8,"Recepie by hand needed")))),"-")</f>
        <v>-</v>
      </c>
      <c r="AC267" s="37" t="str">
        <f t="shared" ca="1" si="16"/>
        <v>-</v>
      </c>
      <c r="AD267" s="37" t="str">
        <f t="shared" ca="1" si="17"/>
        <v>-</v>
      </c>
      <c r="AE267" s="220" t="str">
        <f t="shared" ca="1" si="18"/>
        <v>-</v>
      </c>
      <c r="AF267" s="37" t="str">
        <f t="shared" ca="1" si="19"/>
        <v>-</v>
      </c>
    </row>
    <row r="268" spans="1:32" ht="14.25" x14ac:dyDescent="0.5">
      <c r="A268" s="170" t="str">
        <f>Calculation!I249</f>
        <v/>
      </c>
      <c r="B268" s="221" t="str">
        <f ca="1">Calculation!B249</f>
        <v/>
      </c>
      <c r="C268" s="221" t="str">
        <f ca="1">Calculation!C249</f>
        <v/>
      </c>
      <c r="D268" s="172" t="str">
        <f ca="1">Calculation!AN249</f>
        <v/>
      </c>
      <c r="E268" s="173" t="str">
        <f ca="1">Calculation!D249</f>
        <v/>
      </c>
      <c r="F268" s="174" t="str">
        <f ca="1">Calculation!C249</f>
        <v/>
      </c>
      <c r="G268" s="175" t="str">
        <f ca="1">Calculation!F249</f>
        <v/>
      </c>
      <c r="H268" s="176" t="str">
        <f ca="1">Calculation!AD249</f>
        <v/>
      </c>
      <c r="I268" s="177" t="str">
        <f ca="1">Calculation!AE249</f>
        <v/>
      </c>
      <c r="J268" s="272" t="str">
        <f ca="1">IF(Calculation!Q249="","Selection",Calculation!Q249)</f>
        <v>Selection</v>
      </c>
      <c r="K268" s="179" t="str">
        <f ca="1">Calculation!T249</f>
        <v/>
      </c>
      <c r="L268" s="180" t="str">
        <f ca="1">Calculation!U249</f>
        <v>-</v>
      </c>
      <c r="M268" s="180" t="str">
        <f ca="1">Calculation!V249</f>
        <v>-</v>
      </c>
      <c r="N268" s="181"/>
      <c r="O268" s="180" t="str">
        <f ca="1">Calculation!X249</f>
        <v>-</v>
      </c>
      <c r="P268" s="180" t="str">
        <f ca="1">Calculation!Y249</f>
        <v>-</v>
      </c>
      <c r="Q268" s="273"/>
      <c r="R268" s="182" t="str">
        <f ca="1">IF(AND(L268&lt;&gt;"-",Q268&lt;&gt;"bypass"),IFERROR(IF((U268*$R$23/0.05)-SUM(S268:U268)&gt;0,(U268*$R$23/0.05)-SUM(S268:U268),0),"-"),Calculation!AH249)</f>
        <v>-</v>
      </c>
      <c r="S268" s="179" t="str">
        <f ca="1">IF(AND(L268&lt;&gt;"-",Q268&lt;&gt;"bypass"),IFERROR(X268*((H268*10^-12-H268*10^-12*I268)/(Calculation!$U$8*10^-9)),"-"),Calculation!AF249)</f>
        <v>-</v>
      </c>
      <c r="T268" s="179" t="str">
        <f ca="1">IF(AND(L268&lt;&gt;"-",Q268&lt;&gt;"bypass"),IFERROR(H268*I268*X268/(IF(Cluster!AA268=Cluster!$W$8,Cluster!$W$10,IF(Cluster!AA268=Cluster!$X$8,Cluster!$X$10,IF(Cluster!AA268=Cluster!$Y$8,Cluster!$Y$10,0)))*10^3),"-"),Calculation!AK249)</f>
        <v>-</v>
      </c>
      <c r="U268" s="179" t="str">
        <f ca="1">IF(AND(L268&lt;&gt;"-",Q268&lt;&gt;"bypass"),IFERROR((0.5/50)*X268/$R$23,"-"),Calculation!AG249)</f>
        <v>-</v>
      </c>
      <c r="V268" s="179" t="str">
        <f ca="1">IF(AND(L268&lt;&gt;"-",Q268&lt;&gt;"bypass"),IFERROR(5/50*X268,"-"),Calculation!AI249)</f>
        <v>-</v>
      </c>
      <c r="W268" s="179" t="str">
        <f ca="1">IF(AND(L268&lt;&gt;"-",Q268&lt;&gt;"bypass"),IFERROR(35/50*X268,"-"),Calculation!AJ249)</f>
        <v>-</v>
      </c>
      <c r="X268" s="179" t="str">
        <f ca="1">IF(AND(L268&lt;&gt;"-",Q268&lt;&gt;"bypass"),$W$23,Calculation!AL249)</f>
        <v>-</v>
      </c>
      <c r="Y268" s="183" t="str">
        <f ca="1">IF(AND(L268&lt;&gt;"-",Q268&lt;&gt;"bypass"),IFERROR($R$23*U268/SUM(R268:U268),"-"),Calculation!AP249)</f>
        <v>-</v>
      </c>
      <c r="Z268" s="184" t="str">
        <f t="shared" ca="1" si="15"/>
        <v>-</v>
      </c>
      <c r="AA268" s="185" t="str">
        <f ca="1">IFERROR(IF(I268=0,"-",IF(AND(ROUND(H268*I268*X268/($W$10*10^3),1)&gt;=Calculation!$O$6,ROUND((((U268)*$R$23/0.05)-((S268)+(H268*I268*X268/($W$10*10^3))+(U268))),1)&gt;=0),Cluster!$W$8,IF(AND(ROUND(H268*I268*X268/($X$10*10^3),1)&gt;=Calculation!$O$6,ROUND((((U268)*$R$23/0.05)-((S268)+(H268*I268*X268/($X$10*10^3))+(U268))),1)&gt;=0),Cluster!$X$8,IF(AND(ROUND(H268*I268*X268/($Y$10*10^3),1)&gt;=Calculation!$O$6,ROUND((((U268)*$R$23/0.05)-((S268)+(H268*I268*X268/($Y$10*10^3))+(U268))),1)&gt;=0),Cluster!$Y$8,"Recepie by hand needed")))),"-")</f>
        <v>-</v>
      </c>
      <c r="AC268" s="37" t="str">
        <f t="shared" ca="1" si="16"/>
        <v>-</v>
      </c>
      <c r="AD268" s="37" t="str">
        <f t="shared" ca="1" si="17"/>
        <v>-</v>
      </c>
      <c r="AE268" s="220" t="str">
        <f t="shared" ca="1" si="18"/>
        <v>-</v>
      </c>
      <c r="AF268" s="37" t="str">
        <f t="shared" ca="1" si="19"/>
        <v>-</v>
      </c>
    </row>
    <row r="269" spans="1:32" ht="14.25" x14ac:dyDescent="0.5">
      <c r="A269" s="170" t="str">
        <f>Calculation!I250</f>
        <v/>
      </c>
      <c r="B269" s="221" t="str">
        <f ca="1">Calculation!B250</f>
        <v/>
      </c>
      <c r="C269" s="221" t="str">
        <f ca="1">Calculation!C250</f>
        <v/>
      </c>
      <c r="D269" s="172" t="str">
        <f ca="1">Calculation!AN250</f>
        <v/>
      </c>
      <c r="E269" s="173" t="str">
        <f ca="1">Calculation!D250</f>
        <v/>
      </c>
      <c r="F269" s="174" t="str">
        <f ca="1">Calculation!C250</f>
        <v/>
      </c>
      <c r="G269" s="175" t="str">
        <f ca="1">Calculation!F250</f>
        <v/>
      </c>
      <c r="H269" s="176" t="str">
        <f ca="1">Calculation!AD250</f>
        <v/>
      </c>
      <c r="I269" s="177" t="str">
        <f ca="1">Calculation!AE250</f>
        <v/>
      </c>
      <c r="J269" s="272" t="str">
        <f ca="1">IF(Calculation!Q250="","Selection",Calculation!Q250)</f>
        <v>Selection</v>
      </c>
      <c r="K269" s="179" t="str">
        <f ca="1">Calculation!T250</f>
        <v/>
      </c>
      <c r="L269" s="180" t="str">
        <f ca="1">Calculation!U250</f>
        <v>-</v>
      </c>
      <c r="M269" s="180" t="str">
        <f ca="1">Calculation!V250</f>
        <v>-</v>
      </c>
      <c r="N269" s="181"/>
      <c r="O269" s="180" t="str">
        <f ca="1">Calculation!X250</f>
        <v>-</v>
      </c>
      <c r="P269" s="180" t="str">
        <f ca="1">Calculation!Y250</f>
        <v>-</v>
      </c>
      <c r="Q269" s="273"/>
      <c r="R269" s="182" t="str">
        <f ca="1">IF(AND(L269&lt;&gt;"-",Q269&lt;&gt;"bypass"),IFERROR(IF((U269*$R$23/0.05)-SUM(S269:U269)&gt;0,(U269*$R$23/0.05)-SUM(S269:U269),0),"-"),Calculation!AH250)</f>
        <v>-</v>
      </c>
      <c r="S269" s="179" t="str">
        <f ca="1">IF(AND(L269&lt;&gt;"-",Q269&lt;&gt;"bypass"),IFERROR(X269*((H269*10^-12-H269*10^-12*I269)/(Calculation!$U$8*10^-9)),"-"),Calculation!AF250)</f>
        <v>-</v>
      </c>
      <c r="T269" s="179" t="str">
        <f ca="1">IF(AND(L269&lt;&gt;"-",Q269&lt;&gt;"bypass"),IFERROR(H269*I269*X269/(IF(Cluster!AA269=Cluster!$W$8,Cluster!$W$10,IF(Cluster!AA269=Cluster!$X$8,Cluster!$X$10,IF(Cluster!AA269=Cluster!$Y$8,Cluster!$Y$10,0)))*10^3),"-"),Calculation!AK250)</f>
        <v>-</v>
      </c>
      <c r="U269" s="179" t="str">
        <f ca="1">IF(AND(L269&lt;&gt;"-",Q269&lt;&gt;"bypass"),IFERROR((0.5/50)*X269/$R$23,"-"),Calculation!AG250)</f>
        <v>-</v>
      </c>
      <c r="V269" s="179" t="str">
        <f ca="1">IF(AND(L269&lt;&gt;"-",Q269&lt;&gt;"bypass"),IFERROR(5/50*X269,"-"),Calculation!AI250)</f>
        <v>-</v>
      </c>
      <c r="W269" s="179" t="str">
        <f ca="1">IF(AND(L269&lt;&gt;"-",Q269&lt;&gt;"bypass"),IFERROR(35/50*X269,"-"),Calculation!AJ250)</f>
        <v>-</v>
      </c>
      <c r="X269" s="179" t="str">
        <f ca="1">IF(AND(L269&lt;&gt;"-",Q269&lt;&gt;"bypass"),$W$23,Calculation!AL250)</f>
        <v>-</v>
      </c>
      <c r="Y269" s="183" t="str">
        <f ca="1">IF(AND(L269&lt;&gt;"-",Q269&lt;&gt;"bypass"),IFERROR($R$23*U269/SUM(R269:U269),"-"),Calculation!AP250)</f>
        <v>-</v>
      </c>
      <c r="Z269" s="184" t="str">
        <f t="shared" ca="1" si="15"/>
        <v>-</v>
      </c>
      <c r="AA269" s="185" t="str">
        <f ca="1">IFERROR(IF(I269=0,"-",IF(AND(ROUND(H269*I269*X269/($W$10*10^3),1)&gt;=Calculation!$O$6,ROUND((((U269)*$R$23/0.05)-((S269)+(H269*I269*X269/($W$10*10^3))+(U269))),1)&gt;=0),Cluster!$W$8,IF(AND(ROUND(H269*I269*X269/($X$10*10^3),1)&gt;=Calculation!$O$6,ROUND((((U269)*$R$23/0.05)-((S269)+(H269*I269*X269/($X$10*10^3))+(U269))),1)&gt;=0),Cluster!$X$8,IF(AND(ROUND(H269*I269*X269/($Y$10*10^3),1)&gt;=Calculation!$O$6,ROUND((((U269)*$R$23/0.05)-((S269)+(H269*I269*X269/($Y$10*10^3))+(U269))),1)&gt;=0),Cluster!$Y$8,"Recepie by hand needed")))),"-")</f>
        <v>-</v>
      </c>
      <c r="AC269" s="37" t="str">
        <f t="shared" ca="1" si="16"/>
        <v>-</v>
      </c>
      <c r="AD269" s="37" t="str">
        <f t="shared" ca="1" si="17"/>
        <v>-</v>
      </c>
      <c r="AE269" s="220" t="str">
        <f t="shared" ca="1" si="18"/>
        <v>-</v>
      </c>
      <c r="AF269" s="37" t="str">
        <f t="shared" ca="1" si="19"/>
        <v>-</v>
      </c>
    </row>
    <row r="270" spans="1:32" ht="14.25" x14ac:dyDescent="0.5">
      <c r="A270" s="170" t="str">
        <f>Calculation!I251</f>
        <v/>
      </c>
      <c r="B270" s="221" t="str">
        <f ca="1">Calculation!B251</f>
        <v/>
      </c>
      <c r="C270" s="221" t="str">
        <f ca="1">Calculation!C251</f>
        <v/>
      </c>
      <c r="D270" s="172" t="str">
        <f ca="1">Calculation!AN251</f>
        <v/>
      </c>
      <c r="E270" s="173" t="str">
        <f ca="1">Calculation!D251</f>
        <v/>
      </c>
      <c r="F270" s="174" t="str">
        <f ca="1">Calculation!C251</f>
        <v/>
      </c>
      <c r="G270" s="175" t="str">
        <f ca="1">Calculation!F251</f>
        <v/>
      </c>
      <c r="H270" s="176" t="str">
        <f ca="1">Calculation!AD251</f>
        <v/>
      </c>
      <c r="I270" s="177" t="str">
        <f ca="1">Calculation!AE251</f>
        <v/>
      </c>
      <c r="J270" s="272" t="str">
        <f ca="1">IF(Calculation!Q251="","Selection",Calculation!Q251)</f>
        <v>Selection</v>
      </c>
      <c r="K270" s="179" t="str">
        <f ca="1">Calculation!T251</f>
        <v/>
      </c>
      <c r="L270" s="180" t="str">
        <f ca="1">Calculation!U251</f>
        <v>-</v>
      </c>
      <c r="M270" s="180" t="str">
        <f ca="1">Calculation!V251</f>
        <v>-</v>
      </c>
      <c r="N270" s="181"/>
      <c r="O270" s="180" t="str">
        <f ca="1">Calculation!X251</f>
        <v>-</v>
      </c>
      <c r="P270" s="180" t="str">
        <f ca="1">Calculation!Y251</f>
        <v>-</v>
      </c>
      <c r="Q270" s="273"/>
      <c r="R270" s="182" t="str">
        <f ca="1">IF(AND(L270&lt;&gt;"-",Q270&lt;&gt;"bypass"),IFERROR(IF((U270*$R$23/0.05)-SUM(S270:U270)&gt;0,(U270*$R$23/0.05)-SUM(S270:U270),0),"-"),Calculation!AH251)</f>
        <v>-</v>
      </c>
      <c r="S270" s="179" t="str">
        <f ca="1">IF(AND(L270&lt;&gt;"-",Q270&lt;&gt;"bypass"),IFERROR(X270*((H270*10^-12-H270*10^-12*I270)/(Calculation!$U$8*10^-9)),"-"),Calculation!AF251)</f>
        <v>-</v>
      </c>
      <c r="T270" s="179" t="str">
        <f ca="1">IF(AND(L270&lt;&gt;"-",Q270&lt;&gt;"bypass"),IFERROR(H270*I270*X270/(IF(Cluster!AA270=Cluster!$W$8,Cluster!$W$10,IF(Cluster!AA270=Cluster!$X$8,Cluster!$X$10,IF(Cluster!AA270=Cluster!$Y$8,Cluster!$Y$10,0)))*10^3),"-"),Calculation!AK251)</f>
        <v>-</v>
      </c>
      <c r="U270" s="179" t="str">
        <f ca="1">IF(AND(L270&lt;&gt;"-",Q270&lt;&gt;"bypass"),IFERROR((0.5/50)*X270/$R$23,"-"),Calculation!AG251)</f>
        <v>-</v>
      </c>
      <c r="V270" s="179" t="str">
        <f ca="1">IF(AND(L270&lt;&gt;"-",Q270&lt;&gt;"bypass"),IFERROR(5/50*X270,"-"),Calculation!AI251)</f>
        <v>-</v>
      </c>
      <c r="W270" s="179" t="str">
        <f ca="1">IF(AND(L270&lt;&gt;"-",Q270&lt;&gt;"bypass"),IFERROR(35/50*X270,"-"),Calculation!AJ251)</f>
        <v>-</v>
      </c>
      <c r="X270" s="179" t="str">
        <f ca="1">IF(AND(L270&lt;&gt;"-",Q270&lt;&gt;"bypass"),$W$23,Calculation!AL251)</f>
        <v>-</v>
      </c>
      <c r="Y270" s="183" t="str">
        <f ca="1">IF(AND(L270&lt;&gt;"-",Q270&lt;&gt;"bypass"),IFERROR($R$23*U270/SUM(R270:U270),"-"),Calculation!AP251)</f>
        <v>-</v>
      </c>
      <c r="Z270" s="184" t="str">
        <f t="shared" ca="1" si="15"/>
        <v>-</v>
      </c>
      <c r="AA270" s="185" t="str">
        <f ca="1">IFERROR(IF(I270=0,"-",IF(AND(ROUND(H270*I270*X270/($W$10*10^3),1)&gt;=Calculation!$O$6,ROUND((((U270)*$R$23/0.05)-((S270)+(H270*I270*X270/($W$10*10^3))+(U270))),1)&gt;=0),Cluster!$W$8,IF(AND(ROUND(H270*I270*X270/($X$10*10^3),1)&gt;=Calculation!$O$6,ROUND((((U270)*$R$23/0.05)-((S270)+(H270*I270*X270/($X$10*10^3))+(U270))),1)&gt;=0),Cluster!$X$8,IF(AND(ROUND(H270*I270*X270/($Y$10*10^3),1)&gt;=Calculation!$O$6,ROUND((((U270)*$R$23/0.05)-((S270)+(H270*I270*X270/($Y$10*10^3))+(U270))),1)&gt;=0),Cluster!$Y$8,"Recepie by hand needed")))),"-")</f>
        <v>-</v>
      </c>
      <c r="AC270" s="37" t="str">
        <f t="shared" ca="1" si="16"/>
        <v>-</v>
      </c>
      <c r="AD270" s="37" t="str">
        <f t="shared" ca="1" si="17"/>
        <v>-</v>
      </c>
      <c r="AE270" s="220" t="str">
        <f t="shared" ca="1" si="18"/>
        <v>-</v>
      </c>
      <c r="AF270" s="37" t="str">
        <f t="shared" ca="1" si="19"/>
        <v>-</v>
      </c>
    </row>
    <row r="271" spans="1:32" ht="14.25" x14ac:dyDescent="0.5">
      <c r="A271" s="170" t="str">
        <f>Calculation!I252</f>
        <v/>
      </c>
      <c r="B271" s="221" t="str">
        <f ca="1">Calculation!B252</f>
        <v/>
      </c>
      <c r="C271" s="221" t="str">
        <f ca="1">Calculation!C252</f>
        <v/>
      </c>
      <c r="D271" s="172" t="str">
        <f ca="1">Calculation!AN252</f>
        <v/>
      </c>
      <c r="E271" s="173" t="str">
        <f ca="1">Calculation!D252</f>
        <v/>
      </c>
      <c r="F271" s="174" t="str">
        <f ca="1">Calculation!C252</f>
        <v/>
      </c>
      <c r="G271" s="175" t="str">
        <f ca="1">Calculation!F252</f>
        <v/>
      </c>
      <c r="H271" s="176" t="str">
        <f ca="1">Calculation!AD252</f>
        <v/>
      </c>
      <c r="I271" s="177" t="str">
        <f ca="1">Calculation!AE252</f>
        <v/>
      </c>
      <c r="J271" s="272" t="str">
        <f ca="1">IF(Calculation!Q252="","Selection",Calculation!Q252)</f>
        <v>Selection</v>
      </c>
      <c r="K271" s="179" t="str">
        <f ca="1">Calculation!T252</f>
        <v/>
      </c>
      <c r="L271" s="180" t="str">
        <f ca="1">Calculation!U252</f>
        <v>-</v>
      </c>
      <c r="M271" s="180" t="str">
        <f ca="1">Calculation!V252</f>
        <v>-</v>
      </c>
      <c r="N271" s="181"/>
      <c r="O271" s="180" t="str">
        <f ca="1">Calculation!X252</f>
        <v>-</v>
      </c>
      <c r="P271" s="180" t="str">
        <f ca="1">Calculation!Y252</f>
        <v>-</v>
      </c>
      <c r="Q271" s="273"/>
      <c r="R271" s="182" t="str">
        <f ca="1">IF(AND(L271&lt;&gt;"-",Q271&lt;&gt;"bypass"),IFERROR(IF((U271*$R$23/0.05)-SUM(S271:U271)&gt;0,(U271*$R$23/0.05)-SUM(S271:U271),0),"-"),Calculation!AH252)</f>
        <v>-</v>
      </c>
      <c r="S271" s="179" t="str">
        <f ca="1">IF(AND(L271&lt;&gt;"-",Q271&lt;&gt;"bypass"),IFERROR(X271*((H271*10^-12-H271*10^-12*I271)/(Calculation!$U$8*10^-9)),"-"),Calculation!AF252)</f>
        <v>-</v>
      </c>
      <c r="T271" s="179" t="str">
        <f ca="1">IF(AND(L271&lt;&gt;"-",Q271&lt;&gt;"bypass"),IFERROR(H271*I271*X271/(IF(Cluster!AA271=Cluster!$W$8,Cluster!$W$10,IF(Cluster!AA271=Cluster!$X$8,Cluster!$X$10,IF(Cluster!AA271=Cluster!$Y$8,Cluster!$Y$10,0)))*10^3),"-"),Calculation!AK252)</f>
        <v>-</v>
      </c>
      <c r="U271" s="179" t="str">
        <f ca="1">IF(AND(L271&lt;&gt;"-",Q271&lt;&gt;"bypass"),IFERROR((0.5/50)*X271/$R$23,"-"),Calculation!AG252)</f>
        <v>-</v>
      </c>
      <c r="V271" s="179" t="str">
        <f ca="1">IF(AND(L271&lt;&gt;"-",Q271&lt;&gt;"bypass"),IFERROR(5/50*X271,"-"),Calculation!AI252)</f>
        <v>-</v>
      </c>
      <c r="W271" s="179" t="str">
        <f ca="1">IF(AND(L271&lt;&gt;"-",Q271&lt;&gt;"bypass"),IFERROR(35/50*X271,"-"),Calculation!AJ252)</f>
        <v>-</v>
      </c>
      <c r="X271" s="179" t="str">
        <f ca="1">IF(AND(L271&lt;&gt;"-",Q271&lt;&gt;"bypass"),$W$23,Calculation!AL252)</f>
        <v>-</v>
      </c>
      <c r="Y271" s="183" t="str">
        <f ca="1">IF(AND(L271&lt;&gt;"-",Q271&lt;&gt;"bypass"),IFERROR($R$23*U271/SUM(R271:U271),"-"),Calculation!AP252)</f>
        <v>-</v>
      </c>
      <c r="Z271" s="184" t="str">
        <f t="shared" ca="1" si="15"/>
        <v>-</v>
      </c>
      <c r="AA271" s="185" t="str">
        <f ca="1">IFERROR(IF(I271=0,"-",IF(AND(ROUND(H271*I271*X271/($W$10*10^3),1)&gt;=Calculation!$O$6,ROUND((((U271)*$R$23/0.05)-((S271)+(H271*I271*X271/($W$10*10^3))+(U271))),1)&gt;=0),Cluster!$W$8,IF(AND(ROUND(H271*I271*X271/($X$10*10^3),1)&gt;=Calculation!$O$6,ROUND((((U271)*$R$23/0.05)-((S271)+(H271*I271*X271/($X$10*10^3))+(U271))),1)&gt;=0),Cluster!$X$8,IF(AND(ROUND(H271*I271*X271/($Y$10*10^3),1)&gt;=Calculation!$O$6,ROUND((((U271)*$R$23/0.05)-((S271)+(H271*I271*X271/($Y$10*10^3))+(U271))),1)&gt;=0),Cluster!$Y$8,"Recepie by hand needed")))),"-")</f>
        <v>-</v>
      </c>
      <c r="AC271" s="37" t="str">
        <f t="shared" ca="1" si="16"/>
        <v>-</v>
      </c>
      <c r="AD271" s="37" t="str">
        <f t="shared" ca="1" si="17"/>
        <v>-</v>
      </c>
      <c r="AE271" s="220" t="str">
        <f t="shared" ca="1" si="18"/>
        <v>-</v>
      </c>
      <c r="AF271" s="37" t="str">
        <f t="shared" ca="1" si="19"/>
        <v>-</v>
      </c>
    </row>
    <row r="272" spans="1:32" ht="14.25" x14ac:dyDescent="0.5">
      <c r="A272" s="170" t="str">
        <f>Calculation!I253</f>
        <v/>
      </c>
      <c r="B272" s="221" t="str">
        <f ca="1">Calculation!B253</f>
        <v/>
      </c>
      <c r="C272" s="221" t="str">
        <f ca="1">Calculation!C253</f>
        <v/>
      </c>
      <c r="D272" s="172" t="str">
        <f ca="1">Calculation!AN253</f>
        <v/>
      </c>
      <c r="E272" s="173" t="str">
        <f ca="1">Calculation!D253</f>
        <v/>
      </c>
      <c r="F272" s="174" t="str">
        <f ca="1">Calculation!C253</f>
        <v/>
      </c>
      <c r="G272" s="175" t="str">
        <f ca="1">Calculation!F253</f>
        <v/>
      </c>
      <c r="H272" s="176" t="str">
        <f ca="1">Calculation!AD253</f>
        <v/>
      </c>
      <c r="I272" s="177" t="str">
        <f ca="1">Calculation!AE253</f>
        <v/>
      </c>
      <c r="J272" s="272" t="str">
        <f ca="1">IF(Calculation!Q253="","Selection",Calculation!Q253)</f>
        <v>Selection</v>
      </c>
      <c r="K272" s="179" t="str">
        <f ca="1">Calculation!T253</f>
        <v/>
      </c>
      <c r="L272" s="180" t="str">
        <f ca="1">Calculation!U253</f>
        <v>-</v>
      </c>
      <c r="M272" s="180" t="str">
        <f ca="1">Calculation!V253</f>
        <v>-</v>
      </c>
      <c r="N272" s="181"/>
      <c r="O272" s="180" t="str">
        <f ca="1">Calculation!X253</f>
        <v>-</v>
      </c>
      <c r="P272" s="180" t="str">
        <f ca="1">Calculation!Y253</f>
        <v>-</v>
      </c>
      <c r="Q272" s="273"/>
      <c r="R272" s="182" t="str">
        <f ca="1">IF(AND(L272&lt;&gt;"-",Q272&lt;&gt;"bypass"),IFERROR(IF((U272*$R$23/0.05)-SUM(S272:U272)&gt;0,(U272*$R$23/0.05)-SUM(S272:U272),0),"-"),Calculation!AH253)</f>
        <v>-</v>
      </c>
      <c r="S272" s="179" t="str">
        <f ca="1">IF(AND(L272&lt;&gt;"-",Q272&lt;&gt;"bypass"),IFERROR(X272*((H272*10^-12-H272*10^-12*I272)/(Calculation!$U$8*10^-9)),"-"),Calculation!AF253)</f>
        <v>-</v>
      </c>
      <c r="T272" s="179" t="str">
        <f ca="1">IF(AND(L272&lt;&gt;"-",Q272&lt;&gt;"bypass"),IFERROR(H272*I272*X272/(IF(Cluster!AA272=Cluster!$W$8,Cluster!$W$10,IF(Cluster!AA272=Cluster!$X$8,Cluster!$X$10,IF(Cluster!AA272=Cluster!$Y$8,Cluster!$Y$10,0)))*10^3),"-"),Calculation!AK253)</f>
        <v>-</v>
      </c>
      <c r="U272" s="179" t="str">
        <f ca="1">IF(AND(L272&lt;&gt;"-",Q272&lt;&gt;"bypass"),IFERROR((0.5/50)*X272/$R$23,"-"),Calculation!AG253)</f>
        <v>-</v>
      </c>
      <c r="V272" s="179" t="str">
        <f ca="1">IF(AND(L272&lt;&gt;"-",Q272&lt;&gt;"bypass"),IFERROR(5/50*X272,"-"),Calculation!AI253)</f>
        <v>-</v>
      </c>
      <c r="W272" s="179" t="str">
        <f ca="1">IF(AND(L272&lt;&gt;"-",Q272&lt;&gt;"bypass"),IFERROR(35/50*X272,"-"),Calculation!AJ253)</f>
        <v>-</v>
      </c>
      <c r="X272" s="179" t="str">
        <f ca="1">IF(AND(L272&lt;&gt;"-",Q272&lt;&gt;"bypass"),$W$23,Calculation!AL253)</f>
        <v>-</v>
      </c>
      <c r="Y272" s="183" t="str">
        <f ca="1">IF(AND(L272&lt;&gt;"-",Q272&lt;&gt;"bypass"),IFERROR($R$23*U272/SUM(R272:U272),"-"),Calculation!AP253)</f>
        <v>-</v>
      </c>
      <c r="Z272" s="184" t="str">
        <f t="shared" ca="1" si="15"/>
        <v>-</v>
      </c>
      <c r="AA272" s="185" t="str">
        <f ca="1">IFERROR(IF(I272=0,"-",IF(AND(ROUND(H272*I272*X272/($W$10*10^3),1)&gt;=Calculation!$O$6,ROUND((((U272)*$R$23/0.05)-((S272)+(H272*I272*X272/($W$10*10^3))+(U272))),1)&gt;=0),Cluster!$W$8,IF(AND(ROUND(H272*I272*X272/($X$10*10^3),1)&gt;=Calculation!$O$6,ROUND((((U272)*$R$23/0.05)-((S272)+(H272*I272*X272/($X$10*10^3))+(U272))),1)&gt;=0),Cluster!$X$8,IF(AND(ROUND(H272*I272*X272/($Y$10*10^3),1)&gt;=Calculation!$O$6,ROUND((((U272)*$R$23/0.05)-((S272)+(H272*I272*X272/($Y$10*10^3))+(U272))),1)&gt;=0),Cluster!$Y$8,"Recepie by hand needed")))),"-")</f>
        <v>-</v>
      </c>
      <c r="AC272" s="37" t="str">
        <f t="shared" ca="1" si="16"/>
        <v>-</v>
      </c>
      <c r="AD272" s="37" t="str">
        <f t="shared" ca="1" si="17"/>
        <v>-</v>
      </c>
      <c r="AE272" s="220" t="str">
        <f t="shared" ca="1" si="18"/>
        <v>-</v>
      </c>
      <c r="AF272" s="37" t="str">
        <f t="shared" ca="1" si="19"/>
        <v>-</v>
      </c>
    </row>
    <row r="273" spans="1:32" ht="14.25" x14ac:dyDescent="0.5">
      <c r="A273" s="170" t="str">
        <f>Calculation!I254</f>
        <v/>
      </c>
      <c r="B273" s="221" t="str">
        <f ca="1">Calculation!B254</f>
        <v/>
      </c>
      <c r="C273" s="221" t="str">
        <f ca="1">Calculation!C254</f>
        <v/>
      </c>
      <c r="D273" s="172" t="str">
        <f ca="1">Calculation!AN254</f>
        <v/>
      </c>
      <c r="E273" s="173" t="str">
        <f ca="1">Calculation!D254</f>
        <v/>
      </c>
      <c r="F273" s="174" t="str">
        <f ca="1">Calculation!C254</f>
        <v/>
      </c>
      <c r="G273" s="175" t="str">
        <f ca="1">Calculation!F254</f>
        <v/>
      </c>
      <c r="H273" s="176" t="str">
        <f ca="1">Calculation!AD254</f>
        <v/>
      </c>
      <c r="I273" s="177" t="str">
        <f ca="1">Calculation!AE254</f>
        <v/>
      </c>
      <c r="J273" s="272" t="str">
        <f ca="1">IF(Calculation!Q254="","Selection",Calculation!Q254)</f>
        <v>Selection</v>
      </c>
      <c r="K273" s="179" t="str">
        <f ca="1">Calculation!T254</f>
        <v/>
      </c>
      <c r="L273" s="180" t="str">
        <f ca="1">Calculation!U254</f>
        <v>-</v>
      </c>
      <c r="M273" s="180" t="str">
        <f ca="1">Calculation!V254</f>
        <v>-</v>
      </c>
      <c r="N273" s="181"/>
      <c r="O273" s="180" t="str">
        <f ca="1">Calculation!X254</f>
        <v>-</v>
      </c>
      <c r="P273" s="180" t="str">
        <f ca="1">Calculation!Y254</f>
        <v>-</v>
      </c>
      <c r="Q273" s="273"/>
      <c r="R273" s="182" t="str">
        <f ca="1">IF(AND(L273&lt;&gt;"-",Q273&lt;&gt;"bypass"),IFERROR(IF((U273*$R$23/0.05)-SUM(S273:U273)&gt;0,(U273*$R$23/0.05)-SUM(S273:U273),0),"-"),Calculation!AH254)</f>
        <v>-</v>
      </c>
      <c r="S273" s="179" t="str">
        <f ca="1">IF(AND(L273&lt;&gt;"-",Q273&lt;&gt;"bypass"),IFERROR(X273*((H273*10^-12-H273*10^-12*I273)/(Calculation!$U$8*10^-9)),"-"),Calculation!AF254)</f>
        <v>-</v>
      </c>
      <c r="T273" s="179" t="str">
        <f ca="1">IF(AND(L273&lt;&gt;"-",Q273&lt;&gt;"bypass"),IFERROR(H273*I273*X273/(IF(Cluster!AA273=Cluster!$W$8,Cluster!$W$10,IF(Cluster!AA273=Cluster!$X$8,Cluster!$X$10,IF(Cluster!AA273=Cluster!$Y$8,Cluster!$Y$10,0)))*10^3),"-"),Calculation!AK254)</f>
        <v>-</v>
      </c>
      <c r="U273" s="179" t="str">
        <f ca="1">IF(AND(L273&lt;&gt;"-",Q273&lt;&gt;"bypass"),IFERROR((0.5/50)*X273/$R$23,"-"),Calculation!AG254)</f>
        <v>-</v>
      </c>
      <c r="V273" s="179" t="str">
        <f ca="1">IF(AND(L273&lt;&gt;"-",Q273&lt;&gt;"bypass"),IFERROR(5/50*X273,"-"),Calculation!AI254)</f>
        <v>-</v>
      </c>
      <c r="W273" s="179" t="str">
        <f ca="1">IF(AND(L273&lt;&gt;"-",Q273&lt;&gt;"bypass"),IFERROR(35/50*X273,"-"),Calculation!AJ254)</f>
        <v>-</v>
      </c>
      <c r="X273" s="179" t="str">
        <f ca="1">IF(AND(L273&lt;&gt;"-",Q273&lt;&gt;"bypass"),$W$23,Calculation!AL254)</f>
        <v>-</v>
      </c>
      <c r="Y273" s="183" t="str">
        <f ca="1">IF(AND(L273&lt;&gt;"-",Q273&lt;&gt;"bypass"),IFERROR($R$23*U273/SUM(R273:U273),"-"),Calculation!AP254)</f>
        <v>-</v>
      </c>
      <c r="Z273" s="184" t="str">
        <f t="shared" ca="1" si="15"/>
        <v>-</v>
      </c>
      <c r="AA273" s="185" t="str">
        <f ca="1">IFERROR(IF(I273=0,"-",IF(AND(ROUND(H273*I273*X273/($W$10*10^3),1)&gt;=Calculation!$O$6,ROUND((((U273)*$R$23/0.05)-((S273)+(H273*I273*X273/($W$10*10^3))+(U273))),1)&gt;=0),Cluster!$W$8,IF(AND(ROUND(H273*I273*X273/($X$10*10^3),1)&gt;=Calculation!$O$6,ROUND((((U273)*$R$23/0.05)-((S273)+(H273*I273*X273/($X$10*10^3))+(U273))),1)&gt;=0),Cluster!$X$8,IF(AND(ROUND(H273*I273*X273/($Y$10*10^3),1)&gt;=Calculation!$O$6,ROUND((((U273)*$R$23/0.05)-((S273)+(H273*I273*X273/($Y$10*10^3))+(U273))),1)&gt;=0),Cluster!$Y$8,"Recepie by hand needed")))),"-")</f>
        <v>-</v>
      </c>
      <c r="AC273" s="37" t="str">
        <f t="shared" ca="1" si="16"/>
        <v>-</v>
      </c>
      <c r="AD273" s="37" t="str">
        <f t="shared" ca="1" si="17"/>
        <v>-</v>
      </c>
      <c r="AE273" s="220" t="str">
        <f t="shared" ca="1" si="18"/>
        <v>-</v>
      </c>
      <c r="AF273" s="37" t="str">
        <f t="shared" ca="1" si="19"/>
        <v>-</v>
      </c>
    </row>
    <row r="274" spans="1:32" ht="14.25" x14ac:dyDescent="0.5">
      <c r="A274" s="170" t="str">
        <f>Calculation!I255</f>
        <v/>
      </c>
      <c r="B274" s="221" t="str">
        <f ca="1">Calculation!B255</f>
        <v/>
      </c>
      <c r="C274" s="221" t="str">
        <f ca="1">Calculation!C255</f>
        <v/>
      </c>
      <c r="D274" s="172" t="str">
        <f ca="1">Calculation!AN255</f>
        <v/>
      </c>
      <c r="E274" s="173" t="str">
        <f ca="1">Calculation!D255</f>
        <v/>
      </c>
      <c r="F274" s="174" t="str">
        <f ca="1">Calculation!C255</f>
        <v/>
      </c>
      <c r="G274" s="175" t="str">
        <f ca="1">Calculation!F255</f>
        <v/>
      </c>
      <c r="H274" s="176" t="str">
        <f ca="1">Calculation!AD255</f>
        <v/>
      </c>
      <c r="I274" s="177" t="str">
        <f ca="1">Calculation!AE255</f>
        <v/>
      </c>
      <c r="J274" s="272" t="str">
        <f ca="1">IF(Calculation!Q255="","Selection",Calculation!Q255)</f>
        <v>Selection</v>
      </c>
      <c r="K274" s="179" t="str">
        <f ca="1">Calculation!T255</f>
        <v/>
      </c>
      <c r="L274" s="180" t="str">
        <f ca="1">Calculation!U255</f>
        <v>-</v>
      </c>
      <c r="M274" s="180" t="str">
        <f ca="1">Calculation!V255</f>
        <v>-</v>
      </c>
      <c r="N274" s="181"/>
      <c r="O274" s="180" t="str">
        <f ca="1">Calculation!X255</f>
        <v>-</v>
      </c>
      <c r="P274" s="180" t="str">
        <f ca="1">Calculation!Y255</f>
        <v>-</v>
      </c>
      <c r="Q274" s="273"/>
      <c r="R274" s="182" t="str">
        <f ca="1">IF(AND(L274&lt;&gt;"-",Q274&lt;&gt;"bypass"),IFERROR(IF((U274*$R$23/0.05)-SUM(S274:U274)&gt;0,(U274*$R$23/0.05)-SUM(S274:U274),0),"-"),Calculation!AH255)</f>
        <v>-</v>
      </c>
      <c r="S274" s="179" t="str">
        <f ca="1">IF(AND(L274&lt;&gt;"-",Q274&lt;&gt;"bypass"),IFERROR(X274*((H274*10^-12-H274*10^-12*I274)/(Calculation!$U$8*10^-9)),"-"),Calculation!AF255)</f>
        <v>-</v>
      </c>
      <c r="T274" s="179" t="str">
        <f ca="1">IF(AND(L274&lt;&gt;"-",Q274&lt;&gt;"bypass"),IFERROR(H274*I274*X274/(IF(Cluster!AA274=Cluster!$W$8,Cluster!$W$10,IF(Cluster!AA274=Cluster!$X$8,Cluster!$X$10,IF(Cluster!AA274=Cluster!$Y$8,Cluster!$Y$10,0)))*10^3),"-"),Calculation!AK255)</f>
        <v>-</v>
      </c>
      <c r="U274" s="179" t="str">
        <f ca="1">IF(AND(L274&lt;&gt;"-",Q274&lt;&gt;"bypass"),IFERROR((0.5/50)*X274/$R$23,"-"),Calculation!AG255)</f>
        <v>-</v>
      </c>
      <c r="V274" s="179" t="str">
        <f ca="1">IF(AND(L274&lt;&gt;"-",Q274&lt;&gt;"bypass"),IFERROR(5/50*X274,"-"),Calculation!AI255)</f>
        <v>-</v>
      </c>
      <c r="W274" s="179" t="str">
        <f ca="1">IF(AND(L274&lt;&gt;"-",Q274&lt;&gt;"bypass"),IFERROR(35/50*X274,"-"),Calculation!AJ255)</f>
        <v>-</v>
      </c>
      <c r="X274" s="179" t="str">
        <f ca="1">IF(AND(L274&lt;&gt;"-",Q274&lt;&gt;"bypass"),$W$23,Calculation!AL255)</f>
        <v>-</v>
      </c>
      <c r="Y274" s="183" t="str">
        <f ca="1">IF(AND(L274&lt;&gt;"-",Q274&lt;&gt;"bypass"),IFERROR($R$23*U274/SUM(R274:U274),"-"),Calculation!AP255)</f>
        <v>-</v>
      </c>
      <c r="Z274" s="184" t="str">
        <f t="shared" ca="1" si="15"/>
        <v>-</v>
      </c>
      <c r="AA274" s="185" t="str">
        <f ca="1">IFERROR(IF(I274=0,"-",IF(AND(ROUND(H274*I274*X274/($W$10*10^3),1)&gt;=Calculation!$O$6,ROUND((((U274)*$R$23/0.05)-((S274)+(H274*I274*X274/($W$10*10^3))+(U274))),1)&gt;=0),Cluster!$W$8,IF(AND(ROUND(H274*I274*X274/($X$10*10^3),1)&gt;=Calculation!$O$6,ROUND((((U274)*$R$23/0.05)-((S274)+(H274*I274*X274/($X$10*10^3))+(U274))),1)&gt;=0),Cluster!$X$8,IF(AND(ROUND(H274*I274*X274/($Y$10*10^3),1)&gt;=Calculation!$O$6,ROUND((((U274)*$R$23/0.05)-((S274)+(H274*I274*X274/($Y$10*10^3))+(U274))),1)&gt;=0),Cluster!$Y$8,"Recepie by hand needed")))),"-")</f>
        <v>-</v>
      </c>
      <c r="AC274" s="37" t="str">
        <f t="shared" ca="1" si="16"/>
        <v>-</v>
      </c>
      <c r="AD274" s="37" t="str">
        <f t="shared" ca="1" si="17"/>
        <v>-</v>
      </c>
      <c r="AE274" s="220" t="str">
        <f t="shared" ca="1" si="18"/>
        <v>-</v>
      </c>
      <c r="AF274" s="37" t="str">
        <f t="shared" ca="1" si="19"/>
        <v>-</v>
      </c>
    </row>
    <row r="275" spans="1:32" ht="14.25" x14ac:dyDescent="0.5">
      <c r="A275" s="170" t="str">
        <f>Calculation!I256</f>
        <v/>
      </c>
      <c r="B275" s="221" t="str">
        <f ca="1">Calculation!B256</f>
        <v/>
      </c>
      <c r="C275" s="221" t="str">
        <f ca="1">Calculation!C256</f>
        <v/>
      </c>
      <c r="D275" s="172" t="str">
        <f ca="1">Calculation!AN256</f>
        <v/>
      </c>
      <c r="E275" s="173" t="str">
        <f ca="1">Calculation!D256</f>
        <v/>
      </c>
      <c r="F275" s="174" t="str">
        <f ca="1">Calculation!C256</f>
        <v/>
      </c>
      <c r="G275" s="175" t="str">
        <f ca="1">Calculation!F256</f>
        <v/>
      </c>
      <c r="H275" s="176" t="str">
        <f ca="1">Calculation!AD256</f>
        <v/>
      </c>
      <c r="I275" s="177" t="str">
        <f ca="1">Calculation!AE256</f>
        <v/>
      </c>
      <c r="J275" s="272" t="str">
        <f ca="1">IF(Calculation!Q256="","Selection",Calculation!Q256)</f>
        <v>Selection</v>
      </c>
      <c r="K275" s="179" t="str">
        <f ca="1">Calculation!T256</f>
        <v/>
      </c>
      <c r="L275" s="180" t="str">
        <f ca="1">Calculation!U256</f>
        <v>-</v>
      </c>
      <c r="M275" s="180" t="str">
        <f ca="1">Calculation!V256</f>
        <v>-</v>
      </c>
      <c r="N275" s="181"/>
      <c r="O275" s="180" t="str">
        <f ca="1">Calculation!X256</f>
        <v>-</v>
      </c>
      <c r="P275" s="180" t="str">
        <f ca="1">Calculation!Y256</f>
        <v>-</v>
      </c>
      <c r="Q275" s="273"/>
      <c r="R275" s="182" t="str">
        <f ca="1">IF(AND(L275&lt;&gt;"-",Q275&lt;&gt;"bypass"),IFERROR(IF((U275*$R$23/0.05)-SUM(S275:U275)&gt;0,(U275*$R$23/0.05)-SUM(S275:U275),0),"-"),Calculation!AH256)</f>
        <v>-</v>
      </c>
      <c r="S275" s="179" t="str">
        <f ca="1">IF(AND(L275&lt;&gt;"-",Q275&lt;&gt;"bypass"),IFERROR(X275*((H275*10^-12-H275*10^-12*I275)/(Calculation!$U$8*10^-9)),"-"),Calculation!AF256)</f>
        <v>-</v>
      </c>
      <c r="T275" s="179" t="str">
        <f ca="1">IF(AND(L275&lt;&gt;"-",Q275&lt;&gt;"bypass"),IFERROR(H275*I275*X275/(IF(Cluster!AA275=Cluster!$W$8,Cluster!$W$10,IF(Cluster!AA275=Cluster!$X$8,Cluster!$X$10,IF(Cluster!AA275=Cluster!$Y$8,Cluster!$Y$10,0)))*10^3),"-"),Calculation!AK256)</f>
        <v>-</v>
      </c>
      <c r="U275" s="179" t="str">
        <f ca="1">IF(AND(L275&lt;&gt;"-",Q275&lt;&gt;"bypass"),IFERROR((0.5/50)*X275/$R$23,"-"),Calculation!AG256)</f>
        <v>-</v>
      </c>
      <c r="V275" s="179" t="str">
        <f ca="1">IF(AND(L275&lt;&gt;"-",Q275&lt;&gt;"bypass"),IFERROR(5/50*X275,"-"),Calculation!AI256)</f>
        <v>-</v>
      </c>
      <c r="W275" s="179" t="str">
        <f ca="1">IF(AND(L275&lt;&gt;"-",Q275&lt;&gt;"bypass"),IFERROR(35/50*X275,"-"),Calculation!AJ256)</f>
        <v>-</v>
      </c>
      <c r="X275" s="179" t="str">
        <f ca="1">IF(AND(L275&lt;&gt;"-",Q275&lt;&gt;"bypass"),$W$23,Calculation!AL256)</f>
        <v>-</v>
      </c>
      <c r="Y275" s="183" t="str">
        <f ca="1">IF(AND(L275&lt;&gt;"-",Q275&lt;&gt;"bypass"),IFERROR($R$23*U275/SUM(R275:U275),"-"),Calculation!AP256)</f>
        <v>-</v>
      </c>
      <c r="Z275" s="184" t="str">
        <f t="shared" ca="1" si="15"/>
        <v>-</v>
      </c>
      <c r="AA275" s="185" t="str">
        <f ca="1">IFERROR(IF(I275=0,"-",IF(AND(ROUND(H275*I275*X275/($W$10*10^3),1)&gt;=Calculation!$O$6,ROUND((((U275)*$R$23/0.05)-((S275)+(H275*I275*X275/($W$10*10^3))+(U275))),1)&gt;=0),Cluster!$W$8,IF(AND(ROUND(H275*I275*X275/($X$10*10^3),1)&gt;=Calculation!$O$6,ROUND((((U275)*$R$23/0.05)-((S275)+(H275*I275*X275/($X$10*10^3))+(U275))),1)&gt;=0),Cluster!$X$8,IF(AND(ROUND(H275*I275*X275/($Y$10*10^3),1)&gt;=Calculation!$O$6,ROUND((((U275)*$R$23/0.05)-((S275)+(H275*I275*X275/($Y$10*10^3))+(U275))),1)&gt;=0),Cluster!$Y$8,"Recepie by hand needed")))),"-")</f>
        <v>-</v>
      </c>
      <c r="AC275" s="37" t="str">
        <f t="shared" ca="1" si="16"/>
        <v>-</v>
      </c>
      <c r="AD275" s="37" t="str">
        <f t="shared" ca="1" si="17"/>
        <v>-</v>
      </c>
      <c r="AE275" s="220" t="str">
        <f t="shared" ca="1" si="18"/>
        <v>-</v>
      </c>
      <c r="AF275" s="37" t="str">
        <f t="shared" ca="1" si="19"/>
        <v>-</v>
      </c>
    </row>
    <row r="276" spans="1:32" ht="14.25" x14ac:dyDescent="0.5">
      <c r="A276" s="170" t="str">
        <f>Calculation!I257</f>
        <v/>
      </c>
      <c r="B276" s="221" t="str">
        <f ca="1">Calculation!B257</f>
        <v/>
      </c>
      <c r="C276" s="221" t="str">
        <f ca="1">Calculation!C257</f>
        <v/>
      </c>
      <c r="D276" s="172" t="str">
        <f ca="1">Calculation!AN257</f>
        <v/>
      </c>
      <c r="E276" s="173" t="str">
        <f ca="1">Calculation!D257</f>
        <v/>
      </c>
      <c r="F276" s="174" t="str">
        <f ca="1">Calculation!C257</f>
        <v/>
      </c>
      <c r="G276" s="175" t="str">
        <f ca="1">Calculation!F257</f>
        <v/>
      </c>
      <c r="H276" s="176" t="str">
        <f ca="1">Calculation!AD257</f>
        <v/>
      </c>
      <c r="I276" s="177" t="str">
        <f ca="1">Calculation!AE257</f>
        <v/>
      </c>
      <c r="J276" s="272" t="str">
        <f ca="1">IF(Calculation!Q257="","Selection",Calculation!Q257)</f>
        <v>Selection</v>
      </c>
      <c r="K276" s="179" t="str">
        <f ca="1">Calculation!T257</f>
        <v/>
      </c>
      <c r="L276" s="180" t="str">
        <f ca="1">Calculation!U257</f>
        <v>-</v>
      </c>
      <c r="M276" s="180" t="str">
        <f ca="1">Calculation!V257</f>
        <v>-</v>
      </c>
      <c r="N276" s="181"/>
      <c r="O276" s="180" t="str">
        <f ca="1">Calculation!X257</f>
        <v>-</v>
      </c>
      <c r="P276" s="180" t="str">
        <f ca="1">Calculation!Y257</f>
        <v>-</v>
      </c>
      <c r="Q276" s="273"/>
      <c r="R276" s="182" t="str">
        <f ca="1">IF(AND(L276&lt;&gt;"-",Q276&lt;&gt;"bypass"),IFERROR(IF((U276*$R$23/0.05)-SUM(S276:U276)&gt;0,(U276*$R$23/0.05)-SUM(S276:U276),0),"-"),Calculation!AH257)</f>
        <v>-</v>
      </c>
      <c r="S276" s="179" t="str">
        <f ca="1">IF(AND(L276&lt;&gt;"-",Q276&lt;&gt;"bypass"),IFERROR(X276*((H276*10^-12-H276*10^-12*I276)/(Calculation!$U$8*10^-9)),"-"),Calculation!AF257)</f>
        <v>-</v>
      </c>
      <c r="T276" s="179" t="str">
        <f ca="1">IF(AND(L276&lt;&gt;"-",Q276&lt;&gt;"bypass"),IFERROR(H276*I276*X276/(IF(Cluster!AA276=Cluster!$W$8,Cluster!$W$10,IF(Cluster!AA276=Cluster!$X$8,Cluster!$X$10,IF(Cluster!AA276=Cluster!$Y$8,Cluster!$Y$10,0)))*10^3),"-"),Calculation!AK257)</f>
        <v>-</v>
      </c>
      <c r="U276" s="179" t="str">
        <f ca="1">IF(AND(L276&lt;&gt;"-",Q276&lt;&gt;"bypass"),IFERROR((0.5/50)*X276/$R$23,"-"),Calculation!AG257)</f>
        <v>-</v>
      </c>
      <c r="V276" s="179" t="str">
        <f ca="1">IF(AND(L276&lt;&gt;"-",Q276&lt;&gt;"bypass"),IFERROR(5/50*X276,"-"),Calculation!AI257)</f>
        <v>-</v>
      </c>
      <c r="W276" s="179" t="str">
        <f ca="1">IF(AND(L276&lt;&gt;"-",Q276&lt;&gt;"bypass"),IFERROR(35/50*X276,"-"),Calculation!AJ257)</f>
        <v>-</v>
      </c>
      <c r="X276" s="179" t="str">
        <f ca="1">IF(AND(L276&lt;&gt;"-",Q276&lt;&gt;"bypass"),$W$23,Calculation!AL257)</f>
        <v>-</v>
      </c>
      <c r="Y276" s="183" t="str">
        <f ca="1">IF(AND(L276&lt;&gt;"-",Q276&lt;&gt;"bypass"),IFERROR($R$23*U276/SUM(R276:U276),"-"),Calculation!AP257)</f>
        <v>-</v>
      </c>
      <c r="Z276" s="184" t="str">
        <f t="shared" ca="1" si="15"/>
        <v>-</v>
      </c>
      <c r="AA276" s="185" t="str">
        <f ca="1">IFERROR(IF(I276=0,"-",IF(AND(ROUND(H276*I276*X276/($W$10*10^3),1)&gt;=Calculation!$O$6,ROUND((((U276)*$R$23/0.05)-((S276)+(H276*I276*X276/($W$10*10^3))+(U276))),1)&gt;=0),Cluster!$W$8,IF(AND(ROUND(H276*I276*X276/($X$10*10^3),1)&gt;=Calculation!$O$6,ROUND((((U276)*$R$23/0.05)-((S276)+(H276*I276*X276/($X$10*10^3))+(U276))),1)&gt;=0),Cluster!$X$8,IF(AND(ROUND(H276*I276*X276/($Y$10*10^3),1)&gt;=Calculation!$O$6,ROUND((((U276)*$R$23/0.05)-((S276)+(H276*I276*X276/($Y$10*10^3))+(U276))),1)&gt;=0),Cluster!$Y$8,"Recepie by hand needed")))),"-")</f>
        <v>-</v>
      </c>
      <c r="AC276" s="37" t="str">
        <f t="shared" ca="1" si="16"/>
        <v>-</v>
      </c>
      <c r="AD276" s="37" t="str">
        <f t="shared" ca="1" si="17"/>
        <v>-</v>
      </c>
      <c r="AE276" s="220" t="str">
        <f t="shared" ca="1" si="18"/>
        <v>-</v>
      </c>
      <c r="AF276" s="37" t="str">
        <f t="shared" ca="1" si="19"/>
        <v>-</v>
      </c>
    </row>
    <row r="277" spans="1:32" ht="14.25" x14ac:dyDescent="0.5">
      <c r="A277" s="170" t="str">
        <f>Calculation!I258</f>
        <v/>
      </c>
      <c r="B277" s="221" t="str">
        <f ca="1">Calculation!B258</f>
        <v/>
      </c>
      <c r="C277" s="221" t="str">
        <f ca="1">Calculation!C258</f>
        <v/>
      </c>
      <c r="D277" s="172" t="str">
        <f ca="1">Calculation!AN258</f>
        <v/>
      </c>
      <c r="E277" s="173" t="str">
        <f ca="1">Calculation!D258</f>
        <v/>
      </c>
      <c r="F277" s="174" t="str">
        <f ca="1">Calculation!C258</f>
        <v/>
      </c>
      <c r="G277" s="175" t="str">
        <f ca="1">Calculation!F258</f>
        <v/>
      </c>
      <c r="H277" s="176" t="str">
        <f ca="1">Calculation!AD258</f>
        <v/>
      </c>
      <c r="I277" s="177" t="str">
        <f ca="1">Calculation!AE258</f>
        <v/>
      </c>
      <c r="J277" s="272" t="str">
        <f ca="1">IF(Calculation!Q258="","Selection",Calculation!Q258)</f>
        <v>Selection</v>
      </c>
      <c r="K277" s="179" t="str">
        <f ca="1">Calculation!T258</f>
        <v/>
      </c>
      <c r="L277" s="180" t="str">
        <f ca="1">Calculation!U258</f>
        <v>-</v>
      </c>
      <c r="M277" s="180" t="str">
        <f ca="1">Calculation!V258</f>
        <v>-</v>
      </c>
      <c r="N277" s="181"/>
      <c r="O277" s="180" t="str">
        <f ca="1">Calculation!X258</f>
        <v>-</v>
      </c>
      <c r="P277" s="180" t="str">
        <f ca="1">Calculation!Y258</f>
        <v>-</v>
      </c>
      <c r="Q277" s="273"/>
      <c r="R277" s="182" t="str">
        <f ca="1">IF(AND(L277&lt;&gt;"-",Q277&lt;&gt;"bypass"),IFERROR(IF((U277*$R$23/0.05)-SUM(S277:U277)&gt;0,(U277*$R$23/0.05)-SUM(S277:U277),0),"-"),Calculation!AH258)</f>
        <v>-</v>
      </c>
      <c r="S277" s="179" t="str">
        <f ca="1">IF(AND(L277&lt;&gt;"-",Q277&lt;&gt;"bypass"),IFERROR(X277*((H277*10^-12-H277*10^-12*I277)/(Calculation!$U$8*10^-9)),"-"),Calculation!AF258)</f>
        <v>-</v>
      </c>
      <c r="T277" s="179" t="str">
        <f ca="1">IF(AND(L277&lt;&gt;"-",Q277&lt;&gt;"bypass"),IFERROR(H277*I277*X277/(IF(Cluster!AA277=Cluster!$W$8,Cluster!$W$10,IF(Cluster!AA277=Cluster!$X$8,Cluster!$X$10,IF(Cluster!AA277=Cluster!$Y$8,Cluster!$Y$10,0)))*10^3),"-"),Calculation!AK258)</f>
        <v>-</v>
      </c>
      <c r="U277" s="179" t="str">
        <f ca="1">IF(AND(L277&lt;&gt;"-",Q277&lt;&gt;"bypass"),IFERROR((0.5/50)*X277/$R$23,"-"),Calculation!AG258)</f>
        <v>-</v>
      </c>
      <c r="V277" s="179" t="str">
        <f ca="1">IF(AND(L277&lt;&gt;"-",Q277&lt;&gt;"bypass"),IFERROR(5/50*X277,"-"),Calculation!AI258)</f>
        <v>-</v>
      </c>
      <c r="W277" s="179" t="str">
        <f ca="1">IF(AND(L277&lt;&gt;"-",Q277&lt;&gt;"bypass"),IFERROR(35/50*X277,"-"),Calculation!AJ258)</f>
        <v>-</v>
      </c>
      <c r="X277" s="179" t="str">
        <f ca="1">IF(AND(L277&lt;&gt;"-",Q277&lt;&gt;"bypass"),$W$23,Calculation!AL258)</f>
        <v>-</v>
      </c>
      <c r="Y277" s="183" t="str">
        <f ca="1">IF(AND(L277&lt;&gt;"-",Q277&lt;&gt;"bypass"),IFERROR($R$23*U277/SUM(R277:U277),"-"),Calculation!AP258)</f>
        <v>-</v>
      </c>
      <c r="Z277" s="184" t="str">
        <f t="shared" ca="1" si="15"/>
        <v>-</v>
      </c>
      <c r="AA277" s="185" t="str">
        <f ca="1">IFERROR(IF(I277=0,"-",IF(AND(ROUND(H277*I277*X277/($W$10*10^3),1)&gt;=Calculation!$O$6,ROUND((((U277)*$R$23/0.05)-((S277)+(H277*I277*X277/($W$10*10^3))+(U277))),1)&gt;=0),Cluster!$W$8,IF(AND(ROUND(H277*I277*X277/($X$10*10^3),1)&gt;=Calculation!$O$6,ROUND((((U277)*$R$23/0.05)-((S277)+(H277*I277*X277/($X$10*10^3))+(U277))),1)&gt;=0),Cluster!$X$8,IF(AND(ROUND(H277*I277*X277/($Y$10*10^3),1)&gt;=Calculation!$O$6,ROUND((((U277)*$R$23/0.05)-((S277)+(H277*I277*X277/($Y$10*10^3))+(U277))),1)&gt;=0),Cluster!$Y$8,"Recepie by hand needed")))),"-")</f>
        <v>-</v>
      </c>
      <c r="AC277" s="37" t="str">
        <f t="shared" ca="1" si="16"/>
        <v>-</v>
      </c>
      <c r="AD277" s="37" t="str">
        <f t="shared" ca="1" si="17"/>
        <v>-</v>
      </c>
      <c r="AE277" s="220" t="str">
        <f t="shared" ca="1" si="18"/>
        <v>-</v>
      </c>
      <c r="AF277" s="37" t="str">
        <f t="shared" ca="1" si="19"/>
        <v>-</v>
      </c>
    </row>
    <row r="278" spans="1:32" ht="14.25" x14ac:dyDescent="0.5">
      <c r="A278" s="170" t="str">
        <f>Calculation!I259</f>
        <v/>
      </c>
      <c r="B278" s="221" t="str">
        <f ca="1">Calculation!B259</f>
        <v/>
      </c>
      <c r="C278" s="221" t="str">
        <f ca="1">Calculation!C259</f>
        <v/>
      </c>
      <c r="D278" s="172" t="str">
        <f ca="1">Calculation!AN259</f>
        <v/>
      </c>
      <c r="E278" s="173" t="str">
        <f ca="1">Calculation!D259</f>
        <v/>
      </c>
      <c r="F278" s="174" t="str">
        <f ca="1">Calculation!C259</f>
        <v/>
      </c>
      <c r="G278" s="175" t="str">
        <f ca="1">Calculation!F259</f>
        <v/>
      </c>
      <c r="H278" s="176" t="str">
        <f ca="1">Calculation!AD259</f>
        <v/>
      </c>
      <c r="I278" s="177" t="str">
        <f ca="1">Calculation!AE259</f>
        <v/>
      </c>
      <c r="J278" s="272" t="str">
        <f ca="1">IF(Calculation!Q259="","Selection",Calculation!Q259)</f>
        <v>Selection</v>
      </c>
      <c r="K278" s="179" t="str">
        <f ca="1">Calculation!T259</f>
        <v/>
      </c>
      <c r="L278" s="180" t="str">
        <f ca="1">Calculation!U259</f>
        <v>-</v>
      </c>
      <c r="M278" s="180" t="str">
        <f ca="1">Calculation!V259</f>
        <v>-</v>
      </c>
      <c r="N278" s="181"/>
      <c r="O278" s="180" t="str">
        <f ca="1">Calculation!X259</f>
        <v>-</v>
      </c>
      <c r="P278" s="180" t="str">
        <f ca="1">Calculation!Y259</f>
        <v>-</v>
      </c>
      <c r="Q278" s="273"/>
      <c r="R278" s="182" t="str">
        <f ca="1">IF(AND(L278&lt;&gt;"-",Q278&lt;&gt;"bypass"),IFERROR(IF((U278*$R$23/0.05)-SUM(S278:U278)&gt;0,(U278*$R$23/0.05)-SUM(S278:U278),0),"-"),Calculation!AH259)</f>
        <v>-</v>
      </c>
      <c r="S278" s="179" t="str">
        <f ca="1">IF(AND(L278&lt;&gt;"-",Q278&lt;&gt;"bypass"),IFERROR(X278*((H278*10^-12-H278*10^-12*I278)/(Calculation!$U$8*10^-9)),"-"),Calculation!AF259)</f>
        <v>-</v>
      </c>
      <c r="T278" s="179" t="str">
        <f ca="1">IF(AND(L278&lt;&gt;"-",Q278&lt;&gt;"bypass"),IFERROR(H278*I278*X278/(IF(Cluster!AA278=Cluster!$W$8,Cluster!$W$10,IF(Cluster!AA278=Cluster!$X$8,Cluster!$X$10,IF(Cluster!AA278=Cluster!$Y$8,Cluster!$Y$10,0)))*10^3),"-"),Calculation!AK259)</f>
        <v>-</v>
      </c>
      <c r="U278" s="179" t="str">
        <f ca="1">IF(AND(L278&lt;&gt;"-",Q278&lt;&gt;"bypass"),IFERROR((0.5/50)*X278/$R$23,"-"),Calculation!AG259)</f>
        <v>-</v>
      </c>
      <c r="V278" s="179" t="str">
        <f ca="1">IF(AND(L278&lt;&gt;"-",Q278&lt;&gt;"bypass"),IFERROR(5/50*X278,"-"),Calculation!AI259)</f>
        <v>-</v>
      </c>
      <c r="W278" s="179" t="str">
        <f ca="1">IF(AND(L278&lt;&gt;"-",Q278&lt;&gt;"bypass"),IFERROR(35/50*X278,"-"),Calculation!AJ259)</f>
        <v>-</v>
      </c>
      <c r="X278" s="179" t="str">
        <f ca="1">IF(AND(L278&lt;&gt;"-",Q278&lt;&gt;"bypass"),$W$23,Calculation!AL259)</f>
        <v>-</v>
      </c>
      <c r="Y278" s="183" t="str">
        <f ca="1">IF(AND(L278&lt;&gt;"-",Q278&lt;&gt;"bypass"),IFERROR($R$23*U278/SUM(R278:U278),"-"),Calculation!AP259)</f>
        <v>-</v>
      </c>
      <c r="Z278" s="184" t="str">
        <f t="shared" ca="1" si="15"/>
        <v>-</v>
      </c>
      <c r="AA278" s="185" t="str">
        <f ca="1">IFERROR(IF(I278=0,"-",IF(AND(ROUND(H278*I278*X278/($W$10*10^3),1)&gt;=Calculation!$O$6,ROUND((((U278)*$R$23/0.05)-((S278)+(H278*I278*X278/($W$10*10^3))+(U278))),1)&gt;=0),Cluster!$W$8,IF(AND(ROUND(H278*I278*X278/($X$10*10^3),1)&gt;=Calculation!$O$6,ROUND((((U278)*$R$23/0.05)-((S278)+(H278*I278*X278/($X$10*10^3))+(U278))),1)&gt;=0),Cluster!$X$8,IF(AND(ROUND(H278*I278*X278/($Y$10*10^3),1)&gt;=Calculation!$O$6,ROUND((((U278)*$R$23/0.05)-((S278)+(H278*I278*X278/($Y$10*10^3))+(U278))),1)&gt;=0),Cluster!$Y$8,"Recepie by hand needed")))),"-")</f>
        <v>-</v>
      </c>
      <c r="AC278" s="37" t="str">
        <f t="shared" ca="1" si="16"/>
        <v>-</v>
      </c>
      <c r="AD278" s="37" t="str">
        <f t="shared" ca="1" si="17"/>
        <v>-</v>
      </c>
      <c r="AE278" s="220" t="str">
        <f t="shared" ca="1" si="18"/>
        <v>-</v>
      </c>
      <c r="AF278" s="37" t="str">
        <f t="shared" ca="1" si="19"/>
        <v>-</v>
      </c>
    </row>
    <row r="279" spans="1:32" ht="14.25" x14ac:dyDescent="0.5">
      <c r="A279" s="170" t="str">
        <f>Calculation!I260</f>
        <v/>
      </c>
      <c r="B279" s="221" t="str">
        <f ca="1">Calculation!B260</f>
        <v/>
      </c>
      <c r="C279" s="221" t="str">
        <f ca="1">Calculation!C260</f>
        <v/>
      </c>
      <c r="D279" s="172" t="str">
        <f ca="1">Calculation!AN260</f>
        <v/>
      </c>
      <c r="E279" s="173" t="str">
        <f ca="1">Calculation!D260</f>
        <v/>
      </c>
      <c r="F279" s="174" t="str">
        <f ca="1">Calculation!C260</f>
        <v/>
      </c>
      <c r="G279" s="175" t="str">
        <f ca="1">Calculation!F260</f>
        <v/>
      </c>
      <c r="H279" s="176" t="str">
        <f ca="1">Calculation!AD260</f>
        <v/>
      </c>
      <c r="I279" s="177" t="str">
        <f ca="1">Calculation!AE260</f>
        <v/>
      </c>
      <c r="J279" s="272" t="str">
        <f ca="1">IF(Calculation!Q260="","Selection",Calculation!Q260)</f>
        <v>Selection</v>
      </c>
      <c r="K279" s="179" t="str">
        <f ca="1">Calculation!T260</f>
        <v/>
      </c>
      <c r="L279" s="180" t="str">
        <f ca="1">Calculation!U260</f>
        <v>-</v>
      </c>
      <c r="M279" s="180" t="str">
        <f ca="1">Calculation!V260</f>
        <v>-</v>
      </c>
      <c r="N279" s="181"/>
      <c r="O279" s="180" t="str">
        <f ca="1">Calculation!X260</f>
        <v>-</v>
      </c>
      <c r="P279" s="180" t="str">
        <f ca="1">Calculation!Y260</f>
        <v>-</v>
      </c>
      <c r="Q279" s="273"/>
      <c r="R279" s="182" t="str">
        <f ca="1">IF(AND(L279&lt;&gt;"-",Q279&lt;&gt;"bypass"),IFERROR(IF((U279*$R$23/0.05)-SUM(S279:U279)&gt;0,(U279*$R$23/0.05)-SUM(S279:U279),0),"-"),Calculation!AH260)</f>
        <v>-</v>
      </c>
      <c r="S279" s="179" t="str">
        <f ca="1">IF(AND(L279&lt;&gt;"-",Q279&lt;&gt;"bypass"),IFERROR(X279*((H279*10^-12-H279*10^-12*I279)/(Calculation!$U$8*10^-9)),"-"),Calculation!AF260)</f>
        <v>-</v>
      </c>
      <c r="T279" s="179" t="str">
        <f ca="1">IF(AND(L279&lt;&gt;"-",Q279&lt;&gt;"bypass"),IFERROR(H279*I279*X279/(IF(Cluster!AA279=Cluster!$W$8,Cluster!$W$10,IF(Cluster!AA279=Cluster!$X$8,Cluster!$X$10,IF(Cluster!AA279=Cluster!$Y$8,Cluster!$Y$10,0)))*10^3),"-"),Calculation!AK260)</f>
        <v>-</v>
      </c>
      <c r="U279" s="179" t="str">
        <f ca="1">IF(AND(L279&lt;&gt;"-",Q279&lt;&gt;"bypass"),IFERROR((0.5/50)*X279/$R$23,"-"),Calculation!AG260)</f>
        <v>-</v>
      </c>
      <c r="V279" s="179" t="str">
        <f ca="1">IF(AND(L279&lt;&gt;"-",Q279&lt;&gt;"bypass"),IFERROR(5/50*X279,"-"),Calculation!AI260)</f>
        <v>-</v>
      </c>
      <c r="W279" s="179" t="str">
        <f ca="1">IF(AND(L279&lt;&gt;"-",Q279&lt;&gt;"bypass"),IFERROR(35/50*X279,"-"),Calculation!AJ260)</f>
        <v>-</v>
      </c>
      <c r="X279" s="179" t="str">
        <f ca="1">IF(AND(L279&lt;&gt;"-",Q279&lt;&gt;"bypass"),$W$23,Calculation!AL260)</f>
        <v>-</v>
      </c>
      <c r="Y279" s="183" t="str">
        <f ca="1">IF(AND(L279&lt;&gt;"-",Q279&lt;&gt;"bypass"),IFERROR($R$23*U279/SUM(R279:U279),"-"),Calculation!AP260)</f>
        <v>-</v>
      </c>
      <c r="Z279" s="184" t="str">
        <f t="shared" ca="1" si="15"/>
        <v>-</v>
      </c>
      <c r="AA279" s="185" t="str">
        <f ca="1">IFERROR(IF(I279=0,"-",IF(AND(ROUND(H279*I279*X279/($W$10*10^3),1)&gt;=Calculation!$O$6,ROUND((((U279)*$R$23/0.05)-((S279)+(H279*I279*X279/($W$10*10^3))+(U279))),1)&gt;=0),Cluster!$W$8,IF(AND(ROUND(H279*I279*X279/($X$10*10^3),1)&gt;=Calculation!$O$6,ROUND((((U279)*$R$23/0.05)-((S279)+(H279*I279*X279/($X$10*10^3))+(U279))),1)&gt;=0),Cluster!$X$8,IF(AND(ROUND(H279*I279*X279/($Y$10*10^3),1)&gt;=Calculation!$O$6,ROUND((((U279)*$R$23/0.05)-((S279)+(H279*I279*X279/($Y$10*10^3))+(U279))),1)&gt;=0),Cluster!$Y$8,"Recepie by hand needed")))),"-")</f>
        <v>-</v>
      </c>
      <c r="AC279" s="37" t="str">
        <f t="shared" ca="1" si="16"/>
        <v>-</v>
      </c>
      <c r="AD279" s="37" t="str">
        <f t="shared" ca="1" si="17"/>
        <v>-</v>
      </c>
      <c r="AE279" s="220" t="str">
        <f t="shared" ca="1" si="18"/>
        <v>-</v>
      </c>
      <c r="AF279" s="37" t="str">
        <f t="shared" ca="1" si="19"/>
        <v>-</v>
      </c>
    </row>
    <row r="280" spans="1:32" ht="14.25" x14ac:dyDescent="0.5">
      <c r="A280" s="170" t="str">
        <f>Calculation!I261</f>
        <v/>
      </c>
      <c r="B280" s="221" t="str">
        <f ca="1">Calculation!B261</f>
        <v/>
      </c>
      <c r="C280" s="221" t="str">
        <f ca="1">Calculation!C261</f>
        <v/>
      </c>
      <c r="D280" s="172" t="str">
        <f ca="1">Calculation!AN261</f>
        <v/>
      </c>
      <c r="E280" s="173" t="str">
        <f ca="1">Calculation!D261</f>
        <v/>
      </c>
      <c r="F280" s="174" t="str">
        <f ca="1">Calculation!C261</f>
        <v/>
      </c>
      <c r="G280" s="175" t="str">
        <f ca="1">Calculation!F261</f>
        <v/>
      </c>
      <c r="H280" s="176" t="str">
        <f ca="1">Calculation!AD261</f>
        <v/>
      </c>
      <c r="I280" s="177" t="str">
        <f ca="1">Calculation!AE261</f>
        <v/>
      </c>
      <c r="J280" s="272" t="str">
        <f ca="1">IF(Calculation!Q261="","Selection",Calculation!Q261)</f>
        <v>Selection</v>
      </c>
      <c r="K280" s="179" t="str">
        <f ca="1">Calculation!T261</f>
        <v/>
      </c>
      <c r="L280" s="180" t="str">
        <f ca="1">Calculation!U261</f>
        <v>-</v>
      </c>
      <c r="M280" s="180" t="str">
        <f ca="1">Calculation!V261</f>
        <v>-</v>
      </c>
      <c r="N280" s="181"/>
      <c r="O280" s="180" t="str">
        <f ca="1">Calculation!X261</f>
        <v>-</v>
      </c>
      <c r="P280" s="180" t="str">
        <f ca="1">Calculation!Y261</f>
        <v>-</v>
      </c>
      <c r="Q280" s="273"/>
      <c r="R280" s="182" t="str">
        <f ca="1">IF(AND(L280&lt;&gt;"-",Q280&lt;&gt;"bypass"),IFERROR(IF((U280*$R$23/0.05)-SUM(S280:U280)&gt;0,(U280*$R$23/0.05)-SUM(S280:U280),0),"-"),Calculation!AH261)</f>
        <v>-</v>
      </c>
      <c r="S280" s="179" t="str">
        <f ca="1">IF(AND(L280&lt;&gt;"-",Q280&lt;&gt;"bypass"),IFERROR(X280*((H280*10^-12-H280*10^-12*I280)/(Calculation!$U$8*10^-9)),"-"),Calculation!AF261)</f>
        <v>-</v>
      </c>
      <c r="T280" s="179" t="str">
        <f ca="1">IF(AND(L280&lt;&gt;"-",Q280&lt;&gt;"bypass"),IFERROR(H280*I280*X280/(IF(Cluster!AA280=Cluster!$W$8,Cluster!$W$10,IF(Cluster!AA280=Cluster!$X$8,Cluster!$X$10,IF(Cluster!AA280=Cluster!$Y$8,Cluster!$Y$10,0)))*10^3),"-"),Calculation!AK261)</f>
        <v>-</v>
      </c>
      <c r="U280" s="179" t="str">
        <f ca="1">IF(AND(L280&lt;&gt;"-",Q280&lt;&gt;"bypass"),IFERROR((0.5/50)*X280/$R$23,"-"),Calculation!AG261)</f>
        <v>-</v>
      </c>
      <c r="V280" s="179" t="str">
        <f ca="1">IF(AND(L280&lt;&gt;"-",Q280&lt;&gt;"bypass"),IFERROR(5/50*X280,"-"),Calculation!AI261)</f>
        <v>-</v>
      </c>
      <c r="W280" s="179" t="str">
        <f ca="1">IF(AND(L280&lt;&gt;"-",Q280&lt;&gt;"bypass"),IFERROR(35/50*X280,"-"),Calculation!AJ261)</f>
        <v>-</v>
      </c>
      <c r="X280" s="179" t="str">
        <f ca="1">IF(AND(L280&lt;&gt;"-",Q280&lt;&gt;"bypass"),$W$23,Calculation!AL261)</f>
        <v>-</v>
      </c>
      <c r="Y280" s="183" t="str">
        <f ca="1">IF(AND(L280&lt;&gt;"-",Q280&lt;&gt;"bypass"),IFERROR($R$23*U280/SUM(R280:U280),"-"),Calculation!AP261)</f>
        <v>-</v>
      </c>
      <c r="Z280" s="184" t="str">
        <f t="shared" ca="1" si="15"/>
        <v>-</v>
      </c>
      <c r="AA280" s="185" t="str">
        <f ca="1">IFERROR(IF(I280=0,"-",IF(AND(ROUND(H280*I280*X280/($W$10*10^3),1)&gt;=Calculation!$O$6,ROUND((((U280)*$R$23/0.05)-((S280)+(H280*I280*X280/($W$10*10^3))+(U280))),1)&gt;=0),Cluster!$W$8,IF(AND(ROUND(H280*I280*X280/($X$10*10^3),1)&gt;=Calculation!$O$6,ROUND((((U280)*$R$23/0.05)-((S280)+(H280*I280*X280/($X$10*10^3))+(U280))),1)&gt;=0),Cluster!$X$8,IF(AND(ROUND(H280*I280*X280/($Y$10*10^3),1)&gt;=Calculation!$O$6,ROUND((((U280)*$R$23/0.05)-((S280)+(H280*I280*X280/($Y$10*10^3))+(U280))),1)&gt;=0),Cluster!$Y$8,"Recepie by hand needed")))),"-")</f>
        <v>-</v>
      </c>
      <c r="AC280" s="37" t="str">
        <f t="shared" ca="1" si="16"/>
        <v>-</v>
      </c>
      <c r="AD280" s="37" t="str">
        <f t="shared" ca="1" si="17"/>
        <v>-</v>
      </c>
      <c r="AE280" s="220" t="str">
        <f t="shared" ca="1" si="18"/>
        <v>-</v>
      </c>
      <c r="AF280" s="37" t="str">
        <f t="shared" ca="1" si="19"/>
        <v>-</v>
      </c>
    </row>
    <row r="281" spans="1:32" ht="14.25" x14ac:dyDescent="0.5">
      <c r="A281" s="170" t="str">
        <f>Calculation!I262</f>
        <v/>
      </c>
      <c r="B281" s="221" t="str">
        <f ca="1">Calculation!B262</f>
        <v/>
      </c>
      <c r="C281" s="221" t="str">
        <f ca="1">Calculation!C262</f>
        <v/>
      </c>
      <c r="D281" s="172" t="str">
        <f ca="1">Calculation!AN262</f>
        <v/>
      </c>
      <c r="E281" s="173" t="str">
        <f ca="1">Calculation!D262</f>
        <v/>
      </c>
      <c r="F281" s="174" t="str">
        <f ca="1">Calculation!C262</f>
        <v/>
      </c>
      <c r="G281" s="175" t="str">
        <f ca="1">Calculation!F262</f>
        <v/>
      </c>
      <c r="H281" s="176" t="str">
        <f ca="1">Calculation!AD262</f>
        <v/>
      </c>
      <c r="I281" s="177" t="str">
        <f ca="1">Calculation!AE262</f>
        <v/>
      </c>
      <c r="J281" s="272" t="str">
        <f ca="1">IF(Calculation!Q262="","Selection",Calculation!Q262)</f>
        <v>Selection</v>
      </c>
      <c r="K281" s="179" t="str">
        <f ca="1">Calculation!T262</f>
        <v/>
      </c>
      <c r="L281" s="180" t="str">
        <f ca="1">Calculation!U262</f>
        <v>-</v>
      </c>
      <c r="M281" s="180" t="str">
        <f ca="1">Calculation!V262</f>
        <v>-</v>
      </c>
      <c r="N281" s="181"/>
      <c r="O281" s="180" t="str">
        <f ca="1">Calculation!X262</f>
        <v>-</v>
      </c>
      <c r="P281" s="180" t="str">
        <f ca="1">Calculation!Y262</f>
        <v>-</v>
      </c>
      <c r="Q281" s="273"/>
      <c r="R281" s="182" t="str">
        <f ca="1">IF(AND(L281&lt;&gt;"-",Q281&lt;&gt;"bypass"),IFERROR(IF((U281*$R$23/0.05)-SUM(S281:U281)&gt;0,(U281*$R$23/0.05)-SUM(S281:U281),0),"-"),Calculation!AH262)</f>
        <v>-</v>
      </c>
      <c r="S281" s="179" t="str">
        <f ca="1">IF(AND(L281&lt;&gt;"-",Q281&lt;&gt;"bypass"),IFERROR(X281*((H281*10^-12-H281*10^-12*I281)/(Calculation!$U$8*10^-9)),"-"),Calculation!AF262)</f>
        <v>-</v>
      </c>
      <c r="T281" s="179" t="str">
        <f ca="1">IF(AND(L281&lt;&gt;"-",Q281&lt;&gt;"bypass"),IFERROR(H281*I281*X281/(IF(Cluster!AA281=Cluster!$W$8,Cluster!$W$10,IF(Cluster!AA281=Cluster!$X$8,Cluster!$X$10,IF(Cluster!AA281=Cluster!$Y$8,Cluster!$Y$10,0)))*10^3),"-"),Calculation!AK262)</f>
        <v>-</v>
      </c>
      <c r="U281" s="179" t="str">
        <f ca="1">IF(AND(L281&lt;&gt;"-",Q281&lt;&gt;"bypass"),IFERROR((0.5/50)*X281/$R$23,"-"),Calculation!AG262)</f>
        <v>-</v>
      </c>
      <c r="V281" s="179" t="str">
        <f ca="1">IF(AND(L281&lt;&gt;"-",Q281&lt;&gt;"bypass"),IFERROR(5/50*X281,"-"),Calculation!AI262)</f>
        <v>-</v>
      </c>
      <c r="W281" s="179" t="str">
        <f ca="1">IF(AND(L281&lt;&gt;"-",Q281&lt;&gt;"bypass"),IFERROR(35/50*X281,"-"),Calculation!AJ262)</f>
        <v>-</v>
      </c>
      <c r="X281" s="179" t="str">
        <f ca="1">IF(AND(L281&lt;&gt;"-",Q281&lt;&gt;"bypass"),$W$23,Calculation!AL262)</f>
        <v>-</v>
      </c>
      <c r="Y281" s="183" t="str">
        <f ca="1">IF(AND(L281&lt;&gt;"-",Q281&lt;&gt;"bypass"),IFERROR($R$23*U281/SUM(R281:U281),"-"),Calculation!AP262)</f>
        <v>-</v>
      </c>
      <c r="Z281" s="184" t="str">
        <f t="shared" ca="1" si="15"/>
        <v>-</v>
      </c>
      <c r="AA281" s="185" t="str">
        <f ca="1">IFERROR(IF(I281=0,"-",IF(AND(ROUND(H281*I281*X281/($W$10*10^3),1)&gt;=Calculation!$O$6,ROUND((((U281)*$R$23/0.05)-((S281)+(H281*I281*X281/($W$10*10^3))+(U281))),1)&gt;=0),Cluster!$W$8,IF(AND(ROUND(H281*I281*X281/($X$10*10^3),1)&gt;=Calculation!$O$6,ROUND((((U281)*$R$23/0.05)-((S281)+(H281*I281*X281/($X$10*10^3))+(U281))),1)&gt;=0),Cluster!$X$8,IF(AND(ROUND(H281*I281*X281/($Y$10*10^3),1)&gt;=Calculation!$O$6,ROUND((((U281)*$R$23/0.05)-((S281)+(H281*I281*X281/($Y$10*10^3))+(U281))),1)&gt;=0),Cluster!$Y$8,"Recepie by hand needed")))),"-")</f>
        <v>-</v>
      </c>
      <c r="AC281" s="37" t="str">
        <f t="shared" ca="1" si="16"/>
        <v>-</v>
      </c>
      <c r="AD281" s="37" t="str">
        <f t="shared" ca="1" si="17"/>
        <v>-</v>
      </c>
      <c r="AE281" s="220" t="str">
        <f t="shared" ca="1" si="18"/>
        <v>-</v>
      </c>
      <c r="AF281" s="37" t="str">
        <f t="shared" ca="1" si="19"/>
        <v>-</v>
      </c>
    </row>
    <row r="282" spans="1:32" ht="14.25" x14ac:dyDescent="0.5">
      <c r="A282" s="170" t="str">
        <f>Calculation!I263</f>
        <v/>
      </c>
      <c r="B282" s="221" t="str">
        <f ca="1">Calculation!B263</f>
        <v/>
      </c>
      <c r="C282" s="221" t="str">
        <f ca="1">Calculation!C263</f>
        <v/>
      </c>
      <c r="D282" s="172" t="str">
        <f ca="1">Calculation!AN263</f>
        <v/>
      </c>
      <c r="E282" s="173" t="str">
        <f ca="1">Calculation!D263</f>
        <v/>
      </c>
      <c r="F282" s="174" t="str">
        <f ca="1">Calculation!C263</f>
        <v/>
      </c>
      <c r="G282" s="175" t="str">
        <f ca="1">Calculation!F263</f>
        <v/>
      </c>
      <c r="H282" s="176" t="str">
        <f ca="1">Calculation!AD263</f>
        <v/>
      </c>
      <c r="I282" s="177" t="str">
        <f ca="1">Calculation!AE263</f>
        <v/>
      </c>
      <c r="J282" s="272" t="str">
        <f ca="1">IF(Calculation!Q263="","Selection",Calculation!Q263)</f>
        <v>Selection</v>
      </c>
      <c r="K282" s="179" t="str">
        <f ca="1">Calculation!T263</f>
        <v/>
      </c>
      <c r="L282" s="180" t="str">
        <f ca="1">Calculation!U263</f>
        <v>-</v>
      </c>
      <c r="M282" s="180" t="str">
        <f ca="1">Calculation!V263</f>
        <v>-</v>
      </c>
      <c r="N282" s="181"/>
      <c r="O282" s="180" t="str">
        <f ca="1">Calculation!X263</f>
        <v>-</v>
      </c>
      <c r="P282" s="180" t="str">
        <f ca="1">Calculation!Y263</f>
        <v>-</v>
      </c>
      <c r="Q282" s="273"/>
      <c r="R282" s="182" t="str">
        <f ca="1">IF(AND(L282&lt;&gt;"-",Q282&lt;&gt;"bypass"),IFERROR(IF((U282*$R$23/0.05)-SUM(S282:U282)&gt;0,(U282*$R$23/0.05)-SUM(S282:U282),0),"-"),Calculation!AH263)</f>
        <v>-</v>
      </c>
      <c r="S282" s="179" t="str">
        <f ca="1">IF(AND(L282&lt;&gt;"-",Q282&lt;&gt;"bypass"),IFERROR(X282*((H282*10^-12-H282*10^-12*I282)/(Calculation!$U$8*10^-9)),"-"),Calculation!AF263)</f>
        <v>-</v>
      </c>
      <c r="T282" s="179" t="str">
        <f ca="1">IF(AND(L282&lt;&gt;"-",Q282&lt;&gt;"bypass"),IFERROR(H282*I282*X282/(IF(Cluster!AA282=Cluster!$W$8,Cluster!$W$10,IF(Cluster!AA282=Cluster!$X$8,Cluster!$X$10,IF(Cluster!AA282=Cluster!$Y$8,Cluster!$Y$10,0)))*10^3),"-"),Calculation!AK263)</f>
        <v>-</v>
      </c>
      <c r="U282" s="179" t="str">
        <f ca="1">IF(AND(L282&lt;&gt;"-",Q282&lt;&gt;"bypass"),IFERROR((0.5/50)*X282/$R$23,"-"),Calculation!AG263)</f>
        <v>-</v>
      </c>
      <c r="V282" s="179" t="str">
        <f ca="1">IF(AND(L282&lt;&gt;"-",Q282&lt;&gt;"bypass"),IFERROR(5/50*X282,"-"),Calculation!AI263)</f>
        <v>-</v>
      </c>
      <c r="W282" s="179" t="str">
        <f ca="1">IF(AND(L282&lt;&gt;"-",Q282&lt;&gt;"bypass"),IFERROR(35/50*X282,"-"),Calculation!AJ263)</f>
        <v>-</v>
      </c>
      <c r="X282" s="179" t="str">
        <f ca="1">IF(AND(L282&lt;&gt;"-",Q282&lt;&gt;"bypass"),$W$23,Calculation!AL263)</f>
        <v>-</v>
      </c>
      <c r="Y282" s="183" t="str">
        <f ca="1">IF(AND(L282&lt;&gt;"-",Q282&lt;&gt;"bypass"),IFERROR($R$23*U282/SUM(R282:U282),"-"),Calculation!AP263)</f>
        <v>-</v>
      </c>
      <c r="Z282" s="184" t="str">
        <f t="shared" ca="1" si="15"/>
        <v>-</v>
      </c>
      <c r="AA282" s="185" t="str">
        <f ca="1">IFERROR(IF(I282=0,"-",IF(AND(ROUND(H282*I282*X282/($W$10*10^3),1)&gt;=Calculation!$O$6,ROUND((((U282)*$R$23/0.05)-((S282)+(H282*I282*X282/($W$10*10^3))+(U282))),1)&gt;=0),Cluster!$W$8,IF(AND(ROUND(H282*I282*X282/($X$10*10^3),1)&gt;=Calculation!$O$6,ROUND((((U282)*$R$23/0.05)-((S282)+(H282*I282*X282/($X$10*10^3))+(U282))),1)&gt;=0),Cluster!$X$8,IF(AND(ROUND(H282*I282*X282/($Y$10*10^3),1)&gt;=Calculation!$O$6,ROUND((((U282)*$R$23/0.05)-((S282)+(H282*I282*X282/($Y$10*10^3))+(U282))),1)&gt;=0),Cluster!$Y$8,"Recepie by hand needed")))),"-")</f>
        <v>-</v>
      </c>
      <c r="AC282" s="37" t="str">
        <f t="shared" ca="1" si="16"/>
        <v>-</v>
      </c>
      <c r="AD282" s="37" t="str">
        <f t="shared" ca="1" si="17"/>
        <v>-</v>
      </c>
      <c r="AE282" s="220" t="str">
        <f t="shared" ca="1" si="18"/>
        <v>-</v>
      </c>
      <c r="AF282" s="37" t="str">
        <f t="shared" ca="1" si="19"/>
        <v>-</v>
      </c>
    </row>
    <row r="283" spans="1:32" ht="14.25" x14ac:dyDescent="0.5">
      <c r="A283" s="170" t="str">
        <f>Calculation!I264</f>
        <v/>
      </c>
      <c r="B283" s="221" t="str">
        <f ca="1">Calculation!B264</f>
        <v/>
      </c>
      <c r="C283" s="221" t="str">
        <f ca="1">Calculation!C264</f>
        <v/>
      </c>
      <c r="D283" s="172" t="str">
        <f ca="1">Calculation!AN264</f>
        <v/>
      </c>
      <c r="E283" s="173" t="str">
        <f ca="1">Calculation!D264</f>
        <v/>
      </c>
      <c r="F283" s="174" t="str">
        <f ca="1">Calculation!C264</f>
        <v/>
      </c>
      <c r="G283" s="175" t="str">
        <f ca="1">Calculation!F264</f>
        <v/>
      </c>
      <c r="H283" s="176" t="str">
        <f ca="1">Calculation!AD264</f>
        <v/>
      </c>
      <c r="I283" s="177" t="str">
        <f ca="1">Calculation!AE264</f>
        <v/>
      </c>
      <c r="J283" s="272" t="str">
        <f ca="1">IF(Calculation!Q264="","Selection",Calculation!Q264)</f>
        <v>Selection</v>
      </c>
      <c r="K283" s="179" t="str">
        <f ca="1">Calculation!T264</f>
        <v/>
      </c>
      <c r="L283" s="180" t="str">
        <f ca="1">Calculation!U264</f>
        <v>-</v>
      </c>
      <c r="M283" s="180" t="str">
        <f ca="1">Calculation!V264</f>
        <v>-</v>
      </c>
      <c r="N283" s="181"/>
      <c r="O283" s="180" t="str">
        <f ca="1">Calculation!X264</f>
        <v>-</v>
      </c>
      <c r="P283" s="180" t="str">
        <f ca="1">Calculation!Y264</f>
        <v>-</v>
      </c>
      <c r="Q283" s="273"/>
      <c r="R283" s="182" t="str">
        <f ca="1">IF(AND(L283&lt;&gt;"-",Q283&lt;&gt;"bypass"),IFERROR(IF((U283*$R$23/0.05)-SUM(S283:U283)&gt;0,(U283*$R$23/0.05)-SUM(S283:U283),0),"-"),Calculation!AH264)</f>
        <v>-</v>
      </c>
      <c r="S283" s="179" t="str">
        <f ca="1">IF(AND(L283&lt;&gt;"-",Q283&lt;&gt;"bypass"),IFERROR(X283*((H283*10^-12-H283*10^-12*I283)/(Calculation!$U$8*10^-9)),"-"),Calculation!AF264)</f>
        <v>-</v>
      </c>
      <c r="T283" s="179" t="str">
        <f ca="1">IF(AND(L283&lt;&gt;"-",Q283&lt;&gt;"bypass"),IFERROR(H283*I283*X283/(IF(Cluster!AA283=Cluster!$W$8,Cluster!$W$10,IF(Cluster!AA283=Cluster!$X$8,Cluster!$X$10,IF(Cluster!AA283=Cluster!$Y$8,Cluster!$Y$10,0)))*10^3),"-"),Calculation!AK264)</f>
        <v>-</v>
      </c>
      <c r="U283" s="179" t="str">
        <f ca="1">IF(AND(L283&lt;&gt;"-",Q283&lt;&gt;"bypass"),IFERROR((0.5/50)*X283/$R$23,"-"),Calculation!AG264)</f>
        <v>-</v>
      </c>
      <c r="V283" s="179" t="str">
        <f ca="1">IF(AND(L283&lt;&gt;"-",Q283&lt;&gt;"bypass"),IFERROR(5/50*X283,"-"),Calculation!AI264)</f>
        <v>-</v>
      </c>
      <c r="W283" s="179" t="str">
        <f ca="1">IF(AND(L283&lt;&gt;"-",Q283&lt;&gt;"bypass"),IFERROR(35/50*X283,"-"),Calculation!AJ264)</f>
        <v>-</v>
      </c>
      <c r="X283" s="179" t="str">
        <f ca="1">IF(AND(L283&lt;&gt;"-",Q283&lt;&gt;"bypass"),$W$23,Calculation!AL264)</f>
        <v>-</v>
      </c>
      <c r="Y283" s="183" t="str">
        <f ca="1">IF(AND(L283&lt;&gt;"-",Q283&lt;&gt;"bypass"),IFERROR($R$23*U283/SUM(R283:U283),"-"),Calculation!AP264)</f>
        <v>-</v>
      </c>
      <c r="Z283" s="184" t="str">
        <f t="shared" ca="1" si="15"/>
        <v>-</v>
      </c>
      <c r="AA283" s="185" t="str">
        <f ca="1">IFERROR(IF(I283=0,"-",IF(AND(ROUND(H283*I283*X283/($W$10*10^3),1)&gt;=Calculation!$O$6,ROUND((((U283)*$R$23/0.05)-((S283)+(H283*I283*X283/($W$10*10^3))+(U283))),1)&gt;=0),Cluster!$W$8,IF(AND(ROUND(H283*I283*X283/($X$10*10^3),1)&gt;=Calculation!$O$6,ROUND((((U283)*$R$23/0.05)-((S283)+(H283*I283*X283/($X$10*10^3))+(U283))),1)&gt;=0),Cluster!$X$8,IF(AND(ROUND(H283*I283*X283/($Y$10*10^3),1)&gt;=Calculation!$O$6,ROUND((((U283)*$R$23/0.05)-((S283)+(H283*I283*X283/($Y$10*10^3))+(U283))),1)&gt;=0),Cluster!$Y$8,"Recepie by hand needed")))),"-")</f>
        <v>-</v>
      </c>
      <c r="AC283" s="37" t="str">
        <f t="shared" ca="1" si="16"/>
        <v>-</v>
      </c>
      <c r="AD283" s="37" t="str">
        <f t="shared" ca="1" si="17"/>
        <v>-</v>
      </c>
      <c r="AE283" s="220" t="str">
        <f t="shared" ca="1" si="18"/>
        <v>-</v>
      </c>
      <c r="AF283" s="37" t="str">
        <f t="shared" ca="1" si="19"/>
        <v>-</v>
      </c>
    </row>
    <row r="284" spans="1:32" ht="14.25" x14ac:dyDescent="0.5">
      <c r="A284" s="170" t="str">
        <f>Calculation!I265</f>
        <v/>
      </c>
      <c r="B284" s="221" t="str">
        <f ca="1">Calculation!B265</f>
        <v/>
      </c>
      <c r="C284" s="221" t="str">
        <f ca="1">Calculation!C265</f>
        <v/>
      </c>
      <c r="D284" s="172" t="str">
        <f ca="1">Calculation!AN265</f>
        <v/>
      </c>
      <c r="E284" s="173" t="str">
        <f ca="1">Calculation!D265</f>
        <v/>
      </c>
      <c r="F284" s="174" t="str">
        <f ca="1">Calculation!C265</f>
        <v/>
      </c>
      <c r="G284" s="175" t="str">
        <f ca="1">Calculation!F265</f>
        <v/>
      </c>
      <c r="H284" s="176" t="str">
        <f ca="1">Calculation!AD265</f>
        <v/>
      </c>
      <c r="I284" s="177" t="str">
        <f ca="1">Calculation!AE265</f>
        <v/>
      </c>
      <c r="J284" s="272" t="str">
        <f ca="1">IF(Calculation!Q265="","Selection",Calculation!Q265)</f>
        <v>Selection</v>
      </c>
      <c r="K284" s="179" t="str">
        <f ca="1">Calculation!T265</f>
        <v/>
      </c>
      <c r="L284" s="180" t="str">
        <f ca="1">Calculation!U265</f>
        <v>-</v>
      </c>
      <c r="M284" s="180" t="str">
        <f ca="1">Calculation!V265</f>
        <v>-</v>
      </c>
      <c r="N284" s="181"/>
      <c r="O284" s="180" t="str">
        <f ca="1">Calculation!X265</f>
        <v>-</v>
      </c>
      <c r="P284" s="180" t="str">
        <f ca="1">Calculation!Y265</f>
        <v>-</v>
      </c>
      <c r="Q284" s="273"/>
      <c r="R284" s="182" t="str">
        <f ca="1">IF(AND(L284&lt;&gt;"-",Q284&lt;&gt;"bypass"),IFERROR(IF((U284*$R$23/0.05)-SUM(S284:U284)&gt;0,(U284*$R$23/0.05)-SUM(S284:U284),0),"-"),Calculation!AH265)</f>
        <v>-</v>
      </c>
      <c r="S284" s="179" t="str">
        <f ca="1">IF(AND(L284&lt;&gt;"-",Q284&lt;&gt;"bypass"),IFERROR(X284*((H284*10^-12-H284*10^-12*I284)/(Calculation!$U$8*10^-9)),"-"),Calculation!AF265)</f>
        <v>-</v>
      </c>
      <c r="T284" s="179" t="str">
        <f ca="1">IF(AND(L284&lt;&gt;"-",Q284&lt;&gt;"bypass"),IFERROR(H284*I284*X284/(IF(Cluster!AA284=Cluster!$W$8,Cluster!$W$10,IF(Cluster!AA284=Cluster!$X$8,Cluster!$X$10,IF(Cluster!AA284=Cluster!$Y$8,Cluster!$Y$10,0)))*10^3),"-"),Calculation!AK265)</f>
        <v>-</v>
      </c>
      <c r="U284" s="179" t="str">
        <f ca="1">IF(AND(L284&lt;&gt;"-",Q284&lt;&gt;"bypass"),IFERROR((0.5/50)*X284/$R$23,"-"),Calculation!AG265)</f>
        <v>-</v>
      </c>
      <c r="V284" s="179" t="str">
        <f ca="1">IF(AND(L284&lt;&gt;"-",Q284&lt;&gt;"bypass"),IFERROR(5/50*X284,"-"),Calculation!AI265)</f>
        <v>-</v>
      </c>
      <c r="W284" s="179" t="str">
        <f ca="1">IF(AND(L284&lt;&gt;"-",Q284&lt;&gt;"bypass"),IFERROR(35/50*X284,"-"),Calculation!AJ265)</f>
        <v>-</v>
      </c>
      <c r="X284" s="179" t="str">
        <f ca="1">IF(AND(L284&lt;&gt;"-",Q284&lt;&gt;"bypass"),$W$23,Calculation!AL265)</f>
        <v>-</v>
      </c>
      <c r="Y284" s="183" t="str">
        <f ca="1">IF(AND(L284&lt;&gt;"-",Q284&lt;&gt;"bypass"),IFERROR($R$23*U284/SUM(R284:U284),"-"),Calculation!AP265)</f>
        <v>-</v>
      </c>
      <c r="Z284" s="184" t="str">
        <f t="shared" ca="1" si="15"/>
        <v>-</v>
      </c>
      <c r="AA284" s="185" t="str">
        <f ca="1">IFERROR(IF(I284=0,"-",IF(AND(ROUND(H284*I284*X284/($W$10*10^3),1)&gt;=Calculation!$O$6,ROUND((((U284)*$R$23/0.05)-((S284)+(H284*I284*X284/($W$10*10^3))+(U284))),1)&gt;=0),Cluster!$W$8,IF(AND(ROUND(H284*I284*X284/($X$10*10^3),1)&gt;=Calculation!$O$6,ROUND((((U284)*$R$23/0.05)-((S284)+(H284*I284*X284/($X$10*10^3))+(U284))),1)&gt;=0),Cluster!$X$8,IF(AND(ROUND(H284*I284*X284/($Y$10*10^3),1)&gt;=Calculation!$O$6,ROUND((((U284)*$R$23/0.05)-((S284)+(H284*I284*X284/($Y$10*10^3))+(U284))),1)&gt;=0),Cluster!$Y$8,"Recepie by hand needed")))),"-")</f>
        <v>-</v>
      </c>
      <c r="AC284" s="37" t="str">
        <f t="shared" ca="1" si="16"/>
        <v>-</v>
      </c>
      <c r="AD284" s="37" t="str">
        <f t="shared" ca="1" si="17"/>
        <v>-</v>
      </c>
      <c r="AE284" s="220" t="str">
        <f t="shared" ca="1" si="18"/>
        <v>-</v>
      </c>
      <c r="AF284" s="37" t="str">
        <f t="shared" ca="1" si="19"/>
        <v>-</v>
      </c>
    </row>
    <row r="285" spans="1:32" ht="14.25" x14ac:dyDescent="0.5">
      <c r="A285" s="170" t="str">
        <f>Calculation!I266</f>
        <v/>
      </c>
      <c r="B285" s="221" t="str">
        <f ca="1">Calculation!B266</f>
        <v/>
      </c>
      <c r="C285" s="221" t="str">
        <f ca="1">Calculation!C266</f>
        <v/>
      </c>
      <c r="D285" s="172" t="str">
        <f ca="1">Calculation!AN266</f>
        <v/>
      </c>
      <c r="E285" s="173" t="str">
        <f ca="1">Calculation!D266</f>
        <v/>
      </c>
      <c r="F285" s="174" t="str">
        <f ca="1">Calculation!C266</f>
        <v/>
      </c>
      <c r="G285" s="175" t="str">
        <f ca="1">Calculation!F266</f>
        <v/>
      </c>
      <c r="H285" s="176" t="str">
        <f ca="1">Calculation!AD266</f>
        <v/>
      </c>
      <c r="I285" s="177" t="str">
        <f ca="1">Calculation!AE266</f>
        <v/>
      </c>
      <c r="J285" s="272" t="str">
        <f ca="1">IF(Calculation!Q266="","Selection",Calculation!Q266)</f>
        <v>Selection</v>
      </c>
      <c r="K285" s="179" t="str">
        <f ca="1">Calculation!T266</f>
        <v/>
      </c>
      <c r="L285" s="180" t="str">
        <f ca="1">Calculation!U266</f>
        <v>-</v>
      </c>
      <c r="M285" s="180" t="str">
        <f ca="1">Calculation!V266</f>
        <v>-</v>
      </c>
      <c r="N285" s="181"/>
      <c r="O285" s="180" t="str">
        <f ca="1">Calculation!X266</f>
        <v>-</v>
      </c>
      <c r="P285" s="180" t="str">
        <f ca="1">Calculation!Y266</f>
        <v>-</v>
      </c>
      <c r="Q285" s="273"/>
      <c r="R285" s="182" t="str">
        <f ca="1">IF(AND(L285&lt;&gt;"-",Q285&lt;&gt;"bypass"),IFERROR(IF((U285*$R$23/0.05)-SUM(S285:U285)&gt;0,(U285*$R$23/0.05)-SUM(S285:U285),0),"-"),Calculation!AH266)</f>
        <v>-</v>
      </c>
      <c r="S285" s="179" t="str">
        <f ca="1">IF(AND(L285&lt;&gt;"-",Q285&lt;&gt;"bypass"),IFERROR(X285*((H285*10^-12-H285*10^-12*I285)/(Calculation!$U$8*10^-9)),"-"),Calculation!AF266)</f>
        <v>-</v>
      </c>
      <c r="T285" s="179" t="str">
        <f ca="1">IF(AND(L285&lt;&gt;"-",Q285&lt;&gt;"bypass"),IFERROR(H285*I285*X285/(IF(Cluster!AA285=Cluster!$W$8,Cluster!$W$10,IF(Cluster!AA285=Cluster!$X$8,Cluster!$X$10,IF(Cluster!AA285=Cluster!$Y$8,Cluster!$Y$10,0)))*10^3),"-"),Calculation!AK266)</f>
        <v>-</v>
      </c>
      <c r="U285" s="179" t="str">
        <f ca="1">IF(AND(L285&lt;&gt;"-",Q285&lt;&gt;"bypass"),IFERROR((0.5/50)*X285/$R$23,"-"),Calculation!AG266)</f>
        <v>-</v>
      </c>
      <c r="V285" s="179" t="str">
        <f ca="1">IF(AND(L285&lt;&gt;"-",Q285&lt;&gt;"bypass"),IFERROR(5/50*X285,"-"),Calculation!AI266)</f>
        <v>-</v>
      </c>
      <c r="W285" s="179" t="str">
        <f ca="1">IF(AND(L285&lt;&gt;"-",Q285&lt;&gt;"bypass"),IFERROR(35/50*X285,"-"),Calculation!AJ266)</f>
        <v>-</v>
      </c>
      <c r="X285" s="179" t="str">
        <f ca="1">IF(AND(L285&lt;&gt;"-",Q285&lt;&gt;"bypass"),$W$23,Calculation!AL266)</f>
        <v>-</v>
      </c>
      <c r="Y285" s="183" t="str">
        <f ca="1">IF(AND(L285&lt;&gt;"-",Q285&lt;&gt;"bypass"),IFERROR($R$23*U285/SUM(R285:U285),"-"),Calculation!AP266)</f>
        <v>-</v>
      </c>
      <c r="Z285" s="184" t="str">
        <f t="shared" ref="Z285:Z348" ca="1" si="20">IF(INDEX(Calculation_Tab,MATCH(C285,Identifier,0),45)&lt;&gt;"-",A285,"-")</f>
        <v>-</v>
      </c>
      <c r="AA285" s="185" t="str">
        <f ca="1">IFERROR(IF(I285=0,"-",IF(AND(ROUND(H285*I285*X285/($W$10*10^3),1)&gt;=Calculation!$O$6,ROUND((((U285)*$R$23/0.05)-((S285)+(H285*I285*X285/($W$10*10^3))+(U285))),1)&gt;=0),Cluster!$W$8,IF(AND(ROUND(H285*I285*X285/($X$10*10^3),1)&gt;=Calculation!$O$6,ROUND((((U285)*$R$23/0.05)-((S285)+(H285*I285*X285/($X$10*10^3))+(U285))),1)&gt;=0),Cluster!$X$8,IF(AND(ROUND(H285*I285*X285/($Y$10*10^3),1)&gt;=Calculation!$O$6,ROUND((((U285)*$R$23/0.05)-((S285)+(H285*I285*X285/($Y$10*10^3))+(U285))),1)&gt;=0),Cluster!$Y$8,"Recepie by hand needed")))),"-")</f>
        <v>-</v>
      </c>
      <c r="AC285" s="37" t="str">
        <f t="shared" ref="AC285:AC348" ca="1" si="21">IFERROR(IF((I285*(H285*10^-12)*X285/((U285*$R$23-0.05*SUM(S285,U285))/0.05))/10^-9&lt;=0,"-",(I285*(H285*10^-12)*X285/((U285*$R$23-0.05*SUM(S285,U285))/0.05))/10^-9),"-")</f>
        <v>-</v>
      </c>
      <c r="AD285" s="37" t="str">
        <f t="shared" ref="AD285:AD348" ca="1" si="22">IFERROR(IF((I285*(H285*10^-12)*X285/10^-9)&lt;=0,"-",I285*(H285*10^-12)*X285/10^-9),"-")</f>
        <v>-</v>
      </c>
      <c r="AE285" s="220" t="str">
        <f t="shared" ref="AE285:AE348" ca="1" si="23">IFERROR(AD285-AC285,"-")</f>
        <v>-</v>
      </c>
      <c r="AF285" s="37" t="str">
        <f t="shared" ref="AF285:AF348" ca="1" si="24">IFERROR(IF(AVERAGE(AC285:AD285)&lt;=0,0.1,AVERAGE(AC285:AD285)),"-")</f>
        <v>-</v>
      </c>
    </row>
    <row r="286" spans="1:32" ht="14.25" x14ac:dyDescent="0.5">
      <c r="A286" s="170" t="str">
        <f>Calculation!I267</f>
        <v/>
      </c>
      <c r="B286" s="221" t="str">
        <f ca="1">Calculation!B267</f>
        <v/>
      </c>
      <c r="C286" s="221" t="str">
        <f ca="1">Calculation!C267</f>
        <v/>
      </c>
      <c r="D286" s="172" t="str">
        <f ca="1">Calculation!AN267</f>
        <v/>
      </c>
      <c r="E286" s="173" t="str">
        <f ca="1">Calculation!D267</f>
        <v/>
      </c>
      <c r="F286" s="174" t="str">
        <f ca="1">Calculation!C267</f>
        <v/>
      </c>
      <c r="G286" s="175" t="str">
        <f ca="1">Calculation!F267</f>
        <v/>
      </c>
      <c r="H286" s="176" t="str">
        <f ca="1">Calculation!AD267</f>
        <v/>
      </c>
      <c r="I286" s="177" t="str">
        <f ca="1">Calculation!AE267</f>
        <v/>
      </c>
      <c r="J286" s="272" t="str">
        <f ca="1">IF(Calculation!Q267="","Selection",Calculation!Q267)</f>
        <v>Selection</v>
      </c>
      <c r="K286" s="179" t="str">
        <f ca="1">Calculation!T267</f>
        <v/>
      </c>
      <c r="L286" s="180" t="str">
        <f ca="1">Calculation!U267</f>
        <v>-</v>
      </c>
      <c r="M286" s="180" t="str">
        <f ca="1">Calculation!V267</f>
        <v>-</v>
      </c>
      <c r="N286" s="181"/>
      <c r="O286" s="180" t="str">
        <f ca="1">Calculation!X267</f>
        <v>-</v>
      </c>
      <c r="P286" s="180" t="str">
        <f ca="1">Calculation!Y267</f>
        <v>-</v>
      </c>
      <c r="Q286" s="273"/>
      <c r="R286" s="182" t="str">
        <f ca="1">IF(AND(L286&lt;&gt;"-",Q286&lt;&gt;"bypass"),IFERROR(IF((U286*$R$23/0.05)-SUM(S286:U286)&gt;0,(U286*$R$23/0.05)-SUM(S286:U286),0),"-"),Calculation!AH267)</f>
        <v>-</v>
      </c>
      <c r="S286" s="179" t="str">
        <f ca="1">IF(AND(L286&lt;&gt;"-",Q286&lt;&gt;"bypass"),IFERROR(X286*((H286*10^-12-H286*10^-12*I286)/(Calculation!$U$8*10^-9)),"-"),Calculation!AF267)</f>
        <v>-</v>
      </c>
      <c r="T286" s="179" t="str">
        <f ca="1">IF(AND(L286&lt;&gt;"-",Q286&lt;&gt;"bypass"),IFERROR(H286*I286*X286/(IF(Cluster!AA286=Cluster!$W$8,Cluster!$W$10,IF(Cluster!AA286=Cluster!$X$8,Cluster!$X$10,IF(Cluster!AA286=Cluster!$Y$8,Cluster!$Y$10,0)))*10^3),"-"),Calculation!AK267)</f>
        <v>-</v>
      </c>
      <c r="U286" s="179" t="str">
        <f ca="1">IF(AND(L286&lt;&gt;"-",Q286&lt;&gt;"bypass"),IFERROR((0.5/50)*X286/$R$23,"-"),Calculation!AG267)</f>
        <v>-</v>
      </c>
      <c r="V286" s="179" t="str">
        <f ca="1">IF(AND(L286&lt;&gt;"-",Q286&lt;&gt;"bypass"),IFERROR(5/50*X286,"-"),Calculation!AI267)</f>
        <v>-</v>
      </c>
      <c r="W286" s="179" t="str">
        <f ca="1">IF(AND(L286&lt;&gt;"-",Q286&lt;&gt;"bypass"),IFERROR(35/50*X286,"-"),Calculation!AJ267)</f>
        <v>-</v>
      </c>
      <c r="X286" s="179" t="str">
        <f ca="1">IF(AND(L286&lt;&gt;"-",Q286&lt;&gt;"bypass"),$W$23,Calculation!AL267)</f>
        <v>-</v>
      </c>
      <c r="Y286" s="183" t="str">
        <f ca="1">IF(AND(L286&lt;&gt;"-",Q286&lt;&gt;"bypass"),IFERROR($R$23*U286/SUM(R286:U286),"-"),Calculation!AP267)</f>
        <v>-</v>
      </c>
      <c r="Z286" s="184" t="str">
        <f t="shared" ca="1" si="20"/>
        <v>-</v>
      </c>
      <c r="AA286" s="185" t="str">
        <f ca="1">IFERROR(IF(I286=0,"-",IF(AND(ROUND(H286*I286*X286/($W$10*10^3),1)&gt;=Calculation!$O$6,ROUND((((U286)*$R$23/0.05)-((S286)+(H286*I286*X286/($W$10*10^3))+(U286))),1)&gt;=0),Cluster!$W$8,IF(AND(ROUND(H286*I286*X286/($X$10*10^3),1)&gt;=Calculation!$O$6,ROUND((((U286)*$R$23/0.05)-((S286)+(H286*I286*X286/($X$10*10^3))+(U286))),1)&gt;=0),Cluster!$X$8,IF(AND(ROUND(H286*I286*X286/($Y$10*10^3),1)&gt;=Calculation!$O$6,ROUND((((U286)*$R$23/0.05)-((S286)+(H286*I286*X286/($Y$10*10^3))+(U286))),1)&gt;=0),Cluster!$Y$8,"Recepie by hand needed")))),"-")</f>
        <v>-</v>
      </c>
      <c r="AC286" s="37" t="str">
        <f t="shared" ca="1" si="21"/>
        <v>-</v>
      </c>
      <c r="AD286" s="37" t="str">
        <f t="shared" ca="1" si="22"/>
        <v>-</v>
      </c>
      <c r="AE286" s="220" t="str">
        <f t="shared" ca="1" si="23"/>
        <v>-</v>
      </c>
      <c r="AF286" s="37" t="str">
        <f t="shared" ca="1" si="24"/>
        <v>-</v>
      </c>
    </row>
    <row r="287" spans="1:32" ht="14.25" x14ac:dyDescent="0.5">
      <c r="A287" s="170" t="str">
        <f>Calculation!I268</f>
        <v/>
      </c>
      <c r="B287" s="221" t="str">
        <f ca="1">Calculation!B268</f>
        <v/>
      </c>
      <c r="C287" s="221" t="str">
        <f ca="1">Calculation!C268</f>
        <v/>
      </c>
      <c r="D287" s="172" t="str">
        <f ca="1">Calculation!AN268</f>
        <v/>
      </c>
      <c r="E287" s="173" t="str">
        <f ca="1">Calculation!D268</f>
        <v/>
      </c>
      <c r="F287" s="174" t="str">
        <f ca="1">Calculation!C268</f>
        <v/>
      </c>
      <c r="G287" s="175" t="str">
        <f ca="1">Calculation!F268</f>
        <v/>
      </c>
      <c r="H287" s="176" t="str">
        <f ca="1">Calculation!AD268</f>
        <v/>
      </c>
      <c r="I287" s="177" t="str">
        <f ca="1">Calculation!AE268</f>
        <v/>
      </c>
      <c r="J287" s="272" t="str">
        <f ca="1">IF(Calculation!Q268="","Selection",Calculation!Q268)</f>
        <v>Selection</v>
      </c>
      <c r="K287" s="179" t="str">
        <f ca="1">Calculation!T268</f>
        <v/>
      </c>
      <c r="L287" s="180" t="str">
        <f ca="1">Calculation!U268</f>
        <v>-</v>
      </c>
      <c r="M287" s="180" t="str">
        <f ca="1">Calculation!V268</f>
        <v>-</v>
      </c>
      <c r="N287" s="181"/>
      <c r="O287" s="180" t="str">
        <f ca="1">Calculation!X268</f>
        <v>-</v>
      </c>
      <c r="P287" s="180" t="str">
        <f ca="1">Calculation!Y268</f>
        <v>-</v>
      </c>
      <c r="Q287" s="273"/>
      <c r="R287" s="182" t="str">
        <f ca="1">IF(AND(L287&lt;&gt;"-",Q287&lt;&gt;"bypass"),IFERROR(IF((U287*$R$23/0.05)-SUM(S287:U287)&gt;0,(U287*$R$23/0.05)-SUM(S287:U287),0),"-"),Calculation!AH268)</f>
        <v>-</v>
      </c>
      <c r="S287" s="179" t="str">
        <f ca="1">IF(AND(L287&lt;&gt;"-",Q287&lt;&gt;"bypass"),IFERROR(X287*((H287*10^-12-H287*10^-12*I287)/(Calculation!$U$8*10^-9)),"-"),Calculation!AF268)</f>
        <v>-</v>
      </c>
      <c r="T287" s="179" t="str">
        <f ca="1">IF(AND(L287&lt;&gt;"-",Q287&lt;&gt;"bypass"),IFERROR(H287*I287*X287/(IF(Cluster!AA287=Cluster!$W$8,Cluster!$W$10,IF(Cluster!AA287=Cluster!$X$8,Cluster!$X$10,IF(Cluster!AA287=Cluster!$Y$8,Cluster!$Y$10,0)))*10^3),"-"),Calculation!AK268)</f>
        <v>-</v>
      </c>
      <c r="U287" s="179" t="str">
        <f ca="1">IF(AND(L287&lt;&gt;"-",Q287&lt;&gt;"bypass"),IFERROR((0.5/50)*X287/$R$23,"-"),Calculation!AG268)</f>
        <v>-</v>
      </c>
      <c r="V287" s="179" t="str">
        <f ca="1">IF(AND(L287&lt;&gt;"-",Q287&lt;&gt;"bypass"),IFERROR(5/50*X287,"-"),Calculation!AI268)</f>
        <v>-</v>
      </c>
      <c r="W287" s="179" t="str">
        <f ca="1">IF(AND(L287&lt;&gt;"-",Q287&lt;&gt;"bypass"),IFERROR(35/50*X287,"-"),Calculation!AJ268)</f>
        <v>-</v>
      </c>
      <c r="X287" s="179" t="str">
        <f ca="1">IF(AND(L287&lt;&gt;"-",Q287&lt;&gt;"bypass"),$W$23,Calculation!AL268)</f>
        <v>-</v>
      </c>
      <c r="Y287" s="183" t="str">
        <f ca="1">IF(AND(L287&lt;&gt;"-",Q287&lt;&gt;"bypass"),IFERROR($R$23*U287/SUM(R287:U287),"-"),Calculation!AP268)</f>
        <v>-</v>
      </c>
      <c r="Z287" s="184" t="str">
        <f t="shared" ca="1" si="20"/>
        <v>-</v>
      </c>
      <c r="AA287" s="185" t="str">
        <f ca="1">IFERROR(IF(I287=0,"-",IF(AND(ROUND(H287*I287*X287/($W$10*10^3),1)&gt;=Calculation!$O$6,ROUND((((U287)*$R$23/0.05)-((S287)+(H287*I287*X287/($W$10*10^3))+(U287))),1)&gt;=0),Cluster!$W$8,IF(AND(ROUND(H287*I287*X287/($X$10*10^3),1)&gt;=Calculation!$O$6,ROUND((((U287)*$R$23/0.05)-((S287)+(H287*I287*X287/($X$10*10^3))+(U287))),1)&gt;=0),Cluster!$X$8,IF(AND(ROUND(H287*I287*X287/($Y$10*10^3),1)&gt;=Calculation!$O$6,ROUND((((U287)*$R$23/0.05)-((S287)+(H287*I287*X287/($Y$10*10^3))+(U287))),1)&gt;=0),Cluster!$Y$8,"Recepie by hand needed")))),"-")</f>
        <v>-</v>
      </c>
      <c r="AC287" s="37" t="str">
        <f t="shared" ca="1" si="21"/>
        <v>-</v>
      </c>
      <c r="AD287" s="37" t="str">
        <f t="shared" ca="1" si="22"/>
        <v>-</v>
      </c>
      <c r="AE287" s="220" t="str">
        <f t="shared" ca="1" si="23"/>
        <v>-</v>
      </c>
      <c r="AF287" s="37" t="str">
        <f t="shared" ca="1" si="24"/>
        <v>-</v>
      </c>
    </row>
    <row r="288" spans="1:32" ht="14.25" x14ac:dyDescent="0.5">
      <c r="A288" s="170" t="str">
        <f>Calculation!I269</f>
        <v/>
      </c>
      <c r="B288" s="221" t="str">
        <f ca="1">Calculation!B269</f>
        <v/>
      </c>
      <c r="C288" s="221" t="str">
        <f ca="1">Calculation!C269</f>
        <v/>
      </c>
      <c r="D288" s="172" t="str">
        <f ca="1">Calculation!AN269</f>
        <v/>
      </c>
      <c r="E288" s="173" t="str">
        <f ca="1">Calculation!D269</f>
        <v/>
      </c>
      <c r="F288" s="174" t="str">
        <f ca="1">Calculation!C269</f>
        <v/>
      </c>
      <c r="G288" s="175" t="str">
        <f ca="1">Calculation!F269</f>
        <v/>
      </c>
      <c r="H288" s="176" t="str">
        <f ca="1">Calculation!AD269</f>
        <v/>
      </c>
      <c r="I288" s="177" t="str">
        <f ca="1">Calculation!AE269</f>
        <v/>
      </c>
      <c r="J288" s="272" t="str">
        <f ca="1">IF(Calculation!Q269="","Selection",Calculation!Q269)</f>
        <v>Selection</v>
      </c>
      <c r="K288" s="179" t="str">
        <f ca="1">Calculation!T269</f>
        <v/>
      </c>
      <c r="L288" s="180" t="str">
        <f ca="1">Calculation!U269</f>
        <v>-</v>
      </c>
      <c r="M288" s="180" t="str">
        <f ca="1">Calculation!V269</f>
        <v>-</v>
      </c>
      <c r="N288" s="181"/>
      <c r="O288" s="180" t="str">
        <f ca="1">Calculation!X269</f>
        <v>-</v>
      </c>
      <c r="P288" s="180" t="str">
        <f ca="1">Calculation!Y269</f>
        <v>-</v>
      </c>
      <c r="Q288" s="273"/>
      <c r="R288" s="182" t="str">
        <f ca="1">IF(AND(L288&lt;&gt;"-",Q288&lt;&gt;"bypass"),IFERROR(IF((U288*$R$23/0.05)-SUM(S288:U288)&gt;0,(U288*$R$23/0.05)-SUM(S288:U288),0),"-"),Calculation!AH269)</f>
        <v>-</v>
      </c>
      <c r="S288" s="179" t="str">
        <f ca="1">IF(AND(L288&lt;&gt;"-",Q288&lt;&gt;"bypass"),IFERROR(X288*((H288*10^-12-H288*10^-12*I288)/(Calculation!$U$8*10^-9)),"-"),Calculation!AF269)</f>
        <v>-</v>
      </c>
      <c r="T288" s="179" t="str">
        <f ca="1">IF(AND(L288&lt;&gt;"-",Q288&lt;&gt;"bypass"),IFERROR(H288*I288*X288/(IF(Cluster!AA288=Cluster!$W$8,Cluster!$W$10,IF(Cluster!AA288=Cluster!$X$8,Cluster!$X$10,IF(Cluster!AA288=Cluster!$Y$8,Cluster!$Y$10,0)))*10^3),"-"),Calculation!AK269)</f>
        <v>-</v>
      </c>
      <c r="U288" s="179" t="str">
        <f ca="1">IF(AND(L288&lt;&gt;"-",Q288&lt;&gt;"bypass"),IFERROR((0.5/50)*X288/$R$23,"-"),Calculation!AG269)</f>
        <v>-</v>
      </c>
      <c r="V288" s="179" t="str">
        <f ca="1">IF(AND(L288&lt;&gt;"-",Q288&lt;&gt;"bypass"),IFERROR(5/50*X288,"-"),Calculation!AI269)</f>
        <v>-</v>
      </c>
      <c r="W288" s="179" t="str">
        <f ca="1">IF(AND(L288&lt;&gt;"-",Q288&lt;&gt;"bypass"),IFERROR(35/50*X288,"-"),Calculation!AJ269)</f>
        <v>-</v>
      </c>
      <c r="X288" s="179" t="str">
        <f ca="1">IF(AND(L288&lt;&gt;"-",Q288&lt;&gt;"bypass"),$W$23,Calculation!AL269)</f>
        <v>-</v>
      </c>
      <c r="Y288" s="183" t="str">
        <f ca="1">IF(AND(L288&lt;&gt;"-",Q288&lt;&gt;"bypass"),IFERROR($R$23*U288/SUM(R288:U288),"-"),Calculation!AP269)</f>
        <v>-</v>
      </c>
      <c r="Z288" s="184" t="str">
        <f t="shared" ca="1" si="20"/>
        <v>-</v>
      </c>
      <c r="AA288" s="185" t="str">
        <f ca="1">IFERROR(IF(I288=0,"-",IF(AND(ROUND(H288*I288*X288/($W$10*10^3),1)&gt;=Calculation!$O$6,ROUND((((U288)*$R$23/0.05)-((S288)+(H288*I288*X288/($W$10*10^3))+(U288))),1)&gt;=0),Cluster!$W$8,IF(AND(ROUND(H288*I288*X288/($X$10*10^3),1)&gt;=Calculation!$O$6,ROUND((((U288)*$R$23/0.05)-((S288)+(H288*I288*X288/($X$10*10^3))+(U288))),1)&gt;=0),Cluster!$X$8,IF(AND(ROUND(H288*I288*X288/($Y$10*10^3),1)&gt;=Calculation!$O$6,ROUND((((U288)*$R$23/0.05)-((S288)+(H288*I288*X288/($Y$10*10^3))+(U288))),1)&gt;=0),Cluster!$Y$8,"Recepie by hand needed")))),"-")</f>
        <v>-</v>
      </c>
      <c r="AC288" s="37" t="str">
        <f t="shared" ca="1" si="21"/>
        <v>-</v>
      </c>
      <c r="AD288" s="37" t="str">
        <f t="shared" ca="1" si="22"/>
        <v>-</v>
      </c>
      <c r="AE288" s="220" t="str">
        <f t="shared" ca="1" si="23"/>
        <v>-</v>
      </c>
      <c r="AF288" s="37" t="str">
        <f t="shared" ca="1" si="24"/>
        <v>-</v>
      </c>
    </row>
    <row r="289" spans="1:32" ht="14.25" x14ac:dyDescent="0.5">
      <c r="A289" s="170" t="str">
        <f>Calculation!I270</f>
        <v/>
      </c>
      <c r="B289" s="221" t="str">
        <f ca="1">Calculation!B270</f>
        <v/>
      </c>
      <c r="C289" s="221" t="str">
        <f ca="1">Calculation!C270</f>
        <v/>
      </c>
      <c r="D289" s="172" t="str">
        <f ca="1">Calculation!AN270</f>
        <v/>
      </c>
      <c r="E289" s="173" t="str">
        <f ca="1">Calculation!D270</f>
        <v/>
      </c>
      <c r="F289" s="174" t="str">
        <f ca="1">Calculation!C270</f>
        <v/>
      </c>
      <c r="G289" s="175" t="str">
        <f ca="1">Calculation!F270</f>
        <v/>
      </c>
      <c r="H289" s="176" t="str">
        <f ca="1">Calculation!AD270</f>
        <v/>
      </c>
      <c r="I289" s="177" t="str">
        <f ca="1">Calculation!AE270</f>
        <v/>
      </c>
      <c r="J289" s="272" t="str">
        <f ca="1">IF(Calculation!Q270="","Selection",Calculation!Q270)</f>
        <v>Selection</v>
      </c>
      <c r="K289" s="179" t="str">
        <f ca="1">Calculation!T270</f>
        <v/>
      </c>
      <c r="L289" s="180" t="str">
        <f ca="1">Calculation!U270</f>
        <v>-</v>
      </c>
      <c r="M289" s="180" t="str">
        <f ca="1">Calculation!V270</f>
        <v>-</v>
      </c>
      <c r="N289" s="181"/>
      <c r="O289" s="180" t="str">
        <f ca="1">Calculation!X270</f>
        <v>-</v>
      </c>
      <c r="P289" s="180" t="str">
        <f ca="1">Calculation!Y270</f>
        <v>-</v>
      </c>
      <c r="Q289" s="273"/>
      <c r="R289" s="182" t="str">
        <f ca="1">IF(AND(L289&lt;&gt;"-",Q289&lt;&gt;"bypass"),IFERROR(IF((U289*$R$23/0.05)-SUM(S289:U289)&gt;0,(U289*$R$23/0.05)-SUM(S289:U289),0),"-"),Calculation!AH270)</f>
        <v>-</v>
      </c>
      <c r="S289" s="179" t="str">
        <f ca="1">IF(AND(L289&lt;&gt;"-",Q289&lt;&gt;"bypass"),IFERROR(X289*((H289*10^-12-H289*10^-12*I289)/(Calculation!$U$8*10^-9)),"-"),Calculation!AF270)</f>
        <v>-</v>
      </c>
      <c r="T289" s="179" t="str">
        <f ca="1">IF(AND(L289&lt;&gt;"-",Q289&lt;&gt;"bypass"),IFERROR(H289*I289*X289/(IF(Cluster!AA289=Cluster!$W$8,Cluster!$W$10,IF(Cluster!AA289=Cluster!$X$8,Cluster!$X$10,IF(Cluster!AA289=Cluster!$Y$8,Cluster!$Y$10,0)))*10^3),"-"),Calculation!AK270)</f>
        <v>-</v>
      </c>
      <c r="U289" s="179" t="str">
        <f ca="1">IF(AND(L289&lt;&gt;"-",Q289&lt;&gt;"bypass"),IFERROR((0.5/50)*X289/$R$23,"-"),Calculation!AG270)</f>
        <v>-</v>
      </c>
      <c r="V289" s="179" t="str">
        <f ca="1">IF(AND(L289&lt;&gt;"-",Q289&lt;&gt;"bypass"),IFERROR(5/50*X289,"-"),Calculation!AI270)</f>
        <v>-</v>
      </c>
      <c r="W289" s="179" t="str">
        <f ca="1">IF(AND(L289&lt;&gt;"-",Q289&lt;&gt;"bypass"),IFERROR(35/50*X289,"-"),Calculation!AJ270)</f>
        <v>-</v>
      </c>
      <c r="X289" s="179" t="str">
        <f ca="1">IF(AND(L289&lt;&gt;"-",Q289&lt;&gt;"bypass"),$W$23,Calculation!AL270)</f>
        <v>-</v>
      </c>
      <c r="Y289" s="183" t="str">
        <f ca="1">IF(AND(L289&lt;&gt;"-",Q289&lt;&gt;"bypass"),IFERROR($R$23*U289/SUM(R289:U289),"-"),Calculation!AP270)</f>
        <v>-</v>
      </c>
      <c r="Z289" s="184" t="str">
        <f t="shared" ca="1" si="20"/>
        <v>-</v>
      </c>
      <c r="AA289" s="185" t="str">
        <f ca="1">IFERROR(IF(I289=0,"-",IF(AND(ROUND(H289*I289*X289/($W$10*10^3),1)&gt;=Calculation!$O$6,ROUND((((U289)*$R$23/0.05)-((S289)+(H289*I289*X289/($W$10*10^3))+(U289))),1)&gt;=0),Cluster!$W$8,IF(AND(ROUND(H289*I289*X289/($X$10*10^3),1)&gt;=Calculation!$O$6,ROUND((((U289)*$R$23/0.05)-((S289)+(H289*I289*X289/($X$10*10^3))+(U289))),1)&gt;=0),Cluster!$X$8,IF(AND(ROUND(H289*I289*X289/($Y$10*10^3),1)&gt;=Calculation!$O$6,ROUND((((U289)*$R$23/0.05)-((S289)+(H289*I289*X289/($Y$10*10^3))+(U289))),1)&gt;=0),Cluster!$Y$8,"Recepie by hand needed")))),"-")</f>
        <v>-</v>
      </c>
      <c r="AC289" s="37" t="str">
        <f t="shared" ca="1" si="21"/>
        <v>-</v>
      </c>
      <c r="AD289" s="37" t="str">
        <f t="shared" ca="1" si="22"/>
        <v>-</v>
      </c>
      <c r="AE289" s="220" t="str">
        <f t="shared" ca="1" si="23"/>
        <v>-</v>
      </c>
      <c r="AF289" s="37" t="str">
        <f t="shared" ca="1" si="24"/>
        <v>-</v>
      </c>
    </row>
    <row r="290" spans="1:32" ht="14.25" x14ac:dyDescent="0.5">
      <c r="A290" s="170" t="str">
        <f>Calculation!I271</f>
        <v/>
      </c>
      <c r="B290" s="221" t="str">
        <f ca="1">Calculation!B271</f>
        <v/>
      </c>
      <c r="C290" s="221" t="str">
        <f ca="1">Calculation!C271</f>
        <v/>
      </c>
      <c r="D290" s="172" t="str">
        <f ca="1">Calculation!AN271</f>
        <v/>
      </c>
      <c r="E290" s="173" t="str">
        <f ca="1">Calculation!D271</f>
        <v/>
      </c>
      <c r="F290" s="174" t="str">
        <f ca="1">Calculation!C271</f>
        <v/>
      </c>
      <c r="G290" s="175" t="str">
        <f ca="1">Calculation!F271</f>
        <v/>
      </c>
      <c r="H290" s="176" t="str">
        <f ca="1">Calculation!AD271</f>
        <v/>
      </c>
      <c r="I290" s="177" t="str">
        <f ca="1">Calculation!AE271</f>
        <v/>
      </c>
      <c r="J290" s="272" t="str">
        <f ca="1">IF(Calculation!Q271="","Selection",Calculation!Q271)</f>
        <v>Selection</v>
      </c>
      <c r="K290" s="179" t="str">
        <f ca="1">Calculation!T271</f>
        <v/>
      </c>
      <c r="L290" s="180" t="str">
        <f ca="1">Calculation!U271</f>
        <v>-</v>
      </c>
      <c r="M290" s="180" t="str">
        <f ca="1">Calculation!V271</f>
        <v>-</v>
      </c>
      <c r="N290" s="181"/>
      <c r="O290" s="180" t="str">
        <f ca="1">Calculation!X271</f>
        <v>-</v>
      </c>
      <c r="P290" s="180" t="str">
        <f ca="1">Calculation!Y271</f>
        <v>-</v>
      </c>
      <c r="Q290" s="273"/>
      <c r="R290" s="182" t="str">
        <f ca="1">IF(AND(L290&lt;&gt;"-",Q290&lt;&gt;"bypass"),IFERROR(IF((U290*$R$23/0.05)-SUM(S290:U290)&gt;0,(U290*$R$23/0.05)-SUM(S290:U290),0),"-"),Calculation!AH271)</f>
        <v>-</v>
      </c>
      <c r="S290" s="179" t="str">
        <f ca="1">IF(AND(L290&lt;&gt;"-",Q290&lt;&gt;"bypass"),IFERROR(X290*((H290*10^-12-H290*10^-12*I290)/(Calculation!$U$8*10^-9)),"-"),Calculation!AF271)</f>
        <v>-</v>
      </c>
      <c r="T290" s="179" t="str">
        <f ca="1">IF(AND(L290&lt;&gt;"-",Q290&lt;&gt;"bypass"),IFERROR(H290*I290*X290/(IF(Cluster!AA290=Cluster!$W$8,Cluster!$W$10,IF(Cluster!AA290=Cluster!$X$8,Cluster!$X$10,IF(Cluster!AA290=Cluster!$Y$8,Cluster!$Y$10,0)))*10^3),"-"),Calculation!AK271)</f>
        <v>-</v>
      </c>
      <c r="U290" s="179" t="str">
        <f ca="1">IF(AND(L290&lt;&gt;"-",Q290&lt;&gt;"bypass"),IFERROR((0.5/50)*X290/$R$23,"-"),Calculation!AG271)</f>
        <v>-</v>
      </c>
      <c r="V290" s="179" t="str">
        <f ca="1">IF(AND(L290&lt;&gt;"-",Q290&lt;&gt;"bypass"),IFERROR(5/50*X290,"-"),Calculation!AI271)</f>
        <v>-</v>
      </c>
      <c r="W290" s="179" t="str">
        <f ca="1">IF(AND(L290&lt;&gt;"-",Q290&lt;&gt;"bypass"),IFERROR(35/50*X290,"-"),Calculation!AJ271)</f>
        <v>-</v>
      </c>
      <c r="X290" s="179" t="str">
        <f ca="1">IF(AND(L290&lt;&gt;"-",Q290&lt;&gt;"bypass"),$W$23,Calculation!AL271)</f>
        <v>-</v>
      </c>
      <c r="Y290" s="183" t="str">
        <f ca="1">IF(AND(L290&lt;&gt;"-",Q290&lt;&gt;"bypass"),IFERROR($R$23*U290/SUM(R290:U290),"-"),Calculation!AP271)</f>
        <v>-</v>
      </c>
      <c r="Z290" s="184" t="str">
        <f t="shared" ca="1" si="20"/>
        <v>-</v>
      </c>
      <c r="AA290" s="185" t="str">
        <f ca="1">IFERROR(IF(I290=0,"-",IF(AND(ROUND(H290*I290*X290/($W$10*10^3),1)&gt;=Calculation!$O$6,ROUND((((U290)*$R$23/0.05)-((S290)+(H290*I290*X290/($W$10*10^3))+(U290))),1)&gt;=0),Cluster!$W$8,IF(AND(ROUND(H290*I290*X290/($X$10*10^3),1)&gt;=Calculation!$O$6,ROUND((((U290)*$R$23/0.05)-((S290)+(H290*I290*X290/($X$10*10^3))+(U290))),1)&gt;=0),Cluster!$X$8,IF(AND(ROUND(H290*I290*X290/($Y$10*10^3),1)&gt;=Calculation!$O$6,ROUND((((U290)*$R$23/0.05)-((S290)+(H290*I290*X290/($Y$10*10^3))+(U290))),1)&gt;=0),Cluster!$Y$8,"Recepie by hand needed")))),"-")</f>
        <v>-</v>
      </c>
      <c r="AC290" s="37" t="str">
        <f t="shared" ca="1" si="21"/>
        <v>-</v>
      </c>
      <c r="AD290" s="37" t="str">
        <f t="shared" ca="1" si="22"/>
        <v>-</v>
      </c>
      <c r="AE290" s="220" t="str">
        <f t="shared" ca="1" si="23"/>
        <v>-</v>
      </c>
      <c r="AF290" s="37" t="str">
        <f t="shared" ca="1" si="24"/>
        <v>-</v>
      </c>
    </row>
    <row r="291" spans="1:32" ht="14.25" x14ac:dyDescent="0.5">
      <c r="A291" s="170" t="str">
        <f>Calculation!I272</f>
        <v/>
      </c>
      <c r="B291" s="221" t="str">
        <f ca="1">Calculation!B272</f>
        <v/>
      </c>
      <c r="C291" s="221" t="str">
        <f ca="1">Calculation!C272</f>
        <v/>
      </c>
      <c r="D291" s="172" t="str">
        <f ca="1">Calculation!AN272</f>
        <v/>
      </c>
      <c r="E291" s="173" t="str">
        <f ca="1">Calculation!D272</f>
        <v/>
      </c>
      <c r="F291" s="174" t="str">
        <f ca="1">Calculation!C272</f>
        <v/>
      </c>
      <c r="G291" s="175" t="str">
        <f ca="1">Calculation!F272</f>
        <v/>
      </c>
      <c r="H291" s="176" t="str">
        <f ca="1">Calculation!AD272</f>
        <v/>
      </c>
      <c r="I291" s="177" t="str">
        <f ca="1">Calculation!AE272</f>
        <v/>
      </c>
      <c r="J291" s="272" t="str">
        <f ca="1">IF(Calculation!Q272="","Selection",Calculation!Q272)</f>
        <v>Selection</v>
      </c>
      <c r="K291" s="179" t="str">
        <f ca="1">Calculation!T272</f>
        <v/>
      </c>
      <c r="L291" s="180" t="str">
        <f ca="1">Calculation!U272</f>
        <v>-</v>
      </c>
      <c r="M291" s="180" t="str">
        <f ca="1">Calculation!V272</f>
        <v>-</v>
      </c>
      <c r="N291" s="181"/>
      <c r="O291" s="180" t="str">
        <f ca="1">Calculation!X272</f>
        <v>-</v>
      </c>
      <c r="P291" s="180" t="str">
        <f ca="1">Calculation!Y272</f>
        <v>-</v>
      </c>
      <c r="Q291" s="273"/>
      <c r="R291" s="182" t="str">
        <f ca="1">IF(AND(L291&lt;&gt;"-",Q291&lt;&gt;"bypass"),IFERROR(IF((U291*$R$23/0.05)-SUM(S291:U291)&gt;0,(U291*$R$23/0.05)-SUM(S291:U291),0),"-"),Calculation!AH272)</f>
        <v>-</v>
      </c>
      <c r="S291" s="179" t="str">
        <f ca="1">IF(AND(L291&lt;&gt;"-",Q291&lt;&gt;"bypass"),IFERROR(X291*((H291*10^-12-H291*10^-12*I291)/(Calculation!$U$8*10^-9)),"-"),Calculation!AF272)</f>
        <v>-</v>
      </c>
      <c r="T291" s="179" t="str">
        <f ca="1">IF(AND(L291&lt;&gt;"-",Q291&lt;&gt;"bypass"),IFERROR(H291*I291*X291/(IF(Cluster!AA291=Cluster!$W$8,Cluster!$W$10,IF(Cluster!AA291=Cluster!$X$8,Cluster!$X$10,IF(Cluster!AA291=Cluster!$Y$8,Cluster!$Y$10,0)))*10^3),"-"),Calculation!AK272)</f>
        <v>-</v>
      </c>
      <c r="U291" s="179" t="str">
        <f ca="1">IF(AND(L291&lt;&gt;"-",Q291&lt;&gt;"bypass"),IFERROR((0.5/50)*X291/$R$23,"-"),Calculation!AG272)</f>
        <v>-</v>
      </c>
      <c r="V291" s="179" t="str">
        <f ca="1">IF(AND(L291&lt;&gt;"-",Q291&lt;&gt;"bypass"),IFERROR(5/50*X291,"-"),Calculation!AI272)</f>
        <v>-</v>
      </c>
      <c r="W291" s="179" t="str">
        <f ca="1">IF(AND(L291&lt;&gt;"-",Q291&lt;&gt;"bypass"),IFERROR(35/50*X291,"-"),Calculation!AJ272)</f>
        <v>-</v>
      </c>
      <c r="X291" s="179" t="str">
        <f ca="1">IF(AND(L291&lt;&gt;"-",Q291&lt;&gt;"bypass"),$W$23,Calculation!AL272)</f>
        <v>-</v>
      </c>
      <c r="Y291" s="183" t="str">
        <f ca="1">IF(AND(L291&lt;&gt;"-",Q291&lt;&gt;"bypass"),IFERROR($R$23*U291/SUM(R291:U291),"-"),Calculation!AP272)</f>
        <v>-</v>
      </c>
      <c r="Z291" s="184" t="str">
        <f t="shared" ca="1" si="20"/>
        <v>-</v>
      </c>
      <c r="AA291" s="185" t="str">
        <f ca="1">IFERROR(IF(I291=0,"-",IF(AND(ROUND(H291*I291*X291/($W$10*10^3),1)&gt;=Calculation!$O$6,ROUND((((U291)*$R$23/0.05)-((S291)+(H291*I291*X291/($W$10*10^3))+(U291))),1)&gt;=0),Cluster!$W$8,IF(AND(ROUND(H291*I291*X291/($X$10*10^3),1)&gt;=Calculation!$O$6,ROUND((((U291)*$R$23/0.05)-((S291)+(H291*I291*X291/($X$10*10^3))+(U291))),1)&gt;=0),Cluster!$X$8,IF(AND(ROUND(H291*I291*X291/($Y$10*10^3),1)&gt;=Calculation!$O$6,ROUND((((U291)*$R$23/0.05)-((S291)+(H291*I291*X291/($Y$10*10^3))+(U291))),1)&gt;=0),Cluster!$Y$8,"Recepie by hand needed")))),"-")</f>
        <v>-</v>
      </c>
      <c r="AC291" s="37" t="str">
        <f t="shared" ca="1" si="21"/>
        <v>-</v>
      </c>
      <c r="AD291" s="37" t="str">
        <f t="shared" ca="1" si="22"/>
        <v>-</v>
      </c>
      <c r="AE291" s="220" t="str">
        <f t="shared" ca="1" si="23"/>
        <v>-</v>
      </c>
      <c r="AF291" s="37" t="str">
        <f t="shared" ca="1" si="24"/>
        <v>-</v>
      </c>
    </row>
    <row r="292" spans="1:32" ht="14.25" x14ac:dyDescent="0.5">
      <c r="A292" s="170" t="str">
        <f>Calculation!I273</f>
        <v/>
      </c>
      <c r="B292" s="221" t="str">
        <f ca="1">Calculation!B273</f>
        <v/>
      </c>
      <c r="C292" s="221" t="str">
        <f ca="1">Calculation!C273</f>
        <v/>
      </c>
      <c r="D292" s="172" t="str">
        <f ca="1">Calculation!AN273</f>
        <v/>
      </c>
      <c r="E292" s="173" t="str">
        <f ca="1">Calculation!D273</f>
        <v/>
      </c>
      <c r="F292" s="174" t="str">
        <f ca="1">Calculation!C273</f>
        <v/>
      </c>
      <c r="G292" s="175" t="str">
        <f ca="1">Calculation!F273</f>
        <v/>
      </c>
      <c r="H292" s="176" t="str">
        <f ca="1">Calculation!AD273</f>
        <v/>
      </c>
      <c r="I292" s="177" t="str">
        <f ca="1">Calculation!AE273</f>
        <v/>
      </c>
      <c r="J292" s="272" t="str">
        <f ca="1">IF(Calculation!Q273="","Selection",Calculation!Q273)</f>
        <v>Selection</v>
      </c>
      <c r="K292" s="179" t="str">
        <f ca="1">Calculation!T273</f>
        <v/>
      </c>
      <c r="L292" s="180" t="str">
        <f ca="1">Calculation!U273</f>
        <v>-</v>
      </c>
      <c r="M292" s="180" t="str">
        <f ca="1">Calculation!V273</f>
        <v>-</v>
      </c>
      <c r="N292" s="181"/>
      <c r="O292" s="180" t="str">
        <f ca="1">Calculation!X273</f>
        <v>-</v>
      </c>
      <c r="P292" s="180" t="str">
        <f ca="1">Calculation!Y273</f>
        <v>-</v>
      </c>
      <c r="Q292" s="273"/>
      <c r="R292" s="182" t="str">
        <f ca="1">IF(AND(L292&lt;&gt;"-",Q292&lt;&gt;"bypass"),IFERROR(IF((U292*$R$23/0.05)-SUM(S292:U292)&gt;0,(U292*$R$23/0.05)-SUM(S292:U292),0),"-"),Calculation!AH273)</f>
        <v>-</v>
      </c>
      <c r="S292" s="179" t="str">
        <f ca="1">IF(AND(L292&lt;&gt;"-",Q292&lt;&gt;"bypass"),IFERROR(X292*((H292*10^-12-H292*10^-12*I292)/(Calculation!$U$8*10^-9)),"-"),Calculation!AF273)</f>
        <v>-</v>
      </c>
      <c r="T292" s="179" t="str">
        <f ca="1">IF(AND(L292&lt;&gt;"-",Q292&lt;&gt;"bypass"),IFERROR(H292*I292*X292/(IF(Cluster!AA292=Cluster!$W$8,Cluster!$W$10,IF(Cluster!AA292=Cluster!$X$8,Cluster!$X$10,IF(Cluster!AA292=Cluster!$Y$8,Cluster!$Y$10,0)))*10^3),"-"),Calculation!AK273)</f>
        <v>-</v>
      </c>
      <c r="U292" s="179" t="str">
        <f ca="1">IF(AND(L292&lt;&gt;"-",Q292&lt;&gt;"bypass"),IFERROR((0.5/50)*X292/$R$23,"-"),Calculation!AG273)</f>
        <v>-</v>
      </c>
      <c r="V292" s="179" t="str">
        <f ca="1">IF(AND(L292&lt;&gt;"-",Q292&lt;&gt;"bypass"),IFERROR(5/50*X292,"-"),Calculation!AI273)</f>
        <v>-</v>
      </c>
      <c r="W292" s="179" t="str">
        <f ca="1">IF(AND(L292&lt;&gt;"-",Q292&lt;&gt;"bypass"),IFERROR(35/50*X292,"-"),Calculation!AJ273)</f>
        <v>-</v>
      </c>
      <c r="X292" s="179" t="str">
        <f ca="1">IF(AND(L292&lt;&gt;"-",Q292&lt;&gt;"bypass"),$W$23,Calculation!AL273)</f>
        <v>-</v>
      </c>
      <c r="Y292" s="183" t="str">
        <f ca="1">IF(AND(L292&lt;&gt;"-",Q292&lt;&gt;"bypass"),IFERROR($R$23*U292/SUM(R292:U292),"-"),Calculation!AP273)</f>
        <v>-</v>
      </c>
      <c r="Z292" s="184" t="str">
        <f t="shared" ca="1" si="20"/>
        <v>-</v>
      </c>
      <c r="AA292" s="185" t="str">
        <f ca="1">IFERROR(IF(I292=0,"-",IF(AND(ROUND(H292*I292*X292/($W$10*10^3),1)&gt;=Calculation!$O$6,ROUND((((U292)*$R$23/0.05)-((S292)+(H292*I292*X292/($W$10*10^3))+(U292))),1)&gt;=0),Cluster!$W$8,IF(AND(ROUND(H292*I292*X292/($X$10*10^3),1)&gt;=Calculation!$O$6,ROUND((((U292)*$R$23/0.05)-((S292)+(H292*I292*X292/($X$10*10^3))+(U292))),1)&gt;=0),Cluster!$X$8,IF(AND(ROUND(H292*I292*X292/($Y$10*10^3),1)&gt;=Calculation!$O$6,ROUND((((U292)*$R$23/0.05)-((S292)+(H292*I292*X292/($Y$10*10^3))+(U292))),1)&gt;=0),Cluster!$Y$8,"Recepie by hand needed")))),"-")</f>
        <v>-</v>
      </c>
      <c r="AC292" s="37" t="str">
        <f t="shared" ca="1" si="21"/>
        <v>-</v>
      </c>
      <c r="AD292" s="37" t="str">
        <f t="shared" ca="1" si="22"/>
        <v>-</v>
      </c>
      <c r="AE292" s="220" t="str">
        <f t="shared" ca="1" si="23"/>
        <v>-</v>
      </c>
      <c r="AF292" s="37" t="str">
        <f t="shared" ca="1" si="24"/>
        <v>-</v>
      </c>
    </row>
    <row r="293" spans="1:32" ht="14.25" x14ac:dyDescent="0.5">
      <c r="A293" s="170" t="str">
        <f>Calculation!I274</f>
        <v/>
      </c>
      <c r="B293" s="221" t="str">
        <f ca="1">Calculation!B274</f>
        <v/>
      </c>
      <c r="C293" s="221" t="str">
        <f ca="1">Calculation!C274</f>
        <v/>
      </c>
      <c r="D293" s="172" t="str">
        <f ca="1">Calculation!AN274</f>
        <v/>
      </c>
      <c r="E293" s="173" t="str">
        <f ca="1">Calculation!D274</f>
        <v/>
      </c>
      <c r="F293" s="174" t="str">
        <f ca="1">Calculation!C274</f>
        <v/>
      </c>
      <c r="G293" s="175" t="str">
        <f ca="1">Calculation!F274</f>
        <v/>
      </c>
      <c r="H293" s="176" t="str">
        <f ca="1">Calculation!AD274</f>
        <v/>
      </c>
      <c r="I293" s="177" t="str">
        <f ca="1">Calculation!AE274</f>
        <v/>
      </c>
      <c r="J293" s="272" t="str">
        <f ca="1">IF(Calculation!Q274="","Selection",Calculation!Q274)</f>
        <v>Selection</v>
      </c>
      <c r="K293" s="179" t="str">
        <f ca="1">Calculation!T274</f>
        <v/>
      </c>
      <c r="L293" s="180" t="str">
        <f ca="1">Calculation!U274</f>
        <v>-</v>
      </c>
      <c r="M293" s="180" t="str">
        <f ca="1">Calculation!V274</f>
        <v>-</v>
      </c>
      <c r="N293" s="181"/>
      <c r="O293" s="180" t="str">
        <f ca="1">Calculation!X274</f>
        <v>-</v>
      </c>
      <c r="P293" s="180" t="str">
        <f ca="1">Calculation!Y274</f>
        <v>-</v>
      </c>
      <c r="Q293" s="273"/>
      <c r="R293" s="182" t="str">
        <f ca="1">IF(AND(L293&lt;&gt;"-",Q293&lt;&gt;"bypass"),IFERROR(IF((U293*$R$23/0.05)-SUM(S293:U293)&gt;0,(U293*$R$23/0.05)-SUM(S293:U293),0),"-"),Calculation!AH274)</f>
        <v>-</v>
      </c>
      <c r="S293" s="179" t="str">
        <f ca="1">IF(AND(L293&lt;&gt;"-",Q293&lt;&gt;"bypass"),IFERROR(X293*((H293*10^-12-H293*10^-12*I293)/(Calculation!$U$8*10^-9)),"-"),Calculation!AF274)</f>
        <v>-</v>
      </c>
      <c r="T293" s="179" t="str">
        <f ca="1">IF(AND(L293&lt;&gt;"-",Q293&lt;&gt;"bypass"),IFERROR(H293*I293*X293/(IF(Cluster!AA293=Cluster!$W$8,Cluster!$W$10,IF(Cluster!AA293=Cluster!$X$8,Cluster!$X$10,IF(Cluster!AA293=Cluster!$Y$8,Cluster!$Y$10,0)))*10^3),"-"),Calculation!AK274)</f>
        <v>-</v>
      </c>
      <c r="U293" s="179" t="str">
        <f ca="1">IF(AND(L293&lt;&gt;"-",Q293&lt;&gt;"bypass"),IFERROR((0.5/50)*X293/$R$23,"-"),Calculation!AG274)</f>
        <v>-</v>
      </c>
      <c r="V293" s="179" t="str">
        <f ca="1">IF(AND(L293&lt;&gt;"-",Q293&lt;&gt;"bypass"),IFERROR(5/50*X293,"-"),Calculation!AI274)</f>
        <v>-</v>
      </c>
      <c r="W293" s="179" t="str">
        <f ca="1">IF(AND(L293&lt;&gt;"-",Q293&lt;&gt;"bypass"),IFERROR(35/50*X293,"-"),Calculation!AJ274)</f>
        <v>-</v>
      </c>
      <c r="X293" s="179" t="str">
        <f ca="1">IF(AND(L293&lt;&gt;"-",Q293&lt;&gt;"bypass"),$W$23,Calculation!AL274)</f>
        <v>-</v>
      </c>
      <c r="Y293" s="183" t="str">
        <f ca="1">IF(AND(L293&lt;&gt;"-",Q293&lt;&gt;"bypass"),IFERROR($R$23*U293/SUM(R293:U293),"-"),Calculation!AP274)</f>
        <v>-</v>
      </c>
      <c r="Z293" s="184" t="str">
        <f t="shared" ca="1" si="20"/>
        <v>-</v>
      </c>
      <c r="AA293" s="185" t="str">
        <f ca="1">IFERROR(IF(I293=0,"-",IF(AND(ROUND(H293*I293*X293/($W$10*10^3),1)&gt;=Calculation!$O$6,ROUND((((U293)*$R$23/0.05)-((S293)+(H293*I293*X293/($W$10*10^3))+(U293))),1)&gt;=0),Cluster!$W$8,IF(AND(ROUND(H293*I293*X293/($X$10*10^3),1)&gt;=Calculation!$O$6,ROUND((((U293)*$R$23/0.05)-((S293)+(H293*I293*X293/($X$10*10^3))+(U293))),1)&gt;=0),Cluster!$X$8,IF(AND(ROUND(H293*I293*X293/($Y$10*10^3),1)&gt;=Calculation!$O$6,ROUND((((U293)*$R$23/0.05)-((S293)+(H293*I293*X293/($Y$10*10^3))+(U293))),1)&gt;=0),Cluster!$Y$8,"Recepie by hand needed")))),"-")</f>
        <v>-</v>
      </c>
      <c r="AC293" s="37" t="str">
        <f t="shared" ca="1" si="21"/>
        <v>-</v>
      </c>
      <c r="AD293" s="37" t="str">
        <f t="shared" ca="1" si="22"/>
        <v>-</v>
      </c>
      <c r="AE293" s="220" t="str">
        <f t="shared" ca="1" si="23"/>
        <v>-</v>
      </c>
      <c r="AF293" s="37" t="str">
        <f t="shared" ca="1" si="24"/>
        <v>-</v>
      </c>
    </row>
    <row r="294" spans="1:32" ht="14.25" x14ac:dyDescent="0.5">
      <c r="A294" s="170" t="str">
        <f>Calculation!I275</f>
        <v/>
      </c>
      <c r="B294" s="221" t="str">
        <f ca="1">Calculation!B275</f>
        <v/>
      </c>
      <c r="C294" s="221" t="str">
        <f ca="1">Calculation!C275</f>
        <v/>
      </c>
      <c r="D294" s="172" t="str">
        <f ca="1">Calculation!AN275</f>
        <v/>
      </c>
      <c r="E294" s="173" t="str">
        <f ca="1">Calculation!D275</f>
        <v/>
      </c>
      <c r="F294" s="174" t="str">
        <f ca="1">Calculation!C275</f>
        <v/>
      </c>
      <c r="G294" s="175" t="str">
        <f ca="1">Calculation!F275</f>
        <v/>
      </c>
      <c r="H294" s="176" t="str">
        <f ca="1">Calculation!AD275</f>
        <v/>
      </c>
      <c r="I294" s="177" t="str">
        <f ca="1">Calculation!AE275</f>
        <v/>
      </c>
      <c r="J294" s="272" t="str">
        <f ca="1">IF(Calculation!Q275="","Selection",Calculation!Q275)</f>
        <v>Selection</v>
      </c>
      <c r="K294" s="179" t="str">
        <f ca="1">Calculation!T275</f>
        <v/>
      </c>
      <c r="L294" s="180" t="str">
        <f ca="1">Calculation!U275</f>
        <v>-</v>
      </c>
      <c r="M294" s="180" t="str">
        <f ca="1">Calculation!V275</f>
        <v>-</v>
      </c>
      <c r="N294" s="181"/>
      <c r="O294" s="180" t="str">
        <f ca="1">Calculation!X275</f>
        <v>-</v>
      </c>
      <c r="P294" s="180" t="str">
        <f ca="1">Calculation!Y275</f>
        <v>-</v>
      </c>
      <c r="Q294" s="273"/>
      <c r="R294" s="182" t="str">
        <f ca="1">IF(AND(L294&lt;&gt;"-",Q294&lt;&gt;"bypass"),IFERROR(IF((U294*$R$23/0.05)-SUM(S294:U294)&gt;0,(U294*$R$23/0.05)-SUM(S294:U294),0),"-"),Calculation!AH275)</f>
        <v>-</v>
      </c>
      <c r="S294" s="179" t="str">
        <f ca="1">IF(AND(L294&lt;&gt;"-",Q294&lt;&gt;"bypass"),IFERROR(X294*((H294*10^-12-H294*10^-12*I294)/(Calculation!$U$8*10^-9)),"-"),Calculation!AF275)</f>
        <v>-</v>
      </c>
      <c r="T294" s="179" t="str">
        <f ca="1">IF(AND(L294&lt;&gt;"-",Q294&lt;&gt;"bypass"),IFERROR(H294*I294*X294/(IF(Cluster!AA294=Cluster!$W$8,Cluster!$W$10,IF(Cluster!AA294=Cluster!$X$8,Cluster!$X$10,IF(Cluster!AA294=Cluster!$Y$8,Cluster!$Y$10,0)))*10^3),"-"),Calculation!AK275)</f>
        <v>-</v>
      </c>
      <c r="U294" s="179" t="str">
        <f ca="1">IF(AND(L294&lt;&gt;"-",Q294&lt;&gt;"bypass"),IFERROR((0.5/50)*X294/$R$23,"-"),Calculation!AG275)</f>
        <v>-</v>
      </c>
      <c r="V294" s="179" t="str">
        <f ca="1">IF(AND(L294&lt;&gt;"-",Q294&lt;&gt;"bypass"),IFERROR(5/50*X294,"-"),Calculation!AI275)</f>
        <v>-</v>
      </c>
      <c r="W294" s="179" t="str">
        <f ca="1">IF(AND(L294&lt;&gt;"-",Q294&lt;&gt;"bypass"),IFERROR(35/50*X294,"-"),Calculation!AJ275)</f>
        <v>-</v>
      </c>
      <c r="X294" s="179" t="str">
        <f ca="1">IF(AND(L294&lt;&gt;"-",Q294&lt;&gt;"bypass"),$W$23,Calculation!AL275)</f>
        <v>-</v>
      </c>
      <c r="Y294" s="183" t="str">
        <f ca="1">IF(AND(L294&lt;&gt;"-",Q294&lt;&gt;"bypass"),IFERROR($R$23*U294/SUM(R294:U294),"-"),Calculation!AP275)</f>
        <v>-</v>
      </c>
      <c r="Z294" s="184" t="str">
        <f t="shared" ca="1" si="20"/>
        <v>-</v>
      </c>
      <c r="AA294" s="185" t="str">
        <f ca="1">IFERROR(IF(I294=0,"-",IF(AND(ROUND(H294*I294*X294/($W$10*10^3),1)&gt;=Calculation!$O$6,ROUND((((U294)*$R$23/0.05)-((S294)+(H294*I294*X294/($W$10*10^3))+(U294))),1)&gt;=0),Cluster!$W$8,IF(AND(ROUND(H294*I294*X294/($X$10*10^3),1)&gt;=Calculation!$O$6,ROUND((((U294)*$R$23/0.05)-((S294)+(H294*I294*X294/($X$10*10^3))+(U294))),1)&gt;=0),Cluster!$X$8,IF(AND(ROUND(H294*I294*X294/($Y$10*10^3),1)&gt;=Calculation!$O$6,ROUND((((U294)*$R$23/0.05)-((S294)+(H294*I294*X294/($Y$10*10^3))+(U294))),1)&gt;=0),Cluster!$Y$8,"Recepie by hand needed")))),"-")</f>
        <v>-</v>
      </c>
      <c r="AC294" s="37" t="str">
        <f t="shared" ca="1" si="21"/>
        <v>-</v>
      </c>
      <c r="AD294" s="37" t="str">
        <f t="shared" ca="1" si="22"/>
        <v>-</v>
      </c>
      <c r="AE294" s="220" t="str">
        <f t="shared" ca="1" si="23"/>
        <v>-</v>
      </c>
      <c r="AF294" s="37" t="str">
        <f t="shared" ca="1" si="24"/>
        <v>-</v>
      </c>
    </row>
    <row r="295" spans="1:32" ht="14.25" x14ac:dyDescent="0.5">
      <c r="A295" s="170" t="str">
        <f>Calculation!I276</f>
        <v/>
      </c>
      <c r="B295" s="221" t="str">
        <f ca="1">Calculation!B276</f>
        <v/>
      </c>
      <c r="C295" s="221" t="str">
        <f ca="1">Calculation!C276</f>
        <v/>
      </c>
      <c r="D295" s="172" t="str">
        <f ca="1">Calculation!AN276</f>
        <v/>
      </c>
      <c r="E295" s="173" t="str">
        <f ca="1">Calculation!D276</f>
        <v/>
      </c>
      <c r="F295" s="174" t="str">
        <f ca="1">Calculation!C276</f>
        <v/>
      </c>
      <c r="G295" s="175" t="str">
        <f ca="1">Calculation!F276</f>
        <v/>
      </c>
      <c r="H295" s="176" t="str">
        <f ca="1">Calculation!AD276</f>
        <v/>
      </c>
      <c r="I295" s="177" t="str">
        <f ca="1">Calculation!AE276</f>
        <v/>
      </c>
      <c r="J295" s="272" t="str">
        <f ca="1">IF(Calculation!Q276="","Selection",Calculation!Q276)</f>
        <v>Selection</v>
      </c>
      <c r="K295" s="179" t="str">
        <f ca="1">Calculation!T276</f>
        <v/>
      </c>
      <c r="L295" s="180" t="str">
        <f ca="1">Calculation!U276</f>
        <v>-</v>
      </c>
      <c r="M295" s="180" t="str">
        <f ca="1">Calculation!V276</f>
        <v>-</v>
      </c>
      <c r="N295" s="181"/>
      <c r="O295" s="180" t="str">
        <f ca="1">Calculation!X276</f>
        <v>-</v>
      </c>
      <c r="P295" s="180" t="str">
        <f ca="1">Calculation!Y276</f>
        <v>-</v>
      </c>
      <c r="Q295" s="273"/>
      <c r="R295" s="182" t="str">
        <f ca="1">IF(AND(L295&lt;&gt;"-",Q295&lt;&gt;"bypass"),IFERROR(IF((U295*$R$23/0.05)-SUM(S295:U295)&gt;0,(U295*$R$23/0.05)-SUM(S295:U295),0),"-"),Calculation!AH276)</f>
        <v>-</v>
      </c>
      <c r="S295" s="179" t="str">
        <f ca="1">IF(AND(L295&lt;&gt;"-",Q295&lt;&gt;"bypass"),IFERROR(X295*((H295*10^-12-H295*10^-12*I295)/(Calculation!$U$8*10^-9)),"-"),Calculation!AF276)</f>
        <v>-</v>
      </c>
      <c r="T295" s="179" t="str">
        <f ca="1">IF(AND(L295&lt;&gt;"-",Q295&lt;&gt;"bypass"),IFERROR(H295*I295*X295/(IF(Cluster!AA295=Cluster!$W$8,Cluster!$W$10,IF(Cluster!AA295=Cluster!$X$8,Cluster!$X$10,IF(Cluster!AA295=Cluster!$Y$8,Cluster!$Y$10,0)))*10^3),"-"),Calculation!AK276)</f>
        <v>-</v>
      </c>
      <c r="U295" s="179" t="str">
        <f ca="1">IF(AND(L295&lt;&gt;"-",Q295&lt;&gt;"bypass"),IFERROR((0.5/50)*X295/$R$23,"-"),Calculation!AG276)</f>
        <v>-</v>
      </c>
      <c r="V295" s="179" t="str">
        <f ca="1">IF(AND(L295&lt;&gt;"-",Q295&lt;&gt;"bypass"),IFERROR(5/50*X295,"-"),Calculation!AI276)</f>
        <v>-</v>
      </c>
      <c r="W295" s="179" t="str">
        <f ca="1">IF(AND(L295&lt;&gt;"-",Q295&lt;&gt;"bypass"),IFERROR(35/50*X295,"-"),Calculation!AJ276)</f>
        <v>-</v>
      </c>
      <c r="X295" s="179" t="str">
        <f ca="1">IF(AND(L295&lt;&gt;"-",Q295&lt;&gt;"bypass"),$W$23,Calculation!AL276)</f>
        <v>-</v>
      </c>
      <c r="Y295" s="183" t="str">
        <f ca="1">IF(AND(L295&lt;&gt;"-",Q295&lt;&gt;"bypass"),IFERROR($R$23*U295/SUM(R295:U295),"-"),Calculation!AP276)</f>
        <v>-</v>
      </c>
      <c r="Z295" s="184" t="str">
        <f t="shared" ca="1" si="20"/>
        <v>-</v>
      </c>
      <c r="AA295" s="185" t="str">
        <f ca="1">IFERROR(IF(I295=0,"-",IF(AND(ROUND(H295*I295*X295/($W$10*10^3),1)&gt;=Calculation!$O$6,ROUND((((U295)*$R$23/0.05)-((S295)+(H295*I295*X295/($W$10*10^3))+(U295))),1)&gt;=0),Cluster!$W$8,IF(AND(ROUND(H295*I295*X295/($X$10*10^3),1)&gt;=Calculation!$O$6,ROUND((((U295)*$R$23/0.05)-((S295)+(H295*I295*X295/($X$10*10^3))+(U295))),1)&gt;=0),Cluster!$X$8,IF(AND(ROUND(H295*I295*X295/($Y$10*10^3),1)&gt;=Calculation!$O$6,ROUND((((U295)*$R$23/0.05)-((S295)+(H295*I295*X295/($Y$10*10^3))+(U295))),1)&gt;=0),Cluster!$Y$8,"Recepie by hand needed")))),"-")</f>
        <v>-</v>
      </c>
      <c r="AC295" s="37" t="str">
        <f t="shared" ca="1" si="21"/>
        <v>-</v>
      </c>
      <c r="AD295" s="37" t="str">
        <f t="shared" ca="1" si="22"/>
        <v>-</v>
      </c>
      <c r="AE295" s="220" t="str">
        <f t="shared" ca="1" si="23"/>
        <v>-</v>
      </c>
      <c r="AF295" s="37" t="str">
        <f t="shared" ca="1" si="24"/>
        <v>-</v>
      </c>
    </row>
    <row r="296" spans="1:32" ht="14.25" x14ac:dyDescent="0.5">
      <c r="A296" s="170" t="str">
        <f>Calculation!I277</f>
        <v/>
      </c>
      <c r="B296" s="221" t="str">
        <f ca="1">Calculation!B277</f>
        <v/>
      </c>
      <c r="C296" s="221" t="str">
        <f ca="1">Calculation!C277</f>
        <v/>
      </c>
      <c r="D296" s="172" t="str">
        <f ca="1">Calculation!AN277</f>
        <v/>
      </c>
      <c r="E296" s="173" t="str">
        <f ca="1">Calculation!D277</f>
        <v/>
      </c>
      <c r="F296" s="174" t="str">
        <f ca="1">Calculation!C277</f>
        <v/>
      </c>
      <c r="G296" s="175" t="str">
        <f ca="1">Calculation!F277</f>
        <v/>
      </c>
      <c r="H296" s="176" t="str">
        <f ca="1">Calculation!AD277</f>
        <v/>
      </c>
      <c r="I296" s="177" t="str">
        <f ca="1">Calculation!AE277</f>
        <v/>
      </c>
      <c r="J296" s="272" t="str">
        <f ca="1">IF(Calculation!Q277="","Selection",Calculation!Q277)</f>
        <v>Selection</v>
      </c>
      <c r="K296" s="179" t="str">
        <f ca="1">Calculation!T277</f>
        <v/>
      </c>
      <c r="L296" s="180" t="str">
        <f ca="1">Calculation!U277</f>
        <v>-</v>
      </c>
      <c r="M296" s="180" t="str">
        <f ca="1">Calculation!V277</f>
        <v>-</v>
      </c>
      <c r="N296" s="181"/>
      <c r="O296" s="180" t="str">
        <f ca="1">Calculation!X277</f>
        <v>-</v>
      </c>
      <c r="P296" s="180" t="str">
        <f ca="1">Calculation!Y277</f>
        <v>-</v>
      </c>
      <c r="Q296" s="273"/>
      <c r="R296" s="182" t="str">
        <f ca="1">IF(AND(L296&lt;&gt;"-",Q296&lt;&gt;"bypass"),IFERROR(IF((U296*$R$23/0.05)-SUM(S296:U296)&gt;0,(U296*$R$23/0.05)-SUM(S296:U296),0),"-"),Calculation!AH277)</f>
        <v>-</v>
      </c>
      <c r="S296" s="179" t="str">
        <f ca="1">IF(AND(L296&lt;&gt;"-",Q296&lt;&gt;"bypass"),IFERROR(X296*((H296*10^-12-H296*10^-12*I296)/(Calculation!$U$8*10^-9)),"-"),Calculation!AF277)</f>
        <v>-</v>
      </c>
      <c r="T296" s="179" t="str">
        <f ca="1">IF(AND(L296&lt;&gt;"-",Q296&lt;&gt;"bypass"),IFERROR(H296*I296*X296/(IF(Cluster!AA296=Cluster!$W$8,Cluster!$W$10,IF(Cluster!AA296=Cluster!$X$8,Cluster!$X$10,IF(Cluster!AA296=Cluster!$Y$8,Cluster!$Y$10,0)))*10^3),"-"),Calculation!AK277)</f>
        <v>-</v>
      </c>
      <c r="U296" s="179" t="str">
        <f ca="1">IF(AND(L296&lt;&gt;"-",Q296&lt;&gt;"bypass"),IFERROR((0.5/50)*X296/$R$23,"-"),Calculation!AG277)</f>
        <v>-</v>
      </c>
      <c r="V296" s="179" t="str">
        <f ca="1">IF(AND(L296&lt;&gt;"-",Q296&lt;&gt;"bypass"),IFERROR(5/50*X296,"-"),Calculation!AI277)</f>
        <v>-</v>
      </c>
      <c r="W296" s="179" t="str">
        <f ca="1">IF(AND(L296&lt;&gt;"-",Q296&lt;&gt;"bypass"),IFERROR(35/50*X296,"-"),Calculation!AJ277)</f>
        <v>-</v>
      </c>
      <c r="X296" s="179" t="str">
        <f ca="1">IF(AND(L296&lt;&gt;"-",Q296&lt;&gt;"bypass"),$W$23,Calculation!AL277)</f>
        <v>-</v>
      </c>
      <c r="Y296" s="183" t="str">
        <f ca="1">IF(AND(L296&lt;&gt;"-",Q296&lt;&gt;"bypass"),IFERROR($R$23*U296/SUM(R296:U296),"-"),Calculation!AP277)</f>
        <v>-</v>
      </c>
      <c r="Z296" s="184" t="str">
        <f t="shared" ca="1" si="20"/>
        <v>-</v>
      </c>
      <c r="AA296" s="185" t="str">
        <f ca="1">IFERROR(IF(I296=0,"-",IF(AND(ROUND(H296*I296*X296/($W$10*10^3),1)&gt;=Calculation!$O$6,ROUND((((U296)*$R$23/0.05)-((S296)+(H296*I296*X296/($W$10*10^3))+(U296))),1)&gt;=0),Cluster!$W$8,IF(AND(ROUND(H296*I296*X296/($X$10*10^3),1)&gt;=Calculation!$O$6,ROUND((((U296)*$R$23/0.05)-((S296)+(H296*I296*X296/($X$10*10^3))+(U296))),1)&gt;=0),Cluster!$X$8,IF(AND(ROUND(H296*I296*X296/($Y$10*10^3),1)&gt;=Calculation!$O$6,ROUND((((U296)*$R$23/0.05)-((S296)+(H296*I296*X296/($Y$10*10^3))+(U296))),1)&gt;=0),Cluster!$Y$8,"Recepie by hand needed")))),"-")</f>
        <v>-</v>
      </c>
      <c r="AC296" s="37" t="str">
        <f t="shared" ca="1" si="21"/>
        <v>-</v>
      </c>
      <c r="AD296" s="37" t="str">
        <f t="shared" ca="1" si="22"/>
        <v>-</v>
      </c>
      <c r="AE296" s="220" t="str">
        <f t="shared" ca="1" si="23"/>
        <v>-</v>
      </c>
      <c r="AF296" s="37" t="str">
        <f t="shared" ca="1" si="24"/>
        <v>-</v>
      </c>
    </row>
    <row r="297" spans="1:32" ht="14.25" x14ac:dyDescent="0.5">
      <c r="A297" s="170" t="str">
        <f>Calculation!I278</f>
        <v/>
      </c>
      <c r="B297" s="221" t="str">
        <f ca="1">Calculation!B278</f>
        <v/>
      </c>
      <c r="C297" s="221" t="str">
        <f ca="1">Calculation!C278</f>
        <v/>
      </c>
      <c r="D297" s="172" t="str">
        <f ca="1">Calculation!AN278</f>
        <v/>
      </c>
      <c r="E297" s="173" t="str">
        <f ca="1">Calculation!D278</f>
        <v/>
      </c>
      <c r="F297" s="174" t="str">
        <f ca="1">Calculation!C278</f>
        <v/>
      </c>
      <c r="G297" s="175" t="str">
        <f ca="1">Calculation!F278</f>
        <v/>
      </c>
      <c r="H297" s="176" t="str">
        <f ca="1">Calculation!AD278</f>
        <v/>
      </c>
      <c r="I297" s="177" t="str">
        <f ca="1">Calculation!AE278</f>
        <v/>
      </c>
      <c r="J297" s="272" t="str">
        <f ca="1">IF(Calculation!Q278="","Selection",Calculation!Q278)</f>
        <v>Selection</v>
      </c>
      <c r="K297" s="179" t="str">
        <f ca="1">Calculation!T278</f>
        <v/>
      </c>
      <c r="L297" s="180" t="str">
        <f ca="1">Calculation!U278</f>
        <v>-</v>
      </c>
      <c r="M297" s="180" t="str">
        <f ca="1">Calculation!V278</f>
        <v>-</v>
      </c>
      <c r="N297" s="181"/>
      <c r="O297" s="180" t="str">
        <f ca="1">Calculation!X278</f>
        <v>-</v>
      </c>
      <c r="P297" s="180" t="str">
        <f ca="1">Calculation!Y278</f>
        <v>-</v>
      </c>
      <c r="Q297" s="273"/>
      <c r="R297" s="182" t="str">
        <f ca="1">IF(AND(L297&lt;&gt;"-",Q297&lt;&gt;"bypass"),IFERROR(IF((U297*$R$23/0.05)-SUM(S297:U297)&gt;0,(U297*$R$23/0.05)-SUM(S297:U297),0),"-"),Calculation!AH278)</f>
        <v>-</v>
      </c>
      <c r="S297" s="179" t="str">
        <f ca="1">IF(AND(L297&lt;&gt;"-",Q297&lt;&gt;"bypass"),IFERROR(X297*((H297*10^-12-H297*10^-12*I297)/(Calculation!$U$8*10^-9)),"-"),Calculation!AF278)</f>
        <v>-</v>
      </c>
      <c r="T297" s="179" t="str">
        <f ca="1">IF(AND(L297&lt;&gt;"-",Q297&lt;&gt;"bypass"),IFERROR(H297*I297*X297/(IF(Cluster!AA297=Cluster!$W$8,Cluster!$W$10,IF(Cluster!AA297=Cluster!$X$8,Cluster!$X$10,IF(Cluster!AA297=Cluster!$Y$8,Cluster!$Y$10,0)))*10^3),"-"),Calculation!AK278)</f>
        <v>-</v>
      </c>
      <c r="U297" s="179" t="str">
        <f ca="1">IF(AND(L297&lt;&gt;"-",Q297&lt;&gt;"bypass"),IFERROR((0.5/50)*X297/$R$23,"-"),Calculation!AG278)</f>
        <v>-</v>
      </c>
      <c r="V297" s="179" t="str">
        <f ca="1">IF(AND(L297&lt;&gt;"-",Q297&lt;&gt;"bypass"),IFERROR(5/50*X297,"-"),Calculation!AI278)</f>
        <v>-</v>
      </c>
      <c r="W297" s="179" t="str">
        <f ca="1">IF(AND(L297&lt;&gt;"-",Q297&lt;&gt;"bypass"),IFERROR(35/50*X297,"-"),Calculation!AJ278)</f>
        <v>-</v>
      </c>
      <c r="X297" s="179" t="str">
        <f ca="1">IF(AND(L297&lt;&gt;"-",Q297&lt;&gt;"bypass"),$W$23,Calculation!AL278)</f>
        <v>-</v>
      </c>
      <c r="Y297" s="183" t="str">
        <f ca="1">IF(AND(L297&lt;&gt;"-",Q297&lt;&gt;"bypass"),IFERROR($R$23*U297/SUM(R297:U297),"-"),Calculation!AP278)</f>
        <v>-</v>
      </c>
      <c r="Z297" s="184" t="str">
        <f t="shared" ca="1" si="20"/>
        <v>-</v>
      </c>
      <c r="AA297" s="185" t="str">
        <f ca="1">IFERROR(IF(I297=0,"-",IF(AND(ROUND(H297*I297*X297/($W$10*10^3),1)&gt;=Calculation!$O$6,ROUND((((U297)*$R$23/0.05)-((S297)+(H297*I297*X297/($W$10*10^3))+(U297))),1)&gt;=0),Cluster!$W$8,IF(AND(ROUND(H297*I297*X297/($X$10*10^3),1)&gt;=Calculation!$O$6,ROUND((((U297)*$R$23/0.05)-((S297)+(H297*I297*X297/($X$10*10^3))+(U297))),1)&gt;=0),Cluster!$X$8,IF(AND(ROUND(H297*I297*X297/($Y$10*10^3),1)&gt;=Calculation!$O$6,ROUND((((U297)*$R$23/0.05)-((S297)+(H297*I297*X297/($Y$10*10^3))+(U297))),1)&gt;=0),Cluster!$Y$8,"Recepie by hand needed")))),"-")</f>
        <v>-</v>
      </c>
      <c r="AC297" s="37" t="str">
        <f t="shared" ca="1" si="21"/>
        <v>-</v>
      </c>
      <c r="AD297" s="37" t="str">
        <f t="shared" ca="1" si="22"/>
        <v>-</v>
      </c>
      <c r="AE297" s="220" t="str">
        <f t="shared" ca="1" si="23"/>
        <v>-</v>
      </c>
      <c r="AF297" s="37" t="str">
        <f t="shared" ca="1" si="24"/>
        <v>-</v>
      </c>
    </row>
    <row r="298" spans="1:32" ht="14.25" x14ac:dyDescent="0.5">
      <c r="A298" s="170" t="str">
        <f>Calculation!I279</f>
        <v/>
      </c>
      <c r="B298" s="221" t="str">
        <f ca="1">Calculation!B279</f>
        <v/>
      </c>
      <c r="C298" s="221" t="str">
        <f ca="1">Calculation!C279</f>
        <v/>
      </c>
      <c r="D298" s="172" t="str">
        <f ca="1">Calculation!AN279</f>
        <v/>
      </c>
      <c r="E298" s="173" t="str">
        <f ca="1">Calculation!D279</f>
        <v/>
      </c>
      <c r="F298" s="174" t="str">
        <f ca="1">Calculation!C279</f>
        <v/>
      </c>
      <c r="G298" s="175" t="str">
        <f ca="1">Calculation!F279</f>
        <v/>
      </c>
      <c r="H298" s="176" t="str">
        <f ca="1">Calculation!AD279</f>
        <v/>
      </c>
      <c r="I298" s="177" t="str">
        <f ca="1">Calculation!AE279</f>
        <v/>
      </c>
      <c r="J298" s="272" t="str">
        <f ca="1">IF(Calculation!Q279="","Selection",Calculation!Q279)</f>
        <v>Selection</v>
      </c>
      <c r="K298" s="179" t="str">
        <f ca="1">Calculation!T279</f>
        <v/>
      </c>
      <c r="L298" s="180" t="str">
        <f ca="1">Calculation!U279</f>
        <v>-</v>
      </c>
      <c r="M298" s="180" t="str">
        <f ca="1">Calculation!V279</f>
        <v>-</v>
      </c>
      <c r="N298" s="181"/>
      <c r="O298" s="180" t="str">
        <f ca="1">Calculation!X279</f>
        <v>-</v>
      </c>
      <c r="P298" s="180" t="str">
        <f ca="1">Calculation!Y279</f>
        <v>-</v>
      </c>
      <c r="Q298" s="273"/>
      <c r="R298" s="182" t="str">
        <f ca="1">IF(AND(L298&lt;&gt;"-",Q298&lt;&gt;"bypass"),IFERROR(IF((U298*$R$23/0.05)-SUM(S298:U298)&gt;0,(U298*$R$23/0.05)-SUM(S298:U298),0),"-"),Calculation!AH279)</f>
        <v>-</v>
      </c>
      <c r="S298" s="179" t="str">
        <f ca="1">IF(AND(L298&lt;&gt;"-",Q298&lt;&gt;"bypass"),IFERROR(X298*((H298*10^-12-H298*10^-12*I298)/(Calculation!$U$8*10^-9)),"-"),Calculation!AF279)</f>
        <v>-</v>
      </c>
      <c r="T298" s="179" t="str">
        <f ca="1">IF(AND(L298&lt;&gt;"-",Q298&lt;&gt;"bypass"),IFERROR(H298*I298*X298/(IF(Cluster!AA298=Cluster!$W$8,Cluster!$W$10,IF(Cluster!AA298=Cluster!$X$8,Cluster!$X$10,IF(Cluster!AA298=Cluster!$Y$8,Cluster!$Y$10,0)))*10^3),"-"),Calculation!AK279)</f>
        <v>-</v>
      </c>
      <c r="U298" s="179" t="str">
        <f ca="1">IF(AND(L298&lt;&gt;"-",Q298&lt;&gt;"bypass"),IFERROR((0.5/50)*X298/$R$23,"-"),Calculation!AG279)</f>
        <v>-</v>
      </c>
      <c r="V298" s="179" t="str">
        <f ca="1">IF(AND(L298&lt;&gt;"-",Q298&lt;&gt;"bypass"),IFERROR(5/50*X298,"-"),Calculation!AI279)</f>
        <v>-</v>
      </c>
      <c r="W298" s="179" t="str">
        <f ca="1">IF(AND(L298&lt;&gt;"-",Q298&lt;&gt;"bypass"),IFERROR(35/50*X298,"-"),Calculation!AJ279)</f>
        <v>-</v>
      </c>
      <c r="X298" s="179" t="str">
        <f ca="1">IF(AND(L298&lt;&gt;"-",Q298&lt;&gt;"bypass"),$W$23,Calculation!AL279)</f>
        <v>-</v>
      </c>
      <c r="Y298" s="183" t="str">
        <f ca="1">IF(AND(L298&lt;&gt;"-",Q298&lt;&gt;"bypass"),IFERROR($R$23*U298/SUM(R298:U298),"-"),Calculation!AP279)</f>
        <v>-</v>
      </c>
      <c r="Z298" s="184" t="str">
        <f t="shared" ca="1" si="20"/>
        <v>-</v>
      </c>
      <c r="AA298" s="185" t="str">
        <f ca="1">IFERROR(IF(I298=0,"-",IF(AND(ROUND(H298*I298*X298/($W$10*10^3),1)&gt;=Calculation!$O$6,ROUND((((U298)*$R$23/0.05)-((S298)+(H298*I298*X298/($W$10*10^3))+(U298))),1)&gt;=0),Cluster!$W$8,IF(AND(ROUND(H298*I298*X298/($X$10*10^3),1)&gt;=Calculation!$O$6,ROUND((((U298)*$R$23/0.05)-((S298)+(H298*I298*X298/($X$10*10^3))+(U298))),1)&gt;=0),Cluster!$X$8,IF(AND(ROUND(H298*I298*X298/($Y$10*10^3),1)&gt;=Calculation!$O$6,ROUND((((U298)*$R$23/0.05)-((S298)+(H298*I298*X298/($Y$10*10^3))+(U298))),1)&gt;=0),Cluster!$Y$8,"Recepie by hand needed")))),"-")</f>
        <v>-</v>
      </c>
      <c r="AC298" s="37" t="str">
        <f t="shared" ca="1" si="21"/>
        <v>-</v>
      </c>
      <c r="AD298" s="37" t="str">
        <f t="shared" ca="1" si="22"/>
        <v>-</v>
      </c>
      <c r="AE298" s="220" t="str">
        <f t="shared" ca="1" si="23"/>
        <v>-</v>
      </c>
      <c r="AF298" s="37" t="str">
        <f t="shared" ca="1" si="24"/>
        <v>-</v>
      </c>
    </row>
    <row r="299" spans="1:32" ht="14.25" x14ac:dyDescent="0.5">
      <c r="A299" s="170" t="str">
        <f>Calculation!I280</f>
        <v/>
      </c>
      <c r="B299" s="221" t="str">
        <f ca="1">Calculation!B280</f>
        <v/>
      </c>
      <c r="C299" s="221" t="str">
        <f ca="1">Calculation!C280</f>
        <v/>
      </c>
      <c r="D299" s="172" t="str">
        <f ca="1">Calculation!AN280</f>
        <v/>
      </c>
      <c r="E299" s="173" t="str">
        <f ca="1">Calculation!D280</f>
        <v/>
      </c>
      <c r="F299" s="174" t="str">
        <f ca="1">Calculation!C280</f>
        <v/>
      </c>
      <c r="G299" s="175" t="str">
        <f ca="1">Calculation!F280</f>
        <v/>
      </c>
      <c r="H299" s="176" t="str">
        <f ca="1">Calculation!AD280</f>
        <v/>
      </c>
      <c r="I299" s="177" t="str">
        <f ca="1">Calculation!AE280</f>
        <v/>
      </c>
      <c r="J299" s="272" t="str">
        <f ca="1">IF(Calculation!Q280="","Selection",Calculation!Q280)</f>
        <v>Selection</v>
      </c>
      <c r="K299" s="179" t="str">
        <f ca="1">Calculation!T280</f>
        <v/>
      </c>
      <c r="L299" s="180" t="str">
        <f ca="1">Calculation!U280</f>
        <v>-</v>
      </c>
      <c r="M299" s="180" t="str">
        <f ca="1">Calculation!V280</f>
        <v>-</v>
      </c>
      <c r="N299" s="181"/>
      <c r="O299" s="180" t="str">
        <f ca="1">Calculation!X280</f>
        <v>-</v>
      </c>
      <c r="P299" s="180" t="str">
        <f ca="1">Calculation!Y280</f>
        <v>-</v>
      </c>
      <c r="Q299" s="273"/>
      <c r="R299" s="182" t="str">
        <f ca="1">IF(AND(L299&lt;&gt;"-",Q299&lt;&gt;"bypass"),IFERROR(IF((U299*$R$23/0.05)-SUM(S299:U299)&gt;0,(U299*$R$23/0.05)-SUM(S299:U299),0),"-"),Calculation!AH280)</f>
        <v>-</v>
      </c>
      <c r="S299" s="179" t="str">
        <f ca="1">IF(AND(L299&lt;&gt;"-",Q299&lt;&gt;"bypass"),IFERROR(X299*((H299*10^-12-H299*10^-12*I299)/(Calculation!$U$8*10^-9)),"-"),Calculation!AF280)</f>
        <v>-</v>
      </c>
      <c r="T299" s="179" t="str">
        <f ca="1">IF(AND(L299&lt;&gt;"-",Q299&lt;&gt;"bypass"),IFERROR(H299*I299*X299/(IF(Cluster!AA299=Cluster!$W$8,Cluster!$W$10,IF(Cluster!AA299=Cluster!$X$8,Cluster!$X$10,IF(Cluster!AA299=Cluster!$Y$8,Cluster!$Y$10,0)))*10^3),"-"),Calculation!AK280)</f>
        <v>-</v>
      </c>
      <c r="U299" s="179" t="str">
        <f ca="1">IF(AND(L299&lt;&gt;"-",Q299&lt;&gt;"bypass"),IFERROR((0.5/50)*X299/$R$23,"-"),Calculation!AG280)</f>
        <v>-</v>
      </c>
      <c r="V299" s="179" t="str">
        <f ca="1">IF(AND(L299&lt;&gt;"-",Q299&lt;&gt;"bypass"),IFERROR(5/50*X299,"-"),Calculation!AI280)</f>
        <v>-</v>
      </c>
      <c r="W299" s="179" t="str">
        <f ca="1">IF(AND(L299&lt;&gt;"-",Q299&lt;&gt;"bypass"),IFERROR(35/50*X299,"-"),Calculation!AJ280)</f>
        <v>-</v>
      </c>
      <c r="X299" s="179" t="str">
        <f ca="1">IF(AND(L299&lt;&gt;"-",Q299&lt;&gt;"bypass"),$W$23,Calculation!AL280)</f>
        <v>-</v>
      </c>
      <c r="Y299" s="183" t="str">
        <f ca="1">IF(AND(L299&lt;&gt;"-",Q299&lt;&gt;"bypass"),IFERROR($R$23*U299/SUM(R299:U299),"-"),Calculation!AP280)</f>
        <v>-</v>
      </c>
      <c r="Z299" s="184" t="str">
        <f t="shared" ca="1" si="20"/>
        <v>-</v>
      </c>
      <c r="AA299" s="185" t="str">
        <f ca="1">IFERROR(IF(I299=0,"-",IF(AND(ROUND(H299*I299*X299/($W$10*10^3),1)&gt;=Calculation!$O$6,ROUND((((U299)*$R$23/0.05)-((S299)+(H299*I299*X299/($W$10*10^3))+(U299))),1)&gt;=0),Cluster!$W$8,IF(AND(ROUND(H299*I299*X299/($X$10*10^3),1)&gt;=Calculation!$O$6,ROUND((((U299)*$R$23/0.05)-((S299)+(H299*I299*X299/($X$10*10^3))+(U299))),1)&gt;=0),Cluster!$X$8,IF(AND(ROUND(H299*I299*X299/($Y$10*10^3),1)&gt;=Calculation!$O$6,ROUND((((U299)*$R$23/0.05)-((S299)+(H299*I299*X299/($Y$10*10^3))+(U299))),1)&gt;=0),Cluster!$Y$8,"Recepie by hand needed")))),"-")</f>
        <v>-</v>
      </c>
      <c r="AC299" s="37" t="str">
        <f t="shared" ca="1" si="21"/>
        <v>-</v>
      </c>
      <c r="AD299" s="37" t="str">
        <f t="shared" ca="1" si="22"/>
        <v>-</v>
      </c>
      <c r="AE299" s="220" t="str">
        <f t="shared" ca="1" si="23"/>
        <v>-</v>
      </c>
      <c r="AF299" s="37" t="str">
        <f t="shared" ca="1" si="24"/>
        <v>-</v>
      </c>
    </row>
    <row r="300" spans="1:32" ht="14.25" x14ac:dyDescent="0.5">
      <c r="A300" s="170" t="str">
        <f>Calculation!I281</f>
        <v/>
      </c>
      <c r="B300" s="221" t="str">
        <f ca="1">Calculation!B281</f>
        <v/>
      </c>
      <c r="C300" s="221" t="str">
        <f ca="1">Calculation!C281</f>
        <v/>
      </c>
      <c r="D300" s="172" t="str">
        <f ca="1">Calculation!AN281</f>
        <v/>
      </c>
      <c r="E300" s="173" t="str">
        <f ca="1">Calculation!D281</f>
        <v/>
      </c>
      <c r="F300" s="174" t="str">
        <f ca="1">Calculation!C281</f>
        <v/>
      </c>
      <c r="G300" s="175" t="str">
        <f ca="1">Calculation!F281</f>
        <v/>
      </c>
      <c r="H300" s="176" t="str">
        <f ca="1">Calculation!AD281</f>
        <v/>
      </c>
      <c r="I300" s="177" t="str">
        <f ca="1">Calculation!AE281</f>
        <v/>
      </c>
      <c r="J300" s="272" t="str">
        <f ca="1">IF(Calculation!Q281="","Selection",Calculation!Q281)</f>
        <v>Selection</v>
      </c>
      <c r="K300" s="179" t="str">
        <f ca="1">Calculation!T281</f>
        <v/>
      </c>
      <c r="L300" s="180" t="str">
        <f ca="1">Calculation!U281</f>
        <v>-</v>
      </c>
      <c r="M300" s="180" t="str">
        <f ca="1">Calculation!V281</f>
        <v>-</v>
      </c>
      <c r="N300" s="181"/>
      <c r="O300" s="180" t="str">
        <f ca="1">Calculation!X281</f>
        <v>-</v>
      </c>
      <c r="P300" s="180" t="str">
        <f ca="1">Calculation!Y281</f>
        <v>-</v>
      </c>
      <c r="Q300" s="273"/>
      <c r="R300" s="182" t="str">
        <f ca="1">IF(AND(L300&lt;&gt;"-",Q300&lt;&gt;"bypass"),IFERROR(IF((U300*$R$23/0.05)-SUM(S300:U300)&gt;0,(U300*$R$23/0.05)-SUM(S300:U300),0),"-"),Calculation!AH281)</f>
        <v>-</v>
      </c>
      <c r="S300" s="179" t="str">
        <f ca="1">IF(AND(L300&lt;&gt;"-",Q300&lt;&gt;"bypass"),IFERROR(X300*((H300*10^-12-H300*10^-12*I300)/(Calculation!$U$8*10^-9)),"-"),Calculation!AF281)</f>
        <v>-</v>
      </c>
      <c r="T300" s="179" t="str">
        <f ca="1">IF(AND(L300&lt;&gt;"-",Q300&lt;&gt;"bypass"),IFERROR(H300*I300*X300/(IF(Cluster!AA300=Cluster!$W$8,Cluster!$W$10,IF(Cluster!AA300=Cluster!$X$8,Cluster!$X$10,IF(Cluster!AA300=Cluster!$Y$8,Cluster!$Y$10,0)))*10^3),"-"),Calculation!AK281)</f>
        <v>-</v>
      </c>
      <c r="U300" s="179" t="str">
        <f ca="1">IF(AND(L300&lt;&gt;"-",Q300&lt;&gt;"bypass"),IFERROR((0.5/50)*X300/$R$23,"-"),Calculation!AG281)</f>
        <v>-</v>
      </c>
      <c r="V300" s="179" t="str">
        <f ca="1">IF(AND(L300&lt;&gt;"-",Q300&lt;&gt;"bypass"),IFERROR(5/50*X300,"-"),Calculation!AI281)</f>
        <v>-</v>
      </c>
      <c r="W300" s="179" t="str">
        <f ca="1">IF(AND(L300&lt;&gt;"-",Q300&lt;&gt;"bypass"),IFERROR(35/50*X300,"-"),Calculation!AJ281)</f>
        <v>-</v>
      </c>
      <c r="X300" s="179" t="str">
        <f ca="1">IF(AND(L300&lt;&gt;"-",Q300&lt;&gt;"bypass"),$W$23,Calculation!AL281)</f>
        <v>-</v>
      </c>
      <c r="Y300" s="183" t="str">
        <f ca="1">IF(AND(L300&lt;&gt;"-",Q300&lt;&gt;"bypass"),IFERROR($R$23*U300/SUM(R300:U300),"-"),Calculation!AP281)</f>
        <v>-</v>
      </c>
      <c r="Z300" s="184" t="str">
        <f t="shared" ca="1" si="20"/>
        <v>-</v>
      </c>
      <c r="AA300" s="185" t="str">
        <f ca="1">IFERROR(IF(I300=0,"-",IF(AND(ROUND(H300*I300*X300/($W$10*10^3),1)&gt;=Calculation!$O$6,ROUND((((U300)*$R$23/0.05)-((S300)+(H300*I300*X300/($W$10*10^3))+(U300))),1)&gt;=0),Cluster!$W$8,IF(AND(ROUND(H300*I300*X300/($X$10*10^3),1)&gt;=Calculation!$O$6,ROUND((((U300)*$R$23/0.05)-((S300)+(H300*I300*X300/($X$10*10^3))+(U300))),1)&gt;=0),Cluster!$X$8,IF(AND(ROUND(H300*I300*X300/($Y$10*10^3),1)&gt;=Calculation!$O$6,ROUND((((U300)*$R$23/0.05)-((S300)+(H300*I300*X300/($Y$10*10^3))+(U300))),1)&gt;=0),Cluster!$Y$8,"Recepie by hand needed")))),"-")</f>
        <v>-</v>
      </c>
      <c r="AC300" s="37" t="str">
        <f t="shared" ca="1" si="21"/>
        <v>-</v>
      </c>
      <c r="AD300" s="37" t="str">
        <f t="shared" ca="1" si="22"/>
        <v>-</v>
      </c>
      <c r="AE300" s="220" t="str">
        <f t="shared" ca="1" si="23"/>
        <v>-</v>
      </c>
      <c r="AF300" s="37" t="str">
        <f t="shared" ca="1" si="24"/>
        <v>-</v>
      </c>
    </row>
    <row r="301" spans="1:32" ht="14.25" x14ac:dyDescent="0.5">
      <c r="A301" s="170" t="str">
        <f>Calculation!I282</f>
        <v/>
      </c>
      <c r="B301" s="221" t="str">
        <f ca="1">Calculation!B282</f>
        <v/>
      </c>
      <c r="C301" s="221" t="str">
        <f ca="1">Calculation!C282</f>
        <v/>
      </c>
      <c r="D301" s="172" t="str">
        <f ca="1">Calculation!AN282</f>
        <v/>
      </c>
      <c r="E301" s="173" t="str">
        <f ca="1">Calculation!D282</f>
        <v/>
      </c>
      <c r="F301" s="174" t="str">
        <f ca="1">Calculation!C282</f>
        <v/>
      </c>
      <c r="G301" s="175" t="str">
        <f ca="1">Calculation!F282</f>
        <v/>
      </c>
      <c r="H301" s="176" t="str">
        <f ca="1">Calculation!AD282</f>
        <v/>
      </c>
      <c r="I301" s="177" t="str">
        <f ca="1">Calculation!AE282</f>
        <v/>
      </c>
      <c r="J301" s="272" t="str">
        <f ca="1">IF(Calculation!Q282="","Selection",Calculation!Q282)</f>
        <v>Selection</v>
      </c>
      <c r="K301" s="179" t="str">
        <f ca="1">Calculation!T282</f>
        <v/>
      </c>
      <c r="L301" s="180" t="str">
        <f ca="1">Calculation!U282</f>
        <v>-</v>
      </c>
      <c r="M301" s="180" t="str">
        <f ca="1">Calculation!V282</f>
        <v>-</v>
      </c>
      <c r="N301" s="181"/>
      <c r="O301" s="180" t="str">
        <f ca="1">Calculation!X282</f>
        <v>-</v>
      </c>
      <c r="P301" s="180" t="str">
        <f ca="1">Calculation!Y282</f>
        <v>-</v>
      </c>
      <c r="Q301" s="273"/>
      <c r="R301" s="182" t="str">
        <f ca="1">IF(AND(L301&lt;&gt;"-",Q301&lt;&gt;"bypass"),IFERROR(IF((U301*$R$23/0.05)-SUM(S301:U301)&gt;0,(U301*$R$23/0.05)-SUM(S301:U301),0),"-"),Calculation!AH282)</f>
        <v>-</v>
      </c>
      <c r="S301" s="179" t="str">
        <f ca="1">IF(AND(L301&lt;&gt;"-",Q301&lt;&gt;"bypass"),IFERROR(X301*((H301*10^-12-H301*10^-12*I301)/(Calculation!$U$8*10^-9)),"-"),Calculation!AF282)</f>
        <v>-</v>
      </c>
      <c r="T301" s="179" t="str">
        <f ca="1">IF(AND(L301&lt;&gt;"-",Q301&lt;&gt;"bypass"),IFERROR(H301*I301*X301/(IF(Cluster!AA301=Cluster!$W$8,Cluster!$W$10,IF(Cluster!AA301=Cluster!$X$8,Cluster!$X$10,IF(Cluster!AA301=Cluster!$Y$8,Cluster!$Y$10,0)))*10^3),"-"),Calculation!AK282)</f>
        <v>-</v>
      </c>
      <c r="U301" s="179" t="str">
        <f ca="1">IF(AND(L301&lt;&gt;"-",Q301&lt;&gt;"bypass"),IFERROR((0.5/50)*X301/$R$23,"-"),Calculation!AG282)</f>
        <v>-</v>
      </c>
      <c r="V301" s="179" t="str">
        <f ca="1">IF(AND(L301&lt;&gt;"-",Q301&lt;&gt;"bypass"),IFERROR(5/50*X301,"-"),Calculation!AI282)</f>
        <v>-</v>
      </c>
      <c r="W301" s="179" t="str">
        <f ca="1">IF(AND(L301&lt;&gt;"-",Q301&lt;&gt;"bypass"),IFERROR(35/50*X301,"-"),Calculation!AJ282)</f>
        <v>-</v>
      </c>
      <c r="X301" s="179" t="str">
        <f ca="1">IF(AND(L301&lt;&gt;"-",Q301&lt;&gt;"bypass"),$W$23,Calculation!AL282)</f>
        <v>-</v>
      </c>
      <c r="Y301" s="183" t="str">
        <f ca="1">IF(AND(L301&lt;&gt;"-",Q301&lt;&gt;"bypass"),IFERROR($R$23*U301/SUM(R301:U301),"-"),Calculation!AP282)</f>
        <v>-</v>
      </c>
      <c r="Z301" s="184" t="str">
        <f t="shared" ca="1" si="20"/>
        <v>-</v>
      </c>
      <c r="AA301" s="185" t="str">
        <f ca="1">IFERROR(IF(I301=0,"-",IF(AND(ROUND(H301*I301*X301/($W$10*10^3),1)&gt;=Calculation!$O$6,ROUND((((U301)*$R$23/0.05)-((S301)+(H301*I301*X301/($W$10*10^3))+(U301))),1)&gt;=0),Cluster!$W$8,IF(AND(ROUND(H301*I301*X301/($X$10*10^3),1)&gt;=Calculation!$O$6,ROUND((((U301)*$R$23/0.05)-((S301)+(H301*I301*X301/($X$10*10^3))+(U301))),1)&gt;=0),Cluster!$X$8,IF(AND(ROUND(H301*I301*X301/($Y$10*10^3),1)&gt;=Calculation!$O$6,ROUND((((U301)*$R$23/0.05)-((S301)+(H301*I301*X301/($Y$10*10^3))+(U301))),1)&gt;=0),Cluster!$Y$8,"Recepie by hand needed")))),"-")</f>
        <v>-</v>
      </c>
      <c r="AC301" s="37" t="str">
        <f t="shared" ca="1" si="21"/>
        <v>-</v>
      </c>
      <c r="AD301" s="37" t="str">
        <f t="shared" ca="1" si="22"/>
        <v>-</v>
      </c>
      <c r="AE301" s="220" t="str">
        <f t="shared" ca="1" si="23"/>
        <v>-</v>
      </c>
      <c r="AF301" s="37" t="str">
        <f t="shared" ca="1" si="24"/>
        <v>-</v>
      </c>
    </row>
    <row r="302" spans="1:32" ht="14.25" x14ac:dyDescent="0.5">
      <c r="A302" s="170" t="str">
        <f>Calculation!I283</f>
        <v/>
      </c>
      <c r="B302" s="221" t="str">
        <f ca="1">Calculation!B283</f>
        <v/>
      </c>
      <c r="C302" s="221" t="str">
        <f ca="1">Calculation!C283</f>
        <v/>
      </c>
      <c r="D302" s="172" t="str">
        <f ca="1">Calculation!AN283</f>
        <v/>
      </c>
      <c r="E302" s="173" t="str">
        <f ca="1">Calculation!D283</f>
        <v/>
      </c>
      <c r="F302" s="174" t="str">
        <f ca="1">Calculation!C283</f>
        <v/>
      </c>
      <c r="G302" s="175" t="str">
        <f ca="1">Calculation!F283</f>
        <v/>
      </c>
      <c r="H302" s="176" t="str">
        <f ca="1">Calculation!AD283</f>
        <v/>
      </c>
      <c r="I302" s="177" t="str">
        <f ca="1">Calculation!AE283</f>
        <v/>
      </c>
      <c r="J302" s="272" t="str">
        <f ca="1">IF(Calculation!Q283="","Selection",Calculation!Q283)</f>
        <v>Selection</v>
      </c>
      <c r="K302" s="179" t="str">
        <f ca="1">Calculation!T283</f>
        <v/>
      </c>
      <c r="L302" s="180" t="str">
        <f ca="1">Calculation!U283</f>
        <v>-</v>
      </c>
      <c r="M302" s="180" t="str">
        <f ca="1">Calculation!V283</f>
        <v>-</v>
      </c>
      <c r="N302" s="181"/>
      <c r="O302" s="180" t="str">
        <f ca="1">Calculation!X283</f>
        <v>-</v>
      </c>
      <c r="P302" s="180" t="str">
        <f ca="1">Calculation!Y283</f>
        <v>-</v>
      </c>
      <c r="Q302" s="273"/>
      <c r="R302" s="182" t="str">
        <f ca="1">IF(AND(L302&lt;&gt;"-",Q302&lt;&gt;"bypass"),IFERROR(IF((U302*$R$23/0.05)-SUM(S302:U302)&gt;0,(U302*$R$23/0.05)-SUM(S302:U302),0),"-"),Calculation!AH283)</f>
        <v>-</v>
      </c>
      <c r="S302" s="179" t="str">
        <f ca="1">IF(AND(L302&lt;&gt;"-",Q302&lt;&gt;"bypass"),IFERROR(X302*((H302*10^-12-H302*10^-12*I302)/(Calculation!$U$8*10^-9)),"-"),Calculation!AF283)</f>
        <v>-</v>
      </c>
      <c r="T302" s="179" t="str">
        <f ca="1">IF(AND(L302&lt;&gt;"-",Q302&lt;&gt;"bypass"),IFERROR(H302*I302*X302/(IF(Cluster!AA302=Cluster!$W$8,Cluster!$W$10,IF(Cluster!AA302=Cluster!$X$8,Cluster!$X$10,IF(Cluster!AA302=Cluster!$Y$8,Cluster!$Y$10,0)))*10^3),"-"),Calculation!AK283)</f>
        <v>-</v>
      </c>
      <c r="U302" s="179" t="str">
        <f ca="1">IF(AND(L302&lt;&gt;"-",Q302&lt;&gt;"bypass"),IFERROR((0.5/50)*X302/$R$23,"-"),Calculation!AG283)</f>
        <v>-</v>
      </c>
      <c r="V302" s="179" t="str">
        <f ca="1">IF(AND(L302&lt;&gt;"-",Q302&lt;&gt;"bypass"),IFERROR(5/50*X302,"-"),Calculation!AI283)</f>
        <v>-</v>
      </c>
      <c r="W302" s="179" t="str">
        <f ca="1">IF(AND(L302&lt;&gt;"-",Q302&lt;&gt;"bypass"),IFERROR(35/50*X302,"-"),Calculation!AJ283)</f>
        <v>-</v>
      </c>
      <c r="X302" s="179" t="str">
        <f ca="1">IF(AND(L302&lt;&gt;"-",Q302&lt;&gt;"bypass"),$W$23,Calculation!AL283)</f>
        <v>-</v>
      </c>
      <c r="Y302" s="183" t="str">
        <f ca="1">IF(AND(L302&lt;&gt;"-",Q302&lt;&gt;"bypass"),IFERROR($R$23*U302/SUM(R302:U302),"-"),Calculation!AP283)</f>
        <v>-</v>
      </c>
      <c r="Z302" s="184" t="str">
        <f t="shared" ca="1" si="20"/>
        <v>-</v>
      </c>
      <c r="AA302" s="185" t="str">
        <f ca="1">IFERROR(IF(I302=0,"-",IF(AND(ROUND(H302*I302*X302/($W$10*10^3),1)&gt;=Calculation!$O$6,ROUND((((U302)*$R$23/0.05)-((S302)+(H302*I302*X302/($W$10*10^3))+(U302))),1)&gt;=0),Cluster!$W$8,IF(AND(ROUND(H302*I302*X302/($X$10*10^3),1)&gt;=Calculation!$O$6,ROUND((((U302)*$R$23/0.05)-((S302)+(H302*I302*X302/($X$10*10^3))+(U302))),1)&gt;=0),Cluster!$X$8,IF(AND(ROUND(H302*I302*X302/($Y$10*10^3),1)&gt;=Calculation!$O$6,ROUND((((U302)*$R$23/0.05)-((S302)+(H302*I302*X302/($Y$10*10^3))+(U302))),1)&gt;=0),Cluster!$Y$8,"Recepie by hand needed")))),"-")</f>
        <v>-</v>
      </c>
      <c r="AC302" s="37" t="str">
        <f t="shared" ca="1" si="21"/>
        <v>-</v>
      </c>
      <c r="AD302" s="37" t="str">
        <f t="shared" ca="1" si="22"/>
        <v>-</v>
      </c>
      <c r="AE302" s="220" t="str">
        <f t="shared" ca="1" si="23"/>
        <v>-</v>
      </c>
      <c r="AF302" s="37" t="str">
        <f t="shared" ca="1" si="24"/>
        <v>-</v>
      </c>
    </row>
    <row r="303" spans="1:32" ht="14.25" x14ac:dyDescent="0.5">
      <c r="A303" s="170" t="str">
        <f>Calculation!I284</f>
        <v/>
      </c>
      <c r="B303" s="221" t="str">
        <f ca="1">Calculation!B284</f>
        <v/>
      </c>
      <c r="C303" s="221" t="str">
        <f ca="1">Calculation!C284</f>
        <v/>
      </c>
      <c r="D303" s="172" t="str">
        <f ca="1">Calculation!AN284</f>
        <v/>
      </c>
      <c r="E303" s="173" t="str">
        <f ca="1">Calculation!D284</f>
        <v/>
      </c>
      <c r="F303" s="174" t="str">
        <f ca="1">Calculation!C284</f>
        <v/>
      </c>
      <c r="G303" s="175" t="str">
        <f ca="1">Calculation!F284</f>
        <v/>
      </c>
      <c r="H303" s="176" t="str">
        <f ca="1">Calculation!AD284</f>
        <v/>
      </c>
      <c r="I303" s="177" t="str">
        <f ca="1">Calculation!AE284</f>
        <v/>
      </c>
      <c r="J303" s="272" t="str">
        <f ca="1">IF(Calculation!Q284="","Selection",Calculation!Q284)</f>
        <v>Selection</v>
      </c>
      <c r="K303" s="179" t="str">
        <f ca="1">Calculation!T284</f>
        <v/>
      </c>
      <c r="L303" s="180" t="str">
        <f ca="1">Calculation!U284</f>
        <v>-</v>
      </c>
      <c r="M303" s="180" t="str">
        <f ca="1">Calculation!V284</f>
        <v>-</v>
      </c>
      <c r="N303" s="181"/>
      <c r="O303" s="180" t="str">
        <f ca="1">Calculation!X284</f>
        <v>-</v>
      </c>
      <c r="P303" s="180" t="str">
        <f ca="1">Calculation!Y284</f>
        <v>-</v>
      </c>
      <c r="Q303" s="273"/>
      <c r="R303" s="182" t="str">
        <f ca="1">IF(AND(L303&lt;&gt;"-",Q303&lt;&gt;"bypass"),IFERROR(IF((U303*$R$23/0.05)-SUM(S303:U303)&gt;0,(U303*$R$23/0.05)-SUM(S303:U303),0),"-"),Calculation!AH284)</f>
        <v>-</v>
      </c>
      <c r="S303" s="179" t="str">
        <f ca="1">IF(AND(L303&lt;&gt;"-",Q303&lt;&gt;"bypass"),IFERROR(X303*((H303*10^-12-H303*10^-12*I303)/(Calculation!$U$8*10^-9)),"-"),Calculation!AF284)</f>
        <v>-</v>
      </c>
      <c r="T303" s="179" t="str">
        <f ca="1">IF(AND(L303&lt;&gt;"-",Q303&lt;&gt;"bypass"),IFERROR(H303*I303*X303/(IF(Cluster!AA303=Cluster!$W$8,Cluster!$W$10,IF(Cluster!AA303=Cluster!$X$8,Cluster!$X$10,IF(Cluster!AA303=Cluster!$Y$8,Cluster!$Y$10,0)))*10^3),"-"),Calculation!AK284)</f>
        <v>-</v>
      </c>
      <c r="U303" s="179" t="str">
        <f ca="1">IF(AND(L303&lt;&gt;"-",Q303&lt;&gt;"bypass"),IFERROR((0.5/50)*X303/$R$23,"-"),Calculation!AG284)</f>
        <v>-</v>
      </c>
      <c r="V303" s="179" t="str">
        <f ca="1">IF(AND(L303&lt;&gt;"-",Q303&lt;&gt;"bypass"),IFERROR(5/50*X303,"-"),Calculation!AI284)</f>
        <v>-</v>
      </c>
      <c r="W303" s="179" t="str">
        <f ca="1">IF(AND(L303&lt;&gt;"-",Q303&lt;&gt;"bypass"),IFERROR(35/50*X303,"-"),Calculation!AJ284)</f>
        <v>-</v>
      </c>
      <c r="X303" s="179" t="str">
        <f ca="1">IF(AND(L303&lt;&gt;"-",Q303&lt;&gt;"bypass"),$W$23,Calculation!AL284)</f>
        <v>-</v>
      </c>
      <c r="Y303" s="183" t="str">
        <f ca="1">IF(AND(L303&lt;&gt;"-",Q303&lt;&gt;"bypass"),IFERROR($R$23*U303/SUM(R303:U303),"-"),Calculation!AP284)</f>
        <v>-</v>
      </c>
      <c r="Z303" s="184" t="str">
        <f t="shared" ca="1" si="20"/>
        <v>-</v>
      </c>
      <c r="AA303" s="185" t="str">
        <f ca="1">IFERROR(IF(I303=0,"-",IF(AND(ROUND(H303*I303*X303/($W$10*10^3),1)&gt;=Calculation!$O$6,ROUND((((U303)*$R$23/0.05)-((S303)+(H303*I303*X303/($W$10*10^3))+(U303))),1)&gt;=0),Cluster!$W$8,IF(AND(ROUND(H303*I303*X303/($X$10*10^3),1)&gt;=Calculation!$O$6,ROUND((((U303)*$R$23/0.05)-((S303)+(H303*I303*X303/($X$10*10^3))+(U303))),1)&gt;=0),Cluster!$X$8,IF(AND(ROUND(H303*I303*X303/($Y$10*10^3),1)&gt;=Calculation!$O$6,ROUND((((U303)*$R$23/0.05)-((S303)+(H303*I303*X303/($Y$10*10^3))+(U303))),1)&gt;=0),Cluster!$Y$8,"Recepie by hand needed")))),"-")</f>
        <v>-</v>
      </c>
      <c r="AC303" s="37" t="str">
        <f t="shared" ca="1" si="21"/>
        <v>-</v>
      </c>
      <c r="AD303" s="37" t="str">
        <f t="shared" ca="1" si="22"/>
        <v>-</v>
      </c>
      <c r="AE303" s="220" t="str">
        <f t="shared" ca="1" si="23"/>
        <v>-</v>
      </c>
      <c r="AF303" s="37" t="str">
        <f t="shared" ca="1" si="24"/>
        <v>-</v>
      </c>
    </row>
    <row r="304" spans="1:32" ht="14.25" x14ac:dyDescent="0.5">
      <c r="A304" s="170" t="str">
        <f>Calculation!I285</f>
        <v/>
      </c>
      <c r="B304" s="221" t="str">
        <f ca="1">Calculation!B285</f>
        <v/>
      </c>
      <c r="C304" s="221" t="str">
        <f ca="1">Calculation!C285</f>
        <v/>
      </c>
      <c r="D304" s="172" t="str">
        <f ca="1">Calculation!AN285</f>
        <v/>
      </c>
      <c r="E304" s="173" t="str">
        <f ca="1">Calculation!D285</f>
        <v/>
      </c>
      <c r="F304" s="174" t="str">
        <f ca="1">Calculation!C285</f>
        <v/>
      </c>
      <c r="G304" s="175" t="str">
        <f ca="1">Calculation!F285</f>
        <v/>
      </c>
      <c r="H304" s="176" t="str">
        <f ca="1">Calculation!AD285</f>
        <v/>
      </c>
      <c r="I304" s="177" t="str">
        <f ca="1">Calculation!AE285</f>
        <v/>
      </c>
      <c r="J304" s="272" t="str">
        <f ca="1">IF(Calculation!Q285="","Selection",Calculation!Q285)</f>
        <v>Selection</v>
      </c>
      <c r="K304" s="179" t="str">
        <f ca="1">Calculation!T285</f>
        <v/>
      </c>
      <c r="L304" s="180" t="str">
        <f ca="1">Calculation!U285</f>
        <v>-</v>
      </c>
      <c r="M304" s="180" t="str">
        <f ca="1">Calculation!V285</f>
        <v>-</v>
      </c>
      <c r="N304" s="181"/>
      <c r="O304" s="180" t="str">
        <f ca="1">Calculation!X285</f>
        <v>-</v>
      </c>
      <c r="P304" s="180" t="str">
        <f ca="1">Calculation!Y285</f>
        <v>-</v>
      </c>
      <c r="Q304" s="273"/>
      <c r="R304" s="182" t="str">
        <f ca="1">IF(AND(L304&lt;&gt;"-",Q304&lt;&gt;"bypass"),IFERROR(IF((U304*$R$23/0.05)-SUM(S304:U304)&gt;0,(U304*$R$23/0.05)-SUM(S304:U304),0),"-"),Calculation!AH285)</f>
        <v>-</v>
      </c>
      <c r="S304" s="179" t="str">
        <f ca="1">IF(AND(L304&lt;&gt;"-",Q304&lt;&gt;"bypass"),IFERROR(X304*((H304*10^-12-H304*10^-12*I304)/(Calculation!$U$8*10^-9)),"-"),Calculation!AF285)</f>
        <v>-</v>
      </c>
      <c r="T304" s="179" t="str">
        <f ca="1">IF(AND(L304&lt;&gt;"-",Q304&lt;&gt;"bypass"),IFERROR(H304*I304*X304/(IF(Cluster!AA304=Cluster!$W$8,Cluster!$W$10,IF(Cluster!AA304=Cluster!$X$8,Cluster!$X$10,IF(Cluster!AA304=Cluster!$Y$8,Cluster!$Y$10,0)))*10^3),"-"),Calculation!AK285)</f>
        <v>-</v>
      </c>
      <c r="U304" s="179" t="str">
        <f ca="1">IF(AND(L304&lt;&gt;"-",Q304&lt;&gt;"bypass"),IFERROR((0.5/50)*X304/$R$23,"-"),Calculation!AG285)</f>
        <v>-</v>
      </c>
      <c r="V304" s="179" t="str">
        <f ca="1">IF(AND(L304&lt;&gt;"-",Q304&lt;&gt;"bypass"),IFERROR(5/50*X304,"-"),Calculation!AI285)</f>
        <v>-</v>
      </c>
      <c r="W304" s="179" t="str">
        <f ca="1">IF(AND(L304&lt;&gt;"-",Q304&lt;&gt;"bypass"),IFERROR(35/50*X304,"-"),Calculation!AJ285)</f>
        <v>-</v>
      </c>
      <c r="X304" s="179" t="str">
        <f ca="1">IF(AND(L304&lt;&gt;"-",Q304&lt;&gt;"bypass"),$W$23,Calculation!AL285)</f>
        <v>-</v>
      </c>
      <c r="Y304" s="183" t="str">
        <f ca="1">IF(AND(L304&lt;&gt;"-",Q304&lt;&gt;"bypass"),IFERROR($R$23*U304/SUM(R304:U304),"-"),Calculation!AP285)</f>
        <v>-</v>
      </c>
      <c r="Z304" s="184" t="str">
        <f t="shared" ca="1" si="20"/>
        <v>-</v>
      </c>
      <c r="AA304" s="185" t="str">
        <f ca="1">IFERROR(IF(I304=0,"-",IF(AND(ROUND(H304*I304*X304/($W$10*10^3),1)&gt;=Calculation!$O$6,ROUND((((U304)*$R$23/0.05)-((S304)+(H304*I304*X304/($W$10*10^3))+(U304))),1)&gt;=0),Cluster!$W$8,IF(AND(ROUND(H304*I304*X304/($X$10*10^3),1)&gt;=Calculation!$O$6,ROUND((((U304)*$R$23/0.05)-((S304)+(H304*I304*X304/($X$10*10^3))+(U304))),1)&gt;=0),Cluster!$X$8,IF(AND(ROUND(H304*I304*X304/($Y$10*10^3),1)&gt;=Calculation!$O$6,ROUND((((U304)*$R$23/0.05)-((S304)+(H304*I304*X304/($Y$10*10^3))+(U304))),1)&gt;=0),Cluster!$Y$8,"Recepie by hand needed")))),"-")</f>
        <v>-</v>
      </c>
      <c r="AC304" s="37" t="str">
        <f t="shared" ca="1" si="21"/>
        <v>-</v>
      </c>
      <c r="AD304" s="37" t="str">
        <f t="shared" ca="1" si="22"/>
        <v>-</v>
      </c>
      <c r="AE304" s="220" t="str">
        <f t="shared" ca="1" si="23"/>
        <v>-</v>
      </c>
      <c r="AF304" s="37" t="str">
        <f t="shared" ca="1" si="24"/>
        <v>-</v>
      </c>
    </row>
    <row r="305" spans="1:32" ht="14.25" x14ac:dyDescent="0.5">
      <c r="A305" s="170" t="str">
        <f>Calculation!I286</f>
        <v/>
      </c>
      <c r="B305" s="221" t="str">
        <f ca="1">Calculation!B286</f>
        <v/>
      </c>
      <c r="C305" s="221" t="str">
        <f ca="1">Calculation!C286</f>
        <v/>
      </c>
      <c r="D305" s="172" t="str">
        <f ca="1">Calculation!AN286</f>
        <v/>
      </c>
      <c r="E305" s="173" t="str">
        <f ca="1">Calculation!D286</f>
        <v/>
      </c>
      <c r="F305" s="174" t="str">
        <f ca="1">Calculation!C286</f>
        <v/>
      </c>
      <c r="G305" s="175" t="str">
        <f ca="1">Calculation!F286</f>
        <v/>
      </c>
      <c r="H305" s="176" t="str">
        <f ca="1">Calculation!AD286</f>
        <v/>
      </c>
      <c r="I305" s="177" t="str">
        <f ca="1">Calculation!AE286</f>
        <v/>
      </c>
      <c r="J305" s="272" t="str">
        <f ca="1">IF(Calculation!Q286="","Selection",Calculation!Q286)</f>
        <v>Selection</v>
      </c>
      <c r="K305" s="179" t="str">
        <f ca="1">Calculation!T286</f>
        <v/>
      </c>
      <c r="L305" s="180" t="str">
        <f ca="1">Calculation!U286</f>
        <v>-</v>
      </c>
      <c r="M305" s="180" t="str">
        <f ca="1">Calculation!V286</f>
        <v>-</v>
      </c>
      <c r="N305" s="181"/>
      <c r="O305" s="180" t="str">
        <f ca="1">Calculation!X286</f>
        <v>-</v>
      </c>
      <c r="P305" s="180" t="str">
        <f ca="1">Calculation!Y286</f>
        <v>-</v>
      </c>
      <c r="Q305" s="273"/>
      <c r="R305" s="182" t="str">
        <f ca="1">IF(AND(L305&lt;&gt;"-",Q305&lt;&gt;"bypass"),IFERROR(IF((U305*$R$23/0.05)-SUM(S305:U305)&gt;0,(U305*$R$23/0.05)-SUM(S305:U305),0),"-"),Calculation!AH286)</f>
        <v>-</v>
      </c>
      <c r="S305" s="179" t="str">
        <f ca="1">IF(AND(L305&lt;&gt;"-",Q305&lt;&gt;"bypass"),IFERROR(X305*((H305*10^-12-H305*10^-12*I305)/(Calculation!$U$8*10^-9)),"-"),Calculation!AF286)</f>
        <v>-</v>
      </c>
      <c r="T305" s="179" t="str">
        <f ca="1">IF(AND(L305&lt;&gt;"-",Q305&lt;&gt;"bypass"),IFERROR(H305*I305*X305/(IF(Cluster!AA305=Cluster!$W$8,Cluster!$W$10,IF(Cluster!AA305=Cluster!$X$8,Cluster!$X$10,IF(Cluster!AA305=Cluster!$Y$8,Cluster!$Y$10,0)))*10^3),"-"),Calculation!AK286)</f>
        <v>-</v>
      </c>
      <c r="U305" s="179" t="str">
        <f ca="1">IF(AND(L305&lt;&gt;"-",Q305&lt;&gt;"bypass"),IFERROR((0.5/50)*X305/$R$23,"-"),Calculation!AG286)</f>
        <v>-</v>
      </c>
      <c r="V305" s="179" t="str">
        <f ca="1">IF(AND(L305&lt;&gt;"-",Q305&lt;&gt;"bypass"),IFERROR(5/50*X305,"-"),Calculation!AI286)</f>
        <v>-</v>
      </c>
      <c r="W305" s="179" t="str">
        <f ca="1">IF(AND(L305&lt;&gt;"-",Q305&lt;&gt;"bypass"),IFERROR(35/50*X305,"-"),Calculation!AJ286)</f>
        <v>-</v>
      </c>
      <c r="X305" s="179" t="str">
        <f ca="1">IF(AND(L305&lt;&gt;"-",Q305&lt;&gt;"bypass"),$W$23,Calculation!AL286)</f>
        <v>-</v>
      </c>
      <c r="Y305" s="183" t="str">
        <f ca="1">IF(AND(L305&lt;&gt;"-",Q305&lt;&gt;"bypass"),IFERROR($R$23*U305/SUM(R305:U305),"-"),Calculation!AP286)</f>
        <v>-</v>
      </c>
      <c r="Z305" s="184" t="str">
        <f t="shared" ca="1" si="20"/>
        <v>-</v>
      </c>
      <c r="AA305" s="185" t="str">
        <f ca="1">IFERROR(IF(I305=0,"-",IF(AND(ROUND(H305*I305*X305/($W$10*10^3),1)&gt;=Calculation!$O$6,ROUND((((U305)*$R$23/0.05)-((S305)+(H305*I305*X305/($W$10*10^3))+(U305))),1)&gt;=0),Cluster!$W$8,IF(AND(ROUND(H305*I305*X305/($X$10*10^3),1)&gt;=Calculation!$O$6,ROUND((((U305)*$R$23/0.05)-((S305)+(H305*I305*X305/($X$10*10^3))+(U305))),1)&gt;=0),Cluster!$X$8,IF(AND(ROUND(H305*I305*X305/($Y$10*10^3),1)&gt;=Calculation!$O$6,ROUND((((U305)*$R$23/0.05)-((S305)+(H305*I305*X305/($Y$10*10^3))+(U305))),1)&gt;=0),Cluster!$Y$8,"Recepie by hand needed")))),"-")</f>
        <v>-</v>
      </c>
      <c r="AC305" s="37" t="str">
        <f t="shared" ca="1" si="21"/>
        <v>-</v>
      </c>
      <c r="AD305" s="37" t="str">
        <f t="shared" ca="1" si="22"/>
        <v>-</v>
      </c>
      <c r="AE305" s="220" t="str">
        <f t="shared" ca="1" si="23"/>
        <v>-</v>
      </c>
      <c r="AF305" s="37" t="str">
        <f t="shared" ca="1" si="24"/>
        <v>-</v>
      </c>
    </row>
    <row r="306" spans="1:32" ht="14.25" x14ac:dyDescent="0.5">
      <c r="A306" s="170" t="str">
        <f>Calculation!I287</f>
        <v/>
      </c>
      <c r="B306" s="221" t="str">
        <f ca="1">Calculation!B287</f>
        <v/>
      </c>
      <c r="C306" s="221" t="str">
        <f ca="1">Calculation!C287</f>
        <v/>
      </c>
      <c r="D306" s="172" t="str">
        <f ca="1">Calculation!AN287</f>
        <v/>
      </c>
      <c r="E306" s="173" t="str">
        <f ca="1">Calculation!D287</f>
        <v/>
      </c>
      <c r="F306" s="174" t="str">
        <f ca="1">Calculation!C287</f>
        <v/>
      </c>
      <c r="G306" s="175" t="str">
        <f ca="1">Calculation!F287</f>
        <v/>
      </c>
      <c r="H306" s="176" t="str">
        <f ca="1">Calculation!AD287</f>
        <v/>
      </c>
      <c r="I306" s="177" t="str">
        <f ca="1">Calculation!AE287</f>
        <v/>
      </c>
      <c r="J306" s="272" t="str">
        <f ca="1">IF(Calculation!Q287="","Selection",Calculation!Q287)</f>
        <v>Selection</v>
      </c>
      <c r="K306" s="179" t="str">
        <f ca="1">Calculation!T287</f>
        <v/>
      </c>
      <c r="L306" s="180" t="str">
        <f ca="1">Calculation!U287</f>
        <v>-</v>
      </c>
      <c r="M306" s="180" t="str">
        <f ca="1">Calculation!V287</f>
        <v>-</v>
      </c>
      <c r="N306" s="181"/>
      <c r="O306" s="180" t="str">
        <f ca="1">Calculation!X287</f>
        <v>-</v>
      </c>
      <c r="P306" s="180" t="str">
        <f ca="1">Calculation!Y287</f>
        <v>-</v>
      </c>
      <c r="Q306" s="273"/>
      <c r="R306" s="182" t="str">
        <f ca="1">IF(AND(L306&lt;&gt;"-",Q306&lt;&gt;"bypass"),IFERROR(IF((U306*$R$23/0.05)-SUM(S306:U306)&gt;0,(U306*$R$23/0.05)-SUM(S306:U306),0),"-"),Calculation!AH287)</f>
        <v>-</v>
      </c>
      <c r="S306" s="179" t="str">
        <f ca="1">IF(AND(L306&lt;&gt;"-",Q306&lt;&gt;"bypass"),IFERROR(X306*((H306*10^-12-H306*10^-12*I306)/(Calculation!$U$8*10^-9)),"-"),Calculation!AF287)</f>
        <v>-</v>
      </c>
      <c r="T306" s="179" t="str">
        <f ca="1">IF(AND(L306&lt;&gt;"-",Q306&lt;&gt;"bypass"),IFERROR(H306*I306*X306/(IF(Cluster!AA306=Cluster!$W$8,Cluster!$W$10,IF(Cluster!AA306=Cluster!$X$8,Cluster!$X$10,IF(Cluster!AA306=Cluster!$Y$8,Cluster!$Y$10,0)))*10^3),"-"),Calculation!AK287)</f>
        <v>-</v>
      </c>
      <c r="U306" s="179" t="str">
        <f ca="1">IF(AND(L306&lt;&gt;"-",Q306&lt;&gt;"bypass"),IFERROR((0.5/50)*X306/$R$23,"-"),Calculation!AG287)</f>
        <v>-</v>
      </c>
      <c r="V306" s="179" t="str">
        <f ca="1">IF(AND(L306&lt;&gt;"-",Q306&lt;&gt;"bypass"),IFERROR(5/50*X306,"-"),Calculation!AI287)</f>
        <v>-</v>
      </c>
      <c r="W306" s="179" t="str">
        <f ca="1">IF(AND(L306&lt;&gt;"-",Q306&lt;&gt;"bypass"),IFERROR(35/50*X306,"-"),Calculation!AJ287)</f>
        <v>-</v>
      </c>
      <c r="X306" s="179" t="str">
        <f ca="1">IF(AND(L306&lt;&gt;"-",Q306&lt;&gt;"bypass"),$W$23,Calculation!AL287)</f>
        <v>-</v>
      </c>
      <c r="Y306" s="183" t="str">
        <f ca="1">IF(AND(L306&lt;&gt;"-",Q306&lt;&gt;"bypass"),IFERROR($R$23*U306/SUM(R306:U306),"-"),Calculation!AP287)</f>
        <v>-</v>
      </c>
      <c r="Z306" s="184" t="str">
        <f t="shared" ca="1" si="20"/>
        <v>-</v>
      </c>
      <c r="AA306" s="185" t="str">
        <f ca="1">IFERROR(IF(I306=0,"-",IF(AND(ROUND(H306*I306*X306/($W$10*10^3),1)&gt;=Calculation!$O$6,ROUND((((U306)*$R$23/0.05)-((S306)+(H306*I306*X306/($W$10*10^3))+(U306))),1)&gt;=0),Cluster!$W$8,IF(AND(ROUND(H306*I306*X306/($X$10*10^3),1)&gt;=Calculation!$O$6,ROUND((((U306)*$R$23/0.05)-((S306)+(H306*I306*X306/($X$10*10^3))+(U306))),1)&gt;=0),Cluster!$X$8,IF(AND(ROUND(H306*I306*X306/($Y$10*10^3),1)&gt;=Calculation!$O$6,ROUND((((U306)*$R$23/0.05)-((S306)+(H306*I306*X306/($Y$10*10^3))+(U306))),1)&gt;=0),Cluster!$Y$8,"Recepie by hand needed")))),"-")</f>
        <v>-</v>
      </c>
      <c r="AC306" s="37" t="str">
        <f t="shared" ca="1" si="21"/>
        <v>-</v>
      </c>
      <c r="AD306" s="37" t="str">
        <f t="shared" ca="1" si="22"/>
        <v>-</v>
      </c>
      <c r="AE306" s="220" t="str">
        <f t="shared" ca="1" si="23"/>
        <v>-</v>
      </c>
      <c r="AF306" s="37" t="str">
        <f t="shared" ca="1" si="24"/>
        <v>-</v>
      </c>
    </row>
    <row r="307" spans="1:32" ht="14.25" x14ac:dyDescent="0.5">
      <c r="A307" s="170" t="str">
        <f>Calculation!I288</f>
        <v/>
      </c>
      <c r="B307" s="221" t="str">
        <f ca="1">Calculation!B288</f>
        <v/>
      </c>
      <c r="C307" s="221" t="str">
        <f ca="1">Calculation!C288</f>
        <v/>
      </c>
      <c r="D307" s="172" t="str">
        <f ca="1">Calculation!AN288</f>
        <v/>
      </c>
      <c r="E307" s="173" t="str">
        <f ca="1">Calculation!D288</f>
        <v/>
      </c>
      <c r="F307" s="174" t="str">
        <f ca="1">Calculation!C288</f>
        <v/>
      </c>
      <c r="G307" s="175" t="str">
        <f ca="1">Calculation!F288</f>
        <v/>
      </c>
      <c r="H307" s="176" t="str">
        <f ca="1">Calculation!AD288</f>
        <v/>
      </c>
      <c r="I307" s="177" t="str">
        <f ca="1">Calculation!AE288</f>
        <v/>
      </c>
      <c r="J307" s="272" t="str">
        <f ca="1">IF(Calculation!Q288="","Selection",Calculation!Q288)</f>
        <v>Selection</v>
      </c>
      <c r="K307" s="179" t="str">
        <f ca="1">Calculation!T288</f>
        <v/>
      </c>
      <c r="L307" s="180" t="str">
        <f ca="1">Calculation!U288</f>
        <v>-</v>
      </c>
      <c r="M307" s="180" t="str">
        <f ca="1">Calculation!V288</f>
        <v>-</v>
      </c>
      <c r="N307" s="181"/>
      <c r="O307" s="180" t="str">
        <f ca="1">Calculation!X288</f>
        <v>-</v>
      </c>
      <c r="P307" s="180" t="str">
        <f ca="1">Calculation!Y288</f>
        <v>-</v>
      </c>
      <c r="Q307" s="273"/>
      <c r="R307" s="182" t="str">
        <f ca="1">IF(AND(L307&lt;&gt;"-",Q307&lt;&gt;"bypass"),IFERROR(IF((U307*$R$23/0.05)-SUM(S307:U307)&gt;0,(U307*$R$23/0.05)-SUM(S307:U307),0),"-"),Calculation!AH288)</f>
        <v>-</v>
      </c>
      <c r="S307" s="179" t="str">
        <f ca="1">IF(AND(L307&lt;&gt;"-",Q307&lt;&gt;"bypass"),IFERROR(X307*((H307*10^-12-H307*10^-12*I307)/(Calculation!$U$8*10^-9)),"-"),Calculation!AF288)</f>
        <v>-</v>
      </c>
      <c r="T307" s="179" t="str">
        <f ca="1">IF(AND(L307&lt;&gt;"-",Q307&lt;&gt;"bypass"),IFERROR(H307*I307*X307/(IF(Cluster!AA307=Cluster!$W$8,Cluster!$W$10,IF(Cluster!AA307=Cluster!$X$8,Cluster!$X$10,IF(Cluster!AA307=Cluster!$Y$8,Cluster!$Y$10,0)))*10^3),"-"),Calculation!AK288)</f>
        <v>-</v>
      </c>
      <c r="U307" s="179" t="str">
        <f ca="1">IF(AND(L307&lt;&gt;"-",Q307&lt;&gt;"bypass"),IFERROR((0.5/50)*X307/$R$23,"-"),Calculation!AG288)</f>
        <v>-</v>
      </c>
      <c r="V307" s="179" t="str">
        <f ca="1">IF(AND(L307&lt;&gt;"-",Q307&lt;&gt;"bypass"),IFERROR(5/50*X307,"-"),Calculation!AI288)</f>
        <v>-</v>
      </c>
      <c r="W307" s="179" t="str">
        <f ca="1">IF(AND(L307&lt;&gt;"-",Q307&lt;&gt;"bypass"),IFERROR(35/50*X307,"-"),Calculation!AJ288)</f>
        <v>-</v>
      </c>
      <c r="X307" s="179" t="str">
        <f ca="1">IF(AND(L307&lt;&gt;"-",Q307&lt;&gt;"bypass"),$W$23,Calculation!AL288)</f>
        <v>-</v>
      </c>
      <c r="Y307" s="183" t="str">
        <f ca="1">IF(AND(L307&lt;&gt;"-",Q307&lt;&gt;"bypass"),IFERROR($R$23*U307/SUM(R307:U307),"-"),Calculation!AP288)</f>
        <v>-</v>
      </c>
      <c r="Z307" s="184" t="str">
        <f t="shared" ca="1" si="20"/>
        <v>-</v>
      </c>
      <c r="AA307" s="185" t="str">
        <f ca="1">IFERROR(IF(I307=0,"-",IF(AND(ROUND(H307*I307*X307/($W$10*10^3),1)&gt;=Calculation!$O$6,ROUND((((U307)*$R$23/0.05)-((S307)+(H307*I307*X307/($W$10*10^3))+(U307))),1)&gt;=0),Cluster!$W$8,IF(AND(ROUND(H307*I307*X307/($X$10*10^3),1)&gt;=Calculation!$O$6,ROUND((((U307)*$R$23/0.05)-((S307)+(H307*I307*X307/($X$10*10^3))+(U307))),1)&gt;=0),Cluster!$X$8,IF(AND(ROUND(H307*I307*X307/($Y$10*10^3),1)&gt;=Calculation!$O$6,ROUND((((U307)*$R$23/0.05)-((S307)+(H307*I307*X307/($Y$10*10^3))+(U307))),1)&gt;=0),Cluster!$Y$8,"Recepie by hand needed")))),"-")</f>
        <v>-</v>
      </c>
      <c r="AC307" s="37" t="str">
        <f t="shared" ca="1" si="21"/>
        <v>-</v>
      </c>
      <c r="AD307" s="37" t="str">
        <f t="shared" ca="1" si="22"/>
        <v>-</v>
      </c>
      <c r="AE307" s="220" t="str">
        <f t="shared" ca="1" si="23"/>
        <v>-</v>
      </c>
      <c r="AF307" s="37" t="str">
        <f t="shared" ca="1" si="24"/>
        <v>-</v>
      </c>
    </row>
    <row r="308" spans="1:32" ht="14.25" x14ac:dyDescent="0.5">
      <c r="A308" s="170" t="str">
        <f>Calculation!I289</f>
        <v/>
      </c>
      <c r="B308" s="221" t="str">
        <f ca="1">Calculation!B289</f>
        <v/>
      </c>
      <c r="C308" s="221" t="str">
        <f ca="1">Calculation!C289</f>
        <v/>
      </c>
      <c r="D308" s="172" t="str">
        <f ca="1">Calculation!AN289</f>
        <v/>
      </c>
      <c r="E308" s="173" t="str">
        <f ca="1">Calculation!D289</f>
        <v/>
      </c>
      <c r="F308" s="174" t="str">
        <f ca="1">Calculation!C289</f>
        <v/>
      </c>
      <c r="G308" s="175" t="str">
        <f ca="1">Calculation!F289</f>
        <v/>
      </c>
      <c r="H308" s="176" t="str">
        <f ca="1">Calculation!AD289</f>
        <v/>
      </c>
      <c r="I308" s="177" t="str">
        <f ca="1">Calculation!AE289</f>
        <v/>
      </c>
      <c r="J308" s="272" t="str">
        <f ca="1">IF(Calculation!Q289="","Selection",Calculation!Q289)</f>
        <v>Selection</v>
      </c>
      <c r="K308" s="179" t="str">
        <f ca="1">Calculation!T289</f>
        <v/>
      </c>
      <c r="L308" s="180" t="str">
        <f ca="1">Calculation!U289</f>
        <v>-</v>
      </c>
      <c r="M308" s="180" t="str">
        <f ca="1">Calculation!V289</f>
        <v>-</v>
      </c>
      <c r="N308" s="181"/>
      <c r="O308" s="180" t="str">
        <f ca="1">Calculation!X289</f>
        <v>-</v>
      </c>
      <c r="P308" s="180" t="str">
        <f ca="1">Calculation!Y289</f>
        <v>-</v>
      </c>
      <c r="Q308" s="273"/>
      <c r="R308" s="182" t="str">
        <f ca="1">IF(AND(L308&lt;&gt;"-",Q308&lt;&gt;"bypass"),IFERROR(IF((U308*$R$23/0.05)-SUM(S308:U308)&gt;0,(U308*$R$23/0.05)-SUM(S308:U308),0),"-"),Calculation!AH289)</f>
        <v>-</v>
      </c>
      <c r="S308" s="179" t="str">
        <f ca="1">IF(AND(L308&lt;&gt;"-",Q308&lt;&gt;"bypass"),IFERROR(X308*((H308*10^-12-H308*10^-12*I308)/(Calculation!$U$8*10^-9)),"-"),Calculation!AF289)</f>
        <v>-</v>
      </c>
      <c r="T308" s="179" t="str">
        <f ca="1">IF(AND(L308&lt;&gt;"-",Q308&lt;&gt;"bypass"),IFERROR(H308*I308*X308/(IF(Cluster!AA308=Cluster!$W$8,Cluster!$W$10,IF(Cluster!AA308=Cluster!$X$8,Cluster!$X$10,IF(Cluster!AA308=Cluster!$Y$8,Cluster!$Y$10,0)))*10^3),"-"),Calculation!AK289)</f>
        <v>-</v>
      </c>
      <c r="U308" s="179" t="str">
        <f ca="1">IF(AND(L308&lt;&gt;"-",Q308&lt;&gt;"bypass"),IFERROR((0.5/50)*X308/$R$23,"-"),Calculation!AG289)</f>
        <v>-</v>
      </c>
      <c r="V308" s="179" t="str">
        <f ca="1">IF(AND(L308&lt;&gt;"-",Q308&lt;&gt;"bypass"),IFERROR(5/50*X308,"-"),Calculation!AI289)</f>
        <v>-</v>
      </c>
      <c r="W308" s="179" t="str">
        <f ca="1">IF(AND(L308&lt;&gt;"-",Q308&lt;&gt;"bypass"),IFERROR(35/50*X308,"-"),Calculation!AJ289)</f>
        <v>-</v>
      </c>
      <c r="X308" s="179" t="str">
        <f ca="1">IF(AND(L308&lt;&gt;"-",Q308&lt;&gt;"bypass"),$W$23,Calculation!AL289)</f>
        <v>-</v>
      </c>
      <c r="Y308" s="183" t="str">
        <f ca="1">IF(AND(L308&lt;&gt;"-",Q308&lt;&gt;"bypass"),IFERROR($R$23*U308/SUM(R308:U308),"-"),Calculation!AP289)</f>
        <v>-</v>
      </c>
      <c r="Z308" s="184" t="str">
        <f t="shared" ca="1" si="20"/>
        <v>-</v>
      </c>
      <c r="AA308" s="185" t="str">
        <f ca="1">IFERROR(IF(I308=0,"-",IF(AND(ROUND(H308*I308*X308/($W$10*10^3),1)&gt;=Calculation!$O$6,ROUND((((U308)*$R$23/0.05)-((S308)+(H308*I308*X308/($W$10*10^3))+(U308))),1)&gt;=0),Cluster!$W$8,IF(AND(ROUND(H308*I308*X308/($X$10*10^3),1)&gt;=Calculation!$O$6,ROUND((((U308)*$R$23/0.05)-((S308)+(H308*I308*X308/($X$10*10^3))+(U308))),1)&gt;=0),Cluster!$X$8,IF(AND(ROUND(H308*I308*X308/($Y$10*10^3),1)&gt;=Calculation!$O$6,ROUND((((U308)*$R$23/0.05)-((S308)+(H308*I308*X308/($Y$10*10^3))+(U308))),1)&gt;=0),Cluster!$Y$8,"Recepie by hand needed")))),"-")</f>
        <v>-</v>
      </c>
      <c r="AC308" s="37" t="str">
        <f t="shared" ca="1" si="21"/>
        <v>-</v>
      </c>
      <c r="AD308" s="37" t="str">
        <f t="shared" ca="1" si="22"/>
        <v>-</v>
      </c>
      <c r="AE308" s="220" t="str">
        <f t="shared" ca="1" si="23"/>
        <v>-</v>
      </c>
      <c r="AF308" s="37" t="str">
        <f t="shared" ca="1" si="24"/>
        <v>-</v>
      </c>
    </row>
    <row r="309" spans="1:32" ht="14.25" x14ac:dyDescent="0.5">
      <c r="A309" s="170" t="str">
        <f>Calculation!I290</f>
        <v/>
      </c>
      <c r="B309" s="221" t="str">
        <f ca="1">Calculation!B290</f>
        <v/>
      </c>
      <c r="C309" s="221" t="str">
        <f ca="1">Calculation!C290</f>
        <v/>
      </c>
      <c r="D309" s="172" t="str">
        <f ca="1">Calculation!AN290</f>
        <v/>
      </c>
      <c r="E309" s="173" t="str">
        <f ca="1">Calculation!D290</f>
        <v/>
      </c>
      <c r="F309" s="174" t="str">
        <f ca="1">Calculation!C290</f>
        <v/>
      </c>
      <c r="G309" s="175" t="str">
        <f ca="1">Calculation!F290</f>
        <v/>
      </c>
      <c r="H309" s="176" t="str">
        <f ca="1">Calculation!AD290</f>
        <v/>
      </c>
      <c r="I309" s="177" t="str">
        <f ca="1">Calculation!AE290</f>
        <v/>
      </c>
      <c r="J309" s="272" t="str">
        <f ca="1">IF(Calculation!Q290="","Selection",Calculation!Q290)</f>
        <v>Selection</v>
      </c>
      <c r="K309" s="179" t="str">
        <f ca="1">Calculation!T290</f>
        <v/>
      </c>
      <c r="L309" s="180" t="str">
        <f ca="1">Calculation!U290</f>
        <v>-</v>
      </c>
      <c r="M309" s="180" t="str">
        <f ca="1">Calculation!V290</f>
        <v>-</v>
      </c>
      <c r="N309" s="181"/>
      <c r="O309" s="180" t="str">
        <f ca="1">Calculation!X290</f>
        <v>-</v>
      </c>
      <c r="P309" s="180" t="str">
        <f ca="1">Calculation!Y290</f>
        <v>-</v>
      </c>
      <c r="Q309" s="273"/>
      <c r="R309" s="182" t="str">
        <f ca="1">IF(AND(L309&lt;&gt;"-",Q309&lt;&gt;"bypass"),IFERROR(IF((U309*$R$23/0.05)-SUM(S309:U309)&gt;0,(U309*$R$23/0.05)-SUM(S309:U309),0),"-"),Calculation!AH290)</f>
        <v>-</v>
      </c>
      <c r="S309" s="179" t="str">
        <f ca="1">IF(AND(L309&lt;&gt;"-",Q309&lt;&gt;"bypass"),IFERROR(X309*((H309*10^-12-H309*10^-12*I309)/(Calculation!$U$8*10^-9)),"-"),Calculation!AF290)</f>
        <v>-</v>
      </c>
      <c r="T309" s="179" t="str">
        <f ca="1">IF(AND(L309&lt;&gt;"-",Q309&lt;&gt;"bypass"),IFERROR(H309*I309*X309/(IF(Cluster!AA309=Cluster!$W$8,Cluster!$W$10,IF(Cluster!AA309=Cluster!$X$8,Cluster!$X$10,IF(Cluster!AA309=Cluster!$Y$8,Cluster!$Y$10,0)))*10^3),"-"),Calculation!AK290)</f>
        <v>-</v>
      </c>
      <c r="U309" s="179" t="str">
        <f ca="1">IF(AND(L309&lt;&gt;"-",Q309&lt;&gt;"bypass"),IFERROR((0.5/50)*X309/$R$23,"-"),Calculation!AG290)</f>
        <v>-</v>
      </c>
      <c r="V309" s="179" t="str">
        <f ca="1">IF(AND(L309&lt;&gt;"-",Q309&lt;&gt;"bypass"),IFERROR(5/50*X309,"-"),Calculation!AI290)</f>
        <v>-</v>
      </c>
      <c r="W309" s="179" t="str">
        <f ca="1">IF(AND(L309&lt;&gt;"-",Q309&lt;&gt;"bypass"),IFERROR(35/50*X309,"-"),Calculation!AJ290)</f>
        <v>-</v>
      </c>
      <c r="X309" s="179" t="str">
        <f ca="1">IF(AND(L309&lt;&gt;"-",Q309&lt;&gt;"bypass"),$W$23,Calculation!AL290)</f>
        <v>-</v>
      </c>
      <c r="Y309" s="183" t="str">
        <f ca="1">IF(AND(L309&lt;&gt;"-",Q309&lt;&gt;"bypass"),IFERROR($R$23*U309/SUM(R309:U309),"-"),Calculation!AP290)</f>
        <v>-</v>
      </c>
      <c r="Z309" s="184" t="str">
        <f t="shared" ca="1" si="20"/>
        <v>-</v>
      </c>
      <c r="AA309" s="185" t="str">
        <f ca="1">IFERROR(IF(I309=0,"-",IF(AND(ROUND(H309*I309*X309/($W$10*10^3),1)&gt;=Calculation!$O$6,ROUND((((U309)*$R$23/0.05)-((S309)+(H309*I309*X309/($W$10*10^3))+(U309))),1)&gt;=0),Cluster!$W$8,IF(AND(ROUND(H309*I309*X309/($X$10*10^3),1)&gt;=Calculation!$O$6,ROUND((((U309)*$R$23/0.05)-((S309)+(H309*I309*X309/($X$10*10^3))+(U309))),1)&gt;=0),Cluster!$X$8,IF(AND(ROUND(H309*I309*X309/($Y$10*10^3),1)&gt;=Calculation!$O$6,ROUND((((U309)*$R$23/0.05)-((S309)+(H309*I309*X309/($Y$10*10^3))+(U309))),1)&gt;=0),Cluster!$Y$8,"Recepie by hand needed")))),"-")</f>
        <v>-</v>
      </c>
      <c r="AC309" s="37" t="str">
        <f t="shared" ca="1" si="21"/>
        <v>-</v>
      </c>
      <c r="AD309" s="37" t="str">
        <f t="shared" ca="1" si="22"/>
        <v>-</v>
      </c>
      <c r="AE309" s="220" t="str">
        <f t="shared" ca="1" si="23"/>
        <v>-</v>
      </c>
      <c r="AF309" s="37" t="str">
        <f t="shared" ca="1" si="24"/>
        <v>-</v>
      </c>
    </row>
    <row r="310" spans="1:32" ht="14.25" x14ac:dyDescent="0.5">
      <c r="A310" s="170" t="str">
        <f>Calculation!I291</f>
        <v/>
      </c>
      <c r="B310" s="221" t="str">
        <f ca="1">Calculation!B291</f>
        <v/>
      </c>
      <c r="C310" s="221" t="str">
        <f ca="1">Calculation!C291</f>
        <v/>
      </c>
      <c r="D310" s="172" t="str">
        <f ca="1">Calculation!AN291</f>
        <v/>
      </c>
      <c r="E310" s="173" t="str">
        <f ca="1">Calculation!D291</f>
        <v/>
      </c>
      <c r="F310" s="174" t="str">
        <f ca="1">Calculation!C291</f>
        <v/>
      </c>
      <c r="G310" s="175" t="str">
        <f ca="1">Calculation!F291</f>
        <v/>
      </c>
      <c r="H310" s="176" t="str">
        <f ca="1">Calculation!AD291</f>
        <v/>
      </c>
      <c r="I310" s="177" t="str">
        <f ca="1">Calculation!AE291</f>
        <v/>
      </c>
      <c r="J310" s="272" t="str">
        <f ca="1">IF(Calculation!Q291="","Selection",Calculation!Q291)</f>
        <v>Selection</v>
      </c>
      <c r="K310" s="179" t="str">
        <f ca="1">Calculation!T291</f>
        <v/>
      </c>
      <c r="L310" s="180" t="str">
        <f ca="1">Calculation!U291</f>
        <v>-</v>
      </c>
      <c r="M310" s="180" t="str">
        <f ca="1">Calculation!V291</f>
        <v>-</v>
      </c>
      <c r="N310" s="181"/>
      <c r="O310" s="180" t="str">
        <f ca="1">Calculation!X291</f>
        <v>-</v>
      </c>
      <c r="P310" s="180" t="str">
        <f ca="1">Calculation!Y291</f>
        <v>-</v>
      </c>
      <c r="Q310" s="273"/>
      <c r="R310" s="182" t="str">
        <f ca="1">IF(AND(L310&lt;&gt;"-",Q310&lt;&gt;"bypass"),IFERROR(IF((U310*$R$23/0.05)-SUM(S310:U310)&gt;0,(U310*$R$23/0.05)-SUM(S310:U310),0),"-"),Calculation!AH291)</f>
        <v>-</v>
      </c>
      <c r="S310" s="179" t="str">
        <f ca="1">IF(AND(L310&lt;&gt;"-",Q310&lt;&gt;"bypass"),IFERROR(X310*((H310*10^-12-H310*10^-12*I310)/(Calculation!$U$8*10^-9)),"-"),Calculation!AF291)</f>
        <v>-</v>
      </c>
      <c r="T310" s="179" t="str">
        <f ca="1">IF(AND(L310&lt;&gt;"-",Q310&lt;&gt;"bypass"),IFERROR(H310*I310*X310/(IF(Cluster!AA310=Cluster!$W$8,Cluster!$W$10,IF(Cluster!AA310=Cluster!$X$8,Cluster!$X$10,IF(Cluster!AA310=Cluster!$Y$8,Cluster!$Y$10,0)))*10^3),"-"),Calculation!AK291)</f>
        <v>-</v>
      </c>
      <c r="U310" s="179" t="str">
        <f ca="1">IF(AND(L310&lt;&gt;"-",Q310&lt;&gt;"bypass"),IFERROR((0.5/50)*X310/$R$23,"-"),Calculation!AG291)</f>
        <v>-</v>
      </c>
      <c r="V310" s="179" t="str">
        <f ca="1">IF(AND(L310&lt;&gt;"-",Q310&lt;&gt;"bypass"),IFERROR(5/50*X310,"-"),Calculation!AI291)</f>
        <v>-</v>
      </c>
      <c r="W310" s="179" t="str">
        <f ca="1">IF(AND(L310&lt;&gt;"-",Q310&lt;&gt;"bypass"),IFERROR(35/50*X310,"-"),Calculation!AJ291)</f>
        <v>-</v>
      </c>
      <c r="X310" s="179" t="str">
        <f ca="1">IF(AND(L310&lt;&gt;"-",Q310&lt;&gt;"bypass"),$W$23,Calculation!AL291)</f>
        <v>-</v>
      </c>
      <c r="Y310" s="183" t="str">
        <f ca="1">IF(AND(L310&lt;&gt;"-",Q310&lt;&gt;"bypass"),IFERROR($R$23*U310/SUM(R310:U310),"-"),Calculation!AP291)</f>
        <v>-</v>
      </c>
      <c r="Z310" s="184" t="str">
        <f t="shared" ca="1" si="20"/>
        <v>-</v>
      </c>
      <c r="AA310" s="185" t="str">
        <f ca="1">IFERROR(IF(I310=0,"-",IF(AND(ROUND(H310*I310*X310/($W$10*10^3),1)&gt;=Calculation!$O$6,ROUND((((U310)*$R$23/0.05)-((S310)+(H310*I310*X310/($W$10*10^3))+(U310))),1)&gt;=0),Cluster!$W$8,IF(AND(ROUND(H310*I310*X310/($X$10*10^3),1)&gt;=Calculation!$O$6,ROUND((((U310)*$R$23/0.05)-((S310)+(H310*I310*X310/($X$10*10^3))+(U310))),1)&gt;=0),Cluster!$X$8,IF(AND(ROUND(H310*I310*X310/($Y$10*10^3),1)&gt;=Calculation!$O$6,ROUND((((U310)*$R$23/0.05)-((S310)+(H310*I310*X310/($Y$10*10^3))+(U310))),1)&gt;=0),Cluster!$Y$8,"Recepie by hand needed")))),"-")</f>
        <v>-</v>
      </c>
      <c r="AC310" s="37" t="str">
        <f t="shared" ca="1" si="21"/>
        <v>-</v>
      </c>
      <c r="AD310" s="37" t="str">
        <f t="shared" ca="1" si="22"/>
        <v>-</v>
      </c>
      <c r="AE310" s="220" t="str">
        <f t="shared" ca="1" si="23"/>
        <v>-</v>
      </c>
      <c r="AF310" s="37" t="str">
        <f t="shared" ca="1" si="24"/>
        <v>-</v>
      </c>
    </row>
    <row r="311" spans="1:32" ht="14.25" x14ac:dyDescent="0.5">
      <c r="A311" s="170" t="str">
        <f>Calculation!I292</f>
        <v/>
      </c>
      <c r="B311" s="221" t="str">
        <f ca="1">Calculation!B292</f>
        <v/>
      </c>
      <c r="C311" s="221" t="str">
        <f ca="1">Calculation!C292</f>
        <v/>
      </c>
      <c r="D311" s="172" t="str">
        <f ca="1">Calculation!AN292</f>
        <v/>
      </c>
      <c r="E311" s="173" t="str">
        <f ca="1">Calculation!D292</f>
        <v/>
      </c>
      <c r="F311" s="174" t="str">
        <f ca="1">Calculation!C292</f>
        <v/>
      </c>
      <c r="G311" s="175" t="str">
        <f ca="1">Calculation!F292</f>
        <v/>
      </c>
      <c r="H311" s="176" t="str">
        <f ca="1">Calculation!AD292</f>
        <v/>
      </c>
      <c r="I311" s="177" t="str">
        <f ca="1">Calculation!AE292</f>
        <v/>
      </c>
      <c r="J311" s="272" t="str">
        <f ca="1">IF(Calculation!Q292="","Selection",Calculation!Q292)</f>
        <v>Selection</v>
      </c>
      <c r="K311" s="179" t="str">
        <f ca="1">Calculation!T292</f>
        <v/>
      </c>
      <c r="L311" s="180" t="str">
        <f ca="1">Calculation!U292</f>
        <v>-</v>
      </c>
      <c r="M311" s="180" t="str">
        <f ca="1">Calculation!V292</f>
        <v>-</v>
      </c>
      <c r="N311" s="181"/>
      <c r="O311" s="180" t="str">
        <f ca="1">Calculation!X292</f>
        <v>-</v>
      </c>
      <c r="P311" s="180" t="str">
        <f ca="1">Calculation!Y292</f>
        <v>-</v>
      </c>
      <c r="Q311" s="273"/>
      <c r="R311" s="182" t="str">
        <f ca="1">IF(AND(L311&lt;&gt;"-",Q311&lt;&gt;"bypass"),IFERROR(IF((U311*$R$23/0.05)-SUM(S311:U311)&gt;0,(U311*$R$23/0.05)-SUM(S311:U311),0),"-"),Calculation!AH292)</f>
        <v>-</v>
      </c>
      <c r="S311" s="179" t="str">
        <f ca="1">IF(AND(L311&lt;&gt;"-",Q311&lt;&gt;"bypass"),IFERROR(X311*((H311*10^-12-H311*10^-12*I311)/(Calculation!$U$8*10^-9)),"-"),Calculation!AF292)</f>
        <v>-</v>
      </c>
      <c r="T311" s="179" t="str">
        <f ca="1">IF(AND(L311&lt;&gt;"-",Q311&lt;&gt;"bypass"),IFERROR(H311*I311*X311/(IF(Cluster!AA311=Cluster!$W$8,Cluster!$W$10,IF(Cluster!AA311=Cluster!$X$8,Cluster!$X$10,IF(Cluster!AA311=Cluster!$Y$8,Cluster!$Y$10,0)))*10^3),"-"),Calculation!AK292)</f>
        <v>-</v>
      </c>
      <c r="U311" s="179" t="str">
        <f ca="1">IF(AND(L311&lt;&gt;"-",Q311&lt;&gt;"bypass"),IFERROR((0.5/50)*X311/$R$23,"-"),Calculation!AG292)</f>
        <v>-</v>
      </c>
      <c r="V311" s="179" t="str">
        <f ca="1">IF(AND(L311&lt;&gt;"-",Q311&lt;&gt;"bypass"),IFERROR(5/50*X311,"-"),Calculation!AI292)</f>
        <v>-</v>
      </c>
      <c r="W311" s="179" t="str">
        <f ca="1">IF(AND(L311&lt;&gt;"-",Q311&lt;&gt;"bypass"),IFERROR(35/50*X311,"-"),Calculation!AJ292)</f>
        <v>-</v>
      </c>
      <c r="X311" s="179" t="str">
        <f ca="1">IF(AND(L311&lt;&gt;"-",Q311&lt;&gt;"bypass"),$W$23,Calculation!AL292)</f>
        <v>-</v>
      </c>
      <c r="Y311" s="183" t="str">
        <f ca="1">IF(AND(L311&lt;&gt;"-",Q311&lt;&gt;"bypass"),IFERROR($R$23*U311/SUM(R311:U311),"-"),Calculation!AP292)</f>
        <v>-</v>
      </c>
      <c r="Z311" s="184" t="str">
        <f t="shared" ca="1" si="20"/>
        <v>-</v>
      </c>
      <c r="AA311" s="185" t="str">
        <f ca="1">IFERROR(IF(I311=0,"-",IF(AND(ROUND(H311*I311*X311/($W$10*10^3),1)&gt;=Calculation!$O$6,ROUND((((U311)*$R$23/0.05)-((S311)+(H311*I311*X311/($W$10*10^3))+(U311))),1)&gt;=0),Cluster!$W$8,IF(AND(ROUND(H311*I311*X311/($X$10*10^3),1)&gt;=Calculation!$O$6,ROUND((((U311)*$R$23/0.05)-((S311)+(H311*I311*X311/($X$10*10^3))+(U311))),1)&gt;=0),Cluster!$X$8,IF(AND(ROUND(H311*I311*X311/($Y$10*10^3),1)&gt;=Calculation!$O$6,ROUND((((U311)*$R$23/0.05)-((S311)+(H311*I311*X311/($Y$10*10^3))+(U311))),1)&gt;=0),Cluster!$Y$8,"Recepie by hand needed")))),"-")</f>
        <v>-</v>
      </c>
      <c r="AC311" s="37" t="str">
        <f t="shared" ca="1" si="21"/>
        <v>-</v>
      </c>
      <c r="AD311" s="37" t="str">
        <f t="shared" ca="1" si="22"/>
        <v>-</v>
      </c>
      <c r="AE311" s="220" t="str">
        <f t="shared" ca="1" si="23"/>
        <v>-</v>
      </c>
      <c r="AF311" s="37" t="str">
        <f t="shared" ca="1" si="24"/>
        <v>-</v>
      </c>
    </row>
    <row r="312" spans="1:32" ht="14.25" x14ac:dyDescent="0.5">
      <c r="A312" s="170" t="str">
        <f>Calculation!I293</f>
        <v/>
      </c>
      <c r="B312" s="221" t="str">
        <f ca="1">Calculation!B293</f>
        <v/>
      </c>
      <c r="C312" s="221" t="str">
        <f ca="1">Calculation!C293</f>
        <v/>
      </c>
      <c r="D312" s="172" t="str">
        <f ca="1">Calculation!AN293</f>
        <v/>
      </c>
      <c r="E312" s="173" t="str">
        <f ca="1">Calculation!D293</f>
        <v/>
      </c>
      <c r="F312" s="174" t="str">
        <f ca="1">Calculation!C293</f>
        <v/>
      </c>
      <c r="G312" s="175" t="str">
        <f ca="1">Calculation!F293</f>
        <v/>
      </c>
      <c r="H312" s="176" t="str">
        <f ca="1">Calculation!AD293</f>
        <v/>
      </c>
      <c r="I312" s="177" t="str">
        <f ca="1">Calculation!AE293</f>
        <v/>
      </c>
      <c r="J312" s="272" t="str">
        <f ca="1">IF(Calculation!Q293="","Selection",Calculation!Q293)</f>
        <v>Selection</v>
      </c>
      <c r="K312" s="179" t="str">
        <f ca="1">Calculation!T293</f>
        <v/>
      </c>
      <c r="L312" s="180" t="str">
        <f ca="1">Calculation!U293</f>
        <v>-</v>
      </c>
      <c r="M312" s="180" t="str">
        <f ca="1">Calculation!V293</f>
        <v>-</v>
      </c>
      <c r="N312" s="181"/>
      <c r="O312" s="180" t="str">
        <f ca="1">Calculation!X293</f>
        <v>-</v>
      </c>
      <c r="P312" s="180" t="str">
        <f ca="1">Calculation!Y293</f>
        <v>-</v>
      </c>
      <c r="Q312" s="273"/>
      <c r="R312" s="182" t="str">
        <f ca="1">IF(AND(L312&lt;&gt;"-",Q312&lt;&gt;"bypass"),IFERROR(IF((U312*$R$23/0.05)-SUM(S312:U312)&gt;0,(U312*$R$23/0.05)-SUM(S312:U312),0),"-"),Calculation!AH293)</f>
        <v>-</v>
      </c>
      <c r="S312" s="179" t="str">
        <f ca="1">IF(AND(L312&lt;&gt;"-",Q312&lt;&gt;"bypass"),IFERROR(X312*((H312*10^-12-H312*10^-12*I312)/(Calculation!$U$8*10^-9)),"-"),Calculation!AF293)</f>
        <v>-</v>
      </c>
      <c r="T312" s="179" t="str">
        <f ca="1">IF(AND(L312&lt;&gt;"-",Q312&lt;&gt;"bypass"),IFERROR(H312*I312*X312/(IF(Cluster!AA312=Cluster!$W$8,Cluster!$W$10,IF(Cluster!AA312=Cluster!$X$8,Cluster!$X$10,IF(Cluster!AA312=Cluster!$Y$8,Cluster!$Y$10,0)))*10^3),"-"),Calculation!AK293)</f>
        <v>-</v>
      </c>
      <c r="U312" s="179" t="str">
        <f ca="1">IF(AND(L312&lt;&gt;"-",Q312&lt;&gt;"bypass"),IFERROR((0.5/50)*X312/$R$23,"-"),Calculation!AG293)</f>
        <v>-</v>
      </c>
      <c r="V312" s="179" t="str">
        <f ca="1">IF(AND(L312&lt;&gt;"-",Q312&lt;&gt;"bypass"),IFERROR(5/50*X312,"-"),Calculation!AI293)</f>
        <v>-</v>
      </c>
      <c r="W312" s="179" t="str">
        <f ca="1">IF(AND(L312&lt;&gt;"-",Q312&lt;&gt;"bypass"),IFERROR(35/50*X312,"-"),Calculation!AJ293)</f>
        <v>-</v>
      </c>
      <c r="X312" s="179" t="str">
        <f ca="1">IF(AND(L312&lt;&gt;"-",Q312&lt;&gt;"bypass"),$W$23,Calculation!AL293)</f>
        <v>-</v>
      </c>
      <c r="Y312" s="183" t="str">
        <f ca="1">IF(AND(L312&lt;&gt;"-",Q312&lt;&gt;"bypass"),IFERROR($R$23*U312/SUM(R312:U312),"-"),Calculation!AP293)</f>
        <v>-</v>
      </c>
      <c r="Z312" s="184" t="str">
        <f t="shared" ca="1" si="20"/>
        <v>-</v>
      </c>
      <c r="AA312" s="185" t="str">
        <f ca="1">IFERROR(IF(I312=0,"-",IF(AND(ROUND(H312*I312*X312/($W$10*10^3),1)&gt;=Calculation!$O$6,ROUND((((U312)*$R$23/0.05)-((S312)+(H312*I312*X312/($W$10*10^3))+(U312))),1)&gt;=0),Cluster!$W$8,IF(AND(ROUND(H312*I312*X312/($X$10*10^3),1)&gt;=Calculation!$O$6,ROUND((((U312)*$R$23/0.05)-((S312)+(H312*I312*X312/($X$10*10^3))+(U312))),1)&gt;=0),Cluster!$X$8,IF(AND(ROUND(H312*I312*X312/($Y$10*10^3),1)&gt;=Calculation!$O$6,ROUND((((U312)*$R$23/0.05)-((S312)+(H312*I312*X312/($Y$10*10^3))+(U312))),1)&gt;=0),Cluster!$Y$8,"Recepie by hand needed")))),"-")</f>
        <v>-</v>
      </c>
      <c r="AC312" s="37" t="str">
        <f t="shared" ca="1" si="21"/>
        <v>-</v>
      </c>
      <c r="AD312" s="37" t="str">
        <f t="shared" ca="1" si="22"/>
        <v>-</v>
      </c>
      <c r="AE312" s="220" t="str">
        <f t="shared" ca="1" si="23"/>
        <v>-</v>
      </c>
      <c r="AF312" s="37" t="str">
        <f t="shared" ca="1" si="24"/>
        <v>-</v>
      </c>
    </row>
    <row r="313" spans="1:32" ht="14.25" x14ac:dyDescent="0.5">
      <c r="A313" s="170" t="str">
        <f>Calculation!I294</f>
        <v/>
      </c>
      <c r="B313" s="221" t="str">
        <f ca="1">Calculation!B294</f>
        <v/>
      </c>
      <c r="C313" s="221" t="str">
        <f ca="1">Calculation!C294</f>
        <v/>
      </c>
      <c r="D313" s="172" t="str">
        <f ca="1">Calculation!AN294</f>
        <v/>
      </c>
      <c r="E313" s="173" t="str">
        <f ca="1">Calculation!D294</f>
        <v/>
      </c>
      <c r="F313" s="174" t="str">
        <f ca="1">Calculation!C294</f>
        <v/>
      </c>
      <c r="G313" s="175" t="str">
        <f ca="1">Calculation!F294</f>
        <v/>
      </c>
      <c r="H313" s="176" t="str">
        <f ca="1">Calculation!AD294</f>
        <v/>
      </c>
      <c r="I313" s="177" t="str">
        <f ca="1">Calculation!AE294</f>
        <v/>
      </c>
      <c r="J313" s="272" t="str">
        <f ca="1">IF(Calculation!Q294="","Selection",Calculation!Q294)</f>
        <v>Selection</v>
      </c>
      <c r="K313" s="179" t="str">
        <f ca="1">Calculation!T294</f>
        <v/>
      </c>
      <c r="L313" s="180" t="str">
        <f ca="1">Calculation!U294</f>
        <v>-</v>
      </c>
      <c r="M313" s="180" t="str">
        <f ca="1">Calculation!V294</f>
        <v>-</v>
      </c>
      <c r="N313" s="181"/>
      <c r="O313" s="180" t="str">
        <f ca="1">Calculation!X294</f>
        <v>-</v>
      </c>
      <c r="P313" s="180" t="str">
        <f ca="1">Calculation!Y294</f>
        <v>-</v>
      </c>
      <c r="Q313" s="273"/>
      <c r="R313" s="182" t="str">
        <f ca="1">IF(AND(L313&lt;&gt;"-",Q313&lt;&gt;"bypass"),IFERROR(IF((U313*$R$23/0.05)-SUM(S313:U313)&gt;0,(U313*$R$23/0.05)-SUM(S313:U313),0),"-"),Calculation!AH294)</f>
        <v>-</v>
      </c>
      <c r="S313" s="179" t="str">
        <f ca="1">IF(AND(L313&lt;&gt;"-",Q313&lt;&gt;"bypass"),IFERROR(X313*((H313*10^-12-H313*10^-12*I313)/(Calculation!$U$8*10^-9)),"-"),Calculation!AF294)</f>
        <v>-</v>
      </c>
      <c r="T313" s="179" t="str">
        <f ca="1">IF(AND(L313&lt;&gt;"-",Q313&lt;&gt;"bypass"),IFERROR(H313*I313*X313/(IF(Cluster!AA313=Cluster!$W$8,Cluster!$W$10,IF(Cluster!AA313=Cluster!$X$8,Cluster!$X$10,IF(Cluster!AA313=Cluster!$Y$8,Cluster!$Y$10,0)))*10^3),"-"),Calculation!AK294)</f>
        <v>-</v>
      </c>
      <c r="U313" s="179" t="str">
        <f ca="1">IF(AND(L313&lt;&gt;"-",Q313&lt;&gt;"bypass"),IFERROR((0.5/50)*X313/$R$23,"-"),Calculation!AG294)</f>
        <v>-</v>
      </c>
      <c r="V313" s="179" t="str">
        <f ca="1">IF(AND(L313&lt;&gt;"-",Q313&lt;&gt;"bypass"),IFERROR(5/50*X313,"-"),Calculation!AI294)</f>
        <v>-</v>
      </c>
      <c r="W313" s="179" t="str">
        <f ca="1">IF(AND(L313&lt;&gt;"-",Q313&lt;&gt;"bypass"),IFERROR(35/50*X313,"-"),Calculation!AJ294)</f>
        <v>-</v>
      </c>
      <c r="X313" s="179" t="str">
        <f ca="1">IF(AND(L313&lt;&gt;"-",Q313&lt;&gt;"bypass"),$W$23,Calculation!AL294)</f>
        <v>-</v>
      </c>
      <c r="Y313" s="183" t="str">
        <f ca="1">IF(AND(L313&lt;&gt;"-",Q313&lt;&gt;"bypass"),IFERROR($R$23*U313/SUM(R313:U313),"-"),Calculation!AP294)</f>
        <v>-</v>
      </c>
      <c r="Z313" s="184" t="str">
        <f t="shared" ca="1" si="20"/>
        <v>-</v>
      </c>
      <c r="AA313" s="185" t="str">
        <f ca="1">IFERROR(IF(I313=0,"-",IF(AND(ROUND(H313*I313*X313/($W$10*10^3),1)&gt;=Calculation!$O$6,ROUND((((U313)*$R$23/0.05)-((S313)+(H313*I313*X313/($W$10*10^3))+(U313))),1)&gt;=0),Cluster!$W$8,IF(AND(ROUND(H313*I313*X313/($X$10*10^3),1)&gt;=Calculation!$O$6,ROUND((((U313)*$R$23/0.05)-((S313)+(H313*I313*X313/($X$10*10^3))+(U313))),1)&gt;=0),Cluster!$X$8,IF(AND(ROUND(H313*I313*X313/($Y$10*10^3),1)&gt;=Calculation!$O$6,ROUND((((U313)*$R$23/0.05)-((S313)+(H313*I313*X313/($Y$10*10^3))+(U313))),1)&gt;=0),Cluster!$Y$8,"Recepie by hand needed")))),"-")</f>
        <v>-</v>
      </c>
      <c r="AC313" s="37" t="str">
        <f t="shared" ca="1" si="21"/>
        <v>-</v>
      </c>
      <c r="AD313" s="37" t="str">
        <f t="shared" ca="1" si="22"/>
        <v>-</v>
      </c>
      <c r="AE313" s="220" t="str">
        <f t="shared" ca="1" si="23"/>
        <v>-</v>
      </c>
      <c r="AF313" s="37" t="str">
        <f t="shared" ca="1" si="24"/>
        <v>-</v>
      </c>
    </row>
    <row r="314" spans="1:32" ht="14.25" x14ac:dyDescent="0.5">
      <c r="A314" s="170" t="str">
        <f>Calculation!I295</f>
        <v/>
      </c>
      <c r="B314" s="221" t="str">
        <f ca="1">Calculation!B295</f>
        <v/>
      </c>
      <c r="C314" s="221" t="str">
        <f ca="1">Calculation!C295</f>
        <v/>
      </c>
      <c r="D314" s="172" t="str">
        <f ca="1">Calculation!AN295</f>
        <v/>
      </c>
      <c r="E314" s="173" t="str">
        <f ca="1">Calculation!D295</f>
        <v/>
      </c>
      <c r="F314" s="174" t="str">
        <f ca="1">Calculation!C295</f>
        <v/>
      </c>
      <c r="G314" s="175" t="str">
        <f ca="1">Calculation!F295</f>
        <v/>
      </c>
      <c r="H314" s="176" t="str">
        <f ca="1">Calculation!AD295</f>
        <v/>
      </c>
      <c r="I314" s="177" t="str">
        <f ca="1">Calculation!AE295</f>
        <v/>
      </c>
      <c r="J314" s="272" t="str">
        <f ca="1">IF(Calculation!Q295="","Selection",Calculation!Q295)</f>
        <v>Selection</v>
      </c>
      <c r="K314" s="179" t="str">
        <f ca="1">Calculation!T295</f>
        <v/>
      </c>
      <c r="L314" s="180" t="str">
        <f ca="1">Calculation!U295</f>
        <v>-</v>
      </c>
      <c r="M314" s="180" t="str">
        <f ca="1">Calculation!V295</f>
        <v>-</v>
      </c>
      <c r="N314" s="181"/>
      <c r="O314" s="180" t="str">
        <f ca="1">Calculation!X295</f>
        <v>-</v>
      </c>
      <c r="P314" s="180" t="str">
        <f ca="1">Calculation!Y295</f>
        <v>-</v>
      </c>
      <c r="Q314" s="273"/>
      <c r="R314" s="182" t="str">
        <f ca="1">IF(AND(L314&lt;&gt;"-",Q314&lt;&gt;"bypass"),IFERROR(IF((U314*$R$23/0.05)-SUM(S314:U314)&gt;0,(U314*$R$23/0.05)-SUM(S314:U314),0),"-"),Calculation!AH295)</f>
        <v>-</v>
      </c>
      <c r="S314" s="179" t="str">
        <f ca="1">IF(AND(L314&lt;&gt;"-",Q314&lt;&gt;"bypass"),IFERROR(X314*((H314*10^-12-H314*10^-12*I314)/(Calculation!$U$8*10^-9)),"-"),Calculation!AF295)</f>
        <v>-</v>
      </c>
      <c r="T314" s="179" t="str">
        <f ca="1">IF(AND(L314&lt;&gt;"-",Q314&lt;&gt;"bypass"),IFERROR(H314*I314*X314/(IF(Cluster!AA314=Cluster!$W$8,Cluster!$W$10,IF(Cluster!AA314=Cluster!$X$8,Cluster!$X$10,IF(Cluster!AA314=Cluster!$Y$8,Cluster!$Y$10,0)))*10^3),"-"),Calculation!AK295)</f>
        <v>-</v>
      </c>
      <c r="U314" s="179" t="str">
        <f ca="1">IF(AND(L314&lt;&gt;"-",Q314&lt;&gt;"bypass"),IFERROR((0.5/50)*X314/$R$23,"-"),Calculation!AG295)</f>
        <v>-</v>
      </c>
      <c r="V314" s="179" t="str">
        <f ca="1">IF(AND(L314&lt;&gt;"-",Q314&lt;&gt;"bypass"),IFERROR(5/50*X314,"-"),Calculation!AI295)</f>
        <v>-</v>
      </c>
      <c r="W314" s="179" t="str">
        <f ca="1">IF(AND(L314&lt;&gt;"-",Q314&lt;&gt;"bypass"),IFERROR(35/50*X314,"-"),Calculation!AJ295)</f>
        <v>-</v>
      </c>
      <c r="X314" s="179" t="str">
        <f ca="1">IF(AND(L314&lt;&gt;"-",Q314&lt;&gt;"bypass"),$W$23,Calculation!AL295)</f>
        <v>-</v>
      </c>
      <c r="Y314" s="183" t="str">
        <f ca="1">IF(AND(L314&lt;&gt;"-",Q314&lt;&gt;"bypass"),IFERROR($R$23*U314/SUM(R314:U314),"-"),Calculation!AP295)</f>
        <v>-</v>
      </c>
      <c r="Z314" s="184" t="str">
        <f t="shared" ca="1" si="20"/>
        <v>-</v>
      </c>
      <c r="AA314" s="185" t="str">
        <f ca="1">IFERROR(IF(I314=0,"-",IF(AND(ROUND(H314*I314*X314/($W$10*10^3),1)&gt;=Calculation!$O$6,ROUND((((U314)*$R$23/0.05)-((S314)+(H314*I314*X314/($W$10*10^3))+(U314))),1)&gt;=0),Cluster!$W$8,IF(AND(ROUND(H314*I314*X314/($X$10*10^3),1)&gt;=Calculation!$O$6,ROUND((((U314)*$R$23/0.05)-((S314)+(H314*I314*X314/($X$10*10^3))+(U314))),1)&gt;=0),Cluster!$X$8,IF(AND(ROUND(H314*I314*X314/($Y$10*10^3),1)&gt;=Calculation!$O$6,ROUND((((U314)*$R$23/0.05)-((S314)+(H314*I314*X314/($Y$10*10^3))+(U314))),1)&gt;=0),Cluster!$Y$8,"Recepie by hand needed")))),"-")</f>
        <v>-</v>
      </c>
      <c r="AC314" s="37" t="str">
        <f t="shared" ca="1" si="21"/>
        <v>-</v>
      </c>
      <c r="AD314" s="37" t="str">
        <f t="shared" ca="1" si="22"/>
        <v>-</v>
      </c>
      <c r="AE314" s="220" t="str">
        <f t="shared" ca="1" si="23"/>
        <v>-</v>
      </c>
      <c r="AF314" s="37" t="str">
        <f t="shared" ca="1" si="24"/>
        <v>-</v>
      </c>
    </row>
    <row r="315" spans="1:32" ht="14.25" x14ac:dyDescent="0.5">
      <c r="A315" s="170" t="str">
        <f>Calculation!I296</f>
        <v/>
      </c>
      <c r="B315" s="221" t="str">
        <f ca="1">Calculation!B296</f>
        <v/>
      </c>
      <c r="C315" s="221" t="str">
        <f ca="1">Calculation!C296</f>
        <v/>
      </c>
      <c r="D315" s="172" t="str">
        <f ca="1">Calculation!AN296</f>
        <v/>
      </c>
      <c r="E315" s="173" t="str">
        <f ca="1">Calculation!D296</f>
        <v/>
      </c>
      <c r="F315" s="174" t="str">
        <f ca="1">Calculation!C296</f>
        <v/>
      </c>
      <c r="G315" s="175" t="str">
        <f ca="1">Calculation!F296</f>
        <v/>
      </c>
      <c r="H315" s="176" t="str">
        <f ca="1">Calculation!AD296</f>
        <v/>
      </c>
      <c r="I315" s="177" t="str">
        <f ca="1">Calculation!AE296</f>
        <v/>
      </c>
      <c r="J315" s="272" t="str">
        <f ca="1">IF(Calculation!Q296="","Selection",Calculation!Q296)</f>
        <v>Selection</v>
      </c>
      <c r="K315" s="179" t="str">
        <f ca="1">Calculation!T296</f>
        <v/>
      </c>
      <c r="L315" s="180" t="str">
        <f ca="1">Calculation!U296</f>
        <v>-</v>
      </c>
      <c r="M315" s="180" t="str">
        <f ca="1">Calculation!V296</f>
        <v>-</v>
      </c>
      <c r="N315" s="181"/>
      <c r="O315" s="180" t="str">
        <f ca="1">Calculation!X296</f>
        <v>-</v>
      </c>
      <c r="P315" s="180" t="str">
        <f ca="1">Calculation!Y296</f>
        <v>-</v>
      </c>
      <c r="Q315" s="273"/>
      <c r="R315" s="182" t="str">
        <f ca="1">IF(AND(L315&lt;&gt;"-",Q315&lt;&gt;"bypass"),IFERROR(IF((U315*$R$23/0.05)-SUM(S315:U315)&gt;0,(U315*$R$23/0.05)-SUM(S315:U315),0),"-"),Calculation!AH296)</f>
        <v>-</v>
      </c>
      <c r="S315" s="179" t="str">
        <f ca="1">IF(AND(L315&lt;&gt;"-",Q315&lt;&gt;"bypass"),IFERROR(X315*((H315*10^-12-H315*10^-12*I315)/(Calculation!$U$8*10^-9)),"-"),Calculation!AF296)</f>
        <v>-</v>
      </c>
      <c r="T315" s="179" t="str">
        <f ca="1">IF(AND(L315&lt;&gt;"-",Q315&lt;&gt;"bypass"),IFERROR(H315*I315*X315/(IF(Cluster!AA315=Cluster!$W$8,Cluster!$W$10,IF(Cluster!AA315=Cluster!$X$8,Cluster!$X$10,IF(Cluster!AA315=Cluster!$Y$8,Cluster!$Y$10,0)))*10^3),"-"),Calculation!AK296)</f>
        <v>-</v>
      </c>
      <c r="U315" s="179" t="str">
        <f ca="1">IF(AND(L315&lt;&gt;"-",Q315&lt;&gt;"bypass"),IFERROR((0.5/50)*X315/$R$23,"-"),Calculation!AG296)</f>
        <v>-</v>
      </c>
      <c r="V315" s="179" t="str">
        <f ca="1">IF(AND(L315&lt;&gt;"-",Q315&lt;&gt;"bypass"),IFERROR(5/50*X315,"-"),Calculation!AI296)</f>
        <v>-</v>
      </c>
      <c r="W315" s="179" t="str">
        <f ca="1">IF(AND(L315&lt;&gt;"-",Q315&lt;&gt;"bypass"),IFERROR(35/50*X315,"-"),Calculation!AJ296)</f>
        <v>-</v>
      </c>
      <c r="X315" s="179" t="str">
        <f ca="1">IF(AND(L315&lt;&gt;"-",Q315&lt;&gt;"bypass"),$W$23,Calculation!AL296)</f>
        <v>-</v>
      </c>
      <c r="Y315" s="183" t="str">
        <f ca="1">IF(AND(L315&lt;&gt;"-",Q315&lt;&gt;"bypass"),IFERROR($R$23*U315/SUM(R315:U315),"-"),Calculation!AP296)</f>
        <v>-</v>
      </c>
      <c r="Z315" s="184" t="str">
        <f t="shared" ca="1" si="20"/>
        <v>-</v>
      </c>
      <c r="AA315" s="185" t="str">
        <f ca="1">IFERROR(IF(I315=0,"-",IF(AND(ROUND(H315*I315*X315/($W$10*10^3),1)&gt;=Calculation!$O$6,ROUND((((U315)*$R$23/0.05)-((S315)+(H315*I315*X315/($W$10*10^3))+(U315))),1)&gt;=0),Cluster!$W$8,IF(AND(ROUND(H315*I315*X315/($X$10*10^3),1)&gt;=Calculation!$O$6,ROUND((((U315)*$R$23/0.05)-((S315)+(H315*I315*X315/($X$10*10^3))+(U315))),1)&gt;=0),Cluster!$X$8,IF(AND(ROUND(H315*I315*X315/($Y$10*10^3),1)&gt;=Calculation!$O$6,ROUND((((U315)*$R$23/0.05)-((S315)+(H315*I315*X315/($Y$10*10^3))+(U315))),1)&gt;=0),Cluster!$Y$8,"Recepie by hand needed")))),"-")</f>
        <v>-</v>
      </c>
      <c r="AC315" s="37" t="str">
        <f t="shared" ca="1" si="21"/>
        <v>-</v>
      </c>
      <c r="AD315" s="37" t="str">
        <f t="shared" ca="1" si="22"/>
        <v>-</v>
      </c>
      <c r="AE315" s="220" t="str">
        <f t="shared" ca="1" si="23"/>
        <v>-</v>
      </c>
      <c r="AF315" s="37" t="str">
        <f t="shared" ca="1" si="24"/>
        <v>-</v>
      </c>
    </row>
    <row r="316" spans="1:32" ht="14.25" x14ac:dyDescent="0.5">
      <c r="A316" s="170" t="str">
        <f>Calculation!I297</f>
        <v/>
      </c>
      <c r="B316" s="221" t="str">
        <f ca="1">Calculation!B297</f>
        <v/>
      </c>
      <c r="C316" s="221" t="str">
        <f ca="1">Calculation!C297</f>
        <v/>
      </c>
      <c r="D316" s="172" t="str">
        <f ca="1">Calculation!AN297</f>
        <v/>
      </c>
      <c r="E316" s="173" t="str">
        <f ca="1">Calculation!D297</f>
        <v/>
      </c>
      <c r="F316" s="174" t="str">
        <f ca="1">Calculation!C297</f>
        <v/>
      </c>
      <c r="G316" s="175" t="str">
        <f ca="1">Calculation!F297</f>
        <v/>
      </c>
      <c r="H316" s="176" t="str">
        <f ca="1">Calculation!AD297</f>
        <v/>
      </c>
      <c r="I316" s="177" t="str">
        <f ca="1">Calculation!AE297</f>
        <v/>
      </c>
      <c r="J316" s="272" t="str">
        <f ca="1">IF(Calculation!Q297="","Selection",Calculation!Q297)</f>
        <v>Selection</v>
      </c>
      <c r="K316" s="179" t="str">
        <f ca="1">Calculation!T297</f>
        <v/>
      </c>
      <c r="L316" s="180" t="str">
        <f ca="1">Calculation!U297</f>
        <v>-</v>
      </c>
      <c r="M316" s="180" t="str">
        <f ca="1">Calculation!V297</f>
        <v>-</v>
      </c>
      <c r="N316" s="181"/>
      <c r="O316" s="180" t="str">
        <f ca="1">Calculation!X297</f>
        <v>-</v>
      </c>
      <c r="P316" s="180" t="str">
        <f ca="1">Calculation!Y297</f>
        <v>-</v>
      </c>
      <c r="Q316" s="273"/>
      <c r="R316" s="182" t="str">
        <f ca="1">IF(AND(L316&lt;&gt;"-",Q316&lt;&gt;"bypass"),IFERROR(IF((U316*$R$23/0.05)-SUM(S316:U316)&gt;0,(U316*$R$23/0.05)-SUM(S316:U316),0),"-"),Calculation!AH297)</f>
        <v>-</v>
      </c>
      <c r="S316" s="179" t="str">
        <f ca="1">IF(AND(L316&lt;&gt;"-",Q316&lt;&gt;"bypass"),IFERROR(X316*((H316*10^-12-H316*10^-12*I316)/(Calculation!$U$8*10^-9)),"-"),Calculation!AF297)</f>
        <v>-</v>
      </c>
      <c r="T316" s="179" t="str">
        <f ca="1">IF(AND(L316&lt;&gt;"-",Q316&lt;&gt;"bypass"),IFERROR(H316*I316*X316/(IF(Cluster!AA316=Cluster!$W$8,Cluster!$W$10,IF(Cluster!AA316=Cluster!$X$8,Cluster!$X$10,IF(Cluster!AA316=Cluster!$Y$8,Cluster!$Y$10,0)))*10^3),"-"),Calculation!AK297)</f>
        <v>-</v>
      </c>
      <c r="U316" s="179" t="str">
        <f ca="1">IF(AND(L316&lt;&gt;"-",Q316&lt;&gt;"bypass"),IFERROR((0.5/50)*X316/$R$23,"-"),Calculation!AG297)</f>
        <v>-</v>
      </c>
      <c r="V316" s="179" t="str">
        <f ca="1">IF(AND(L316&lt;&gt;"-",Q316&lt;&gt;"bypass"),IFERROR(5/50*X316,"-"),Calculation!AI297)</f>
        <v>-</v>
      </c>
      <c r="W316" s="179" t="str">
        <f ca="1">IF(AND(L316&lt;&gt;"-",Q316&lt;&gt;"bypass"),IFERROR(35/50*X316,"-"),Calculation!AJ297)</f>
        <v>-</v>
      </c>
      <c r="X316" s="179" t="str">
        <f ca="1">IF(AND(L316&lt;&gt;"-",Q316&lt;&gt;"bypass"),$W$23,Calculation!AL297)</f>
        <v>-</v>
      </c>
      <c r="Y316" s="183" t="str">
        <f ca="1">IF(AND(L316&lt;&gt;"-",Q316&lt;&gt;"bypass"),IFERROR($R$23*U316/SUM(R316:U316),"-"),Calculation!AP297)</f>
        <v>-</v>
      </c>
      <c r="Z316" s="184" t="str">
        <f t="shared" ca="1" si="20"/>
        <v>-</v>
      </c>
      <c r="AA316" s="185" t="str">
        <f ca="1">IFERROR(IF(I316=0,"-",IF(AND(ROUND(H316*I316*X316/($W$10*10^3),1)&gt;=Calculation!$O$6,ROUND((((U316)*$R$23/0.05)-((S316)+(H316*I316*X316/($W$10*10^3))+(U316))),1)&gt;=0),Cluster!$W$8,IF(AND(ROUND(H316*I316*X316/($X$10*10^3),1)&gt;=Calculation!$O$6,ROUND((((U316)*$R$23/0.05)-((S316)+(H316*I316*X316/($X$10*10^3))+(U316))),1)&gt;=0),Cluster!$X$8,IF(AND(ROUND(H316*I316*X316/($Y$10*10^3),1)&gt;=Calculation!$O$6,ROUND((((U316)*$R$23/0.05)-((S316)+(H316*I316*X316/($Y$10*10^3))+(U316))),1)&gt;=0),Cluster!$Y$8,"Recepie by hand needed")))),"-")</f>
        <v>-</v>
      </c>
      <c r="AC316" s="37" t="str">
        <f t="shared" ca="1" si="21"/>
        <v>-</v>
      </c>
      <c r="AD316" s="37" t="str">
        <f t="shared" ca="1" si="22"/>
        <v>-</v>
      </c>
      <c r="AE316" s="220" t="str">
        <f t="shared" ca="1" si="23"/>
        <v>-</v>
      </c>
      <c r="AF316" s="37" t="str">
        <f t="shared" ca="1" si="24"/>
        <v>-</v>
      </c>
    </row>
    <row r="317" spans="1:32" ht="14.25" x14ac:dyDescent="0.5">
      <c r="A317" s="170" t="str">
        <f>Calculation!I298</f>
        <v/>
      </c>
      <c r="B317" s="221" t="str">
        <f ca="1">Calculation!B298</f>
        <v/>
      </c>
      <c r="C317" s="221" t="str">
        <f ca="1">Calculation!C298</f>
        <v/>
      </c>
      <c r="D317" s="172" t="str">
        <f ca="1">Calculation!AN298</f>
        <v/>
      </c>
      <c r="E317" s="173" t="str">
        <f ca="1">Calculation!D298</f>
        <v/>
      </c>
      <c r="F317" s="174" t="str">
        <f ca="1">Calculation!C298</f>
        <v/>
      </c>
      <c r="G317" s="175" t="str">
        <f ca="1">Calculation!F298</f>
        <v/>
      </c>
      <c r="H317" s="176" t="str">
        <f ca="1">Calculation!AD298</f>
        <v/>
      </c>
      <c r="I317" s="177" t="str">
        <f ca="1">Calculation!AE298</f>
        <v/>
      </c>
      <c r="J317" s="272" t="str">
        <f ca="1">IF(Calculation!Q298="","Selection",Calculation!Q298)</f>
        <v>Selection</v>
      </c>
      <c r="K317" s="179" t="str">
        <f ca="1">Calculation!T298</f>
        <v/>
      </c>
      <c r="L317" s="180" t="str">
        <f ca="1">Calculation!U298</f>
        <v>-</v>
      </c>
      <c r="M317" s="180" t="str">
        <f ca="1">Calculation!V298</f>
        <v>-</v>
      </c>
      <c r="N317" s="181"/>
      <c r="O317" s="180" t="str">
        <f ca="1">Calculation!X298</f>
        <v>-</v>
      </c>
      <c r="P317" s="180" t="str">
        <f ca="1">Calculation!Y298</f>
        <v>-</v>
      </c>
      <c r="Q317" s="273"/>
      <c r="R317" s="182" t="str">
        <f ca="1">IF(AND(L317&lt;&gt;"-",Q317&lt;&gt;"bypass"),IFERROR(IF((U317*$R$23/0.05)-SUM(S317:U317)&gt;0,(U317*$R$23/0.05)-SUM(S317:U317),0),"-"),Calculation!AH298)</f>
        <v>-</v>
      </c>
      <c r="S317" s="179" t="str">
        <f ca="1">IF(AND(L317&lt;&gt;"-",Q317&lt;&gt;"bypass"),IFERROR(X317*((H317*10^-12-H317*10^-12*I317)/(Calculation!$U$8*10^-9)),"-"),Calculation!AF298)</f>
        <v>-</v>
      </c>
      <c r="T317" s="179" t="str">
        <f ca="1">IF(AND(L317&lt;&gt;"-",Q317&lt;&gt;"bypass"),IFERROR(H317*I317*X317/(IF(Cluster!AA317=Cluster!$W$8,Cluster!$W$10,IF(Cluster!AA317=Cluster!$X$8,Cluster!$X$10,IF(Cluster!AA317=Cluster!$Y$8,Cluster!$Y$10,0)))*10^3),"-"),Calculation!AK298)</f>
        <v>-</v>
      </c>
      <c r="U317" s="179" t="str">
        <f ca="1">IF(AND(L317&lt;&gt;"-",Q317&lt;&gt;"bypass"),IFERROR((0.5/50)*X317/$R$23,"-"),Calculation!AG298)</f>
        <v>-</v>
      </c>
      <c r="V317" s="179" t="str">
        <f ca="1">IF(AND(L317&lt;&gt;"-",Q317&lt;&gt;"bypass"),IFERROR(5/50*X317,"-"),Calculation!AI298)</f>
        <v>-</v>
      </c>
      <c r="W317" s="179" t="str">
        <f ca="1">IF(AND(L317&lt;&gt;"-",Q317&lt;&gt;"bypass"),IFERROR(35/50*X317,"-"),Calculation!AJ298)</f>
        <v>-</v>
      </c>
      <c r="X317" s="179" t="str">
        <f ca="1">IF(AND(L317&lt;&gt;"-",Q317&lt;&gt;"bypass"),$W$23,Calculation!AL298)</f>
        <v>-</v>
      </c>
      <c r="Y317" s="183" t="str">
        <f ca="1">IF(AND(L317&lt;&gt;"-",Q317&lt;&gt;"bypass"),IFERROR($R$23*U317/SUM(R317:U317),"-"),Calculation!AP298)</f>
        <v>-</v>
      </c>
      <c r="Z317" s="184" t="str">
        <f t="shared" ca="1" si="20"/>
        <v>-</v>
      </c>
      <c r="AA317" s="185" t="str">
        <f ca="1">IFERROR(IF(I317=0,"-",IF(AND(ROUND(H317*I317*X317/($W$10*10^3),1)&gt;=Calculation!$O$6,ROUND((((U317)*$R$23/0.05)-((S317)+(H317*I317*X317/($W$10*10^3))+(U317))),1)&gt;=0),Cluster!$W$8,IF(AND(ROUND(H317*I317*X317/($X$10*10^3),1)&gt;=Calculation!$O$6,ROUND((((U317)*$R$23/0.05)-((S317)+(H317*I317*X317/($X$10*10^3))+(U317))),1)&gt;=0),Cluster!$X$8,IF(AND(ROUND(H317*I317*X317/($Y$10*10^3),1)&gt;=Calculation!$O$6,ROUND((((U317)*$R$23/0.05)-((S317)+(H317*I317*X317/($Y$10*10^3))+(U317))),1)&gt;=0),Cluster!$Y$8,"Recepie by hand needed")))),"-")</f>
        <v>-</v>
      </c>
      <c r="AC317" s="37" t="str">
        <f t="shared" ca="1" si="21"/>
        <v>-</v>
      </c>
      <c r="AD317" s="37" t="str">
        <f t="shared" ca="1" si="22"/>
        <v>-</v>
      </c>
      <c r="AE317" s="220" t="str">
        <f t="shared" ca="1" si="23"/>
        <v>-</v>
      </c>
      <c r="AF317" s="37" t="str">
        <f t="shared" ca="1" si="24"/>
        <v>-</v>
      </c>
    </row>
    <row r="318" spans="1:32" ht="14.25" x14ac:dyDescent="0.5">
      <c r="A318" s="170" t="str">
        <f>Calculation!I299</f>
        <v/>
      </c>
      <c r="B318" s="221" t="str">
        <f ca="1">Calculation!B299</f>
        <v/>
      </c>
      <c r="C318" s="221" t="str">
        <f ca="1">Calculation!C299</f>
        <v/>
      </c>
      <c r="D318" s="172" t="str">
        <f ca="1">Calculation!AN299</f>
        <v/>
      </c>
      <c r="E318" s="173" t="str">
        <f ca="1">Calculation!D299</f>
        <v/>
      </c>
      <c r="F318" s="174" t="str">
        <f ca="1">Calculation!C299</f>
        <v/>
      </c>
      <c r="G318" s="175" t="str">
        <f ca="1">Calculation!F299</f>
        <v/>
      </c>
      <c r="H318" s="176" t="str">
        <f ca="1">Calculation!AD299</f>
        <v/>
      </c>
      <c r="I318" s="177" t="str">
        <f ca="1">Calculation!AE299</f>
        <v/>
      </c>
      <c r="J318" s="272" t="str">
        <f ca="1">IF(Calculation!Q299="","Selection",Calculation!Q299)</f>
        <v>Selection</v>
      </c>
      <c r="K318" s="179" t="str">
        <f ca="1">Calculation!T299</f>
        <v/>
      </c>
      <c r="L318" s="180" t="str">
        <f ca="1">Calculation!U299</f>
        <v>-</v>
      </c>
      <c r="M318" s="180" t="str">
        <f ca="1">Calculation!V299</f>
        <v>-</v>
      </c>
      <c r="N318" s="181"/>
      <c r="O318" s="180" t="str">
        <f ca="1">Calculation!X299</f>
        <v>-</v>
      </c>
      <c r="P318" s="180" t="str">
        <f ca="1">Calculation!Y299</f>
        <v>-</v>
      </c>
      <c r="Q318" s="273"/>
      <c r="R318" s="182" t="str">
        <f ca="1">IF(AND(L318&lt;&gt;"-",Q318&lt;&gt;"bypass"),IFERROR(IF((U318*$R$23/0.05)-SUM(S318:U318)&gt;0,(U318*$R$23/0.05)-SUM(S318:U318),0),"-"),Calculation!AH299)</f>
        <v>-</v>
      </c>
      <c r="S318" s="179" t="str">
        <f ca="1">IF(AND(L318&lt;&gt;"-",Q318&lt;&gt;"bypass"),IFERROR(X318*((H318*10^-12-H318*10^-12*I318)/(Calculation!$U$8*10^-9)),"-"),Calculation!AF299)</f>
        <v>-</v>
      </c>
      <c r="T318" s="179" t="str">
        <f ca="1">IF(AND(L318&lt;&gt;"-",Q318&lt;&gt;"bypass"),IFERROR(H318*I318*X318/(IF(Cluster!AA318=Cluster!$W$8,Cluster!$W$10,IF(Cluster!AA318=Cluster!$X$8,Cluster!$X$10,IF(Cluster!AA318=Cluster!$Y$8,Cluster!$Y$10,0)))*10^3),"-"),Calculation!AK299)</f>
        <v>-</v>
      </c>
      <c r="U318" s="179" t="str">
        <f ca="1">IF(AND(L318&lt;&gt;"-",Q318&lt;&gt;"bypass"),IFERROR((0.5/50)*X318/$R$23,"-"),Calculation!AG299)</f>
        <v>-</v>
      </c>
      <c r="V318" s="179" t="str">
        <f ca="1">IF(AND(L318&lt;&gt;"-",Q318&lt;&gt;"bypass"),IFERROR(5/50*X318,"-"),Calculation!AI299)</f>
        <v>-</v>
      </c>
      <c r="W318" s="179" t="str">
        <f ca="1">IF(AND(L318&lt;&gt;"-",Q318&lt;&gt;"bypass"),IFERROR(35/50*X318,"-"),Calculation!AJ299)</f>
        <v>-</v>
      </c>
      <c r="X318" s="179" t="str">
        <f ca="1">IF(AND(L318&lt;&gt;"-",Q318&lt;&gt;"bypass"),$W$23,Calculation!AL299)</f>
        <v>-</v>
      </c>
      <c r="Y318" s="183" t="str">
        <f ca="1">IF(AND(L318&lt;&gt;"-",Q318&lt;&gt;"bypass"),IFERROR($R$23*U318/SUM(R318:U318),"-"),Calculation!AP299)</f>
        <v>-</v>
      </c>
      <c r="Z318" s="184" t="str">
        <f t="shared" ca="1" si="20"/>
        <v>-</v>
      </c>
      <c r="AA318" s="185" t="str">
        <f ca="1">IFERROR(IF(I318=0,"-",IF(AND(ROUND(H318*I318*X318/($W$10*10^3),1)&gt;=Calculation!$O$6,ROUND((((U318)*$R$23/0.05)-((S318)+(H318*I318*X318/($W$10*10^3))+(U318))),1)&gt;=0),Cluster!$W$8,IF(AND(ROUND(H318*I318*X318/($X$10*10^3),1)&gt;=Calculation!$O$6,ROUND((((U318)*$R$23/0.05)-((S318)+(H318*I318*X318/($X$10*10^3))+(U318))),1)&gt;=0),Cluster!$X$8,IF(AND(ROUND(H318*I318*X318/($Y$10*10^3),1)&gt;=Calculation!$O$6,ROUND((((U318)*$R$23/0.05)-((S318)+(H318*I318*X318/($Y$10*10^3))+(U318))),1)&gt;=0),Cluster!$Y$8,"Recepie by hand needed")))),"-")</f>
        <v>-</v>
      </c>
      <c r="AC318" s="37" t="str">
        <f t="shared" ca="1" si="21"/>
        <v>-</v>
      </c>
      <c r="AD318" s="37" t="str">
        <f t="shared" ca="1" si="22"/>
        <v>-</v>
      </c>
      <c r="AE318" s="220" t="str">
        <f t="shared" ca="1" si="23"/>
        <v>-</v>
      </c>
      <c r="AF318" s="37" t="str">
        <f t="shared" ca="1" si="24"/>
        <v>-</v>
      </c>
    </row>
    <row r="319" spans="1:32" ht="14.25" x14ac:dyDescent="0.5">
      <c r="A319" s="170" t="str">
        <f>Calculation!I300</f>
        <v/>
      </c>
      <c r="B319" s="221" t="str">
        <f ca="1">Calculation!B300</f>
        <v/>
      </c>
      <c r="C319" s="221" t="str">
        <f ca="1">Calculation!C300</f>
        <v/>
      </c>
      <c r="D319" s="172" t="str">
        <f ca="1">Calculation!AN300</f>
        <v/>
      </c>
      <c r="E319" s="173" t="str">
        <f ca="1">Calculation!D300</f>
        <v/>
      </c>
      <c r="F319" s="174" t="str">
        <f ca="1">Calculation!C300</f>
        <v/>
      </c>
      <c r="G319" s="175" t="str">
        <f ca="1">Calculation!F300</f>
        <v/>
      </c>
      <c r="H319" s="176" t="str">
        <f ca="1">Calculation!AD300</f>
        <v/>
      </c>
      <c r="I319" s="177" t="str">
        <f ca="1">Calculation!AE300</f>
        <v/>
      </c>
      <c r="J319" s="272" t="str">
        <f ca="1">IF(Calculation!Q300="","Selection",Calculation!Q300)</f>
        <v>Selection</v>
      </c>
      <c r="K319" s="179" t="str">
        <f ca="1">Calculation!T300</f>
        <v/>
      </c>
      <c r="L319" s="180" t="str">
        <f ca="1">Calculation!U300</f>
        <v>-</v>
      </c>
      <c r="M319" s="180" t="str">
        <f ca="1">Calculation!V300</f>
        <v>-</v>
      </c>
      <c r="N319" s="181"/>
      <c r="O319" s="180" t="str">
        <f ca="1">Calculation!X300</f>
        <v>-</v>
      </c>
      <c r="P319" s="180" t="str">
        <f ca="1">Calculation!Y300</f>
        <v>-</v>
      </c>
      <c r="Q319" s="273"/>
      <c r="R319" s="182" t="str">
        <f ca="1">IF(AND(L319&lt;&gt;"-",Q319&lt;&gt;"bypass"),IFERROR(IF((U319*$R$23/0.05)-SUM(S319:U319)&gt;0,(U319*$R$23/0.05)-SUM(S319:U319),0),"-"),Calculation!AH300)</f>
        <v>-</v>
      </c>
      <c r="S319" s="179" t="str">
        <f ca="1">IF(AND(L319&lt;&gt;"-",Q319&lt;&gt;"bypass"),IFERROR(X319*((H319*10^-12-H319*10^-12*I319)/(Calculation!$U$8*10^-9)),"-"),Calculation!AF300)</f>
        <v>-</v>
      </c>
      <c r="T319" s="179" t="str">
        <f ca="1">IF(AND(L319&lt;&gt;"-",Q319&lt;&gt;"bypass"),IFERROR(H319*I319*X319/(IF(Cluster!AA319=Cluster!$W$8,Cluster!$W$10,IF(Cluster!AA319=Cluster!$X$8,Cluster!$X$10,IF(Cluster!AA319=Cluster!$Y$8,Cluster!$Y$10,0)))*10^3),"-"),Calculation!AK300)</f>
        <v>-</v>
      </c>
      <c r="U319" s="179" t="str">
        <f ca="1">IF(AND(L319&lt;&gt;"-",Q319&lt;&gt;"bypass"),IFERROR((0.5/50)*X319/$R$23,"-"),Calculation!AG300)</f>
        <v>-</v>
      </c>
      <c r="V319" s="179" t="str">
        <f ca="1">IF(AND(L319&lt;&gt;"-",Q319&lt;&gt;"bypass"),IFERROR(5/50*X319,"-"),Calculation!AI300)</f>
        <v>-</v>
      </c>
      <c r="W319" s="179" t="str">
        <f ca="1">IF(AND(L319&lt;&gt;"-",Q319&lt;&gt;"bypass"),IFERROR(35/50*X319,"-"),Calculation!AJ300)</f>
        <v>-</v>
      </c>
      <c r="X319" s="179" t="str">
        <f ca="1">IF(AND(L319&lt;&gt;"-",Q319&lt;&gt;"bypass"),$W$23,Calculation!AL300)</f>
        <v>-</v>
      </c>
      <c r="Y319" s="183" t="str">
        <f ca="1">IF(AND(L319&lt;&gt;"-",Q319&lt;&gt;"bypass"),IFERROR($R$23*U319/SUM(R319:U319),"-"),Calculation!AP300)</f>
        <v>-</v>
      </c>
      <c r="Z319" s="184" t="str">
        <f t="shared" ca="1" si="20"/>
        <v>-</v>
      </c>
      <c r="AA319" s="185" t="str">
        <f ca="1">IFERROR(IF(I319=0,"-",IF(AND(ROUND(H319*I319*X319/($W$10*10^3),1)&gt;=Calculation!$O$6,ROUND((((U319)*$R$23/0.05)-((S319)+(H319*I319*X319/($W$10*10^3))+(U319))),1)&gt;=0),Cluster!$W$8,IF(AND(ROUND(H319*I319*X319/($X$10*10^3),1)&gt;=Calculation!$O$6,ROUND((((U319)*$R$23/0.05)-((S319)+(H319*I319*X319/($X$10*10^3))+(U319))),1)&gt;=0),Cluster!$X$8,IF(AND(ROUND(H319*I319*X319/($Y$10*10^3),1)&gt;=Calculation!$O$6,ROUND((((U319)*$R$23/0.05)-((S319)+(H319*I319*X319/($Y$10*10^3))+(U319))),1)&gt;=0),Cluster!$Y$8,"Recepie by hand needed")))),"-")</f>
        <v>-</v>
      </c>
      <c r="AC319" s="37" t="str">
        <f t="shared" ca="1" si="21"/>
        <v>-</v>
      </c>
      <c r="AD319" s="37" t="str">
        <f t="shared" ca="1" si="22"/>
        <v>-</v>
      </c>
      <c r="AE319" s="220" t="str">
        <f t="shared" ca="1" si="23"/>
        <v>-</v>
      </c>
      <c r="AF319" s="37" t="str">
        <f t="shared" ca="1" si="24"/>
        <v>-</v>
      </c>
    </row>
    <row r="320" spans="1:32" ht="14.25" x14ac:dyDescent="0.5">
      <c r="A320" s="170" t="str">
        <f>Calculation!I301</f>
        <v/>
      </c>
      <c r="B320" s="221" t="str">
        <f ca="1">Calculation!B301</f>
        <v/>
      </c>
      <c r="C320" s="221" t="str">
        <f ca="1">Calculation!C301</f>
        <v/>
      </c>
      <c r="D320" s="172" t="str">
        <f ca="1">Calculation!AN301</f>
        <v/>
      </c>
      <c r="E320" s="173" t="str">
        <f ca="1">Calculation!D301</f>
        <v/>
      </c>
      <c r="F320" s="174" t="str">
        <f ca="1">Calculation!C301</f>
        <v/>
      </c>
      <c r="G320" s="175" t="str">
        <f ca="1">Calculation!F301</f>
        <v/>
      </c>
      <c r="H320" s="176" t="str">
        <f ca="1">Calculation!AD301</f>
        <v/>
      </c>
      <c r="I320" s="177" t="str">
        <f ca="1">Calculation!AE301</f>
        <v/>
      </c>
      <c r="J320" s="272" t="str">
        <f ca="1">IF(Calculation!Q301="","Selection",Calculation!Q301)</f>
        <v>Selection</v>
      </c>
      <c r="K320" s="179" t="str">
        <f ca="1">Calculation!T301</f>
        <v/>
      </c>
      <c r="L320" s="180" t="str">
        <f ca="1">Calculation!U301</f>
        <v>-</v>
      </c>
      <c r="M320" s="180" t="str">
        <f ca="1">Calculation!V301</f>
        <v>-</v>
      </c>
      <c r="N320" s="181"/>
      <c r="O320" s="180" t="str">
        <f ca="1">Calculation!X301</f>
        <v>-</v>
      </c>
      <c r="P320" s="180" t="str">
        <f ca="1">Calculation!Y301</f>
        <v>-</v>
      </c>
      <c r="Q320" s="273"/>
      <c r="R320" s="182" t="str">
        <f ca="1">IF(AND(L320&lt;&gt;"-",Q320&lt;&gt;"bypass"),IFERROR(IF((U320*$R$23/0.05)-SUM(S320:U320)&gt;0,(U320*$R$23/0.05)-SUM(S320:U320),0),"-"),Calculation!AH301)</f>
        <v>-</v>
      </c>
      <c r="S320" s="179" t="str">
        <f ca="1">IF(AND(L320&lt;&gt;"-",Q320&lt;&gt;"bypass"),IFERROR(X320*((H320*10^-12-H320*10^-12*I320)/(Calculation!$U$8*10^-9)),"-"),Calculation!AF301)</f>
        <v>-</v>
      </c>
      <c r="T320" s="179" t="str">
        <f ca="1">IF(AND(L320&lt;&gt;"-",Q320&lt;&gt;"bypass"),IFERROR(H320*I320*X320/(IF(Cluster!AA320=Cluster!$W$8,Cluster!$W$10,IF(Cluster!AA320=Cluster!$X$8,Cluster!$X$10,IF(Cluster!AA320=Cluster!$Y$8,Cluster!$Y$10,0)))*10^3),"-"),Calculation!AK301)</f>
        <v>-</v>
      </c>
      <c r="U320" s="179" t="str">
        <f ca="1">IF(AND(L320&lt;&gt;"-",Q320&lt;&gt;"bypass"),IFERROR((0.5/50)*X320/$R$23,"-"),Calculation!AG301)</f>
        <v>-</v>
      </c>
      <c r="V320" s="179" t="str">
        <f ca="1">IF(AND(L320&lt;&gt;"-",Q320&lt;&gt;"bypass"),IFERROR(5/50*X320,"-"),Calculation!AI301)</f>
        <v>-</v>
      </c>
      <c r="W320" s="179" t="str">
        <f ca="1">IF(AND(L320&lt;&gt;"-",Q320&lt;&gt;"bypass"),IFERROR(35/50*X320,"-"),Calculation!AJ301)</f>
        <v>-</v>
      </c>
      <c r="X320" s="179" t="str">
        <f ca="1">IF(AND(L320&lt;&gt;"-",Q320&lt;&gt;"bypass"),$W$23,Calculation!AL301)</f>
        <v>-</v>
      </c>
      <c r="Y320" s="183" t="str">
        <f ca="1">IF(AND(L320&lt;&gt;"-",Q320&lt;&gt;"bypass"),IFERROR($R$23*U320/SUM(R320:U320),"-"),Calculation!AP301)</f>
        <v>-</v>
      </c>
      <c r="Z320" s="184" t="str">
        <f t="shared" ca="1" si="20"/>
        <v>-</v>
      </c>
      <c r="AA320" s="185" t="str">
        <f ca="1">IFERROR(IF(I320=0,"-",IF(AND(ROUND(H320*I320*X320/($W$10*10^3),1)&gt;=Calculation!$O$6,ROUND((((U320)*$R$23/0.05)-((S320)+(H320*I320*X320/($W$10*10^3))+(U320))),1)&gt;=0),Cluster!$W$8,IF(AND(ROUND(H320*I320*X320/($X$10*10^3),1)&gt;=Calculation!$O$6,ROUND((((U320)*$R$23/0.05)-((S320)+(H320*I320*X320/($X$10*10^3))+(U320))),1)&gt;=0),Cluster!$X$8,IF(AND(ROUND(H320*I320*X320/($Y$10*10^3),1)&gt;=Calculation!$O$6,ROUND((((U320)*$R$23/0.05)-((S320)+(H320*I320*X320/($Y$10*10^3))+(U320))),1)&gt;=0),Cluster!$Y$8,"Recepie by hand needed")))),"-")</f>
        <v>-</v>
      </c>
      <c r="AC320" s="37" t="str">
        <f t="shared" ca="1" si="21"/>
        <v>-</v>
      </c>
      <c r="AD320" s="37" t="str">
        <f t="shared" ca="1" si="22"/>
        <v>-</v>
      </c>
      <c r="AE320" s="220" t="str">
        <f t="shared" ca="1" si="23"/>
        <v>-</v>
      </c>
      <c r="AF320" s="37" t="str">
        <f t="shared" ca="1" si="24"/>
        <v>-</v>
      </c>
    </row>
    <row r="321" spans="1:32" ht="14.25" x14ac:dyDescent="0.5">
      <c r="A321" s="170" t="str">
        <f>Calculation!I302</f>
        <v/>
      </c>
      <c r="B321" s="221" t="str">
        <f ca="1">Calculation!B302</f>
        <v/>
      </c>
      <c r="C321" s="221" t="str">
        <f ca="1">Calculation!C302</f>
        <v/>
      </c>
      <c r="D321" s="172" t="str">
        <f ca="1">Calculation!AN302</f>
        <v/>
      </c>
      <c r="E321" s="173" t="str">
        <f ca="1">Calculation!D302</f>
        <v/>
      </c>
      <c r="F321" s="174" t="str">
        <f ca="1">Calculation!C302</f>
        <v/>
      </c>
      <c r="G321" s="175" t="str">
        <f ca="1">Calculation!F302</f>
        <v/>
      </c>
      <c r="H321" s="176" t="str">
        <f ca="1">Calculation!AD302</f>
        <v/>
      </c>
      <c r="I321" s="177" t="str">
        <f ca="1">Calculation!AE302</f>
        <v/>
      </c>
      <c r="J321" s="272" t="str">
        <f ca="1">IF(Calculation!Q302="","Selection",Calculation!Q302)</f>
        <v>Selection</v>
      </c>
      <c r="K321" s="179" t="str">
        <f ca="1">Calculation!T302</f>
        <v/>
      </c>
      <c r="L321" s="180" t="str">
        <f ca="1">Calculation!U302</f>
        <v>-</v>
      </c>
      <c r="M321" s="180" t="str">
        <f ca="1">Calculation!V302</f>
        <v>-</v>
      </c>
      <c r="N321" s="181"/>
      <c r="O321" s="180" t="str">
        <f ca="1">Calculation!X302</f>
        <v>-</v>
      </c>
      <c r="P321" s="180" t="str">
        <f ca="1">Calculation!Y302</f>
        <v>-</v>
      </c>
      <c r="Q321" s="273"/>
      <c r="R321" s="182" t="str">
        <f ca="1">IF(AND(L321&lt;&gt;"-",Q321&lt;&gt;"bypass"),IFERROR(IF((U321*$R$23/0.05)-SUM(S321:U321)&gt;0,(U321*$R$23/0.05)-SUM(S321:U321),0),"-"),Calculation!AH302)</f>
        <v>-</v>
      </c>
      <c r="S321" s="179" t="str">
        <f ca="1">IF(AND(L321&lt;&gt;"-",Q321&lt;&gt;"bypass"),IFERROR(X321*((H321*10^-12-H321*10^-12*I321)/(Calculation!$U$8*10^-9)),"-"),Calculation!AF302)</f>
        <v>-</v>
      </c>
      <c r="T321" s="179" t="str">
        <f ca="1">IF(AND(L321&lt;&gt;"-",Q321&lt;&gt;"bypass"),IFERROR(H321*I321*X321/(IF(Cluster!AA321=Cluster!$W$8,Cluster!$W$10,IF(Cluster!AA321=Cluster!$X$8,Cluster!$X$10,IF(Cluster!AA321=Cluster!$Y$8,Cluster!$Y$10,0)))*10^3),"-"),Calculation!AK302)</f>
        <v>-</v>
      </c>
      <c r="U321" s="179" t="str">
        <f ca="1">IF(AND(L321&lt;&gt;"-",Q321&lt;&gt;"bypass"),IFERROR((0.5/50)*X321/$R$23,"-"),Calculation!AG302)</f>
        <v>-</v>
      </c>
      <c r="V321" s="179" t="str">
        <f ca="1">IF(AND(L321&lt;&gt;"-",Q321&lt;&gt;"bypass"),IFERROR(5/50*X321,"-"),Calculation!AI302)</f>
        <v>-</v>
      </c>
      <c r="W321" s="179" t="str">
        <f ca="1">IF(AND(L321&lt;&gt;"-",Q321&lt;&gt;"bypass"),IFERROR(35/50*X321,"-"),Calculation!AJ302)</f>
        <v>-</v>
      </c>
      <c r="X321" s="179" t="str">
        <f ca="1">IF(AND(L321&lt;&gt;"-",Q321&lt;&gt;"bypass"),$W$23,Calculation!AL302)</f>
        <v>-</v>
      </c>
      <c r="Y321" s="183" t="str">
        <f ca="1">IF(AND(L321&lt;&gt;"-",Q321&lt;&gt;"bypass"),IFERROR($R$23*U321/SUM(R321:U321),"-"),Calculation!AP302)</f>
        <v>-</v>
      </c>
      <c r="Z321" s="184" t="str">
        <f t="shared" ca="1" si="20"/>
        <v>-</v>
      </c>
      <c r="AA321" s="185" t="str">
        <f ca="1">IFERROR(IF(I321=0,"-",IF(AND(ROUND(H321*I321*X321/($W$10*10^3),1)&gt;=Calculation!$O$6,ROUND((((U321)*$R$23/0.05)-((S321)+(H321*I321*X321/($W$10*10^3))+(U321))),1)&gt;=0),Cluster!$W$8,IF(AND(ROUND(H321*I321*X321/($X$10*10^3),1)&gt;=Calculation!$O$6,ROUND((((U321)*$R$23/0.05)-((S321)+(H321*I321*X321/($X$10*10^3))+(U321))),1)&gt;=0),Cluster!$X$8,IF(AND(ROUND(H321*I321*X321/($Y$10*10^3),1)&gt;=Calculation!$O$6,ROUND((((U321)*$R$23/0.05)-((S321)+(H321*I321*X321/($Y$10*10^3))+(U321))),1)&gt;=0),Cluster!$Y$8,"Recepie by hand needed")))),"-")</f>
        <v>-</v>
      </c>
      <c r="AC321" s="37" t="str">
        <f t="shared" ca="1" si="21"/>
        <v>-</v>
      </c>
      <c r="AD321" s="37" t="str">
        <f t="shared" ca="1" si="22"/>
        <v>-</v>
      </c>
      <c r="AE321" s="220" t="str">
        <f t="shared" ca="1" si="23"/>
        <v>-</v>
      </c>
      <c r="AF321" s="37" t="str">
        <f t="shared" ca="1" si="24"/>
        <v>-</v>
      </c>
    </row>
    <row r="322" spans="1:32" ht="14.25" x14ac:dyDescent="0.5">
      <c r="A322" s="170" t="str">
        <f>Calculation!I303</f>
        <v/>
      </c>
      <c r="B322" s="221" t="str">
        <f ca="1">Calculation!B303</f>
        <v/>
      </c>
      <c r="C322" s="221" t="str">
        <f ca="1">Calculation!C303</f>
        <v/>
      </c>
      <c r="D322" s="172" t="str">
        <f ca="1">Calculation!AN303</f>
        <v/>
      </c>
      <c r="E322" s="173" t="str">
        <f ca="1">Calculation!D303</f>
        <v/>
      </c>
      <c r="F322" s="174" t="str">
        <f ca="1">Calculation!C303</f>
        <v/>
      </c>
      <c r="G322" s="175" t="str">
        <f ca="1">Calculation!F303</f>
        <v/>
      </c>
      <c r="H322" s="176" t="str">
        <f ca="1">Calculation!AD303</f>
        <v/>
      </c>
      <c r="I322" s="177" t="str">
        <f ca="1">Calculation!AE303</f>
        <v/>
      </c>
      <c r="J322" s="272" t="str">
        <f ca="1">IF(Calculation!Q303="","Selection",Calculation!Q303)</f>
        <v>Selection</v>
      </c>
      <c r="K322" s="179" t="str">
        <f ca="1">Calculation!T303</f>
        <v/>
      </c>
      <c r="L322" s="180" t="str">
        <f ca="1">Calculation!U303</f>
        <v>-</v>
      </c>
      <c r="M322" s="180" t="str">
        <f ca="1">Calculation!V303</f>
        <v>-</v>
      </c>
      <c r="N322" s="181"/>
      <c r="O322" s="180" t="str">
        <f ca="1">Calculation!X303</f>
        <v>-</v>
      </c>
      <c r="P322" s="180" t="str">
        <f ca="1">Calculation!Y303</f>
        <v>-</v>
      </c>
      <c r="Q322" s="273"/>
      <c r="R322" s="182" t="str">
        <f ca="1">IF(AND(L322&lt;&gt;"-",Q322&lt;&gt;"bypass"),IFERROR(IF((U322*$R$23/0.05)-SUM(S322:U322)&gt;0,(U322*$R$23/0.05)-SUM(S322:U322),0),"-"),Calculation!AH303)</f>
        <v>-</v>
      </c>
      <c r="S322" s="179" t="str">
        <f ca="1">IF(AND(L322&lt;&gt;"-",Q322&lt;&gt;"bypass"),IFERROR(X322*((H322*10^-12-H322*10^-12*I322)/(Calculation!$U$8*10^-9)),"-"),Calculation!AF303)</f>
        <v>-</v>
      </c>
      <c r="T322" s="179" t="str">
        <f ca="1">IF(AND(L322&lt;&gt;"-",Q322&lt;&gt;"bypass"),IFERROR(H322*I322*X322/(IF(Cluster!AA322=Cluster!$W$8,Cluster!$W$10,IF(Cluster!AA322=Cluster!$X$8,Cluster!$X$10,IF(Cluster!AA322=Cluster!$Y$8,Cluster!$Y$10,0)))*10^3),"-"),Calculation!AK303)</f>
        <v>-</v>
      </c>
      <c r="U322" s="179" t="str">
        <f ca="1">IF(AND(L322&lt;&gt;"-",Q322&lt;&gt;"bypass"),IFERROR((0.5/50)*X322/$R$23,"-"),Calculation!AG303)</f>
        <v>-</v>
      </c>
      <c r="V322" s="179" t="str">
        <f ca="1">IF(AND(L322&lt;&gt;"-",Q322&lt;&gt;"bypass"),IFERROR(5/50*X322,"-"),Calculation!AI303)</f>
        <v>-</v>
      </c>
      <c r="W322" s="179" t="str">
        <f ca="1">IF(AND(L322&lt;&gt;"-",Q322&lt;&gt;"bypass"),IFERROR(35/50*X322,"-"),Calculation!AJ303)</f>
        <v>-</v>
      </c>
      <c r="X322" s="179" t="str">
        <f ca="1">IF(AND(L322&lt;&gt;"-",Q322&lt;&gt;"bypass"),$W$23,Calculation!AL303)</f>
        <v>-</v>
      </c>
      <c r="Y322" s="183" t="str">
        <f ca="1">IF(AND(L322&lt;&gt;"-",Q322&lt;&gt;"bypass"),IFERROR($R$23*U322/SUM(R322:U322),"-"),Calculation!AP303)</f>
        <v>-</v>
      </c>
      <c r="Z322" s="184" t="str">
        <f t="shared" ca="1" si="20"/>
        <v>-</v>
      </c>
      <c r="AA322" s="185" t="str">
        <f ca="1">IFERROR(IF(I322=0,"-",IF(AND(ROUND(H322*I322*X322/($W$10*10^3),1)&gt;=Calculation!$O$6,ROUND((((U322)*$R$23/0.05)-((S322)+(H322*I322*X322/($W$10*10^3))+(U322))),1)&gt;=0),Cluster!$W$8,IF(AND(ROUND(H322*I322*X322/($X$10*10^3),1)&gt;=Calculation!$O$6,ROUND((((U322)*$R$23/0.05)-((S322)+(H322*I322*X322/($X$10*10^3))+(U322))),1)&gt;=0),Cluster!$X$8,IF(AND(ROUND(H322*I322*X322/($Y$10*10^3),1)&gt;=Calculation!$O$6,ROUND((((U322)*$R$23/0.05)-((S322)+(H322*I322*X322/($Y$10*10^3))+(U322))),1)&gt;=0),Cluster!$Y$8,"Recepie by hand needed")))),"-")</f>
        <v>-</v>
      </c>
      <c r="AC322" s="37" t="str">
        <f t="shared" ca="1" si="21"/>
        <v>-</v>
      </c>
      <c r="AD322" s="37" t="str">
        <f t="shared" ca="1" si="22"/>
        <v>-</v>
      </c>
      <c r="AE322" s="220" t="str">
        <f t="shared" ca="1" si="23"/>
        <v>-</v>
      </c>
      <c r="AF322" s="37" t="str">
        <f t="shared" ca="1" si="24"/>
        <v>-</v>
      </c>
    </row>
    <row r="323" spans="1:32" ht="14.25" x14ac:dyDescent="0.5">
      <c r="A323" s="170" t="str">
        <f>Calculation!I304</f>
        <v/>
      </c>
      <c r="B323" s="221" t="str">
        <f ca="1">Calculation!B304</f>
        <v/>
      </c>
      <c r="C323" s="221" t="str">
        <f ca="1">Calculation!C304</f>
        <v/>
      </c>
      <c r="D323" s="172" t="str">
        <f ca="1">Calculation!AN304</f>
        <v/>
      </c>
      <c r="E323" s="173" t="str">
        <f ca="1">Calculation!D304</f>
        <v/>
      </c>
      <c r="F323" s="174" t="str">
        <f ca="1">Calculation!C304</f>
        <v/>
      </c>
      <c r="G323" s="175" t="str">
        <f ca="1">Calculation!F304</f>
        <v/>
      </c>
      <c r="H323" s="176" t="str">
        <f ca="1">Calculation!AD304</f>
        <v/>
      </c>
      <c r="I323" s="177" t="str">
        <f ca="1">Calculation!AE304</f>
        <v/>
      </c>
      <c r="J323" s="272" t="str">
        <f ca="1">IF(Calculation!Q304="","Selection",Calculation!Q304)</f>
        <v>Selection</v>
      </c>
      <c r="K323" s="179" t="str">
        <f ca="1">Calculation!T304</f>
        <v/>
      </c>
      <c r="L323" s="180" t="str">
        <f ca="1">Calculation!U304</f>
        <v>-</v>
      </c>
      <c r="M323" s="180" t="str">
        <f ca="1">Calculation!V304</f>
        <v>-</v>
      </c>
      <c r="N323" s="181"/>
      <c r="O323" s="180" t="str">
        <f ca="1">Calculation!X304</f>
        <v>-</v>
      </c>
      <c r="P323" s="180" t="str">
        <f ca="1">Calculation!Y304</f>
        <v>-</v>
      </c>
      <c r="Q323" s="273"/>
      <c r="R323" s="182" t="str">
        <f ca="1">IF(AND(L323&lt;&gt;"-",Q323&lt;&gt;"bypass"),IFERROR(IF((U323*$R$23/0.05)-SUM(S323:U323)&gt;0,(U323*$R$23/0.05)-SUM(S323:U323),0),"-"),Calculation!AH304)</f>
        <v>-</v>
      </c>
      <c r="S323" s="179" t="str">
        <f ca="1">IF(AND(L323&lt;&gt;"-",Q323&lt;&gt;"bypass"),IFERROR(X323*((H323*10^-12-H323*10^-12*I323)/(Calculation!$U$8*10^-9)),"-"),Calculation!AF304)</f>
        <v>-</v>
      </c>
      <c r="T323" s="179" t="str">
        <f ca="1">IF(AND(L323&lt;&gt;"-",Q323&lt;&gt;"bypass"),IFERROR(H323*I323*X323/(IF(Cluster!AA323=Cluster!$W$8,Cluster!$W$10,IF(Cluster!AA323=Cluster!$X$8,Cluster!$X$10,IF(Cluster!AA323=Cluster!$Y$8,Cluster!$Y$10,0)))*10^3),"-"),Calculation!AK304)</f>
        <v>-</v>
      </c>
      <c r="U323" s="179" t="str">
        <f ca="1">IF(AND(L323&lt;&gt;"-",Q323&lt;&gt;"bypass"),IFERROR((0.5/50)*X323/$R$23,"-"),Calculation!AG304)</f>
        <v>-</v>
      </c>
      <c r="V323" s="179" t="str">
        <f ca="1">IF(AND(L323&lt;&gt;"-",Q323&lt;&gt;"bypass"),IFERROR(5/50*X323,"-"),Calculation!AI304)</f>
        <v>-</v>
      </c>
      <c r="W323" s="179" t="str">
        <f ca="1">IF(AND(L323&lt;&gt;"-",Q323&lt;&gt;"bypass"),IFERROR(35/50*X323,"-"),Calculation!AJ304)</f>
        <v>-</v>
      </c>
      <c r="X323" s="179" t="str">
        <f ca="1">IF(AND(L323&lt;&gt;"-",Q323&lt;&gt;"bypass"),$W$23,Calculation!AL304)</f>
        <v>-</v>
      </c>
      <c r="Y323" s="183" t="str">
        <f ca="1">IF(AND(L323&lt;&gt;"-",Q323&lt;&gt;"bypass"),IFERROR($R$23*U323/SUM(R323:U323),"-"),Calculation!AP304)</f>
        <v>-</v>
      </c>
      <c r="Z323" s="184" t="str">
        <f t="shared" ca="1" si="20"/>
        <v>-</v>
      </c>
      <c r="AA323" s="185" t="str">
        <f ca="1">IFERROR(IF(I323=0,"-",IF(AND(ROUND(H323*I323*X323/($W$10*10^3),1)&gt;=Calculation!$O$6,ROUND((((U323)*$R$23/0.05)-((S323)+(H323*I323*X323/($W$10*10^3))+(U323))),1)&gt;=0),Cluster!$W$8,IF(AND(ROUND(H323*I323*X323/($X$10*10^3),1)&gt;=Calculation!$O$6,ROUND((((U323)*$R$23/0.05)-((S323)+(H323*I323*X323/($X$10*10^3))+(U323))),1)&gt;=0),Cluster!$X$8,IF(AND(ROUND(H323*I323*X323/($Y$10*10^3),1)&gt;=Calculation!$O$6,ROUND((((U323)*$R$23/0.05)-((S323)+(H323*I323*X323/($Y$10*10^3))+(U323))),1)&gt;=0),Cluster!$Y$8,"Recepie by hand needed")))),"-")</f>
        <v>-</v>
      </c>
      <c r="AC323" s="37" t="str">
        <f t="shared" ca="1" si="21"/>
        <v>-</v>
      </c>
      <c r="AD323" s="37" t="str">
        <f t="shared" ca="1" si="22"/>
        <v>-</v>
      </c>
      <c r="AE323" s="220" t="str">
        <f t="shared" ca="1" si="23"/>
        <v>-</v>
      </c>
      <c r="AF323" s="37" t="str">
        <f t="shared" ca="1" si="24"/>
        <v>-</v>
      </c>
    </row>
    <row r="324" spans="1:32" ht="14.25" x14ac:dyDescent="0.5">
      <c r="A324" s="170" t="str">
        <f>Calculation!I305</f>
        <v/>
      </c>
      <c r="B324" s="221" t="str">
        <f ca="1">Calculation!B305</f>
        <v/>
      </c>
      <c r="C324" s="221" t="str">
        <f ca="1">Calculation!C305</f>
        <v/>
      </c>
      <c r="D324" s="172" t="str">
        <f ca="1">Calculation!AN305</f>
        <v/>
      </c>
      <c r="E324" s="173" t="str">
        <f ca="1">Calculation!D305</f>
        <v/>
      </c>
      <c r="F324" s="174" t="str">
        <f ca="1">Calculation!C305</f>
        <v/>
      </c>
      <c r="G324" s="175" t="str">
        <f ca="1">Calculation!F305</f>
        <v/>
      </c>
      <c r="H324" s="176" t="str">
        <f ca="1">Calculation!AD305</f>
        <v/>
      </c>
      <c r="I324" s="177" t="str">
        <f ca="1">Calculation!AE305</f>
        <v/>
      </c>
      <c r="J324" s="272" t="str">
        <f ca="1">IF(Calculation!Q305="","Selection",Calculation!Q305)</f>
        <v>Selection</v>
      </c>
      <c r="K324" s="179" t="str">
        <f ca="1">Calculation!T305</f>
        <v/>
      </c>
      <c r="L324" s="180" t="str">
        <f ca="1">Calculation!U305</f>
        <v>-</v>
      </c>
      <c r="M324" s="180" t="str">
        <f ca="1">Calculation!V305</f>
        <v>-</v>
      </c>
      <c r="N324" s="181"/>
      <c r="O324" s="180" t="str">
        <f ca="1">Calculation!X305</f>
        <v>-</v>
      </c>
      <c r="P324" s="180" t="str">
        <f ca="1">Calculation!Y305</f>
        <v>-</v>
      </c>
      <c r="Q324" s="273"/>
      <c r="R324" s="182" t="str">
        <f ca="1">IF(AND(L324&lt;&gt;"-",Q324&lt;&gt;"bypass"),IFERROR(IF((U324*$R$23/0.05)-SUM(S324:U324)&gt;0,(U324*$R$23/0.05)-SUM(S324:U324),0),"-"),Calculation!AH305)</f>
        <v>-</v>
      </c>
      <c r="S324" s="179" t="str">
        <f ca="1">IF(AND(L324&lt;&gt;"-",Q324&lt;&gt;"bypass"),IFERROR(X324*((H324*10^-12-H324*10^-12*I324)/(Calculation!$U$8*10^-9)),"-"),Calculation!AF305)</f>
        <v>-</v>
      </c>
      <c r="T324" s="179" t="str">
        <f ca="1">IF(AND(L324&lt;&gt;"-",Q324&lt;&gt;"bypass"),IFERROR(H324*I324*X324/(IF(Cluster!AA324=Cluster!$W$8,Cluster!$W$10,IF(Cluster!AA324=Cluster!$X$8,Cluster!$X$10,IF(Cluster!AA324=Cluster!$Y$8,Cluster!$Y$10,0)))*10^3),"-"),Calculation!AK305)</f>
        <v>-</v>
      </c>
      <c r="U324" s="179" t="str">
        <f ca="1">IF(AND(L324&lt;&gt;"-",Q324&lt;&gt;"bypass"),IFERROR((0.5/50)*X324/$R$23,"-"),Calculation!AG305)</f>
        <v>-</v>
      </c>
      <c r="V324" s="179" t="str">
        <f ca="1">IF(AND(L324&lt;&gt;"-",Q324&lt;&gt;"bypass"),IFERROR(5/50*X324,"-"),Calculation!AI305)</f>
        <v>-</v>
      </c>
      <c r="W324" s="179" t="str">
        <f ca="1">IF(AND(L324&lt;&gt;"-",Q324&lt;&gt;"bypass"),IFERROR(35/50*X324,"-"),Calculation!AJ305)</f>
        <v>-</v>
      </c>
      <c r="X324" s="179" t="str">
        <f ca="1">IF(AND(L324&lt;&gt;"-",Q324&lt;&gt;"bypass"),$W$23,Calculation!AL305)</f>
        <v>-</v>
      </c>
      <c r="Y324" s="183" t="str">
        <f ca="1">IF(AND(L324&lt;&gt;"-",Q324&lt;&gt;"bypass"),IFERROR($R$23*U324/SUM(R324:U324),"-"),Calculation!AP305)</f>
        <v>-</v>
      </c>
      <c r="Z324" s="184" t="str">
        <f t="shared" ca="1" si="20"/>
        <v>-</v>
      </c>
      <c r="AA324" s="185" t="str">
        <f ca="1">IFERROR(IF(I324=0,"-",IF(AND(ROUND(H324*I324*X324/($W$10*10^3),1)&gt;=Calculation!$O$6,ROUND((((U324)*$R$23/0.05)-((S324)+(H324*I324*X324/($W$10*10^3))+(U324))),1)&gt;=0),Cluster!$W$8,IF(AND(ROUND(H324*I324*X324/($X$10*10^3),1)&gt;=Calculation!$O$6,ROUND((((U324)*$R$23/0.05)-((S324)+(H324*I324*X324/($X$10*10^3))+(U324))),1)&gt;=0),Cluster!$X$8,IF(AND(ROUND(H324*I324*X324/($Y$10*10^3),1)&gt;=Calculation!$O$6,ROUND((((U324)*$R$23/0.05)-((S324)+(H324*I324*X324/($Y$10*10^3))+(U324))),1)&gt;=0),Cluster!$Y$8,"Recepie by hand needed")))),"-")</f>
        <v>-</v>
      </c>
      <c r="AC324" s="37" t="str">
        <f t="shared" ca="1" si="21"/>
        <v>-</v>
      </c>
      <c r="AD324" s="37" t="str">
        <f t="shared" ca="1" si="22"/>
        <v>-</v>
      </c>
      <c r="AE324" s="220" t="str">
        <f t="shared" ca="1" si="23"/>
        <v>-</v>
      </c>
      <c r="AF324" s="37" t="str">
        <f t="shared" ca="1" si="24"/>
        <v>-</v>
      </c>
    </row>
    <row r="325" spans="1:32" ht="14.25" x14ac:dyDescent="0.5">
      <c r="A325" s="170" t="str">
        <f>Calculation!I306</f>
        <v/>
      </c>
      <c r="B325" s="221" t="str">
        <f ca="1">Calculation!B306</f>
        <v/>
      </c>
      <c r="C325" s="221" t="str">
        <f ca="1">Calculation!C306</f>
        <v/>
      </c>
      <c r="D325" s="172" t="str">
        <f ca="1">Calculation!AN306</f>
        <v/>
      </c>
      <c r="E325" s="173" t="str">
        <f ca="1">Calculation!D306</f>
        <v/>
      </c>
      <c r="F325" s="174" t="str">
        <f ca="1">Calculation!C306</f>
        <v/>
      </c>
      <c r="G325" s="175" t="str">
        <f ca="1">Calculation!F306</f>
        <v/>
      </c>
      <c r="H325" s="176" t="str">
        <f ca="1">Calculation!AD306</f>
        <v/>
      </c>
      <c r="I325" s="177" t="str">
        <f ca="1">Calculation!AE306</f>
        <v/>
      </c>
      <c r="J325" s="272" t="str">
        <f ca="1">IF(Calculation!Q306="","Selection",Calculation!Q306)</f>
        <v>Selection</v>
      </c>
      <c r="K325" s="179" t="str">
        <f ca="1">Calculation!T306</f>
        <v/>
      </c>
      <c r="L325" s="180" t="str">
        <f ca="1">Calculation!U306</f>
        <v>-</v>
      </c>
      <c r="M325" s="180" t="str">
        <f ca="1">Calculation!V306</f>
        <v>-</v>
      </c>
      <c r="N325" s="181"/>
      <c r="O325" s="180" t="str">
        <f ca="1">Calculation!X306</f>
        <v>-</v>
      </c>
      <c r="P325" s="180" t="str">
        <f ca="1">Calculation!Y306</f>
        <v>-</v>
      </c>
      <c r="Q325" s="273"/>
      <c r="R325" s="182" t="str">
        <f ca="1">IF(AND(L325&lt;&gt;"-",Q325&lt;&gt;"bypass"),IFERROR(IF((U325*$R$23/0.05)-SUM(S325:U325)&gt;0,(U325*$R$23/0.05)-SUM(S325:U325),0),"-"),Calculation!AH306)</f>
        <v>-</v>
      </c>
      <c r="S325" s="179" t="str">
        <f ca="1">IF(AND(L325&lt;&gt;"-",Q325&lt;&gt;"bypass"),IFERROR(X325*((H325*10^-12-H325*10^-12*I325)/(Calculation!$U$8*10^-9)),"-"),Calculation!AF306)</f>
        <v>-</v>
      </c>
      <c r="T325" s="179" t="str">
        <f ca="1">IF(AND(L325&lt;&gt;"-",Q325&lt;&gt;"bypass"),IFERROR(H325*I325*X325/(IF(Cluster!AA325=Cluster!$W$8,Cluster!$W$10,IF(Cluster!AA325=Cluster!$X$8,Cluster!$X$10,IF(Cluster!AA325=Cluster!$Y$8,Cluster!$Y$10,0)))*10^3),"-"),Calculation!AK306)</f>
        <v>-</v>
      </c>
      <c r="U325" s="179" t="str">
        <f ca="1">IF(AND(L325&lt;&gt;"-",Q325&lt;&gt;"bypass"),IFERROR((0.5/50)*X325/$R$23,"-"),Calculation!AG306)</f>
        <v>-</v>
      </c>
      <c r="V325" s="179" t="str">
        <f ca="1">IF(AND(L325&lt;&gt;"-",Q325&lt;&gt;"bypass"),IFERROR(5/50*X325,"-"),Calculation!AI306)</f>
        <v>-</v>
      </c>
      <c r="W325" s="179" t="str">
        <f ca="1">IF(AND(L325&lt;&gt;"-",Q325&lt;&gt;"bypass"),IFERROR(35/50*X325,"-"),Calculation!AJ306)</f>
        <v>-</v>
      </c>
      <c r="X325" s="179" t="str">
        <f ca="1">IF(AND(L325&lt;&gt;"-",Q325&lt;&gt;"bypass"),$W$23,Calculation!AL306)</f>
        <v>-</v>
      </c>
      <c r="Y325" s="183" t="str">
        <f ca="1">IF(AND(L325&lt;&gt;"-",Q325&lt;&gt;"bypass"),IFERROR($R$23*U325/SUM(R325:U325),"-"),Calculation!AP306)</f>
        <v>-</v>
      </c>
      <c r="Z325" s="184" t="str">
        <f t="shared" ca="1" si="20"/>
        <v>-</v>
      </c>
      <c r="AA325" s="185" t="str">
        <f ca="1">IFERROR(IF(I325=0,"-",IF(AND(ROUND(H325*I325*X325/($W$10*10^3),1)&gt;=Calculation!$O$6,ROUND((((U325)*$R$23/0.05)-((S325)+(H325*I325*X325/($W$10*10^3))+(U325))),1)&gt;=0),Cluster!$W$8,IF(AND(ROUND(H325*I325*X325/($X$10*10^3),1)&gt;=Calculation!$O$6,ROUND((((U325)*$R$23/0.05)-((S325)+(H325*I325*X325/($X$10*10^3))+(U325))),1)&gt;=0),Cluster!$X$8,IF(AND(ROUND(H325*I325*X325/($Y$10*10^3),1)&gt;=Calculation!$O$6,ROUND((((U325)*$R$23/0.05)-((S325)+(H325*I325*X325/($Y$10*10^3))+(U325))),1)&gt;=0),Cluster!$Y$8,"Recepie by hand needed")))),"-")</f>
        <v>-</v>
      </c>
      <c r="AC325" s="37" t="str">
        <f t="shared" ca="1" si="21"/>
        <v>-</v>
      </c>
      <c r="AD325" s="37" t="str">
        <f t="shared" ca="1" si="22"/>
        <v>-</v>
      </c>
      <c r="AE325" s="220" t="str">
        <f t="shared" ca="1" si="23"/>
        <v>-</v>
      </c>
      <c r="AF325" s="37" t="str">
        <f t="shared" ca="1" si="24"/>
        <v>-</v>
      </c>
    </row>
    <row r="326" spans="1:32" ht="14.25" x14ac:dyDescent="0.5">
      <c r="A326" s="170" t="str">
        <f>Calculation!I307</f>
        <v/>
      </c>
      <c r="B326" s="221" t="str">
        <f ca="1">Calculation!B307</f>
        <v/>
      </c>
      <c r="C326" s="221" t="str">
        <f ca="1">Calculation!C307</f>
        <v/>
      </c>
      <c r="D326" s="172" t="str">
        <f ca="1">Calculation!AN307</f>
        <v/>
      </c>
      <c r="E326" s="173" t="str">
        <f ca="1">Calculation!D307</f>
        <v/>
      </c>
      <c r="F326" s="174" t="str">
        <f ca="1">Calculation!C307</f>
        <v/>
      </c>
      <c r="G326" s="175" t="str">
        <f ca="1">Calculation!F307</f>
        <v/>
      </c>
      <c r="H326" s="176" t="str">
        <f ca="1">Calculation!AD307</f>
        <v/>
      </c>
      <c r="I326" s="177" t="str">
        <f ca="1">Calculation!AE307</f>
        <v/>
      </c>
      <c r="J326" s="272" t="str">
        <f ca="1">IF(Calculation!Q307="","Selection",Calculation!Q307)</f>
        <v>Selection</v>
      </c>
      <c r="K326" s="179" t="str">
        <f ca="1">Calculation!T307</f>
        <v/>
      </c>
      <c r="L326" s="180" t="str">
        <f ca="1">Calculation!U307</f>
        <v>-</v>
      </c>
      <c r="M326" s="180" t="str">
        <f ca="1">Calculation!V307</f>
        <v>-</v>
      </c>
      <c r="N326" s="181"/>
      <c r="O326" s="180" t="str">
        <f ca="1">Calculation!X307</f>
        <v>-</v>
      </c>
      <c r="P326" s="180" t="str">
        <f ca="1">Calculation!Y307</f>
        <v>-</v>
      </c>
      <c r="Q326" s="273"/>
      <c r="R326" s="182" t="str">
        <f ca="1">IF(AND(L326&lt;&gt;"-",Q326&lt;&gt;"bypass"),IFERROR(IF((U326*$R$23/0.05)-SUM(S326:U326)&gt;0,(U326*$R$23/0.05)-SUM(S326:U326),0),"-"),Calculation!AH307)</f>
        <v>-</v>
      </c>
      <c r="S326" s="179" t="str">
        <f ca="1">IF(AND(L326&lt;&gt;"-",Q326&lt;&gt;"bypass"),IFERROR(X326*((H326*10^-12-H326*10^-12*I326)/(Calculation!$U$8*10^-9)),"-"),Calculation!AF307)</f>
        <v>-</v>
      </c>
      <c r="T326" s="179" t="str">
        <f ca="1">IF(AND(L326&lt;&gt;"-",Q326&lt;&gt;"bypass"),IFERROR(H326*I326*X326/(IF(Cluster!AA326=Cluster!$W$8,Cluster!$W$10,IF(Cluster!AA326=Cluster!$X$8,Cluster!$X$10,IF(Cluster!AA326=Cluster!$Y$8,Cluster!$Y$10,0)))*10^3),"-"),Calculation!AK307)</f>
        <v>-</v>
      </c>
      <c r="U326" s="179" t="str">
        <f ca="1">IF(AND(L326&lt;&gt;"-",Q326&lt;&gt;"bypass"),IFERROR((0.5/50)*X326/$R$23,"-"),Calculation!AG307)</f>
        <v>-</v>
      </c>
      <c r="V326" s="179" t="str">
        <f ca="1">IF(AND(L326&lt;&gt;"-",Q326&lt;&gt;"bypass"),IFERROR(5/50*X326,"-"),Calculation!AI307)</f>
        <v>-</v>
      </c>
      <c r="W326" s="179" t="str">
        <f ca="1">IF(AND(L326&lt;&gt;"-",Q326&lt;&gt;"bypass"),IFERROR(35/50*X326,"-"),Calculation!AJ307)</f>
        <v>-</v>
      </c>
      <c r="X326" s="179" t="str">
        <f ca="1">IF(AND(L326&lt;&gt;"-",Q326&lt;&gt;"bypass"),$W$23,Calculation!AL307)</f>
        <v>-</v>
      </c>
      <c r="Y326" s="183" t="str">
        <f ca="1">IF(AND(L326&lt;&gt;"-",Q326&lt;&gt;"bypass"),IFERROR($R$23*U326/SUM(R326:U326),"-"),Calculation!AP307)</f>
        <v>-</v>
      </c>
      <c r="Z326" s="184" t="str">
        <f t="shared" ca="1" si="20"/>
        <v>-</v>
      </c>
      <c r="AA326" s="185" t="str">
        <f ca="1">IFERROR(IF(I326=0,"-",IF(AND(ROUND(H326*I326*X326/($W$10*10^3),1)&gt;=Calculation!$O$6,ROUND((((U326)*$R$23/0.05)-((S326)+(H326*I326*X326/($W$10*10^3))+(U326))),1)&gt;=0),Cluster!$W$8,IF(AND(ROUND(H326*I326*X326/($X$10*10^3),1)&gt;=Calculation!$O$6,ROUND((((U326)*$R$23/0.05)-((S326)+(H326*I326*X326/($X$10*10^3))+(U326))),1)&gt;=0),Cluster!$X$8,IF(AND(ROUND(H326*I326*X326/($Y$10*10^3),1)&gt;=Calculation!$O$6,ROUND((((U326)*$R$23/0.05)-((S326)+(H326*I326*X326/($Y$10*10^3))+(U326))),1)&gt;=0),Cluster!$Y$8,"Recepie by hand needed")))),"-")</f>
        <v>-</v>
      </c>
      <c r="AC326" s="37" t="str">
        <f t="shared" ca="1" si="21"/>
        <v>-</v>
      </c>
      <c r="AD326" s="37" t="str">
        <f t="shared" ca="1" si="22"/>
        <v>-</v>
      </c>
      <c r="AE326" s="220" t="str">
        <f t="shared" ca="1" si="23"/>
        <v>-</v>
      </c>
      <c r="AF326" s="37" t="str">
        <f t="shared" ca="1" si="24"/>
        <v>-</v>
      </c>
    </row>
    <row r="327" spans="1:32" ht="14.25" x14ac:dyDescent="0.5">
      <c r="A327" s="170" t="str">
        <f>Calculation!I308</f>
        <v/>
      </c>
      <c r="B327" s="221" t="str">
        <f ca="1">Calculation!B308</f>
        <v/>
      </c>
      <c r="C327" s="221" t="str">
        <f ca="1">Calculation!C308</f>
        <v/>
      </c>
      <c r="D327" s="172" t="str">
        <f ca="1">Calculation!AN308</f>
        <v/>
      </c>
      <c r="E327" s="173" t="str">
        <f ca="1">Calculation!D308</f>
        <v/>
      </c>
      <c r="F327" s="174" t="str">
        <f ca="1">Calculation!C308</f>
        <v/>
      </c>
      <c r="G327" s="175" t="str">
        <f ca="1">Calculation!F308</f>
        <v/>
      </c>
      <c r="H327" s="176" t="str">
        <f ca="1">Calculation!AD308</f>
        <v/>
      </c>
      <c r="I327" s="177" t="str">
        <f ca="1">Calculation!AE308</f>
        <v/>
      </c>
      <c r="J327" s="272" t="str">
        <f ca="1">IF(Calculation!Q308="","Selection",Calculation!Q308)</f>
        <v>Selection</v>
      </c>
      <c r="K327" s="179" t="str">
        <f ca="1">Calculation!T308</f>
        <v/>
      </c>
      <c r="L327" s="180" t="str">
        <f ca="1">Calculation!U308</f>
        <v>-</v>
      </c>
      <c r="M327" s="180" t="str">
        <f ca="1">Calculation!V308</f>
        <v>-</v>
      </c>
      <c r="N327" s="181"/>
      <c r="O327" s="180" t="str">
        <f ca="1">Calculation!X308</f>
        <v>-</v>
      </c>
      <c r="P327" s="180" t="str">
        <f ca="1">Calculation!Y308</f>
        <v>-</v>
      </c>
      <c r="Q327" s="273"/>
      <c r="R327" s="182" t="str">
        <f ca="1">IF(AND(L327&lt;&gt;"-",Q327&lt;&gt;"bypass"),IFERROR(IF((U327*$R$23/0.05)-SUM(S327:U327)&gt;0,(U327*$R$23/0.05)-SUM(S327:U327),0),"-"),Calculation!AH308)</f>
        <v>-</v>
      </c>
      <c r="S327" s="179" t="str">
        <f ca="1">IF(AND(L327&lt;&gt;"-",Q327&lt;&gt;"bypass"),IFERROR(X327*((H327*10^-12-H327*10^-12*I327)/(Calculation!$U$8*10^-9)),"-"),Calculation!AF308)</f>
        <v>-</v>
      </c>
      <c r="T327" s="179" t="str">
        <f ca="1">IF(AND(L327&lt;&gt;"-",Q327&lt;&gt;"bypass"),IFERROR(H327*I327*X327/(IF(Cluster!AA327=Cluster!$W$8,Cluster!$W$10,IF(Cluster!AA327=Cluster!$X$8,Cluster!$X$10,IF(Cluster!AA327=Cluster!$Y$8,Cluster!$Y$10,0)))*10^3),"-"),Calculation!AK308)</f>
        <v>-</v>
      </c>
      <c r="U327" s="179" t="str">
        <f ca="1">IF(AND(L327&lt;&gt;"-",Q327&lt;&gt;"bypass"),IFERROR((0.5/50)*X327/$R$23,"-"),Calculation!AG308)</f>
        <v>-</v>
      </c>
      <c r="V327" s="179" t="str">
        <f ca="1">IF(AND(L327&lt;&gt;"-",Q327&lt;&gt;"bypass"),IFERROR(5/50*X327,"-"),Calculation!AI308)</f>
        <v>-</v>
      </c>
      <c r="W327" s="179" t="str">
        <f ca="1">IF(AND(L327&lt;&gt;"-",Q327&lt;&gt;"bypass"),IFERROR(35/50*X327,"-"),Calculation!AJ308)</f>
        <v>-</v>
      </c>
      <c r="X327" s="179" t="str">
        <f ca="1">IF(AND(L327&lt;&gt;"-",Q327&lt;&gt;"bypass"),$W$23,Calculation!AL308)</f>
        <v>-</v>
      </c>
      <c r="Y327" s="183" t="str">
        <f ca="1">IF(AND(L327&lt;&gt;"-",Q327&lt;&gt;"bypass"),IFERROR($R$23*U327/SUM(R327:U327),"-"),Calculation!AP308)</f>
        <v>-</v>
      </c>
      <c r="Z327" s="184" t="str">
        <f t="shared" ca="1" si="20"/>
        <v>-</v>
      </c>
      <c r="AA327" s="185" t="str">
        <f ca="1">IFERROR(IF(I327=0,"-",IF(AND(ROUND(H327*I327*X327/($W$10*10^3),1)&gt;=Calculation!$O$6,ROUND((((U327)*$R$23/0.05)-((S327)+(H327*I327*X327/($W$10*10^3))+(U327))),1)&gt;=0),Cluster!$W$8,IF(AND(ROUND(H327*I327*X327/($X$10*10^3),1)&gt;=Calculation!$O$6,ROUND((((U327)*$R$23/0.05)-((S327)+(H327*I327*X327/($X$10*10^3))+(U327))),1)&gt;=0),Cluster!$X$8,IF(AND(ROUND(H327*I327*X327/($Y$10*10^3),1)&gt;=Calculation!$O$6,ROUND((((U327)*$R$23/0.05)-((S327)+(H327*I327*X327/($Y$10*10^3))+(U327))),1)&gt;=0),Cluster!$Y$8,"Recepie by hand needed")))),"-")</f>
        <v>-</v>
      </c>
      <c r="AC327" s="37" t="str">
        <f t="shared" ca="1" si="21"/>
        <v>-</v>
      </c>
      <c r="AD327" s="37" t="str">
        <f t="shared" ca="1" si="22"/>
        <v>-</v>
      </c>
      <c r="AE327" s="220" t="str">
        <f t="shared" ca="1" si="23"/>
        <v>-</v>
      </c>
      <c r="AF327" s="37" t="str">
        <f t="shared" ca="1" si="24"/>
        <v>-</v>
      </c>
    </row>
    <row r="328" spans="1:32" ht="14.25" x14ac:dyDescent="0.5">
      <c r="A328" s="170" t="str">
        <f>Calculation!I309</f>
        <v/>
      </c>
      <c r="B328" s="221" t="str">
        <f ca="1">Calculation!B309</f>
        <v/>
      </c>
      <c r="C328" s="221" t="str">
        <f ca="1">Calculation!C309</f>
        <v/>
      </c>
      <c r="D328" s="172" t="str">
        <f ca="1">Calculation!AN309</f>
        <v/>
      </c>
      <c r="E328" s="173" t="str">
        <f ca="1">Calculation!D309</f>
        <v/>
      </c>
      <c r="F328" s="174" t="str">
        <f ca="1">Calculation!C309</f>
        <v/>
      </c>
      <c r="G328" s="175" t="str">
        <f ca="1">Calculation!F309</f>
        <v/>
      </c>
      <c r="H328" s="176" t="str">
        <f ca="1">Calculation!AD309</f>
        <v/>
      </c>
      <c r="I328" s="177" t="str">
        <f ca="1">Calculation!AE309</f>
        <v/>
      </c>
      <c r="J328" s="272" t="str">
        <f ca="1">IF(Calculation!Q309="","Selection",Calculation!Q309)</f>
        <v>Selection</v>
      </c>
      <c r="K328" s="179" t="str">
        <f ca="1">Calculation!T309</f>
        <v/>
      </c>
      <c r="L328" s="180" t="str">
        <f ca="1">Calculation!U309</f>
        <v>-</v>
      </c>
      <c r="M328" s="180" t="str">
        <f ca="1">Calculation!V309</f>
        <v>-</v>
      </c>
      <c r="N328" s="181"/>
      <c r="O328" s="180" t="str">
        <f ca="1">Calculation!X309</f>
        <v>-</v>
      </c>
      <c r="P328" s="180" t="str">
        <f ca="1">Calculation!Y309</f>
        <v>-</v>
      </c>
      <c r="Q328" s="273"/>
      <c r="R328" s="182" t="str">
        <f ca="1">IF(AND(L328&lt;&gt;"-",Q328&lt;&gt;"bypass"),IFERROR(IF((U328*$R$23/0.05)-SUM(S328:U328)&gt;0,(U328*$R$23/0.05)-SUM(S328:U328),0),"-"),Calculation!AH309)</f>
        <v>-</v>
      </c>
      <c r="S328" s="179" t="str">
        <f ca="1">IF(AND(L328&lt;&gt;"-",Q328&lt;&gt;"bypass"),IFERROR(X328*((H328*10^-12-H328*10^-12*I328)/(Calculation!$U$8*10^-9)),"-"),Calculation!AF309)</f>
        <v>-</v>
      </c>
      <c r="T328" s="179" t="str">
        <f ca="1">IF(AND(L328&lt;&gt;"-",Q328&lt;&gt;"bypass"),IFERROR(H328*I328*X328/(IF(Cluster!AA328=Cluster!$W$8,Cluster!$W$10,IF(Cluster!AA328=Cluster!$X$8,Cluster!$X$10,IF(Cluster!AA328=Cluster!$Y$8,Cluster!$Y$10,0)))*10^3),"-"),Calculation!AK309)</f>
        <v>-</v>
      </c>
      <c r="U328" s="179" t="str">
        <f ca="1">IF(AND(L328&lt;&gt;"-",Q328&lt;&gt;"bypass"),IFERROR((0.5/50)*X328/$R$23,"-"),Calculation!AG309)</f>
        <v>-</v>
      </c>
      <c r="V328" s="179" t="str">
        <f ca="1">IF(AND(L328&lt;&gt;"-",Q328&lt;&gt;"bypass"),IFERROR(5/50*X328,"-"),Calculation!AI309)</f>
        <v>-</v>
      </c>
      <c r="W328" s="179" t="str">
        <f ca="1">IF(AND(L328&lt;&gt;"-",Q328&lt;&gt;"bypass"),IFERROR(35/50*X328,"-"),Calculation!AJ309)</f>
        <v>-</v>
      </c>
      <c r="X328" s="179" t="str">
        <f ca="1">IF(AND(L328&lt;&gt;"-",Q328&lt;&gt;"bypass"),$W$23,Calculation!AL309)</f>
        <v>-</v>
      </c>
      <c r="Y328" s="183" t="str">
        <f ca="1">IF(AND(L328&lt;&gt;"-",Q328&lt;&gt;"bypass"),IFERROR($R$23*U328/SUM(R328:U328),"-"),Calculation!AP309)</f>
        <v>-</v>
      </c>
      <c r="Z328" s="184" t="str">
        <f t="shared" ca="1" si="20"/>
        <v>-</v>
      </c>
      <c r="AA328" s="185" t="str">
        <f ca="1">IFERROR(IF(I328=0,"-",IF(AND(ROUND(H328*I328*X328/($W$10*10^3),1)&gt;=Calculation!$O$6,ROUND((((U328)*$R$23/0.05)-((S328)+(H328*I328*X328/($W$10*10^3))+(U328))),1)&gt;=0),Cluster!$W$8,IF(AND(ROUND(H328*I328*X328/($X$10*10^3),1)&gt;=Calculation!$O$6,ROUND((((U328)*$R$23/0.05)-((S328)+(H328*I328*X328/($X$10*10^3))+(U328))),1)&gt;=0),Cluster!$X$8,IF(AND(ROUND(H328*I328*X328/($Y$10*10^3),1)&gt;=Calculation!$O$6,ROUND((((U328)*$R$23/0.05)-((S328)+(H328*I328*X328/($Y$10*10^3))+(U328))),1)&gt;=0),Cluster!$Y$8,"Recepie by hand needed")))),"-")</f>
        <v>-</v>
      </c>
      <c r="AC328" s="37" t="str">
        <f t="shared" ca="1" si="21"/>
        <v>-</v>
      </c>
      <c r="AD328" s="37" t="str">
        <f t="shared" ca="1" si="22"/>
        <v>-</v>
      </c>
      <c r="AE328" s="220" t="str">
        <f t="shared" ca="1" si="23"/>
        <v>-</v>
      </c>
      <c r="AF328" s="37" t="str">
        <f t="shared" ca="1" si="24"/>
        <v>-</v>
      </c>
    </row>
    <row r="329" spans="1:32" ht="14.25" x14ac:dyDescent="0.5">
      <c r="A329" s="170" t="str">
        <f>Calculation!I310</f>
        <v/>
      </c>
      <c r="B329" s="221" t="str">
        <f ca="1">Calculation!B310</f>
        <v/>
      </c>
      <c r="C329" s="221" t="str">
        <f ca="1">Calculation!C310</f>
        <v/>
      </c>
      <c r="D329" s="172" t="str">
        <f ca="1">Calculation!AN310</f>
        <v/>
      </c>
      <c r="E329" s="173" t="str">
        <f ca="1">Calculation!D310</f>
        <v/>
      </c>
      <c r="F329" s="174" t="str">
        <f ca="1">Calculation!C310</f>
        <v/>
      </c>
      <c r="G329" s="175" t="str">
        <f ca="1">Calculation!F310</f>
        <v/>
      </c>
      <c r="H329" s="176" t="str">
        <f ca="1">Calculation!AD310</f>
        <v/>
      </c>
      <c r="I329" s="177" t="str">
        <f ca="1">Calculation!AE310</f>
        <v/>
      </c>
      <c r="J329" s="272" t="str">
        <f ca="1">IF(Calculation!Q310="","Selection",Calculation!Q310)</f>
        <v>Selection</v>
      </c>
      <c r="K329" s="179" t="str">
        <f ca="1">Calculation!T310</f>
        <v/>
      </c>
      <c r="L329" s="180" t="str">
        <f ca="1">Calculation!U310</f>
        <v>-</v>
      </c>
      <c r="M329" s="180" t="str">
        <f ca="1">Calculation!V310</f>
        <v>-</v>
      </c>
      <c r="N329" s="181"/>
      <c r="O329" s="180" t="str">
        <f ca="1">Calculation!X310</f>
        <v>-</v>
      </c>
      <c r="P329" s="180" t="str">
        <f ca="1">Calculation!Y310</f>
        <v>-</v>
      </c>
      <c r="Q329" s="273"/>
      <c r="R329" s="182" t="str">
        <f ca="1">IF(AND(L329&lt;&gt;"-",Q329&lt;&gt;"bypass"),IFERROR(IF((U329*$R$23/0.05)-SUM(S329:U329)&gt;0,(U329*$R$23/0.05)-SUM(S329:U329),0),"-"),Calculation!AH310)</f>
        <v>-</v>
      </c>
      <c r="S329" s="179" t="str">
        <f ca="1">IF(AND(L329&lt;&gt;"-",Q329&lt;&gt;"bypass"),IFERROR(X329*((H329*10^-12-H329*10^-12*I329)/(Calculation!$U$8*10^-9)),"-"),Calculation!AF310)</f>
        <v>-</v>
      </c>
      <c r="T329" s="179" t="str">
        <f ca="1">IF(AND(L329&lt;&gt;"-",Q329&lt;&gt;"bypass"),IFERROR(H329*I329*X329/(IF(Cluster!AA329=Cluster!$W$8,Cluster!$W$10,IF(Cluster!AA329=Cluster!$X$8,Cluster!$X$10,IF(Cluster!AA329=Cluster!$Y$8,Cluster!$Y$10,0)))*10^3),"-"),Calculation!AK310)</f>
        <v>-</v>
      </c>
      <c r="U329" s="179" t="str">
        <f ca="1">IF(AND(L329&lt;&gt;"-",Q329&lt;&gt;"bypass"),IFERROR((0.5/50)*X329/$R$23,"-"),Calculation!AG310)</f>
        <v>-</v>
      </c>
      <c r="V329" s="179" t="str">
        <f ca="1">IF(AND(L329&lt;&gt;"-",Q329&lt;&gt;"bypass"),IFERROR(5/50*X329,"-"),Calculation!AI310)</f>
        <v>-</v>
      </c>
      <c r="W329" s="179" t="str">
        <f ca="1">IF(AND(L329&lt;&gt;"-",Q329&lt;&gt;"bypass"),IFERROR(35/50*X329,"-"),Calculation!AJ310)</f>
        <v>-</v>
      </c>
      <c r="X329" s="179" t="str">
        <f ca="1">IF(AND(L329&lt;&gt;"-",Q329&lt;&gt;"bypass"),$W$23,Calculation!AL310)</f>
        <v>-</v>
      </c>
      <c r="Y329" s="183" t="str">
        <f ca="1">IF(AND(L329&lt;&gt;"-",Q329&lt;&gt;"bypass"),IFERROR($R$23*U329/SUM(R329:U329),"-"),Calculation!AP310)</f>
        <v>-</v>
      </c>
      <c r="Z329" s="184" t="str">
        <f t="shared" ca="1" si="20"/>
        <v>-</v>
      </c>
      <c r="AA329" s="185" t="str">
        <f ca="1">IFERROR(IF(I329=0,"-",IF(AND(ROUND(H329*I329*X329/($W$10*10^3),1)&gt;=Calculation!$O$6,ROUND((((U329)*$R$23/0.05)-((S329)+(H329*I329*X329/($W$10*10^3))+(U329))),1)&gt;=0),Cluster!$W$8,IF(AND(ROUND(H329*I329*X329/($X$10*10^3),1)&gt;=Calculation!$O$6,ROUND((((U329)*$R$23/0.05)-((S329)+(H329*I329*X329/($X$10*10^3))+(U329))),1)&gt;=0),Cluster!$X$8,IF(AND(ROUND(H329*I329*X329/($Y$10*10^3),1)&gt;=Calculation!$O$6,ROUND((((U329)*$R$23/0.05)-((S329)+(H329*I329*X329/($Y$10*10^3))+(U329))),1)&gt;=0),Cluster!$Y$8,"Recepie by hand needed")))),"-")</f>
        <v>-</v>
      </c>
      <c r="AC329" s="37" t="str">
        <f t="shared" ca="1" si="21"/>
        <v>-</v>
      </c>
      <c r="AD329" s="37" t="str">
        <f t="shared" ca="1" si="22"/>
        <v>-</v>
      </c>
      <c r="AE329" s="220" t="str">
        <f t="shared" ca="1" si="23"/>
        <v>-</v>
      </c>
      <c r="AF329" s="37" t="str">
        <f t="shared" ca="1" si="24"/>
        <v>-</v>
      </c>
    </row>
    <row r="330" spans="1:32" ht="14.25" x14ac:dyDescent="0.5">
      <c r="A330" s="170" t="str">
        <f>Calculation!I311</f>
        <v/>
      </c>
      <c r="B330" s="221" t="str">
        <f ca="1">Calculation!B311</f>
        <v/>
      </c>
      <c r="C330" s="221" t="str">
        <f ca="1">Calculation!C311</f>
        <v/>
      </c>
      <c r="D330" s="172" t="str">
        <f ca="1">Calculation!AN311</f>
        <v/>
      </c>
      <c r="E330" s="173" t="str">
        <f ca="1">Calculation!D311</f>
        <v/>
      </c>
      <c r="F330" s="174" t="str">
        <f ca="1">Calculation!C311</f>
        <v/>
      </c>
      <c r="G330" s="175" t="str">
        <f ca="1">Calculation!F311</f>
        <v/>
      </c>
      <c r="H330" s="176" t="str">
        <f ca="1">Calculation!AD311</f>
        <v/>
      </c>
      <c r="I330" s="177" t="str">
        <f ca="1">Calculation!AE311</f>
        <v/>
      </c>
      <c r="J330" s="272" t="str">
        <f ca="1">IF(Calculation!Q311="","Selection",Calculation!Q311)</f>
        <v>Selection</v>
      </c>
      <c r="K330" s="179" t="str">
        <f ca="1">Calculation!T311</f>
        <v/>
      </c>
      <c r="L330" s="180" t="str">
        <f ca="1">Calculation!U311</f>
        <v>-</v>
      </c>
      <c r="M330" s="180" t="str">
        <f ca="1">Calculation!V311</f>
        <v>-</v>
      </c>
      <c r="N330" s="181"/>
      <c r="O330" s="180" t="str">
        <f ca="1">Calculation!X311</f>
        <v>-</v>
      </c>
      <c r="P330" s="180" t="str">
        <f ca="1">Calculation!Y311</f>
        <v>-</v>
      </c>
      <c r="Q330" s="273"/>
      <c r="R330" s="182" t="str">
        <f ca="1">IF(AND(L330&lt;&gt;"-",Q330&lt;&gt;"bypass"),IFERROR(IF((U330*$R$23/0.05)-SUM(S330:U330)&gt;0,(U330*$R$23/0.05)-SUM(S330:U330),0),"-"),Calculation!AH311)</f>
        <v>-</v>
      </c>
      <c r="S330" s="179" t="str">
        <f ca="1">IF(AND(L330&lt;&gt;"-",Q330&lt;&gt;"bypass"),IFERROR(X330*((H330*10^-12-H330*10^-12*I330)/(Calculation!$U$8*10^-9)),"-"),Calculation!AF311)</f>
        <v>-</v>
      </c>
      <c r="T330" s="179" t="str">
        <f ca="1">IF(AND(L330&lt;&gt;"-",Q330&lt;&gt;"bypass"),IFERROR(H330*I330*X330/(IF(Cluster!AA330=Cluster!$W$8,Cluster!$W$10,IF(Cluster!AA330=Cluster!$X$8,Cluster!$X$10,IF(Cluster!AA330=Cluster!$Y$8,Cluster!$Y$10,0)))*10^3),"-"),Calculation!AK311)</f>
        <v>-</v>
      </c>
      <c r="U330" s="179" t="str">
        <f ca="1">IF(AND(L330&lt;&gt;"-",Q330&lt;&gt;"bypass"),IFERROR((0.5/50)*X330/$R$23,"-"),Calculation!AG311)</f>
        <v>-</v>
      </c>
      <c r="V330" s="179" t="str">
        <f ca="1">IF(AND(L330&lt;&gt;"-",Q330&lt;&gt;"bypass"),IFERROR(5/50*X330,"-"),Calculation!AI311)</f>
        <v>-</v>
      </c>
      <c r="W330" s="179" t="str">
        <f ca="1">IF(AND(L330&lt;&gt;"-",Q330&lt;&gt;"bypass"),IFERROR(35/50*X330,"-"),Calculation!AJ311)</f>
        <v>-</v>
      </c>
      <c r="X330" s="179" t="str">
        <f ca="1">IF(AND(L330&lt;&gt;"-",Q330&lt;&gt;"bypass"),$W$23,Calculation!AL311)</f>
        <v>-</v>
      </c>
      <c r="Y330" s="183" t="str">
        <f ca="1">IF(AND(L330&lt;&gt;"-",Q330&lt;&gt;"bypass"),IFERROR($R$23*U330/SUM(R330:U330),"-"),Calculation!AP311)</f>
        <v>-</v>
      </c>
      <c r="Z330" s="184" t="str">
        <f t="shared" ca="1" si="20"/>
        <v>-</v>
      </c>
      <c r="AA330" s="185" t="str">
        <f ca="1">IFERROR(IF(I330=0,"-",IF(AND(ROUND(H330*I330*X330/($W$10*10^3),1)&gt;=Calculation!$O$6,ROUND((((U330)*$R$23/0.05)-((S330)+(H330*I330*X330/($W$10*10^3))+(U330))),1)&gt;=0),Cluster!$W$8,IF(AND(ROUND(H330*I330*X330/($X$10*10^3),1)&gt;=Calculation!$O$6,ROUND((((U330)*$R$23/0.05)-((S330)+(H330*I330*X330/($X$10*10^3))+(U330))),1)&gt;=0),Cluster!$X$8,IF(AND(ROUND(H330*I330*X330/($Y$10*10^3),1)&gt;=Calculation!$O$6,ROUND((((U330)*$R$23/0.05)-((S330)+(H330*I330*X330/($Y$10*10^3))+(U330))),1)&gt;=0),Cluster!$Y$8,"Recepie by hand needed")))),"-")</f>
        <v>-</v>
      </c>
      <c r="AC330" s="37" t="str">
        <f t="shared" ca="1" si="21"/>
        <v>-</v>
      </c>
      <c r="AD330" s="37" t="str">
        <f t="shared" ca="1" si="22"/>
        <v>-</v>
      </c>
      <c r="AE330" s="220" t="str">
        <f t="shared" ca="1" si="23"/>
        <v>-</v>
      </c>
      <c r="AF330" s="37" t="str">
        <f t="shared" ca="1" si="24"/>
        <v>-</v>
      </c>
    </row>
    <row r="331" spans="1:32" ht="14.25" x14ac:dyDescent="0.5">
      <c r="A331" s="170" t="str">
        <f>Calculation!I312</f>
        <v/>
      </c>
      <c r="B331" s="221" t="str">
        <f ca="1">Calculation!B312</f>
        <v/>
      </c>
      <c r="C331" s="221" t="str">
        <f ca="1">Calculation!C312</f>
        <v/>
      </c>
      <c r="D331" s="172" t="str">
        <f ca="1">Calculation!AN312</f>
        <v/>
      </c>
      <c r="E331" s="173" t="str">
        <f ca="1">Calculation!D312</f>
        <v/>
      </c>
      <c r="F331" s="174" t="str">
        <f ca="1">Calculation!C312</f>
        <v/>
      </c>
      <c r="G331" s="175" t="str">
        <f ca="1">Calculation!F312</f>
        <v/>
      </c>
      <c r="H331" s="176" t="str">
        <f ca="1">Calculation!AD312</f>
        <v/>
      </c>
      <c r="I331" s="177" t="str">
        <f ca="1">Calculation!AE312</f>
        <v/>
      </c>
      <c r="J331" s="272" t="str">
        <f ca="1">IF(Calculation!Q312="","Selection",Calculation!Q312)</f>
        <v>Selection</v>
      </c>
      <c r="K331" s="179" t="str">
        <f ca="1">Calculation!T312</f>
        <v/>
      </c>
      <c r="L331" s="180" t="str">
        <f ca="1">Calculation!U312</f>
        <v>-</v>
      </c>
      <c r="M331" s="180" t="str">
        <f ca="1">Calculation!V312</f>
        <v>-</v>
      </c>
      <c r="N331" s="181"/>
      <c r="O331" s="180" t="str">
        <f ca="1">Calculation!X312</f>
        <v>-</v>
      </c>
      <c r="P331" s="180" t="str">
        <f ca="1">Calculation!Y312</f>
        <v>-</v>
      </c>
      <c r="Q331" s="273"/>
      <c r="R331" s="182" t="str">
        <f ca="1">IF(AND(L331&lt;&gt;"-",Q331&lt;&gt;"bypass"),IFERROR(IF((U331*$R$23/0.05)-SUM(S331:U331)&gt;0,(U331*$R$23/0.05)-SUM(S331:U331),0),"-"),Calculation!AH312)</f>
        <v>-</v>
      </c>
      <c r="S331" s="179" t="str">
        <f ca="1">IF(AND(L331&lt;&gt;"-",Q331&lt;&gt;"bypass"),IFERROR(X331*((H331*10^-12-H331*10^-12*I331)/(Calculation!$U$8*10^-9)),"-"),Calculation!AF312)</f>
        <v>-</v>
      </c>
      <c r="T331" s="179" t="str">
        <f ca="1">IF(AND(L331&lt;&gt;"-",Q331&lt;&gt;"bypass"),IFERROR(H331*I331*X331/(IF(Cluster!AA331=Cluster!$W$8,Cluster!$W$10,IF(Cluster!AA331=Cluster!$X$8,Cluster!$X$10,IF(Cluster!AA331=Cluster!$Y$8,Cluster!$Y$10,0)))*10^3),"-"),Calculation!AK312)</f>
        <v>-</v>
      </c>
      <c r="U331" s="179" t="str">
        <f ca="1">IF(AND(L331&lt;&gt;"-",Q331&lt;&gt;"bypass"),IFERROR((0.5/50)*X331/$R$23,"-"),Calculation!AG312)</f>
        <v>-</v>
      </c>
      <c r="V331" s="179" t="str">
        <f ca="1">IF(AND(L331&lt;&gt;"-",Q331&lt;&gt;"bypass"),IFERROR(5/50*X331,"-"),Calculation!AI312)</f>
        <v>-</v>
      </c>
      <c r="W331" s="179" t="str">
        <f ca="1">IF(AND(L331&lt;&gt;"-",Q331&lt;&gt;"bypass"),IFERROR(35/50*X331,"-"),Calculation!AJ312)</f>
        <v>-</v>
      </c>
      <c r="X331" s="179" t="str">
        <f ca="1">IF(AND(L331&lt;&gt;"-",Q331&lt;&gt;"bypass"),$W$23,Calculation!AL312)</f>
        <v>-</v>
      </c>
      <c r="Y331" s="183" t="str">
        <f ca="1">IF(AND(L331&lt;&gt;"-",Q331&lt;&gt;"bypass"),IFERROR($R$23*U331/SUM(R331:U331),"-"),Calculation!AP312)</f>
        <v>-</v>
      </c>
      <c r="Z331" s="184" t="str">
        <f t="shared" ca="1" si="20"/>
        <v>-</v>
      </c>
      <c r="AA331" s="185" t="str">
        <f ca="1">IFERROR(IF(I331=0,"-",IF(AND(ROUND(H331*I331*X331/($W$10*10^3),1)&gt;=Calculation!$O$6,ROUND((((U331)*$R$23/0.05)-((S331)+(H331*I331*X331/($W$10*10^3))+(U331))),1)&gt;=0),Cluster!$W$8,IF(AND(ROUND(H331*I331*X331/($X$10*10^3),1)&gt;=Calculation!$O$6,ROUND((((U331)*$R$23/0.05)-((S331)+(H331*I331*X331/($X$10*10^3))+(U331))),1)&gt;=0),Cluster!$X$8,IF(AND(ROUND(H331*I331*X331/($Y$10*10^3),1)&gt;=Calculation!$O$6,ROUND((((U331)*$R$23/0.05)-((S331)+(H331*I331*X331/($Y$10*10^3))+(U331))),1)&gt;=0),Cluster!$Y$8,"Recepie by hand needed")))),"-")</f>
        <v>-</v>
      </c>
      <c r="AC331" s="37" t="str">
        <f t="shared" ca="1" si="21"/>
        <v>-</v>
      </c>
      <c r="AD331" s="37" t="str">
        <f t="shared" ca="1" si="22"/>
        <v>-</v>
      </c>
      <c r="AE331" s="220" t="str">
        <f t="shared" ca="1" si="23"/>
        <v>-</v>
      </c>
      <c r="AF331" s="37" t="str">
        <f t="shared" ca="1" si="24"/>
        <v>-</v>
      </c>
    </row>
    <row r="332" spans="1:32" ht="14.25" x14ac:dyDescent="0.5">
      <c r="A332" s="170" t="str">
        <f>Calculation!I313</f>
        <v/>
      </c>
      <c r="B332" s="221" t="str">
        <f ca="1">Calculation!B313</f>
        <v/>
      </c>
      <c r="C332" s="221" t="str">
        <f ca="1">Calculation!C313</f>
        <v/>
      </c>
      <c r="D332" s="172" t="str">
        <f ca="1">Calculation!AN313</f>
        <v/>
      </c>
      <c r="E332" s="173" t="str">
        <f ca="1">Calculation!D313</f>
        <v/>
      </c>
      <c r="F332" s="174" t="str">
        <f ca="1">Calculation!C313</f>
        <v/>
      </c>
      <c r="G332" s="175" t="str">
        <f ca="1">Calculation!F313</f>
        <v/>
      </c>
      <c r="H332" s="176" t="str">
        <f ca="1">Calculation!AD313</f>
        <v/>
      </c>
      <c r="I332" s="177" t="str">
        <f ca="1">Calculation!AE313</f>
        <v/>
      </c>
      <c r="J332" s="272" t="str">
        <f ca="1">IF(Calculation!Q313="","Selection",Calculation!Q313)</f>
        <v>Selection</v>
      </c>
      <c r="K332" s="179" t="str">
        <f ca="1">Calculation!T313</f>
        <v/>
      </c>
      <c r="L332" s="180" t="str">
        <f ca="1">Calculation!U313</f>
        <v>-</v>
      </c>
      <c r="M332" s="180" t="str">
        <f ca="1">Calculation!V313</f>
        <v>-</v>
      </c>
      <c r="N332" s="181"/>
      <c r="O332" s="180" t="str">
        <f ca="1">Calculation!X313</f>
        <v>-</v>
      </c>
      <c r="P332" s="180" t="str">
        <f ca="1">Calculation!Y313</f>
        <v>-</v>
      </c>
      <c r="Q332" s="273"/>
      <c r="R332" s="182" t="str">
        <f ca="1">IF(AND(L332&lt;&gt;"-",Q332&lt;&gt;"bypass"),IFERROR(IF((U332*$R$23/0.05)-SUM(S332:U332)&gt;0,(U332*$R$23/0.05)-SUM(S332:U332),0),"-"),Calculation!AH313)</f>
        <v>-</v>
      </c>
      <c r="S332" s="179" t="str">
        <f ca="1">IF(AND(L332&lt;&gt;"-",Q332&lt;&gt;"bypass"),IFERROR(X332*((H332*10^-12-H332*10^-12*I332)/(Calculation!$U$8*10^-9)),"-"),Calculation!AF313)</f>
        <v>-</v>
      </c>
      <c r="T332" s="179" t="str">
        <f ca="1">IF(AND(L332&lt;&gt;"-",Q332&lt;&gt;"bypass"),IFERROR(H332*I332*X332/(IF(Cluster!AA332=Cluster!$W$8,Cluster!$W$10,IF(Cluster!AA332=Cluster!$X$8,Cluster!$X$10,IF(Cluster!AA332=Cluster!$Y$8,Cluster!$Y$10,0)))*10^3),"-"),Calculation!AK313)</f>
        <v>-</v>
      </c>
      <c r="U332" s="179" t="str">
        <f ca="1">IF(AND(L332&lt;&gt;"-",Q332&lt;&gt;"bypass"),IFERROR((0.5/50)*X332/$R$23,"-"),Calculation!AG313)</f>
        <v>-</v>
      </c>
      <c r="V332" s="179" t="str">
        <f ca="1">IF(AND(L332&lt;&gt;"-",Q332&lt;&gt;"bypass"),IFERROR(5/50*X332,"-"),Calculation!AI313)</f>
        <v>-</v>
      </c>
      <c r="W332" s="179" t="str">
        <f ca="1">IF(AND(L332&lt;&gt;"-",Q332&lt;&gt;"bypass"),IFERROR(35/50*X332,"-"),Calculation!AJ313)</f>
        <v>-</v>
      </c>
      <c r="X332" s="179" t="str">
        <f ca="1">IF(AND(L332&lt;&gt;"-",Q332&lt;&gt;"bypass"),$W$23,Calculation!AL313)</f>
        <v>-</v>
      </c>
      <c r="Y332" s="183" t="str">
        <f ca="1">IF(AND(L332&lt;&gt;"-",Q332&lt;&gt;"bypass"),IFERROR($R$23*U332/SUM(R332:U332),"-"),Calculation!AP313)</f>
        <v>-</v>
      </c>
      <c r="Z332" s="184" t="str">
        <f t="shared" ca="1" si="20"/>
        <v>-</v>
      </c>
      <c r="AA332" s="185" t="str">
        <f ca="1">IFERROR(IF(I332=0,"-",IF(AND(ROUND(H332*I332*X332/($W$10*10^3),1)&gt;=Calculation!$O$6,ROUND((((U332)*$R$23/0.05)-((S332)+(H332*I332*X332/($W$10*10^3))+(U332))),1)&gt;=0),Cluster!$W$8,IF(AND(ROUND(H332*I332*X332/($X$10*10^3),1)&gt;=Calculation!$O$6,ROUND((((U332)*$R$23/0.05)-((S332)+(H332*I332*X332/($X$10*10^3))+(U332))),1)&gt;=0),Cluster!$X$8,IF(AND(ROUND(H332*I332*X332/($Y$10*10^3),1)&gt;=Calculation!$O$6,ROUND((((U332)*$R$23/0.05)-((S332)+(H332*I332*X332/($Y$10*10^3))+(U332))),1)&gt;=0),Cluster!$Y$8,"Recepie by hand needed")))),"-")</f>
        <v>-</v>
      </c>
      <c r="AC332" s="37" t="str">
        <f t="shared" ca="1" si="21"/>
        <v>-</v>
      </c>
      <c r="AD332" s="37" t="str">
        <f t="shared" ca="1" si="22"/>
        <v>-</v>
      </c>
      <c r="AE332" s="220" t="str">
        <f t="shared" ca="1" si="23"/>
        <v>-</v>
      </c>
      <c r="AF332" s="37" t="str">
        <f t="shared" ca="1" si="24"/>
        <v>-</v>
      </c>
    </row>
    <row r="333" spans="1:32" ht="14.25" x14ac:dyDescent="0.5">
      <c r="A333" s="170" t="str">
        <f>Calculation!I314</f>
        <v/>
      </c>
      <c r="B333" s="221" t="str">
        <f ca="1">Calculation!B314</f>
        <v/>
      </c>
      <c r="C333" s="221" t="str">
        <f ca="1">Calculation!C314</f>
        <v/>
      </c>
      <c r="D333" s="172" t="str">
        <f ca="1">Calculation!AN314</f>
        <v/>
      </c>
      <c r="E333" s="173" t="str">
        <f ca="1">Calculation!D314</f>
        <v/>
      </c>
      <c r="F333" s="174" t="str">
        <f ca="1">Calculation!C314</f>
        <v/>
      </c>
      <c r="G333" s="175" t="str">
        <f ca="1">Calculation!F314</f>
        <v/>
      </c>
      <c r="H333" s="176" t="str">
        <f ca="1">Calculation!AD314</f>
        <v/>
      </c>
      <c r="I333" s="177" t="str">
        <f ca="1">Calculation!AE314</f>
        <v/>
      </c>
      <c r="J333" s="272" t="str">
        <f ca="1">IF(Calculation!Q314="","Selection",Calculation!Q314)</f>
        <v>Selection</v>
      </c>
      <c r="K333" s="179" t="str">
        <f ca="1">Calculation!T314</f>
        <v/>
      </c>
      <c r="L333" s="180" t="str">
        <f ca="1">Calculation!U314</f>
        <v>-</v>
      </c>
      <c r="M333" s="180" t="str">
        <f ca="1">Calculation!V314</f>
        <v>-</v>
      </c>
      <c r="N333" s="181"/>
      <c r="O333" s="180" t="str">
        <f ca="1">Calculation!X314</f>
        <v>-</v>
      </c>
      <c r="P333" s="180" t="str">
        <f ca="1">Calculation!Y314</f>
        <v>-</v>
      </c>
      <c r="Q333" s="273"/>
      <c r="R333" s="182" t="str">
        <f ca="1">IF(AND(L333&lt;&gt;"-",Q333&lt;&gt;"bypass"),IFERROR(IF((U333*$R$23/0.05)-SUM(S333:U333)&gt;0,(U333*$R$23/0.05)-SUM(S333:U333),0),"-"),Calculation!AH314)</f>
        <v>-</v>
      </c>
      <c r="S333" s="179" t="str">
        <f ca="1">IF(AND(L333&lt;&gt;"-",Q333&lt;&gt;"bypass"),IFERROR(X333*((H333*10^-12-H333*10^-12*I333)/(Calculation!$U$8*10^-9)),"-"),Calculation!AF314)</f>
        <v>-</v>
      </c>
      <c r="T333" s="179" t="str">
        <f ca="1">IF(AND(L333&lt;&gt;"-",Q333&lt;&gt;"bypass"),IFERROR(H333*I333*X333/(IF(Cluster!AA333=Cluster!$W$8,Cluster!$W$10,IF(Cluster!AA333=Cluster!$X$8,Cluster!$X$10,IF(Cluster!AA333=Cluster!$Y$8,Cluster!$Y$10,0)))*10^3),"-"),Calculation!AK314)</f>
        <v>-</v>
      </c>
      <c r="U333" s="179" t="str">
        <f ca="1">IF(AND(L333&lt;&gt;"-",Q333&lt;&gt;"bypass"),IFERROR((0.5/50)*X333/$R$23,"-"),Calculation!AG314)</f>
        <v>-</v>
      </c>
      <c r="V333" s="179" t="str">
        <f ca="1">IF(AND(L333&lt;&gt;"-",Q333&lt;&gt;"bypass"),IFERROR(5/50*X333,"-"),Calculation!AI314)</f>
        <v>-</v>
      </c>
      <c r="W333" s="179" t="str">
        <f ca="1">IF(AND(L333&lt;&gt;"-",Q333&lt;&gt;"bypass"),IFERROR(35/50*X333,"-"),Calculation!AJ314)</f>
        <v>-</v>
      </c>
      <c r="X333" s="179" t="str">
        <f ca="1">IF(AND(L333&lt;&gt;"-",Q333&lt;&gt;"bypass"),$W$23,Calculation!AL314)</f>
        <v>-</v>
      </c>
      <c r="Y333" s="183" t="str">
        <f ca="1">IF(AND(L333&lt;&gt;"-",Q333&lt;&gt;"bypass"),IFERROR($R$23*U333/SUM(R333:U333),"-"),Calculation!AP314)</f>
        <v>-</v>
      </c>
      <c r="Z333" s="184" t="str">
        <f t="shared" ca="1" si="20"/>
        <v>-</v>
      </c>
      <c r="AA333" s="185" t="str">
        <f ca="1">IFERROR(IF(I333=0,"-",IF(AND(ROUND(H333*I333*X333/($W$10*10^3),1)&gt;=Calculation!$O$6,ROUND((((U333)*$R$23/0.05)-((S333)+(H333*I333*X333/($W$10*10^3))+(U333))),1)&gt;=0),Cluster!$W$8,IF(AND(ROUND(H333*I333*X333/($X$10*10^3),1)&gt;=Calculation!$O$6,ROUND((((U333)*$R$23/0.05)-((S333)+(H333*I333*X333/($X$10*10^3))+(U333))),1)&gt;=0),Cluster!$X$8,IF(AND(ROUND(H333*I333*X333/($Y$10*10^3),1)&gt;=Calculation!$O$6,ROUND((((U333)*$R$23/0.05)-((S333)+(H333*I333*X333/($Y$10*10^3))+(U333))),1)&gt;=0),Cluster!$Y$8,"Recepie by hand needed")))),"-")</f>
        <v>-</v>
      </c>
      <c r="AC333" s="37" t="str">
        <f t="shared" ca="1" si="21"/>
        <v>-</v>
      </c>
      <c r="AD333" s="37" t="str">
        <f t="shared" ca="1" si="22"/>
        <v>-</v>
      </c>
      <c r="AE333" s="220" t="str">
        <f t="shared" ca="1" si="23"/>
        <v>-</v>
      </c>
      <c r="AF333" s="37" t="str">
        <f t="shared" ca="1" si="24"/>
        <v>-</v>
      </c>
    </row>
    <row r="334" spans="1:32" ht="14.25" x14ac:dyDescent="0.5">
      <c r="A334" s="170" t="str">
        <f>Calculation!I315</f>
        <v/>
      </c>
      <c r="B334" s="221" t="str">
        <f ca="1">Calculation!B315</f>
        <v/>
      </c>
      <c r="C334" s="221" t="str">
        <f ca="1">Calculation!C315</f>
        <v/>
      </c>
      <c r="D334" s="172" t="str">
        <f ca="1">Calculation!AN315</f>
        <v/>
      </c>
      <c r="E334" s="173" t="str">
        <f ca="1">Calculation!D315</f>
        <v/>
      </c>
      <c r="F334" s="174" t="str">
        <f ca="1">Calculation!C315</f>
        <v/>
      </c>
      <c r="G334" s="175" t="str">
        <f ca="1">Calculation!F315</f>
        <v/>
      </c>
      <c r="H334" s="176" t="str">
        <f ca="1">Calculation!AD315</f>
        <v/>
      </c>
      <c r="I334" s="177" t="str">
        <f ca="1">Calculation!AE315</f>
        <v/>
      </c>
      <c r="J334" s="272" t="str">
        <f ca="1">IF(Calculation!Q315="","Selection",Calculation!Q315)</f>
        <v>Selection</v>
      </c>
      <c r="K334" s="179" t="str">
        <f ca="1">Calculation!T315</f>
        <v/>
      </c>
      <c r="L334" s="180" t="str">
        <f ca="1">Calculation!U315</f>
        <v>-</v>
      </c>
      <c r="M334" s="180" t="str">
        <f ca="1">Calculation!V315</f>
        <v>-</v>
      </c>
      <c r="N334" s="181"/>
      <c r="O334" s="180" t="str">
        <f ca="1">Calculation!X315</f>
        <v>-</v>
      </c>
      <c r="P334" s="180" t="str">
        <f ca="1">Calculation!Y315</f>
        <v>-</v>
      </c>
      <c r="Q334" s="273"/>
      <c r="R334" s="182" t="str">
        <f ca="1">IF(AND(L334&lt;&gt;"-",Q334&lt;&gt;"bypass"),IFERROR(IF((U334*$R$23/0.05)-SUM(S334:U334)&gt;0,(U334*$R$23/0.05)-SUM(S334:U334),0),"-"),Calculation!AH315)</f>
        <v>-</v>
      </c>
      <c r="S334" s="179" t="str">
        <f ca="1">IF(AND(L334&lt;&gt;"-",Q334&lt;&gt;"bypass"),IFERROR(X334*((H334*10^-12-H334*10^-12*I334)/(Calculation!$U$8*10^-9)),"-"),Calculation!AF315)</f>
        <v>-</v>
      </c>
      <c r="T334" s="179" t="str">
        <f ca="1">IF(AND(L334&lt;&gt;"-",Q334&lt;&gt;"bypass"),IFERROR(H334*I334*X334/(IF(Cluster!AA334=Cluster!$W$8,Cluster!$W$10,IF(Cluster!AA334=Cluster!$X$8,Cluster!$X$10,IF(Cluster!AA334=Cluster!$Y$8,Cluster!$Y$10,0)))*10^3),"-"),Calculation!AK315)</f>
        <v>-</v>
      </c>
      <c r="U334" s="179" t="str">
        <f ca="1">IF(AND(L334&lt;&gt;"-",Q334&lt;&gt;"bypass"),IFERROR((0.5/50)*X334/$R$23,"-"),Calculation!AG315)</f>
        <v>-</v>
      </c>
      <c r="V334" s="179" t="str">
        <f ca="1">IF(AND(L334&lt;&gt;"-",Q334&lt;&gt;"bypass"),IFERROR(5/50*X334,"-"),Calculation!AI315)</f>
        <v>-</v>
      </c>
      <c r="W334" s="179" t="str">
        <f ca="1">IF(AND(L334&lt;&gt;"-",Q334&lt;&gt;"bypass"),IFERROR(35/50*X334,"-"),Calculation!AJ315)</f>
        <v>-</v>
      </c>
      <c r="X334" s="179" t="str">
        <f ca="1">IF(AND(L334&lt;&gt;"-",Q334&lt;&gt;"bypass"),$W$23,Calculation!AL315)</f>
        <v>-</v>
      </c>
      <c r="Y334" s="183" t="str">
        <f ca="1">IF(AND(L334&lt;&gt;"-",Q334&lt;&gt;"bypass"),IFERROR($R$23*U334/SUM(R334:U334),"-"),Calculation!AP315)</f>
        <v>-</v>
      </c>
      <c r="Z334" s="184" t="str">
        <f t="shared" ca="1" si="20"/>
        <v>-</v>
      </c>
      <c r="AA334" s="185" t="str">
        <f ca="1">IFERROR(IF(I334=0,"-",IF(AND(ROUND(H334*I334*X334/($W$10*10^3),1)&gt;=Calculation!$O$6,ROUND((((U334)*$R$23/0.05)-((S334)+(H334*I334*X334/($W$10*10^3))+(U334))),1)&gt;=0),Cluster!$W$8,IF(AND(ROUND(H334*I334*X334/($X$10*10^3),1)&gt;=Calculation!$O$6,ROUND((((U334)*$R$23/0.05)-((S334)+(H334*I334*X334/($X$10*10^3))+(U334))),1)&gt;=0),Cluster!$X$8,IF(AND(ROUND(H334*I334*X334/($Y$10*10^3),1)&gt;=Calculation!$O$6,ROUND((((U334)*$R$23/0.05)-((S334)+(H334*I334*X334/($Y$10*10^3))+(U334))),1)&gt;=0),Cluster!$Y$8,"Recepie by hand needed")))),"-")</f>
        <v>-</v>
      </c>
      <c r="AC334" s="37" t="str">
        <f t="shared" ca="1" si="21"/>
        <v>-</v>
      </c>
      <c r="AD334" s="37" t="str">
        <f t="shared" ca="1" si="22"/>
        <v>-</v>
      </c>
      <c r="AE334" s="220" t="str">
        <f t="shared" ca="1" si="23"/>
        <v>-</v>
      </c>
      <c r="AF334" s="37" t="str">
        <f t="shared" ca="1" si="24"/>
        <v>-</v>
      </c>
    </row>
    <row r="335" spans="1:32" ht="14.25" x14ac:dyDescent="0.5">
      <c r="A335" s="170" t="str">
        <f>Calculation!I316</f>
        <v/>
      </c>
      <c r="B335" s="221" t="str">
        <f ca="1">Calculation!B316</f>
        <v/>
      </c>
      <c r="C335" s="221" t="str">
        <f ca="1">Calculation!C316</f>
        <v/>
      </c>
      <c r="D335" s="172" t="str">
        <f ca="1">Calculation!AN316</f>
        <v/>
      </c>
      <c r="E335" s="173" t="str">
        <f ca="1">Calculation!D316</f>
        <v/>
      </c>
      <c r="F335" s="174" t="str">
        <f ca="1">Calculation!C316</f>
        <v/>
      </c>
      <c r="G335" s="175" t="str">
        <f ca="1">Calculation!F316</f>
        <v/>
      </c>
      <c r="H335" s="176" t="str">
        <f ca="1">Calculation!AD316</f>
        <v/>
      </c>
      <c r="I335" s="177" t="str">
        <f ca="1">Calculation!AE316</f>
        <v/>
      </c>
      <c r="J335" s="272" t="str">
        <f ca="1">IF(Calculation!Q316="","Selection",Calculation!Q316)</f>
        <v>Selection</v>
      </c>
      <c r="K335" s="179" t="str">
        <f ca="1">Calculation!T316</f>
        <v/>
      </c>
      <c r="L335" s="180" t="str">
        <f ca="1">Calculation!U316</f>
        <v>-</v>
      </c>
      <c r="M335" s="180" t="str">
        <f ca="1">Calculation!V316</f>
        <v>-</v>
      </c>
      <c r="N335" s="181"/>
      <c r="O335" s="180" t="str">
        <f ca="1">Calculation!X316</f>
        <v>-</v>
      </c>
      <c r="P335" s="180" t="str">
        <f ca="1">Calculation!Y316</f>
        <v>-</v>
      </c>
      <c r="Q335" s="273"/>
      <c r="R335" s="182" t="str">
        <f ca="1">IF(AND(L335&lt;&gt;"-",Q335&lt;&gt;"bypass"),IFERROR(IF((U335*$R$23/0.05)-SUM(S335:U335)&gt;0,(U335*$R$23/0.05)-SUM(S335:U335),0),"-"),Calculation!AH316)</f>
        <v>-</v>
      </c>
      <c r="S335" s="179" t="str">
        <f ca="1">IF(AND(L335&lt;&gt;"-",Q335&lt;&gt;"bypass"),IFERROR(X335*((H335*10^-12-H335*10^-12*I335)/(Calculation!$U$8*10^-9)),"-"),Calculation!AF316)</f>
        <v>-</v>
      </c>
      <c r="T335" s="179" t="str">
        <f ca="1">IF(AND(L335&lt;&gt;"-",Q335&lt;&gt;"bypass"),IFERROR(H335*I335*X335/(IF(Cluster!AA335=Cluster!$W$8,Cluster!$W$10,IF(Cluster!AA335=Cluster!$X$8,Cluster!$X$10,IF(Cluster!AA335=Cluster!$Y$8,Cluster!$Y$10,0)))*10^3),"-"),Calculation!AK316)</f>
        <v>-</v>
      </c>
      <c r="U335" s="179" t="str">
        <f ca="1">IF(AND(L335&lt;&gt;"-",Q335&lt;&gt;"bypass"),IFERROR((0.5/50)*X335/$R$23,"-"),Calculation!AG316)</f>
        <v>-</v>
      </c>
      <c r="V335" s="179" t="str">
        <f ca="1">IF(AND(L335&lt;&gt;"-",Q335&lt;&gt;"bypass"),IFERROR(5/50*X335,"-"),Calculation!AI316)</f>
        <v>-</v>
      </c>
      <c r="W335" s="179" t="str">
        <f ca="1">IF(AND(L335&lt;&gt;"-",Q335&lt;&gt;"bypass"),IFERROR(35/50*X335,"-"),Calculation!AJ316)</f>
        <v>-</v>
      </c>
      <c r="X335" s="179" t="str">
        <f ca="1">IF(AND(L335&lt;&gt;"-",Q335&lt;&gt;"bypass"),$W$23,Calculation!AL316)</f>
        <v>-</v>
      </c>
      <c r="Y335" s="183" t="str">
        <f ca="1">IF(AND(L335&lt;&gt;"-",Q335&lt;&gt;"bypass"),IFERROR($R$23*U335/SUM(R335:U335),"-"),Calculation!AP316)</f>
        <v>-</v>
      </c>
      <c r="Z335" s="184" t="str">
        <f t="shared" ca="1" si="20"/>
        <v>-</v>
      </c>
      <c r="AA335" s="185" t="str">
        <f ca="1">IFERROR(IF(I335=0,"-",IF(AND(ROUND(H335*I335*X335/($W$10*10^3),1)&gt;=Calculation!$O$6,ROUND((((U335)*$R$23/0.05)-((S335)+(H335*I335*X335/($W$10*10^3))+(U335))),1)&gt;=0),Cluster!$W$8,IF(AND(ROUND(H335*I335*X335/($X$10*10^3),1)&gt;=Calculation!$O$6,ROUND((((U335)*$R$23/0.05)-((S335)+(H335*I335*X335/($X$10*10^3))+(U335))),1)&gt;=0),Cluster!$X$8,IF(AND(ROUND(H335*I335*X335/($Y$10*10^3),1)&gt;=Calculation!$O$6,ROUND((((U335)*$R$23/0.05)-((S335)+(H335*I335*X335/($Y$10*10^3))+(U335))),1)&gt;=0),Cluster!$Y$8,"Recepie by hand needed")))),"-")</f>
        <v>-</v>
      </c>
      <c r="AC335" s="37" t="str">
        <f t="shared" ca="1" si="21"/>
        <v>-</v>
      </c>
      <c r="AD335" s="37" t="str">
        <f t="shared" ca="1" si="22"/>
        <v>-</v>
      </c>
      <c r="AE335" s="220" t="str">
        <f t="shared" ca="1" si="23"/>
        <v>-</v>
      </c>
      <c r="AF335" s="37" t="str">
        <f t="shared" ca="1" si="24"/>
        <v>-</v>
      </c>
    </row>
    <row r="336" spans="1:32" ht="14.25" x14ac:dyDescent="0.5">
      <c r="A336" s="170" t="str">
        <f>Calculation!I317</f>
        <v/>
      </c>
      <c r="B336" s="221" t="str">
        <f ca="1">Calculation!B317</f>
        <v/>
      </c>
      <c r="C336" s="221" t="str">
        <f ca="1">Calculation!C317</f>
        <v/>
      </c>
      <c r="D336" s="172" t="str">
        <f ca="1">Calculation!AN317</f>
        <v/>
      </c>
      <c r="E336" s="173" t="str">
        <f ca="1">Calculation!D317</f>
        <v/>
      </c>
      <c r="F336" s="174" t="str">
        <f ca="1">Calculation!C317</f>
        <v/>
      </c>
      <c r="G336" s="175" t="str">
        <f ca="1">Calculation!F317</f>
        <v/>
      </c>
      <c r="H336" s="176" t="str">
        <f ca="1">Calculation!AD317</f>
        <v/>
      </c>
      <c r="I336" s="177" t="str">
        <f ca="1">Calculation!AE317</f>
        <v/>
      </c>
      <c r="J336" s="272" t="str">
        <f ca="1">IF(Calculation!Q317="","Selection",Calculation!Q317)</f>
        <v>Selection</v>
      </c>
      <c r="K336" s="179" t="str">
        <f ca="1">Calculation!T317</f>
        <v/>
      </c>
      <c r="L336" s="180" t="str">
        <f ca="1">Calculation!U317</f>
        <v>-</v>
      </c>
      <c r="M336" s="180" t="str">
        <f ca="1">Calculation!V317</f>
        <v>-</v>
      </c>
      <c r="N336" s="181"/>
      <c r="O336" s="180" t="str">
        <f ca="1">Calculation!X317</f>
        <v>-</v>
      </c>
      <c r="P336" s="180" t="str">
        <f ca="1">Calculation!Y317</f>
        <v>-</v>
      </c>
      <c r="Q336" s="273"/>
      <c r="R336" s="182" t="str">
        <f ca="1">IF(AND(L336&lt;&gt;"-",Q336&lt;&gt;"bypass"),IFERROR(IF((U336*$R$23/0.05)-SUM(S336:U336)&gt;0,(U336*$R$23/0.05)-SUM(S336:U336),0),"-"),Calculation!AH317)</f>
        <v>-</v>
      </c>
      <c r="S336" s="179" t="str">
        <f ca="1">IF(AND(L336&lt;&gt;"-",Q336&lt;&gt;"bypass"),IFERROR(X336*((H336*10^-12-H336*10^-12*I336)/(Calculation!$U$8*10^-9)),"-"),Calculation!AF317)</f>
        <v>-</v>
      </c>
      <c r="T336" s="179" t="str">
        <f ca="1">IF(AND(L336&lt;&gt;"-",Q336&lt;&gt;"bypass"),IFERROR(H336*I336*X336/(IF(Cluster!AA336=Cluster!$W$8,Cluster!$W$10,IF(Cluster!AA336=Cluster!$X$8,Cluster!$X$10,IF(Cluster!AA336=Cluster!$Y$8,Cluster!$Y$10,0)))*10^3),"-"),Calculation!AK317)</f>
        <v>-</v>
      </c>
      <c r="U336" s="179" t="str">
        <f ca="1">IF(AND(L336&lt;&gt;"-",Q336&lt;&gt;"bypass"),IFERROR((0.5/50)*X336/$R$23,"-"),Calculation!AG317)</f>
        <v>-</v>
      </c>
      <c r="V336" s="179" t="str">
        <f ca="1">IF(AND(L336&lt;&gt;"-",Q336&lt;&gt;"bypass"),IFERROR(5/50*X336,"-"),Calculation!AI317)</f>
        <v>-</v>
      </c>
      <c r="W336" s="179" t="str">
        <f ca="1">IF(AND(L336&lt;&gt;"-",Q336&lt;&gt;"bypass"),IFERROR(35/50*X336,"-"),Calculation!AJ317)</f>
        <v>-</v>
      </c>
      <c r="X336" s="179" t="str">
        <f ca="1">IF(AND(L336&lt;&gt;"-",Q336&lt;&gt;"bypass"),$W$23,Calculation!AL317)</f>
        <v>-</v>
      </c>
      <c r="Y336" s="183" t="str">
        <f ca="1">IF(AND(L336&lt;&gt;"-",Q336&lt;&gt;"bypass"),IFERROR($R$23*U336/SUM(R336:U336),"-"),Calculation!AP317)</f>
        <v>-</v>
      </c>
      <c r="Z336" s="184" t="str">
        <f t="shared" ca="1" si="20"/>
        <v>-</v>
      </c>
      <c r="AA336" s="185" t="str">
        <f ca="1">IFERROR(IF(I336=0,"-",IF(AND(ROUND(H336*I336*X336/($W$10*10^3),1)&gt;=Calculation!$O$6,ROUND((((U336)*$R$23/0.05)-((S336)+(H336*I336*X336/($W$10*10^3))+(U336))),1)&gt;=0),Cluster!$W$8,IF(AND(ROUND(H336*I336*X336/($X$10*10^3),1)&gt;=Calculation!$O$6,ROUND((((U336)*$R$23/0.05)-((S336)+(H336*I336*X336/($X$10*10^3))+(U336))),1)&gt;=0),Cluster!$X$8,IF(AND(ROUND(H336*I336*X336/($Y$10*10^3),1)&gt;=Calculation!$O$6,ROUND((((U336)*$R$23/0.05)-((S336)+(H336*I336*X336/($Y$10*10^3))+(U336))),1)&gt;=0),Cluster!$Y$8,"Recepie by hand needed")))),"-")</f>
        <v>-</v>
      </c>
      <c r="AC336" s="37" t="str">
        <f t="shared" ca="1" si="21"/>
        <v>-</v>
      </c>
      <c r="AD336" s="37" t="str">
        <f t="shared" ca="1" si="22"/>
        <v>-</v>
      </c>
      <c r="AE336" s="220" t="str">
        <f t="shared" ca="1" si="23"/>
        <v>-</v>
      </c>
      <c r="AF336" s="37" t="str">
        <f t="shared" ca="1" si="24"/>
        <v>-</v>
      </c>
    </row>
    <row r="337" spans="1:32" ht="14.25" x14ac:dyDescent="0.5">
      <c r="A337" s="170" t="str">
        <f>Calculation!I318</f>
        <v/>
      </c>
      <c r="B337" s="221" t="str">
        <f ca="1">Calculation!B318</f>
        <v/>
      </c>
      <c r="C337" s="221" t="str">
        <f ca="1">Calculation!C318</f>
        <v/>
      </c>
      <c r="D337" s="172" t="str">
        <f ca="1">Calculation!AN318</f>
        <v/>
      </c>
      <c r="E337" s="173" t="str">
        <f ca="1">Calculation!D318</f>
        <v/>
      </c>
      <c r="F337" s="174" t="str">
        <f ca="1">Calculation!C318</f>
        <v/>
      </c>
      <c r="G337" s="175" t="str">
        <f ca="1">Calculation!F318</f>
        <v/>
      </c>
      <c r="H337" s="176" t="str">
        <f ca="1">Calculation!AD318</f>
        <v/>
      </c>
      <c r="I337" s="177" t="str">
        <f ca="1">Calculation!AE318</f>
        <v/>
      </c>
      <c r="J337" s="272" t="str">
        <f ca="1">IF(Calculation!Q318="","Selection",Calculation!Q318)</f>
        <v>Selection</v>
      </c>
      <c r="K337" s="179" t="str">
        <f ca="1">Calculation!T318</f>
        <v/>
      </c>
      <c r="L337" s="180" t="str">
        <f ca="1">Calculation!U318</f>
        <v>-</v>
      </c>
      <c r="M337" s="180" t="str">
        <f ca="1">Calculation!V318</f>
        <v>-</v>
      </c>
      <c r="N337" s="181"/>
      <c r="O337" s="180" t="str">
        <f ca="1">Calculation!X318</f>
        <v>-</v>
      </c>
      <c r="P337" s="180" t="str">
        <f ca="1">Calculation!Y318</f>
        <v>-</v>
      </c>
      <c r="Q337" s="273"/>
      <c r="R337" s="182" t="str">
        <f ca="1">IF(AND(L337&lt;&gt;"-",Q337&lt;&gt;"bypass"),IFERROR(IF((U337*$R$23/0.05)-SUM(S337:U337)&gt;0,(U337*$R$23/0.05)-SUM(S337:U337),0),"-"),Calculation!AH318)</f>
        <v>-</v>
      </c>
      <c r="S337" s="179" t="str">
        <f ca="1">IF(AND(L337&lt;&gt;"-",Q337&lt;&gt;"bypass"),IFERROR(X337*((H337*10^-12-H337*10^-12*I337)/(Calculation!$U$8*10^-9)),"-"),Calculation!AF318)</f>
        <v>-</v>
      </c>
      <c r="T337" s="179" t="str">
        <f ca="1">IF(AND(L337&lt;&gt;"-",Q337&lt;&gt;"bypass"),IFERROR(H337*I337*X337/(IF(Cluster!AA337=Cluster!$W$8,Cluster!$W$10,IF(Cluster!AA337=Cluster!$X$8,Cluster!$X$10,IF(Cluster!AA337=Cluster!$Y$8,Cluster!$Y$10,0)))*10^3),"-"),Calculation!AK318)</f>
        <v>-</v>
      </c>
      <c r="U337" s="179" t="str">
        <f ca="1">IF(AND(L337&lt;&gt;"-",Q337&lt;&gt;"bypass"),IFERROR((0.5/50)*X337/$R$23,"-"),Calculation!AG318)</f>
        <v>-</v>
      </c>
      <c r="V337" s="179" t="str">
        <f ca="1">IF(AND(L337&lt;&gt;"-",Q337&lt;&gt;"bypass"),IFERROR(5/50*X337,"-"),Calculation!AI318)</f>
        <v>-</v>
      </c>
      <c r="W337" s="179" t="str">
        <f ca="1">IF(AND(L337&lt;&gt;"-",Q337&lt;&gt;"bypass"),IFERROR(35/50*X337,"-"),Calculation!AJ318)</f>
        <v>-</v>
      </c>
      <c r="X337" s="179" t="str">
        <f ca="1">IF(AND(L337&lt;&gt;"-",Q337&lt;&gt;"bypass"),$W$23,Calculation!AL318)</f>
        <v>-</v>
      </c>
      <c r="Y337" s="183" t="str">
        <f ca="1">IF(AND(L337&lt;&gt;"-",Q337&lt;&gt;"bypass"),IFERROR($R$23*U337/SUM(R337:U337),"-"),Calculation!AP318)</f>
        <v>-</v>
      </c>
      <c r="Z337" s="184" t="str">
        <f t="shared" ca="1" si="20"/>
        <v>-</v>
      </c>
      <c r="AA337" s="185" t="str">
        <f ca="1">IFERROR(IF(I337=0,"-",IF(AND(ROUND(H337*I337*X337/($W$10*10^3),1)&gt;=Calculation!$O$6,ROUND((((U337)*$R$23/0.05)-((S337)+(H337*I337*X337/($W$10*10^3))+(U337))),1)&gt;=0),Cluster!$W$8,IF(AND(ROUND(H337*I337*X337/($X$10*10^3),1)&gt;=Calculation!$O$6,ROUND((((U337)*$R$23/0.05)-((S337)+(H337*I337*X337/($X$10*10^3))+(U337))),1)&gt;=0),Cluster!$X$8,IF(AND(ROUND(H337*I337*X337/($Y$10*10^3),1)&gt;=Calculation!$O$6,ROUND((((U337)*$R$23/0.05)-((S337)+(H337*I337*X337/($Y$10*10^3))+(U337))),1)&gt;=0),Cluster!$Y$8,"Recepie by hand needed")))),"-")</f>
        <v>-</v>
      </c>
      <c r="AC337" s="37" t="str">
        <f t="shared" ca="1" si="21"/>
        <v>-</v>
      </c>
      <c r="AD337" s="37" t="str">
        <f t="shared" ca="1" si="22"/>
        <v>-</v>
      </c>
      <c r="AE337" s="220" t="str">
        <f t="shared" ca="1" si="23"/>
        <v>-</v>
      </c>
      <c r="AF337" s="37" t="str">
        <f t="shared" ca="1" si="24"/>
        <v>-</v>
      </c>
    </row>
    <row r="338" spans="1:32" ht="14.25" x14ac:dyDescent="0.5">
      <c r="A338" s="170" t="str">
        <f>Calculation!I319</f>
        <v/>
      </c>
      <c r="B338" s="221" t="str">
        <f ca="1">Calculation!B319</f>
        <v/>
      </c>
      <c r="C338" s="221" t="str">
        <f ca="1">Calculation!C319</f>
        <v/>
      </c>
      <c r="D338" s="172" t="str">
        <f ca="1">Calculation!AN319</f>
        <v/>
      </c>
      <c r="E338" s="173" t="str">
        <f ca="1">Calculation!D319</f>
        <v/>
      </c>
      <c r="F338" s="174" t="str">
        <f ca="1">Calculation!C319</f>
        <v/>
      </c>
      <c r="G338" s="175" t="str">
        <f ca="1">Calculation!F319</f>
        <v/>
      </c>
      <c r="H338" s="176" t="str">
        <f ca="1">Calculation!AD319</f>
        <v/>
      </c>
      <c r="I338" s="177" t="str">
        <f ca="1">Calculation!AE319</f>
        <v/>
      </c>
      <c r="J338" s="272" t="str">
        <f ca="1">IF(Calculation!Q319="","Selection",Calculation!Q319)</f>
        <v>Selection</v>
      </c>
      <c r="K338" s="179" t="str">
        <f ca="1">Calculation!T319</f>
        <v/>
      </c>
      <c r="L338" s="180" t="str">
        <f ca="1">Calculation!U319</f>
        <v>-</v>
      </c>
      <c r="M338" s="180" t="str">
        <f ca="1">Calculation!V319</f>
        <v>-</v>
      </c>
      <c r="N338" s="181"/>
      <c r="O338" s="180" t="str">
        <f ca="1">Calculation!X319</f>
        <v>-</v>
      </c>
      <c r="P338" s="180" t="str">
        <f ca="1">Calculation!Y319</f>
        <v>-</v>
      </c>
      <c r="Q338" s="273"/>
      <c r="R338" s="182" t="str">
        <f ca="1">IF(AND(L338&lt;&gt;"-",Q338&lt;&gt;"bypass"),IFERROR(IF((U338*$R$23/0.05)-SUM(S338:U338)&gt;0,(U338*$R$23/0.05)-SUM(S338:U338),0),"-"),Calculation!AH319)</f>
        <v>-</v>
      </c>
      <c r="S338" s="179" t="str">
        <f ca="1">IF(AND(L338&lt;&gt;"-",Q338&lt;&gt;"bypass"),IFERROR(X338*((H338*10^-12-H338*10^-12*I338)/(Calculation!$U$8*10^-9)),"-"),Calculation!AF319)</f>
        <v>-</v>
      </c>
      <c r="T338" s="179" t="str">
        <f ca="1">IF(AND(L338&lt;&gt;"-",Q338&lt;&gt;"bypass"),IFERROR(H338*I338*X338/(IF(Cluster!AA338=Cluster!$W$8,Cluster!$W$10,IF(Cluster!AA338=Cluster!$X$8,Cluster!$X$10,IF(Cluster!AA338=Cluster!$Y$8,Cluster!$Y$10,0)))*10^3),"-"),Calculation!AK319)</f>
        <v>-</v>
      </c>
      <c r="U338" s="179" t="str">
        <f ca="1">IF(AND(L338&lt;&gt;"-",Q338&lt;&gt;"bypass"),IFERROR((0.5/50)*X338/$R$23,"-"),Calculation!AG319)</f>
        <v>-</v>
      </c>
      <c r="V338" s="179" t="str">
        <f ca="1">IF(AND(L338&lt;&gt;"-",Q338&lt;&gt;"bypass"),IFERROR(5/50*X338,"-"),Calculation!AI319)</f>
        <v>-</v>
      </c>
      <c r="W338" s="179" t="str">
        <f ca="1">IF(AND(L338&lt;&gt;"-",Q338&lt;&gt;"bypass"),IFERROR(35/50*X338,"-"),Calculation!AJ319)</f>
        <v>-</v>
      </c>
      <c r="X338" s="179" t="str">
        <f ca="1">IF(AND(L338&lt;&gt;"-",Q338&lt;&gt;"bypass"),$W$23,Calculation!AL319)</f>
        <v>-</v>
      </c>
      <c r="Y338" s="183" t="str">
        <f ca="1">IF(AND(L338&lt;&gt;"-",Q338&lt;&gt;"bypass"),IFERROR($R$23*U338/SUM(R338:U338),"-"),Calculation!AP319)</f>
        <v>-</v>
      </c>
      <c r="Z338" s="184" t="str">
        <f t="shared" ca="1" si="20"/>
        <v>-</v>
      </c>
      <c r="AA338" s="185" t="str">
        <f ca="1">IFERROR(IF(I338=0,"-",IF(AND(ROUND(H338*I338*X338/($W$10*10^3),1)&gt;=Calculation!$O$6,ROUND((((U338)*$R$23/0.05)-((S338)+(H338*I338*X338/($W$10*10^3))+(U338))),1)&gt;=0),Cluster!$W$8,IF(AND(ROUND(H338*I338*X338/($X$10*10^3),1)&gt;=Calculation!$O$6,ROUND((((U338)*$R$23/0.05)-((S338)+(H338*I338*X338/($X$10*10^3))+(U338))),1)&gt;=0),Cluster!$X$8,IF(AND(ROUND(H338*I338*X338/($Y$10*10^3),1)&gt;=Calculation!$O$6,ROUND((((U338)*$R$23/0.05)-((S338)+(H338*I338*X338/($Y$10*10^3))+(U338))),1)&gt;=0),Cluster!$Y$8,"Recepie by hand needed")))),"-")</f>
        <v>-</v>
      </c>
      <c r="AC338" s="37" t="str">
        <f t="shared" ca="1" si="21"/>
        <v>-</v>
      </c>
      <c r="AD338" s="37" t="str">
        <f t="shared" ca="1" si="22"/>
        <v>-</v>
      </c>
      <c r="AE338" s="220" t="str">
        <f t="shared" ca="1" si="23"/>
        <v>-</v>
      </c>
      <c r="AF338" s="37" t="str">
        <f t="shared" ca="1" si="24"/>
        <v>-</v>
      </c>
    </row>
    <row r="339" spans="1:32" ht="14.25" x14ac:dyDescent="0.5">
      <c r="A339" s="170" t="str">
        <f>Calculation!I320</f>
        <v/>
      </c>
      <c r="B339" s="221" t="str">
        <f ca="1">Calculation!B320</f>
        <v/>
      </c>
      <c r="C339" s="221" t="str">
        <f ca="1">Calculation!C320</f>
        <v/>
      </c>
      <c r="D339" s="172" t="str">
        <f ca="1">Calculation!AN320</f>
        <v/>
      </c>
      <c r="E339" s="173" t="str">
        <f ca="1">Calculation!D320</f>
        <v/>
      </c>
      <c r="F339" s="174" t="str">
        <f ca="1">Calculation!C320</f>
        <v/>
      </c>
      <c r="G339" s="175" t="str">
        <f ca="1">Calculation!F320</f>
        <v/>
      </c>
      <c r="H339" s="176" t="str">
        <f ca="1">Calculation!AD320</f>
        <v/>
      </c>
      <c r="I339" s="177" t="str">
        <f ca="1">Calculation!AE320</f>
        <v/>
      </c>
      <c r="J339" s="272" t="str">
        <f ca="1">IF(Calculation!Q320="","Selection",Calculation!Q320)</f>
        <v>Selection</v>
      </c>
      <c r="K339" s="179" t="str">
        <f ca="1">Calculation!T320</f>
        <v/>
      </c>
      <c r="L339" s="180" t="str">
        <f ca="1">Calculation!U320</f>
        <v>-</v>
      </c>
      <c r="M339" s="180" t="str">
        <f ca="1">Calculation!V320</f>
        <v>-</v>
      </c>
      <c r="N339" s="181"/>
      <c r="O339" s="180" t="str">
        <f ca="1">Calculation!X320</f>
        <v>-</v>
      </c>
      <c r="P339" s="180" t="str">
        <f ca="1">Calculation!Y320</f>
        <v>-</v>
      </c>
      <c r="Q339" s="273"/>
      <c r="R339" s="182" t="str">
        <f ca="1">IF(AND(L339&lt;&gt;"-",Q339&lt;&gt;"bypass"),IFERROR(IF((U339*$R$23/0.05)-SUM(S339:U339)&gt;0,(U339*$R$23/0.05)-SUM(S339:U339),0),"-"),Calculation!AH320)</f>
        <v>-</v>
      </c>
      <c r="S339" s="179" t="str">
        <f ca="1">IF(AND(L339&lt;&gt;"-",Q339&lt;&gt;"bypass"),IFERROR(X339*((H339*10^-12-H339*10^-12*I339)/(Calculation!$U$8*10^-9)),"-"),Calculation!AF320)</f>
        <v>-</v>
      </c>
      <c r="T339" s="179" t="str">
        <f ca="1">IF(AND(L339&lt;&gt;"-",Q339&lt;&gt;"bypass"),IFERROR(H339*I339*X339/(IF(Cluster!AA339=Cluster!$W$8,Cluster!$W$10,IF(Cluster!AA339=Cluster!$X$8,Cluster!$X$10,IF(Cluster!AA339=Cluster!$Y$8,Cluster!$Y$10,0)))*10^3),"-"),Calculation!AK320)</f>
        <v>-</v>
      </c>
      <c r="U339" s="179" t="str">
        <f ca="1">IF(AND(L339&lt;&gt;"-",Q339&lt;&gt;"bypass"),IFERROR((0.5/50)*X339/$R$23,"-"),Calculation!AG320)</f>
        <v>-</v>
      </c>
      <c r="V339" s="179" t="str">
        <f ca="1">IF(AND(L339&lt;&gt;"-",Q339&lt;&gt;"bypass"),IFERROR(5/50*X339,"-"),Calculation!AI320)</f>
        <v>-</v>
      </c>
      <c r="W339" s="179" t="str">
        <f ca="1">IF(AND(L339&lt;&gt;"-",Q339&lt;&gt;"bypass"),IFERROR(35/50*X339,"-"),Calculation!AJ320)</f>
        <v>-</v>
      </c>
      <c r="X339" s="179" t="str">
        <f ca="1">IF(AND(L339&lt;&gt;"-",Q339&lt;&gt;"bypass"),$W$23,Calculation!AL320)</f>
        <v>-</v>
      </c>
      <c r="Y339" s="183" t="str">
        <f ca="1">IF(AND(L339&lt;&gt;"-",Q339&lt;&gt;"bypass"),IFERROR($R$23*U339/SUM(R339:U339),"-"),Calculation!AP320)</f>
        <v>-</v>
      </c>
      <c r="Z339" s="184" t="str">
        <f t="shared" ca="1" si="20"/>
        <v>-</v>
      </c>
      <c r="AA339" s="185" t="str">
        <f ca="1">IFERROR(IF(I339=0,"-",IF(AND(ROUND(H339*I339*X339/($W$10*10^3),1)&gt;=Calculation!$O$6,ROUND((((U339)*$R$23/0.05)-((S339)+(H339*I339*X339/($W$10*10^3))+(U339))),1)&gt;=0),Cluster!$W$8,IF(AND(ROUND(H339*I339*X339/($X$10*10^3),1)&gt;=Calculation!$O$6,ROUND((((U339)*$R$23/0.05)-((S339)+(H339*I339*X339/($X$10*10^3))+(U339))),1)&gt;=0),Cluster!$X$8,IF(AND(ROUND(H339*I339*X339/($Y$10*10^3),1)&gt;=Calculation!$O$6,ROUND((((U339)*$R$23/0.05)-((S339)+(H339*I339*X339/($Y$10*10^3))+(U339))),1)&gt;=0),Cluster!$Y$8,"Recepie by hand needed")))),"-")</f>
        <v>-</v>
      </c>
      <c r="AC339" s="37" t="str">
        <f t="shared" ca="1" si="21"/>
        <v>-</v>
      </c>
      <c r="AD339" s="37" t="str">
        <f t="shared" ca="1" si="22"/>
        <v>-</v>
      </c>
      <c r="AE339" s="220" t="str">
        <f t="shared" ca="1" si="23"/>
        <v>-</v>
      </c>
      <c r="AF339" s="37" t="str">
        <f t="shared" ca="1" si="24"/>
        <v>-</v>
      </c>
    </row>
    <row r="340" spans="1:32" ht="14.25" x14ac:dyDescent="0.5">
      <c r="A340" s="170" t="str">
        <f>Calculation!I321</f>
        <v/>
      </c>
      <c r="B340" s="221" t="str">
        <f ca="1">Calculation!B321</f>
        <v/>
      </c>
      <c r="C340" s="221" t="str">
        <f ca="1">Calculation!C321</f>
        <v/>
      </c>
      <c r="D340" s="172" t="str">
        <f ca="1">Calculation!AN321</f>
        <v/>
      </c>
      <c r="E340" s="173" t="str">
        <f ca="1">Calculation!D321</f>
        <v/>
      </c>
      <c r="F340" s="174" t="str">
        <f ca="1">Calculation!C321</f>
        <v/>
      </c>
      <c r="G340" s="175" t="str">
        <f ca="1">Calculation!F321</f>
        <v/>
      </c>
      <c r="H340" s="176" t="str">
        <f ca="1">Calculation!AD321</f>
        <v/>
      </c>
      <c r="I340" s="177" t="str">
        <f ca="1">Calculation!AE321</f>
        <v/>
      </c>
      <c r="J340" s="272" t="str">
        <f ca="1">IF(Calculation!Q321="","Selection",Calculation!Q321)</f>
        <v>Selection</v>
      </c>
      <c r="K340" s="179" t="str">
        <f ca="1">Calculation!T321</f>
        <v/>
      </c>
      <c r="L340" s="180" t="str">
        <f ca="1">Calculation!U321</f>
        <v>-</v>
      </c>
      <c r="M340" s="180" t="str">
        <f ca="1">Calculation!V321</f>
        <v>-</v>
      </c>
      <c r="N340" s="181"/>
      <c r="O340" s="180" t="str">
        <f ca="1">Calculation!X321</f>
        <v>-</v>
      </c>
      <c r="P340" s="180" t="str">
        <f ca="1">Calculation!Y321</f>
        <v>-</v>
      </c>
      <c r="Q340" s="273"/>
      <c r="R340" s="182" t="str">
        <f ca="1">IF(AND(L340&lt;&gt;"-",Q340&lt;&gt;"bypass"),IFERROR(IF((U340*$R$23/0.05)-SUM(S340:U340)&gt;0,(U340*$R$23/0.05)-SUM(S340:U340),0),"-"),Calculation!AH321)</f>
        <v>-</v>
      </c>
      <c r="S340" s="179" t="str">
        <f ca="1">IF(AND(L340&lt;&gt;"-",Q340&lt;&gt;"bypass"),IFERROR(X340*((H340*10^-12-H340*10^-12*I340)/(Calculation!$U$8*10^-9)),"-"),Calculation!AF321)</f>
        <v>-</v>
      </c>
      <c r="T340" s="179" t="str">
        <f ca="1">IF(AND(L340&lt;&gt;"-",Q340&lt;&gt;"bypass"),IFERROR(H340*I340*X340/(IF(Cluster!AA340=Cluster!$W$8,Cluster!$W$10,IF(Cluster!AA340=Cluster!$X$8,Cluster!$X$10,IF(Cluster!AA340=Cluster!$Y$8,Cluster!$Y$10,0)))*10^3),"-"),Calculation!AK321)</f>
        <v>-</v>
      </c>
      <c r="U340" s="179" t="str">
        <f ca="1">IF(AND(L340&lt;&gt;"-",Q340&lt;&gt;"bypass"),IFERROR((0.5/50)*X340/$R$23,"-"),Calculation!AG321)</f>
        <v>-</v>
      </c>
      <c r="V340" s="179" t="str">
        <f ca="1">IF(AND(L340&lt;&gt;"-",Q340&lt;&gt;"bypass"),IFERROR(5/50*X340,"-"),Calculation!AI321)</f>
        <v>-</v>
      </c>
      <c r="W340" s="179" t="str">
        <f ca="1">IF(AND(L340&lt;&gt;"-",Q340&lt;&gt;"bypass"),IFERROR(35/50*X340,"-"),Calculation!AJ321)</f>
        <v>-</v>
      </c>
      <c r="X340" s="179" t="str">
        <f ca="1">IF(AND(L340&lt;&gt;"-",Q340&lt;&gt;"bypass"),$W$23,Calculation!AL321)</f>
        <v>-</v>
      </c>
      <c r="Y340" s="183" t="str">
        <f ca="1">IF(AND(L340&lt;&gt;"-",Q340&lt;&gt;"bypass"),IFERROR($R$23*U340/SUM(R340:U340),"-"),Calculation!AP321)</f>
        <v>-</v>
      </c>
      <c r="Z340" s="184" t="str">
        <f t="shared" ca="1" si="20"/>
        <v>-</v>
      </c>
      <c r="AA340" s="185" t="str">
        <f ca="1">IFERROR(IF(I340=0,"-",IF(AND(ROUND(H340*I340*X340/($W$10*10^3),1)&gt;=Calculation!$O$6,ROUND((((U340)*$R$23/0.05)-((S340)+(H340*I340*X340/($W$10*10^3))+(U340))),1)&gt;=0),Cluster!$W$8,IF(AND(ROUND(H340*I340*X340/($X$10*10^3),1)&gt;=Calculation!$O$6,ROUND((((U340)*$R$23/0.05)-((S340)+(H340*I340*X340/($X$10*10^3))+(U340))),1)&gt;=0),Cluster!$X$8,IF(AND(ROUND(H340*I340*X340/($Y$10*10^3),1)&gt;=Calculation!$O$6,ROUND((((U340)*$R$23/0.05)-((S340)+(H340*I340*X340/($Y$10*10^3))+(U340))),1)&gt;=0),Cluster!$Y$8,"Recepie by hand needed")))),"-")</f>
        <v>-</v>
      </c>
      <c r="AC340" s="37" t="str">
        <f t="shared" ca="1" si="21"/>
        <v>-</v>
      </c>
      <c r="AD340" s="37" t="str">
        <f t="shared" ca="1" si="22"/>
        <v>-</v>
      </c>
      <c r="AE340" s="220" t="str">
        <f t="shared" ca="1" si="23"/>
        <v>-</v>
      </c>
      <c r="AF340" s="37" t="str">
        <f t="shared" ca="1" si="24"/>
        <v>-</v>
      </c>
    </row>
    <row r="341" spans="1:32" ht="14.25" x14ac:dyDescent="0.5">
      <c r="A341" s="170" t="str">
        <f>Calculation!I322</f>
        <v/>
      </c>
      <c r="B341" s="221" t="str">
        <f ca="1">Calculation!B322</f>
        <v/>
      </c>
      <c r="C341" s="221" t="str">
        <f ca="1">Calculation!C322</f>
        <v/>
      </c>
      <c r="D341" s="172" t="str">
        <f ca="1">Calculation!AN322</f>
        <v/>
      </c>
      <c r="E341" s="173" t="str">
        <f ca="1">Calculation!D322</f>
        <v/>
      </c>
      <c r="F341" s="174" t="str">
        <f ca="1">Calculation!C322</f>
        <v/>
      </c>
      <c r="G341" s="175" t="str">
        <f ca="1">Calculation!F322</f>
        <v/>
      </c>
      <c r="H341" s="176" t="str">
        <f ca="1">Calculation!AD322</f>
        <v/>
      </c>
      <c r="I341" s="177" t="str">
        <f ca="1">Calculation!AE322</f>
        <v/>
      </c>
      <c r="J341" s="272" t="str">
        <f ca="1">IF(Calculation!Q322="","Selection",Calculation!Q322)</f>
        <v>Selection</v>
      </c>
      <c r="K341" s="179" t="str">
        <f ca="1">Calculation!T322</f>
        <v/>
      </c>
      <c r="L341" s="180" t="str">
        <f ca="1">Calculation!U322</f>
        <v>-</v>
      </c>
      <c r="M341" s="180" t="str">
        <f ca="1">Calculation!V322</f>
        <v>-</v>
      </c>
      <c r="N341" s="181"/>
      <c r="O341" s="180" t="str">
        <f ca="1">Calculation!X322</f>
        <v>-</v>
      </c>
      <c r="P341" s="180" t="str">
        <f ca="1">Calculation!Y322</f>
        <v>-</v>
      </c>
      <c r="Q341" s="273"/>
      <c r="R341" s="182" t="str">
        <f ca="1">IF(AND(L341&lt;&gt;"-",Q341&lt;&gt;"bypass"),IFERROR(IF((U341*$R$23/0.05)-SUM(S341:U341)&gt;0,(U341*$R$23/0.05)-SUM(S341:U341),0),"-"),Calculation!AH322)</f>
        <v>-</v>
      </c>
      <c r="S341" s="179" t="str">
        <f ca="1">IF(AND(L341&lt;&gt;"-",Q341&lt;&gt;"bypass"),IFERROR(X341*((H341*10^-12-H341*10^-12*I341)/(Calculation!$U$8*10^-9)),"-"),Calculation!AF322)</f>
        <v>-</v>
      </c>
      <c r="T341" s="179" t="str">
        <f ca="1">IF(AND(L341&lt;&gt;"-",Q341&lt;&gt;"bypass"),IFERROR(H341*I341*X341/(IF(Cluster!AA341=Cluster!$W$8,Cluster!$W$10,IF(Cluster!AA341=Cluster!$X$8,Cluster!$X$10,IF(Cluster!AA341=Cluster!$Y$8,Cluster!$Y$10,0)))*10^3),"-"),Calculation!AK322)</f>
        <v>-</v>
      </c>
      <c r="U341" s="179" t="str">
        <f ca="1">IF(AND(L341&lt;&gt;"-",Q341&lt;&gt;"bypass"),IFERROR((0.5/50)*X341/$R$23,"-"),Calculation!AG322)</f>
        <v>-</v>
      </c>
      <c r="V341" s="179" t="str">
        <f ca="1">IF(AND(L341&lt;&gt;"-",Q341&lt;&gt;"bypass"),IFERROR(5/50*X341,"-"),Calculation!AI322)</f>
        <v>-</v>
      </c>
      <c r="W341" s="179" t="str">
        <f ca="1">IF(AND(L341&lt;&gt;"-",Q341&lt;&gt;"bypass"),IFERROR(35/50*X341,"-"),Calculation!AJ322)</f>
        <v>-</v>
      </c>
      <c r="X341" s="179" t="str">
        <f ca="1">IF(AND(L341&lt;&gt;"-",Q341&lt;&gt;"bypass"),$W$23,Calculation!AL322)</f>
        <v>-</v>
      </c>
      <c r="Y341" s="183" t="str">
        <f ca="1">IF(AND(L341&lt;&gt;"-",Q341&lt;&gt;"bypass"),IFERROR($R$23*U341/SUM(R341:U341),"-"),Calculation!AP322)</f>
        <v>-</v>
      </c>
      <c r="Z341" s="184" t="str">
        <f t="shared" ca="1" si="20"/>
        <v>-</v>
      </c>
      <c r="AA341" s="185" t="str">
        <f ca="1">IFERROR(IF(I341=0,"-",IF(AND(ROUND(H341*I341*X341/($W$10*10^3),1)&gt;=Calculation!$O$6,ROUND((((U341)*$R$23/0.05)-((S341)+(H341*I341*X341/($W$10*10^3))+(U341))),1)&gt;=0),Cluster!$W$8,IF(AND(ROUND(H341*I341*X341/($X$10*10^3),1)&gt;=Calculation!$O$6,ROUND((((U341)*$R$23/0.05)-((S341)+(H341*I341*X341/($X$10*10^3))+(U341))),1)&gt;=0),Cluster!$X$8,IF(AND(ROUND(H341*I341*X341/($Y$10*10^3),1)&gt;=Calculation!$O$6,ROUND((((U341)*$R$23/0.05)-((S341)+(H341*I341*X341/($Y$10*10^3))+(U341))),1)&gt;=0),Cluster!$Y$8,"Recepie by hand needed")))),"-")</f>
        <v>-</v>
      </c>
      <c r="AC341" s="37" t="str">
        <f t="shared" ca="1" si="21"/>
        <v>-</v>
      </c>
      <c r="AD341" s="37" t="str">
        <f t="shared" ca="1" si="22"/>
        <v>-</v>
      </c>
      <c r="AE341" s="220" t="str">
        <f t="shared" ca="1" si="23"/>
        <v>-</v>
      </c>
      <c r="AF341" s="37" t="str">
        <f t="shared" ca="1" si="24"/>
        <v>-</v>
      </c>
    </row>
    <row r="342" spans="1:32" ht="14.25" x14ac:dyDescent="0.5">
      <c r="A342" s="170" t="str">
        <f>Calculation!I323</f>
        <v/>
      </c>
      <c r="B342" s="221" t="str">
        <f ca="1">Calculation!B323</f>
        <v/>
      </c>
      <c r="C342" s="221" t="str">
        <f ca="1">Calculation!C323</f>
        <v/>
      </c>
      <c r="D342" s="172" t="str">
        <f ca="1">Calculation!AN323</f>
        <v/>
      </c>
      <c r="E342" s="173" t="str">
        <f ca="1">Calculation!D323</f>
        <v/>
      </c>
      <c r="F342" s="174" t="str">
        <f ca="1">Calculation!C323</f>
        <v/>
      </c>
      <c r="G342" s="175" t="str">
        <f ca="1">Calculation!F323</f>
        <v/>
      </c>
      <c r="H342" s="176" t="str">
        <f ca="1">Calculation!AD323</f>
        <v/>
      </c>
      <c r="I342" s="177" t="str">
        <f ca="1">Calculation!AE323</f>
        <v/>
      </c>
      <c r="J342" s="272" t="str">
        <f ca="1">IF(Calculation!Q323="","Selection",Calculation!Q323)</f>
        <v>Selection</v>
      </c>
      <c r="K342" s="179" t="str">
        <f ca="1">Calculation!T323</f>
        <v/>
      </c>
      <c r="L342" s="180" t="str">
        <f ca="1">Calculation!U323</f>
        <v>-</v>
      </c>
      <c r="M342" s="180" t="str">
        <f ca="1">Calculation!V323</f>
        <v>-</v>
      </c>
      <c r="N342" s="181"/>
      <c r="O342" s="180" t="str">
        <f ca="1">Calculation!X323</f>
        <v>-</v>
      </c>
      <c r="P342" s="180" t="str">
        <f ca="1">Calculation!Y323</f>
        <v>-</v>
      </c>
      <c r="Q342" s="273"/>
      <c r="R342" s="182" t="str">
        <f ca="1">IF(AND(L342&lt;&gt;"-",Q342&lt;&gt;"bypass"),IFERROR(IF((U342*$R$23/0.05)-SUM(S342:U342)&gt;0,(U342*$R$23/0.05)-SUM(S342:U342),0),"-"),Calculation!AH323)</f>
        <v>-</v>
      </c>
      <c r="S342" s="179" t="str">
        <f ca="1">IF(AND(L342&lt;&gt;"-",Q342&lt;&gt;"bypass"),IFERROR(X342*((H342*10^-12-H342*10^-12*I342)/(Calculation!$U$8*10^-9)),"-"),Calculation!AF323)</f>
        <v>-</v>
      </c>
      <c r="T342" s="179" t="str">
        <f ca="1">IF(AND(L342&lt;&gt;"-",Q342&lt;&gt;"bypass"),IFERROR(H342*I342*X342/(IF(Cluster!AA342=Cluster!$W$8,Cluster!$W$10,IF(Cluster!AA342=Cluster!$X$8,Cluster!$X$10,IF(Cluster!AA342=Cluster!$Y$8,Cluster!$Y$10,0)))*10^3),"-"),Calculation!AK323)</f>
        <v>-</v>
      </c>
      <c r="U342" s="179" t="str">
        <f ca="1">IF(AND(L342&lt;&gt;"-",Q342&lt;&gt;"bypass"),IFERROR((0.5/50)*X342/$R$23,"-"),Calculation!AG323)</f>
        <v>-</v>
      </c>
      <c r="V342" s="179" t="str">
        <f ca="1">IF(AND(L342&lt;&gt;"-",Q342&lt;&gt;"bypass"),IFERROR(5/50*X342,"-"),Calculation!AI323)</f>
        <v>-</v>
      </c>
      <c r="W342" s="179" t="str">
        <f ca="1">IF(AND(L342&lt;&gt;"-",Q342&lt;&gt;"bypass"),IFERROR(35/50*X342,"-"),Calculation!AJ323)</f>
        <v>-</v>
      </c>
      <c r="X342" s="179" t="str">
        <f ca="1">IF(AND(L342&lt;&gt;"-",Q342&lt;&gt;"bypass"),$W$23,Calculation!AL323)</f>
        <v>-</v>
      </c>
      <c r="Y342" s="183" t="str">
        <f ca="1">IF(AND(L342&lt;&gt;"-",Q342&lt;&gt;"bypass"),IFERROR($R$23*U342/SUM(R342:U342),"-"),Calculation!AP323)</f>
        <v>-</v>
      </c>
      <c r="Z342" s="184" t="str">
        <f t="shared" ca="1" si="20"/>
        <v>-</v>
      </c>
      <c r="AA342" s="185" t="str">
        <f ca="1">IFERROR(IF(I342=0,"-",IF(AND(ROUND(H342*I342*X342/($W$10*10^3),1)&gt;=Calculation!$O$6,ROUND((((U342)*$R$23/0.05)-((S342)+(H342*I342*X342/($W$10*10^3))+(U342))),1)&gt;=0),Cluster!$W$8,IF(AND(ROUND(H342*I342*X342/($X$10*10^3),1)&gt;=Calculation!$O$6,ROUND((((U342)*$R$23/0.05)-((S342)+(H342*I342*X342/($X$10*10^3))+(U342))),1)&gt;=0),Cluster!$X$8,IF(AND(ROUND(H342*I342*X342/($Y$10*10^3),1)&gt;=Calculation!$O$6,ROUND((((U342)*$R$23/0.05)-((S342)+(H342*I342*X342/($Y$10*10^3))+(U342))),1)&gt;=0),Cluster!$Y$8,"Recepie by hand needed")))),"-")</f>
        <v>-</v>
      </c>
      <c r="AC342" s="37" t="str">
        <f t="shared" ca="1" si="21"/>
        <v>-</v>
      </c>
      <c r="AD342" s="37" t="str">
        <f t="shared" ca="1" si="22"/>
        <v>-</v>
      </c>
      <c r="AE342" s="220" t="str">
        <f t="shared" ca="1" si="23"/>
        <v>-</v>
      </c>
      <c r="AF342" s="37" t="str">
        <f t="shared" ca="1" si="24"/>
        <v>-</v>
      </c>
    </row>
    <row r="343" spans="1:32" ht="14.25" x14ac:dyDescent="0.5">
      <c r="A343" s="170" t="str">
        <f>Calculation!I324</f>
        <v/>
      </c>
      <c r="B343" s="221" t="str">
        <f ca="1">Calculation!B324</f>
        <v/>
      </c>
      <c r="C343" s="221" t="str">
        <f ca="1">Calculation!C324</f>
        <v/>
      </c>
      <c r="D343" s="172" t="str">
        <f ca="1">Calculation!AN324</f>
        <v/>
      </c>
      <c r="E343" s="173" t="str">
        <f ca="1">Calculation!D324</f>
        <v/>
      </c>
      <c r="F343" s="174" t="str">
        <f ca="1">Calculation!C324</f>
        <v/>
      </c>
      <c r="G343" s="175" t="str">
        <f ca="1">Calculation!F324</f>
        <v/>
      </c>
      <c r="H343" s="176" t="str">
        <f ca="1">Calculation!AD324</f>
        <v/>
      </c>
      <c r="I343" s="177" t="str">
        <f ca="1">Calculation!AE324</f>
        <v/>
      </c>
      <c r="J343" s="272" t="str">
        <f ca="1">IF(Calculation!Q324="","Selection",Calculation!Q324)</f>
        <v>Selection</v>
      </c>
      <c r="K343" s="179" t="str">
        <f ca="1">Calculation!T324</f>
        <v/>
      </c>
      <c r="L343" s="180" t="str">
        <f ca="1">Calculation!U324</f>
        <v>-</v>
      </c>
      <c r="M343" s="180" t="str">
        <f ca="1">Calculation!V324</f>
        <v>-</v>
      </c>
      <c r="N343" s="181"/>
      <c r="O343" s="180" t="str">
        <f ca="1">Calculation!X324</f>
        <v>-</v>
      </c>
      <c r="P343" s="180" t="str">
        <f ca="1">Calculation!Y324</f>
        <v>-</v>
      </c>
      <c r="Q343" s="273"/>
      <c r="R343" s="182" t="str">
        <f ca="1">IF(AND(L343&lt;&gt;"-",Q343&lt;&gt;"bypass"),IFERROR(IF((U343*$R$23/0.05)-SUM(S343:U343)&gt;0,(U343*$R$23/0.05)-SUM(S343:U343),0),"-"),Calculation!AH324)</f>
        <v>-</v>
      </c>
      <c r="S343" s="179" t="str">
        <f ca="1">IF(AND(L343&lt;&gt;"-",Q343&lt;&gt;"bypass"),IFERROR(X343*((H343*10^-12-H343*10^-12*I343)/(Calculation!$U$8*10^-9)),"-"),Calculation!AF324)</f>
        <v>-</v>
      </c>
      <c r="T343" s="179" t="str">
        <f ca="1">IF(AND(L343&lt;&gt;"-",Q343&lt;&gt;"bypass"),IFERROR(H343*I343*X343/(IF(Cluster!AA343=Cluster!$W$8,Cluster!$W$10,IF(Cluster!AA343=Cluster!$X$8,Cluster!$X$10,IF(Cluster!AA343=Cluster!$Y$8,Cluster!$Y$10,0)))*10^3),"-"),Calculation!AK324)</f>
        <v>-</v>
      </c>
      <c r="U343" s="179" t="str">
        <f ca="1">IF(AND(L343&lt;&gt;"-",Q343&lt;&gt;"bypass"),IFERROR((0.5/50)*X343/$R$23,"-"),Calculation!AG324)</f>
        <v>-</v>
      </c>
      <c r="V343" s="179" t="str">
        <f ca="1">IF(AND(L343&lt;&gt;"-",Q343&lt;&gt;"bypass"),IFERROR(5/50*X343,"-"),Calculation!AI324)</f>
        <v>-</v>
      </c>
      <c r="W343" s="179" t="str">
        <f ca="1">IF(AND(L343&lt;&gt;"-",Q343&lt;&gt;"bypass"),IFERROR(35/50*X343,"-"),Calculation!AJ324)</f>
        <v>-</v>
      </c>
      <c r="X343" s="179" t="str">
        <f ca="1">IF(AND(L343&lt;&gt;"-",Q343&lt;&gt;"bypass"),$W$23,Calculation!AL324)</f>
        <v>-</v>
      </c>
      <c r="Y343" s="183" t="str">
        <f ca="1">IF(AND(L343&lt;&gt;"-",Q343&lt;&gt;"bypass"),IFERROR($R$23*U343/SUM(R343:U343),"-"),Calculation!AP324)</f>
        <v>-</v>
      </c>
      <c r="Z343" s="184" t="str">
        <f t="shared" ca="1" si="20"/>
        <v>-</v>
      </c>
      <c r="AA343" s="185" t="str">
        <f ca="1">IFERROR(IF(I343=0,"-",IF(AND(ROUND(H343*I343*X343/($W$10*10^3),1)&gt;=Calculation!$O$6,ROUND((((U343)*$R$23/0.05)-((S343)+(H343*I343*X343/($W$10*10^3))+(U343))),1)&gt;=0),Cluster!$W$8,IF(AND(ROUND(H343*I343*X343/($X$10*10^3),1)&gt;=Calculation!$O$6,ROUND((((U343)*$R$23/0.05)-((S343)+(H343*I343*X343/($X$10*10^3))+(U343))),1)&gt;=0),Cluster!$X$8,IF(AND(ROUND(H343*I343*X343/($Y$10*10^3),1)&gt;=Calculation!$O$6,ROUND((((U343)*$R$23/0.05)-((S343)+(H343*I343*X343/($Y$10*10^3))+(U343))),1)&gt;=0),Cluster!$Y$8,"Recepie by hand needed")))),"-")</f>
        <v>-</v>
      </c>
      <c r="AC343" s="37" t="str">
        <f t="shared" ca="1" si="21"/>
        <v>-</v>
      </c>
      <c r="AD343" s="37" t="str">
        <f t="shared" ca="1" si="22"/>
        <v>-</v>
      </c>
      <c r="AE343" s="220" t="str">
        <f t="shared" ca="1" si="23"/>
        <v>-</v>
      </c>
      <c r="AF343" s="37" t="str">
        <f t="shared" ca="1" si="24"/>
        <v>-</v>
      </c>
    </row>
    <row r="344" spans="1:32" ht="14.25" x14ac:dyDescent="0.5">
      <c r="A344" s="170" t="str">
        <f>Calculation!I325</f>
        <v/>
      </c>
      <c r="B344" s="221" t="str">
        <f ca="1">Calculation!B325</f>
        <v/>
      </c>
      <c r="C344" s="221" t="str">
        <f ca="1">Calculation!C325</f>
        <v/>
      </c>
      <c r="D344" s="172" t="str">
        <f ca="1">Calculation!AN325</f>
        <v/>
      </c>
      <c r="E344" s="173" t="str">
        <f ca="1">Calculation!D325</f>
        <v/>
      </c>
      <c r="F344" s="174" t="str">
        <f ca="1">Calculation!C325</f>
        <v/>
      </c>
      <c r="G344" s="175" t="str">
        <f ca="1">Calculation!F325</f>
        <v/>
      </c>
      <c r="H344" s="176" t="str">
        <f ca="1">Calculation!AD325</f>
        <v/>
      </c>
      <c r="I344" s="177" t="str">
        <f ca="1">Calculation!AE325</f>
        <v/>
      </c>
      <c r="J344" s="272" t="str">
        <f ca="1">IF(Calculation!Q325="","Selection",Calculation!Q325)</f>
        <v>Selection</v>
      </c>
      <c r="K344" s="179" t="str">
        <f ca="1">Calculation!T325</f>
        <v/>
      </c>
      <c r="L344" s="180" t="str">
        <f ca="1">Calculation!U325</f>
        <v>-</v>
      </c>
      <c r="M344" s="180" t="str">
        <f ca="1">Calculation!V325</f>
        <v>-</v>
      </c>
      <c r="N344" s="181"/>
      <c r="O344" s="180" t="str">
        <f ca="1">Calculation!X325</f>
        <v>-</v>
      </c>
      <c r="P344" s="180" t="str">
        <f ca="1">Calculation!Y325</f>
        <v>-</v>
      </c>
      <c r="Q344" s="273"/>
      <c r="R344" s="182" t="str">
        <f ca="1">IF(AND(L344&lt;&gt;"-",Q344&lt;&gt;"bypass"),IFERROR(IF((U344*$R$23/0.05)-SUM(S344:U344)&gt;0,(U344*$R$23/0.05)-SUM(S344:U344),0),"-"),Calculation!AH325)</f>
        <v>-</v>
      </c>
      <c r="S344" s="179" t="str">
        <f ca="1">IF(AND(L344&lt;&gt;"-",Q344&lt;&gt;"bypass"),IFERROR(X344*((H344*10^-12-H344*10^-12*I344)/(Calculation!$U$8*10^-9)),"-"),Calculation!AF325)</f>
        <v>-</v>
      </c>
      <c r="T344" s="179" t="str">
        <f ca="1">IF(AND(L344&lt;&gt;"-",Q344&lt;&gt;"bypass"),IFERROR(H344*I344*X344/(IF(Cluster!AA344=Cluster!$W$8,Cluster!$W$10,IF(Cluster!AA344=Cluster!$X$8,Cluster!$X$10,IF(Cluster!AA344=Cluster!$Y$8,Cluster!$Y$10,0)))*10^3),"-"),Calculation!AK325)</f>
        <v>-</v>
      </c>
      <c r="U344" s="179" t="str">
        <f ca="1">IF(AND(L344&lt;&gt;"-",Q344&lt;&gt;"bypass"),IFERROR((0.5/50)*X344/$R$23,"-"),Calculation!AG325)</f>
        <v>-</v>
      </c>
      <c r="V344" s="179" t="str">
        <f ca="1">IF(AND(L344&lt;&gt;"-",Q344&lt;&gt;"bypass"),IFERROR(5/50*X344,"-"),Calculation!AI325)</f>
        <v>-</v>
      </c>
      <c r="W344" s="179" t="str">
        <f ca="1">IF(AND(L344&lt;&gt;"-",Q344&lt;&gt;"bypass"),IFERROR(35/50*X344,"-"),Calculation!AJ325)</f>
        <v>-</v>
      </c>
      <c r="X344" s="179" t="str">
        <f ca="1">IF(AND(L344&lt;&gt;"-",Q344&lt;&gt;"bypass"),$W$23,Calculation!AL325)</f>
        <v>-</v>
      </c>
      <c r="Y344" s="183" t="str">
        <f ca="1">IF(AND(L344&lt;&gt;"-",Q344&lt;&gt;"bypass"),IFERROR($R$23*U344/SUM(R344:U344),"-"),Calculation!AP325)</f>
        <v>-</v>
      </c>
      <c r="Z344" s="184" t="str">
        <f t="shared" ca="1" si="20"/>
        <v>-</v>
      </c>
      <c r="AA344" s="185" t="str">
        <f ca="1">IFERROR(IF(I344=0,"-",IF(AND(ROUND(H344*I344*X344/($W$10*10^3),1)&gt;=Calculation!$O$6,ROUND((((U344)*$R$23/0.05)-((S344)+(H344*I344*X344/($W$10*10^3))+(U344))),1)&gt;=0),Cluster!$W$8,IF(AND(ROUND(H344*I344*X344/($X$10*10^3),1)&gt;=Calculation!$O$6,ROUND((((U344)*$R$23/0.05)-((S344)+(H344*I344*X344/($X$10*10^3))+(U344))),1)&gt;=0),Cluster!$X$8,IF(AND(ROUND(H344*I344*X344/($Y$10*10^3),1)&gt;=Calculation!$O$6,ROUND((((U344)*$R$23/0.05)-((S344)+(H344*I344*X344/($Y$10*10^3))+(U344))),1)&gt;=0),Cluster!$Y$8,"Recepie by hand needed")))),"-")</f>
        <v>-</v>
      </c>
      <c r="AC344" s="37" t="str">
        <f t="shared" ca="1" si="21"/>
        <v>-</v>
      </c>
      <c r="AD344" s="37" t="str">
        <f t="shared" ca="1" si="22"/>
        <v>-</v>
      </c>
      <c r="AE344" s="220" t="str">
        <f t="shared" ca="1" si="23"/>
        <v>-</v>
      </c>
      <c r="AF344" s="37" t="str">
        <f t="shared" ca="1" si="24"/>
        <v>-</v>
      </c>
    </row>
    <row r="345" spans="1:32" ht="14.25" x14ac:dyDescent="0.5">
      <c r="A345" s="170" t="str">
        <f>Calculation!I326</f>
        <v/>
      </c>
      <c r="B345" s="221" t="str">
        <f ca="1">Calculation!B326</f>
        <v/>
      </c>
      <c r="C345" s="221" t="str">
        <f ca="1">Calculation!C326</f>
        <v/>
      </c>
      <c r="D345" s="172" t="str">
        <f ca="1">Calculation!AN326</f>
        <v/>
      </c>
      <c r="E345" s="173" t="str">
        <f ca="1">Calculation!D326</f>
        <v/>
      </c>
      <c r="F345" s="174" t="str">
        <f ca="1">Calculation!C326</f>
        <v/>
      </c>
      <c r="G345" s="175" t="str">
        <f ca="1">Calculation!F326</f>
        <v/>
      </c>
      <c r="H345" s="176" t="str">
        <f ca="1">Calculation!AD326</f>
        <v/>
      </c>
      <c r="I345" s="177" t="str">
        <f ca="1">Calculation!AE326</f>
        <v/>
      </c>
      <c r="J345" s="272" t="str">
        <f ca="1">IF(Calculation!Q326="","Selection",Calculation!Q326)</f>
        <v>Selection</v>
      </c>
      <c r="K345" s="179" t="str">
        <f ca="1">Calculation!T326</f>
        <v/>
      </c>
      <c r="L345" s="180" t="str">
        <f ca="1">Calculation!U326</f>
        <v>-</v>
      </c>
      <c r="M345" s="180" t="str">
        <f ca="1">Calculation!V326</f>
        <v>-</v>
      </c>
      <c r="N345" s="181"/>
      <c r="O345" s="180" t="str">
        <f ca="1">Calculation!X326</f>
        <v>-</v>
      </c>
      <c r="P345" s="180" t="str">
        <f ca="1">Calculation!Y326</f>
        <v>-</v>
      </c>
      <c r="Q345" s="273"/>
      <c r="R345" s="182" t="str">
        <f ca="1">IF(AND(L345&lt;&gt;"-",Q345&lt;&gt;"bypass"),IFERROR(IF((U345*$R$23/0.05)-SUM(S345:U345)&gt;0,(U345*$R$23/0.05)-SUM(S345:U345),0),"-"),Calculation!AH326)</f>
        <v>-</v>
      </c>
      <c r="S345" s="179" t="str">
        <f ca="1">IF(AND(L345&lt;&gt;"-",Q345&lt;&gt;"bypass"),IFERROR(X345*((H345*10^-12-H345*10^-12*I345)/(Calculation!$U$8*10^-9)),"-"),Calculation!AF326)</f>
        <v>-</v>
      </c>
      <c r="T345" s="179" t="str">
        <f ca="1">IF(AND(L345&lt;&gt;"-",Q345&lt;&gt;"bypass"),IFERROR(H345*I345*X345/(IF(Cluster!AA345=Cluster!$W$8,Cluster!$W$10,IF(Cluster!AA345=Cluster!$X$8,Cluster!$X$10,IF(Cluster!AA345=Cluster!$Y$8,Cluster!$Y$10,0)))*10^3),"-"),Calculation!AK326)</f>
        <v>-</v>
      </c>
      <c r="U345" s="179" t="str">
        <f ca="1">IF(AND(L345&lt;&gt;"-",Q345&lt;&gt;"bypass"),IFERROR((0.5/50)*X345/$R$23,"-"),Calculation!AG326)</f>
        <v>-</v>
      </c>
      <c r="V345" s="179" t="str">
        <f ca="1">IF(AND(L345&lt;&gt;"-",Q345&lt;&gt;"bypass"),IFERROR(5/50*X345,"-"),Calculation!AI326)</f>
        <v>-</v>
      </c>
      <c r="W345" s="179" t="str">
        <f ca="1">IF(AND(L345&lt;&gt;"-",Q345&lt;&gt;"bypass"),IFERROR(35/50*X345,"-"),Calculation!AJ326)</f>
        <v>-</v>
      </c>
      <c r="X345" s="179" t="str">
        <f ca="1">IF(AND(L345&lt;&gt;"-",Q345&lt;&gt;"bypass"),$W$23,Calculation!AL326)</f>
        <v>-</v>
      </c>
      <c r="Y345" s="183" t="str">
        <f ca="1">IF(AND(L345&lt;&gt;"-",Q345&lt;&gt;"bypass"),IFERROR($R$23*U345/SUM(R345:U345),"-"),Calculation!AP326)</f>
        <v>-</v>
      </c>
      <c r="Z345" s="184" t="str">
        <f t="shared" ca="1" si="20"/>
        <v>-</v>
      </c>
      <c r="AA345" s="185" t="str">
        <f ca="1">IFERROR(IF(I345=0,"-",IF(AND(ROUND(H345*I345*X345/($W$10*10^3),1)&gt;=Calculation!$O$6,ROUND((((U345)*$R$23/0.05)-((S345)+(H345*I345*X345/($W$10*10^3))+(U345))),1)&gt;=0),Cluster!$W$8,IF(AND(ROUND(H345*I345*X345/($X$10*10^3),1)&gt;=Calculation!$O$6,ROUND((((U345)*$R$23/0.05)-((S345)+(H345*I345*X345/($X$10*10^3))+(U345))),1)&gt;=0),Cluster!$X$8,IF(AND(ROUND(H345*I345*X345/($Y$10*10^3),1)&gt;=Calculation!$O$6,ROUND((((U345)*$R$23/0.05)-((S345)+(H345*I345*X345/($Y$10*10^3))+(U345))),1)&gt;=0),Cluster!$Y$8,"Recepie by hand needed")))),"-")</f>
        <v>-</v>
      </c>
      <c r="AC345" s="37" t="str">
        <f t="shared" ca="1" si="21"/>
        <v>-</v>
      </c>
      <c r="AD345" s="37" t="str">
        <f t="shared" ca="1" si="22"/>
        <v>-</v>
      </c>
      <c r="AE345" s="220" t="str">
        <f t="shared" ca="1" si="23"/>
        <v>-</v>
      </c>
      <c r="AF345" s="37" t="str">
        <f t="shared" ca="1" si="24"/>
        <v>-</v>
      </c>
    </row>
    <row r="346" spans="1:32" ht="14.25" x14ac:dyDescent="0.5">
      <c r="A346" s="170" t="str">
        <f>Calculation!I327</f>
        <v/>
      </c>
      <c r="B346" s="221" t="str">
        <f ca="1">Calculation!B327</f>
        <v/>
      </c>
      <c r="C346" s="221" t="str">
        <f ca="1">Calculation!C327</f>
        <v/>
      </c>
      <c r="D346" s="172" t="str">
        <f ca="1">Calculation!AN327</f>
        <v/>
      </c>
      <c r="E346" s="173" t="str">
        <f ca="1">Calculation!D327</f>
        <v/>
      </c>
      <c r="F346" s="174" t="str">
        <f ca="1">Calculation!C327</f>
        <v/>
      </c>
      <c r="G346" s="175" t="str">
        <f ca="1">Calculation!F327</f>
        <v/>
      </c>
      <c r="H346" s="176" t="str">
        <f ca="1">Calculation!AD327</f>
        <v/>
      </c>
      <c r="I346" s="177" t="str">
        <f ca="1">Calculation!AE327</f>
        <v/>
      </c>
      <c r="J346" s="272" t="str">
        <f ca="1">IF(Calculation!Q327="","Selection",Calculation!Q327)</f>
        <v>Selection</v>
      </c>
      <c r="K346" s="179" t="str">
        <f ca="1">Calculation!T327</f>
        <v/>
      </c>
      <c r="L346" s="180" t="str">
        <f ca="1">Calculation!U327</f>
        <v>-</v>
      </c>
      <c r="M346" s="180" t="str">
        <f ca="1">Calculation!V327</f>
        <v>-</v>
      </c>
      <c r="N346" s="181"/>
      <c r="O346" s="180" t="str">
        <f ca="1">Calculation!X327</f>
        <v>-</v>
      </c>
      <c r="P346" s="180" t="str">
        <f ca="1">Calculation!Y327</f>
        <v>-</v>
      </c>
      <c r="Q346" s="273"/>
      <c r="R346" s="182" t="str">
        <f ca="1">IF(AND(L346&lt;&gt;"-",Q346&lt;&gt;"bypass"),IFERROR(IF((U346*$R$23/0.05)-SUM(S346:U346)&gt;0,(U346*$R$23/0.05)-SUM(S346:U346),0),"-"),Calculation!AH327)</f>
        <v>-</v>
      </c>
      <c r="S346" s="179" t="str">
        <f ca="1">IF(AND(L346&lt;&gt;"-",Q346&lt;&gt;"bypass"),IFERROR(X346*((H346*10^-12-H346*10^-12*I346)/(Calculation!$U$8*10^-9)),"-"),Calculation!AF327)</f>
        <v>-</v>
      </c>
      <c r="T346" s="179" t="str">
        <f ca="1">IF(AND(L346&lt;&gt;"-",Q346&lt;&gt;"bypass"),IFERROR(H346*I346*X346/(IF(Cluster!AA346=Cluster!$W$8,Cluster!$W$10,IF(Cluster!AA346=Cluster!$X$8,Cluster!$X$10,IF(Cluster!AA346=Cluster!$Y$8,Cluster!$Y$10,0)))*10^3),"-"),Calculation!AK327)</f>
        <v>-</v>
      </c>
      <c r="U346" s="179" t="str">
        <f ca="1">IF(AND(L346&lt;&gt;"-",Q346&lt;&gt;"bypass"),IFERROR((0.5/50)*X346/$R$23,"-"),Calculation!AG327)</f>
        <v>-</v>
      </c>
      <c r="V346" s="179" t="str">
        <f ca="1">IF(AND(L346&lt;&gt;"-",Q346&lt;&gt;"bypass"),IFERROR(5/50*X346,"-"),Calculation!AI327)</f>
        <v>-</v>
      </c>
      <c r="W346" s="179" t="str">
        <f ca="1">IF(AND(L346&lt;&gt;"-",Q346&lt;&gt;"bypass"),IFERROR(35/50*X346,"-"),Calculation!AJ327)</f>
        <v>-</v>
      </c>
      <c r="X346" s="179" t="str">
        <f ca="1">IF(AND(L346&lt;&gt;"-",Q346&lt;&gt;"bypass"),$W$23,Calculation!AL327)</f>
        <v>-</v>
      </c>
      <c r="Y346" s="183" t="str">
        <f ca="1">IF(AND(L346&lt;&gt;"-",Q346&lt;&gt;"bypass"),IFERROR($R$23*U346/SUM(R346:U346),"-"),Calculation!AP327)</f>
        <v>-</v>
      </c>
      <c r="Z346" s="184" t="str">
        <f t="shared" ca="1" si="20"/>
        <v>-</v>
      </c>
      <c r="AA346" s="185" t="str">
        <f ca="1">IFERROR(IF(I346=0,"-",IF(AND(ROUND(H346*I346*X346/($W$10*10^3),1)&gt;=Calculation!$O$6,ROUND((((U346)*$R$23/0.05)-((S346)+(H346*I346*X346/($W$10*10^3))+(U346))),1)&gt;=0),Cluster!$W$8,IF(AND(ROUND(H346*I346*X346/($X$10*10^3),1)&gt;=Calculation!$O$6,ROUND((((U346)*$R$23/0.05)-((S346)+(H346*I346*X346/($X$10*10^3))+(U346))),1)&gt;=0),Cluster!$X$8,IF(AND(ROUND(H346*I346*X346/($Y$10*10^3),1)&gt;=Calculation!$O$6,ROUND((((U346)*$R$23/0.05)-((S346)+(H346*I346*X346/($Y$10*10^3))+(U346))),1)&gt;=0),Cluster!$Y$8,"Recepie by hand needed")))),"-")</f>
        <v>-</v>
      </c>
      <c r="AC346" s="37" t="str">
        <f t="shared" ca="1" si="21"/>
        <v>-</v>
      </c>
      <c r="AD346" s="37" t="str">
        <f t="shared" ca="1" si="22"/>
        <v>-</v>
      </c>
      <c r="AE346" s="220" t="str">
        <f t="shared" ca="1" si="23"/>
        <v>-</v>
      </c>
      <c r="AF346" s="37" t="str">
        <f t="shared" ca="1" si="24"/>
        <v>-</v>
      </c>
    </row>
    <row r="347" spans="1:32" ht="14.25" x14ac:dyDescent="0.5">
      <c r="A347" s="170" t="str">
        <f>Calculation!I328</f>
        <v/>
      </c>
      <c r="B347" s="221" t="str">
        <f ca="1">Calculation!B328</f>
        <v/>
      </c>
      <c r="C347" s="221" t="str">
        <f ca="1">Calculation!C328</f>
        <v/>
      </c>
      <c r="D347" s="172" t="str">
        <f ca="1">Calculation!AN328</f>
        <v/>
      </c>
      <c r="E347" s="173" t="str">
        <f ca="1">Calculation!D328</f>
        <v/>
      </c>
      <c r="F347" s="174" t="str">
        <f ca="1">Calculation!C328</f>
        <v/>
      </c>
      <c r="G347" s="175" t="str">
        <f ca="1">Calculation!F328</f>
        <v/>
      </c>
      <c r="H347" s="176" t="str">
        <f ca="1">Calculation!AD328</f>
        <v/>
      </c>
      <c r="I347" s="177" t="str">
        <f ca="1">Calculation!AE328</f>
        <v/>
      </c>
      <c r="J347" s="272" t="str">
        <f ca="1">IF(Calculation!Q328="","Selection",Calculation!Q328)</f>
        <v>Selection</v>
      </c>
      <c r="K347" s="179" t="str">
        <f ca="1">Calculation!T328</f>
        <v/>
      </c>
      <c r="L347" s="180" t="str">
        <f ca="1">Calculation!U328</f>
        <v>-</v>
      </c>
      <c r="M347" s="180" t="str">
        <f ca="1">Calculation!V328</f>
        <v>-</v>
      </c>
      <c r="N347" s="181"/>
      <c r="O347" s="180" t="str">
        <f ca="1">Calculation!X328</f>
        <v>-</v>
      </c>
      <c r="P347" s="180" t="str">
        <f ca="1">Calculation!Y328</f>
        <v>-</v>
      </c>
      <c r="Q347" s="273"/>
      <c r="R347" s="182" t="str">
        <f ca="1">IF(AND(L347&lt;&gt;"-",Q347&lt;&gt;"bypass"),IFERROR(IF((U347*$R$23/0.05)-SUM(S347:U347)&gt;0,(U347*$R$23/0.05)-SUM(S347:U347),0),"-"),Calculation!AH328)</f>
        <v>-</v>
      </c>
      <c r="S347" s="179" t="str">
        <f ca="1">IF(AND(L347&lt;&gt;"-",Q347&lt;&gt;"bypass"),IFERROR(X347*((H347*10^-12-H347*10^-12*I347)/(Calculation!$U$8*10^-9)),"-"),Calculation!AF328)</f>
        <v>-</v>
      </c>
      <c r="T347" s="179" t="str">
        <f ca="1">IF(AND(L347&lt;&gt;"-",Q347&lt;&gt;"bypass"),IFERROR(H347*I347*X347/(IF(Cluster!AA347=Cluster!$W$8,Cluster!$W$10,IF(Cluster!AA347=Cluster!$X$8,Cluster!$X$10,IF(Cluster!AA347=Cluster!$Y$8,Cluster!$Y$10,0)))*10^3),"-"),Calculation!AK328)</f>
        <v>-</v>
      </c>
      <c r="U347" s="179" t="str">
        <f ca="1">IF(AND(L347&lt;&gt;"-",Q347&lt;&gt;"bypass"),IFERROR((0.5/50)*X347/$R$23,"-"),Calculation!AG328)</f>
        <v>-</v>
      </c>
      <c r="V347" s="179" t="str">
        <f ca="1">IF(AND(L347&lt;&gt;"-",Q347&lt;&gt;"bypass"),IFERROR(5/50*X347,"-"),Calculation!AI328)</f>
        <v>-</v>
      </c>
      <c r="W347" s="179" t="str">
        <f ca="1">IF(AND(L347&lt;&gt;"-",Q347&lt;&gt;"bypass"),IFERROR(35/50*X347,"-"),Calculation!AJ328)</f>
        <v>-</v>
      </c>
      <c r="X347" s="179" t="str">
        <f ca="1">IF(AND(L347&lt;&gt;"-",Q347&lt;&gt;"bypass"),$W$23,Calculation!AL328)</f>
        <v>-</v>
      </c>
      <c r="Y347" s="183" t="str">
        <f ca="1">IF(AND(L347&lt;&gt;"-",Q347&lt;&gt;"bypass"),IFERROR($R$23*U347/SUM(R347:U347),"-"),Calculation!AP328)</f>
        <v>-</v>
      </c>
      <c r="Z347" s="184" t="str">
        <f t="shared" ca="1" si="20"/>
        <v>-</v>
      </c>
      <c r="AA347" s="185" t="str">
        <f ca="1">IFERROR(IF(I347=0,"-",IF(AND(ROUND(H347*I347*X347/($W$10*10^3),1)&gt;=Calculation!$O$6,ROUND((((U347)*$R$23/0.05)-((S347)+(H347*I347*X347/($W$10*10^3))+(U347))),1)&gt;=0),Cluster!$W$8,IF(AND(ROUND(H347*I347*X347/($X$10*10^3),1)&gt;=Calculation!$O$6,ROUND((((U347)*$R$23/0.05)-((S347)+(H347*I347*X347/($X$10*10^3))+(U347))),1)&gt;=0),Cluster!$X$8,IF(AND(ROUND(H347*I347*X347/($Y$10*10^3),1)&gt;=Calculation!$O$6,ROUND((((U347)*$R$23/0.05)-((S347)+(H347*I347*X347/($Y$10*10^3))+(U347))),1)&gt;=0),Cluster!$Y$8,"Recepie by hand needed")))),"-")</f>
        <v>-</v>
      </c>
      <c r="AC347" s="37" t="str">
        <f t="shared" ca="1" si="21"/>
        <v>-</v>
      </c>
      <c r="AD347" s="37" t="str">
        <f t="shared" ca="1" si="22"/>
        <v>-</v>
      </c>
      <c r="AE347" s="220" t="str">
        <f t="shared" ca="1" si="23"/>
        <v>-</v>
      </c>
      <c r="AF347" s="37" t="str">
        <f t="shared" ca="1" si="24"/>
        <v>-</v>
      </c>
    </row>
    <row r="348" spans="1:32" ht="14.25" x14ac:dyDescent="0.5">
      <c r="A348" s="170" t="str">
        <f>Calculation!I329</f>
        <v/>
      </c>
      <c r="B348" s="221" t="str">
        <f ca="1">Calculation!B329</f>
        <v/>
      </c>
      <c r="C348" s="221" t="str">
        <f ca="1">Calculation!C329</f>
        <v/>
      </c>
      <c r="D348" s="172" t="str">
        <f ca="1">Calculation!AN329</f>
        <v/>
      </c>
      <c r="E348" s="173" t="str">
        <f ca="1">Calculation!D329</f>
        <v/>
      </c>
      <c r="F348" s="174" t="str">
        <f ca="1">Calculation!C329</f>
        <v/>
      </c>
      <c r="G348" s="175" t="str">
        <f ca="1">Calculation!F329</f>
        <v/>
      </c>
      <c r="H348" s="176" t="str">
        <f ca="1">Calculation!AD329</f>
        <v/>
      </c>
      <c r="I348" s="177" t="str">
        <f ca="1">Calculation!AE329</f>
        <v/>
      </c>
      <c r="J348" s="272" t="str">
        <f ca="1">IF(Calculation!Q329="","Selection",Calculation!Q329)</f>
        <v>Selection</v>
      </c>
      <c r="K348" s="179" t="str">
        <f ca="1">Calculation!T329</f>
        <v/>
      </c>
      <c r="L348" s="180" t="str">
        <f ca="1">Calculation!U329</f>
        <v>-</v>
      </c>
      <c r="M348" s="180" t="str">
        <f ca="1">Calculation!V329</f>
        <v>-</v>
      </c>
      <c r="N348" s="181"/>
      <c r="O348" s="180" t="str">
        <f ca="1">Calculation!X329</f>
        <v>-</v>
      </c>
      <c r="P348" s="180" t="str">
        <f ca="1">Calculation!Y329</f>
        <v>-</v>
      </c>
      <c r="Q348" s="273"/>
      <c r="R348" s="182" t="str">
        <f ca="1">IF(AND(L348&lt;&gt;"-",Q348&lt;&gt;"bypass"),IFERROR(IF((U348*$R$23/0.05)-SUM(S348:U348)&gt;0,(U348*$R$23/0.05)-SUM(S348:U348),0),"-"),Calculation!AH329)</f>
        <v>-</v>
      </c>
      <c r="S348" s="179" t="str">
        <f ca="1">IF(AND(L348&lt;&gt;"-",Q348&lt;&gt;"bypass"),IFERROR(X348*((H348*10^-12-H348*10^-12*I348)/(Calculation!$U$8*10^-9)),"-"),Calculation!AF329)</f>
        <v>-</v>
      </c>
      <c r="T348" s="179" t="str">
        <f ca="1">IF(AND(L348&lt;&gt;"-",Q348&lt;&gt;"bypass"),IFERROR(H348*I348*X348/(IF(Cluster!AA348=Cluster!$W$8,Cluster!$W$10,IF(Cluster!AA348=Cluster!$X$8,Cluster!$X$10,IF(Cluster!AA348=Cluster!$Y$8,Cluster!$Y$10,0)))*10^3),"-"),Calculation!AK329)</f>
        <v>-</v>
      </c>
      <c r="U348" s="179" t="str">
        <f ca="1">IF(AND(L348&lt;&gt;"-",Q348&lt;&gt;"bypass"),IFERROR((0.5/50)*X348/$R$23,"-"),Calculation!AG329)</f>
        <v>-</v>
      </c>
      <c r="V348" s="179" t="str">
        <f ca="1">IF(AND(L348&lt;&gt;"-",Q348&lt;&gt;"bypass"),IFERROR(5/50*X348,"-"),Calculation!AI329)</f>
        <v>-</v>
      </c>
      <c r="W348" s="179" t="str">
        <f ca="1">IF(AND(L348&lt;&gt;"-",Q348&lt;&gt;"bypass"),IFERROR(35/50*X348,"-"),Calculation!AJ329)</f>
        <v>-</v>
      </c>
      <c r="X348" s="179" t="str">
        <f ca="1">IF(AND(L348&lt;&gt;"-",Q348&lt;&gt;"bypass"),$W$23,Calculation!AL329)</f>
        <v>-</v>
      </c>
      <c r="Y348" s="183" t="str">
        <f ca="1">IF(AND(L348&lt;&gt;"-",Q348&lt;&gt;"bypass"),IFERROR($R$23*U348/SUM(R348:U348),"-"),Calculation!AP329)</f>
        <v>-</v>
      </c>
      <c r="Z348" s="184" t="str">
        <f t="shared" ca="1" si="20"/>
        <v>-</v>
      </c>
      <c r="AA348" s="185" t="str">
        <f ca="1">IFERROR(IF(I348=0,"-",IF(AND(ROUND(H348*I348*X348/($W$10*10^3),1)&gt;=Calculation!$O$6,ROUND((((U348)*$R$23/0.05)-((S348)+(H348*I348*X348/($W$10*10^3))+(U348))),1)&gt;=0),Cluster!$W$8,IF(AND(ROUND(H348*I348*X348/($X$10*10^3),1)&gt;=Calculation!$O$6,ROUND((((U348)*$R$23/0.05)-((S348)+(H348*I348*X348/($X$10*10^3))+(U348))),1)&gt;=0),Cluster!$X$8,IF(AND(ROUND(H348*I348*X348/($Y$10*10^3),1)&gt;=Calculation!$O$6,ROUND((((U348)*$R$23/0.05)-((S348)+(H348*I348*X348/($Y$10*10^3))+(U348))),1)&gt;=0),Cluster!$Y$8,"Recepie by hand needed")))),"-")</f>
        <v>-</v>
      </c>
      <c r="AC348" s="37" t="str">
        <f t="shared" ca="1" si="21"/>
        <v>-</v>
      </c>
      <c r="AD348" s="37" t="str">
        <f t="shared" ca="1" si="22"/>
        <v>-</v>
      </c>
      <c r="AE348" s="220" t="str">
        <f t="shared" ca="1" si="23"/>
        <v>-</v>
      </c>
      <c r="AF348" s="37" t="str">
        <f t="shared" ca="1" si="24"/>
        <v>-</v>
      </c>
    </row>
    <row r="349" spans="1:32" ht="14.25" x14ac:dyDescent="0.5">
      <c r="A349" s="170" t="str">
        <f>Calculation!I330</f>
        <v/>
      </c>
      <c r="B349" s="221" t="str">
        <f ca="1">Calculation!B330</f>
        <v/>
      </c>
      <c r="C349" s="221" t="str">
        <f ca="1">Calculation!C330</f>
        <v/>
      </c>
      <c r="D349" s="172" t="str">
        <f ca="1">Calculation!AN330</f>
        <v/>
      </c>
      <c r="E349" s="173" t="str">
        <f ca="1">Calculation!D330</f>
        <v/>
      </c>
      <c r="F349" s="174" t="str">
        <f ca="1">Calculation!C330</f>
        <v/>
      </c>
      <c r="G349" s="175" t="str">
        <f ca="1">Calculation!F330</f>
        <v/>
      </c>
      <c r="H349" s="176" t="str">
        <f ca="1">Calculation!AD330</f>
        <v/>
      </c>
      <c r="I349" s="177" t="str">
        <f ca="1">Calculation!AE330</f>
        <v/>
      </c>
      <c r="J349" s="272" t="str">
        <f ca="1">IF(Calculation!Q330="","Selection",Calculation!Q330)</f>
        <v>Selection</v>
      </c>
      <c r="K349" s="179" t="str">
        <f ca="1">Calculation!T330</f>
        <v/>
      </c>
      <c r="L349" s="180" t="str">
        <f ca="1">Calculation!U330</f>
        <v>-</v>
      </c>
      <c r="M349" s="180" t="str">
        <f ca="1">Calculation!V330</f>
        <v>-</v>
      </c>
      <c r="N349" s="181"/>
      <c r="O349" s="180" t="str">
        <f ca="1">Calculation!X330</f>
        <v>-</v>
      </c>
      <c r="P349" s="180" t="str">
        <f ca="1">Calculation!Y330</f>
        <v>-</v>
      </c>
      <c r="Q349" s="273"/>
      <c r="R349" s="182" t="str">
        <f ca="1">IF(AND(L349&lt;&gt;"-",Q349&lt;&gt;"bypass"),IFERROR(IF((U349*$R$23/0.05)-SUM(S349:U349)&gt;0,(U349*$R$23/0.05)-SUM(S349:U349),0),"-"),Calculation!AH330)</f>
        <v>-</v>
      </c>
      <c r="S349" s="179" t="str">
        <f ca="1">IF(AND(L349&lt;&gt;"-",Q349&lt;&gt;"bypass"),IFERROR(X349*((H349*10^-12-H349*10^-12*I349)/(Calculation!$U$8*10^-9)),"-"),Calculation!AF330)</f>
        <v>-</v>
      </c>
      <c r="T349" s="179" t="str">
        <f ca="1">IF(AND(L349&lt;&gt;"-",Q349&lt;&gt;"bypass"),IFERROR(H349*I349*X349/(IF(Cluster!AA349=Cluster!$W$8,Cluster!$W$10,IF(Cluster!AA349=Cluster!$X$8,Cluster!$X$10,IF(Cluster!AA349=Cluster!$Y$8,Cluster!$Y$10,0)))*10^3),"-"),Calculation!AK330)</f>
        <v>-</v>
      </c>
      <c r="U349" s="179" t="str">
        <f ca="1">IF(AND(L349&lt;&gt;"-",Q349&lt;&gt;"bypass"),IFERROR((0.5/50)*X349/$R$23,"-"),Calculation!AG330)</f>
        <v>-</v>
      </c>
      <c r="V349" s="179" t="str">
        <f ca="1">IF(AND(L349&lt;&gt;"-",Q349&lt;&gt;"bypass"),IFERROR(5/50*X349,"-"),Calculation!AI330)</f>
        <v>-</v>
      </c>
      <c r="W349" s="179" t="str">
        <f ca="1">IF(AND(L349&lt;&gt;"-",Q349&lt;&gt;"bypass"),IFERROR(35/50*X349,"-"),Calculation!AJ330)</f>
        <v>-</v>
      </c>
      <c r="X349" s="179" t="str">
        <f ca="1">IF(AND(L349&lt;&gt;"-",Q349&lt;&gt;"bypass"),$W$23,Calculation!AL330)</f>
        <v>-</v>
      </c>
      <c r="Y349" s="183" t="str">
        <f ca="1">IF(AND(L349&lt;&gt;"-",Q349&lt;&gt;"bypass"),IFERROR($R$23*U349/SUM(R349:U349),"-"),Calculation!AP330)</f>
        <v>-</v>
      </c>
      <c r="Z349" s="184" t="str">
        <f t="shared" ref="Z349:Z412" ca="1" si="25">IF(INDEX(Calculation_Tab,MATCH(C349,Identifier,0),45)&lt;&gt;"-",A349,"-")</f>
        <v>-</v>
      </c>
      <c r="AA349" s="185" t="str">
        <f ca="1">IFERROR(IF(I349=0,"-",IF(AND(ROUND(H349*I349*X349/($W$10*10^3),1)&gt;=Calculation!$O$6,ROUND((((U349)*$R$23/0.05)-((S349)+(H349*I349*X349/($W$10*10^3))+(U349))),1)&gt;=0),Cluster!$W$8,IF(AND(ROUND(H349*I349*X349/($X$10*10^3),1)&gt;=Calculation!$O$6,ROUND((((U349)*$R$23/0.05)-((S349)+(H349*I349*X349/($X$10*10^3))+(U349))),1)&gt;=0),Cluster!$X$8,IF(AND(ROUND(H349*I349*X349/($Y$10*10^3),1)&gt;=Calculation!$O$6,ROUND((((U349)*$R$23/0.05)-((S349)+(H349*I349*X349/($Y$10*10^3))+(U349))),1)&gt;=0),Cluster!$Y$8,"Recepie by hand needed")))),"-")</f>
        <v>-</v>
      </c>
      <c r="AC349" s="37" t="str">
        <f t="shared" ref="AC349:AC412" ca="1" si="26">IFERROR(IF((I349*(H349*10^-12)*X349/((U349*$R$23-0.05*SUM(S349,U349))/0.05))/10^-9&lt;=0,"-",(I349*(H349*10^-12)*X349/((U349*$R$23-0.05*SUM(S349,U349))/0.05))/10^-9),"-")</f>
        <v>-</v>
      </c>
      <c r="AD349" s="37" t="str">
        <f t="shared" ref="AD349:AD412" ca="1" si="27">IFERROR(IF((I349*(H349*10^-12)*X349/10^-9)&lt;=0,"-",I349*(H349*10^-12)*X349/10^-9),"-")</f>
        <v>-</v>
      </c>
      <c r="AE349" s="220" t="str">
        <f t="shared" ref="AE349:AE412" ca="1" si="28">IFERROR(AD349-AC349,"-")</f>
        <v>-</v>
      </c>
      <c r="AF349" s="37" t="str">
        <f t="shared" ref="AF349:AF412" ca="1" si="29">IFERROR(IF(AVERAGE(AC349:AD349)&lt;=0,0.1,AVERAGE(AC349:AD349)),"-")</f>
        <v>-</v>
      </c>
    </row>
    <row r="350" spans="1:32" ht="14.25" x14ac:dyDescent="0.5">
      <c r="A350" s="170" t="str">
        <f>Calculation!I331</f>
        <v/>
      </c>
      <c r="B350" s="221" t="str">
        <f ca="1">Calculation!B331</f>
        <v/>
      </c>
      <c r="C350" s="221" t="str">
        <f ca="1">Calculation!C331</f>
        <v/>
      </c>
      <c r="D350" s="172" t="str">
        <f ca="1">Calculation!AN331</f>
        <v/>
      </c>
      <c r="E350" s="173" t="str">
        <f ca="1">Calculation!D331</f>
        <v/>
      </c>
      <c r="F350" s="174" t="str">
        <f ca="1">Calculation!C331</f>
        <v/>
      </c>
      <c r="G350" s="175" t="str">
        <f ca="1">Calculation!F331</f>
        <v/>
      </c>
      <c r="H350" s="176" t="str">
        <f ca="1">Calculation!AD331</f>
        <v/>
      </c>
      <c r="I350" s="177" t="str">
        <f ca="1">Calculation!AE331</f>
        <v/>
      </c>
      <c r="J350" s="272" t="str">
        <f ca="1">IF(Calculation!Q331="","Selection",Calculation!Q331)</f>
        <v>Selection</v>
      </c>
      <c r="K350" s="179" t="str">
        <f ca="1">Calculation!T331</f>
        <v/>
      </c>
      <c r="L350" s="180" t="str">
        <f ca="1">Calculation!U331</f>
        <v>-</v>
      </c>
      <c r="M350" s="180" t="str">
        <f ca="1">Calculation!V331</f>
        <v>-</v>
      </c>
      <c r="N350" s="181"/>
      <c r="O350" s="180" t="str">
        <f ca="1">Calculation!X331</f>
        <v>-</v>
      </c>
      <c r="P350" s="180" t="str">
        <f ca="1">Calculation!Y331</f>
        <v>-</v>
      </c>
      <c r="Q350" s="273"/>
      <c r="R350" s="182" t="str">
        <f ca="1">IF(AND(L350&lt;&gt;"-",Q350&lt;&gt;"bypass"),IFERROR(IF((U350*$R$23/0.05)-SUM(S350:U350)&gt;0,(U350*$R$23/0.05)-SUM(S350:U350),0),"-"),Calculation!AH331)</f>
        <v>-</v>
      </c>
      <c r="S350" s="179" t="str">
        <f ca="1">IF(AND(L350&lt;&gt;"-",Q350&lt;&gt;"bypass"),IFERROR(X350*((H350*10^-12-H350*10^-12*I350)/(Calculation!$U$8*10^-9)),"-"),Calculation!AF331)</f>
        <v>-</v>
      </c>
      <c r="T350" s="179" t="str">
        <f ca="1">IF(AND(L350&lt;&gt;"-",Q350&lt;&gt;"bypass"),IFERROR(H350*I350*X350/(IF(Cluster!AA350=Cluster!$W$8,Cluster!$W$10,IF(Cluster!AA350=Cluster!$X$8,Cluster!$X$10,IF(Cluster!AA350=Cluster!$Y$8,Cluster!$Y$10,0)))*10^3),"-"),Calculation!AK331)</f>
        <v>-</v>
      </c>
      <c r="U350" s="179" t="str">
        <f ca="1">IF(AND(L350&lt;&gt;"-",Q350&lt;&gt;"bypass"),IFERROR((0.5/50)*X350/$R$23,"-"),Calculation!AG331)</f>
        <v>-</v>
      </c>
      <c r="V350" s="179" t="str">
        <f ca="1">IF(AND(L350&lt;&gt;"-",Q350&lt;&gt;"bypass"),IFERROR(5/50*X350,"-"),Calculation!AI331)</f>
        <v>-</v>
      </c>
      <c r="W350" s="179" t="str">
        <f ca="1">IF(AND(L350&lt;&gt;"-",Q350&lt;&gt;"bypass"),IFERROR(35/50*X350,"-"),Calculation!AJ331)</f>
        <v>-</v>
      </c>
      <c r="X350" s="179" t="str">
        <f ca="1">IF(AND(L350&lt;&gt;"-",Q350&lt;&gt;"bypass"),$W$23,Calculation!AL331)</f>
        <v>-</v>
      </c>
      <c r="Y350" s="183" t="str">
        <f ca="1">IF(AND(L350&lt;&gt;"-",Q350&lt;&gt;"bypass"),IFERROR($R$23*U350/SUM(R350:U350),"-"),Calculation!AP331)</f>
        <v>-</v>
      </c>
      <c r="Z350" s="184" t="str">
        <f t="shared" ca="1" si="25"/>
        <v>-</v>
      </c>
      <c r="AA350" s="185" t="str">
        <f ca="1">IFERROR(IF(I350=0,"-",IF(AND(ROUND(H350*I350*X350/($W$10*10^3),1)&gt;=Calculation!$O$6,ROUND((((U350)*$R$23/0.05)-((S350)+(H350*I350*X350/($W$10*10^3))+(U350))),1)&gt;=0),Cluster!$W$8,IF(AND(ROUND(H350*I350*X350/($X$10*10^3),1)&gt;=Calculation!$O$6,ROUND((((U350)*$R$23/0.05)-((S350)+(H350*I350*X350/($X$10*10^3))+(U350))),1)&gt;=0),Cluster!$X$8,IF(AND(ROUND(H350*I350*X350/($Y$10*10^3),1)&gt;=Calculation!$O$6,ROUND((((U350)*$R$23/0.05)-((S350)+(H350*I350*X350/($Y$10*10^3))+(U350))),1)&gt;=0),Cluster!$Y$8,"Recepie by hand needed")))),"-")</f>
        <v>-</v>
      </c>
      <c r="AC350" s="37" t="str">
        <f t="shared" ca="1" si="26"/>
        <v>-</v>
      </c>
      <c r="AD350" s="37" t="str">
        <f t="shared" ca="1" si="27"/>
        <v>-</v>
      </c>
      <c r="AE350" s="220" t="str">
        <f t="shared" ca="1" si="28"/>
        <v>-</v>
      </c>
      <c r="AF350" s="37" t="str">
        <f t="shared" ca="1" si="29"/>
        <v>-</v>
      </c>
    </row>
    <row r="351" spans="1:32" ht="14.25" x14ac:dyDescent="0.5">
      <c r="A351" s="170" t="str">
        <f>Calculation!I332</f>
        <v/>
      </c>
      <c r="B351" s="221" t="str">
        <f ca="1">Calculation!B332</f>
        <v/>
      </c>
      <c r="C351" s="221" t="str">
        <f ca="1">Calculation!C332</f>
        <v/>
      </c>
      <c r="D351" s="172" t="str">
        <f ca="1">Calculation!AN332</f>
        <v/>
      </c>
      <c r="E351" s="173" t="str">
        <f ca="1">Calculation!D332</f>
        <v/>
      </c>
      <c r="F351" s="174" t="str">
        <f ca="1">Calculation!C332</f>
        <v/>
      </c>
      <c r="G351" s="175" t="str">
        <f ca="1">Calculation!F332</f>
        <v/>
      </c>
      <c r="H351" s="176" t="str">
        <f ca="1">Calculation!AD332</f>
        <v/>
      </c>
      <c r="I351" s="177" t="str">
        <f ca="1">Calculation!AE332</f>
        <v/>
      </c>
      <c r="J351" s="272" t="str">
        <f ca="1">IF(Calculation!Q332="","Selection",Calculation!Q332)</f>
        <v>Selection</v>
      </c>
      <c r="K351" s="179" t="str">
        <f ca="1">Calculation!T332</f>
        <v/>
      </c>
      <c r="L351" s="180" t="str">
        <f ca="1">Calculation!U332</f>
        <v>-</v>
      </c>
      <c r="M351" s="180" t="str">
        <f ca="1">Calculation!V332</f>
        <v>-</v>
      </c>
      <c r="N351" s="181"/>
      <c r="O351" s="180" t="str">
        <f ca="1">Calculation!X332</f>
        <v>-</v>
      </c>
      <c r="P351" s="180" t="str">
        <f ca="1">Calculation!Y332</f>
        <v>-</v>
      </c>
      <c r="Q351" s="273"/>
      <c r="R351" s="182" t="str">
        <f ca="1">IF(AND(L351&lt;&gt;"-",Q351&lt;&gt;"bypass"),IFERROR(IF((U351*$R$23/0.05)-SUM(S351:U351)&gt;0,(U351*$R$23/0.05)-SUM(S351:U351),0),"-"),Calculation!AH332)</f>
        <v>-</v>
      </c>
      <c r="S351" s="179" t="str">
        <f ca="1">IF(AND(L351&lt;&gt;"-",Q351&lt;&gt;"bypass"),IFERROR(X351*((H351*10^-12-H351*10^-12*I351)/(Calculation!$U$8*10^-9)),"-"),Calculation!AF332)</f>
        <v>-</v>
      </c>
      <c r="T351" s="179" t="str">
        <f ca="1">IF(AND(L351&lt;&gt;"-",Q351&lt;&gt;"bypass"),IFERROR(H351*I351*X351/(IF(Cluster!AA351=Cluster!$W$8,Cluster!$W$10,IF(Cluster!AA351=Cluster!$X$8,Cluster!$X$10,IF(Cluster!AA351=Cluster!$Y$8,Cluster!$Y$10,0)))*10^3),"-"),Calculation!AK332)</f>
        <v>-</v>
      </c>
      <c r="U351" s="179" t="str">
        <f ca="1">IF(AND(L351&lt;&gt;"-",Q351&lt;&gt;"bypass"),IFERROR((0.5/50)*X351/$R$23,"-"),Calculation!AG332)</f>
        <v>-</v>
      </c>
      <c r="V351" s="179" t="str">
        <f ca="1">IF(AND(L351&lt;&gt;"-",Q351&lt;&gt;"bypass"),IFERROR(5/50*X351,"-"),Calculation!AI332)</f>
        <v>-</v>
      </c>
      <c r="W351" s="179" t="str">
        <f ca="1">IF(AND(L351&lt;&gt;"-",Q351&lt;&gt;"bypass"),IFERROR(35/50*X351,"-"),Calculation!AJ332)</f>
        <v>-</v>
      </c>
      <c r="X351" s="179" t="str">
        <f ca="1">IF(AND(L351&lt;&gt;"-",Q351&lt;&gt;"bypass"),$W$23,Calculation!AL332)</f>
        <v>-</v>
      </c>
      <c r="Y351" s="183" t="str">
        <f ca="1">IF(AND(L351&lt;&gt;"-",Q351&lt;&gt;"bypass"),IFERROR($R$23*U351/SUM(R351:U351),"-"),Calculation!AP332)</f>
        <v>-</v>
      </c>
      <c r="Z351" s="184" t="str">
        <f t="shared" ca="1" si="25"/>
        <v>-</v>
      </c>
      <c r="AA351" s="185" t="str">
        <f ca="1">IFERROR(IF(I351=0,"-",IF(AND(ROUND(H351*I351*X351/($W$10*10^3),1)&gt;=Calculation!$O$6,ROUND((((U351)*$R$23/0.05)-((S351)+(H351*I351*X351/($W$10*10^3))+(U351))),1)&gt;=0),Cluster!$W$8,IF(AND(ROUND(H351*I351*X351/($X$10*10^3),1)&gt;=Calculation!$O$6,ROUND((((U351)*$R$23/0.05)-((S351)+(H351*I351*X351/($X$10*10^3))+(U351))),1)&gt;=0),Cluster!$X$8,IF(AND(ROUND(H351*I351*X351/($Y$10*10^3),1)&gt;=Calculation!$O$6,ROUND((((U351)*$R$23/0.05)-((S351)+(H351*I351*X351/($Y$10*10^3))+(U351))),1)&gt;=0),Cluster!$Y$8,"Recepie by hand needed")))),"-")</f>
        <v>-</v>
      </c>
      <c r="AC351" s="37" t="str">
        <f t="shared" ca="1" si="26"/>
        <v>-</v>
      </c>
      <c r="AD351" s="37" t="str">
        <f t="shared" ca="1" si="27"/>
        <v>-</v>
      </c>
      <c r="AE351" s="220" t="str">
        <f t="shared" ca="1" si="28"/>
        <v>-</v>
      </c>
      <c r="AF351" s="37" t="str">
        <f t="shared" ca="1" si="29"/>
        <v>-</v>
      </c>
    </row>
    <row r="352" spans="1:32" ht="14.25" x14ac:dyDescent="0.5">
      <c r="A352" s="170" t="str">
        <f>Calculation!I333</f>
        <v/>
      </c>
      <c r="B352" s="221" t="str">
        <f ca="1">Calculation!B333</f>
        <v/>
      </c>
      <c r="C352" s="221" t="str">
        <f ca="1">Calculation!C333</f>
        <v/>
      </c>
      <c r="D352" s="172" t="str">
        <f ca="1">Calculation!AN333</f>
        <v/>
      </c>
      <c r="E352" s="173" t="str">
        <f ca="1">Calculation!D333</f>
        <v/>
      </c>
      <c r="F352" s="174" t="str">
        <f ca="1">Calculation!C333</f>
        <v/>
      </c>
      <c r="G352" s="175" t="str">
        <f ca="1">Calculation!F333</f>
        <v/>
      </c>
      <c r="H352" s="176" t="str">
        <f ca="1">Calculation!AD333</f>
        <v/>
      </c>
      <c r="I352" s="177" t="str">
        <f ca="1">Calculation!AE333</f>
        <v/>
      </c>
      <c r="J352" s="272" t="str">
        <f ca="1">IF(Calculation!Q333="","Selection",Calculation!Q333)</f>
        <v>Selection</v>
      </c>
      <c r="K352" s="179" t="str">
        <f ca="1">Calculation!T333</f>
        <v/>
      </c>
      <c r="L352" s="180" t="str">
        <f ca="1">Calculation!U333</f>
        <v>-</v>
      </c>
      <c r="M352" s="180" t="str">
        <f ca="1">Calculation!V333</f>
        <v>-</v>
      </c>
      <c r="N352" s="181"/>
      <c r="O352" s="180" t="str">
        <f ca="1">Calculation!X333</f>
        <v>-</v>
      </c>
      <c r="P352" s="180" t="str">
        <f ca="1">Calculation!Y333</f>
        <v>-</v>
      </c>
      <c r="Q352" s="273"/>
      <c r="R352" s="182" t="str">
        <f ca="1">IF(AND(L352&lt;&gt;"-",Q352&lt;&gt;"bypass"),IFERROR(IF((U352*$R$23/0.05)-SUM(S352:U352)&gt;0,(U352*$R$23/0.05)-SUM(S352:U352),0),"-"),Calculation!AH333)</f>
        <v>-</v>
      </c>
      <c r="S352" s="179" t="str">
        <f ca="1">IF(AND(L352&lt;&gt;"-",Q352&lt;&gt;"bypass"),IFERROR(X352*((H352*10^-12-H352*10^-12*I352)/(Calculation!$U$8*10^-9)),"-"),Calculation!AF333)</f>
        <v>-</v>
      </c>
      <c r="T352" s="179" t="str">
        <f ca="1">IF(AND(L352&lt;&gt;"-",Q352&lt;&gt;"bypass"),IFERROR(H352*I352*X352/(IF(Cluster!AA352=Cluster!$W$8,Cluster!$W$10,IF(Cluster!AA352=Cluster!$X$8,Cluster!$X$10,IF(Cluster!AA352=Cluster!$Y$8,Cluster!$Y$10,0)))*10^3),"-"),Calculation!AK333)</f>
        <v>-</v>
      </c>
      <c r="U352" s="179" t="str">
        <f ca="1">IF(AND(L352&lt;&gt;"-",Q352&lt;&gt;"bypass"),IFERROR((0.5/50)*X352/$R$23,"-"),Calculation!AG333)</f>
        <v>-</v>
      </c>
      <c r="V352" s="179" t="str">
        <f ca="1">IF(AND(L352&lt;&gt;"-",Q352&lt;&gt;"bypass"),IFERROR(5/50*X352,"-"),Calculation!AI333)</f>
        <v>-</v>
      </c>
      <c r="W352" s="179" t="str">
        <f ca="1">IF(AND(L352&lt;&gt;"-",Q352&lt;&gt;"bypass"),IFERROR(35/50*X352,"-"),Calculation!AJ333)</f>
        <v>-</v>
      </c>
      <c r="X352" s="179" t="str">
        <f ca="1">IF(AND(L352&lt;&gt;"-",Q352&lt;&gt;"bypass"),$W$23,Calculation!AL333)</f>
        <v>-</v>
      </c>
      <c r="Y352" s="183" t="str">
        <f ca="1">IF(AND(L352&lt;&gt;"-",Q352&lt;&gt;"bypass"),IFERROR($R$23*U352/SUM(R352:U352),"-"),Calculation!AP333)</f>
        <v>-</v>
      </c>
      <c r="Z352" s="184" t="str">
        <f t="shared" ca="1" si="25"/>
        <v>-</v>
      </c>
      <c r="AA352" s="185" t="str">
        <f ca="1">IFERROR(IF(I352=0,"-",IF(AND(ROUND(H352*I352*X352/($W$10*10^3),1)&gt;=Calculation!$O$6,ROUND((((U352)*$R$23/0.05)-((S352)+(H352*I352*X352/($W$10*10^3))+(U352))),1)&gt;=0),Cluster!$W$8,IF(AND(ROUND(H352*I352*X352/($X$10*10^3),1)&gt;=Calculation!$O$6,ROUND((((U352)*$R$23/0.05)-((S352)+(H352*I352*X352/($X$10*10^3))+(U352))),1)&gt;=0),Cluster!$X$8,IF(AND(ROUND(H352*I352*X352/($Y$10*10^3),1)&gt;=Calculation!$O$6,ROUND((((U352)*$R$23/0.05)-((S352)+(H352*I352*X352/($Y$10*10^3))+(U352))),1)&gt;=0),Cluster!$Y$8,"Recepie by hand needed")))),"-")</f>
        <v>-</v>
      </c>
      <c r="AC352" s="37" t="str">
        <f t="shared" ca="1" si="26"/>
        <v>-</v>
      </c>
      <c r="AD352" s="37" t="str">
        <f t="shared" ca="1" si="27"/>
        <v>-</v>
      </c>
      <c r="AE352" s="220" t="str">
        <f t="shared" ca="1" si="28"/>
        <v>-</v>
      </c>
      <c r="AF352" s="37" t="str">
        <f t="shared" ca="1" si="29"/>
        <v>-</v>
      </c>
    </row>
    <row r="353" spans="1:32" ht="14.25" x14ac:dyDescent="0.5">
      <c r="A353" s="170" t="str">
        <f>Calculation!I334</f>
        <v/>
      </c>
      <c r="B353" s="221" t="str">
        <f ca="1">Calculation!B334</f>
        <v/>
      </c>
      <c r="C353" s="221" t="str">
        <f ca="1">Calculation!C334</f>
        <v/>
      </c>
      <c r="D353" s="172" t="str">
        <f ca="1">Calculation!AN334</f>
        <v/>
      </c>
      <c r="E353" s="173" t="str">
        <f ca="1">Calculation!D334</f>
        <v/>
      </c>
      <c r="F353" s="174" t="str">
        <f ca="1">Calculation!C334</f>
        <v/>
      </c>
      <c r="G353" s="175" t="str">
        <f ca="1">Calculation!F334</f>
        <v/>
      </c>
      <c r="H353" s="176" t="str">
        <f ca="1">Calculation!AD334</f>
        <v/>
      </c>
      <c r="I353" s="177" t="str">
        <f ca="1">Calculation!AE334</f>
        <v/>
      </c>
      <c r="J353" s="272" t="str">
        <f ca="1">IF(Calculation!Q334="","Selection",Calculation!Q334)</f>
        <v>Selection</v>
      </c>
      <c r="K353" s="179" t="str">
        <f ca="1">Calculation!T334</f>
        <v/>
      </c>
      <c r="L353" s="180" t="str">
        <f ca="1">Calculation!U334</f>
        <v>-</v>
      </c>
      <c r="M353" s="180" t="str">
        <f ca="1">Calculation!V334</f>
        <v>-</v>
      </c>
      <c r="N353" s="181"/>
      <c r="O353" s="180" t="str">
        <f ca="1">Calculation!X334</f>
        <v>-</v>
      </c>
      <c r="P353" s="180" t="str">
        <f ca="1">Calculation!Y334</f>
        <v>-</v>
      </c>
      <c r="Q353" s="273"/>
      <c r="R353" s="182" t="str">
        <f ca="1">IF(AND(L353&lt;&gt;"-",Q353&lt;&gt;"bypass"),IFERROR(IF((U353*$R$23/0.05)-SUM(S353:U353)&gt;0,(U353*$R$23/0.05)-SUM(S353:U353),0),"-"),Calculation!AH334)</f>
        <v>-</v>
      </c>
      <c r="S353" s="179" t="str">
        <f ca="1">IF(AND(L353&lt;&gt;"-",Q353&lt;&gt;"bypass"),IFERROR(X353*((H353*10^-12-H353*10^-12*I353)/(Calculation!$U$8*10^-9)),"-"),Calculation!AF334)</f>
        <v>-</v>
      </c>
      <c r="T353" s="179" t="str">
        <f ca="1">IF(AND(L353&lt;&gt;"-",Q353&lt;&gt;"bypass"),IFERROR(H353*I353*X353/(IF(Cluster!AA353=Cluster!$W$8,Cluster!$W$10,IF(Cluster!AA353=Cluster!$X$8,Cluster!$X$10,IF(Cluster!AA353=Cluster!$Y$8,Cluster!$Y$10,0)))*10^3),"-"),Calculation!AK334)</f>
        <v>-</v>
      </c>
      <c r="U353" s="179" t="str">
        <f ca="1">IF(AND(L353&lt;&gt;"-",Q353&lt;&gt;"bypass"),IFERROR((0.5/50)*X353/$R$23,"-"),Calculation!AG334)</f>
        <v>-</v>
      </c>
      <c r="V353" s="179" t="str">
        <f ca="1">IF(AND(L353&lt;&gt;"-",Q353&lt;&gt;"bypass"),IFERROR(5/50*X353,"-"),Calculation!AI334)</f>
        <v>-</v>
      </c>
      <c r="W353" s="179" t="str">
        <f ca="1">IF(AND(L353&lt;&gt;"-",Q353&lt;&gt;"bypass"),IFERROR(35/50*X353,"-"),Calculation!AJ334)</f>
        <v>-</v>
      </c>
      <c r="X353" s="179" t="str">
        <f ca="1">IF(AND(L353&lt;&gt;"-",Q353&lt;&gt;"bypass"),$W$23,Calculation!AL334)</f>
        <v>-</v>
      </c>
      <c r="Y353" s="183" t="str">
        <f ca="1">IF(AND(L353&lt;&gt;"-",Q353&lt;&gt;"bypass"),IFERROR($R$23*U353/SUM(R353:U353),"-"),Calculation!AP334)</f>
        <v>-</v>
      </c>
      <c r="Z353" s="184" t="str">
        <f t="shared" ca="1" si="25"/>
        <v>-</v>
      </c>
      <c r="AA353" s="185" t="str">
        <f ca="1">IFERROR(IF(I353=0,"-",IF(AND(ROUND(H353*I353*X353/($W$10*10^3),1)&gt;=Calculation!$O$6,ROUND((((U353)*$R$23/0.05)-((S353)+(H353*I353*X353/($W$10*10^3))+(U353))),1)&gt;=0),Cluster!$W$8,IF(AND(ROUND(H353*I353*X353/($X$10*10^3),1)&gt;=Calculation!$O$6,ROUND((((U353)*$R$23/0.05)-((S353)+(H353*I353*X353/($X$10*10^3))+(U353))),1)&gt;=0),Cluster!$X$8,IF(AND(ROUND(H353*I353*X353/($Y$10*10^3),1)&gt;=Calculation!$O$6,ROUND((((U353)*$R$23/0.05)-((S353)+(H353*I353*X353/($Y$10*10^3))+(U353))),1)&gt;=0),Cluster!$Y$8,"Recepie by hand needed")))),"-")</f>
        <v>-</v>
      </c>
      <c r="AC353" s="37" t="str">
        <f t="shared" ca="1" si="26"/>
        <v>-</v>
      </c>
      <c r="AD353" s="37" t="str">
        <f t="shared" ca="1" si="27"/>
        <v>-</v>
      </c>
      <c r="AE353" s="220" t="str">
        <f t="shared" ca="1" si="28"/>
        <v>-</v>
      </c>
      <c r="AF353" s="37" t="str">
        <f t="shared" ca="1" si="29"/>
        <v>-</v>
      </c>
    </row>
    <row r="354" spans="1:32" ht="14.25" x14ac:dyDescent="0.5">
      <c r="A354" s="170" t="str">
        <f>Calculation!I335</f>
        <v/>
      </c>
      <c r="B354" s="221" t="str">
        <f ca="1">Calculation!B335</f>
        <v/>
      </c>
      <c r="C354" s="221" t="str">
        <f ca="1">Calculation!C335</f>
        <v/>
      </c>
      <c r="D354" s="172" t="str">
        <f ca="1">Calculation!AN335</f>
        <v/>
      </c>
      <c r="E354" s="173" t="str">
        <f ca="1">Calculation!D335</f>
        <v/>
      </c>
      <c r="F354" s="174" t="str">
        <f ca="1">Calculation!C335</f>
        <v/>
      </c>
      <c r="G354" s="175" t="str">
        <f ca="1">Calculation!F335</f>
        <v/>
      </c>
      <c r="H354" s="176" t="str">
        <f ca="1">Calculation!AD335</f>
        <v/>
      </c>
      <c r="I354" s="177" t="str">
        <f ca="1">Calculation!AE335</f>
        <v/>
      </c>
      <c r="J354" s="272" t="str">
        <f ca="1">IF(Calculation!Q335="","Selection",Calculation!Q335)</f>
        <v>Selection</v>
      </c>
      <c r="K354" s="179" t="str">
        <f ca="1">Calculation!T335</f>
        <v/>
      </c>
      <c r="L354" s="180" t="str">
        <f ca="1">Calculation!U335</f>
        <v>-</v>
      </c>
      <c r="M354" s="180" t="str">
        <f ca="1">Calculation!V335</f>
        <v>-</v>
      </c>
      <c r="N354" s="181"/>
      <c r="O354" s="180" t="str">
        <f ca="1">Calculation!X335</f>
        <v>-</v>
      </c>
      <c r="P354" s="180" t="str">
        <f ca="1">Calculation!Y335</f>
        <v>-</v>
      </c>
      <c r="Q354" s="273"/>
      <c r="R354" s="182" t="str">
        <f ca="1">IF(AND(L354&lt;&gt;"-",Q354&lt;&gt;"bypass"),IFERROR(IF((U354*$R$23/0.05)-SUM(S354:U354)&gt;0,(U354*$R$23/0.05)-SUM(S354:U354),0),"-"),Calculation!AH335)</f>
        <v>-</v>
      </c>
      <c r="S354" s="179" t="str">
        <f ca="1">IF(AND(L354&lt;&gt;"-",Q354&lt;&gt;"bypass"),IFERROR(X354*((H354*10^-12-H354*10^-12*I354)/(Calculation!$U$8*10^-9)),"-"),Calculation!AF335)</f>
        <v>-</v>
      </c>
      <c r="T354" s="179" t="str">
        <f ca="1">IF(AND(L354&lt;&gt;"-",Q354&lt;&gt;"bypass"),IFERROR(H354*I354*X354/(IF(Cluster!AA354=Cluster!$W$8,Cluster!$W$10,IF(Cluster!AA354=Cluster!$X$8,Cluster!$X$10,IF(Cluster!AA354=Cluster!$Y$8,Cluster!$Y$10,0)))*10^3),"-"),Calculation!AK335)</f>
        <v>-</v>
      </c>
      <c r="U354" s="179" t="str">
        <f ca="1">IF(AND(L354&lt;&gt;"-",Q354&lt;&gt;"bypass"),IFERROR((0.5/50)*X354/$R$23,"-"),Calculation!AG335)</f>
        <v>-</v>
      </c>
      <c r="V354" s="179" t="str">
        <f ca="1">IF(AND(L354&lt;&gt;"-",Q354&lt;&gt;"bypass"),IFERROR(5/50*X354,"-"),Calculation!AI335)</f>
        <v>-</v>
      </c>
      <c r="W354" s="179" t="str">
        <f ca="1">IF(AND(L354&lt;&gt;"-",Q354&lt;&gt;"bypass"),IFERROR(35/50*X354,"-"),Calculation!AJ335)</f>
        <v>-</v>
      </c>
      <c r="X354" s="179" t="str">
        <f ca="1">IF(AND(L354&lt;&gt;"-",Q354&lt;&gt;"bypass"),$W$23,Calculation!AL335)</f>
        <v>-</v>
      </c>
      <c r="Y354" s="183" t="str">
        <f ca="1">IF(AND(L354&lt;&gt;"-",Q354&lt;&gt;"bypass"),IFERROR($R$23*U354/SUM(R354:U354),"-"),Calculation!AP335)</f>
        <v>-</v>
      </c>
      <c r="Z354" s="184" t="str">
        <f t="shared" ca="1" si="25"/>
        <v>-</v>
      </c>
      <c r="AA354" s="185" t="str">
        <f ca="1">IFERROR(IF(I354=0,"-",IF(AND(ROUND(H354*I354*X354/($W$10*10^3),1)&gt;=Calculation!$O$6,ROUND((((U354)*$R$23/0.05)-((S354)+(H354*I354*X354/($W$10*10^3))+(U354))),1)&gt;=0),Cluster!$W$8,IF(AND(ROUND(H354*I354*X354/($X$10*10^3),1)&gt;=Calculation!$O$6,ROUND((((U354)*$R$23/0.05)-((S354)+(H354*I354*X354/($X$10*10^3))+(U354))),1)&gt;=0),Cluster!$X$8,IF(AND(ROUND(H354*I354*X354/($Y$10*10^3),1)&gt;=Calculation!$O$6,ROUND((((U354)*$R$23/0.05)-((S354)+(H354*I354*X354/($Y$10*10^3))+(U354))),1)&gt;=0),Cluster!$Y$8,"Recepie by hand needed")))),"-")</f>
        <v>-</v>
      </c>
      <c r="AC354" s="37" t="str">
        <f t="shared" ca="1" si="26"/>
        <v>-</v>
      </c>
      <c r="AD354" s="37" t="str">
        <f t="shared" ca="1" si="27"/>
        <v>-</v>
      </c>
      <c r="AE354" s="220" t="str">
        <f t="shared" ca="1" si="28"/>
        <v>-</v>
      </c>
      <c r="AF354" s="37" t="str">
        <f t="shared" ca="1" si="29"/>
        <v>-</v>
      </c>
    </row>
    <row r="355" spans="1:32" ht="14.25" x14ac:dyDescent="0.5">
      <c r="A355" s="170" t="str">
        <f>Calculation!I336</f>
        <v/>
      </c>
      <c r="B355" s="221" t="str">
        <f ca="1">Calculation!B336</f>
        <v/>
      </c>
      <c r="C355" s="221" t="str">
        <f ca="1">Calculation!C336</f>
        <v/>
      </c>
      <c r="D355" s="172" t="str">
        <f ca="1">Calculation!AN336</f>
        <v/>
      </c>
      <c r="E355" s="173" t="str">
        <f ca="1">Calculation!D336</f>
        <v/>
      </c>
      <c r="F355" s="174" t="str">
        <f ca="1">Calculation!C336</f>
        <v/>
      </c>
      <c r="G355" s="175" t="str">
        <f ca="1">Calculation!F336</f>
        <v/>
      </c>
      <c r="H355" s="176" t="str">
        <f ca="1">Calculation!AD336</f>
        <v/>
      </c>
      <c r="I355" s="177" t="str">
        <f ca="1">Calculation!AE336</f>
        <v/>
      </c>
      <c r="J355" s="272" t="str">
        <f ca="1">IF(Calculation!Q336="","Selection",Calculation!Q336)</f>
        <v>Selection</v>
      </c>
      <c r="K355" s="179" t="str">
        <f ca="1">Calculation!T336</f>
        <v/>
      </c>
      <c r="L355" s="180" t="str">
        <f ca="1">Calculation!U336</f>
        <v>-</v>
      </c>
      <c r="M355" s="180" t="str">
        <f ca="1">Calculation!V336</f>
        <v>-</v>
      </c>
      <c r="N355" s="181"/>
      <c r="O355" s="180" t="str">
        <f ca="1">Calculation!X336</f>
        <v>-</v>
      </c>
      <c r="P355" s="180" t="str">
        <f ca="1">Calculation!Y336</f>
        <v>-</v>
      </c>
      <c r="Q355" s="273"/>
      <c r="R355" s="182" t="str">
        <f ca="1">IF(AND(L355&lt;&gt;"-",Q355&lt;&gt;"bypass"),IFERROR(IF((U355*$R$23/0.05)-SUM(S355:U355)&gt;0,(U355*$R$23/0.05)-SUM(S355:U355),0),"-"),Calculation!AH336)</f>
        <v>-</v>
      </c>
      <c r="S355" s="179" t="str">
        <f ca="1">IF(AND(L355&lt;&gt;"-",Q355&lt;&gt;"bypass"),IFERROR(X355*((H355*10^-12-H355*10^-12*I355)/(Calculation!$U$8*10^-9)),"-"),Calculation!AF336)</f>
        <v>-</v>
      </c>
      <c r="T355" s="179" t="str">
        <f ca="1">IF(AND(L355&lt;&gt;"-",Q355&lt;&gt;"bypass"),IFERROR(H355*I355*X355/(IF(Cluster!AA355=Cluster!$W$8,Cluster!$W$10,IF(Cluster!AA355=Cluster!$X$8,Cluster!$X$10,IF(Cluster!AA355=Cluster!$Y$8,Cluster!$Y$10,0)))*10^3),"-"),Calculation!AK336)</f>
        <v>-</v>
      </c>
      <c r="U355" s="179" t="str">
        <f ca="1">IF(AND(L355&lt;&gt;"-",Q355&lt;&gt;"bypass"),IFERROR((0.5/50)*X355/$R$23,"-"),Calculation!AG336)</f>
        <v>-</v>
      </c>
      <c r="V355" s="179" t="str">
        <f ca="1">IF(AND(L355&lt;&gt;"-",Q355&lt;&gt;"bypass"),IFERROR(5/50*X355,"-"),Calculation!AI336)</f>
        <v>-</v>
      </c>
      <c r="W355" s="179" t="str">
        <f ca="1">IF(AND(L355&lt;&gt;"-",Q355&lt;&gt;"bypass"),IFERROR(35/50*X355,"-"),Calculation!AJ336)</f>
        <v>-</v>
      </c>
      <c r="X355" s="179" t="str">
        <f ca="1">IF(AND(L355&lt;&gt;"-",Q355&lt;&gt;"bypass"),$W$23,Calculation!AL336)</f>
        <v>-</v>
      </c>
      <c r="Y355" s="183" t="str">
        <f ca="1">IF(AND(L355&lt;&gt;"-",Q355&lt;&gt;"bypass"),IFERROR($R$23*U355/SUM(R355:U355),"-"),Calculation!AP336)</f>
        <v>-</v>
      </c>
      <c r="Z355" s="184" t="str">
        <f t="shared" ca="1" si="25"/>
        <v>-</v>
      </c>
      <c r="AA355" s="185" t="str">
        <f ca="1">IFERROR(IF(I355=0,"-",IF(AND(ROUND(H355*I355*X355/($W$10*10^3),1)&gt;=Calculation!$O$6,ROUND((((U355)*$R$23/0.05)-((S355)+(H355*I355*X355/($W$10*10^3))+(U355))),1)&gt;=0),Cluster!$W$8,IF(AND(ROUND(H355*I355*X355/($X$10*10^3),1)&gt;=Calculation!$O$6,ROUND((((U355)*$R$23/0.05)-((S355)+(H355*I355*X355/($X$10*10^3))+(U355))),1)&gt;=0),Cluster!$X$8,IF(AND(ROUND(H355*I355*X355/($Y$10*10^3),1)&gt;=Calculation!$O$6,ROUND((((U355)*$R$23/0.05)-((S355)+(H355*I355*X355/($Y$10*10^3))+(U355))),1)&gt;=0),Cluster!$Y$8,"Recepie by hand needed")))),"-")</f>
        <v>-</v>
      </c>
      <c r="AC355" s="37" t="str">
        <f t="shared" ca="1" si="26"/>
        <v>-</v>
      </c>
      <c r="AD355" s="37" t="str">
        <f t="shared" ca="1" si="27"/>
        <v>-</v>
      </c>
      <c r="AE355" s="220" t="str">
        <f t="shared" ca="1" si="28"/>
        <v>-</v>
      </c>
      <c r="AF355" s="37" t="str">
        <f t="shared" ca="1" si="29"/>
        <v>-</v>
      </c>
    </row>
    <row r="356" spans="1:32" ht="14.25" x14ac:dyDescent="0.5">
      <c r="A356" s="170" t="str">
        <f>Calculation!I337</f>
        <v/>
      </c>
      <c r="B356" s="221" t="str">
        <f ca="1">Calculation!B337</f>
        <v/>
      </c>
      <c r="C356" s="221" t="str">
        <f ca="1">Calculation!C337</f>
        <v/>
      </c>
      <c r="D356" s="172" t="str">
        <f ca="1">Calculation!AN337</f>
        <v/>
      </c>
      <c r="E356" s="173" t="str">
        <f ca="1">Calculation!D337</f>
        <v/>
      </c>
      <c r="F356" s="174" t="str">
        <f ca="1">Calculation!C337</f>
        <v/>
      </c>
      <c r="G356" s="175" t="str">
        <f ca="1">Calculation!F337</f>
        <v/>
      </c>
      <c r="H356" s="176" t="str">
        <f ca="1">Calculation!AD337</f>
        <v/>
      </c>
      <c r="I356" s="177" t="str">
        <f ca="1">Calculation!AE337</f>
        <v/>
      </c>
      <c r="J356" s="272" t="str">
        <f ca="1">IF(Calculation!Q337="","Selection",Calculation!Q337)</f>
        <v>Selection</v>
      </c>
      <c r="K356" s="179" t="str">
        <f ca="1">Calculation!T337</f>
        <v/>
      </c>
      <c r="L356" s="180" t="str">
        <f ca="1">Calculation!U337</f>
        <v>-</v>
      </c>
      <c r="M356" s="180" t="str">
        <f ca="1">Calculation!V337</f>
        <v>-</v>
      </c>
      <c r="N356" s="181"/>
      <c r="O356" s="180" t="str">
        <f ca="1">Calculation!X337</f>
        <v>-</v>
      </c>
      <c r="P356" s="180" t="str">
        <f ca="1">Calculation!Y337</f>
        <v>-</v>
      </c>
      <c r="Q356" s="273"/>
      <c r="R356" s="182" t="str">
        <f ca="1">IF(AND(L356&lt;&gt;"-",Q356&lt;&gt;"bypass"),IFERROR(IF((U356*$R$23/0.05)-SUM(S356:U356)&gt;0,(U356*$R$23/0.05)-SUM(S356:U356),0),"-"),Calculation!AH337)</f>
        <v>-</v>
      </c>
      <c r="S356" s="179" t="str">
        <f ca="1">IF(AND(L356&lt;&gt;"-",Q356&lt;&gt;"bypass"),IFERROR(X356*((H356*10^-12-H356*10^-12*I356)/(Calculation!$U$8*10^-9)),"-"),Calculation!AF337)</f>
        <v>-</v>
      </c>
      <c r="T356" s="179" t="str">
        <f ca="1">IF(AND(L356&lt;&gt;"-",Q356&lt;&gt;"bypass"),IFERROR(H356*I356*X356/(IF(Cluster!AA356=Cluster!$W$8,Cluster!$W$10,IF(Cluster!AA356=Cluster!$X$8,Cluster!$X$10,IF(Cluster!AA356=Cluster!$Y$8,Cluster!$Y$10,0)))*10^3),"-"),Calculation!AK337)</f>
        <v>-</v>
      </c>
      <c r="U356" s="179" t="str">
        <f ca="1">IF(AND(L356&lt;&gt;"-",Q356&lt;&gt;"bypass"),IFERROR((0.5/50)*X356/$R$23,"-"),Calculation!AG337)</f>
        <v>-</v>
      </c>
      <c r="V356" s="179" t="str">
        <f ca="1">IF(AND(L356&lt;&gt;"-",Q356&lt;&gt;"bypass"),IFERROR(5/50*X356,"-"),Calculation!AI337)</f>
        <v>-</v>
      </c>
      <c r="W356" s="179" t="str">
        <f ca="1">IF(AND(L356&lt;&gt;"-",Q356&lt;&gt;"bypass"),IFERROR(35/50*X356,"-"),Calculation!AJ337)</f>
        <v>-</v>
      </c>
      <c r="X356" s="179" t="str">
        <f ca="1">IF(AND(L356&lt;&gt;"-",Q356&lt;&gt;"bypass"),$W$23,Calculation!AL337)</f>
        <v>-</v>
      </c>
      <c r="Y356" s="183" t="str">
        <f ca="1">IF(AND(L356&lt;&gt;"-",Q356&lt;&gt;"bypass"),IFERROR($R$23*U356/SUM(R356:U356),"-"),Calculation!AP337)</f>
        <v>-</v>
      </c>
      <c r="Z356" s="184" t="str">
        <f t="shared" ca="1" si="25"/>
        <v>-</v>
      </c>
      <c r="AA356" s="185" t="str">
        <f ca="1">IFERROR(IF(I356=0,"-",IF(AND(ROUND(H356*I356*X356/($W$10*10^3),1)&gt;=Calculation!$O$6,ROUND((((U356)*$R$23/0.05)-((S356)+(H356*I356*X356/($W$10*10^3))+(U356))),1)&gt;=0),Cluster!$W$8,IF(AND(ROUND(H356*I356*X356/($X$10*10^3),1)&gt;=Calculation!$O$6,ROUND((((U356)*$R$23/0.05)-((S356)+(H356*I356*X356/($X$10*10^3))+(U356))),1)&gt;=0),Cluster!$X$8,IF(AND(ROUND(H356*I356*X356/($Y$10*10^3),1)&gt;=Calculation!$O$6,ROUND((((U356)*$R$23/0.05)-((S356)+(H356*I356*X356/($Y$10*10^3))+(U356))),1)&gt;=0),Cluster!$Y$8,"Recepie by hand needed")))),"-")</f>
        <v>-</v>
      </c>
      <c r="AC356" s="37" t="str">
        <f t="shared" ca="1" si="26"/>
        <v>-</v>
      </c>
      <c r="AD356" s="37" t="str">
        <f t="shared" ca="1" si="27"/>
        <v>-</v>
      </c>
      <c r="AE356" s="220" t="str">
        <f t="shared" ca="1" si="28"/>
        <v>-</v>
      </c>
      <c r="AF356" s="37" t="str">
        <f t="shared" ca="1" si="29"/>
        <v>-</v>
      </c>
    </row>
    <row r="357" spans="1:32" ht="14.25" x14ac:dyDescent="0.5">
      <c r="A357" s="170" t="str">
        <f>Calculation!I338</f>
        <v/>
      </c>
      <c r="B357" s="221" t="str">
        <f ca="1">Calculation!B338</f>
        <v/>
      </c>
      <c r="C357" s="221" t="str">
        <f ca="1">Calculation!C338</f>
        <v/>
      </c>
      <c r="D357" s="172" t="str">
        <f ca="1">Calculation!AN338</f>
        <v/>
      </c>
      <c r="E357" s="173" t="str">
        <f ca="1">Calculation!D338</f>
        <v/>
      </c>
      <c r="F357" s="174" t="str">
        <f ca="1">Calculation!C338</f>
        <v/>
      </c>
      <c r="G357" s="175" t="str">
        <f ca="1">Calculation!F338</f>
        <v/>
      </c>
      <c r="H357" s="176" t="str">
        <f ca="1">Calculation!AD338</f>
        <v/>
      </c>
      <c r="I357" s="177" t="str">
        <f ca="1">Calculation!AE338</f>
        <v/>
      </c>
      <c r="J357" s="272" t="str">
        <f ca="1">IF(Calculation!Q338="","Selection",Calculation!Q338)</f>
        <v>Selection</v>
      </c>
      <c r="K357" s="179" t="str">
        <f ca="1">Calculation!T338</f>
        <v/>
      </c>
      <c r="L357" s="180" t="str">
        <f ca="1">Calculation!U338</f>
        <v>-</v>
      </c>
      <c r="M357" s="180" t="str">
        <f ca="1">Calculation!V338</f>
        <v>-</v>
      </c>
      <c r="N357" s="181"/>
      <c r="O357" s="180" t="str">
        <f ca="1">Calculation!X338</f>
        <v>-</v>
      </c>
      <c r="P357" s="180" t="str">
        <f ca="1">Calculation!Y338</f>
        <v>-</v>
      </c>
      <c r="Q357" s="273"/>
      <c r="R357" s="182" t="str">
        <f ca="1">IF(AND(L357&lt;&gt;"-",Q357&lt;&gt;"bypass"),IFERROR(IF((U357*$R$23/0.05)-SUM(S357:U357)&gt;0,(U357*$R$23/0.05)-SUM(S357:U357),0),"-"),Calculation!AH338)</f>
        <v>-</v>
      </c>
      <c r="S357" s="179" t="str">
        <f ca="1">IF(AND(L357&lt;&gt;"-",Q357&lt;&gt;"bypass"),IFERROR(X357*((H357*10^-12-H357*10^-12*I357)/(Calculation!$U$8*10^-9)),"-"),Calculation!AF338)</f>
        <v>-</v>
      </c>
      <c r="T357" s="179" t="str">
        <f ca="1">IF(AND(L357&lt;&gt;"-",Q357&lt;&gt;"bypass"),IFERROR(H357*I357*X357/(IF(Cluster!AA357=Cluster!$W$8,Cluster!$W$10,IF(Cluster!AA357=Cluster!$X$8,Cluster!$X$10,IF(Cluster!AA357=Cluster!$Y$8,Cluster!$Y$10,0)))*10^3),"-"),Calculation!AK338)</f>
        <v>-</v>
      </c>
      <c r="U357" s="179" t="str">
        <f ca="1">IF(AND(L357&lt;&gt;"-",Q357&lt;&gt;"bypass"),IFERROR((0.5/50)*X357/$R$23,"-"),Calculation!AG338)</f>
        <v>-</v>
      </c>
      <c r="V357" s="179" t="str">
        <f ca="1">IF(AND(L357&lt;&gt;"-",Q357&lt;&gt;"bypass"),IFERROR(5/50*X357,"-"),Calculation!AI338)</f>
        <v>-</v>
      </c>
      <c r="W357" s="179" t="str">
        <f ca="1">IF(AND(L357&lt;&gt;"-",Q357&lt;&gt;"bypass"),IFERROR(35/50*X357,"-"),Calculation!AJ338)</f>
        <v>-</v>
      </c>
      <c r="X357" s="179" t="str">
        <f ca="1">IF(AND(L357&lt;&gt;"-",Q357&lt;&gt;"bypass"),$W$23,Calculation!AL338)</f>
        <v>-</v>
      </c>
      <c r="Y357" s="183" t="str">
        <f ca="1">IF(AND(L357&lt;&gt;"-",Q357&lt;&gt;"bypass"),IFERROR($R$23*U357/SUM(R357:U357),"-"),Calculation!AP338)</f>
        <v>-</v>
      </c>
      <c r="Z357" s="184" t="str">
        <f t="shared" ca="1" si="25"/>
        <v>-</v>
      </c>
      <c r="AA357" s="185" t="str">
        <f ca="1">IFERROR(IF(I357=0,"-",IF(AND(ROUND(H357*I357*X357/($W$10*10^3),1)&gt;=Calculation!$O$6,ROUND((((U357)*$R$23/0.05)-((S357)+(H357*I357*X357/($W$10*10^3))+(U357))),1)&gt;=0),Cluster!$W$8,IF(AND(ROUND(H357*I357*X357/($X$10*10^3),1)&gt;=Calculation!$O$6,ROUND((((U357)*$R$23/0.05)-((S357)+(H357*I357*X357/($X$10*10^3))+(U357))),1)&gt;=0),Cluster!$X$8,IF(AND(ROUND(H357*I357*X357/($Y$10*10^3),1)&gt;=Calculation!$O$6,ROUND((((U357)*$R$23/0.05)-((S357)+(H357*I357*X357/($Y$10*10^3))+(U357))),1)&gt;=0),Cluster!$Y$8,"Recepie by hand needed")))),"-")</f>
        <v>-</v>
      </c>
      <c r="AC357" s="37" t="str">
        <f t="shared" ca="1" si="26"/>
        <v>-</v>
      </c>
      <c r="AD357" s="37" t="str">
        <f t="shared" ca="1" si="27"/>
        <v>-</v>
      </c>
      <c r="AE357" s="220" t="str">
        <f t="shared" ca="1" si="28"/>
        <v>-</v>
      </c>
      <c r="AF357" s="37" t="str">
        <f t="shared" ca="1" si="29"/>
        <v>-</v>
      </c>
    </row>
    <row r="358" spans="1:32" ht="14.25" x14ac:dyDescent="0.5">
      <c r="A358" s="170" t="str">
        <f>Calculation!I339</f>
        <v/>
      </c>
      <c r="B358" s="221" t="str">
        <f ca="1">Calculation!B339</f>
        <v/>
      </c>
      <c r="C358" s="221" t="str">
        <f ca="1">Calculation!C339</f>
        <v/>
      </c>
      <c r="D358" s="172" t="str">
        <f ca="1">Calculation!AN339</f>
        <v/>
      </c>
      <c r="E358" s="173" t="str">
        <f ca="1">Calculation!D339</f>
        <v/>
      </c>
      <c r="F358" s="174" t="str">
        <f ca="1">Calculation!C339</f>
        <v/>
      </c>
      <c r="G358" s="175" t="str">
        <f ca="1">Calculation!F339</f>
        <v/>
      </c>
      <c r="H358" s="176" t="str">
        <f ca="1">Calculation!AD339</f>
        <v/>
      </c>
      <c r="I358" s="177" t="str">
        <f ca="1">Calculation!AE339</f>
        <v/>
      </c>
      <c r="J358" s="272" t="str">
        <f ca="1">IF(Calculation!Q339="","Selection",Calculation!Q339)</f>
        <v>Selection</v>
      </c>
      <c r="K358" s="179" t="str">
        <f ca="1">Calculation!T339</f>
        <v/>
      </c>
      <c r="L358" s="180" t="str">
        <f ca="1">Calculation!U339</f>
        <v>-</v>
      </c>
      <c r="M358" s="180" t="str">
        <f ca="1">Calculation!V339</f>
        <v>-</v>
      </c>
      <c r="N358" s="181"/>
      <c r="O358" s="180" t="str">
        <f ca="1">Calculation!X339</f>
        <v>-</v>
      </c>
      <c r="P358" s="180" t="str">
        <f ca="1">Calculation!Y339</f>
        <v>-</v>
      </c>
      <c r="Q358" s="273"/>
      <c r="R358" s="182" t="str">
        <f ca="1">IF(AND(L358&lt;&gt;"-",Q358&lt;&gt;"bypass"),IFERROR(IF((U358*$R$23/0.05)-SUM(S358:U358)&gt;0,(U358*$R$23/0.05)-SUM(S358:U358),0),"-"),Calculation!AH339)</f>
        <v>-</v>
      </c>
      <c r="S358" s="179" t="str">
        <f ca="1">IF(AND(L358&lt;&gt;"-",Q358&lt;&gt;"bypass"),IFERROR(X358*((H358*10^-12-H358*10^-12*I358)/(Calculation!$U$8*10^-9)),"-"),Calculation!AF339)</f>
        <v>-</v>
      </c>
      <c r="T358" s="179" t="str">
        <f ca="1">IF(AND(L358&lt;&gt;"-",Q358&lt;&gt;"bypass"),IFERROR(H358*I358*X358/(IF(Cluster!AA358=Cluster!$W$8,Cluster!$W$10,IF(Cluster!AA358=Cluster!$X$8,Cluster!$X$10,IF(Cluster!AA358=Cluster!$Y$8,Cluster!$Y$10,0)))*10^3),"-"),Calculation!AK339)</f>
        <v>-</v>
      </c>
      <c r="U358" s="179" t="str">
        <f ca="1">IF(AND(L358&lt;&gt;"-",Q358&lt;&gt;"bypass"),IFERROR((0.5/50)*X358/$R$23,"-"),Calculation!AG339)</f>
        <v>-</v>
      </c>
      <c r="V358" s="179" t="str">
        <f ca="1">IF(AND(L358&lt;&gt;"-",Q358&lt;&gt;"bypass"),IFERROR(5/50*X358,"-"),Calculation!AI339)</f>
        <v>-</v>
      </c>
      <c r="W358" s="179" t="str">
        <f ca="1">IF(AND(L358&lt;&gt;"-",Q358&lt;&gt;"bypass"),IFERROR(35/50*X358,"-"),Calculation!AJ339)</f>
        <v>-</v>
      </c>
      <c r="X358" s="179" t="str">
        <f ca="1">IF(AND(L358&lt;&gt;"-",Q358&lt;&gt;"bypass"),$W$23,Calculation!AL339)</f>
        <v>-</v>
      </c>
      <c r="Y358" s="183" t="str">
        <f ca="1">IF(AND(L358&lt;&gt;"-",Q358&lt;&gt;"bypass"),IFERROR($R$23*U358/SUM(R358:U358),"-"),Calculation!AP339)</f>
        <v>-</v>
      </c>
      <c r="Z358" s="184" t="str">
        <f t="shared" ca="1" si="25"/>
        <v>-</v>
      </c>
      <c r="AA358" s="185" t="str">
        <f ca="1">IFERROR(IF(I358=0,"-",IF(AND(ROUND(H358*I358*X358/($W$10*10^3),1)&gt;=Calculation!$O$6,ROUND((((U358)*$R$23/0.05)-((S358)+(H358*I358*X358/($W$10*10^3))+(U358))),1)&gt;=0),Cluster!$W$8,IF(AND(ROUND(H358*I358*X358/($X$10*10^3),1)&gt;=Calculation!$O$6,ROUND((((U358)*$R$23/0.05)-((S358)+(H358*I358*X358/($X$10*10^3))+(U358))),1)&gt;=0),Cluster!$X$8,IF(AND(ROUND(H358*I358*X358/($Y$10*10^3),1)&gt;=Calculation!$O$6,ROUND((((U358)*$R$23/0.05)-((S358)+(H358*I358*X358/($Y$10*10^3))+(U358))),1)&gt;=0),Cluster!$Y$8,"Recepie by hand needed")))),"-")</f>
        <v>-</v>
      </c>
      <c r="AC358" s="37" t="str">
        <f t="shared" ca="1" si="26"/>
        <v>-</v>
      </c>
      <c r="AD358" s="37" t="str">
        <f t="shared" ca="1" si="27"/>
        <v>-</v>
      </c>
      <c r="AE358" s="220" t="str">
        <f t="shared" ca="1" si="28"/>
        <v>-</v>
      </c>
      <c r="AF358" s="37" t="str">
        <f t="shared" ca="1" si="29"/>
        <v>-</v>
      </c>
    </row>
    <row r="359" spans="1:32" ht="14.25" x14ac:dyDescent="0.5">
      <c r="A359" s="170" t="str">
        <f>Calculation!I340</f>
        <v/>
      </c>
      <c r="B359" s="221" t="str">
        <f ca="1">Calculation!B340</f>
        <v/>
      </c>
      <c r="C359" s="221" t="str">
        <f ca="1">Calculation!C340</f>
        <v/>
      </c>
      <c r="D359" s="172" t="str">
        <f ca="1">Calculation!AN340</f>
        <v/>
      </c>
      <c r="E359" s="173" t="str">
        <f ca="1">Calculation!D340</f>
        <v/>
      </c>
      <c r="F359" s="174" t="str">
        <f ca="1">Calculation!C340</f>
        <v/>
      </c>
      <c r="G359" s="175" t="str">
        <f ca="1">Calculation!F340</f>
        <v/>
      </c>
      <c r="H359" s="176" t="str">
        <f ca="1">Calculation!AD340</f>
        <v/>
      </c>
      <c r="I359" s="177" t="str">
        <f ca="1">Calculation!AE340</f>
        <v/>
      </c>
      <c r="J359" s="272" t="str">
        <f ca="1">IF(Calculation!Q340="","Selection",Calculation!Q340)</f>
        <v>Selection</v>
      </c>
      <c r="K359" s="179" t="str">
        <f ca="1">Calculation!T340</f>
        <v/>
      </c>
      <c r="L359" s="180" t="str">
        <f ca="1">Calculation!U340</f>
        <v>-</v>
      </c>
      <c r="M359" s="180" t="str">
        <f ca="1">Calculation!V340</f>
        <v>-</v>
      </c>
      <c r="N359" s="181"/>
      <c r="O359" s="180" t="str">
        <f ca="1">Calculation!X340</f>
        <v>-</v>
      </c>
      <c r="P359" s="180" t="str">
        <f ca="1">Calculation!Y340</f>
        <v>-</v>
      </c>
      <c r="Q359" s="273"/>
      <c r="R359" s="182" t="str">
        <f ca="1">IF(AND(L359&lt;&gt;"-",Q359&lt;&gt;"bypass"),IFERROR(IF((U359*$R$23/0.05)-SUM(S359:U359)&gt;0,(U359*$R$23/0.05)-SUM(S359:U359),0),"-"),Calculation!AH340)</f>
        <v>-</v>
      </c>
      <c r="S359" s="179" t="str">
        <f ca="1">IF(AND(L359&lt;&gt;"-",Q359&lt;&gt;"bypass"),IFERROR(X359*((H359*10^-12-H359*10^-12*I359)/(Calculation!$U$8*10^-9)),"-"),Calculation!AF340)</f>
        <v>-</v>
      </c>
      <c r="T359" s="179" t="str">
        <f ca="1">IF(AND(L359&lt;&gt;"-",Q359&lt;&gt;"bypass"),IFERROR(H359*I359*X359/(IF(Cluster!AA359=Cluster!$W$8,Cluster!$W$10,IF(Cluster!AA359=Cluster!$X$8,Cluster!$X$10,IF(Cluster!AA359=Cluster!$Y$8,Cluster!$Y$10,0)))*10^3),"-"),Calculation!AK340)</f>
        <v>-</v>
      </c>
      <c r="U359" s="179" t="str">
        <f ca="1">IF(AND(L359&lt;&gt;"-",Q359&lt;&gt;"bypass"),IFERROR((0.5/50)*X359/$R$23,"-"),Calculation!AG340)</f>
        <v>-</v>
      </c>
      <c r="V359" s="179" t="str">
        <f ca="1">IF(AND(L359&lt;&gt;"-",Q359&lt;&gt;"bypass"),IFERROR(5/50*X359,"-"),Calculation!AI340)</f>
        <v>-</v>
      </c>
      <c r="W359" s="179" t="str">
        <f ca="1">IF(AND(L359&lt;&gt;"-",Q359&lt;&gt;"bypass"),IFERROR(35/50*X359,"-"),Calculation!AJ340)</f>
        <v>-</v>
      </c>
      <c r="X359" s="179" t="str">
        <f ca="1">IF(AND(L359&lt;&gt;"-",Q359&lt;&gt;"bypass"),$W$23,Calculation!AL340)</f>
        <v>-</v>
      </c>
      <c r="Y359" s="183" t="str">
        <f ca="1">IF(AND(L359&lt;&gt;"-",Q359&lt;&gt;"bypass"),IFERROR($R$23*U359/SUM(R359:U359),"-"),Calculation!AP340)</f>
        <v>-</v>
      </c>
      <c r="Z359" s="184" t="str">
        <f t="shared" ca="1" si="25"/>
        <v>-</v>
      </c>
      <c r="AA359" s="185" t="str">
        <f ca="1">IFERROR(IF(I359=0,"-",IF(AND(ROUND(H359*I359*X359/($W$10*10^3),1)&gt;=Calculation!$O$6,ROUND((((U359)*$R$23/0.05)-((S359)+(H359*I359*X359/($W$10*10^3))+(U359))),1)&gt;=0),Cluster!$W$8,IF(AND(ROUND(H359*I359*X359/($X$10*10^3),1)&gt;=Calculation!$O$6,ROUND((((U359)*$R$23/0.05)-((S359)+(H359*I359*X359/($X$10*10^3))+(U359))),1)&gt;=0),Cluster!$X$8,IF(AND(ROUND(H359*I359*X359/($Y$10*10^3),1)&gt;=Calculation!$O$6,ROUND((((U359)*$R$23/0.05)-((S359)+(H359*I359*X359/($Y$10*10^3))+(U359))),1)&gt;=0),Cluster!$Y$8,"Recepie by hand needed")))),"-")</f>
        <v>-</v>
      </c>
      <c r="AC359" s="37" t="str">
        <f t="shared" ca="1" si="26"/>
        <v>-</v>
      </c>
      <c r="AD359" s="37" t="str">
        <f t="shared" ca="1" si="27"/>
        <v>-</v>
      </c>
      <c r="AE359" s="220" t="str">
        <f t="shared" ca="1" si="28"/>
        <v>-</v>
      </c>
      <c r="AF359" s="37" t="str">
        <f t="shared" ca="1" si="29"/>
        <v>-</v>
      </c>
    </row>
    <row r="360" spans="1:32" ht="14.25" x14ac:dyDescent="0.5">
      <c r="A360" s="170" t="str">
        <f>Calculation!I341</f>
        <v/>
      </c>
      <c r="B360" s="221" t="str">
        <f ca="1">Calculation!B341</f>
        <v/>
      </c>
      <c r="C360" s="221" t="str">
        <f ca="1">Calculation!C341</f>
        <v/>
      </c>
      <c r="D360" s="172" t="str">
        <f ca="1">Calculation!AN341</f>
        <v/>
      </c>
      <c r="E360" s="173" t="str">
        <f ca="1">Calculation!D341</f>
        <v/>
      </c>
      <c r="F360" s="174" t="str">
        <f ca="1">Calculation!C341</f>
        <v/>
      </c>
      <c r="G360" s="175" t="str">
        <f ca="1">Calculation!F341</f>
        <v/>
      </c>
      <c r="H360" s="176" t="str">
        <f ca="1">Calculation!AD341</f>
        <v/>
      </c>
      <c r="I360" s="177" t="str">
        <f ca="1">Calculation!AE341</f>
        <v/>
      </c>
      <c r="J360" s="272" t="str">
        <f ca="1">IF(Calculation!Q341="","Selection",Calculation!Q341)</f>
        <v>Selection</v>
      </c>
      <c r="K360" s="179" t="str">
        <f ca="1">Calculation!T341</f>
        <v/>
      </c>
      <c r="L360" s="180" t="str">
        <f ca="1">Calculation!U341</f>
        <v>-</v>
      </c>
      <c r="M360" s="180" t="str">
        <f ca="1">Calculation!V341</f>
        <v>-</v>
      </c>
      <c r="N360" s="181"/>
      <c r="O360" s="180" t="str">
        <f ca="1">Calculation!X341</f>
        <v>-</v>
      </c>
      <c r="P360" s="180" t="str">
        <f ca="1">Calculation!Y341</f>
        <v>-</v>
      </c>
      <c r="Q360" s="273"/>
      <c r="R360" s="182" t="str">
        <f ca="1">IF(AND(L360&lt;&gt;"-",Q360&lt;&gt;"bypass"),IFERROR(IF((U360*$R$23/0.05)-SUM(S360:U360)&gt;0,(U360*$R$23/0.05)-SUM(S360:U360),0),"-"),Calculation!AH341)</f>
        <v>-</v>
      </c>
      <c r="S360" s="179" t="str">
        <f ca="1">IF(AND(L360&lt;&gt;"-",Q360&lt;&gt;"bypass"),IFERROR(X360*((H360*10^-12-H360*10^-12*I360)/(Calculation!$U$8*10^-9)),"-"),Calculation!AF341)</f>
        <v>-</v>
      </c>
      <c r="T360" s="179" t="str">
        <f ca="1">IF(AND(L360&lt;&gt;"-",Q360&lt;&gt;"bypass"),IFERROR(H360*I360*X360/(IF(Cluster!AA360=Cluster!$W$8,Cluster!$W$10,IF(Cluster!AA360=Cluster!$X$8,Cluster!$X$10,IF(Cluster!AA360=Cluster!$Y$8,Cluster!$Y$10,0)))*10^3),"-"),Calculation!AK341)</f>
        <v>-</v>
      </c>
      <c r="U360" s="179" t="str">
        <f ca="1">IF(AND(L360&lt;&gt;"-",Q360&lt;&gt;"bypass"),IFERROR((0.5/50)*X360/$R$23,"-"),Calculation!AG341)</f>
        <v>-</v>
      </c>
      <c r="V360" s="179" t="str">
        <f ca="1">IF(AND(L360&lt;&gt;"-",Q360&lt;&gt;"bypass"),IFERROR(5/50*X360,"-"),Calculation!AI341)</f>
        <v>-</v>
      </c>
      <c r="W360" s="179" t="str">
        <f ca="1">IF(AND(L360&lt;&gt;"-",Q360&lt;&gt;"bypass"),IFERROR(35/50*X360,"-"),Calculation!AJ341)</f>
        <v>-</v>
      </c>
      <c r="X360" s="179" t="str">
        <f ca="1">IF(AND(L360&lt;&gt;"-",Q360&lt;&gt;"bypass"),$W$23,Calculation!AL341)</f>
        <v>-</v>
      </c>
      <c r="Y360" s="183" t="str">
        <f ca="1">IF(AND(L360&lt;&gt;"-",Q360&lt;&gt;"bypass"),IFERROR($R$23*U360/SUM(R360:U360),"-"),Calculation!AP341)</f>
        <v>-</v>
      </c>
      <c r="Z360" s="184" t="str">
        <f t="shared" ca="1" si="25"/>
        <v>-</v>
      </c>
      <c r="AA360" s="185" t="str">
        <f ca="1">IFERROR(IF(I360=0,"-",IF(AND(ROUND(H360*I360*X360/($W$10*10^3),1)&gt;=Calculation!$O$6,ROUND((((U360)*$R$23/0.05)-((S360)+(H360*I360*X360/($W$10*10^3))+(U360))),1)&gt;=0),Cluster!$W$8,IF(AND(ROUND(H360*I360*X360/($X$10*10^3),1)&gt;=Calculation!$O$6,ROUND((((U360)*$R$23/0.05)-((S360)+(H360*I360*X360/($X$10*10^3))+(U360))),1)&gt;=0),Cluster!$X$8,IF(AND(ROUND(H360*I360*X360/($Y$10*10^3),1)&gt;=Calculation!$O$6,ROUND((((U360)*$R$23/0.05)-((S360)+(H360*I360*X360/($Y$10*10^3))+(U360))),1)&gt;=0),Cluster!$Y$8,"Recepie by hand needed")))),"-")</f>
        <v>-</v>
      </c>
      <c r="AC360" s="37" t="str">
        <f t="shared" ca="1" si="26"/>
        <v>-</v>
      </c>
      <c r="AD360" s="37" t="str">
        <f t="shared" ca="1" si="27"/>
        <v>-</v>
      </c>
      <c r="AE360" s="220" t="str">
        <f t="shared" ca="1" si="28"/>
        <v>-</v>
      </c>
      <c r="AF360" s="37" t="str">
        <f t="shared" ca="1" si="29"/>
        <v>-</v>
      </c>
    </row>
    <row r="361" spans="1:32" ht="14.25" x14ac:dyDescent="0.5">
      <c r="A361" s="170" t="str">
        <f>Calculation!I342</f>
        <v/>
      </c>
      <c r="B361" s="221" t="str">
        <f ca="1">Calculation!B342</f>
        <v/>
      </c>
      <c r="C361" s="221" t="str">
        <f ca="1">Calculation!C342</f>
        <v/>
      </c>
      <c r="D361" s="172" t="str">
        <f ca="1">Calculation!AN342</f>
        <v/>
      </c>
      <c r="E361" s="173" t="str">
        <f ca="1">Calculation!D342</f>
        <v/>
      </c>
      <c r="F361" s="174" t="str">
        <f ca="1">Calculation!C342</f>
        <v/>
      </c>
      <c r="G361" s="175" t="str">
        <f ca="1">Calculation!F342</f>
        <v/>
      </c>
      <c r="H361" s="176" t="str">
        <f ca="1">Calculation!AD342</f>
        <v/>
      </c>
      <c r="I361" s="177" t="str">
        <f ca="1">Calculation!AE342</f>
        <v/>
      </c>
      <c r="J361" s="272" t="str">
        <f ca="1">IF(Calculation!Q342="","Selection",Calculation!Q342)</f>
        <v>Selection</v>
      </c>
      <c r="K361" s="179" t="str">
        <f ca="1">Calculation!T342</f>
        <v/>
      </c>
      <c r="L361" s="180" t="str">
        <f ca="1">Calculation!U342</f>
        <v>-</v>
      </c>
      <c r="M361" s="180" t="str">
        <f ca="1">Calculation!V342</f>
        <v>-</v>
      </c>
      <c r="N361" s="181"/>
      <c r="O361" s="180" t="str">
        <f ca="1">Calculation!X342</f>
        <v>-</v>
      </c>
      <c r="P361" s="180" t="str">
        <f ca="1">Calculation!Y342</f>
        <v>-</v>
      </c>
      <c r="Q361" s="273"/>
      <c r="R361" s="182" t="str">
        <f ca="1">IF(AND(L361&lt;&gt;"-",Q361&lt;&gt;"bypass"),IFERROR(IF((U361*$R$23/0.05)-SUM(S361:U361)&gt;0,(U361*$R$23/0.05)-SUM(S361:U361),0),"-"),Calculation!AH342)</f>
        <v>-</v>
      </c>
      <c r="S361" s="179" t="str">
        <f ca="1">IF(AND(L361&lt;&gt;"-",Q361&lt;&gt;"bypass"),IFERROR(X361*((H361*10^-12-H361*10^-12*I361)/(Calculation!$U$8*10^-9)),"-"),Calculation!AF342)</f>
        <v>-</v>
      </c>
      <c r="T361" s="179" t="str">
        <f ca="1">IF(AND(L361&lt;&gt;"-",Q361&lt;&gt;"bypass"),IFERROR(H361*I361*X361/(IF(Cluster!AA361=Cluster!$W$8,Cluster!$W$10,IF(Cluster!AA361=Cluster!$X$8,Cluster!$X$10,IF(Cluster!AA361=Cluster!$Y$8,Cluster!$Y$10,0)))*10^3),"-"),Calculation!AK342)</f>
        <v>-</v>
      </c>
      <c r="U361" s="179" t="str">
        <f ca="1">IF(AND(L361&lt;&gt;"-",Q361&lt;&gt;"bypass"),IFERROR((0.5/50)*X361/$R$23,"-"),Calculation!AG342)</f>
        <v>-</v>
      </c>
      <c r="V361" s="179" t="str">
        <f ca="1">IF(AND(L361&lt;&gt;"-",Q361&lt;&gt;"bypass"),IFERROR(5/50*X361,"-"),Calculation!AI342)</f>
        <v>-</v>
      </c>
      <c r="W361" s="179" t="str">
        <f ca="1">IF(AND(L361&lt;&gt;"-",Q361&lt;&gt;"bypass"),IFERROR(35/50*X361,"-"),Calculation!AJ342)</f>
        <v>-</v>
      </c>
      <c r="X361" s="179" t="str">
        <f ca="1">IF(AND(L361&lt;&gt;"-",Q361&lt;&gt;"bypass"),$W$23,Calculation!AL342)</f>
        <v>-</v>
      </c>
      <c r="Y361" s="183" t="str">
        <f ca="1">IF(AND(L361&lt;&gt;"-",Q361&lt;&gt;"bypass"),IFERROR($R$23*U361/SUM(R361:U361),"-"),Calculation!AP342)</f>
        <v>-</v>
      </c>
      <c r="Z361" s="184" t="str">
        <f t="shared" ca="1" si="25"/>
        <v>-</v>
      </c>
      <c r="AA361" s="185" t="str">
        <f ca="1">IFERROR(IF(I361=0,"-",IF(AND(ROUND(H361*I361*X361/($W$10*10^3),1)&gt;=Calculation!$O$6,ROUND((((U361)*$R$23/0.05)-((S361)+(H361*I361*X361/($W$10*10^3))+(U361))),1)&gt;=0),Cluster!$W$8,IF(AND(ROUND(H361*I361*X361/($X$10*10^3),1)&gt;=Calculation!$O$6,ROUND((((U361)*$R$23/0.05)-((S361)+(H361*I361*X361/($X$10*10^3))+(U361))),1)&gt;=0),Cluster!$X$8,IF(AND(ROUND(H361*I361*X361/($Y$10*10^3),1)&gt;=Calculation!$O$6,ROUND((((U361)*$R$23/0.05)-((S361)+(H361*I361*X361/($Y$10*10^3))+(U361))),1)&gt;=0),Cluster!$Y$8,"Recepie by hand needed")))),"-")</f>
        <v>-</v>
      </c>
      <c r="AC361" s="37" t="str">
        <f t="shared" ca="1" si="26"/>
        <v>-</v>
      </c>
      <c r="AD361" s="37" t="str">
        <f t="shared" ca="1" si="27"/>
        <v>-</v>
      </c>
      <c r="AE361" s="220" t="str">
        <f t="shared" ca="1" si="28"/>
        <v>-</v>
      </c>
      <c r="AF361" s="37" t="str">
        <f t="shared" ca="1" si="29"/>
        <v>-</v>
      </c>
    </row>
    <row r="362" spans="1:32" ht="14.25" x14ac:dyDescent="0.5">
      <c r="A362" s="170" t="str">
        <f>Calculation!I343</f>
        <v/>
      </c>
      <c r="B362" s="221" t="str">
        <f ca="1">Calculation!B343</f>
        <v/>
      </c>
      <c r="C362" s="221" t="str">
        <f ca="1">Calculation!C343</f>
        <v/>
      </c>
      <c r="D362" s="172" t="str">
        <f ca="1">Calculation!AN343</f>
        <v/>
      </c>
      <c r="E362" s="173" t="str">
        <f ca="1">Calculation!D343</f>
        <v/>
      </c>
      <c r="F362" s="174" t="str">
        <f ca="1">Calculation!C343</f>
        <v/>
      </c>
      <c r="G362" s="175" t="str">
        <f ca="1">Calculation!F343</f>
        <v/>
      </c>
      <c r="H362" s="176" t="str">
        <f ca="1">Calculation!AD343</f>
        <v/>
      </c>
      <c r="I362" s="177" t="str">
        <f ca="1">Calculation!AE343</f>
        <v/>
      </c>
      <c r="J362" s="272" t="str">
        <f ca="1">IF(Calculation!Q343="","Selection",Calculation!Q343)</f>
        <v>Selection</v>
      </c>
      <c r="K362" s="179" t="str">
        <f ca="1">Calculation!T343</f>
        <v/>
      </c>
      <c r="L362" s="180" t="str">
        <f ca="1">Calculation!U343</f>
        <v>-</v>
      </c>
      <c r="M362" s="180" t="str">
        <f ca="1">Calculation!V343</f>
        <v>-</v>
      </c>
      <c r="N362" s="181"/>
      <c r="O362" s="180" t="str">
        <f ca="1">Calculation!X343</f>
        <v>-</v>
      </c>
      <c r="P362" s="180" t="str">
        <f ca="1">Calculation!Y343</f>
        <v>-</v>
      </c>
      <c r="Q362" s="273"/>
      <c r="R362" s="182" t="str">
        <f ca="1">IF(AND(L362&lt;&gt;"-",Q362&lt;&gt;"bypass"),IFERROR(IF((U362*$R$23/0.05)-SUM(S362:U362)&gt;0,(U362*$R$23/0.05)-SUM(S362:U362),0),"-"),Calculation!AH343)</f>
        <v>-</v>
      </c>
      <c r="S362" s="179" t="str">
        <f ca="1">IF(AND(L362&lt;&gt;"-",Q362&lt;&gt;"bypass"),IFERROR(X362*((H362*10^-12-H362*10^-12*I362)/(Calculation!$U$8*10^-9)),"-"),Calculation!AF343)</f>
        <v>-</v>
      </c>
      <c r="T362" s="179" t="str">
        <f ca="1">IF(AND(L362&lt;&gt;"-",Q362&lt;&gt;"bypass"),IFERROR(H362*I362*X362/(IF(Cluster!AA362=Cluster!$W$8,Cluster!$W$10,IF(Cluster!AA362=Cluster!$X$8,Cluster!$X$10,IF(Cluster!AA362=Cluster!$Y$8,Cluster!$Y$10,0)))*10^3),"-"),Calculation!AK343)</f>
        <v>-</v>
      </c>
      <c r="U362" s="179" t="str">
        <f ca="1">IF(AND(L362&lt;&gt;"-",Q362&lt;&gt;"bypass"),IFERROR((0.5/50)*X362/$R$23,"-"),Calculation!AG343)</f>
        <v>-</v>
      </c>
      <c r="V362" s="179" t="str">
        <f ca="1">IF(AND(L362&lt;&gt;"-",Q362&lt;&gt;"bypass"),IFERROR(5/50*X362,"-"),Calculation!AI343)</f>
        <v>-</v>
      </c>
      <c r="W362" s="179" t="str">
        <f ca="1">IF(AND(L362&lt;&gt;"-",Q362&lt;&gt;"bypass"),IFERROR(35/50*X362,"-"),Calculation!AJ343)</f>
        <v>-</v>
      </c>
      <c r="X362" s="179" t="str">
        <f ca="1">IF(AND(L362&lt;&gt;"-",Q362&lt;&gt;"bypass"),$W$23,Calculation!AL343)</f>
        <v>-</v>
      </c>
      <c r="Y362" s="183" t="str">
        <f ca="1">IF(AND(L362&lt;&gt;"-",Q362&lt;&gt;"bypass"),IFERROR($R$23*U362/SUM(R362:U362),"-"),Calculation!AP343)</f>
        <v>-</v>
      </c>
      <c r="Z362" s="184" t="str">
        <f t="shared" ca="1" si="25"/>
        <v>-</v>
      </c>
      <c r="AA362" s="185" t="str">
        <f ca="1">IFERROR(IF(I362=0,"-",IF(AND(ROUND(H362*I362*X362/($W$10*10^3),1)&gt;=Calculation!$O$6,ROUND((((U362)*$R$23/0.05)-((S362)+(H362*I362*X362/($W$10*10^3))+(U362))),1)&gt;=0),Cluster!$W$8,IF(AND(ROUND(H362*I362*X362/($X$10*10^3),1)&gt;=Calculation!$O$6,ROUND((((U362)*$R$23/0.05)-((S362)+(H362*I362*X362/($X$10*10^3))+(U362))),1)&gt;=0),Cluster!$X$8,IF(AND(ROUND(H362*I362*X362/($Y$10*10^3),1)&gt;=Calculation!$O$6,ROUND((((U362)*$R$23/0.05)-((S362)+(H362*I362*X362/($Y$10*10^3))+(U362))),1)&gt;=0),Cluster!$Y$8,"Recepie by hand needed")))),"-")</f>
        <v>-</v>
      </c>
      <c r="AC362" s="37" t="str">
        <f t="shared" ca="1" si="26"/>
        <v>-</v>
      </c>
      <c r="AD362" s="37" t="str">
        <f t="shared" ca="1" si="27"/>
        <v>-</v>
      </c>
      <c r="AE362" s="220" t="str">
        <f t="shared" ca="1" si="28"/>
        <v>-</v>
      </c>
      <c r="AF362" s="37" t="str">
        <f t="shared" ca="1" si="29"/>
        <v>-</v>
      </c>
    </row>
    <row r="363" spans="1:32" ht="14.25" x14ac:dyDescent="0.5">
      <c r="A363" s="170" t="str">
        <f>Calculation!I344</f>
        <v/>
      </c>
      <c r="B363" s="221" t="str">
        <f ca="1">Calculation!B344</f>
        <v/>
      </c>
      <c r="C363" s="221" t="str">
        <f ca="1">Calculation!C344</f>
        <v/>
      </c>
      <c r="D363" s="172" t="str">
        <f ca="1">Calculation!AN344</f>
        <v/>
      </c>
      <c r="E363" s="173" t="str">
        <f ca="1">Calculation!D344</f>
        <v/>
      </c>
      <c r="F363" s="174" t="str">
        <f ca="1">Calculation!C344</f>
        <v/>
      </c>
      <c r="G363" s="175" t="str">
        <f ca="1">Calculation!F344</f>
        <v/>
      </c>
      <c r="H363" s="176" t="str">
        <f ca="1">Calculation!AD344</f>
        <v/>
      </c>
      <c r="I363" s="177" t="str">
        <f ca="1">Calculation!AE344</f>
        <v/>
      </c>
      <c r="J363" s="272" t="str">
        <f ca="1">IF(Calculation!Q344="","Selection",Calculation!Q344)</f>
        <v>Selection</v>
      </c>
      <c r="K363" s="179" t="str">
        <f ca="1">Calculation!T344</f>
        <v/>
      </c>
      <c r="L363" s="180" t="str">
        <f ca="1">Calculation!U344</f>
        <v>-</v>
      </c>
      <c r="M363" s="180" t="str">
        <f ca="1">Calculation!V344</f>
        <v>-</v>
      </c>
      <c r="N363" s="181"/>
      <c r="O363" s="180" t="str">
        <f ca="1">Calculation!X344</f>
        <v>-</v>
      </c>
      <c r="P363" s="180" t="str">
        <f ca="1">Calculation!Y344</f>
        <v>-</v>
      </c>
      <c r="Q363" s="273"/>
      <c r="R363" s="182" t="str">
        <f ca="1">IF(AND(L363&lt;&gt;"-",Q363&lt;&gt;"bypass"),IFERROR(IF((U363*$R$23/0.05)-SUM(S363:U363)&gt;0,(U363*$R$23/0.05)-SUM(S363:U363),0),"-"),Calculation!AH344)</f>
        <v>-</v>
      </c>
      <c r="S363" s="179" t="str">
        <f ca="1">IF(AND(L363&lt;&gt;"-",Q363&lt;&gt;"bypass"),IFERROR(X363*((H363*10^-12-H363*10^-12*I363)/(Calculation!$U$8*10^-9)),"-"),Calculation!AF344)</f>
        <v>-</v>
      </c>
      <c r="T363" s="179" t="str">
        <f ca="1">IF(AND(L363&lt;&gt;"-",Q363&lt;&gt;"bypass"),IFERROR(H363*I363*X363/(IF(Cluster!AA363=Cluster!$W$8,Cluster!$W$10,IF(Cluster!AA363=Cluster!$X$8,Cluster!$X$10,IF(Cluster!AA363=Cluster!$Y$8,Cluster!$Y$10,0)))*10^3),"-"),Calculation!AK344)</f>
        <v>-</v>
      </c>
      <c r="U363" s="179" t="str">
        <f ca="1">IF(AND(L363&lt;&gt;"-",Q363&lt;&gt;"bypass"),IFERROR((0.5/50)*X363/$R$23,"-"),Calculation!AG344)</f>
        <v>-</v>
      </c>
      <c r="V363" s="179" t="str">
        <f ca="1">IF(AND(L363&lt;&gt;"-",Q363&lt;&gt;"bypass"),IFERROR(5/50*X363,"-"),Calculation!AI344)</f>
        <v>-</v>
      </c>
      <c r="W363" s="179" t="str">
        <f ca="1">IF(AND(L363&lt;&gt;"-",Q363&lt;&gt;"bypass"),IFERROR(35/50*X363,"-"),Calculation!AJ344)</f>
        <v>-</v>
      </c>
      <c r="X363" s="179" t="str">
        <f ca="1">IF(AND(L363&lt;&gt;"-",Q363&lt;&gt;"bypass"),$W$23,Calculation!AL344)</f>
        <v>-</v>
      </c>
      <c r="Y363" s="183" t="str">
        <f ca="1">IF(AND(L363&lt;&gt;"-",Q363&lt;&gt;"bypass"),IFERROR($R$23*U363/SUM(R363:U363),"-"),Calculation!AP344)</f>
        <v>-</v>
      </c>
      <c r="Z363" s="184" t="str">
        <f t="shared" ca="1" si="25"/>
        <v>-</v>
      </c>
      <c r="AA363" s="185" t="str">
        <f ca="1">IFERROR(IF(I363=0,"-",IF(AND(ROUND(H363*I363*X363/($W$10*10^3),1)&gt;=Calculation!$O$6,ROUND((((U363)*$R$23/0.05)-((S363)+(H363*I363*X363/($W$10*10^3))+(U363))),1)&gt;=0),Cluster!$W$8,IF(AND(ROUND(H363*I363*X363/($X$10*10^3),1)&gt;=Calculation!$O$6,ROUND((((U363)*$R$23/0.05)-((S363)+(H363*I363*X363/($X$10*10^3))+(U363))),1)&gt;=0),Cluster!$X$8,IF(AND(ROUND(H363*I363*X363/($Y$10*10^3),1)&gt;=Calculation!$O$6,ROUND((((U363)*$R$23/0.05)-((S363)+(H363*I363*X363/($Y$10*10^3))+(U363))),1)&gt;=0),Cluster!$Y$8,"Recepie by hand needed")))),"-")</f>
        <v>-</v>
      </c>
      <c r="AC363" s="37" t="str">
        <f t="shared" ca="1" si="26"/>
        <v>-</v>
      </c>
      <c r="AD363" s="37" t="str">
        <f t="shared" ca="1" si="27"/>
        <v>-</v>
      </c>
      <c r="AE363" s="220" t="str">
        <f t="shared" ca="1" si="28"/>
        <v>-</v>
      </c>
      <c r="AF363" s="37" t="str">
        <f t="shared" ca="1" si="29"/>
        <v>-</v>
      </c>
    </row>
    <row r="364" spans="1:32" ht="14.25" x14ac:dyDescent="0.5">
      <c r="A364" s="170" t="str">
        <f>Calculation!I345</f>
        <v/>
      </c>
      <c r="B364" s="221" t="str">
        <f ca="1">Calculation!B345</f>
        <v/>
      </c>
      <c r="C364" s="221" t="str">
        <f ca="1">Calculation!C345</f>
        <v/>
      </c>
      <c r="D364" s="172" t="str">
        <f ca="1">Calculation!AN345</f>
        <v/>
      </c>
      <c r="E364" s="173" t="str">
        <f ca="1">Calculation!D345</f>
        <v/>
      </c>
      <c r="F364" s="174" t="str">
        <f ca="1">Calculation!C345</f>
        <v/>
      </c>
      <c r="G364" s="175" t="str">
        <f ca="1">Calculation!F345</f>
        <v/>
      </c>
      <c r="H364" s="176" t="str">
        <f ca="1">Calculation!AD345</f>
        <v/>
      </c>
      <c r="I364" s="177" t="str">
        <f ca="1">Calculation!AE345</f>
        <v/>
      </c>
      <c r="J364" s="272" t="str">
        <f ca="1">IF(Calculation!Q345="","Selection",Calculation!Q345)</f>
        <v>Selection</v>
      </c>
      <c r="K364" s="179" t="str">
        <f ca="1">Calculation!T345</f>
        <v/>
      </c>
      <c r="L364" s="180" t="str">
        <f ca="1">Calculation!U345</f>
        <v>-</v>
      </c>
      <c r="M364" s="180" t="str">
        <f ca="1">Calculation!V345</f>
        <v>-</v>
      </c>
      <c r="N364" s="181"/>
      <c r="O364" s="180" t="str">
        <f ca="1">Calculation!X345</f>
        <v>-</v>
      </c>
      <c r="P364" s="180" t="str">
        <f ca="1">Calculation!Y345</f>
        <v>-</v>
      </c>
      <c r="Q364" s="273"/>
      <c r="R364" s="182" t="str">
        <f ca="1">IF(AND(L364&lt;&gt;"-",Q364&lt;&gt;"bypass"),IFERROR(IF((U364*$R$23/0.05)-SUM(S364:U364)&gt;0,(U364*$R$23/0.05)-SUM(S364:U364),0),"-"),Calculation!AH345)</f>
        <v>-</v>
      </c>
      <c r="S364" s="179" t="str">
        <f ca="1">IF(AND(L364&lt;&gt;"-",Q364&lt;&gt;"bypass"),IFERROR(X364*((H364*10^-12-H364*10^-12*I364)/(Calculation!$U$8*10^-9)),"-"),Calculation!AF345)</f>
        <v>-</v>
      </c>
      <c r="T364" s="179" t="str">
        <f ca="1">IF(AND(L364&lt;&gt;"-",Q364&lt;&gt;"bypass"),IFERROR(H364*I364*X364/(IF(Cluster!AA364=Cluster!$W$8,Cluster!$W$10,IF(Cluster!AA364=Cluster!$X$8,Cluster!$X$10,IF(Cluster!AA364=Cluster!$Y$8,Cluster!$Y$10,0)))*10^3),"-"),Calculation!AK345)</f>
        <v>-</v>
      </c>
      <c r="U364" s="179" t="str">
        <f ca="1">IF(AND(L364&lt;&gt;"-",Q364&lt;&gt;"bypass"),IFERROR((0.5/50)*X364/$R$23,"-"),Calculation!AG345)</f>
        <v>-</v>
      </c>
      <c r="V364" s="179" t="str">
        <f ca="1">IF(AND(L364&lt;&gt;"-",Q364&lt;&gt;"bypass"),IFERROR(5/50*X364,"-"),Calculation!AI345)</f>
        <v>-</v>
      </c>
      <c r="W364" s="179" t="str">
        <f ca="1">IF(AND(L364&lt;&gt;"-",Q364&lt;&gt;"bypass"),IFERROR(35/50*X364,"-"),Calculation!AJ345)</f>
        <v>-</v>
      </c>
      <c r="X364" s="179" t="str">
        <f ca="1">IF(AND(L364&lt;&gt;"-",Q364&lt;&gt;"bypass"),$W$23,Calculation!AL345)</f>
        <v>-</v>
      </c>
      <c r="Y364" s="183" t="str">
        <f ca="1">IF(AND(L364&lt;&gt;"-",Q364&lt;&gt;"bypass"),IFERROR($R$23*U364/SUM(R364:U364),"-"),Calculation!AP345)</f>
        <v>-</v>
      </c>
      <c r="Z364" s="184" t="str">
        <f t="shared" ca="1" si="25"/>
        <v>-</v>
      </c>
      <c r="AA364" s="185" t="str">
        <f ca="1">IFERROR(IF(I364=0,"-",IF(AND(ROUND(H364*I364*X364/($W$10*10^3),1)&gt;=Calculation!$O$6,ROUND((((U364)*$R$23/0.05)-((S364)+(H364*I364*X364/($W$10*10^3))+(U364))),1)&gt;=0),Cluster!$W$8,IF(AND(ROUND(H364*I364*X364/($X$10*10^3),1)&gt;=Calculation!$O$6,ROUND((((U364)*$R$23/0.05)-((S364)+(H364*I364*X364/($X$10*10^3))+(U364))),1)&gt;=0),Cluster!$X$8,IF(AND(ROUND(H364*I364*X364/($Y$10*10^3),1)&gt;=Calculation!$O$6,ROUND((((U364)*$R$23/0.05)-((S364)+(H364*I364*X364/($Y$10*10^3))+(U364))),1)&gt;=0),Cluster!$Y$8,"Recepie by hand needed")))),"-")</f>
        <v>-</v>
      </c>
      <c r="AC364" s="37" t="str">
        <f t="shared" ca="1" si="26"/>
        <v>-</v>
      </c>
      <c r="AD364" s="37" t="str">
        <f t="shared" ca="1" si="27"/>
        <v>-</v>
      </c>
      <c r="AE364" s="220" t="str">
        <f t="shared" ca="1" si="28"/>
        <v>-</v>
      </c>
      <c r="AF364" s="37" t="str">
        <f t="shared" ca="1" si="29"/>
        <v>-</v>
      </c>
    </row>
    <row r="365" spans="1:32" ht="14.25" x14ac:dyDescent="0.5">
      <c r="A365" s="170" t="str">
        <f>Calculation!I346</f>
        <v/>
      </c>
      <c r="B365" s="221" t="str">
        <f ca="1">Calculation!B346</f>
        <v/>
      </c>
      <c r="C365" s="221" t="str">
        <f ca="1">Calculation!C346</f>
        <v/>
      </c>
      <c r="D365" s="172" t="str">
        <f ca="1">Calculation!AN346</f>
        <v/>
      </c>
      <c r="E365" s="173" t="str">
        <f ca="1">Calculation!D346</f>
        <v/>
      </c>
      <c r="F365" s="174" t="str">
        <f ca="1">Calculation!C346</f>
        <v/>
      </c>
      <c r="G365" s="175" t="str">
        <f ca="1">Calculation!F346</f>
        <v/>
      </c>
      <c r="H365" s="176" t="str">
        <f ca="1">Calculation!AD346</f>
        <v/>
      </c>
      <c r="I365" s="177" t="str">
        <f ca="1">Calculation!AE346</f>
        <v/>
      </c>
      <c r="J365" s="272" t="str">
        <f ca="1">IF(Calculation!Q346="","Selection",Calculation!Q346)</f>
        <v>Selection</v>
      </c>
      <c r="K365" s="179" t="str">
        <f ca="1">Calculation!T346</f>
        <v/>
      </c>
      <c r="L365" s="180" t="str">
        <f ca="1">Calculation!U346</f>
        <v>-</v>
      </c>
      <c r="M365" s="180" t="str">
        <f ca="1">Calculation!V346</f>
        <v>-</v>
      </c>
      <c r="N365" s="181"/>
      <c r="O365" s="180" t="str">
        <f ca="1">Calculation!X346</f>
        <v>-</v>
      </c>
      <c r="P365" s="180" t="str">
        <f ca="1">Calculation!Y346</f>
        <v>-</v>
      </c>
      <c r="Q365" s="273"/>
      <c r="R365" s="182" t="str">
        <f ca="1">IF(AND(L365&lt;&gt;"-",Q365&lt;&gt;"bypass"),IFERROR(IF((U365*$R$23/0.05)-SUM(S365:U365)&gt;0,(U365*$R$23/0.05)-SUM(S365:U365),0),"-"),Calculation!AH346)</f>
        <v>-</v>
      </c>
      <c r="S365" s="179" t="str">
        <f ca="1">IF(AND(L365&lt;&gt;"-",Q365&lt;&gt;"bypass"),IFERROR(X365*((H365*10^-12-H365*10^-12*I365)/(Calculation!$U$8*10^-9)),"-"),Calculation!AF346)</f>
        <v>-</v>
      </c>
      <c r="T365" s="179" t="str">
        <f ca="1">IF(AND(L365&lt;&gt;"-",Q365&lt;&gt;"bypass"),IFERROR(H365*I365*X365/(IF(Cluster!AA365=Cluster!$W$8,Cluster!$W$10,IF(Cluster!AA365=Cluster!$X$8,Cluster!$X$10,IF(Cluster!AA365=Cluster!$Y$8,Cluster!$Y$10,0)))*10^3),"-"),Calculation!AK346)</f>
        <v>-</v>
      </c>
      <c r="U365" s="179" t="str">
        <f ca="1">IF(AND(L365&lt;&gt;"-",Q365&lt;&gt;"bypass"),IFERROR((0.5/50)*X365/$R$23,"-"),Calculation!AG346)</f>
        <v>-</v>
      </c>
      <c r="V365" s="179" t="str">
        <f ca="1">IF(AND(L365&lt;&gt;"-",Q365&lt;&gt;"bypass"),IFERROR(5/50*X365,"-"),Calculation!AI346)</f>
        <v>-</v>
      </c>
      <c r="W365" s="179" t="str">
        <f ca="1">IF(AND(L365&lt;&gt;"-",Q365&lt;&gt;"bypass"),IFERROR(35/50*X365,"-"),Calculation!AJ346)</f>
        <v>-</v>
      </c>
      <c r="X365" s="179" t="str">
        <f ca="1">IF(AND(L365&lt;&gt;"-",Q365&lt;&gt;"bypass"),$W$23,Calculation!AL346)</f>
        <v>-</v>
      </c>
      <c r="Y365" s="183" t="str">
        <f ca="1">IF(AND(L365&lt;&gt;"-",Q365&lt;&gt;"bypass"),IFERROR($R$23*U365/SUM(R365:U365),"-"),Calculation!AP346)</f>
        <v>-</v>
      </c>
      <c r="Z365" s="184" t="str">
        <f t="shared" ca="1" si="25"/>
        <v>-</v>
      </c>
      <c r="AA365" s="185" t="str">
        <f ca="1">IFERROR(IF(I365=0,"-",IF(AND(ROUND(H365*I365*X365/($W$10*10^3),1)&gt;=Calculation!$O$6,ROUND((((U365)*$R$23/0.05)-((S365)+(H365*I365*X365/($W$10*10^3))+(U365))),1)&gt;=0),Cluster!$W$8,IF(AND(ROUND(H365*I365*X365/($X$10*10^3),1)&gt;=Calculation!$O$6,ROUND((((U365)*$R$23/0.05)-((S365)+(H365*I365*X365/($X$10*10^3))+(U365))),1)&gt;=0),Cluster!$X$8,IF(AND(ROUND(H365*I365*X365/($Y$10*10^3),1)&gt;=Calculation!$O$6,ROUND((((U365)*$R$23/0.05)-((S365)+(H365*I365*X365/($Y$10*10^3))+(U365))),1)&gt;=0),Cluster!$Y$8,"Recepie by hand needed")))),"-")</f>
        <v>-</v>
      </c>
      <c r="AC365" s="37" t="str">
        <f t="shared" ca="1" si="26"/>
        <v>-</v>
      </c>
      <c r="AD365" s="37" t="str">
        <f t="shared" ca="1" si="27"/>
        <v>-</v>
      </c>
      <c r="AE365" s="220" t="str">
        <f t="shared" ca="1" si="28"/>
        <v>-</v>
      </c>
      <c r="AF365" s="37" t="str">
        <f t="shared" ca="1" si="29"/>
        <v>-</v>
      </c>
    </row>
    <row r="366" spans="1:32" ht="14.25" x14ac:dyDescent="0.5">
      <c r="A366" s="170" t="str">
        <f>Calculation!I347</f>
        <v/>
      </c>
      <c r="B366" s="221" t="str">
        <f ca="1">Calculation!B347</f>
        <v/>
      </c>
      <c r="C366" s="221" t="str">
        <f ca="1">Calculation!C347</f>
        <v/>
      </c>
      <c r="D366" s="172" t="str">
        <f ca="1">Calculation!AN347</f>
        <v/>
      </c>
      <c r="E366" s="173" t="str">
        <f ca="1">Calculation!D347</f>
        <v/>
      </c>
      <c r="F366" s="174" t="str">
        <f ca="1">Calculation!C347</f>
        <v/>
      </c>
      <c r="G366" s="175" t="str">
        <f ca="1">Calculation!F347</f>
        <v/>
      </c>
      <c r="H366" s="176" t="str">
        <f ca="1">Calculation!AD347</f>
        <v/>
      </c>
      <c r="I366" s="177" t="str">
        <f ca="1">Calculation!AE347</f>
        <v/>
      </c>
      <c r="J366" s="272" t="str">
        <f ca="1">IF(Calculation!Q347="","Selection",Calculation!Q347)</f>
        <v>Selection</v>
      </c>
      <c r="K366" s="179" t="str">
        <f ca="1">Calculation!T347</f>
        <v/>
      </c>
      <c r="L366" s="180" t="str">
        <f ca="1">Calculation!U347</f>
        <v>-</v>
      </c>
      <c r="M366" s="180" t="str">
        <f ca="1">Calculation!V347</f>
        <v>-</v>
      </c>
      <c r="N366" s="181"/>
      <c r="O366" s="180" t="str">
        <f ca="1">Calculation!X347</f>
        <v>-</v>
      </c>
      <c r="P366" s="180" t="str">
        <f ca="1">Calculation!Y347</f>
        <v>-</v>
      </c>
      <c r="Q366" s="273"/>
      <c r="R366" s="182" t="str">
        <f ca="1">IF(AND(L366&lt;&gt;"-",Q366&lt;&gt;"bypass"),IFERROR(IF((U366*$R$23/0.05)-SUM(S366:U366)&gt;0,(U366*$R$23/0.05)-SUM(S366:U366),0),"-"),Calculation!AH347)</f>
        <v>-</v>
      </c>
      <c r="S366" s="179" t="str">
        <f ca="1">IF(AND(L366&lt;&gt;"-",Q366&lt;&gt;"bypass"),IFERROR(X366*((H366*10^-12-H366*10^-12*I366)/(Calculation!$U$8*10^-9)),"-"),Calculation!AF347)</f>
        <v>-</v>
      </c>
      <c r="T366" s="179" t="str">
        <f ca="1">IF(AND(L366&lt;&gt;"-",Q366&lt;&gt;"bypass"),IFERROR(H366*I366*X366/(IF(Cluster!AA366=Cluster!$W$8,Cluster!$W$10,IF(Cluster!AA366=Cluster!$X$8,Cluster!$X$10,IF(Cluster!AA366=Cluster!$Y$8,Cluster!$Y$10,0)))*10^3),"-"),Calculation!AK347)</f>
        <v>-</v>
      </c>
      <c r="U366" s="179" t="str">
        <f ca="1">IF(AND(L366&lt;&gt;"-",Q366&lt;&gt;"bypass"),IFERROR((0.5/50)*X366/$R$23,"-"),Calculation!AG347)</f>
        <v>-</v>
      </c>
      <c r="V366" s="179" t="str">
        <f ca="1">IF(AND(L366&lt;&gt;"-",Q366&lt;&gt;"bypass"),IFERROR(5/50*X366,"-"),Calculation!AI347)</f>
        <v>-</v>
      </c>
      <c r="W366" s="179" t="str">
        <f ca="1">IF(AND(L366&lt;&gt;"-",Q366&lt;&gt;"bypass"),IFERROR(35/50*X366,"-"),Calculation!AJ347)</f>
        <v>-</v>
      </c>
      <c r="X366" s="179" t="str">
        <f ca="1">IF(AND(L366&lt;&gt;"-",Q366&lt;&gt;"bypass"),$W$23,Calculation!AL347)</f>
        <v>-</v>
      </c>
      <c r="Y366" s="183" t="str">
        <f ca="1">IF(AND(L366&lt;&gt;"-",Q366&lt;&gt;"bypass"),IFERROR($R$23*U366/SUM(R366:U366),"-"),Calculation!AP347)</f>
        <v>-</v>
      </c>
      <c r="Z366" s="184" t="str">
        <f t="shared" ca="1" si="25"/>
        <v>-</v>
      </c>
      <c r="AA366" s="185" t="str">
        <f ca="1">IFERROR(IF(I366=0,"-",IF(AND(ROUND(H366*I366*X366/($W$10*10^3),1)&gt;=Calculation!$O$6,ROUND((((U366)*$R$23/0.05)-((S366)+(H366*I366*X366/($W$10*10^3))+(U366))),1)&gt;=0),Cluster!$W$8,IF(AND(ROUND(H366*I366*X366/($X$10*10^3),1)&gt;=Calculation!$O$6,ROUND((((U366)*$R$23/0.05)-((S366)+(H366*I366*X366/($X$10*10^3))+(U366))),1)&gt;=0),Cluster!$X$8,IF(AND(ROUND(H366*I366*X366/($Y$10*10^3),1)&gt;=Calculation!$O$6,ROUND((((U366)*$R$23/0.05)-((S366)+(H366*I366*X366/($Y$10*10^3))+(U366))),1)&gt;=0),Cluster!$Y$8,"Recepie by hand needed")))),"-")</f>
        <v>-</v>
      </c>
      <c r="AC366" s="37" t="str">
        <f t="shared" ca="1" si="26"/>
        <v>-</v>
      </c>
      <c r="AD366" s="37" t="str">
        <f t="shared" ca="1" si="27"/>
        <v>-</v>
      </c>
      <c r="AE366" s="220" t="str">
        <f t="shared" ca="1" si="28"/>
        <v>-</v>
      </c>
      <c r="AF366" s="37" t="str">
        <f t="shared" ca="1" si="29"/>
        <v>-</v>
      </c>
    </row>
    <row r="367" spans="1:32" ht="14.25" x14ac:dyDescent="0.5">
      <c r="A367" s="170" t="str">
        <f>Calculation!I348</f>
        <v/>
      </c>
      <c r="B367" s="221" t="str">
        <f ca="1">Calculation!B348</f>
        <v/>
      </c>
      <c r="C367" s="221" t="str">
        <f ca="1">Calculation!C348</f>
        <v/>
      </c>
      <c r="D367" s="172" t="str">
        <f ca="1">Calculation!AN348</f>
        <v/>
      </c>
      <c r="E367" s="173" t="str">
        <f ca="1">Calculation!D348</f>
        <v/>
      </c>
      <c r="F367" s="174" t="str">
        <f ca="1">Calculation!C348</f>
        <v/>
      </c>
      <c r="G367" s="175" t="str">
        <f ca="1">Calculation!F348</f>
        <v/>
      </c>
      <c r="H367" s="176" t="str">
        <f ca="1">Calculation!AD348</f>
        <v/>
      </c>
      <c r="I367" s="177" t="str">
        <f ca="1">Calculation!AE348</f>
        <v/>
      </c>
      <c r="J367" s="272" t="str">
        <f ca="1">IF(Calculation!Q348="","Selection",Calculation!Q348)</f>
        <v>Selection</v>
      </c>
      <c r="K367" s="179" t="str">
        <f ca="1">Calculation!T348</f>
        <v/>
      </c>
      <c r="L367" s="180" t="str">
        <f ca="1">Calculation!U348</f>
        <v>-</v>
      </c>
      <c r="M367" s="180" t="str">
        <f ca="1">Calculation!V348</f>
        <v>-</v>
      </c>
      <c r="N367" s="181"/>
      <c r="O367" s="180" t="str">
        <f ca="1">Calculation!X348</f>
        <v>-</v>
      </c>
      <c r="P367" s="180" t="str">
        <f ca="1">Calculation!Y348</f>
        <v>-</v>
      </c>
      <c r="Q367" s="273"/>
      <c r="R367" s="182" t="str">
        <f ca="1">IF(AND(L367&lt;&gt;"-",Q367&lt;&gt;"bypass"),IFERROR(IF((U367*$R$23/0.05)-SUM(S367:U367)&gt;0,(U367*$R$23/0.05)-SUM(S367:U367),0),"-"),Calculation!AH348)</f>
        <v>-</v>
      </c>
      <c r="S367" s="179" t="str">
        <f ca="1">IF(AND(L367&lt;&gt;"-",Q367&lt;&gt;"bypass"),IFERROR(X367*((H367*10^-12-H367*10^-12*I367)/(Calculation!$U$8*10^-9)),"-"),Calculation!AF348)</f>
        <v>-</v>
      </c>
      <c r="T367" s="179" t="str">
        <f ca="1">IF(AND(L367&lt;&gt;"-",Q367&lt;&gt;"bypass"),IFERROR(H367*I367*X367/(IF(Cluster!AA367=Cluster!$W$8,Cluster!$W$10,IF(Cluster!AA367=Cluster!$X$8,Cluster!$X$10,IF(Cluster!AA367=Cluster!$Y$8,Cluster!$Y$10,0)))*10^3),"-"),Calculation!AK348)</f>
        <v>-</v>
      </c>
      <c r="U367" s="179" t="str">
        <f ca="1">IF(AND(L367&lt;&gt;"-",Q367&lt;&gt;"bypass"),IFERROR((0.5/50)*X367/$R$23,"-"),Calculation!AG348)</f>
        <v>-</v>
      </c>
      <c r="V367" s="179" t="str">
        <f ca="1">IF(AND(L367&lt;&gt;"-",Q367&lt;&gt;"bypass"),IFERROR(5/50*X367,"-"),Calculation!AI348)</f>
        <v>-</v>
      </c>
      <c r="W367" s="179" t="str">
        <f ca="1">IF(AND(L367&lt;&gt;"-",Q367&lt;&gt;"bypass"),IFERROR(35/50*X367,"-"),Calculation!AJ348)</f>
        <v>-</v>
      </c>
      <c r="X367" s="179" t="str">
        <f ca="1">IF(AND(L367&lt;&gt;"-",Q367&lt;&gt;"bypass"),$W$23,Calculation!AL348)</f>
        <v>-</v>
      </c>
      <c r="Y367" s="183" t="str">
        <f ca="1">IF(AND(L367&lt;&gt;"-",Q367&lt;&gt;"bypass"),IFERROR($R$23*U367/SUM(R367:U367),"-"),Calculation!AP348)</f>
        <v>-</v>
      </c>
      <c r="Z367" s="184" t="str">
        <f t="shared" ca="1" si="25"/>
        <v>-</v>
      </c>
      <c r="AA367" s="185" t="str">
        <f ca="1">IFERROR(IF(I367=0,"-",IF(AND(ROUND(H367*I367*X367/($W$10*10^3),1)&gt;=Calculation!$O$6,ROUND((((U367)*$R$23/0.05)-((S367)+(H367*I367*X367/($W$10*10^3))+(U367))),1)&gt;=0),Cluster!$W$8,IF(AND(ROUND(H367*I367*X367/($X$10*10^3),1)&gt;=Calculation!$O$6,ROUND((((U367)*$R$23/0.05)-((S367)+(H367*I367*X367/($X$10*10^3))+(U367))),1)&gt;=0),Cluster!$X$8,IF(AND(ROUND(H367*I367*X367/($Y$10*10^3),1)&gt;=Calculation!$O$6,ROUND((((U367)*$R$23/0.05)-((S367)+(H367*I367*X367/($Y$10*10^3))+(U367))),1)&gt;=0),Cluster!$Y$8,"Recepie by hand needed")))),"-")</f>
        <v>-</v>
      </c>
      <c r="AC367" s="37" t="str">
        <f t="shared" ca="1" si="26"/>
        <v>-</v>
      </c>
      <c r="AD367" s="37" t="str">
        <f t="shared" ca="1" si="27"/>
        <v>-</v>
      </c>
      <c r="AE367" s="220" t="str">
        <f t="shared" ca="1" si="28"/>
        <v>-</v>
      </c>
      <c r="AF367" s="37" t="str">
        <f t="shared" ca="1" si="29"/>
        <v>-</v>
      </c>
    </row>
    <row r="368" spans="1:32" ht="14.25" x14ac:dyDescent="0.5">
      <c r="A368" s="170" t="str">
        <f>Calculation!I349</f>
        <v/>
      </c>
      <c r="B368" s="221" t="str">
        <f ca="1">Calculation!B349</f>
        <v/>
      </c>
      <c r="C368" s="221" t="str">
        <f ca="1">Calculation!C349</f>
        <v/>
      </c>
      <c r="D368" s="172" t="str">
        <f ca="1">Calculation!AN349</f>
        <v/>
      </c>
      <c r="E368" s="173" t="str">
        <f ca="1">Calculation!D349</f>
        <v/>
      </c>
      <c r="F368" s="174" t="str">
        <f ca="1">Calculation!C349</f>
        <v/>
      </c>
      <c r="G368" s="175" t="str">
        <f ca="1">Calculation!F349</f>
        <v/>
      </c>
      <c r="H368" s="176" t="str">
        <f ca="1">Calculation!AD349</f>
        <v/>
      </c>
      <c r="I368" s="177" t="str">
        <f ca="1">Calculation!AE349</f>
        <v/>
      </c>
      <c r="J368" s="272" t="str">
        <f ca="1">IF(Calculation!Q349="","Selection",Calculation!Q349)</f>
        <v>Selection</v>
      </c>
      <c r="K368" s="179" t="str">
        <f ca="1">Calculation!T349</f>
        <v/>
      </c>
      <c r="L368" s="180" t="str">
        <f ca="1">Calculation!U349</f>
        <v>-</v>
      </c>
      <c r="M368" s="180" t="str">
        <f ca="1">Calculation!V349</f>
        <v>-</v>
      </c>
      <c r="N368" s="181"/>
      <c r="O368" s="180" t="str">
        <f ca="1">Calculation!X349</f>
        <v>-</v>
      </c>
      <c r="P368" s="180" t="str">
        <f ca="1">Calculation!Y349</f>
        <v>-</v>
      </c>
      <c r="Q368" s="273"/>
      <c r="R368" s="182" t="str">
        <f ca="1">IF(AND(L368&lt;&gt;"-",Q368&lt;&gt;"bypass"),IFERROR(IF((U368*$R$23/0.05)-SUM(S368:U368)&gt;0,(U368*$R$23/0.05)-SUM(S368:U368),0),"-"),Calculation!AH349)</f>
        <v>-</v>
      </c>
      <c r="S368" s="179" t="str">
        <f ca="1">IF(AND(L368&lt;&gt;"-",Q368&lt;&gt;"bypass"),IFERROR(X368*((H368*10^-12-H368*10^-12*I368)/(Calculation!$U$8*10^-9)),"-"),Calculation!AF349)</f>
        <v>-</v>
      </c>
      <c r="T368" s="179" t="str">
        <f ca="1">IF(AND(L368&lt;&gt;"-",Q368&lt;&gt;"bypass"),IFERROR(H368*I368*X368/(IF(Cluster!AA368=Cluster!$W$8,Cluster!$W$10,IF(Cluster!AA368=Cluster!$X$8,Cluster!$X$10,IF(Cluster!AA368=Cluster!$Y$8,Cluster!$Y$10,0)))*10^3),"-"),Calculation!AK349)</f>
        <v>-</v>
      </c>
      <c r="U368" s="179" t="str">
        <f ca="1">IF(AND(L368&lt;&gt;"-",Q368&lt;&gt;"bypass"),IFERROR((0.5/50)*X368/$R$23,"-"),Calculation!AG349)</f>
        <v>-</v>
      </c>
      <c r="V368" s="179" t="str">
        <f ca="1">IF(AND(L368&lt;&gt;"-",Q368&lt;&gt;"bypass"),IFERROR(5/50*X368,"-"),Calculation!AI349)</f>
        <v>-</v>
      </c>
      <c r="W368" s="179" t="str">
        <f ca="1">IF(AND(L368&lt;&gt;"-",Q368&lt;&gt;"bypass"),IFERROR(35/50*X368,"-"),Calculation!AJ349)</f>
        <v>-</v>
      </c>
      <c r="X368" s="179" t="str">
        <f ca="1">IF(AND(L368&lt;&gt;"-",Q368&lt;&gt;"bypass"),$W$23,Calculation!AL349)</f>
        <v>-</v>
      </c>
      <c r="Y368" s="183" t="str">
        <f ca="1">IF(AND(L368&lt;&gt;"-",Q368&lt;&gt;"bypass"),IFERROR($R$23*U368/SUM(R368:U368),"-"),Calculation!AP349)</f>
        <v>-</v>
      </c>
      <c r="Z368" s="184" t="str">
        <f t="shared" ca="1" si="25"/>
        <v>-</v>
      </c>
      <c r="AA368" s="185" t="str">
        <f ca="1">IFERROR(IF(I368=0,"-",IF(AND(ROUND(H368*I368*X368/($W$10*10^3),1)&gt;=Calculation!$O$6,ROUND((((U368)*$R$23/0.05)-((S368)+(H368*I368*X368/($W$10*10^3))+(U368))),1)&gt;=0),Cluster!$W$8,IF(AND(ROUND(H368*I368*X368/($X$10*10^3),1)&gt;=Calculation!$O$6,ROUND((((U368)*$R$23/0.05)-((S368)+(H368*I368*X368/($X$10*10^3))+(U368))),1)&gt;=0),Cluster!$X$8,IF(AND(ROUND(H368*I368*X368/($Y$10*10^3),1)&gt;=Calculation!$O$6,ROUND((((U368)*$R$23/0.05)-((S368)+(H368*I368*X368/($Y$10*10^3))+(U368))),1)&gt;=0),Cluster!$Y$8,"Recepie by hand needed")))),"-")</f>
        <v>-</v>
      </c>
      <c r="AC368" s="37" t="str">
        <f t="shared" ca="1" si="26"/>
        <v>-</v>
      </c>
      <c r="AD368" s="37" t="str">
        <f t="shared" ca="1" si="27"/>
        <v>-</v>
      </c>
      <c r="AE368" s="220" t="str">
        <f t="shared" ca="1" si="28"/>
        <v>-</v>
      </c>
      <c r="AF368" s="37" t="str">
        <f t="shared" ca="1" si="29"/>
        <v>-</v>
      </c>
    </row>
    <row r="369" spans="1:32" ht="14.25" x14ac:dyDescent="0.5">
      <c r="A369" s="170" t="str">
        <f>Calculation!I350</f>
        <v/>
      </c>
      <c r="B369" s="221" t="str">
        <f ca="1">Calculation!B350</f>
        <v/>
      </c>
      <c r="C369" s="221" t="str">
        <f ca="1">Calculation!C350</f>
        <v/>
      </c>
      <c r="D369" s="172" t="str">
        <f ca="1">Calculation!AN350</f>
        <v/>
      </c>
      <c r="E369" s="173" t="str">
        <f ca="1">Calculation!D350</f>
        <v/>
      </c>
      <c r="F369" s="174" t="str">
        <f ca="1">Calculation!C350</f>
        <v/>
      </c>
      <c r="G369" s="175" t="str">
        <f ca="1">Calculation!F350</f>
        <v/>
      </c>
      <c r="H369" s="176" t="str">
        <f ca="1">Calculation!AD350</f>
        <v/>
      </c>
      <c r="I369" s="177" t="str">
        <f ca="1">Calculation!AE350</f>
        <v/>
      </c>
      <c r="J369" s="272" t="str">
        <f ca="1">IF(Calculation!Q350="","Selection",Calculation!Q350)</f>
        <v>Selection</v>
      </c>
      <c r="K369" s="179" t="str">
        <f ca="1">Calculation!T350</f>
        <v/>
      </c>
      <c r="L369" s="180" t="str">
        <f ca="1">Calculation!U350</f>
        <v>-</v>
      </c>
      <c r="M369" s="180" t="str">
        <f ca="1">Calculation!V350</f>
        <v>-</v>
      </c>
      <c r="N369" s="181"/>
      <c r="O369" s="180" t="str">
        <f ca="1">Calculation!X350</f>
        <v>-</v>
      </c>
      <c r="P369" s="180" t="str">
        <f ca="1">Calculation!Y350</f>
        <v>-</v>
      </c>
      <c r="Q369" s="273"/>
      <c r="R369" s="182" t="str">
        <f ca="1">IF(AND(L369&lt;&gt;"-",Q369&lt;&gt;"bypass"),IFERROR(IF((U369*$R$23/0.05)-SUM(S369:U369)&gt;0,(U369*$R$23/0.05)-SUM(S369:U369),0),"-"),Calculation!AH350)</f>
        <v>-</v>
      </c>
      <c r="S369" s="179" t="str">
        <f ca="1">IF(AND(L369&lt;&gt;"-",Q369&lt;&gt;"bypass"),IFERROR(X369*((H369*10^-12-H369*10^-12*I369)/(Calculation!$U$8*10^-9)),"-"),Calculation!AF350)</f>
        <v>-</v>
      </c>
      <c r="T369" s="179" t="str">
        <f ca="1">IF(AND(L369&lt;&gt;"-",Q369&lt;&gt;"bypass"),IFERROR(H369*I369*X369/(IF(Cluster!AA369=Cluster!$W$8,Cluster!$W$10,IF(Cluster!AA369=Cluster!$X$8,Cluster!$X$10,IF(Cluster!AA369=Cluster!$Y$8,Cluster!$Y$10,0)))*10^3),"-"),Calculation!AK350)</f>
        <v>-</v>
      </c>
      <c r="U369" s="179" t="str">
        <f ca="1">IF(AND(L369&lt;&gt;"-",Q369&lt;&gt;"bypass"),IFERROR((0.5/50)*X369/$R$23,"-"),Calculation!AG350)</f>
        <v>-</v>
      </c>
      <c r="V369" s="179" t="str">
        <f ca="1">IF(AND(L369&lt;&gt;"-",Q369&lt;&gt;"bypass"),IFERROR(5/50*X369,"-"),Calculation!AI350)</f>
        <v>-</v>
      </c>
      <c r="W369" s="179" t="str">
        <f ca="1">IF(AND(L369&lt;&gt;"-",Q369&lt;&gt;"bypass"),IFERROR(35/50*X369,"-"),Calculation!AJ350)</f>
        <v>-</v>
      </c>
      <c r="X369" s="179" t="str">
        <f ca="1">IF(AND(L369&lt;&gt;"-",Q369&lt;&gt;"bypass"),$W$23,Calculation!AL350)</f>
        <v>-</v>
      </c>
      <c r="Y369" s="183" t="str">
        <f ca="1">IF(AND(L369&lt;&gt;"-",Q369&lt;&gt;"bypass"),IFERROR($R$23*U369/SUM(R369:U369),"-"),Calculation!AP350)</f>
        <v>-</v>
      </c>
      <c r="Z369" s="184" t="str">
        <f t="shared" ca="1" si="25"/>
        <v>-</v>
      </c>
      <c r="AA369" s="185" t="str">
        <f ca="1">IFERROR(IF(I369=0,"-",IF(AND(ROUND(H369*I369*X369/($W$10*10^3),1)&gt;=Calculation!$O$6,ROUND((((U369)*$R$23/0.05)-((S369)+(H369*I369*X369/($W$10*10^3))+(U369))),1)&gt;=0),Cluster!$W$8,IF(AND(ROUND(H369*I369*X369/($X$10*10^3),1)&gt;=Calculation!$O$6,ROUND((((U369)*$R$23/0.05)-((S369)+(H369*I369*X369/($X$10*10^3))+(U369))),1)&gt;=0),Cluster!$X$8,IF(AND(ROUND(H369*I369*X369/($Y$10*10^3),1)&gt;=Calculation!$O$6,ROUND((((U369)*$R$23/0.05)-((S369)+(H369*I369*X369/($Y$10*10^3))+(U369))),1)&gt;=0),Cluster!$Y$8,"Recepie by hand needed")))),"-")</f>
        <v>-</v>
      </c>
      <c r="AC369" s="37" t="str">
        <f t="shared" ca="1" si="26"/>
        <v>-</v>
      </c>
      <c r="AD369" s="37" t="str">
        <f t="shared" ca="1" si="27"/>
        <v>-</v>
      </c>
      <c r="AE369" s="220" t="str">
        <f t="shared" ca="1" si="28"/>
        <v>-</v>
      </c>
      <c r="AF369" s="37" t="str">
        <f t="shared" ca="1" si="29"/>
        <v>-</v>
      </c>
    </row>
    <row r="370" spans="1:32" ht="14.25" x14ac:dyDescent="0.5">
      <c r="A370" s="170" t="str">
        <f>Calculation!I351</f>
        <v/>
      </c>
      <c r="B370" s="221" t="str">
        <f ca="1">Calculation!B351</f>
        <v/>
      </c>
      <c r="C370" s="221" t="str">
        <f ca="1">Calculation!C351</f>
        <v/>
      </c>
      <c r="D370" s="172" t="str">
        <f ca="1">Calculation!AN351</f>
        <v/>
      </c>
      <c r="E370" s="173" t="str">
        <f ca="1">Calculation!D351</f>
        <v/>
      </c>
      <c r="F370" s="174" t="str">
        <f ca="1">Calculation!C351</f>
        <v/>
      </c>
      <c r="G370" s="175" t="str">
        <f ca="1">Calculation!F351</f>
        <v/>
      </c>
      <c r="H370" s="176" t="str">
        <f ca="1">Calculation!AD351</f>
        <v/>
      </c>
      <c r="I370" s="177" t="str">
        <f ca="1">Calculation!AE351</f>
        <v/>
      </c>
      <c r="J370" s="272" t="str">
        <f ca="1">IF(Calculation!Q351="","Selection",Calculation!Q351)</f>
        <v>Selection</v>
      </c>
      <c r="K370" s="179" t="str">
        <f ca="1">Calculation!T351</f>
        <v/>
      </c>
      <c r="L370" s="180" t="str">
        <f ca="1">Calculation!U351</f>
        <v>-</v>
      </c>
      <c r="M370" s="180" t="str">
        <f ca="1">Calculation!V351</f>
        <v>-</v>
      </c>
      <c r="N370" s="181"/>
      <c r="O370" s="180" t="str">
        <f ca="1">Calculation!X351</f>
        <v>-</v>
      </c>
      <c r="P370" s="180" t="str">
        <f ca="1">Calculation!Y351</f>
        <v>-</v>
      </c>
      <c r="Q370" s="273"/>
      <c r="R370" s="182" t="str">
        <f ca="1">IF(AND(L370&lt;&gt;"-",Q370&lt;&gt;"bypass"),IFERROR(IF((U370*$R$23/0.05)-SUM(S370:U370)&gt;0,(U370*$R$23/0.05)-SUM(S370:U370),0),"-"),Calculation!AH351)</f>
        <v>-</v>
      </c>
      <c r="S370" s="179" t="str">
        <f ca="1">IF(AND(L370&lt;&gt;"-",Q370&lt;&gt;"bypass"),IFERROR(X370*((H370*10^-12-H370*10^-12*I370)/(Calculation!$U$8*10^-9)),"-"),Calculation!AF351)</f>
        <v>-</v>
      </c>
      <c r="T370" s="179" t="str">
        <f ca="1">IF(AND(L370&lt;&gt;"-",Q370&lt;&gt;"bypass"),IFERROR(H370*I370*X370/(IF(Cluster!AA370=Cluster!$W$8,Cluster!$W$10,IF(Cluster!AA370=Cluster!$X$8,Cluster!$X$10,IF(Cluster!AA370=Cluster!$Y$8,Cluster!$Y$10,0)))*10^3),"-"),Calculation!AK351)</f>
        <v>-</v>
      </c>
      <c r="U370" s="179" t="str">
        <f ca="1">IF(AND(L370&lt;&gt;"-",Q370&lt;&gt;"bypass"),IFERROR((0.5/50)*X370/$R$23,"-"),Calculation!AG351)</f>
        <v>-</v>
      </c>
      <c r="V370" s="179" t="str">
        <f ca="1">IF(AND(L370&lt;&gt;"-",Q370&lt;&gt;"bypass"),IFERROR(5/50*X370,"-"),Calculation!AI351)</f>
        <v>-</v>
      </c>
      <c r="W370" s="179" t="str">
        <f ca="1">IF(AND(L370&lt;&gt;"-",Q370&lt;&gt;"bypass"),IFERROR(35/50*X370,"-"),Calculation!AJ351)</f>
        <v>-</v>
      </c>
      <c r="X370" s="179" t="str">
        <f ca="1">IF(AND(L370&lt;&gt;"-",Q370&lt;&gt;"bypass"),$W$23,Calculation!AL351)</f>
        <v>-</v>
      </c>
      <c r="Y370" s="183" t="str">
        <f ca="1">IF(AND(L370&lt;&gt;"-",Q370&lt;&gt;"bypass"),IFERROR($R$23*U370/SUM(R370:U370),"-"),Calculation!AP351)</f>
        <v>-</v>
      </c>
      <c r="Z370" s="184" t="str">
        <f t="shared" ca="1" si="25"/>
        <v>-</v>
      </c>
      <c r="AA370" s="185" t="str">
        <f ca="1">IFERROR(IF(I370=0,"-",IF(AND(ROUND(H370*I370*X370/($W$10*10^3),1)&gt;=Calculation!$O$6,ROUND((((U370)*$R$23/0.05)-((S370)+(H370*I370*X370/($W$10*10^3))+(U370))),1)&gt;=0),Cluster!$W$8,IF(AND(ROUND(H370*I370*X370/($X$10*10^3),1)&gt;=Calculation!$O$6,ROUND((((U370)*$R$23/0.05)-((S370)+(H370*I370*X370/($X$10*10^3))+(U370))),1)&gt;=0),Cluster!$X$8,IF(AND(ROUND(H370*I370*X370/($Y$10*10^3),1)&gt;=Calculation!$O$6,ROUND((((U370)*$R$23/0.05)-((S370)+(H370*I370*X370/($Y$10*10^3))+(U370))),1)&gt;=0),Cluster!$Y$8,"Recepie by hand needed")))),"-")</f>
        <v>-</v>
      </c>
      <c r="AC370" s="37" t="str">
        <f t="shared" ca="1" si="26"/>
        <v>-</v>
      </c>
      <c r="AD370" s="37" t="str">
        <f t="shared" ca="1" si="27"/>
        <v>-</v>
      </c>
      <c r="AE370" s="220" t="str">
        <f t="shared" ca="1" si="28"/>
        <v>-</v>
      </c>
      <c r="AF370" s="37" t="str">
        <f t="shared" ca="1" si="29"/>
        <v>-</v>
      </c>
    </row>
    <row r="371" spans="1:32" ht="14.25" x14ac:dyDescent="0.5">
      <c r="A371" s="170" t="str">
        <f>Calculation!I352</f>
        <v/>
      </c>
      <c r="B371" s="221" t="str">
        <f ca="1">Calculation!B352</f>
        <v/>
      </c>
      <c r="C371" s="221" t="str">
        <f ca="1">Calculation!C352</f>
        <v/>
      </c>
      <c r="D371" s="172" t="str">
        <f ca="1">Calculation!AN352</f>
        <v/>
      </c>
      <c r="E371" s="173" t="str">
        <f ca="1">Calculation!D352</f>
        <v/>
      </c>
      <c r="F371" s="174" t="str">
        <f ca="1">Calculation!C352</f>
        <v/>
      </c>
      <c r="G371" s="175" t="str">
        <f ca="1">Calculation!F352</f>
        <v/>
      </c>
      <c r="H371" s="176" t="str">
        <f ca="1">Calculation!AD352</f>
        <v/>
      </c>
      <c r="I371" s="177" t="str">
        <f ca="1">Calculation!AE352</f>
        <v/>
      </c>
      <c r="J371" s="272" t="str">
        <f ca="1">IF(Calculation!Q352="","Selection",Calculation!Q352)</f>
        <v>Selection</v>
      </c>
      <c r="K371" s="179" t="str">
        <f ca="1">Calculation!T352</f>
        <v/>
      </c>
      <c r="L371" s="180" t="str">
        <f ca="1">Calculation!U352</f>
        <v>-</v>
      </c>
      <c r="M371" s="180" t="str">
        <f ca="1">Calculation!V352</f>
        <v>-</v>
      </c>
      <c r="N371" s="181"/>
      <c r="O371" s="180" t="str">
        <f ca="1">Calculation!X352</f>
        <v>-</v>
      </c>
      <c r="P371" s="180" t="str">
        <f ca="1">Calculation!Y352</f>
        <v>-</v>
      </c>
      <c r="Q371" s="273"/>
      <c r="R371" s="182" t="str">
        <f ca="1">IF(AND(L371&lt;&gt;"-",Q371&lt;&gt;"bypass"),IFERROR(IF((U371*$R$23/0.05)-SUM(S371:U371)&gt;0,(U371*$R$23/0.05)-SUM(S371:U371),0),"-"),Calculation!AH352)</f>
        <v>-</v>
      </c>
      <c r="S371" s="179" t="str">
        <f ca="1">IF(AND(L371&lt;&gt;"-",Q371&lt;&gt;"bypass"),IFERROR(X371*((H371*10^-12-H371*10^-12*I371)/(Calculation!$U$8*10^-9)),"-"),Calculation!AF352)</f>
        <v>-</v>
      </c>
      <c r="T371" s="179" t="str">
        <f ca="1">IF(AND(L371&lt;&gt;"-",Q371&lt;&gt;"bypass"),IFERROR(H371*I371*X371/(IF(Cluster!AA371=Cluster!$W$8,Cluster!$W$10,IF(Cluster!AA371=Cluster!$X$8,Cluster!$X$10,IF(Cluster!AA371=Cluster!$Y$8,Cluster!$Y$10,0)))*10^3),"-"),Calculation!AK352)</f>
        <v>-</v>
      </c>
      <c r="U371" s="179" t="str">
        <f ca="1">IF(AND(L371&lt;&gt;"-",Q371&lt;&gt;"bypass"),IFERROR((0.5/50)*X371/$R$23,"-"),Calculation!AG352)</f>
        <v>-</v>
      </c>
      <c r="V371" s="179" t="str">
        <f ca="1">IF(AND(L371&lt;&gt;"-",Q371&lt;&gt;"bypass"),IFERROR(5/50*X371,"-"),Calculation!AI352)</f>
        <v>-</v>
      </c>
      <c r="W371" s="179" t="str">
        <f ca="1">IF(AND(L371&lt;&gt;"-",Q371&lt;&gt;"bypass"),IFERROR(35/50*X371,"-"),Calculation!AJ352)</f>
        <v>-</v>
      </c>
      <c r="X371" s="179" t="str">
        <f ca="1">IF(AND(L371&lt;&gt;"-",Q371&lt;&gt;"bypass"),$W$23,Calculation!AL352)</f>
        <v>-</v>
      </c>
      <c r="Y371" s="183" t="str">
        <f ca="1">IF(AND(L371&lt;&gt;"-",Q371&lt;&gt;"bypass"),IFERROR($R$23*U371/SUM(R371:U371),"-"),Calculation!AP352)</f>
        <v>-</v>
      </c>
      <c r="Z371" s="184" t="str">
        <f t="shared" ca="1" si="25"/>
        <v>-</v>
      </c>
      <c r="AA371" s="185" t="str">
        <f ca="1">IFERROR(IF(I371=0,"-",IF(AND(ROUND(H371*I371*X371/($W$10*10^3),1)&gt;=Calculation!$O$6,ROUND((((U371)*$R$23/0.05)-((S371)+(H371*I371*X371/($W$10*10^3))+(U371))),1)&gt;=0),Cluster!$W$8,IF(AND(ROUND(H371*I371*X371/($X$10*10^3),1)&gt;=Calculation!$O$6,ROUND((((U371)*$R$23/0.05)-((S371)+(H371*I371*X371/($X$10*10^3))+(U371))),1)&gt;=0),Cluster!$X$8,IF(AND(ROUND(H371*I371*X371/($Y$10*10^3),1)&gt;=Calculation!$O$6,ROUND((((U371)*$R$23/0.05)-((S371)+(H371*I371*X371/($Y$10*10^3))+(U371))),1)&gt;=0),Cluster!$Y$8,"Recepie by hand needed")))),"-")</f>
        <v>-</v>
      </c>
      <c r="AC371" s="37" t="str">
        <f t="shared" ca="1" si="26"/>
        <v>-</v>
      </c>
      <c r="AD371" s="37" t="str">
        <f t="shared" ca="1" si="27"/>
        <v>-</v>
      </c>
      <c r="AE371" s="220" t="str">
        <f t="shared" ca="1" si="28"/>
        <v>-</v>
      </c>
      <c r="AF371" s="37" t="str">
        <f t="shared" ca="1" si="29"/>
        <v>-</v>
      </c>
    </row>
    <row r="372" spans="1:32" ht="14.25" x14ac:dyDescent="0.5">
      <c r="A372" s="170" t="str">
        <f>Calculation!I353</f>
        <v/>
      </c>
      <c r="B372" s="221" t="str">
        <f ca="1">Calculation!B353</f>
        <v/>
      </c>
      <c r="C372" s="221" t="str">
        <f ca="1">Calculation!C353</f>
        <v/>
      </c>
      <c r="D372" s="172" t="str">
        <f ca="1">Calculation!AN353</f>
        <v/>
      </c>
      <c r="E372" s="173" t="str">
        <f ca="1">Calculation!D353</f>
        <v/>
      </c>
      <c r="F372" s="174" t="str">
        <f ca="1">Calculation!C353</f>
        <v/>
      </c>
      <c r="G372" s="175" t="str">
        <f ca="1">Calculation!F353</f>
        <v/>
      </c>
      <c r="H372" s="176" t="str">
        <f ca="1">Calculation!AD353</f>
        <v/>
      </c>
      <c r="I372" s="177" t="str">
        <f ca="1">Calculation!AE353</f>
        <v/>
      </c>
      <c r="J372" s="272" t="str">
        <f ca="1">IF(Calculation!Q353="","Selection",Calculation!Q353)</f>
        <v>Selection</v>
      </c>
      <c r="K372" s="179" t="str">
        <f ca="1">Calculation!T353</f>
        <v/>
      </c>
      <c r="L372" s="180" t="str">
        <f ca="1">Calculation!U353</f>
        <v>-</v>
      </c>
      <c r="M372" s="180" t="str">
        <f ca="1">Calculation!V353</f>
        <v>-</v>
      </c>
      <c r="N372" s="181"/>
      <c r="O372" s="180" t="str">
        <f ca="1">Calculation!X353</f>
        <v>-</v>
      </c>
      <c r="P372" s="180" t="str">
        <f ca="1">Calculation!Y353</f>
        <v>-</v>
      </c>
      <c r="Q372" s="273"/>
      <c r="R372" s="182" t="str">
        <f ca="1">IF(AND(L372&lt;&gt;"-",Q372&lt;&gt;"bypass"),IFERROR(IF((U372*$R$23/0.05)-SUM(S372:U372)&gt;0,(U372*$R$23/0.05)-SUM(S372:U372),0),"-"),Calculation!AH353)</f>
        <v>-</v>
      </c>
      <c r="S372" s="179" t="str">
        <f ca="1">IF(AND(L372&lt;&gt;"-",Q372&lt;&gt;"bypass"),IFERROR(X372*((H372*10^-12-H372*10^-12*I372)/(Calculation!$U$8*10^-9)),"-"),Calculation!AF353)</f>
        <v>-</v>
      </c>
      <c r="T372" s="179" t="str">
        <f ca="1">IF(AND(L372&lt;&gt;"-",Q372&lt;&gt;"bypass"),IFERROR(H372*I372*X372/(IF(Cluster!AA372=Cluster!$W$8,Cluster!$W$10,IF(Cluster!AA372=Cluster!$X$8,Cluster!$X$10,IF(Cluster!AA372=Cluster!$Y$8,Cluster!$Y$10,0)))*10^3),"-"),Calculation!AK353)</f>
        <v>-</v>
      </c>
      <c r="U372" s="179" t="str">
        <f ca="1">IF(AND(L372&lt;&gt;"-",Q372&lt;&gt;"bypass"),IFERROR((0.5/50)*X372/$R$23,"-"),Calculation!AG353)</f>
        <v>-</v>
      </c>
      <c r="V372" s="179" t="str">
        <f ca="1">IF(AND(L372&lt;&gt;"-",Q372&lt;&gt;"bypass"),IFERROR(5/50*X372,"-"),Calculation!AI353)</f>
        <v>-</v>
      </c>
      <c r="W372" s="179" t="str">
        <f ca="1">IF(AND(L372&lt;&gt;"-",Q372&lt;&gt;"bypass"),IFERROR(35/50*X372,"-"),Calculation!AJ353)</f>
        <v>-</v>
      </c>
      <c r="X372" s="179" t="str">
        <f ca="1">IF(AND(L372&lt;&gt;"-",Q372&lt;&gt;"bypass"),$W$23,Calculation!AL353)</f>
        <v>-</v>
      </c>
      <c r="Y372" s="183" t="str">
        <f ca="1">IF(AND(L372&lt;&gt;"-",Q372&lt;&gt;"bypass"),IFERROR($R$23*U372/SUM(R372:U372),"-"),Calculation!AP353)</f>
        <v>-</v>
      </c>
      <c r="Z372" s="184" t="str">
        <f t="shared" ca="1" si="25"/>
        <v>-</v>
      </c>
      <c r="AA372" s="185" t="str">
        <f ca="1">IFERROR(IF(I372=0,"-",IF(AND(ROUND(H372*I372*X372/($W$10*10^3),1)&gt;=Calculation!$O$6,ROUND((((U372)*$R$23/0.05)-((S372)+(H372*I372*X372/($W$10*10^3))+(U372))),1)&gt;=0),Cluster!$W$8,IF(AND(ROUND(H372*I372*X372/($X$10*10^3),1)&gt;=Calculation!$O$6,ROUND((((U372)*$R$23/0.05)-((S372)+(H372*I372*X372/($X$10*10^3))+(U372))),1)&gt;=0),Cluster!$X$8,IF(AND(ROUND(H372*I372*X372/($Y$10*10^3),1)&gt;=Calculation!$O$6,ROUND((((U372)*$R$23/0.05)-((S372)+(H372*I372*X372/($Y$10*10^3))+(U372))),1)&gt;=0),Cluster!$Y$8,"Recepie by hand needed")))),"-")</f>
        <v>-</v>
      </c>
      <c r="AC372" s="37" t="str">
        <f t="shared" ca="1" si="26"/>
        <v>-</v>
      </c>
      <c r="AD372" s="37" t="str">
        <f t="shared" ca="1" si="27"/>
        <v>-</v>
      </c>
      <c r="AE372" s="220" t="str">
        <f t="shared" ca="1" si="28"/>
        <v>-</v>
      </c>
      <c r="AF372" s="37" t="str">
        <f t="shared" ca="1" si="29"/>
        <v>-</v>
      </c>
    </row>
    <row r="373" spans="1:32" ht="14.25" x14ac:dyDescent="0.5">
      <c r="A373" s="170" t="str">
        <f>Calculation!I354</f>
        <v/>
      </c>
      <c r="B373" s="221" t="str">
        <f ca="1">Calculation!B354</f>
        <v/>
      </c>
      <c r="C373" s="221" t="str">
        <f ca="1">Calculation!C354</f>
        <v/>
      </c>
      <c r="D373" s="172" t="str">
        <f ca="1">Calculation!AN354</f>
        <v/>
      </c>
      <c r="E373" s="173" t="str">
        <f ca="1">Calculation!D354</f>
        <v/>
      </c>
      <c r="F373" s="174" t="str">
        <f ca="1">Calculation!C354</f>
        <v/>
      </c>
      <c r="G373" s="175" t="str">
        <f ca="1">Calculation!F354</f>
        <v/>
      </c>
      <c r="H373" s="176" t="str">
        <f ca="1">Calculation!AD354</f>
        <v/>
      </c>
      <c r="I373" s="177" t="str">
        <f ca="1">Calculation!AE354</f>
        <v/>
      </c>
      <c r="J373" s="272" t="str">
        <f ca="1">IF(Calculation!Q354="","Selection",Calculation!Q354)</f>
        <v>Selection</v>
      </c>
      <c r="K373" s="179" t="str">
        <f ca="1">Calculation!T354</f>
        <v/>
      </c>
      <c r="L373" s="180" t="str">
        <f ca="1">Calculation!U354</f>
        <v>-</v>
      </c>
      <c r="M373" s="180" t="str">
        <f ca="1">Calculation!V354</f>
        <v>-</v>
      </c>
      <c r="N373" s="181"/>
      <c r="O373" s="180" t="str">
        <f ca="1">Calculation!X354</f>
        <v>-</v>
      </c>
      <c r="P373" s="180" t="str">
        <f ca="1">Calculation!Y354</f>
        <v>-</v>
      </c>
      <c r="Q373" s="273"/>
      <c r="R373" s="182" t="str">
        <f ca="1">IF(AND(L373&lt;&gt;"-",Q373&lt;&gt;"bypass"),IFERROR(IF((U373*$R$23/0.05)-SUM(S373:U373)&gt;0,(U373*$R$23/0.05)-SUM(S373:U373),0),"-"),Calculation!AH354)</f>
        <v>-</v>
      </c>
      <c r="S373" s="179" t="str">
        <f ca="1">IF(AND(L373&lt;&gt;"-",Q373&lt;&gt;"bypass"),IFERROR(X373*((H373*10^-12-H373*10^-12*I373)/(Calculation!$U$8*10^-9)),"-"),Calculation!AF354)</f>
        <v>-</v>
      </c>
      <c r="T373" s="179" t="str">
        <f ca="1">IF(AND(L373&lt;&gt;"-",Q373&lt;&gt;"bypass"),IFERROR(H373*I373*X373/(IF(Cluster!AA373=Cluster!$W$8,Cluster!$W$10,IF(Cluster!AA373=Cluster!$X$8,Cluster!$X$10,IF(Cluster!AA373=Cluster!$Y$8,Cluster!$Y$10,0)))*10^3),"-"),Calculation!AK354)</f>
        <v>-</v>
      </c>
      <c r="U373" s="179" t="str">
        <f ca="1">IF(AND(L373&lt;&gt;"-",Q373&lt;&gt;"bypass"),IFERROR((0.5/50)*X373/$R$23,"-"),Calculation!AG354)</f>
        <v>-</v>
      </c>
      <c r="V373" s="179" t="str">
        <f ca="1">IF(AND(L373&lt;&gt;"-",Q373&lt;&gt;"bypass"),IFERROR(5/50*X373,"-"),Calculation!AI354)</f>
        <v>-</v>
      </c>
      <c r="W373" s="179" t="str">
        <f ca="1">IF(AND(L373&lt;&gt;"-",Q373&lt;&gt;"bypass"),IFERROR(35/50*X373,"-"),Calculation!AJ354)</f>
        <v>-</v>
      </c>
      <c r="X373" s="179" t="str">
        <f ca="1">IF(AND(L373&lt;&gt;"-",Q373&lt;&gt;"bypass"),$W$23,Calculation!AL354)</f>
        <v>-</v>
      </c>
      <c r="Y373" s="183" t="str">
        <f ca="1">IF(AND(L373&lt;&gt;"-",Q373&lt;&gt;"bypass"),IFERROR($R$23*U373/SUM(R373:U373),"-"),Calculation!AP354)</f>
        <v>-</v>
      </c>
      <c r="Z373" s="184" t="str">
        <f t="shared" ca="1" si="25"/>
        <v>-</v>
      </c>
      <c r="AA373" s="185" t="str">
        <f ca="1">IFERROR(IF(I373=0,"-",IF(AND(ROUND(H373*I373*X373/($W$10*10^3),1)&gt;=Calculation!$O$6,ROUND((((U373)*$R$23/0.05)-((S373)+(H373*I373*X373/($W$10*10^3))+(U373))),1)&gt;=0),Cluster!$W$8,IF(AND(ROUND(H373*I373*X373/($X$10*10^3),1)&gt;=Calculation!$O$6,ROUND((((U373)*$R$23/0.05)-((S373)+(H373*I373*X373/($X$10*10^3))+(U373))),1)&gt;=0),Cluster!$X$8,IF(AND(ROUND(H373*I373*X373/($Y$10*10^3),1)&gt;=Calculation!$O$6,ROUND((((U373)*$R$23/0.05)-((S373)+(H373*I373*X373/($Y$10*10^3))+(U373))),1)&gt;=0),Cluster!$Y$8,"Recepie by hand needed")))),"-")</f>
        <v>-</v>
      </c>
      <c r="AC373" s="37" t="str">
        <f t="shared" ca="1" si="26"/>
        <v>-</v>
      </c>
      <c r="AD373" s="37" t="str">
        <f t="shared" ca="1" si="27"/>
        <v>-</v>
      </c>
      <c r="AE373" s="220" t="str">
        <f t="shared" ca="1" si="28"/>
        <v>-</v>
      </c>
      <c r="AF373" s="37" t="str">
        <f t="shared" ca="1" si="29"/>
        <v>-</v>
      </c>
    </row>
    <row r="374" spans="1:32" ht="14.25" x14ac:dyDescent="0.5">
      <c r="A374" s="170" t="str">
        <f>Calculation!I355</f>
        <v/>
      </c>
      <c r="B374" s="221" t="str">
        <f ca="1">Calculation!B355</f>
        <v/>
      </c>
      <c r="C374" s="221" t="str">
        <f ca="1">Calculation!C355</f>
        <v/>
      </c>
      <c r="D374" s="172" t="str">
        <f ca="1">Calculation!AN355</f>
        <v/>
      </c>
      <c r="E374" s="173" t="str">
        <f ca="1">Calculation!D355</f>
        <v/>
      </c>
      <c r="F374" s="174" t="str">
        <f ca="1">Calculation!C355</f>
        <v/>
      </c>
      <c r="G374" s="175" t="str">
        <f ca="1">Calculation!F355</f>
        <v/>
      </c>
      <c r="H374" s="176" t="str">
        <f ca="1">Calculation!AD355</f>
        <v/>
      </c>
      <c r="I374" s="177" t="str">
        <f ca="1">Calculation!AE355</f>
        <v/>
      </c>
      <c r="J374" s="272" t="str">
        <f ca="1">IF(Calculation!Q355="","Selection",Calculation!Q355)</f>
        <v>Selection</v>
      </c>
      <c r="K374" s="179" t="str">
        <f ca="1">Calculation!T355</f>
        <v/>
      </c>
      <c r="L374" s="180" t="str">
        <f ca="1">Calculation!U355</f>
        <v>-</v>
      </c>
      <c r="M374" s="180" t="str">
        <f ca="1">Calculation!V355</f>
        <v>-</v>
      </c>
      <c r="N374" s="181"/>
      <c r="O374" s="180" t="str">
        <f ca="1">Calculation!X355</f>
        <v>-</v>
      </c>
      <c r="P374" s="180" t="str">
        <f ca="1">Calculation!Y355</f>
        <v>-</v>
      </c>
      <c r="Q374" s="273"/>
      <c r="R374" s="182" t="str">
        <f ca="1">IF(AND(L374&lt;&gt;"-",Q374&lt;&gt;"bypass"),IFERROR(IF((U374*$R$23/0.05)-SUM(S374:U374)&gt;0,(U374*$R$23/0.05)-SUM(S374:U374),0),"-"),Calculation!AH355)</f>
        <v>-</v>
      </c>
      <c r="S374" s="179" t="str">
        <f ca="1">IF(AND(L374&lt;&gt;"-",Q374&lt;&gt;"bypass"),IFERROR(X374*((H374*10^-12-H374*10^-12*I374)/(Calculation!$U$8*10^-9)),"-"),Calculation!AF355)</f>
        <v>-</v>
      </c>
      <c r="T374" s="179" t="str">
        <f ca="1">IF(AND(L374&lt;&gt;"-",Q374&lt;&gt;"bypass"),IFERROR(H374*I374*X374/(IF(Cluster!AA374=Cluster!$W$8,Cluster!$W$10,IF(Cluster!AA374=Cluster!$X$8,Cluster!$X$10,IF(Cluster!AA374=Cluster!$Y$8,Cluster!$Y$10,0)))*10^3),"-"),Calculation!AK355)</f>
        <v>-</v>
      </c>
      <c r="U374" s="179" t="str">
        <f ca="1">IF(AND(L374&lt;&gt;"-",Q374&lt;&gt;"bypass"),IFERROR((0.5/50)*X374/$R$23,"-"),Calculation!AG355)</f>
        <v>-</v>
      </c>
      <c r="V374" s="179" t="str">
        <f ca="1">IF(AND(L374&lt;&gt;"-",Q374&lt;&gt;"bypass"),IFERROR(5/50*X374,"-"),Calculation!AI355)</f>
        <v>-</v>
      </c>
      <c r="W374" s="179" t="str">
        <f ca="1">IF(AND(L374&lt;&gt;"-",Q374&lt;&gt;"bypass"),IFERROR(35/50*X374,"-"),Calculation!AJ355)</f>
        <v>-</v>
      </c>
      <c r="X374" s="179" t="str">
        <f ca="1">IF(AND(L374&lt;&gt;"-",Q374&lt;&gt;"bypass"),$W$23,Calculation!AL355)</f>
        <v>-</v>
      </c>
      <c r="Y374" s="183" t="str">
        <f ca="1">IF(AND(L374&lt;&gt;"-",Q374&lt;&gt;"bypass"),IFERROR($R$23*U374/SUM(R374:U374),"-"),Calculation!AP355)</f>
        <v>-</v>
      </c>
      <c r="Z374" s="184" t="str">
        <f t="shared" ca="1" si="25"/>
        <v>-</v>
      </c>
      <c r="AA374" s="185" t="str">
        <f ca="1">IFERROR(IF(I374=0,"-",IF(AND(ROUND(H374*I374*X374/($W$10*10^3),1)&gt;=Calculation!$O$6,ROUND((((U374)*$R$23/0.05)-((S374)+(H374*I374*X374/($W$10*10^3))+(U374))),1)&gt;=0),Cluster!$W$8,IF(AND(ROUND(H374*I374*X374/($X$10*10^3),1)&gt;=Calculation!$O$6,ROUND((((U374)*$R$23/0.05)-((S374)+(H374*I374*X374/($X$10*10^3))+(U374))),1)&gt;=0),Cluster!$X$8,IF(AND(ROUND(H374*I374*X374/($Y$10*10^3),1)&gt;=Calculation!$O$6,ROUND((((U374)*$R$23/0.05)-((S374)+(H374*I374*X374/($Y$10*10^3))+(U374))),1)&gt;=0),Cluster!$Y$8,"Recepie by hand needed")))),"-")</f>
        <v>-</v>
      </c>
      <c r="AC374" s="37" t="str">
        <f t="shared" ca="1" si="26"/>
        <v>-</v>
      </c>
      <c r="AD374" s="37" t="str">
        <f t="shared" ca="1" si="27"/>
        <v>-</v>
      </c>
      <c r="AE374" s="220" t="str">
        <f t="shared" ca="1" si="28"/>
        <v>-</v>
      </c>
      <c r="AF374" s="37" t="str">
        <f t="shared" ca="1" si="29"/>
        <v>-</v>
      </c>
    </row>
    <row r="375" spans="1:32" ht="14.25" x14ac:dyDescent="0.5">
      <c r="A375" s="170" t="str">
        <f>Calculation!I356</f>
        <v/>
      </c>
      <c r="B375" s="221" t="str">
        <f ca="1">Calculation!B356</f>
        <v/>
      </c>
      <c r="C375" s="221" t="str">
        <f ca="1">Calculation!C356</f>
        <v/>
      </c>
      <c r="D375" s="172" t="str">
        <f ca="1">Calculation!AN356</f>
        <v/>
      </c>
      <c r="E375" s="173" t="str">
        <f ca="1">Calculation!D356</f>
        <v/>
      </c>
      <c r="F375" s="174" t="str">
        <f ca="1">Calculation!C356</f>
        <v/>
      </c>
      <c r="G375" s="175" t="str">
        <f ca="1">Calculation!F356</f>
        <v/>
      </c>
      <c r="H375" s="176" t="str">
        <f ca="1">Calculation!AD356</f>
        <v/>
      </c>
      <c r="I375" s="177" t="str">
        <f ca="1">Calculation!AE356</f>
        <v/>
      </c>
      <c r="J375" s="272" t="str">
        <f ca="1">IF(Calculation!Q356="","Selection",Calculation!Q356)</f>
        <v>Selection</v>
      </c>
      <c r="K375" s="179" t="str">
        <f ca="1">Calculation!T356</f>
        <v/>
      </c>
      <c r="L375" s="180" t="str">
        <f ca="1">Calculation!U356</f>
        <v>-</v>
      </c>
      <c r="M375" s="180" t="str">
        <f ca="1">Calculation!V356</f>
        <v>-</v>
      </c>
      <c r="N375" s="181"/>
      <c r="O375" s="180" t="str">
        <f ca="1">Calculation!X356</f>
        <v>-</v>
      </c>
      <c r="P375" s="180" t="str">
        <f ca="1">Calculation!Y356</f>
        <v>-</v>
      </c>
      <c r="Q375" s="273"/>
      <c r="R375" s="182" t="str">
        <f ca="1">IF(AND(L375&lt;&gt;"-",Q375&lt;&gt;"bypass"),IFERROR(IF((U375*$R$23/0.05)-SUM(S375:U375)&gt;0,(U375*$R$23/0.05)-SUM(S375:U375),0),"-"),Calculation!AH356)</f>
        <v>-</v>
      </c>
      <c r="S375" s="179" t="str">
        <f ca="1">IF(AND(L375&lt;&gt;"-",Q375&lt;&gt;"bypass"),IFERROR(X375*((H375*10^-12-H375*10^-12*I375)/(Calculation!$U$8*10^-9)),"-"),Calculation!AF356)</f>
        <v>-</v>
      </c>
      <c r="T375" s="179" t="str">
        <f ca="1">IF(AND(L375&lt;&gt;"-",Q375&lt;&gt;"bypass"),IFERROR(H375*I375*X375/(IF(Cluster!AA375=Cluster!$W$8,Cluster!$W$10,IF(Cluster!AA375=Cluster!$X$8,Cluster!$X$10,IF(Cluster!AA375=Cluster!$Y$8,Cluster!$Y$10,0)))*10^3),"-"),Calculation!AK356)</f>
        <v>-</v>
      </c>
      <c r="U375" s="179" t="str">
        <f ca="1">IF(AND(L375&lt;&gt;"-",Q375&lt;&gt;"bypass"),IFERROR((0.5/50)*X375/$R$23,"-"),Calculation!AG356)</f>
        <v>-</v>
      </c>
      <c r="V375" s="179" t="str">
        <f ca="1">IF(AND(L375&lt;&gt;"-",Q375&lt;&gt;"bypass"),IFERROR(5/50*X375,"-"),Calculation!AI356)</f>
        <v>-</v>
      </c>
      <c r="W375" s="179" t="str">
        <f ca="1">IF(AND(L375&lt;&gt;"-",Q375&lt;&gt;"bypass"),IFERROR(35/50*X375,"-"),Calculation!AJ356)</f>
        <v>-</v>
      </c>
      <c r="X375" s="179" t="str">
        <f ca="1">IF(AND(L375&lt;&gt;"-",Q375&lt;&gt;"bypass"),$W$23,Calculation!AL356)</f>
        <v>-</v>
      </c>
      <c r="Y375" s="183" t="str">
        <f ca="1">IF(AND(L375&lt;&gt;"-",Q375&lt;&gt;"bypass"),IFERROR($R$23*U375/SUM(R375:U375),"-"),Calculation!AP356)</f>
        <v>-</v>
      </c>
      <c r="Z375" s="184" t="str">
        <f t="shared" ca="1" si="25"/>
        <v>-</v>
      </c>
      <c r="AA375" s="185" t="str">
        <f ca="1">IFERROR(IF(I375=0,"-",IF(AND(ROUND(H375*I375*X375/($W$10*10^3),1)&gt;=Calculation!$O$6,ROUND((((U375)*$R$23/0.05)-((S375)+(H375*I375*X375/($W$10*10^3))+(U375))),1)&gt;=0),Cluster!$W$8,IF(AND(ROUND(H375*I375*X375/($X$10*10^3),1)&gt;=Calculation!$O$6,ROUND((((U375)*$R$23/0.05)-((S375)+(H375*I375*X375/($X$10*10^3))+(U375))),1)&gt;=0),Cluster!$X$8,IF(AND(ROUND(H375*I375*X375/($Y$10*10^3),1)&gt;=Calculation!$O$6,ROUND((((U375)*$R$23/0.05)-((S375)+(H375*I375*X375/($Y$10*10^3))+(U375))),1)&gt;=0),Cluster!$Y$8,"Recepie by hand needed")))),"-")</f>
        <v>-</v>
      </c>
      <c r="AC375" s="37" t="str">
        <f t="shared" ca="1" si="26"/>
        <v>-</v>
      </c>
      <c r="AD375" s="37" t="str">
        <f t="shared" ca="1" si="27"/>
        <v>-</v>
      </c>
      <c r="AE375" s="220" t="str">
        <f t="shared" ca="1" si="28"/>
        <v>-</v>
      </c>
      <c r="AF375" s="37" t="str">
        <f t="shared" ca="1" si="29"/>
        <v>-</v>
      </c>
    </row>
    <row r="376" spans="1:32" ht="14.25" x14ac:dyDescent="0.5">
      <c r="A376" s="170" t="str">
        <f>Calculation!I357</f>
        <v/>
      </c>
      <c r="B376" s="221" t="str">
        <f ca="1">Calculation!B357</f>
        <v/>
      </c>
      <c r="C376" s="221" t="str">
        <f ca="1">Calculation!C357</f>
        <v/>
      </c>
      <c r="D376" s="172" t="str">
        <f ca="1">Calculation!AN357</f>
        <v/>
      </c>
      <c r="E376" s="173" t="str">
        <f ca="1">Calculation!D357</f>
        <v/>
      </c>
      <c r="F376" s="174" t="str">
        <f ca="1">Calculation!C357</f>
        <v/>
      </c>
      <c r="G376" s="175" t="str">
        <f ca="1">Calculation!F357</f>
        <v/>
      </c>
      <c r="H376" s="176" t="str">
        <f ca="1">Calculation!AD357</f>
        <v/>
      </c>
      <c r="I376" s="177" t="str">
        <f ca="1">Calculation!AE357</f>
        <v/>
      </c>
      <c r="J376" s="272" t="str">
        <f ca="1">IF(Calculation!Q357="","Selection",Calculation!Q357)</f>
        <v>Selection</v>
      </c>
      <c r="K376" s="179" t="str">
        <f ca="1">Calculation!T357</f>
        <v/>
      </c>
      <c r="L376" s="180" t="str">
        <f ca="1">Calculation!U357</f>
        <v>-</v>
      </c>
      <c r="M376" s="180" t="str">
        <f ca="1">Calculation!V357</f>
        <v>-</v>
      </c>
      <c r="N376" s="181"/>
      <c r="O376" s="180" t="str">
        <f ca="1">Calculation!X357</f>
        <v>-</v>
      </c>
      <c r="P376" s="180" t="str">
        <f ca="1">Calculation!Y357</f>
        <v>-</v>
      </c>
      <c r="Q376" s="273"/>
      <c r="R376" s="182" t="str">
        <f ca="1">IF(AND(L376&lt;&gt;"-",Q376&lt;&gt;"bypass"),IFERROR(IF((U376*$R$23/0.05)-SUM(S376:U376)&gt;0,(U376*$R$23/0.05)-SUM(S376:U376),0),"-"),Calculation!AH357)</f>
        <v>-</v>
      </c>
      <c r="S376" s="179" t="str">
        <f ca="1">IF(AND(L376&lt;&gt;"-",Q376&lt;&gt;"bypass"),IFERROR(X376*((H376*10^-12-H376*10^-12*I376)/(Calculation!$U$8*10^-9)),"-"),Calculation!AF357)</f>
        <v>-</v>
      </c>
      <c r="T376" s="179" t="str">
        <f ca="1">IF(AND(L376&lt;&gt;"-",Q376&lt;&gt;"bypass"),IFERROR(H376*I376*X376/(IF(Cluster!AA376=Cluster!$W$8,Cluster!$W$10,IF(Cluster!AA376=Cluster!$X$8,Cluster!$X$10,IF(Cluster!AA376=Cluster!$Y$8,Cluster!$Y$10,0)))*10^3),"-"),Calculation!AK357)</f>
        <v>-</v>
      </c>
      <c r="U376" s="179" t="str">
        <f ca="1">IF(AND(L376&lt;&gt;"-",Q376&lt;&gt;"bypass"),IFERROR((0.5/50)*X376/$R$23,"-"),Calculation!AG357)</f>
        <v>-</v>
      </c>
      <c r="V376" s="179" t="str">
        <f ca="1">IF(AND(L376&lt;&gt;"-",Q376&lt;&gt;"bypass"),IFERROR(5/50*X376,"-"),Calculation!AI357)</f>
        <v>-</v>
      </c>
      <c r="W376" s="179" t="str">
        <f ca="1">IF(AND(L376&lt;&gt;"-",Q376&lt;&gt;"bypass"),IFERROR(35/50*X376,"-"),Calculation!AJ357)</f>
        <v>-</v>
      </c>
      <c r="X376" s="179" t="str">
        <f ca="1">IF(AND(L376&lt;&gt;"-",Q376&lt;&gt;"bypass"),$W$23,Calculation!AL357)</f>
        <v>-</v>
      </c>
      <c r="Y376" s="183" t="str">
        <f ca="1">IF(AND(L376&lt;&gt;"-",Q376&lt;&gt;"bypass"),IFERROR($R$23*U376/SUM(R376:U376),"-"),Calculation!AP357)</f>
        <v>-</v>
      </c>
      <c r="Z376" s="184" t="str">
        <f t="shared" ca="1" si="25"/>
        <v>-</v>
      </c>
      <c r="AA376" s="185" t="str">
        <f ca="1">IFERROR(IF(I376=0,"-",IF(AND(ROUND(H376*I376*X376/($W$10*10^3),1)&gt;=Calculation!$O$6,ROUND((((U376)*$R$23/0.05)-((S376)+(H376*I376*X376/($W$10*10^3))+(U376))),1)&gt;=0),Cluster!$W$8,IF(AND(ROUND(H376*I376*X376/($X$10*10^3),1)&gt;=Calculation!$O$6,ROUND((((U376)*$R$23/0.05)-((S376)+(H376*I376*X376/($X$10*10^3))+(U376))),1)&gt;=0),Cluster!$X$8,IF(AND(ROUND(H376*I376*X376/($Y$10*10^3),1)&gt;=Calculation!$O$6,ROUND((((U376)*$R$23/0.05)-((S376)+(H376*I376*X376/($Y$10*10^3))+(U376))),1)&gt;=0),Cluster!$Y$8,"Recepie by hand needed")))),"-")</f>
        <v>-</v>
      </c>
      <c r="AC376" s="37" t="str">
        <f t="shared" ca="1" si="26"/>
        <v>-</v>
      </c>
      <c r="AD376" s="37" t="str">
        <f t="shared" ca="1" si="27"/>
        <v>-</v>
      </c>
      <c r="AE376" s="220" t="str">
        <f t="shared" ca="1" si="28"/>
        <v>-</v>
      </c>
      <c r="AF376" s="37" t="str">
        <f t="shared" ca="1" si="29"/>
        <v>-</v>
      </c>
    </row>
    <row r="377" spans="1:32" ht="14.25" x14ac:dyDescent="0.5">
      <c r="A377" s="170" t="str">
        <f>Calculation!I358</f>
        <v/>
      </c>
      <c r="B377" s="221" t="str">
        <f ca="1">Calculation!B358</f>
        <v/>
      </c>
      <c r="C377" s="221" t="str">
        <f ca="1">Calculation!C358</f>
        <v/>
      </c>
      <c r="D377" s="172" t="str">
        <f ca="1">Calculation!AN358</f>
        <v/>
      </c>
      <c r="E377" s="173" t="str">
        <f ca="1">Calculation!D358</f>
        <v/>
      </c>
      <c r="F377" s="174" t="str">
        <f ca="1">Calculation!C358</f>
        <v/>
      </c>
      <c r="G377" s="175" t="str">
        <f ca="1">Calculation!F358</f>
        <v/>
      </c>
      <c r="H377" s="176" t="str">
        <f ca="1">Calculation!AD358</f>
        <v/>
      </c>
      <c r="I377" s="177" t="str">
        <f ca="1">Calculation!AE358</f>
        <v/>
      </c>
      <c r="J377" s="272" t="str">
        <f ca="1">IF(Calculation!Q358="","Selection",Calculation!Q358)</f>
        <v>Selection</v>
      </c>
      <c r="K377" s="179" t="str">
        <f ca="1">Calculation!T358</f>
        <v/>
      </c>
      <c r="L377" s="180" t="str">
        <f ca="1">Calculation!U358</f>
        <v>-</v>
      </c>
      <c r="M377" s="180" t="str">
        <f ca="1">Calculation!V358</f>
        <v>-</v>
      </c>
      <c r="N377" s="181"/>
      <c r="O377" s="180" t="str">
        <f ca="1">Calculation!X358</f>
        <v>-</v>
      </c>
      <c r="P377" s="180" t="str">
        <f ca="1">Calculation!Y358</f>
        <v>-</v>
      </c>
      <c r="Q377" s="273"/>
      <c r="R377" s="182" t="str">
        <f ca="1">IF(AND(L377&lt;&gt;"-",Q377&lt;&gt;"bypass"),IFERROR(IF((U377*$R$23/0.05)-SUM(S377:U377)&gt;0,(U377*$R$23/0.05)-SUM(S377:U377),0),"-"),Calculation!AH358)</f>
        <v>-</v>
      </c>
      <c r="S377" s="179" t="str">
        <f ca="1">IF(AND(L377&lt;&gt;"-",Q377&lt;&gt;"bypass"),IFERROR(X377*((H377*10^-12-H377*10^-12*I377)/(Calculation!$U$8*10^-9)),"-"),Calculation!AF358)</f>
        <v>-</v>
      </c>
      <c r="T377" s="179" t="str">
        <f ca="1">IF(AND(L377&lt;&gt;"-",Q377&lt;&gt;"bypass"),IFERROR(H377*I377*X377/(IF(Cluster!AA377=Cluster!$W$8,Cluster!$W$10,IF(Cluster!AA377=Cluster!$X$8,Cluster!$X$10,IF(Cluster!AA377=Cluster!$Y$8,Cluster!$Y$10,0)))*10^3),"-"),Calculation!AK358)</f>
        <v>-</v>
      </c>
      <c r="U377" s="179" t="str">
        <f ca="1">IF(AND(L377&lt;&gt;"-",Q377&lt;&gt;"bypass"),IFERROR((0.5/50)*X377/$R$23,"-"),Calculation!AG358)</f>
        <v>-</v>
      </c>
      <c r="V377" s="179" t="str">
        <f ca="1">IF(AND(L377&lt;&gt;"-",Q377&lt;&gt;"bypass"),IFERROR(5/50*X377,"-"),Calculation!AI358)</f>
        <v>-</v>
      </c>
      <c r="W377" s="179" t="str">
        <f ca="1">IF(AND(L377&lt;&gt;"-",Q377&lt;&gt;"bypass"),IFERROR(35/50*X377,"-"),Calculation!AJ358)</f>
        <v>-</v>
      </c>
      <c r="X377" s="179" t="str">
        <f ca="1">IF(AND(L377&lt;&gt;"-",Q377&lt;&gt;"bypass"),$W$23,Calculation!AL358)</f>
        <v>-</v>
      </c>
      <c r="Y377" s="183" t="str">
        <f ca="1">IF(AND(L377&lt;&gt;"-",Q377&lt;&gt;"bypass"),IFERROR($R$23*U377/SUM(R377:U377),"-"),Calculation!AP358)</f>
        <v>-</v>
      </c>
      <c r="Z377" s="184" t="str">
        <f t="shared" ca="1" si="25"/>
        <v>-</v>
      </c>
      <c r="AA377" s="185" t="str">
        <f ca="1">IFERROR(IF(I377=0,"-",IF(AND(ROUND(H377*I377*X377/($W$10*10^3),1)&gt;=Calculation!$O$6,ROUND((((U377)*$R$23/0.05)-((S377)+(H377*I377*X377/($W$10*10^3))+(U377))),1)&gt;=0),Cluster!$W$8,IF(AND(ROUND(H377*I377*X377/($X$10*10^3),1)&gt;=Calculation!$O$6,ROUND((((U377)*$R$23/0.05)-((S377)+(H377*I377*X377/($X$10*10^3))+(U377))),1)&gt;=0),Cluster!$X$8,IF(AND(ROUND(H377*I377*X377/($Y$10*10^3),1)&gt;=Calculation!$O$6,ROUND((((U377)*$R$23/0.05)-((S377)+(H377*I377*X377/($Y$10*10^3))+(U377))),1)&gt;=0),Cluster!$Y$8,"Recepie by hand needed")))),"-")</f>
        <v>-</v>
      </c>
      <c r="AC377" s="37" t="str">
        <f t="shared" ca="1" si="26"/>
        <v>-</v>
      </c>
      <c r="AD377" s="37" t="str">
        <f t="shared" ca="1" si="27"/>
        <v>-</v>
      </c>
      <c r="AE377" s="220" t="str">
        <f t="shared" ca="1" si="28"/>
        <v>-</v>
      </c>
      <c r="AF377" s="37" t="str">
        <f t="shared" ca="1" si="29"/>
        <v>-</v>
      </c>
    </row>
    <row r="378" spans="1:32" ht="14.25" x14ac:dyDescent="0.5">
      <c r="A378" s="170" t="str">
        <f>Calculation!I359</f>
        <v/>
      </c>
      <c r="B378" s="221" t="str">
        <f ca="1">Calculation!B359</f>
        <v/>
      </c>
      <c r="C378" s="221" t="str">
        <f ca="1">Calculation!C359</f>
        <v/>
      </c>
      <c r="D378" s="172" t="str">
        <f ca="1">Calculation!AN359</f>
        <v/>
      </c>
      <c r="E378" s="173" t="str">
        <f ca="1">Calculation!D359</f>
        <v/>
      </c>
      <c r="F378" s="174" t="str">
        <f ca="1">Calculation!C359</f>
        <v/>
      </c>
      <c r="G378" s="175" t="str">
        <f ca="1">Calculation!F359</f>
        <v/>
      </c>
      <c r="H378" s="176" t="str">
        <f ca="1">Calculation!AD359</f>
        <v/>
      </c>
      <c r="I378" s="177" t="str">
        <f ca="1">Calculation!AE359</f>
        <v/>
      </c>
      <c r="J378" s="272" t="str">
        <f ca="1">IF(Calculation!Q359="","Selection",Calculation!Q359)</f>
        <v>Selection</v>
      </c>
      <c r="K378" s="179" t="str">
        <f ca="1">Calculation!T359</f>
        <v/>
      </c>
      <c r="L378" s="180" t="str">
        <f ca="1">Calculation!U359</f>
        <v>-</v>
      </c>
      <c r="M378" s="180" t="str">
        <f ca="1">Calculation!V359</f>
        <v>-</v>
      </c>
      <c r="N378" s="181"/>
      <c r="O378" s="180" t="str">
        <f ca="1">Calculation!X359</f>
        <v>-</v>
      </c>
      <c r="P378" s="180" t="str">
        <f ca="1">Calculation!Y359</f>
        <v>-</v>
      </c>
      <c r="Q378" s="273"/>
      <c r="R378" s="182" t="str">
        <f ca="1">IF(AND(L378&lt;&gt;"-",Q378&lt;&gt;"bypass"),IFERROR(IF((U378*$R$23/0.05)-SUM(S378:U378)&gt;0,(U378*$R$23/0.05)-SUM(S378:U378),0),"-"),Calculation!AH359)</f>
        <v>-</v>
      </c>
      <c r="S378" s="179" t="str">
        <f ca="1">IF(AND(L378&lt;&gt;"-",Q378&lt;&gt;"bypass"),IFERROR(X378*((H378*10^-12-H378*10^-12*I378)/(Calculation!$U$8*10^-9)),"-"),Calculation!AF359)</f>
        <v>-</v>
      </c>
      <c r="T378" s="179" t="str">
        <f ca="1">IF(AND(L378&lt;&gt;"-",Q378&lt;&gt;"bypass"),IFERROR(H378*I378*X378/(IF(Cluster!AA378=Cluster!$W$8,Cluster!$W$10,IF(Cluster!AA378=Cluster!$X$8,Cluster!$X$10,IF(Cluster!AA378=Cluster!$Y$8,Cluster!$Y$10,0)))*10^3),"-"),Calculation!AK359)</f>
        <v>-</v>
      </c>
      <c r="U378" s="179" t="str">
        <f ca="1">IF(AND(L378&lt;&gt;"-",Q378&lt;&gt;"bypass"),IFERROR((0.5/50)*X378/$R$23,"-"),Calculation!AG359)</f>
        <v>-</v>
      </c>
      <c r="V378" s="179" t="str">
        <f ca="1">IF(AND(L378&lt;&gt;"-",Q378&lt;&gt;"bypass"),IFERROR(5/50*X378,"-"),Calculation!AI359)</f>
        <v>-</v>
      </c>
      <c r="W378" s="179" t="str">
        <f ca="1">IF(AND(L378&lt;&gt;"-",Q378&lt;&gt;"bypass"),IFERROR(35/50*X378,"-"),Calculation!AJ359)</f>
        <v>-</v>
      </c>
      <c r="X378" s="179" t="str">
        <f ca="1">IF(AND(L378&lt;&gt;"-",Q378&lt;&gt;"bypass"),$W$23,Calculation!AL359)</f>
        <v>-</v>
      </c>
      <c r="Y378" s="183" t="str">
        <f ca="1">IF(AND(L378&lt;&gt;"-",Q378&lt;&gt;"bypass"),IFERROR($R$23*U378/SUM(R378:U378),"-"),Calculation!AP359)</f>
        <v>-</v>
      </c>
      <c r="Z378" s="184" t="str">
        <f t="shared" ca="1" si="25"/>
        <v>-</v>
      </c>
      <c r="AA378" s="185" t="str">
        <f ca="1">IFERROR(IF(I378=0,"-",IF(AND(ROUND(H378*I378*X378/($W$10*10^3),1)&gt;=Calculation!$O$6,ROUND((((U378)*$R$23/0.05)-((S378)+(H378*I378*X378/($W$10*10^3))+(U378))),1)&gt;=0),Cluster!$W$8,IF(AND(ROUND(H378*I378*X378/($X$10*10^3),1)&gt;=Calculation!$O$6,ROUND((((U378)*$R$23/0.05)-((S378)+(H378*I378*X378/($X$10*10^3))+(U378))),1)&gt;=0),Cluster!$X$8,IF(AND(ROUND(H378*I378*X378/($Y$10*10^3),1)&gt;=Calculation!$O$6,ROUND((((U378)*$R$23/0.05)-((S378)+(H378*I378*X378/($Y$10*10^3))+(U378))),1)&gt;=0),Cluster!$Y$8,"Recepie by hand needed")))),"-")</f>
        <v>-</v>
      </c>
      <c r="AC378" s="37" t="str">
        <f t="shared" ca="1" si="26"/>
        <v>-</v>
      </c>
      <c r="AD378" s="37" t="str">
        <f t="shared" ca="1" si="27"/>
        <v>-</v>
      </c>
      <c r="AE378" s="220" t="str">
        <f t="shared" ca="1" si="28"/>
        <v>-</v>
      </c>
      <c r="AF378" s="37" t="str">
        <f t="shared" ca="1" si="29"/>
        <v>-</v>
      </c>
    </row>
    <row r="379" spans="1:32" ht="14.25" x14ac:dyDescent="0.5">
      <c r="A379" s="170" t="str">
        <f>Calculation!I360</f>
        <v/>
      </c>
      <c r="B379" s="221" t="str">
        <f ca="1">Calculation!B360</f>
        <v/>
      </c>
      <c r="C379" s="221" t="str">
        <f ca="1">Calculation!C360</f>
        <v/>
      </c>
      <c r="D379" s="172" t="str">
        <f ca="1">Calculation!AN360</f>
        <v/>
      </c>
      <c r="E379" s="173" t="str">
        <f ca="1">Calculation!D360</f>
        <v/>
      </c>
      <c r="F379" s="174" t="str">
        <f ca="1">Calculation!C360</f>
        <v/>
      </c>
      <c r="G379" s="175" t="str">
        <f ca="1">Calculation!F360</f>
        <v/>
      </c>
      <c r="H379" s="176" t="str">
        <f ca="1">Calculation!AD360</f>
        <v/>
      </c>
      <c r="I379" s="177" t="str">
        <f ca="1">Calculation!AE360</f>
        <v/>
      </c>
      <c r="J379" s="272" t="str">
        <f ca="1">IF(Calculation!Q360="","Selection",Calculation!Q360)</f>
        <v>Selection</v>
      </c>
      <c r="K379" s="179" t="str">
        <f ca="1">Calculation!T360</f>
        <v/>
      </c>
      <c r="L379" s="180" t="str">
        <f ca="1">Calculation!U360</f>
        <v>-</v>
      </c>
      <c r="M379" s="180" t="str">
        <f ca="1">Calculation!V360</f>
        <v>-</v>
      </c>
      <c r="N379" s="181"/>
      <c r="O379" s="180" t="str">
        <f ca="1">Calculation!X360</f>
        <v>-</v>
      </c>
      <c r="P379" s="180" t="str">
        <f ca="1">Calculation!Y360</f>
        <v>-</v>
      </c>
      <c r="Q379" s="273"/>
      <c r="R379" s="182" t="str">
        <f ca="1">IF(AND(L379&lt;&gt;"-",Q379&lt;&gt;"bypass"),IFERROR(IF((U379*$R$23/0.05)-SUM(S379:U379)&gt;0,(U379*$R$23/0.05)-SUM(S379:U379),0),"-"),Calculation!AH360)</f>
        <v>-</v>
      </c>
      <c r="S379" s="179" t="str">
        <f ca="1">IF(AND(L379&lt;&gt;"-",Q379&lt;&gt;"bypass"),IFERROR(X379*((H379*10^-12-H379*10^-12*I379)/(Calculation!$U$8*10^-9)),"-"),Calculation!AF360)</f>
        <v>-</v>
      </c>
      <c r="T379" s="179" t="str">
        <f ca="1">IF(AND(L379&lt;&gt;"-",Q379&lt;&gt;"bypass"),IFERROR(H379*I379*X379/(IF(Cluster!AA379=Cluster!$W$8,Cluster!$W$10,IF(Cluster!AA379=Cluster!$X$8,Cluster!$X$10,IF(Cluster!AA379=Cluster!$Y$8,Cluster!$Y$10,0)))*10^3),"-"),Calculation!AK360)</f>
        <v>-</v>
      </c>
      <c r="U379" s="179" t="str">
        <f ca="1">IF(AND(L379&lt;&gt;"-",Q379&lt;&gt;"bypass"),IFERROR((0.5/50)*X379/$R$23,"-"),Calculation!AG360)</f>
        <v>-</v>
      </c>
      <c r="V379" s="179" t="str">
        <f ca="1">IF(AND(L379&lt;&gt;"-",Q379&lt;&gt;"bypass"),IFERROR(5/50*X379,"-"),Calculation!AI360)</f>
        <v>-</v>
      </c>
      <c r="W379" s="179" t="str">
        <f ca="1">IF(AND(L379&lt;&gt;"-",Q379&lt;&gt;"bypass"),IFERROR(35/50*X379,"-"),Calculation!AJ360)</f>
        <v>-</v>
      </c>
      <c r="X379" s="179" t="str">
        <f ca="1">IF(AND(L379&lt;&gt;"-",Q379&lt;&gt;"bypass"),$W$23,Calculation!AL360)</f>
        <v>-</v>
      </c>
      <c r="Y379" s="183" t="str">
        <f ca="1">IF(AND(L379&lt;&gt;"-",Q379&lt;&gt;"bypass"),IFERROR($R$23*U379/SUM(R379:U379),"-"),Calculation!AP360)</f>
        <v>-</v>
      </c>
      <c r="Z379" s="184" t="str">
        <f t="shared" ca="1" si="25"/>
        <v>-</v>
      </c>
      <c r="AA379" s="185" t="str">
        <f ca="1">IFERROR(IF(I379=0,"-",IF(AND(ROUND(H379*I379*X379/($W$10*10^3),1)&gt;=Calculation!$O$6,ROUND((((U379)*$R$23/0.05)-((S379)+(H379*I379*X379/($W$10*10^3))+(U379))),1)&gt;=0),Cluster!$W$8,IF(AND(ROUND(H379*I379*X379/($X$10*10^3),1)&gt;=Calculation!$O$6,ROUND((((U379)*$R$23/0.05)-((S379)+(H379*I379*X379/($X$10*10^3))+(U379))),1)&gt;=0),Cluster!$X$8,IF(AND(ROUND(H379*I379*X379/($Y$10*10^3),1)&gt;=Calculation!$O$6,ROUND((((U379)*$R$23/0.05)-((S379)+(H379*I379*X379/($Y$10*10^3))+(U379))),1)&gt;=0),Cluster!$Y$8,"Recepie by hand needed")))),"-")</f>
        <v>-</v>
      </c>
      <c r="AC379" s="37" t="str">
        <f t="shared" ca="1" si="26"/>
        <v>-</v>
      </c>
      <c r="AD379" s="37" t="str">
        <f t="shared" ca="1" si="27"/>
        <v>-</v>
      </c>
      <c r="AE379" s="220" t="str">
        <f t="shared" ca="1" si="28"/>
        <v>-</v>
      </c>
      <c r="AF379" s="37" t="str">
        <f t="shared" ca="1" si="29"/>
        <v>-</v>
      </c>
    </row>
    <row r="380" spans="1:32" ht="14.25" x14ac:dyDescent="0.5">
      <c r="A380" s="170" t="str">
        <f>Calculation!I361</f>
        <v/>
      </c>
      <c r="B380" s="221" t="str">
        <f ca="1">Calculation!B361</f>
        <v/>
      </c>
      <c r="C380" s="221" t="str">
        <f ca="1">Calculation!C361</f>
        <v/>
      </c>
      <c r="D380" s="172" t="str">
        <f ca="1">Calculation!AN361</f>
        <v/>
      </c>
      <c r="E380" s="173" t="str">
        <f ca="1">Calculation!D361</f>
        <v/>
      </c>
      <c r="F380" s="174" t="str">
        <f ca="1">Calculation!C361</f>
        <v/>
      </c>
      <c r="G380" s="175" t="str">
        <f ca="1">Calculation!F361</f>
        <v/>
      </c>
      <c r="H380" s="176" t="str">
        <f ca="1">Calculation!AD361</f>
        <v/>
      </c>
      <c r="I380" s="177" t="str">
        <f ca="1">Calculation!AE361</f>
        <v/>
      </c>
      <c r="J380" s="272" t="str">
        <f ca="1">IF(Calculation!Q361="","Selection",Calculation!Q361)</f>
        <v>Selection</v>
      </c>
      <c r="K380" s="179" t="str">
        <f ca="1">Calculation!T361</f>
        <v/>
      </c>
      <c r="L380" s="180" t="str">
        <f ca="1">Calculation!U361</f>
        <v>-</v>
      </c>
      <c r="M380" s="180" t="str">
        <f ca="1">Calculation!V361</f>
        <v>-</v>
      </c>
      <c r="N380" s="181"/>
      <c r="O380" s="180" t="str">
        <f ca="1">Calculation!X361</f>
        <v>-</v>
      </c>
      <c r="P380" s="180" t="str">
        <f ca="1">Calculation!Y361</f>
        <v>-</v>
      </c>
      <c r="Q380" s="273"/>
      <c r="R380" s="182" t="str">
        <f ca="1">IF(AND(L380&lt;&gt;"-",Q380&lt;&gt;"bypass"),IFERROR(IF((U380*$R$23/0.05)-SUM(S380:U380)&gt;0,(U380*$R$23/0.05)-SUM(S380:U380),0),"-"),Calculation!AH361)</f>
        <v>-</v>
      </c>
      <c r="S380" s="179" t="str">
        <f ca="1">IF(AND(L380&lt;&gt;"-",Q380&lt;&gt;"bypass"),IFERROR(X380*((H380*10^-12-H380*10^-12*I380)/(Calculation!$U$8*10^-9)),"-"),Calculation!AF361)</f>
        <v>-</v>
      </c>
      <c r="T380" s="179" t="str">
        <f ca="1">IF(AND(L380&lt;&gt;"-",Q380&lt;&gt;"bypass"),IFERROR(H380*I380*X380/(IF(Cluster!AA380=Cluster!$W$8,Cluster!$W$10,IF(Cluster!AA380=Cluster!$X$8,Cluster!$X$10,IF(Cluster!AA380=Cluster!$Y$8,Cluster!$Y$10,0)))*10^3),"-"),Calculation!AK361)</f>
        <v>-</v>
      </c>
      <c r="U380" s="179" t="str">
        <f ca="1">IF(AND(L380&lt;&gt;"-",Q380&lt;&gt;"bypass"),IFERROR((0.5/50)*X380/$R$23,"-"),Calculation!AG361)</f>
        <v>-</v>
      </c>
      <c r="V380" s="179" t="str">
        <f ca="1">IF(AND(L380&lt;&gt;"-",Q380&lt;&gt;"bypass"),IFERROR(5/50*X380,"-"),Calculation!AI361)</f>
        <v>-</v>
      </c>
      <c r="W380" s="179" t="str">
        <f ca="1">IF(AND(L380&lt;&gt;"-",Q380&lt;&gt;"bypass"),IFERROR(35/50*X380,"-"),Calculation!AJ361)</f>
        <v>-</v>
      </c>
      <c r="X380" s="179" t="str">
        <f ca="1">IF(AND(L380&lt;&gt;"-",Q380&lt;&gt;"bypass"),$W$23,Calculation!AL361)</f>
        <v>-</v>
      </c>
      <c r="Y380" s="183" t="str">
        <f ca="1">IF(AND(L380&lt;&gt;"-",Q380&lt;&gt;"bypass"),IFERROR($R$23*U380/SUM(R380:U380),"-"),Calculation!AP361)</f>
        <v>-</v>
      </c>
      <c r="Z380" s="184" t="str">
        <f t="shared" ca="1" si="25"/>
        <v>-</v>
      </c>
      <c r="AA380" s="185" t="str">
        <f ca="1">IFERROR(IF(I380=0,"-",IF(AND(ROUND(H380*I380*X380/($W$10*10^3),1)&gt;=Calculation!$O$6,ROUND((((U380)*$R$23/0.05)-((S380)+(H380*I380*X380/($W$10*10^3))+(U380))),1)&gt;=0),Cluster!$W$8,IF(AND(ROUND(H380*I380*X380/($X$10*10^3),1)&gt;=Calculation!$O$6,ROUND((((U380)*$R$23/0.05)-((S380)+(H380*I380*X380/($X$10*10^3))+(U380))),1)&gt;=0),Cluster!$X$8,IF(AND(ROUND(H380*I380*X380/($Y$10*10^3),1)&gt;=Calculation!$O$6,ROUND((((U380)*$R$23/0.05)-((S380)+(H380*I380*X380/($Y$10*10^3))+(U380))),1)&gt;=0),Cluster!$Y$8,"Recepie by hand needed")))),"-")</f>
        <v>-</v>
      </c>
      <c r="AC380" s="37" t="str">
        <f t="shared" ca="1" si="26"/>
        <v>-</v>
      </c>
      <c r="AD380" s="37" t="str">
        <f t="shared" ca="1" si="27"/>
        <v>-</v>
      </c>
      <c r="AE380" s="220" t="str">
        <f t="shared" ca="1" si="28"/>
        <v>-</v>
      </c>
      <c r="AF380" s="37" t="str">
        <f t="shared" ca="1" si="29"/>
        <v>-</v>
      </c>
    </row>
    <row r="381" spans="1:32" ht="14.25" x14ac:dyDescent="0.5">
      <c r="A381" s="170" t="str">
        <f>Calculation!I362</f>
        <v/>
      </c>
      <c r="B381" s="221" t="str">
        <f ca="1">Calculation!B362</f>
        <v/>
      </c>
      <c r="C381" s="221" t="str">
        <f ca="1">Calculation!C362</f>
        <v/>
      </c>
      <c r="D381" s="172" t="str">
        <f ca="1">Calculation!AN362</f>
        <v/>
      </c>
      <c r="E381" s="173" t="str">
        <f ca="1">Calculation!D362</f>
        <v/>
      </c>
      <c r="F381" s="174" t="str">
        <f ca="1">Calculation!C362</f>
        <v/>
      </c>
      <c r="G381" s="175" t="str">
        <f ca="1">Calculation!F362</f>
        <v/>
      </c>
      <c r="H381" s="176" t="str">
        <f ca="1">Calculation!AD362</f>
        <v/>
      </c>
      <c r="I381" s="177" t="str">
        <f ca="1">Calculation!AE362</f>
        <v/>
      </c>
      <c r="J381" s="272" t="str">
        <f ca="1">IF(Calculation!Q362="","Selection",Calculation!Q362)</f>
        <v>Selection</v>
      </c>
      <c r="K381" s="179" t="str">
        <f ca="1">Calculation!T362</f>
        <v/>
      </c>
      <c r="L381" s="180" t="str">
        <f ca="1">Calculation!U362</f>
        <v>-</v>
      </c>
      <c r="M381" s="180" t="str">
        <f ca="1">Calculation!V362</f>
        <v>-</v>
      </c>
      <c r="N381" s="181"/>
      <c r="O381" s="180" t="str">
        <f ca="1">Calculation!X362</f>
        <v>-</v>
      </c>
      <c r="P381" s="180" t="str">
        <f ca="1">Calculation!Y362</f>
        <v>-</v>
      </c>
      <c r="Q381" s="273"/>
      <c r="R381" s="182" t="str">
        <f ca="1">IF(AND(L381&lt;&gt;"-",Q381&lt;&gt;"bypass"),IFERROR(IF((U381*$R$23/0.05)-SUM(S381:U381)&gt;0,(U381*$R$23/0.05)-SUM(S381:U381),0),"-"),Calculation!AH362)</f>
        <v>-</v>
      </c>
      <c r="S381" s="179" t="str">
        <f ca="1">IF(AND(L381&lt;&gt;"-",Q381&lt;&gt;"bypass"),IFERROR(X381*((H381*10^-12-H381*10^-12*I381)/(Calculation!$U$8*10^-9)),"-"),Calculation!AF362)</f>
        <v>-</v>
      </c>
      <c r="T381" s="179" t="str">
        <f ca="1">IF(AND(L381&lt;&gt;"-",Q381&lt;&gt;"bypass"),IFERROR(H381*I381*X381/(IF(Cluster!AA381=Cluster!$W$8,Cluster!$W$10,IF(Cluster!AA381=Cluster!$X$8,Cluster!$X$10,IF(Cluster!AA381=Cluster!$Y$8,Cluster!$Y$10,0)))*10^3),"-"),Calculation!AK362)</f>
        <v>-</v>
      </c>
      <c r="U381" s="179" t="str">
        <f ca="1">IF(AND(L381&lt;&gt;"-",Q381&lt;&gt;"bypass"),IFERROR((0.5/50)*X381/$R$23,"-"),Calculation!AG362)</f>
        <v>-</v>
      </c>
      <c r="V381" s="179" t="str">
        <f ca="1">IF(AND(L381&lt;&gt;"-",Q381&lt;&gt;"bypass"),IFERROR(5/50*X381,"-"),Calculation!AI362)</f>
        <v>-</v>
      </c>
      <c r="W381" s="179" t="str">
        <f ca="1">IF(AND(L381&lt;&gt;"-",Q381&lt;&gt;"bypass"),IFERROR(35/50*X381,"-"),Calculation!AJ362)</f>
        <v>-</v>
      </c>
      <c r="X381" s="179" t="str">
        <f ca="1">IF(AND(L381&lt;&gt;"-",Q381&lt;&gt;"bypass"),$W$23,Calculation!AL362)</f>
        <v>-</v>
      </c>
      <c r="Y381" s="183" t="str">
        <f ca="1">IF(AND(L381&lt;&gt;"-",Q381&lt;&gt;"bypass"),IFERROR($R$23*U381/SUM(R381:U381),"-"),Calculation!AP362)</f>
        <v>-</v>
      </c>
      <c r="Z381" s="184" t="str">
        <f t="shared" ca="1" si="25"/>
        <v>-</v>
      </c>
      <c r="AA381" s="185" t="str">
        <f ca="1">IFERROR(IF(I381=0,"-",IF(AND(ROUND(H381*I381*X381/($W$10*10^3),1)&gt;=Calculation!$O$6,ROUND((((U381)*$R$23/0.05)-((S381)+(H381*I381*X381/($W$10*10^3))+(U381))),1)&gt;=0),Cluster!$W$8,IF(AND(ROUND(H381*I381*X381/($X$10*10^3),1)&gt;=Calculation!$O$6,ROUND((((U381)*$R$23/0.05)-((S381)+(H381*I381*X381/($X$10*10^3))+(U381))),1)&gt;=0),Cluster!$X$8,IF(AND(ROUND(H381*I381*X381/($Y$10*10^3),1)&gt;=Calculation!$O$6,ROUND((((U381)*$R$23/0.05)-((S381)+(H381*I381*X381/($Y$10*10^3))+(U381))),1)&gt;=0),Cluster!$Y$8,"Recepie by hand needed")))),"-")</f>
        <v>-</v>
      </c>
      <c r="AC381" s="37" t="str">
        <f t="shared" ca="1" si="26"/>
        <v>-</v>
      </c>
      <c r="AD381" s="37" t="str">
        <f t="shared" ca="1" si="27"/>
        <v>-</v>
      </c>
      <c r="AE381" s="220" t="str">
        <f t="shared" ca="1" si="28"/>
        <v>-</v>
      </c>
      <c r="AF381" s="37" t="str">
        <f t="shared" ca="1" si="29"/>
        <v>-</v>
      </c>
    </row>
    <row r="382" spans="1:32" ht="14.25" x14ac:dyDescent="0.5">
      <c r="A382" s="170" t="str">
        <f>Calculation!I363</f>
        <v/>
      </c>
      <c r="B382" s="221" t="str">
        <f ca="1">Calculation!B363</f>
        <v/>
      </c>
      <c r="C382" s="221" t="str">
        <f ca="1">Calculation!C363</f>
        <v/>
      </c>
      <c r="D382" s="172" t="str">
        <f ca="1">Calculation!AN363</f>
        <v/>
      </c>
      <c r="E382" s="173" t="str">
        <f ca="1">Calculation!D363</f>
        <v/>
      </c>
      <c r="F382" s="174" t="str">
        <f ca="1">Calculation!C363</f>
        <v/>
      </c>
      <c r="G382" s="175" t="str">
        <f ca="1">Calculation!F363</f>
        <v/>
      </c>
      <c r="H382" s="176" t="str">
        <f ca="1">Calculation!AD363</f>
        <v/>
      </c>
      <c r="I382" s="177" t="str">
        <f ca="1">Calculation!AE363</f>
        <v/>
      </c>
      <c r="J382" s="272" t="str">
        <f ca="1">IF(Calculation!Q363="","Selection",Calculation!Q363)</f>
        <v>Selection</v>
      </c>
      <c r="K382" s="179" t="str">
        <f ca="1">Calculation!T363</f>
        <v/>
      </c>
      <c r="L382" s="180" t="str">
        <f ca="1">Calculation!U363</f>
        <v>-</v>
      </c>
      <c r="M382" s="180" t="str">
        <f ca="1">Calculation!V363</f>
        <v>-</v>
      </c>
      <c r="N382" s="181"/>
      <c r="O382" s="180" t="str">
        <f ca="1">Calculation!X363</f>
        <v>-</v>
      </c>
      <c r="P382" s="180" t="str">
        <f ca="1">Calculation!Y363</f>
        <v>-</v>
      </c>
      <c r="Q382" s="273"/>
      <c r="R382" s="182" t="str">
        <f ca="1">IF(AND(L382&lt;&gt;"-",Q382&lt;&gt;"bypass"),IFERROR(IF((U382*$R$23/0.05)-SUM(S382:U382)&gt;0,(U382*$R$23/0.05)-SUM(S382:U382),0),"-"),Calculation!AH363)</f>
        <v>-</v>
      </c>
      <c r="S382" s="179" t="str">
        <f ca="1">IF(AND(L382&lt;&gt;"-",Q382&lt;&gt;"bypass"),IFERROR(X382*((H382*10^-12-H382*10^-12*I382)/(Calculation!$U$8*10^-9)),"-"),Calculation!AF363)</f>
        <v>-</v>
      </c>
      <c r="T382" s="179" t="str">
        <f ca="1">IF(AND(L382&lt;&gt;"-",Q382&lt;&gt;"bypass"),IFERROR(H382*I382*X382/(IF(Cluster!AA382=Cluster!$W$8,Cluster!$W$10,IF(Cluster!AA382=Cluster!$X$8,Cluster!$X$10,IF(Cluster!AA382=Cluster!$Y$8,Cluster!$Y$10,0)))*10^3),"-"),Calculation!AK363)</f>
        <v>-</v>
      </c>
      <c r="U382" s="179" t="str">
        <f ca="1">IF(AND(L382&lt;&gt;"-",Q382&lt;&gt;"bypass"),IFERROR((0.5/50)*X382/$R$23,"-"),Calculation!AG363)</f>
        <v>-</v>
      </c>
      <c r="V382" s="179" t="str">
        <f ca="1">IF(AND(L382&lt;&gt;"-",Q382&lt;&gt;"bypass"),IFERROR(5/50*X382,"-"),Calculation!AI363)</f>
        <v>-</v>
      </c>
      <c r="W382" s="179" t="str">
        <f ca="1">IF(AND(L382&lt;&gt;"-",Q382&lt;&gt;"bypass"),IFERROR(35/50*X382,"-"),Calculation!AJ363)</f>
        <v>-</v>
      </c>
      <c r="X382" s="179" t="str">
        <f ca="1">IF(AND(L382&lt;&gt;"-",Q382&lt;&gt;"bypass"),$W$23,Calculation!AL363)</f>
        <v>-</v>
      </c>
      <c r="Y382" s="183" t="str">
        <f ca="1">IF(AND(L382&lt;&gt;"-",Q382&lt;&gt;"bypass"),IFERROR($R$23*U382/SUM(R382:U382),"-"),Calculation!AP363)</f>
        <v>-</v>
      </c>
      <c r="Z382" s="184" t="str">
        <f t="shared" ca="1" si="25"/>
        <v>-</v>
      </c>
      <c r="AA382" s="185" t="str">
        <f ca="1">IFERROR(IF(I382=0,"-",IF(AND(ROUND(H382*I382*X382/($W$10*10^3),1)&gt;=Calculation!$O$6,ROUND((((U382)*$R$23/0.05)-((S382)+(H382*I382*X382/($W$10*10^3))+(U382))),1)&gt;=0),Cluster!$W$8,IF(AND(ROUND(H382*I382*X382/($X$10*10^3),1)&gt;=Calculation!$O$6,ROUND((((U382)*$R$23/0.05)-((S382)+(H382*I382*X382/($X$10*10^3))+(U382))),1)&gt;=0),Cluster!$X$8,IF(AND(ROUND(H382*I382*X382/($Y$10*10^3),1)&gt;=Calculation!$O$6,ROUND((((U382)*$R$23/0.05)-((S382)+(H382*I382*X382/($Y$10*10^3))+(U382))),1)&gt;=0),Cluster!$Y$8,"Recepie by hand needed")))),"-")</f>
        <v>-</v>
      </c>
      <c r="AC382" s="37" t="str">
        <f t="shared" ca="1" si="26"/>
        <v>-</v>
      </c>
      <c r="AD382" s="37" t="str">
        <f t="shared" ca="1" si="27"/>
        <v>-</v>
      </c>
      <c r="AE382" s="220" t="str">
        <f t="shared" ca="1" si="28"/>
        <v>-</v>
      </c>
      <c r="AF382" s="37" t="str">
        <f t="shared" ca="1" si="29"/>
        <v>-</v>
      </c>
    </row>
    <row r="383" spans="1:32" ht="14.25" x14ac:dyDescent="0.5">
      <c r="A383" s="170" t="str">
        <f>Calculation!I364</f>
        <v/>
      </c>
      <c r="B383" s="221" t="str">
        <f ca="1">Calculation!B364</f>
        <v/>
      </c>
      <c r="C383" s="221" t="str">
        <f ca="1">Calculation!C364</f>
        <v/>
      </c>
      <c r="D383" s="172" t="str">
        <f ca="1">Calculation!AN364</f>
        <v/>
      </c>
      <c r="E383" s="173" t="str">
        <f ca="1">Calculation!D364</f>
        <v/>
      </c>
      <c r="F383" s="174" t="str">
        <f ca="1">Calculation!C364</f>
        <v/>
      </c>
      <c r="G383" s="175" t="str">
        <f ca="1">Calculation!F364</f>
        <v/>
      </c>
      <c r="H383" s="176" t="str">
        <f ca="1">Calculation!AD364</f>
        <v/>
      </c>
      <c r="I383" s="177" t="str">
        <f ca="1">Calculation!AE364</f>
        <v/>
      </c>
      <c r="J383" s="272" t="str">
        <f ca="1">IF(Calculation!Q364="","Selection",Calculation!Q364)</f>
        <v>Selection</v>
      </c>
      <c r="K383" s="179" t="str">
        <f ca="1">Calculation!T364</f>
        <v/>
      </c>
      <c r="L383" s="180" t="str">
        <f ca="1">Calculation!U364</f>
        <v>-</v>
      </c>
      <c r="M383" s="180" t="str">
        <f ca="1">Calculation!V364</f>
        <v>-</v>
      </c>
      <c r="N383" s="181"/>
      <c r="O383" s="180" t="str">
        <f ca="1">Calculation!X364</f>
        <v>-</v>
      </c>
      <c r="P383" s="180" t="str">
        <f ca="1">Calculation!Y364</f>
        <v>-</v>
      </c>
      <c r="Q383" s="273"/>
      <c r="R383" s="182" t="str">
        <f ca="1">IF(AND(L383&lt;&gt;"-",Q383&lt;&gt;"bypass"),IFERROR(IF((U383*$R$23/0.05)-SUM(S383:U383)&gt;0,(U383*$R$23/0.05)-SUM(S383:U383),0),"-"),Calculation!AH364)</f>
        <v>-</v>
      </c>
      <c r="S383" s="179" t="str">
        <f ca="1">IF(AND(L383&lt;&gt;"-",Q383&lt;&gt;"bypass"),IFERROR(X383*((H383*10^-12-H383*10^-12*I383)/(Calculation!$U$8*10^-9)),"-"),Calculation!AF364)</f>
        <v>-</v>
      </c>
      <c r="T383" s="179" t="str">
        <f ca="1">IF(AND(L383&lt;&gt;"-",Q383&lt;&gt;"bypass"),IFERROR(H383*I383*X383/(IF(Cluster!AA383=Cluster!$W$8,Cluster!$W$10,IF(Cluster!AA383=Cluster!$X$8,Cluster!$X$10,IF(Cluster!AA383=Cluster!$Y$8,Cluster!$Y$10,0)))*10^3),"-"),Calculation!AK364)</f>
        <v>-</v>
      </c>
      <c r="U383" s="179" t="str">
        <f ca="1">IF(AND(L383&lt;&gt;"-",Q383&lt;&gt;"bypass"),IFERROR((0.5/50)*X383/$R$23,"-"),Calculation!AG364)</f>
        <v>-</v>
      </c>
      <c r="V383" s="179" t="str">
        <f ca="1">IF(AND(L383&lt;&gt;"-",Q383&lt;&gt;"bypass"),IFERROR(5/50*X383,"-"),Calculation!AI364)</f>
        <v>-</v>
      </c>
      <c r="W383" s="179" t="str">
        <f ca="1">IF(AND(L383&lt;&gt;"-",Q383&lt;&gt;"bypass"),IFERROR(35/50*X383,"-"),Calculation!AJ364)</f>
        <v>-</v>
      </c>
      <c r="X383" s="179" t="str">
        <f ca="1">IF(AND(L383&lt;&gt;"-",Q383&lt;&gt;"bypass"),$W$23,Calculation!AL364)</f>
        <v>-</v>
      </c>
      <c r="Y383" s="183" t="str">
        <f ca="1">IF(AND(L383&lt;&gt;"-",Q383&lt;&gt;"bypass"),IFERROR($R$23*U383/SUM(R383:U383),"-"),Calculation!AP364)</f>
        <v>-</v>
      </c>
      <c r="Z383" s="184" t="str">
        <f t="shared" ca="1" si="25"/>
        <v>-</v>
      </c>
      <c r="AA383" s="185" t="str">
        <f ca="1">IFERROR(IF(I383=0,"-",IF(AND(ROUND(H383*I383*X383/($W$10*10^3),1)&gt;=Calculation!$O$6,ROUND((((U383)*$R$23/0.05)-((S383)+(H383*I383*X383/($W$10*10^3))+(U383))),1)&gt;=0),Cluster!$W$8,IF(AND(ROUND(H383*I383*X383/($X$10*10^3),1)&gt;=Calculation!$O$6,ROUND((((U383)*$R$23/0.05)-((S383)+(H383*I383*X383/($X$10*10^3))+(U383))),1)&gt;=0),Cluster!$X$8,IF(AND(ROUND(H383*I383*X383/($Y$10*10^3),1)&gt;=Calculation!$O$6,ROUND((((U383)*$R$23/0.05)-((S383)+(H383*I383*X383/($Y$10*10^3))+(U383))),1)&gt;=0),Cluster!$Y$8,"Recepie by hand needed")))),"-")</f>
        <v>-</v>
      </c>
      <c r="AC383" s="37" t="str">
        <f t="shared" ca="1" si="26"/>
        <v>-</v>
      </c>
      <c r="AD383" s="37" t="str">
        <f t="shared" ca="1" si="27"/>
        <v>-</v>
      </c>
      <c r="AE383" s="220" t="str">
        <f t="shared" ca="1" si="28"/>
        <v>-</v>
      </c>
      <c r="AF383" s="37" t="str">
        <f t="shared" ca="1" si="29"/>
        <v>-</v>
      </c>
    </row>
    <row r="384" spans="1:32" ht="14.25" x14ac:dyDescent="0.5">
      <c r="A384" s="170" t="str">
        <f>Calculation!I365</f>
        <v/>
      </c>
      <c r="B384" s="221" t="str">
        <f ca="1">Calculation!B365</f>
        <v/>
      </c>
      <c r="C384" s="221" t="str">
        <f ca="1">Calculation!C365</f>
        <v/>
      </c>
      <c r="D384" s="172" t="str">
        <f ca="1">Calculation!AN365</f>
        <v/>
      </c>
      <c r="E384" s="173" t="str">
        <f ca="1">Calculation!D365</f>
        <v/>
      </c>
      <c r="F384" s="174" t="str">
        <f ca="1">Calculation!C365</f>
        <v/>
      </c>
      <c r="G384" s="175" t="str">
        <f ca="1">Calculation!F365</f>
        <v/>
      </c>
      <c r="H384" s="176" t="str">
        <f ca="1">Calculation!AD365</f>
        <v/>
      </c>
      <c r="I384" s="177" t="str">
        <f ca="1">Calculation!AE365</f>
        <v/>
      </c>
      <c r="J384" s="272" t="str">
        <f ca="1">IF(Calculation!Q365="","Selection",Calculation!Q365)</f>
        <v>Selection</v>
      </c>
      <c r="K384" s="179" t="str">
        <f ca="1">Calculation!T365</f>
        <v/>
      </c>
      <c r="L384" s="180" t="str">
        <f ca="1">Calculation!U365</f>
        <v>-</v>
      </c>
      <c r="M384" s="180" t="str">
        <f ca="1">Calculation!V365</f>
        <v>-</v>
      </c>
      <c r="N384" s="181"/>
      <c r="O384" s="180" t="str">
        <f ca="1">Calculation!X365</f>
        <v>-</v>
      </c>
      <c r="P384" s="180" t="str">
        <f ca="1">Calculation!Y365</f>
        <v>-</v>
      </c>
      <c r="Q384" s="273"/>
      <c r="R384" s="182" t="str">
        <f ca="1">IF(AND(L384&lt;&gt;"-",Q384&lt;&gt;"bypass"),IFERROR(IF((U384*$R$23/0.05)-SUM(S384:U384)&gt;0,(U384*$R$23/0.05)-SUM(S384:U384),0),"-"),Calculation!AH365)</f>
        <v>-</v>
      </c>
      <c r="S384" s="179" t="str">
        <f ca="1">IF(AND(L384&lt;&gt;"-",Q384&lt;&gt;"bypass"),IFERROR(X384*((H384*10^-12-H384*10^-12*I384)/(Calculation!$U$8*10^-9)),"-"),Calculation!AF365)</f>
        <v>-</v>
      </c>
      <c r="T384" s="179" t="str">
        <f ca="1">IF(AND(L384&lt;&gt;"-",Q384&lt;&gt;"bypass"),IFERROR(H384*I384*X384/(IF(Cluster!AA384=Cluster!$W$8,Cluster!$W$10,IF(Cluster!AA384=Cluster!$X$8,Cluster!$X$10,IF(Cluster!AA384=Cluster!$Y$8,Cluster!$Y$10,0)))*10^3),"-"),Calculation!AK365)</f>
        <v>-</v>
      </c>
      <c r="U384" s="179" t="str">
        <f ca="1">IF(AND(L384&lt;&gt;"-",Q384&lt;&gt;"bypass"),IFERROR((0.5/50)*X384/$R$23,"-"),Calculation!AG365)</f>
        <v>-</v>
      </c>
      <c r="V384" s="179" t="str">
        <f ca="1">IF(AND(L384&lt;&gt;"-",Q384&lt;&gt;"bypass"),IFERROR(5/50*X384,"-"),Calculation!AI365)</f>
        <v>-</v>
      </c>
      <c r="W384" s="179" t="str">
        <f ca="1">IF(AND(L384&lt;&gt;"-",Q384&lt;&gt;"bypass"),IFERROR(35/50*X384,"-"),Calculation!AJ365)</f>
        <v>-</v>
      </c>
      <c r="X384" s="179" t="str">
        <f ca="1">IF(AND(L384&lt;&gt;"-",Q384&lt;&gt;"bypass"),$W$23,Calculation!AL365)</f>
        <v>-</v>
      </c>
      <c r="Y384" s="183" t="str">
        <f ca="1">IF(AND(L384&lt;&gt;"-",Q384&lt;&gt;"bypass"),IFERROR($R$23*U384/SUM(R384:U384),"-"),Calculation!AP365)</f>
        <v>-</v>
      </c>
      <c r="Z384" s="184" t="str">
        <f t="shared" ca="1" si="25"/>
        <v>-</v>
      </c>
      <c r="AA384" s="185" t="str">
        <f ca="1">IFERROR(IF(I384=0,"-",IF(AND(ROUND(H384*I384*X384/($W$10*10^3),1)&gt;=Calculation!$O$6,ROUND((((U384)*$R$23/0.05)-((S384)+(H384*I384*X384/($W$10*10^3))+(U384))),1)&gt;=0),Cluster!$W$8,IF(AND(ROUND(H384*I384*X384/($X$10*10^3),1)&gt;=Calculation!$O$6,ROUND((((U384)*$R$23/0.05)-((S384)+(H384*I384*X384/($X$10*10^3))+(U384))),1)&gt;=0),Cluster!$X$8,IF(AND(ROUND(H384*I384*X384/($Y$10*10^3),1)&gt;=Calculation!$O$6,ROUND((((U384)*$R$23/0.05)-((S384)+(H384*I384*X384/($Y$10*10^3))+(U384))),1)&gt;=0),Cluster!$Y$8,"Recepie by hand needed")))),"-")</f>
        <v>-</v>
      </c>
      <c r="AC384" s="37" t="str">
        <f t="shared" ca="1" si="26"/>
        <v>-</v>
      </c>
      <c r="AD384" s="37" t="str">
        <f t="shared" ca="1" si="27"/>
        <v>-</v>
      </c>
      <c r="AE384" s="220" t="str">
        <f t="shared" ca="1" si="28"/>
        <v>-</v>
      </c>
      <c r="AF384" s="37" t="str">
        <f t="shared" ca="1" si="29"/>
        <v>-</v>
      </c>
    </row>
    <row r="385" spans="1:32" ht="14.25" x14ac:dyDescent="0.5">
      <c r="A385" s="170" t="str">
        <f>Calculation!I366</f>
        <v/>
      </c>
      <c r="B385" s="221" t="str">
        <f ca="1">Calculation!B366</f>
        <v/>
      </c>
      <c r="C385" s="221" t="str">
        <f ca="1">Calculation!C366</f>
        <v/>
      </c>
      <c r="D385" s="172" t="str">
        <f ca="1">Calculation!AN366</f>
        <v/>
      </c>
      <c r="E385" s="173" t="str">
        <f ca="1">Calculation!D366</f>
        <v/>
      </c>
      <c r="F385" s="174" t="str">
        <f ca="1">Calculation!C366</f>
        <v/>
      </c>
      <c r="G385" s="175" t="str">
        <f ca="1">Calculation!F366</f>
        <v/>
      </c>
      <c r="H385" s="176" t="str">
        <f ca="1">Calculation!AD366</f>
        <v/>
      </c>
      <c r="I385" s="177" t="str">
        <f ca="1">Calculation!AE366</f>
        <v/>
      </c>
      <c r="J385" s="272" t="str">
        <f ca="1">IF(Calculation!Q366="","Selection",Calculation!Q366)</f>
        <v>Selection</v>
      </c>
      <c r="K385" s="179" t="str">
        <f ca="1">Calculation!T366</f>
        <v/>
      </c>
      <c r="L385" s="180" t="str">
        <f ca="1">Calculation!U366</f>
        <v>-</v>
      </c>
      <c r="M385" s="180" t="str">
        <f ca="1">Calculation!V366</f>
        <v>-</v>
      </c>
      <c r="N385" s="181"/>
      <c r="O385" s="180" t="str">
        <f ca="1">Calculation!X366</f>
        <v>-</v>
      </c>
      <c r="P385" s="180" t="str">
        <f ca="1">Calculation!Y366</f>
        <v>-</v>
      </c>
      <c r="Q385" s="273"/>
      <c r="R385" s="182" t="str">
        <f ca="1">IF(AND(L385&lt;&gt;"-",Q385&lt;&gt;"bypass"),IFERROR(IF((U385*$R$23/0.05)-SUM(S385:U385)&gt;0,(U385*$R$23/0.05)-SUM(S385:U385),0),"-"),Calculation!AH366)</f>
        <v>-</v>
      </c>
      <c r="S385" s="179" t="str">
        <f ca="1">IF(AND(L385&lt;&gt;"-",Q385&lt;&gt;"bypass"),IFERROR(X385*((H385*10^-12-H385*10^-12*I385)/(Calculation!$U$8*10^-9)),"-"),Calculation!AF366)</f>
        <v>-</v>
      </c>
      <c r="T385" s="179" t="str">
        <f ca="1">IF(AND(L385&lt;&gt;"-",Q385&lt;&gt;"bypass"),IFERROR(H385*I385*X385/(IF(Cluster!AA385=Cluster!$W$8,Cluster!$W$10,IF(Cluster!AA385=Cluster!$X$8,Cluster!$X$10,IF(Cluster!AA385=Cluster!$Y$8,Cluster!$Y$10,0)))*10^3),"-"),Calculation!AK366)</f>
        <v>-</v>
      </c>
      <c r="U385" s="179" t="str">
        <f ca="1">IF(AND(L385&lt;&gt;"-",Q385&lt;&gt;"bypass"),IFERROR((0.5/50)*X385/$R$23,"-"),Calculation!AG366)</f>
        <v>-</v>
      </c>
      <c r="V385" s="179" t="str">
        <f ca="1">IF(AND(L385&lt;&gt;"-",Q385&lt;&gt;"bypass"),IFERROR(5/50*X385,"-"),Calculation!AI366)</f>
        <v>-</v>
      </c>
      <c r="W385" s="179" t="str">
        <f ca="1">IF(AND(L385&lt;&gt;"-",Q385&lt;&gt;"bypass"),IFERROR(35/50*X385,"-"),Calculation!AJ366)</f>
        <v>-</v>
      </c>
      <c r="X385" s="179" t="str">
        <f ca="1">IF(AND(L385&lt;&gt;"-",Q385&lt;&gt;"bypass"),$W$23,Calculation!AL366)</f>
        <v>-</v>
      </c>
      <c r="Y385" s="183" t="str">
        <f ca="1">IF(AND(L385&lt;&gt;"-",Q385&lt;&gt;"bypass"),IFERROR($R$23*U385/SUM(R385:U385),"-"),Calculation!AP366)</f>
        <v>-</v>
      </c>
      <c r="Z385" s="184" t="str">
        <f t="shared" ca="1" si="25"/>
        <v>-</v>
      </c>
      <c r="AA385" s="185" t="str">
        <f ca="1">IFERROR(IF(I385=0,"-",IF(AND(ROUND(H385*I385*X385/($W$10*10^3),1)&gt;=Calculation!$O$6,ROUND((((U385)*$R$23/0.05)-((S385)+(H385*I385*X385/($W$10*10^3))+(U385))),1)&gt;=0),Cluster!$W$8,IF(AND(ROUND(H385*I385*X385/($X$10*10^3),1)&gt;=Calculation!$O$6,ROUND((((U385)*$R$23/0.05)-((S385)+(H385*I385*X385/($X$10*10^3))+(U385))),1)&gt;=0),Cluster!$X$8,IF(AND(ROUND(H385*I385*X385/($Y$10*10^3),1)&gt;=Calculation!$O$6,ROUND((((U385)*$R$23/0.05)-((S385)+(H385*I385*X385/($Y$10*10^3))+(U385))),1)&gt;=0),Cluster!$Y$8,"Recepie by hand needed")))),"-")</f>
        <v>-</v>
      </c>
      <c r="AC385" s="37" t="str">
        <f t="shared" ca="1" si="26"/>
        <v>-</v>
      </c>
      <c r="AD385" s="37" t="str">
        <f t="shared" ca="1" si="27"/>
        <v>-</v>
      </c>
      <c r="AE385" s="220" t="str">
        <f t="shared" ca="1" si="28"/>
        <v>-</v>
      </c>
      <c r="AF385" s="37" t="str">
        <f t="shared" ca="1" si="29"/>
        <v>-</v>
      </c>
    </row>
    <row r="386" spans="1:32" ht="14.25" x14ac:dyDescent="0.5">
      <c r="A386" s="170" t="str">
        <f>Calculation!I367</f>
        <v/>
      </c>
      <c r="B386" s="221" t="str">
        <f ca="1">Calculation!B367</f>
        <v/>
      </c>
      <c r="C386" s="221" t="str">
        <f ca="1">Calculation!C367</f>
        <v/>
      </c>
      <c r="D386" s="172" t="str">
        <f ca="1">Calculation!AN367</f>
        <v/>
      </c>
      <c r="E386" s="173" t="str">
        <f ca="1">Calculation!D367</f>
        <v/>
      </c>
      <c r="F386" s="174" t="str">
        <f ca="1">Calculation!C367</f>
        <v/>
      </c>
      <c r="G386" s="175" t="str">
        <f ca="1">Calculation!F367</f>
        <v/>
      </c>
      <c r="H386" s="176" t="str">
        <f ca="1">Calculation!AD367</f>
        <v/>
      </c>
      <c r="I386" s="177" t="str">
        <f ca="1">Calculation!AE367</f>
        <v/>
      </c>
      <c r="J386" s="272" t="str">
        <f ca="1">IF(Calculation!Q367="","Selection",Calculation!Q367)</f>
        <v>Selection</v>
      </c>
      <c r="K386" s="179" t="str">
        <f ca="1">Calculation!T367</f>
        <v/>
      </c>
      <c r="L386" s="180" t="str">
        <f ca="1">Calculation!U367</f>
        <v>-</v>
      </c>
      <c r="M386" s="180" t="str">
        <f ca="1">Calculation!V367</f>
        <v>-</v>
      </c>
      <c r="N386" s="181"/>
      <c r="O386" s="180" t="str">
        <f ca="1">Calculation!X367</f>
        <v>-</v>
      </c>
      <c r="P386" s="180" t="str">
        <f ca="1">Calculation!Y367</f>
        <v>-</v>
      </c>
      <c r="Q386" s="273"/>
      <c r="R386" s="182" t="str">
        <f ca="1">IF(AND(L386&lt;&gt;"-",Q386&lt;&gt;"bypass"),IFERROR(IF((U386*$R$23/0.05)-SUM(S386:U386)&gt;0,(U386*$R$23/0.05)-SUM(S386:U386),0),"-"),Calculation!AH367)</f>
        <v>-</v>
      </c>
      <c r="S386" s="179" t="str">
        <f ca="1">IF(AND(L386&lt;&gt;"-",Q386&lt;&gt;"bypass"),IFERROR(X386*((H386*10^-12-H386*10^-12*I386)/(Calculation!$U$8*10^-9)),"-"),Calculation!AF367)</f>
        <v>-</v>
      </c>
      <c r="T386" s="179" t="str">
        <f ca="1">IF(AND(L386&lt;&gt;"-",Q386&lt;&gt;"bypass"),IFERROR(H386*I386*X386/(IF(Cluster!AA386=Cluster!$W$8,Cluster!$W$10,IF(Cluster!AA386=Cluster!$X$8,Cluster!$X$10,IF(Cluster!AA386=Cluster!$Y$8,Cluster!$Y$10,0)))*10^3),"-"),Calculation!AK367)</f>
        <v>-</v>
      </c>
      <c r="U386" s="179" t="str">
        <f ca="1">IF(AND(L386&lt;&gt;"-",Q386&lt;&gt;"bypass"),IFERROR((0.5/50)*X386/$R$23,"-"),Calculation!AG367)</f>
        <v>-</v>
      </c>
      <c r="V386" s="179" t="str">
        <f ca="1">IF(AND(L386&lt;&gt;"-",Q386&lt;&gt;"bypass"),IFERROR(5/50*X386,"-"),Calculation!AI367)</f>
        <v>-</v>
      </c>
      <c r="W386" s="179" t="str">
        <f ca="1">IF(AND(L386&lt;&gt;"-",Q386&lt;&gt;"bypass"),IFERROR(35/50*X386,"-"),Calculation!AJ367)</f>
        <v>-</v>
      </c>
      <c r="X386" s="179" t="str">
        <f ca="1">IF(AND(L386&lt;&gt;"-",Q386&lt;&gt;"bypass"),$W$23,Calculation!AL367)</f>
        <v>-</v>
      </c>
      <c r="Y386" s="183" t="str">
        <f ca="1">IF(AND(L386&lt;&gt;"-",Q386&lt;&gt;"bypass"),IFERROR($R$23*U386/SUM(R386:U386),"-"),Calculation!AP367)</f>
        <v>-</v>
      </c>
      <c r="Z386" s="184" t="str">
        <f t="shared" ca="1" si="25"/>
        <v>-</v>
      </c>
      <c r="AA386" s="185" t="str">
        <f ca="1">IFERROR(IF(I386=0,"-",IF(AND(ROUND(H386*I386*X386/($W$10*10^3),1)&gt;=Calculation!$O$6,ROUND((((U386)*$R$23/0.05)-((S386)+(H386*I386*X386/($W$10*10^3))+(U386))),1)&gt;=0),Cluster!$W$8,IF(AND(ROUND(H386*I386*X386/($X$10*10^3),1)&gt;=Calculation!$O$6,ROUND((((U386)*$R$23/0.05)-((S386)+(H386*I386*X386/($X$10*10^3))+(U386))),1)&gt;=0),Cluster!$X$8,IF(AND(ROUND(H386*I386*X386/($Y$10*10^3),1)&gt;=Calculation!$O$6,ROUND((((U386)*$R$23/0.05)-((S386)+(H386*I386*X386/($Y$10*10^3))+(U386))),1)&gt;=0),Cluster!$Y$8,"Recepie by hand needed")))),"-")</f>
        <v>-</v>
      </c>
      <c r="AC386" s="37" t="str">
        <f t="shared" ca="1" si="26"/>
        <v>-</v>
      </c>
      <c r="AD386" s="37" t="str">
        <f t="shared" ca="1" si="27"/>
        <v>-</v>
      </c>
      <c r="AE386" s="220" t="str">
        <f t="shared" ca="1" si="28"/>
        <v>-</v>
      </c>
      <c r="AF386" s="37" t="str">
        <f t="shared" ca="1" si="29"/>
        <v>-</v>
      </c>
    </row>
    <row r="387" spans="1:32" ht="14.25" x14ac:dyDescent="0.5">
      <c r="A387" s="170" t="str">
        <f>Calculation!I368</f>
        <v/>
      </c>
      <c r="B387" s="221" t="str">
        <f ca="1">Calculation!B368</f>
        <v/>
      </c>
      <c r="C387" s="221" t="str">
        <f ca="1">Calculation!C368</f>
        <v/>
      </c>
      <c r="D387" s="172" t="str">
        <f ca="1">Calculation!AN368</f>
        <v/>
      </c>
      <c r="E387" s="173" t="str">
        <f ca="1">Calculation!D368</f>
        <v/>
      </c>
      <c r="F387" s="174" t="str">
        <f ca="1">Calculation!C368</f>
        <v/>
      </c>
      <c r="G387" s="175" t="str">
        <f ca="1">Calculation!F368</f>
        <v/>
      </c>
      <c r="H387" s="176" t="str">
        <f ca="1">Calculation!AD368</f>
        <v/>
      </c>
      <c r="I387" s="177" t="str">
        <f ca="1">Calculation!AE368</f>
        <v/>
      </c>
      <c r="J387" s="272" t="str">
        <f ca="1">IF(Calculation!Q368="","Selection",Calculation!Q368)</f>
        <v>Selection</v>
      </c>
      <c r="K387" s="179" t="str">
        <f ca="1">Calculation!T368</f>
        <v/>
      </c>
      <c r="L387" s="180" t="str">
        <f ca="1">Calculation!U368</f>
        <v>-</v>
      </c>
      <c r="M387" s="180" t="str">
        <f ca="1">Calculation!V368</f>
        <v>-</v>
      </c>
      <c r="N387" s="181"/>
      <c r="O387" s="180" t="str">
        <f ca="1">Calculation!X368</f>
        <v>-</v>
      </c>
      <c r="P387" s="180" t="str">
        <f ca="1">Calculation!Y368</f>
        <v>-</v>
      </c>
      <c r="Q387" s="273"/>
      <c r="R387" s="182" t="str">
        <f ca="1">IF(AND(L387&lt;&gt;"-",Q387&lt;&gt;"bypass"),IFERROR(IF((U387*$R$23/0.05)-SUM(S387:U387)&gt;0,(U387*$R$23/0.05)-SUM(S387:U387),0),"-"),Calculation!AH368)</f>
        <v>-</v>
      </c>
      <c r="S387" s="179" t="str">
        <f ca="1">IF(AND(L387&lt;&gt;"-",Q387&lt;&gt;"bypass"),IFERROR(X387*((H387*10^-12-H387*10^-12*I387)/(Calculation!$U$8*10^-9)),"-"),Calculation!AF368)</f>
        <v>-</v>
      </c>
      <c r="T387" s="179" t="str">
        <f ca="1">IF(AND(L387&lt;&gt;"-",Q387&lt;&gt;"bypass"),IFERROR(H387*I387*X387/(IF(Cluster!AA387=Cluster!$W$8,Cluster!$W$10,IF(Cluster!AA387=Cluster!$X$8,Cluster!$X$10,IF(Cluster!AA387=Cluster!$Y$8,Cluster!$Y$10,0)))*10^3),"-"),Calculation!AK368)</f>
        <v>-</v>
      </c>
      <c r="U387" s="179" t="str">
        <f ca="1">IF(AND(L387&lt;&gt;"-",Q387&lt;&gt;"bypass"),IFERROR((0.5/50)*X387/$R$23,"-"),Calculation!AG368)</f>
        <v>-</v>
      </c>
      <c r="V387" s="179" t="str">
        <f ca="1">IF(AND(L387&lt;&gt;"-",Q387&lt;&gt;"bypass"),IFERROR(5/50*X387,"-"),Calculation!AI368)</f>
        <v>-</v>
      </c>
      <c r="W387" s="179" t="str">
        <f ca="1">IF(AND(L387&lt;&gt;"-",Q387&lt;&gt;"bypass"),IFERROR(35/50*X387,"-"),Calculation!AJ368)</f>
        <v>-</v>
      </c>
      <c r="X387" s="179" t="str">
        <f ca="1">IF(AND(L387&lt;&gt;"-",Q387&lt;&gt;"bypass"),$W$23,Calculation!AL368)</f>
        <v>-</v>
      </c>
      <c r="Y387" s="183" t="str">
        <f ca="1">IF(AND(L387&lt;&gt;"-",Q387&lt;&gt;"bypass"),IFERROR($R$23*U387/SUM(R387:U387),"-"),Calculation!AP368)</f>
        <v>-</v>
      </c>
      <c r="Z387" s="184" t="str">
        <f t="shared" ca="1" si="25"/>
        <v>-</v>
      </c>
      <c r="AA387" s="185" t="str">
        <f ca="1">IFERROR(IF(I387=0,"-",IF(AND(ROUND(H387*I387*X387/($W$10*10^3),1)&gt;=Calculation!$O$6,ROUND((((U387)*$R$23/0.05)-((S387)+(H387*I387*X387/($W$10*10^3))+(U387))),1)&gt;=0),Cluster!$W$8,IF(AND(ROUND(H387*I387*X387/($X$10*10^3),1)&gt;=Calculation!$O$6,ROUND((((U387)*$R$23/0.05)-((S387)+(H387*I387*X387/($X$10*10^3))+(U387))),1)&gt;=0),Cluster!$X$8,IF(AND(ROUND(H387*I387*X387/($Y$10*10^3),1)&gt;=Calculation!$O$6,ROUND((((U387)*$R$23/0.05)-((S387)+(H387*I387*X387/($Y$10*10^3))+(U387))),1)&gt;=0),Cluster!$Y$8,"Recepie by hand needed")))),"-")</f>
        <v>-</v>
      </c>
      <c r="AC387" s="37" t="str">
        <f t="shared" ca="1" si="26"/>
        <v>-</v>
      </c>
      <c r="AD387" s="37" t="str">
        <f t="shared" ca="1" si="27"/>
        <v>-</v>
      </c>
      <c r="AE387" s="220" t="str">
        <f t="shared" ca="1" si="28"/>
        <v>-</v>
      </c>
      <c r="AF387" s="37" t="str">
        <f t="shared" ca="1" si="29"/>
        <v>-</v>
      </c>
    </row>
    <row r="388" spans="1:32" ht="14.25" x14ac:dyDescent="0.5">
      <c r="A388" s="170" t="str">
        <f>Calculation!I369</f>
        <v/>
      </c>
      <c r="B388" s="221" t="str">
        <f ca="1">Calculation!B369</f>
        <v/>
      </c>
      <c r="C388" s="221" t="str">
        <f ca="1">Calculation!C369</f>
        <v/>
      </c>
      <c r="D388" s="172" t="str">
        <f ca="1">Calculation!AN369</f>
        <v/>
      </c>
      <c r="E388" s="173" t="str">
        <f ca="1">Calculation!D369</f>
        <v/>
      </c>
      <c r="F388" s="174" t="str">
        <f ca="1">Calculation!C369</f>
        <v/>
      </c>
      <c r="G388" s="175" t="str">
        <f ca="1">Calculation!F369</f>
        <v/>
      </c>
      <c r="H388" s="176" t="str">
        <f ca="1">Calculation!AD369</f>
        <v/>
      </c>
      <c r="I388" s="177" t="str">
        <f ca="1">Calculation!AE369</f>
        <v/>
      </c>
      <c r="J388" s="272" t="str">
        <f ca="1">IF(Calculation!Q369="","Selection",Calculation!Q369)</f>
        <v>Selection</v>
      </c>
      <c r="K388" s="179" t="str">
        <f ca="1">Calculation!T369</f>
        <v/>
      </c>
      <c r="L388" s="180" t="str">
        <f ca="1">Calculation!U369</f>
        <v>-</v>
      </c>
      <c r="M388" s="180" t="str">
        <f ca="1">Calculation!V369</f>
        <v>-</v>
      </c>
      <c r="N388" s="181"/>
      <c r="O388" s="180" t="str">
        <f ca="1">Calculation!X369</f>
        <v>-</v>
      </c>
      <c r="P388" s="180" t="str">
        <f ca="1">Calculation!Y369</f>
        <v>-</v>
      </c>
      <c r="Q388" s="273"/>
      <c r="R388" s="182" t="str">
        <f ca="1">IF(AND(L388&lt;&gt;"-",Q388&lt;&gt;"bypass"),IFERROR(IF((U388*$R$23/0.05)-SUM(S388:U388)&gt;0,(U388*$R$23/0.05)-SUM(S388:U388),0),"-"),Calculation!AH369)</f>
        <v>-</v>
      </c>
      <c r="S388" s="179" t="str">
        <f ca="1">IF(AND(L388&lt;&gt;"-",Q388&lt;&gt;"bypass"),IFERROR(X388*((H388*10^-12-H388*10^-12*I388)/(Calculation!$U$8*10^-9)),"-"),Calculation!AF369)</f>
        <v>-</v>
      </c>
      <c r="T388" s="179" t="str">
        <f ca="1">IF(AND(L388&lt;&gt;"-",Q388&lt;&gt;"bypass"),IFERROR(H388*I388*X388/(IF(Cluster!AA388=Cluster!$W$8,Cluster!$W$10,IF(Cluster!AA388=Cluster!$X$8,Cluster!$X$10,IF(Cluster!AA388=Cluster!$Y$8,Cluster!$Y$10,0)))*10^3),"-"),Calculation!AK369)</f>
        <v>-</v>
      </c>
      <c r="U388" s="179" t="str">
        <f ca="1">IF(AND(L388&lt;&gt;"-",Q388&lt;&gt;"bypass"),IFERROR((0.5/50)*X388/$R$23,"-"),Calculation!AG369)</f>
        <v>-</v>
      </c>
      <c r="V388" s="179" t="str">
        <f ca="1">IF(AND(L388&lt;&gt;"-",Q388&lt;&gt;"bypass"),IFERROR(5/50*X388,"-"),Calculation!AI369)</f>
        <v>-</v>
      </c>
      <c r="W388" s="179" t="str">
        <f ca="1">IF(AND(L388&lt;&gt;"-",Q388&lt;&gt;"bypass"),IFERROR(35/50*X388,"-"),Calculation!AJ369)</f>
        <v>-</v>
      </c>
      <c r="X388" s="179" t="str">
        <f ca="1">IF(AND(L388&lt;&gt;"-",Q388&lt;&gt;"bypass"),$W$23,Calculation!AL369)</f>
        <v>-</v>
      </c>
      <c r="Y388" s="183" t="str">
        <f ca="1">IF(AND(L388&lt;&gt;"-",Q388&lt;&gt;"bypass"),IFERROR($R$23*U388/SUM(R388:U388),"-"),Calculation!AP369)</f>
        <v>-</v>
      </c>
      <c r="Z388" s="184" t="str">
        <f t="shared" ca="1" si="25"/>
        <v>-</v>
      </c>
      <c r="AA388" s="185" t="str">
        <f ca="1">IFERROR(IF(I388=0,"-",IF(AND(ROUND(H388*I388*X388/($W$10*10^3),1)&gt;=Calculation!$O$6,ROUND((((U388)*$R$23/0.05)-((S388)+(H388*I388*X388/($W$10*10^3))+(U388))),1)&gt;=0),Cluster!$W$8,IF(AND(ROUND(H388*I388*X388/($X$10*10^3),1)&gt;=Calculation!$O$6,ROUND((((U388)*$R$23/0.05)-((S388)+(H388*I388*X388/($X$10*10^3))+(U388))),1)&gt;=0),Cluster!$X$8,IF(AND(ROUND(H388*I388*X388/($Y$10*10^3),1)&gt;=Calculation!$O$6,ROUND((((U388)*$R$23/0.05)-((S388)+(H388*I388*X388/($Y$10*10^3))+(U388))),1)&gt;=0),Cluster!$Y$8,"Recepie by hand needed")))),"-")</f>
        <v>-</v>
      </c>
      <c r="AC388" s="37" t="str">
        <f t="shared" ca="1" si="26"/>
        <v>-</v>
      </c>
      <c r="AD388" s="37" t="str">
        <f t="shared" ca="1" si="27"/>
        <v>-</v>
      </c>
      <c r="AE388" s="220" t="str">
        <f t="shared" ca="1" si="28"/>
        <v>-</v>
      </c>
      <c r="AF388" s="37" t="str">
        <f t="shared" ca="1" si="29"/>
        <v>-</v>
      </c>
    </row>
    <row r="389" spans="1:32" ht="14.25" x14ac:dyDescent="0.5">
      <c r="A389" s="170" t="str">
        <f>Calculation!I370</f>
        <v/>
      </c>
      <c r="B389" s="221" t="str">
        <f ca="1">Calculation!B370</f>
        <v/>
      </c>
      <c r="C389" s="221" t="str">
        <f ca="1">Calculation!C370</f>
        <v/>
      </c>
      <c r="D389" s="172" t="str">
        <f ca="1">Calculation!AN370</f>
        <v/>
      </c>
      <c r="E389" s="173" t="str">
        <f ca="1">Calculation!D370</f>
        <v/>
      </c>
      <c r="F389" s="174" t="str">
        <f ca="1">Calculation!C370</f>
        <v/>
      </c>
      <c r="G389" s="175" t="str">
        <f ca="1">Calculation!F370</f>
        <v/>
      </c>
      <c r="H389" s="176" t="str">
        <f ca="1">Calculation!AD370</f>
        <v/>
      </c>
      <c r="I389" s="177" t="str">
        <f ca="1">Calculation!AE370</f>
        <v/>
      </c>
      <c r="J389" s="272" t="str">
        <f ca="1">IF(Calculation!Q370="","Selection",Calculation!Q370)</f>
        <v>Selection</v>
      </c>
      <c r="K389" s="179" t="str">
        <f ca="1">Calculation!T370</f>
        <v/>
      </c>
      <c r="L389" s="180" t="str">
        <f ca="1">Calculation!U370</f>
        <v>-</v>
      </c>
      <c r="M389" s="180" t="str">
        <f ca="1">Calculation!V370</f>
        <v>-</v>
      </c>
      <c r="N389" s="181"/>
      <c r="O389" s="180" t="str">
        <f ca="1">Calculation!X370</f>
        <v>-</v>
      </c>
      <c r="P389" s="180" t="str">
        <f ca="1">Calculation!Y370</f>
        <v>-</v>
      </c>
      <c r="Q389" s="273"/>
      <c r="R389" s="182" t="str">
        <f ca="1">IF(AND(L389&lt;&gt;"-",Q389&lt;&gt;"bypass"),IFERROR(IF((U389*$R$23/0.05)-SUM(S389:U389)&gt;0,(U389*$R$23/0.05)-SUM(S389:U389),0),"-"),Calculation!AH370)</f>
        <v>-</v>
      </c>
      <c r="S389" s="179" t="str">
        <f ca="1">IF(AND(L389&lt;&gt;"-",Q389&lt;&gt;"bypass"),IFERROR(X389*((H389*10^-12-H389*10^-12*I389)/(Calculation!$U$8*10^-9)),"-"),Calculation!AF370)</f>
        <v>-</v>
      </c>
      <c r="T389" s="179" t="str">
        <f ca="1">IF(AND(L389&lt;&gt;"-",Q389&lt;&gt;"bypass"),IFERROR(H389*I389*X389/(IF(Cluster!AA389=Cluster!$W$8,Cluster!$W$10,IF(Cluster!AA389=Cluster!$X$8,Cluster!$X$10,IF(Cluster!AA389=Cluster!$Y$8,Cluster!$Y$10,0)))*10^3),"-"),Calculation!AK370)</f>
        <v>-</v>
      </c>
      <c r="U389" s="179" t="str">
        <f ca="1">IF(AND(L389&lt;&gt;"-",Q389&lt;&gt;"bypass"),IFERROR((0.5/50)*X389/$R$23,"-"),Calculation!AG370)</f>
        <v>-</v>
      </c>
      <c r="V389" s="179" t="str">
        <f ca="1">IF(AND(L389&lt;&gt;"-",Q389&lt;&gt;"bypass"),IFERROR(5/50*X389,"-"),Calculation!AI370)</f>
        <v>-</v>
      </c>
      <c r="W389" s="179" t="str">
        <f ca="1">IF(AND(L389&lt;&gt;"-",Q389&lt;&gt;"bypass"),IFERROR(35/50*X389,"-"),Calculation!AJ370)</f>
        <v>-</v>
      </c>
      <c r="X389" s="179" t="str">
        <f ca="1">IF(AND(L389&lt;&gt;"-",Q389&lt;&gt;"bypass"),$W$23,Calculation!AL370)</f>
        <v>-</v>
      </c>
      <c r="Y389" s="183" t="str">
        <f ca="1">IF(AND(L389&lt;&gt;"-",Q389&lt;&gt;"bypass"),IFERROR($R$23*U389/SUM(R389:U389),"-"),Calculation!AP370)</f>
        <v>-</v>
      </c>
      <c r="Z389" s="184" t="str">
        <f t="shared" ca="1" si="25"/>
        <v>-</v>
      </c>
      <c r="AA389" s="185" t="str">
        <f ca="1">IFERROR(IF(I389=0,"-",IF(AND(ROUND(H389*I389*X389/($W$10*10^3),1)&gt;=Calculation!$O$6,ROUND((((U389)*$R$23/0.05)-((S389)+(H389*I389*X389/($W$10*10^3))+(U389))),1)&gt;=0),Cluster!$W$8,IF(AND(ROUND(H389*I389*X389/($X$10*10^3),1)&gt;=Calculation!$O$6,ROUND((((U389)*$R$23/0.05)-((S389)+(H389*I389*X389/($X$10*10^3))+(U389))),1)&gt;=0),Cluster!$X$8,IF(AND(ROUND(H389*I389*X389/($Y$10*10^3),1)&gt;=Calculation!$O$6,ROUND((((U389)*$R$23/0.05)-((S389)+(H389*I389*X389/($Y$10*10^3))+(U389))),1)&gt;=0),Cluster!$Y$8,"Recepie by hand needed")))),"-")</f>
        <v>-</v>
      </c>
      <c r="AC389" s="37" t="str">
        <f t="shared" ca="1" si="26"/>
        <v>-</v>
      </c>
      <c r="AD389" s="37" t="str">
        <f t="shared" ca="1" si="27"/>
        <v>-</v>
      </c>
      <c r="AE389" s="220" t="str">
        <f t="shared" ca="1" si="28"/>
        <v>-</v>
      </c>
      <c r="AF389" s="37" t="str">
        <f t="shared" ca="1" si="29"/>
        <v>-</v>
      </c>
    </row>
    <row r="390" spans="1:32" ht="14.25" x14ac:dyDescent="0.5">
      <c r="A390" s="170" t="str">
        <f>Calculation!I371</f>
        <v/>
      </c>
      <c r="B390" s="221" t="str">
        <f ca="1">Calculation!B371</f>
        <v/>
      </c>
      <c r="C390" s="221" t="str">
        <f ca="1">Calculation!C371</f>
        <v/>
      </c>
      <c r="D390" s="172" t="str">
        <f ca="1">Calculation!AN371</f>
        <v/>
      </c>
      <c r="E390" s="173" t="str">
        <f ca="1">Calculation!D371</f>
        <v/>
      </c>
      <c r="F390" s="174" t="str">
        <f ca="1">Calculation!C371</f>
        <v/>
      </c>
      <c r="G390" s="175" t="str">
        <f ca="1">Calculation!F371</f>
        <v/>
      </c>
      <c r="H390" s="176" t="str">
        <f ca="1">Calculation!AD371</f>
        <v/>
      </c>
      <c r="I390" s="177" t="str">
        <f ca="1">Calculation!AE371</f>
        <v/>
      </c>
      <c r="J390" s="272" t="str">
        <f ca="1">IF(Calculation!Q371="","Selection",Calculation!Q371)</f>
        <v>Selection</v>
      </c>
      <c r="K390" s="179" t="str">
        <f ca="1">Calculation!T371</f>
        <v/>
      </c>
      <c r="L390" s="180" t="str">
        <f ca="1">Calculation!U371</f>
        <v>-</v>
      </c>
      <c r="M390" s="180" t="str">
        <f ca="1">Calculation!V371</f>
        <v>-</v>
      </c>
      <c r="N390" s="181"/>
      <c r="O390" s="180" t="str">
        <f ca="1">Calculation!X371</f>
        <v>-</v>
      </c>
      <c r="P390" s="180" t="str">
        <f ca="1">Calculation!Y371</f>
        <v>-</v>
      </c>
      <c r="Q390" s="273"/>
      <c r="R390" s="182" t="str">
        <f ca="1">IF(AND(L390&lt;&gt;"-",Q390&lt;&gt;"bypass"),IFERROR(IF((U390*$R$23/0.05)-SUM(S390:U390)&gt;0,(U390*$R$23/0.05)-SUM(S390:U390),0),"-"),Calculation!AH371)</f>
        <v>-</v>
      </c>
      <c r="S390" s="179" t="str">
        <f ca="1">IF(AND(L390&lt;&gt;"-",Q390&lt;&gt;"bypass"),IFERROR(X390*((H390*10^-12-H390*10^-12*I390)/(Calculation!$U$8*10^-9)),"-"),Calculation!AF371)</f>
        <v>-</v>
      </c>
      <c r="T390" s="179" t="str">
        <f ca="1">IF(AND(L390&lt;&gt;"-",Q390&lt;&gt;"bypass"),IFERROR(H390*I390*X390/(IF(Cluster!AA390=Cluster!$W$8,Cluster!$W$10,IF(Cluster!AA390=Cluster!$X$8,Cluster!$X$10,IF(Cluster!AA390=Cluster!$Y$8,Cluster!$Y$10,0)))*10^3),"-"),Calculation!AK371)</f>
        <v>-</v>
      </c>
      <c r="U390" s="179" t="str">
        <f ca="1">IF(AND(L390&lt;&gt;"-",Q390&lt;&gt;"bypass"),IFERROR((0.5/50)*X390/$R$23,"-"),Calculation!AG371)</f>
        <v>-</v>
      </c>
      <c r="V390" s="179" t="str">
        <f ca="1">IF(AND(L390&lt;&gt;"-",Q390&lt;&gt;"bypass"),IFERROR(5/50*X390,"-"),Calculation!AI371)</f>
        <v>-</v>
      </c>
      <c r="W390" s="179" t="str">
        <f ca="1">IF(AND(L390&lt;&gt;"-",Q390&lt;&gt;"bypass"),IFERROR(35/50*X390,"-"),Calculation!AJ371)</f>
        <v>-</v>
      </c>
      <c r="X390" s="179" t="str">
        <f ca="1">IF(AND(L390&lt;&gt;"-",Q390&lt;&gt;"bypass"),$W$23,Calculation!AL371)</f>
        <v>-</v>
      </c>
      <c r="Y390" s="183" t="str">
        <f ca="1">IF(AND(L390&lt;&gt;"-",Q390&lt;&gt;"bypass"),IFERROR($R$23*U390/SUM(R390:U390),"-"),Calculation!AP371)</f>
        <v>-</v>
      </c>
      <c r="Z390" s="184" t="str">
        <f t="shared" ca="1" si="25"/>
        <v>-</v>
      </c>
      <c r="AA390" s="185" t="str">
        <f ca="1">IFERROR(IF(I390=0,"-",IF(AND(ROUND(H390*I390*X390/($W$10*10^3),1)&gt;=Calculation!$O$6,ROUND((((U390)*$R$23/0.05)-((S390)+(H390*I390*X390/($W$10*10^3))+(U390))),1)&gt;=0),Cluster!$W$8,IF(AND(ROUND(H390*I390*X390/($X$10*10^3),1)&gt;=Calculation!$O$6,ROUND((((U390)*$R$23/0.05)-((S390)+(H390*I390*X390/($X$10*10^3))+(U390))),1)&gt;=0),Cluster!$X$8,IF(AND(ROUND(H390*I390*X390/($Y$10*10^3),1)&gt;=Calculation!$O$6,ROUND((((U390)*$R$23/0.05)-((S390)+(H390*I390*X390/($Y$10*10^3))+(U390))),1)&gt;=0),Cluster!$Y$8,"Recepie by hand needed")))),"-")</f>
        <v>-</v>
      </c>
      <c r="AC390" s="37" t="str">
        <f t="shared" ca="1" si="26"/>
        <v>-</v>
      </c>
      <c r="AD390" s="37" t="str">
        <f t="shared" ca="1" si="27"/>
        <v>-</v>
      </c>
      <c r="AE390" s="220" t="str">
        <f t="shared" ca="1" si="28"/>
        <v>-</v>
      </c>
      <c r="AF390" s="37" t="str">
        <f t="shared" ca="1" si="29"/>
        <v>-</v>
      </c>
    </row>
    <row r="391" spans="1:32" ht="14.25" x14ac:dyDescent="0.5">
      <c r="A391" s="170" t="str">
        <f>Calculation!I372</f>
        <v/>
      </c>
      <c r="B391" s="221" t="str">
        <f ca="1">Calculation!B372</f>
        <v/>
      </c>
      <c r="C391" s="221" t="str">
        <f ca="1">Calculation!C372</f>
        <v/>
      </c>
      <c r="D391" s="172" t="str">
        <f ca="1">Calculation!AN372</f>
        <v/>
      </c>
      <c r="E391" s="173" t="str">
        <f ca="1">Calculation!D372</f>
        <v/>
      </c>
      <c r="F391" s="174" t="str">
        <f ca="1">Calculation!C372</f>
        <v/>
      </c>
      <c r="G391" s="175" t="str">
        <f ca="1">Calculation!F372</f>
        <v/>
      </c>
      <c r="H391" s="176" t="str">
        <f ca="1">Calculation!AD372</f>
        <v/>
      </c>
      <c r="I391" s="177" t="str">
        <f ca="1">Calculation!AE372</f>
        <v/>
      </c>
      <c r="J391" s="272" t="str">
        <f ca="1">IF(Calculation!Q372="","Selection",Calculation!Q372)</f>
        <v>Selection</v>
      </c>
      <c r="K391" s="179" t="str">
        <f ca="1">Calculation!T372</f>
        <v/>
      </c>
      <c r="L391" s="180" t="str">
        <f ca="1">Calculation!U372</f>
        <v>-</v>
      </c>
      <c r="M391" s="180" t="str">
        <f ca="1">Calculation!V372</f>
        <v>-</v>
      </c>
      <c r="N391" s="181"/>
      <c r="O391" s="180" t="str">
        <f ca="1">Calculation!X372</f>
        <v>-</v>
      </c>
      <c r="P391" s="180" t="str">
        <f ca="1">Calculation!Y372</f>
        <v>-</v>
      </c>
      <c r="Q391" s="273"/>
      <c r="R391" s="182" t="str">
        <f ca="1">IF(AND(L391&lt;&gt;"-",Q391&lt;&gt;"bypass"),IFERROR(IF((U391*$R$23/0.05)-SUM(S391:U391)&gt;0,(U391*$R$23/0.05)-SUM(S391:U391),0),"-"),Calculation!AH372)</f>
        <v>-</v>
      </c>
      <c r="S391" s="179" t="str">
        <f ca="1">IF(AND(L391&lt;&gt;"-",Q391&lt;&gt;"bypass"),IFERROR(X391*((H391*10^-12-H391*10^-12*I391)/(Calculation!$U$8*10^-9)),"-"),Calculation!AF372)</f>
        <v>-</v>
      </c>
      <c r="T391" s="179" t="str">
        <f ca="1">IF(AND(L391&lt;&gt;"-",Q391&lt;&gt;"bypass"),IFERROR(H391*I391*X391/(IF(Cluster!AA391=Cluster!$W$8,Cluster!$W$10,IF(Cluster!AA391=Cluster!$X$8,Cluster!$X$10,IF(Cluster!AA391=Cluster!$Y$8,Cluster!$Y$10,0)))*10^3),"-"),Calculation!AK372)</f>
        <v>-</v>
      </c>
      <c r="U391" s="179" t="str">
        <f ca="1">IF(AND(L391&lt;&gt;"-",Q391&lt;&gt;"bypass"),IFERROR((0.5/50)*X391/$R$23,"-"),Calculation!AG372)</f>
        <v>-</v>
      </c>
      <c r="V391" s="179" t="str">
        <f ca="1">IF(AND(L391&lt;&gt;"-",Q391&lt;&gt;"bypass"),IFERROR(5/50*X391,"-"),Calculation!AI372)</f>
        <v>-</v>
      </c>
      <c r="W391" s="179" t="str">
        <f ca="1">IF(AND(L391&lt;&gt;"-",Q391&lt;&gt;"bypass"),IFERROR(35/50*X391,"-"),Calculation!AJ372)</f>
        <v>-</v>
      </c>
      <c r="X391" s="179" t="str">
        <f ca="1">IF(AND(L391&lt;&gt;"-",Q391&lt;&gt;"bypass"),$W$23,Calculation!AL372)</f>
        <v>-</v>
      </c>
      <c r="Y391" s="183" t="str">
        <f ca="1">IF(AND(L391&lt;&gt;"-",Q391&lt;&gt;"bypass"),IFERROR($R$23*U391/SUM(R391:U391),"-"),Calculation!AP372)</f>
        <v>-</v>
      </c>
      <c r="Z391" s="184" t="str">
        <f t="shared" ca="1" si="25"/>
        <v>-</v>
      </c>
      <c r="AA391" s="185" t="str">
        <f ca="1">IFERROR(IF(I391=0,"-",IF(AND(ROUND(H391*I391*X391/($W$10*10^3),1)&gt;=Calculation!$O$6,ROUND((((U391)*$R$23/0.05)-((S391)+(H391*I391*X391/($W$10*10^3))+(U391))),1)&gt;=0),Cluster!$W$8,IF(AND(ROUND(H391*I391*X391/($X$10*10^3),1)&gt;=Calculation!$O$6,ROUND((((U391)*$R$23/0.05)-((S391)+(H391*I391*X391/($X$10*10^3))+(U391))),1)&gt;=0),Cluster!$X$8,IF(AND(ROUND(H391*I391*X391/($Y$10*10^3),1)&gt;=Calculation!$O$6,ROUND((((U391)*$R$23/0.05)-((S391)+(H391*I391*X391/($Y$10*10^3))+(U391))),1)&gt;=0),Cluster!$Y$8,"Recepie by hand needed")))),"-")</f>
        <v>-</v>
      </c>
      <c r="AC391" s="37" t="str">
        <f t="shared" ca="1" si="26"/>
        <v>-</v>
      </c>
      <c r="AD391" s="37" t="str">
        <f t="shared" ca="1" si="27"/>
        <v>-</v>
      </c>
      <c r="AE391" s="220" t="str">
        <f t="shared" ca="1" si="28"/>
        <v>-</v>
      </c>
      <c r="AF391" s="37" t="str">
        <f t="shared" ca="1" si="29"/>
        <v>-</v>
      </c>
    </row>
    <row r="392" spans="1:32" ht="14.25" x14ac:dyDescent="0.5">
      <c r="A392" s="170" t="str">
        <f>Calculation!I373</f>
        <v/>
      </c>
      <c r="B392" s="221" t="str">
        <f ca="1">Calculation!B373</f>
        <v/>
      </c>
      <c r="C392" s="221" t="str">
        <f ca="1">Calculation!C373</f>
        <v/>
      </c>
      <c r="D392" s="172" t="str">
        <f ca="1">Calculation!AN373</f>
        <v/>
      </c>
      <c r="E392" s="173" t="str">
        <f ca="1">Calculation!D373</f>
        <v/>
      </c>
      <c r="F392" s="174" t="str">
        <f ca="1">Calculation!C373</f>
        <v/>
      </c>
      <c r="G392" s="175" t="str">
        <f ca="1">Calculation!F373</f>
        <v/>
      </c>
      <c r="H392" s="176" t="str">
        <f ca="1">Calculation!AD373</f>
        <v/>
      </c>
      <c r="I392" s="177" t="str">
        <f ca="1">Calculation!AE373</f>
        <v/>
      </c>
      <c r="J392" s="272" t="str">
        <f ca="1">IF(Calculation!Q373="","Selection",Calculation!Q373)</f>
        <v>Selection</v>
      </c>
      <c r="K392" s="179" t="str">
        <f ca="1">Calculation!T373</f>
        <v/>
      </c>
      <c r="L392" s="180" t="str">
        <f ca="1">Calculation!U373</f>
        <v>-</v>
      </c>
      <c r="M392" s="180" t="str">
        <f ca="1">Calculation!V373</f>
        <v>-</v>
      </c>
      <c r="N392" s="181"/>
      <c r="O392" s="180" t="str">
        <f ca="1">Calculation!X373</f>
        <v>-</v>
      </c>
      <c r="P392" s="180" t="str">
        <f ca="1">Calculation!Y373</f>
        <v>-</v>
      </c>
      <c r="Q392" s="273"/>
      <c r="R392" s="182" t="str">
        <f ca="1">IF(AND(L392&lt;&gt;"-",Q392&lt;&gt;"bypass"),IFERROR(IF((U392*$R$23/0.05)-SUM(S392:U392)&gt;0,(U392*$R$23/0.05)-SUM(S392:U392),0),"-"),Calculation!AH373)</f>
        <v>-</v>
      </c>
      <c r="S392" s="179" t="str">
        <f ca="1">IF(AND(L392&lt;&gt;"-",Q392&lt;&gt;"bypass"),IFERROR(X392*((H392*10^-12-H392*10^-12*I392)/(Calculation!$U$8*10^-9)),"-"),Calculation!AF373)</f>
        <v>-</v>
      </c>
      <c r="T392" s="179" t="str">
        <f ca="1">IF(AND(L392&lt;&gt;"-",Q392&lt;&gt;"bypass"),IFERROR(H392*I392*X392/(IF(Cluster!AA392=Cluster!$W$8,Cluster!$W$10,IF(Cluster!AA392=Cluster!$X$8,Cluster!$X$10,IF(Cluster!AA392=Cluster!$Y$8,Cluster!$Y$10,0)))*10^3),"-"),Calculation!AK373)</f>
        <v>-</v>
      </c>
      <c r="U392" s="179" t="str">
        <f ca="1">IF(AND(L392&lt;&gt;"-",Q392&lt;&gt;"bypass"),IFERROR((0.5/50)*X392/$R$23,"-"),Calculation!AG373)</f>
        <v>-</v>
      </c>
      <c r="V392" s="179" t="str">
        <f ca="1">IF(AND(L392&lt;&gt;"-",Q392&lt;&gt;"bypass"),IFERROR(5/50*X392,"-"),Calculation!AI373)</f>
        <v>-</v>
      </c>
      <c r="W392" s="179" t="str">
        <f ca="1">IF(AND(L392&lt;&gt;"-",Q392&lt;&gt;"bypass"),IFERROR(35/50*X392,"-"),Calculation!AJ373)</f>
        <v>-</v>
      </c>
      <c r="X392" s="179" t="str">
        <f ca="1">IF(AND(L392&lt;&gt;"-",Q392&lt;&gt;"bypass"),$W$23,Calculation!AL373)</f>
        <v>-</v>
      </c>
      <c r="Y392" s="183" t="str">
        <f ca="1">IF(AND(L392&lt;&gt;"-",Q392&lt;&gt;"bypass"),IFERROR($R$23*U392/SUM(R392:U392),"-"),Calculation!AP373)</f>
        <v>-</v>
      </c>
      <c r="Z392" s="184" t="str">
        <f t="shared" ca="1" si="25"/>
        <v>-</v>
      </c>
      <c r="AA392" s="185" t="str">
        <f ca="1">IFERROR(IF(I392=0,"-",IF(AND(ROUND(H392*I392*X392/($W$10*10^3),1)&gt;=Calculation!$O$6,ROUND((((U392)*$R$23/0.05)-((S392)+(H392*I392*X392/($W$10*10^3))+(U392))),1)&gt;=0),Cluster!$W$8,IF(AND(ROUND(H392*I392*X392/($X$10*10^3),1)&gt;=Calculation!$O$6,ROUND((((U392)*$R$23/0.05)-((S392)+(H392*I392*X392/($X$10*10^3))+(U392))),1)&gt;=0),Cluster!$X$8,IF(AND(ROUND(H392*I392*X392/($Y$10*10^3),1)&gt;=Calculation!$O$6,ROUND((((U392)*$R$23/0.05)-((S392)+(H392*I392*X392/($Y$10*10^3))+(U392))),1)&gt;=0),Cluster!$Y$8,"Recepie by hand needed")))),"-")</f>
        <v>-</v>
      </c>
      <c r="AC392" s="37" t="str">
        <f t="shared" ca="1" si="26"/>
        <v>-</v>
      </c>
      <c r="AD392" s="37" t="str">
        <f t="shared" ca="1" si="27"/>
        <v>-</v>
      </c>
      <c r="AE392" s="220" t="str">
        <f t="shared" ca="1" si="28"/>
        <v>-</v>
      </c>
      <c r="AF392" s="37" t="str">
        <f t="shared" ca="1" si="29"/>
        <v>-</v>
      </c>
    </row>
    <row r="393" spans="1:32" ht="14.25" x14ac:dyDescent="0.5">
      <c r="A393" s="170" t="str">
        <f>Calculation!I374</f>
        <v/>
      </c>
      <c r="B393" s="221" t="str">
        <f ca="1">Calculation!B374</f>
        <v/>
      </c>
      <c r="C393" s="221" t="str">
        <f ca="1">Calculation!C374</f>
        <v/>
      </c>
      <c r="D393" s="172" t="str">
        <f ca="1">Calculation!AN374</f>
        <v/>
      </c>
      <c r="E393" s="173" t="str">
        <f ca="1">Calculation!D374</f>
        <v/>
      </c>
      <c r="F393" s="174" t="str">
        <f ca="1">Calculation!C374</f>
        <v/>
      </c>
      <c r="G393" s="175" t="str">
        <f ca="1">Calculation!F374</f>
        <v/>
      </c>
      <c r="H393" s="176" t="str">
        <f ca="1">Calculation!AD374</f>
        <v/>
      </c>
      <c r="I393" s="177" t="str">
        <f ca="1">Calculation!AE374</f>
        <v/>
      </c>
      <c r="J393" s="272" t="str">
        <f ca="1">IF(Calculation!Q374="","Selection",Calculation!Q374)</f>
        <v>Selection</v>
      </c>
      <c r="K393" s="179" t="str">
        <f ca="1">Calculation!T374</f>
        <v/>
      </c>
      <c r="L393" s="180" t="str">
        <f ca="1">Calculation!U374</f>
        <v>-</v>
      </c>
      <c r="M393" s="180" t="str">
        <f ca="1">Calculation!V374</f>
        <v>-</v>
      </c>
      <c r="N393" s="181"/>
      <c r="O393" s="180" t="str">
        <f ca="1">Calculation!X374</f>
        <v>-</v>
      </c>
      <c r="P393" s="180" t="str">
        <f ca="1">Calculation!Y374</f>
        <v>-</v>
      </c>
      <c r="Q393" s="273"/>
      <c r="R393" s="182" t="str">
        <f ca="1">IF(AND(L393&lt;&gt;"-",Q393&lt;&gt;"bypass"),IFERROR(IF((U393*$R$23/0.05)-SUM(S393:U393)&gt;0,(U393*$R$23/0.05)-SUM(S393:U393),0),"-"),Calculation!AH374)</f>
        <v>-</v>
      </c>
      <c r="S393" s="179" t="str">
        <f ca="1">IF(AND(L393&lt;&gt;"-",Q393&lt;&gt;"bypass"),IFERROR(X393*((H393*10^-12-H393*10^-12*I393)/(Calculation!$U$8*10^-9)),"-"),Calculation!AF374)</f>
        <v>-</v>
      </c>
      <c r="T393" s="179" t="str">
        <f ca="1">IF(AND(L393&lt;&gt;"-",Q393&lt;&gt;"bypass"),IFERROR(H393*I393*X393/(IF(Cluster!AA393=Cluster!$W$8,Cluster!$W$10,IF(Cluster!AA393=Cluster!$X$8,Cluster!$X$10,IF(Cluster!AA393=Cluster!$Y$8,Cluster!$Y$10,0)))*10^3),"-"),Calculation!AK374)</f>
        <v>-</v>
      </c>
      <c r="U393" s="179" t="str">
        <f ca="1">IF(AND(L393&lt;&gt;"-",Q393&lt;&gt;"bypass"),IFERROR((0.5/50)*X393/$R$23,"-"),Calculation!AG374)</f>
        <v>-</v>
      </c>
      <c r="V393" s="179" t="str">
        <f ca="1">IF(AND(L393&lt;&gt;"-",Q393&lt;&gt;"bypass"),IFERROR(5/50*X393,"-"),Calculation!AI374)</f>
        <v>-</v>
      </c>
      <c r="W393" s="179" t="str">
        <f ca="1">IF(AND(L393&lt;&gt;"-",Q393&lt;&gt;"bypass"),IFERROR(35/50*X393,"-"),Calculation!AJ374)</f>
        <v>-</v>
      </c>
      <c r="X393" s="179" t="str">
        <f ca="1">IF(AND(L393&lt;&gt;"-",Q393&lt;&gt;"bypass"),$W$23,Calculation!AL374)</f>
        <v>-</v>
      </c>
      <c r="Y393" s="183" t="str">
        <f ca="1">IF(AND(L393&lt;&gt;"-",Q393&lt;&gt;"bypass"),IFERROR($R$23*U393/SUM(R393:U393),"-"),Calculation!AP374)</f>
        <v>-</v>
      </c>
      <c r="Z393" s="184" t="str">
        <f t="shared" ca="1" si="25"/>
        <v>-</v>
      </c>
      <c r="AA393" s="185" t="str">
        <f ca="1">IFERROR(IF(I393=0,"-",IF(AND(ROUND(H393*I393*X393/($W$10*10^3),1)&gt;=Calculation!$O$6,ROUND((((U393)*$R$23/0.05)-((S393)+(H393*I393*X393/($W$10*10^3))+(U393))),1)&gt;=0),Cluster!$W$8,IF(AND(ROUND(H393*I393*X393/($X$10*10^3),1)&gt;=Calculation!$O$6,ROUND((((U393)*$R$23/0.05)-((S393)+(H393*I393*X393/($X$10*10^3))+(U393))),1)&gt;=0),Cluster!$X$8,IF(AND(ROUND(H393*I393*X393/($Y$10*10^3),1)&gt;=Calculation!$O$6,ROUND((((U393)*$R$23/0.05)-((S393)+(H393*I393*X393/($Y$10*10^3))+(U393))),1)&gt;=0),Cluster!$Y$8,"Recepie by hand needed")))),"-")</f>
        <v>-</v>
      </c>
      <c r="AC393" s="37" t="str">
        <f t="shared" ca="1" si="26"/>
        <v>-</v>
      </c>
      <c r="AD393" s="37" t="str">
        <f t="shared" ca="1" si="27"/>
        <v>-</v>
      </c>
      <c r="AE393" s="220" t="str">
        <f t="shared" ca="1" si="28"/>
        <v>-</v>
      </c>
      <c r="AF393" s="37" t="str">
        <f t="shared" ca="1" si="29"/>
        <v>-</v>
      </c>
    </row>
    <row r="394" spans="1:32" ht="14.25" x14ac:dyDescent="0.5">
      <c r="A394" s="170" t="str">
        <f>Calculation!I375</f>
        <v/>
      </c>
      <c r="B394" s="221" t="str">
        <f ca="1">Calculation!B375</f>
        <v/>
      </c>
      <c r="C394" s="221" t="str">
        <f ca="1">Calculation!C375</f>
        <v/>
      </c>
      <c r="D394" s="172" t="str">
        <f ca="1">Calculation!AN375</f>
        <v/>
      </c>
      <c r="E394" s="173" t="str">
        <f ca="1">Calculation!D375</f>
        <v/>
      </c>
      <c r="F394" s="174" t="str">
        <f ca="1">Calculation!C375</f>
        <v/>
      </c>
      <c r="G394" s="175" t="str">
        <f ca="1">Calculation!F375</f>
        <v/>
      </c>
      <c r="H394" s="176" t="str">
        <f ca="1">Calculation!AD375</f>
        <v/>
      </c>
      <c r="I394" s="177" t="str">
        <f ca="1">Calculation!AE375</f>
        <v/>
      </c>
      <c r="J394" s="272" t="str">
        <f ca="1">IF(Calculation!Q375="","Selection",Calculation!Q375)</f>
        <v>Selection</v>
      </c>
      <c r="K394" s="179" t="str">
        <f ca="1">Calculation!T375</f>
        <v/>
      </c>
      <c r="L394" s="180" t="str">
        <f ca="1">Calculation!U375</f>
        <v>-</v>
      </c>
      <c r="M394" s="180" t="str">
        <f ca="1">Calculation!V375</f>
        <v>-</v>
      </c>
      <c r="N394" s="181"/>
      <c r="O394" s="180" t="str">
        <f ca="1">Calculation!X375</f>
        <v>-</v>
      </c>
      <c r="P394" s="180" t="str">
        <f ca="1">Calculation!Y375</f>
        <v>-</v>
      </c>
      <c r="Q394" s="273"/>
      <c r="R394" s="182" t="str">
        <f ca="1">IF(AND(L394&lt;&gt;"-",Q394&lt;&gt;"bypass"),IFERROR(IF((U394*$R$23/0.05)-SUM(S394:U394)&gt;0,(U394*$R$23/0.05)-SUM(S394:U394),0),"-"),Calculation!AH375)</f>
        <v>-</v>
      </c>
      <c r="S394" s="179" t="str">
        <f ca="1">IF(AND(L394&lt;&gt;"-",Q394&lt;&gt;"bypass"),IFERROR(X394*((H394*10^-12-H394*10^-12*I394)/(Calculation!$U$8*10^-9)),"-"),Calculation!AF375)</f>
        <v>-</v>
      </c>
      <c r="T394" s="179" t="str">
        <f ca="1">IF(AND(L394&lt;&gt;"-",Q394&lt;&gt;"bypass"),IFERROR(H394*I394*X394/(IF(Cluster!AA394=Cluster!$W$8,Cluster!$W$10,IF(Cluster!AA394=Cluster!$X$8,Cluster!$X$10,IF(Cluster!AA394=Cluster!$Y$8,Cluster!$Y$10,0)))*10^3),"-"),Calculation!AK375)</f>
        <v>-</v>
      </c>
      <c r="U394" s="179" t="str">
        <f ca="1">IF(AND(L394&lt;&gt;"-",Q394&lt;&gt;"bypass"),IFERROR((0.5/50)*X394/$R$23,"-"),Calculation!AG375)</f>
        <v>-</v>
      </c>
      <c r="V394" s="179" t="str">
        <f ca="1">IF(AND(L394&lt;&gt;"-",Q394&lt;&gt;"bypass"),IFERROR(5/50*X394,"-"),Calculation!AI375)</f>
        <v>-</v>
      </c>
      <c r="W394" s="179" t="str">
        <f ca="1">IF(AND(L394&lt;&gt;"-",Q394&lt;&gt;"bypass"),IFERROR(35/50*X394,"-"),Calculation!AJ375)</f>
        <v>-</v>
      </c>
      <c r="X394" s="179" t="str">
        <f ca="1">IF(AND(L394&lt;&gt;"-",Q394&lt;&gt;"bypass"),$W$23,Calculation!AL375)</f>
        <v>-</v>
      </c>
      <c r="Y394" s="183" t="str">
        <f ca="1">IF(AND(L394&lt;&gt;"-",Q394&lt;&gt;"bypass"),IFERROR($R$23*U394/SUM(R394:U394),"-"),Calculation!AP375)</f>
        <v>-</v>
      </c>
      <c r="Z394" s="184" t="str">
        <f t="shared" ca="1" si="25"/>
        <v>-</v>
      </c>
      <c r="AA394" s="185" t="str">
        <f ca="1">IFERROR(IF(I394=0,"-",IF(AND(ROUND(H394*I394*X394/($W$10*10^3),1)&gt;=Calculation!$O$6,ROUND((((U394)*$R$23/0.05)-((S394)+(H394*I394*X394/($W$10*10^3))+(U394))),1)&gt;=0),Cluster!$W$8,IF(AND(ROUND(H394*I394*X394/($X$10*10^3),1)&gt;=Calculation!$O$6,ROUND((((U394)*$R$23/0.05)-((S394)+(H394*I394*X394/($X$10*10^3))+(U394))),1)&gt;=0),Cluster!$X$8,IF(AND(ROUND(H394*I394*X394/($Y$10*10^3),1)&gt;=Calculation!$O$6,ROUND((((U394)*$R$23/0.05)-((S394)+(H394*I394*X394/($Y$10*10^3))+(U394))),1)&gt;=0),Cluster!$Y$8,"Recepie by hand needed")))),"-")</f>
        <v>-</v>
      </c>
      <c r="AC394" s="37" t="str">
        <f t="shared" ca="1" si="26"/>
        <v>-</v>
      </c>
      <c r="AD394" s="37" t="str">
        <f t="shared" ca="1" si="27"/>
        <v>-</v>
      </c>
      <c r="AE394" s="220" t="str">
        <f t="shared" ca="1" si="28"/>
        <v>-</v>
      </c>
      <c r="AF394" s="37" t="str">
        <f t="shared" ca="1" si="29"/>
        <v>-</v>
      </c>
    </row>
    <row r="395" spans="1:32" ht="14.25" x14ac:dyDescent="0.5">
      <c r="A395" s="170" t="str">
        <f>Calculation!I376</f>
        <v/>
      </c>
      <c r="B395" s="221" t="str">
        <f ca="1">Calculation!B376</f>
        <v/>
      </c>
      <c r="C395" s="221" t="str">
        <f ca="1">Calculation!C376</f>
        <v/>
      </c>
      <c r="D395" s="172" t="str">
        <f ca="1">Calculation!AN376</f>
        <v/>
      </c>
      <c r="E395" s="173" t="str">
        <f ca="1">Calculation!D376</f>
        <v/>
      </c>
      <c r="F395" s="174" t="str">
        <f ca="1">Calculation!C376</f>
        <v/>
      </c>
      <c r="G395" s="175" t="str">
        <f ca="1">Calculation!F376</f>
        <v/>
      </c>
      <c r="H395" s="176" t="str">
        <f ca="1">Calculation!AD376</f>
        <v/>
      </c>
      <c r="I395" s="177" t="str">
        <f ca="1">Calculation!AE376</f>
        <v/>
      </c>
      <c r="J395" s="272" t="str">
        <f ca="1">IF(Calculation!Q376="","Selection",Calculation!Q376)</f>
        <v>Selection</v>
      </c>
      <c r="K395" s="179" t="str">
        <f ca="1">Calculation!T376</f>
        <v/>
      </c>
      <c r="L395" s="180" t="str">
        <f ca="1">Calculation!U376</f>
        <v>-</v>
      </c>
      <c r="M395" s="180" t="str">
        <f ca="1">Calculation!V376</f>
        <v>-</v>
      </c>
      <c r="N395" s="181"/>
      <c r="O395" s="180" t="str">
        <f ca="1">Calculation!X376</f>
        <v>-</v>
      </c>
      <c r="P395" s="180" t="str">
        <f ca="1">Calculation!Y376</f>
        <v>-</v>
      </c>
      <c r="Q395" s="273"/>
      <c r="R395" s="182" t="str">
        <f ca="1">IF(AND(L395&lt;&gt;"-",Q395&lt;&gt;"bypass"),IFERROR(IF((U395*$R$23/0.05)-SUM(S395:U395)&gt;0,(U395*$R$23/0.05)-SUM(S395:U395),0),"-"),Calculation!AH376)</f>
        <v>-</v>
      </c>
      <c r="S395" s="179" t="str">
        <f ca="1">IF(AND(L395&lt;&gt;"-",Q395&lt;&gt;"bypass"),IFERROR(X395*((H395*10^-12-H395*10^-12*I395)/(Calculation!$U$8*10^-9)),"-"),Calculation!AF376)</f>
        <v>-</v>
      </c>
      <c r="T395" s="179" t="str">
        <f ca="1">IF(AND(L395&lt;&gt;"-",Q395&lt;&gt;"bypass"),IFERROR(H395*I395*X395/(IF(Cluster!AA395=Cluster!$W$8,Cluster!$W$10,IF(Cluster!AA395=Cluster!$X$8,Cluster!$X$10,IF(Cluster!AA395=Cluster!$Y$8,Cluster!$Y$10,0)))*10^3),"-"),Calculation!AK376)</f>
        <v>-</v>
      </c>
      <c r="U395" s="179" t="str">
        <f ca="1">IF(AND(L395&lt;&gt;"-",Q395&lt;&gt;"bypass"),IFERROR((0.5/50)*X395/$R$23,"-"),Calculation!AG376)</f>
        <v>-</v>
      </c>
      <c r="V395" s="179" t="str">
        <f ca="1">IF(AND(L395&lt;&gt;"-",Q395&lt;&gt;"bypass"),IFERROR(5/50*X395,"-"),Calculation!AI376)</f>
        <v>-</v>
      </c>
      <c r="W395" s="179" t="str">
        <f ca="1">IF(AND(L395&lt;&gt;"-",Q395&lt;&gt;"bypass"),IFERROR(35/50*X395,"-"),Calculation!AJ376)</f>
        <v>-</v>
      </c>
      <c r="X395" s="179" t="str">
        <f ca="1">IF(AND(L395&lt;&gt;"-",Q395&lt;&gt;"bypass"),$W$23,Calculation!AL376)</f>
        <v>-</v>
      </c>
      <c r="Y395" s="183" t="str">
        <f ca="1">IF(AND(L395&lt;&gt;"-",Q395&lt;&gt;"bypass"),IFERROR($R$23*U395/SUM(R395:U395),"-"),Calculation!AP376)</f>
        <v>-</v>
      </c>
      <c r="Z395" s="184" t="str">
        <f t="shared" ca="1" si="25"/>
        <v>-</v>
      </c>
      <c r="AA395" s="185" t="str">
        <f ca="1">IFERROR(IF(I395=0,"-",IF(AND(ROUND(H395*I395*X395/($W$10*10^3),1)&gt;=Calculation!$O$6,ROUND((((U395)*$R$23/0.05)-((S395)+(H395*I395*X395/($W$10*10^3))+(U395))),1)&gt;=0),Cluster!$W$8,IF(AND(ROUND(H395*I395*X395/($X$10*10^3),1)&gt;=Calculation!$O$6,ROUND((((U395)*$R$23/0.05)-((S395)+(H395*I395*X395/($X$10*10^3))+(U395))),1)&gt;=0),Cluster!$X$8,IF(AND(ROUND(H395*I395*X395/($Y$10*10^3),1)&gt;=Calculation!$O$6,ROUND((((U395)*$R$23/0.05)-((S395)+(H395*I395*X395/($Y$10*10^3))+(U395))),1)&gt;=0),Cluster!$Y$8,"Recepie by hand needed")))),"-")</f>
        <v>-</v>
      </c>
      <c r="AC395" s="37" t="str">
        <f t="shared" ca="1" si="26"/>
        <v>-</v>
      </c>
      <c r="AD395" s="37" t="str">
        <f t="shared" ca="1" si="27"/>
        <v>-</v>
      </c>
      <c r="AE395" s="220" t="str">
        <f t="shared" ca="1" si="28"/>
        <v>-</v>
      </c>
      <c r="AF395" s="37" t="str">
        <f t="shared" ca="1" si="29"/>
        <v>-</v>
      </c>
    </row>
    <row r="396" spans="1:32" ht="14.25" x14ac:dyDescent="0.5">
      <c r="A396" s="170" t="str">
        <f>Calculation!I377</f>
        <v/>
      </c>
      <c r="B396" s="221" t="str">
        <f ca="1">Calculation!B377</f>
        <v/>
      </c>
      <c r="C396" s="221" t="str">
        <f ca="1">Calculation!C377</f>
        <v/>
      </c>
      <c r="D396" s="172" t="str">
        <f ca="1">Calculation!AN377</f>
        <v/>
      </c>
      <c r="E396" s="173" t="str">
        <f ca="1">Calculation!D377</f>
        <v/>
      </c>
      <c r="F396" s="174" t="str">
        <f ca="1">Calculation!C377</f>
        <v/>
      </c>
      <c r="G396" s="175" t="str">
        <f ca="1">Calculation!F377</f>
        <v/>
      </c>
      <c r="H396" s="176" t="str">
        <f ca="1">Calculation!AD377</f>
        <v/>
      </c>
      <c r="I396" s="177" t="str">
        <f ca="1">Calculation!AE377</f>
        <v/>
      </c>
      <c r="J396" s="272" t="str">
        <f ca="1">IF(Calculation!Q377="","Selection",Calculation!Q377)</f>
        <v>Selection</v>
      </c>
      <c r="K396" s="179" t="str">
        <f ca="1">Calculation!T377</f>
        <v/>
      </c>
      <c r="L396" s="180" t="str">
        <f ca="1">Calculation!U377</f>
        <v>-</v>
      </c>
      <c r="M396" s="180" t="str">
        <f ca="1">Calculation!V377</f>
        <v>-</v>
      </c>
      <c r="N396" s="181"/>
      <c r="O396" s="180" t="str">
        <f ca="1">Calculation!X377</f>
        <v>-</v>
      </c>
      <c r="P396" s="180" t="str">
        <f ca="1">Calculation!Y377</f>
        <v>-</v>
      </c>
      <c r="Q396" s="273"/>
      <c r="R396" s="182" t="str">
        <f ca="1">IF(AND(L396&lt;&gt;"-",Q396&lt;&gt;"bypass"),IFERROR(IF((U396*$R$23/0.05)-SUM(S396:U396)&gt;0,(U396*$R$23/0.05)-SUM(S396:U396),0),"-"),Calculation!AH377)</f>
        <v>-</v>
      </c>
      <c r="S396" s="179" t="str">
        <f ca="1">IF(AND(L396&lt;&gt;"-",Q396&lt;&gt;"bypass"),IFERROR(X396*((H396*10^-12-H396*10^-12*I396)/(Calculation!$U$8*10^-9)),"-"),Calculation!AF377)</f>
        <v>-</v>
      </c>
      <c r="T396" s="179" t="str">
        <f ca="1">IF(AND(L396&lt;&gt;"-",Q396&lt;&gt;"bypass"),IFERROR(H396*I396*X396/(IF(Cluster!AA396=Cluster!$W$8,Cluster!$W$10,IF(Cluster!AA396=Cluster!$X$8,Cluster!$X$10,IF(Cluster!AA396=Cluster!$Y$8,Cluster!$Y$10,0)))*10^3),"-"),Calculation!AK377)</f>
        <v>-</v>
      </c>
      <c r="U396" s="179" t="str">
        <f ca="1">IF(AND(L396&lt;&gt;"-",Q396&lt;&gt;"bypass"),IFERROR((0.5/50)*X396/$R$23,"-"),Calculation!AG377)</f>
        <v>-</v>
      </c>
      <c r="V396" s="179" t="str">
        <f ca="1">IF(AND(L396&lt;&gt;"-",Q396&lt;&gt;"bypass"),IFERROR(5/50*X396,"-"),Calculation!AI377)</f>
        <v>-</v>
      </c>
      <c r="W396" s="179" t="str">
        <f ca="1">IF(AND(L396&lt;&gt;"-",Q396&lt;&gt;"bypass"),IFERROR(35/50*X396,"-"),Calculation!AJ377)</f>
        <v>-</v>
      </c>
      <c r="X396" s="179" t="str">
        <f ca="1">IF(AND(L396&lt;&gt;"-",Q396&lt;&gt;"bypass"),$W$23,Calculation!AL377)</f>
        <v>-</v>
      </c>
      <c r="Y396" s="183" t="str">
        <f ca="1">IF(AND(L396&lt;&gt;"-",Q396&lt;&gt;"bypass"),IFERROR($R$23*U396/SUM(R396:U396),"-"),Calculation!AP377)</f>
        <v>-</v>
      </c>
      <c r="Z396" s="184" t="str">
        <f t="shared" ca="1" si="25"/>
        <v>-</v>
      </c>
      <c r="AA396" s="185" t="str">
        <f ca="1">IFERROR(IF(I396=0,"-",IF(AND(ROUND(H396*I396*X396/($W$10*10^3),1)&gt;=Calculation!$O$6,ROUND((((U396)*$R$23/0.05)-((S396)+(H396*I396*X396/($W$10*10^3))+(U396))),1)&gt;=0),Cluster!$W$8,IF(AND(ROUND(H396*I396*X396/($X$10*10^3),1)&gt;=Calculation!$O$6,ROUND((((U396)*$R$23/0.05)-((S396)+(H396*I396*X396/($X$10*10^3))+(U396))),1)&gt;=0),Cluster!$X$8,IF(AND(ROUND(H396*I396*X396/($Y$10*10^3),1)&gt;=Calculation!$O$6,ROUND((((U396)*$R$23/0.05)-((S396)+(H396*I396*X396/($Y$10*10^3))+(U396))),1)&gt;=0),Cluster!$Y$8,"Recepie by hand needed")))),"-")</f>
        <v>-</v>
      </c>
      <c r="AC396" s="37" t="str">
        <f t="shared" ca="1" si="26"/>
        <v>-</v>
      </c>
      <c r="AD396" s="37" t="str">
        <f t="shared" ca="1" si="27"/>
        <v>-</v>
      </c>
      <c r="AE396" s="220" t="str">
        <f t="shared" ca="1" si="28"/>
        <v>-</v>
      </c>
      <c r="AF396" s="37" t="str">
        <f t="shared" ca="1" si="29"/>
        <v>-</v>
      </c>
    </row>
    <row r="397" spans="1:32" ht="14.25" x14ac:dyDescent="0.5">
      <c r="A397" s="170" t="str">
        <f>Calculation!I378</f>
        <v/>
      </c>
      <c r="B397" s="221" t="str">
        <f ca="1">Calculation!B378</f>
        <v/>
      </c>
      <c r="C397" s="221" t="str">
        <f ca="1">Calculation!C378</f>
        <v/>
      </c>
      <c r="D397" s="172" t="str">
        <f ca="1">Calculation!AN378</f>
        <v/>
      </c>
      <c r="E397" s="173" t="str">
        <f ca="1">Calculation!D378</f>
        <v/>
      </c>
      <c r="F397" s="174" t="str">
        <f ca="1">Calculation!C378</f>
        <v/>
      </c>
      <c r="G397" s="175" t="str">
        <f ca="1">Calculation!F378</f>
        <v/>
      </c>
      <c r="H397" s="176" t="str">
        <f ca="1">Calculation!AD378</f>
        <v/>
      </c>
      <c r="I397" s="177" t="str">
        <f ca="1">Calculation!AE378</f>
        <v/>
      </c>
      <c r="J397" s="272" t="str">
        <f ca="1">IF(Calculation!Q378="","Selection",Calculation!Q378)</f>
        <v>Selection</v>
      </c>
      <c r="K397" s="179" t="str">
        <f ca="1">Calculation!T378</f>
        <v/>
      </c>
      <c r="L397" s="180" t="str">
        <f ca="1">Calculation!U378</f>
        <v>-</v>
      </c>
      <c r="M397" s="180" t="str">
        <f ca="1">Calculation!V378</f>
        <v>-</v>
      </c>
      <c r="N397" s="181"/>
      <c r="O397" s="180" t="str">
        <f ca="1">Calculation!X378</f>
        <v>-</v>
      </c>
      <c r="P397" s="180" t="str">
        <f ca="1">Calculation!Y378</f>
        <v>-</v>
      </c>
      <c r="Q397" s="273"/>
      <c r="R397" s="182" t="str">
        <f ca="1">IF(AND(L397&lt;&gt;"-",Q397&lt;&gt;"bypass"),IFERROR(IF((U397*$R$23/0.05)-SUM(S397:U397)&gt;0,(U397*$R$23/0.05)-SUM(S397:U397),0),"-"),Calculation!AH378)</f>
        <v>-</v>
      </c>
      <c r="S397" s="179" t="str">
        <f ca="1">IF(AND(L397&lt;&gt;"-",Q397&lt;&gt;"bypass"),IFERROR(X397*((H397*10^-12-H397*10^-12*I397)/(Calculation!$U$8*10^-9)),"-"),Calculation!AF378)</f>
        <v>-</v>
      </c>
      <c r="T397" s="179" t="str">
        <f ca="1">IF(AND(L397&lt;&gt;"-",Q397&lt;&gt;"bypass"),IFERROR(H397*I397*X397/(IF(Cluster!AA397=Cluster!$W$8,Cluster!$W$10,IF(Cluster!AA397=Cluster!$X$8,Cluster!$X$10,IF(Cluster!AA397=Cluster!$Y$8,Cluster!$Y$10,0)))*10^3),"-"),Calculation!AK378)</f>
        <v>-</v>
      </c>
      <c r="U397" s="179" t="str">
        <f ca="1">IF(AND(L397&lt;&gt;"-",Q397&lt;&gt;"bypass"),IFERROR((0.5/50)*X397/$R$23,"-"),Calculation!AG378)</f>
        <v>-</v>
      </c>
      <c r="V397" s="179" t="str">
        <f ca="1">IF(AND(L397&lt;&gt;"-",Q397&lt;&gt;"bypass"),IFERROR(5/50*X397,"-"),Calculation!AI378)</f>
        <v>-</v>
      </c>
      <c r="W397" s="179" t="str">
        <f ca="1">IF(AND(L397&lt;&gt;"-",Q397&lt;&gt;"bypass"),IFERROR(35/50*X397,"-"),Calculation!AJ378)</f>
        <v>-</v>
      </c>
      <c r="X397" s="179" t="str">
        <f ca="1">IF(AND(L397&lt;&gt;"-",Q397&lt;&gt;"bypass"),$W$23,Calculation!AL378)</f>
        <v>-</v>
      </c>
      <c r="Y397" s="183" t="str">
        <f ca="1">IF(AND(L397&lt;&gt;"-",Q397&lt;&gt;"bypass"),IFERROR($R$23*U397/SUM(R397:U397),"-"),Calculation!AP378)</f>
        <v>-</v>
      </c>
      <c r="Z397" s="184" t="str">
        <f t="shared" ca="1" si="25"/>
        <v>-</v>
      </c>
      <c r="AA397" s="185" t="str">
        <f ca="1">IFERROR(IF(I397=0,"-",IF(AND(ROUND(H397*I397*X397/($W$10*10^3),1)&gt;=Calculation!$O$6,ROUND((((U397)*$R$23/0.05)-((S397)+(H397*I397*X397/($W$10*10^3))+(U397))),1)&gt;=0),Cluster!$W$8,IF(AND(ROUND(H397*I397*X397/($X$10*10^3),1)&gt;=Calculation!$O$6,ROUND((((U397)*$R$23/0.05)-((S397)+(H397*I397*X397/($X$10*10^3))+(U397))),1)&gt;=0),Cluster!$X$8,IF(AND(ROUND(H397*I397*X397/($Y$10*10^3),1)&gt;=Calculation!$O$6,ROUND((((U397)*$R$23/0.05)-((S397)+(H397*I397*X397/($Y$10*10^3))+(U397))),1)&gt;=0),Cluster!$Y$8,"Recepie by hand needed")))),"-")</f>
        <v>-</v>
      </c>
      <c r="AC397" s="37" t="str">
        <f t="shared" ca="1" si="26"/>
        <v>-</v>
      </c>
      <c r="AD397" s="37" t="str">
        <f t="shared" ca="1" si="27"/>
        <v>-</v>
      </c>
      <c r="AE397" s="220" t="str">
        <f t="shared" ca="1" si="28"/>
        <v>-</v>
      </c>
      <c r="AF397" s="37" t="str">
        <f t="shared" ca="1" si="29"/>
        <v>-</v>
      </c>
    </row>
    <row r="398" spans="1:32" ht="14.25" x14ac:dyDescent="0.5">
      <c r="A398" s="170" t="str">
        <f>Calculation!I379</f>
        <v/>
      </c>
      <c r="B398" s="221" t="str">
        <f ca="1">Calculation!B379</f>
        <v/>
      </c>
      <c r="C398" s="221" t="str">
        <f ca="1">Calculation!C379</f>
        <v/>
      </c>
      <c r="D398" s="172" t="str">
        <f ca="1">Calculation!AN379</f>
        <v/>
      </c>
      <c r="E398" s="173" t="str">
        <f ca="1">Calculation!D379</f>
        <v/>
      </c>
      <c r="F398" s="174" t="str">
        <f ca="1">Calculation!C379</f>
        <v/>
      </c>
      <c r="G398" s="175" t="str">
        <f ca="1">Calculation!F379</f>
        <v/>
      </c>
      <c r="H398" s="176" t="str">
        <f ca="1">Calculation!AD379</f>
        <v/>
      </c>
      <c r="I398" s="177" t="str">
        <f ca="1">Calculation!AE379</f>
        <v/>
      </c>
      <c r="J398" s="272" t="str">
        <f ca="1">IF(Calculation!Q379="","Selection",Calculation!Q379)</f>
        <v>Selection</v>
      </c>
      <c r="K398" s="179" t="str">
        <f ca="1">Calculation!T379</f>
        <v/>
      </c>
      <c r="L398" s="180" t="str">
        <f ca="1">Calculation!U379</f>
        <v>-</v>
      </c>
      <c r="M398" s="180" t="str">
        <f ca="1">Calculation!V379</f>
        <v>-</v>
      </c>
      <c r="N398" s="181"/>
      <c r="O398" s="180" t="str">
        <f ca="1">Calculation!X379</f>
        <v>-</v>
      </c>
      <c r="P398" s="180" t="str">
        <f ca="1">Calculation!Y379</f>
        <v>-</v>
      </c>
      <c r="Q398" s="273"/>
      <c r="R398" s="182" t="str">
        <f ca="1">IF(AND(L398&lt;&gt;"-",Q398&lt;&gt;"bypass"),IFERROR(IF((U398*$R$23/0.05)-SUM(S398:U398)&gt;0,(U398*$R$23/0.05)-SUM(S398:U398),0),"-"),Calculation!AH379)</f>
        <v>-</v>
      </c>
      <c r="S398" s="179" t="str">
        <f ca="1">IF(AND(L398&lt;&gt;"-",Q398&lt;&gt;"bypass"),IFERROR(X398*((H398*10^-12-H398*10^-12*I398)/(Calculation!$U$8*10^-9)),"-"),Calculation!AF379)</f>
        <v>-</v>
      </c>
      <c r="T398" s="179" t="str">
        <f ca="1">IF(AND(L398&lt;&gt;"-",Q398&lt;&gt;"bypass"),IFERROR(H398*I398*X398/(IF(Cluster!AA398=Cluster!$W$8,Cluster!$W$10,IF(Cluster!AA398=Cluster!$X$8,Cluster!$X$10,IF(Cluster!AA398=Cluster!$Y$8,Cluster!$Y$10,0)))*10^3),"-"),Calculation!AK379)</f>
        <v>-</v>
      </c>
      <c r="U398" s="179" t="str">
        <f ca="1">IF(AND(L398&lt;&gt;"-",Q398&lt;&gt;"bypass"),IFERROR((0.5/50)*X398/$R$23,"-"),Calculation!AG379)</f>
        <v>-</v>
      </c>
      <c r="V398" s="179" t="str">
        <f ca="1">IF(AND(L398&lt;&gt;"-",Q398&lt;&gt;"bypass"),IFERROR(5/50*X398,"-"),Calculation!AI379)</f>
        <v>-</v>
      </c>
      <c r="W398" s="179" t="str">
        <f ca="1">IF(AND(L398&lt;&gt;"-",Q398&lt;&gt;"bypass"),IFERROR(35/50*X398,"-"),Calculation!AJ379)</f>
        <v>-</v>
      </c>
      <c r="X398" s="179" t="str">
        <f ca="1">IF(AND(L398&lt;&gt;"-",Q398&lt;&gt;"bypass"),$W$23,Calculation!AL379)</f>
        <v>-</v>
      </c>
      <c r="Y398" s="183" t="str">
        <f ca="1">IF(AND(L398&lt;&gt;"-",Q398&lt;&gt;"bypass"),IFERROR($R$23*U398/SUM(R398:U398),"-"),Calculation!AP379)</f>
        <v>-</v>
      </c>
      <c r="Z398" s="184" t="str">
        <f t="shared" ca="1" si="25"/>
        <v>-</v>
      </c>
      <c r="AA398" s="185" t="str">
        <f ca="1">IFERROR(IF(I398=0,"-",IF(AND(ROUND(H398*I398*X398/($W$10*10^3),1)&gt;=Calculation!$O$6,ROUND((((U398)*$R$23/0.05)-((S398)+(H398*I398*X398/($W$10*10^3))+(U398))),1)&gt;=0),Cluster!$W$8,IF(AND(ROUND(H398*I398*X398/($X$10*10^3),1)&gt;=Calculation!$O$6,ROUND((((U398)*$R$23/0.05)-((S398)+(H398*I398*X398/($X$10*10^3))+(U398))),1)&gt;=0),Cluster!$X$8,IF(AND(ROUND(H398*I398*X398/($Y$10*10^3),1)&gt;=Calculation!$O$6,ROUND((((U398)*$R$23/0.05)-((S398)+(H398*I398*X398/($Y$10*10^3))+(U398))),1)&gt;=0),Cluster!$Y$8,"Recepie by hand needed")))),"-")</f>
        <v>-</v>
      </c>
      <c r="AC398" s="37" t="str">
        <f t="shared" ca="1" si="26"/>
        <v>-</v>
      </c>
      <c r="AD398" s="37" t="str">
        <f t="shared" ca="1" si="27"/>
        <v>-</v>
      </c>
      <c r="AE398" s="220" t="str">
        <f t="shared" ca="1" si="28"/>
        <v>-</v>
      </c>
      <c r="AF398" s="37" t="str">
        <f t="shared" ca="1" si="29"/>
        <v>-</v>
      </c>
    </row>
    <row r="399" spans="1:32" ht="14.25" x14ac:dyDescent="0.5">
      <c r="A399" s="170" t="str">
        <f>Calculation!I380</f>
        <v/>
      </c>
      <c r="B399" s="221" t="str">
        <f ca="1">Calculation!B380</f>
        <v/>
      </c>
      <c r="C399" s="221" t="str">
        <f ca="1">Calculation!C380</f>
        <v/>
      </c>
      <c r="D399" s="172" t="str">
        <f ca="1">Calculation!AN380</f>
        <v/>
      </c>
      <c r="E399" s="173" t="str">
        <f ca="1">Calculation!D380</f>
        <v/>
      </c>
      <c r="F399" s="174" t="str">
        <f ca="1">Calculation!C380</f>
        <v/>
      </c>
      <c r="G399" s="175" t="str">
        <f ca="1">Calculation!F380</f>
        <v/>
      </c>
      <c r="H399" s="176" t="str">
        <f ca="1">Calculation!AD380</f>
        <v/>
      </c>
      <c r="I399" s="177" t="str">
        <f ca="1">Calculation!AE380</f>
        <v/>
      </c>
      <c r="J399" s="272" t="str">
        <f ca="1">IF(Calculation!Q380="","Selection",Calculation!Q380)</f>
        <v>Selection</v>
      </c>
      <c r="K399" s="179" t="str">
        <f ca="1">Calculation!T380</f>
        <v/>
      </c>
      <c r="L399" s="180" t="str">
        <f ca="1">Calculation!U380</f>
        <v>-</v>
      </c>
      <c r="M399" s="180" t="str">
        <f ca="1">Calculation!V380</f>
        <v>-</v>
      </c>
      <c r="N399" s="181"/>
      <c r="O399" s="180" t="str">
        <f ca="1">Calculation!X380</f>
        <v>-</v>
      </c>
      <c r="P399" s="180" t="str">
        <f ca="1">Calculation!Y380</f>
        <v>-</v>
      </c>
      <c r="Q399" s="273"/>
      <c r="R399" s="182" t="str">
        <f ca="1">IF(AND(L399&lt;&gt;"-",Q399&lt;&gt;"bypass"),IFERROR(IF((U399*$R$23/0.05)-SUM(S399:U399)&gt;0,(U399*$R$23/0.05)-SUM(S399:U399),0),"-"),Calculation!AH380)</f>
        <v>-</v>
      </c>
      <c r="S399" s="179" t="str">
        <f ca="1">IF(AND(L399&lt;&gt;"-",Q399&lt;&gt;"bypass"),IFERROR(X399*((H399*10^-12-H399*10^-12*I399)/(Calculation!$U$8*10^-9)),"-"),Calculation!AF380)</f>
        <v>-</v>
      </c>
      <c r="T399" s="179" t="str">
        <f ca="1">IF(AND(L399&lt;&gt;"-",Q399&lt;&gt;"bypass"),IFERROR(H399*I399*X399/(IF(Cluster!AA399=Cluster!$W$8,Cluster!$W$10,IF(Cluster!AA399=Cluster!$X$8,Cluster!$X$10,IF(Cluster!AA399=Cluster!$Y$8,Cluster!$Y$10,0)))*10^3),"-"),Calculation!AK380)</f>
        <v>-</v>
      </c>
      <c r="U399" s="179" t="str">
        <f ca="1">IF(AND(L399&lt;&gt;"-",Q399&lt;&gt;"bypass"),IFERROR((0.5/50)*X399/$R$23,"-"),Calculation!AG380)</f>
        <v>-</v>
      </c>
      <c r="V399" s="179" t="str">
        <f ca="1">IF(AND(L399&lt;&gt;"-",Q399&lt;&gt;"bypass"),IFERROR(5/50*X399,"-"),Calculation!AI380)</f>
        <v>-</v>
      </c>
      <c r="W399" s="179" t="str">
        <f ca="1">IF(AND(L399&lt;&gt;"-",Q399&lt;&gt;"bypass"),IFERROR(35/50*X399,"-"),Calculation!AJ380)</f>
        <v>-</v>
      </c>
      <c r="X399" s="179" t="str">
        <f ca="1">IF(AND(L399&lt;&gt;"-",Q399&lt;&gt;"bypass"),$W$23,Calculation!AL380)</f>
        <v>-</v>
      </c>
      <c r="Y399" s="183" t="str">
        <f ca="1">IF(AND(L399&lt;&gt;"-",Q399&lt;&gt;"bypass"),IFERROR($R$23*U399/SUM(R399:U399),"-"),Calculation!AP380)</f>
        <v>-</v>
      </c>
      <c r="Z399" s="184" t="str">
        <f t="shared" ca="1" si="25"/>
        <v>-</v>
      </c>
      <c r="AA399" s="185" t="str">
        <f ca="1">IFERROR(IF(I399=0,"-",IF(AND(ROUND(H399*I399*X399/($W$10*10^3),1)&gt;=Calculation!$O$6,ROUND((((U399)*$R$23/0.05)-((S399)+(H399*I399*X399/($W$10*10^3))+(U399))),1)&gt;=0),Cluster!$W$8,IF(AND(ROUND(H399*I399*X399/($X$10*10^3),1)&gt;=Calculation!$O$6,ROUND((((U399)*$R$23/0.05)-((S399)+(H399*I399*X399/($X$10*10^3))+(U399))),1)&gt;=0),Cluster!$X$8,IF(AND(ROUND(H399*I399*X399/($Y$10*10^3),1)&gt;=Calculation!$O$6,ROUND((((U399)*$R$23/0.05)-((S399)+(H399*I399*X399/($Y$10*10^3))+(U399))),1)&gt;=0),Cluster!$Y$8,"Recepie by hand needed")))),"-")</f>
        <v>-</v>
      </c>
      <c r="AC399" s="37" t="str">
        <f t="shared" ca="1" si="26"/>
        <v>-</v>
      </c>
      <c r="AD399" s="37" t="str">
        <f t="shared" ca="1" si="27"/>
        <v>-</v>
      </c>
      <c r="AE399" s="220" t="str">
        <f t="shared" ca="1" si="28"/>
        <v>-</v>
      </c>
      <c r="AF399" s="37" t="str">
        <f t="shared" ca="1" si="29"/>
        <v>-</v>
      </c>
    </row>
    <row r="400" spans="1:32" ht="14.25" x14ac:dyDescent="0.5">
      <c r="A400" s="170" t="str">
        <f>Calculation!I381</f>
        <v/>
      </c>
      <c r="B400" s="221" t="str">
        <f ca="1">Calculation!B381</f>
        <v/>
      </c>
      <c r="C400" s="221" t="str">
        <f ca="1">Calculation!C381</f>
        <v/>
      </c>
      <c r="D400" s="172" t="str">
        <f ca="1">Calculation!AN381</f>
        <v/>
      </c>
      <c r="E400" s="173" t="str">
        <f ca="1">Calculation!D381</f>
        <v/>
      </c>
      <c r="F400" s="174" t="str">
        <f ca="1">Calculation!C381</f>
        <v/>
      </c>
      <c r="G400" s="175" t="str">
        <f ca="1">Calculation!F381</f>
        <v/>
      </c>
      <c r="H400" s="176" t="str">
        <f ca="1">Calculation!AD381</f>
        <v/>
      </c>
      <c r="I400" s="177" t="str">
        <f ca="1">Calculation!AE381</f>
        <v/>
      </c>
      <c r="J400" s="272" t="str">
        <f ca="1">IF(Calculation!Q381="","Selection",Calculation!Q381)</f>
        <v>Selection</v>
      </c>
      <c r="K400" s="179" t="str">
        <f ca="1">Calculation!T381</f>
        <v/>
      </c>
      <c r="L400" s="180" t="str">
        <f ca="1">Calculation!U381</f>
        <v>-</v>
      </c>
      <c r="M400" s="180" t="str">
        <f ca="1">Calculation!V381</f>
        <v>-</v>
      </c>
      <c r="N400" s="181"/>
      <c r="O400" s="180" t="str">
        <f ca="1">Calculation!X381</f>
        <v>-</v>
      </c>
      <c r="P400" s="180" t="str">
        <f ca="1">Calculation!Y381</f>
        <v>-</v>
      </c>
      <c r="Q400" s="273"/>
      <c r="R400" s="182" t="str">
        <f ca="1">IF(AND(L400&lt;&gt;"-",Q400&lt;&gt;"bypass"),IFERROR(IF((U400*$R$23/0.05)-SUM(S400:U400)&gt;0,(U400*$R$23/0.05)-SUM(S400:U400),0),"-"),Calculation!AH381)</f>
        <v>-</v>
      </c>
      <c r="S400" s="179" t="str">
        <f ca="1">IF(AND(L400&lt;&gt;"-",Q400&lt;&gt;"bypass"),IFERROR(X400*((H400*10^-12-H400*10^-12*I400)/(Calculation!$U$8*10^-9)),"-"),Calculation!AF381)</f>
        <v>-</v>
      </c>
      <c r="T400" s="179" t="str">
        <f ca="1">IF(AND(L400&lt;&gt;"-",Q400&lt;&gt;"bypass"),IFERROR(H400*I400*X400/(IF(Cluster!AA400=Cluster!$W$8,Cluster!$W$10,IF(Cluster!AA400=Cluster!$X$8,Cluster!$X$10,IF(Cluster!AA400=Cluster!$Y$8,Cluster!$Y$10,0)))*10^3),"-"),Calculation!AK381)</f>
        <v>-</v>
      </c>
      <c r="U400" s="179" t="str">
        <f ca="1">IF(AND(L400&lt;&gt;"-",Q400&lt;&gt;"bypass"),IFERROR((0.5/50)*X400/$R$23,"-"),Calculation!AG381)</f>
        <v>-</v>
      </c>
      <c r="V400" s="179" t="str">
        <f ca="1">IF(AND(L400&lt;&gt;"-",Q400&lt;&gt;"bypass"),IFERROR(5/50*X400,"-"),Calculation!AI381)</f>
        <v>-</v>
      </c>
      <c r="W400" s="179" t="str">
        <f ca="1">IF(AND(L400&lt;&gt;"-",Q400&lt;&gt;"bypass"),IFERROR(35/50*X400,"-"),Calculation!AJ381)</f>
        <v>-</v>
      </c>
      <c r="X400" s="179" t="str">
        <f ca="1">IF(AND(L400&lt;&gt;"-",Q400&lt;&gt;"bypass"),$W$23,Calculation!AL381)</f>
        <v>-</v>
      </c>
      <c r="Y400" s="183" t="str">
        <f ca="1">IF(AND(L400&lt;&gt;"-",Q400&lt;&gt;"bypass"),IFERROR($R$23*U400/SUM(R400:U400),"-"),Calculation!AP381)</f>
        <v>-</v>
      </c>
      <c r="Z400" s="184" t="str">
        <f t="shared" ca="1" si="25"/>
        <v>-</v>
      </c>
      <c r="AA400" s="185" t="str">
        <f ca="1">IFERROR(IF(I400=0,"-",IF(AND(ROUND(H400*I400*X400/($W$10*10^3),1)&gt;=Calculation!$O$6,ROUND((((U400)*$R$23/0.05)-((S400)+(H400*I400*X400/($W$10*10^3))+(U400))),1)&gt;=0),Cluster!$W$8,IF(AND(ROUND(H400*I400*X400/($X$10*10^3),1)&gt;=Calculation!$O$6,ROUND((((U400)*$R$23/0.05)-((S400)+(H400*I400*X400/($X$10*10^3))+(U400))),1)&gt;=0),Cluster!$X$8,IF(AND(ROUND(H400*I400*X400/($Y$10*10^3),1)&gt;=Calculation!$O$6,ROUND((((U400)*$R$23/0.05)-((S400)+(H400*I400*X400/($Y$10*10^3))+(U400))),1)&gt;=0),Cluster!$Y$8,"Recepie by hand needed")))),"-")</f>
        <v>-</v>
      </c>
      <c r="AC400" s="37" t="str">
        <f t="shared" ca="1" si="26"/>
        <v>-</v>
      </c>
      <c r="AD400" s="37" t="str">
        <f t="shared" ca="1" si="27"/>
        <v>-</v>
      </c>
      <c r="AE400" s="220" t="str">
        <f t="shared" ca="1" si="28"/>
        <v>-</v>
      </c>
      <c r="AF400" s="37" t="str">
        <f t="shared" ca="1" si="29"/>
        <v>-</v>
      </c>
    </row>
    <row r="401" spans="1:32" ht="14.25" x14ac:dyDescent="0.5">
      <c r="A401" s="170" t="str">
        <f>Calculation!I382</f>
        <v/>
      </c>
      <c r="B401" s="221" t="str">
        <f ca="1">Calculation!B382</f>
        <v/>
      </c>
      <c r="C401" s="221" t="str">
        <f ca="1">Calculation!C382</f>
        <v/>
      </c>
      <c r="D401" s="172" t="str">
        <f ca="1">Calculation!AN382</f>
        <v/>
      </c>
      <c r="E401" s="173" t="str">
        <f ca="1">Calculation!D382</f>
        <v/>
      </c>
      <c r="F401" s="174" t="str">
        <f ca="1">Calculation!C382</f>
        <v/>
      </c>
      <c r="G401" s="175" t="str">
        <f ca="1">Calculation!F382</f>
        <v/>
      </c>
      <c r="H401" s="176" t="str">
        <f ca="1">Calculation!AD382</f>
        <v/>
      </c>
      <c r="I401" s="177" t="str">
        <f ca="1">Calculation!AE382</f>
        <v/>
      </c>
      <c r="J401" s="272" t="str">
        <f ca="1">IF(Calculation!Q382="","Selection",Calculation!Q382)</f>
        <v>Selection</v>
      </c>
      <c r="K401" s="179" t="str">
        <f ca="1">Calculation!T382</f>
        <v/>
      </c>
      <c r="L401" s="180" t="str">
        <f ca="1">Calculation!U382</f>
        <v>-</v>
      </c>
      <c r="M401" s="180" t="str">
        <f ca="1">Calculation!V382</f>
        <v>-</v>
      </c>
      <c r="N401" s="181"/>
      <c r="O401" s="180" t="str">
        <f ca="1">Calculation!X382</f>
        <v>-</v>
      </c>
      <c r="P401" s="180" t="str">
        <f ca="1">Calculation!Y382</f>
        <v>-</v>
      </c>
      <c r="Q401" s="273"/>
      <c r="R401" s="182" t="str">
        <f ca="1">IF(AND(L401&lt;&gt;"-",Q401&lt;&gt;"bypass"),IFERROR(IF((U401*$R$23/0.05)-SUM(S401:U401)&gt;0,(U401*$R$23/0.05)-SUM(S401:U401),0),"-"),Calculation!AH382)</f>
        <v>-</v>
      </c>
      <c r="S401" s="179" t="str">
        <f ca="1">IF(AND(L401&lt;&gt;"-",Q401&lt;&gt;"bypass"),IFERROR(X401*((H401*10^-12-H401*10^-12*I401)/(Calculation!$U$8*10^-9)),"-"),Calculation!AF382)</f>
        <v>-</v>
      </c>
      <c r="T401" s="179" t="str">
        <f ca="1">IF(AND(L401&lt;&gt;"-",Q401&lt;&gt;"bypass"),IFERROR(H401*I401*X401/(IF(Cluster!AA401=Cluster!$W$8,Cluster!$W$10,IF(Cluster!AA401=Cluster!$X$8,Cluster!$X$10,IF(Cluster!AA401=Cluster!$Y$8,Cluster!$Y$10,0)))*10^3),"-"),Calculation!AK382)</f>
        <v>-</v>
      </c>
      <c r="U401" s="179" t="str">
        <f ca="1">IF(AND(L401&lt;&gt;"-",Q401&lt;&gt;"bypass"),IFERROR((0.5/50)*X401/$R$23,"-"),Calculation!AG382)</f>
        <v>-</v>
      </c>
      <c r="V401" s="179" t="str">
        <f ca="1">IF(AND(L401&lt;&gt;"-",Q401&lt;&gt;"bypass"),IFERROR(5/50*X401,"-"),Calculation!AI382)</f>
        <v>-</v>
      </c>
      <c r="W401" s="179" t="str">
        <f ca="1">IF(AND(L401&lt;&gt;"-",Q401&lt;&gt;"bypass"),IFERROR(35/50*X401,"-"),Calculation!AJ382)</f>
        <v>-</v>
      </c>
      <c r="X401" s="179" t="str">
        <f ca="1">IF(AND(L401&lt;&gt;"-",Q401&lt;&gt;"bypass"),$W$23,Calculation!AL382)</f>
        <v>-</v>
      </c>
      <c r="Y401" s="183" t="str">
        <f ca="1">IF(AND(L401&lt;&gt;"-",Q401&lt;&gt;"bypass"),IFERROR($R$23*U401/SUM(R401:U401),"-"),Calculation!AP382)</f>
        <v>-</v>
      </c>
      <c r="Z401" s="184" t="str">
        <f t="shared" ca="1" si="25"/>
        <v>-</v>
      </c>
      <c r="AA401" s="185" t="str">
        <f ca="1">IFERROR(IF(I401=0,"-",IF(AND(ROUND(H401*I401*X401/($W$10*10^3),1)&gt;=Calculation!$O$6,ROUND((((U401)*$R$23/0.05)-((S401)+(H401*I401*X401/($W$10*10^3))+(U401))),1)&gt;=0),Cluster!$W$8,IF(AND(ROUND(H401*I401*X401/($X$10*10^3),1)&gt;=Calculation!$O$6,ROUND((((U401)*$R$23/0.05)-((S401)+(H401*I401*X401/($X$10*10^3))+(U401))),1)&gt;=0),Cluster!$X$8,IF(AND(ROUND(H401*I401*X401/($Y$10*10^3),1)&gt;=Calculation!$O$6,ROUND((((U401)*$R$23/0.05)-((S401)+(H401*I401*X401/($Y$10*10^3))+(U401))),1)&gt;=0),Cluster!$Y$8,"Recepie by hand needed")))),"-")</f>
        <v>-</v>
      </c>
      <c r="AC401" s="37" t="str">
        <f t="shared" ca="1" si="26"/>
        <v>-</v>
      </c>
      <c r="AD401" s="37" t="str">
        <f t="shared" ca="1" si="27"/>
        <v>-</v>
      </c>
      <c r="AE401" s="220" t="str">
        <f t="shared" ca="1" si="28"/>
        <v>-</v>
      </c>
      <c r="AF401" s="37" t="str">
        <f t="shared" ca="1" si="29"/>
        <v>-</v>
      </c>
    </row>
    <row r="402" spans="1:32" ht="14.25" x14ac:dyDescent="0.5">
      <c r="A402" s="170" t="str">
        <f>Calculation!I383</f>
        <v/>
      </c>
      <c r="B402" s="221" t="str">
        <f ca="1">Calculation!B383</f>
        <v/>
      </c>
      <c r="C402" s="221" t="str">
        <f ca="1">Calculation!C383</f>
        <v/>
      </c>
      <c r="D402" s="172" t="str">
        <f ca="1">Calculation!AN383</f>
        <v/>
      </c>
      <c r="E402" s="173" t="str">
        <f ca="1">Calculation!D383</f>
        <v/>
      </c>
      <c r="F402" s="174" t="str">
        <f ca="1">Calculation!C383</f>
        <v/>
      </c>
      <c r="G402" s="175" t="str">
        <f ca="1">Calculation!F383</f>
        <v/>
      </c>
      <c r="H402" s="176" t="str">
        <f ca="1">Calculation!AD383</f>
        <v/>
      </c>
      <c r="I402" s="177" t="str">
        <f ca="1">Calculation!AE383</f>
        <v/>
      </c>
      <c r="J402" s="272" t="str">
        <f ca="1">IF(Calculation!Q383="","Selection",Calculation!Q383)</f>
        <v>Selection</v>
      </c>
      <c r="K402" s="179" t="str">
        <f ca="1">Calculation!T383</f>
        <v/>
      </c>
      <c r="L402" s="180" t="str">
        <f ca="1">Calculation!U383</f>
        <v>-</v>
      </c>
      <c r="M402" s="180" t="str">
        <f ca="1">Calculation!V383</f>
        <v>-</v>
      </c>
      <c r="N402" s="181"/>
      <c r="O402" s="180" t="str">
        <f ca="1">Calculation!X383</f>
        <v>-</v>
      </c>
      <c r="P402" s="180" t="str">
        <f ca="1">Calculation!Y383</f>
        <v>-</v>
      </c>
      <c r="Q402" s="273"/>
      <c r="R402" s="182" t="str">
        <f ca="1">IF(AND(L402&lt;&gt;"-",Q402&lt;&gt;"bypass"),IFERROR(IF((U402*$R$23/0.05)-SUM(S402:U402)&gt;0,(U402*$R$23/0.05)-SUM(S402:U402),0),"-"),Calculation!AH383)</f>
        <v>-</v>
      </c>
      <c r="S402" s="179" t="str">
        <f ca="1">IF(AND(L402&lt;&gt;"-",Q402&lt;&gt;"bypass"),IFERROR(X402*((H402*10^-12-H402*10^-12*I402)/(Calculation!$U$8*10^-9)),"-"),Calculation!AF383)</f>
        <v>-</v>
      </c>
      <c r="T402" s="179" t="str">
        <f ca="1">IF(AND(L402&lt;&gt;"-",Q402&lt;&gt;"bypass"),IFERROR(H402*I402*X402/(IF(Cluster!AA402=Cluster!$W$8,Cluster!$W$10,IF(Cluster!AA402=Cluster!$X$8,Cluster!$X$10,IF(Cluster!AA402=Cluster!$Y$8,Cluster!$Y$10,0)))*10^3),"-"),Calculation!AK383)</f>
        <v>-</v>
      </c>
      <c r="U402" s="179" t="str">
        <f ca="1">IF(AND(L402&lt;&gt;"-",Q402&lt;&gt;"bypass"),IFERROR((0.5/50)*X402/$R$23,"-"),Calculation!AG383)</f>
        <v>-</v>
      </c>
      <c r="V402" s="179" t="str">
        <f ca="1">IF(AND(L402&lt;&gt;"-",Q402&lt;&gt;"bypass"),IFERROR(5/50*X402,"-"),Calculation!AI383)</f>
        <v>-</v>
      </c>
      <c r="W402" s="179" t="str">
        <f ca="1">IF(AND(L402&lt;&gt;"-",Q402&lt;&gt;"bypass"),IFERROR(35/50*X402,"-"),Calculation!AJ383)</f>
        <v>-</v>
      </c>
      <c r="X402" s="179" t="str">
        <f ca="1">IF(AND(L402&lt;&gt;"-",Q402&lt;&gt;"bypass"),$W$23,Calculation!AL383)</f>
        <v>-</v>
      </c>
      <c r="Y402" s="183" t="str">
        <f ca="1">IF(AND(L402&lt;&gt;"-",Q402&lt;&gt;"bypass"),IFERROR($R$23*U402/SUM(R402:U402),"-"),Calculation!AP383)</f>
        <v>-</v>
      </c>
      <c r="Z402" s="184" t="str">
        <f t="shared" ca="1" si="25"/>
        <v>-</v>
      </c>
      <c r="AA402" s="185" t="str">
        <f ca="1">IFERROR(IF(I402=0,"-",IF(AND(ROUND(H402*I402*X402/($W$10*10^3),1)&gt;=Calculation!$O$6,ROUND((((U402)*$R$23/0.05)-((S402)+(H402*I402*X402/($W$10*10^3))+(U402))),1)&gt;=0),Cluster!$W$8,IF(AND(ROUND(H402*I402*X402/($X$10*10^3),1)&gt;=Calculation!$O$6,ROUND((((U402)*$R$23/0.05)-((S402)+(H402*I402*X402/($X$10*10^3))+(U402))),1)&gt;=0),Cluster!$X$8,IF(AND(ROUND(H402*I402*X402/($Y$10*10^3),1)&gt;=Calculation!$O$6,ROUND((((U402)*$R$23/0.05)-((S402)+(H402*I402*X402/($Y$10*10^3))+(U402))),1)&gt;=0),Cluster!$Y$8,"Recepie by hand needed")))),"-")</f>
        <v>-</v>
      </c>
      <c r="AC402" s="37" t="str">
        <f t="shared" ca="1" si="26"/>
        <v>-</v>
      </c>
      <c r="AD402" s="37" t="str">
        <f t="shared" ca="1" si="27"/>
        <v>-</v>
      </c>
      <c r="AE402" s="220" t="str">
        <f t="shared" ca="1" si="28"/>
        <v>-</v>
      </c>
      <c r="AF402" s="37" t="str">
        <f t="shared" ca="1" si="29"/>
        <v>-</v>
      </c>
    </row>
    <row r="403" spans="1:32" ht="12.75" customHeight="1" x14ac:dyDescent="0.5">
      <c r="A403" s="170" t="str">
        <f>Calculation!I384</f>
        <v/>
      </c>
      <c r="B403" s="221" t="str">
        <f ca="1">Calculation!B384</f>
        <v/>
      </c>
      <c r="C403" s="221" t="str">
        <f ca="1">Calculation!C384</f>
        <v/>
      </c>
      <c r="D403" s="172" t="str">
        <f ca="1">Calculation!AN384</f>
        <v/>
      </c>
      <c r="E403" s="173" t="str">
        <f ca="1">Calculation!D384</f>
        <v/>
      </c>
      <c r="F403" s="174" t="str">
        <f ca="1">Calculation!C384</f>
        <v/>
      </c>
      <c r="G403" s="175" t="str">
        <f ca="1">Calculation!F384</f>
        <v/>
      </c>
      <c r="H403" s="176" t="str">
        <f ca="1">Calculation!AD384</f>
        <v/>
      </c>
      <c r="I403" s="177" t="str">
        <f ca="1">Calculation!AE384</f>
        <v/>
      </c>
      <c r="J403" s="272" t="str">
        <f ca="1">IF(Calculation!Q384="","Selection",Calculation!Q384)</f>
        <v>Selection</v>
      </c>
      <c r="K403" s="179" t="str">
        <f ca="1">Calculation!T384</f>
        <v/>
      </c>
      <c r="L403" s="180" t="str">
        <f ca="1">Calculation!U384</f>
        <v>-</v>
      </c>
      <c r="M403" s="180" t="str">
        <f ca="1">Calculation!V384</f>
        <v>-</v>
      </c>
      <c r="N403" s="181"/>
      <c r="O403" s="180" t="str">
        <f ca="1">Calculation!X384</f>
        <v>-</v>
      </c>
      <c r="P403" s="180" t="str">
        <f ca="1">Calculation!Y384</f>
        <v>-</v>
      </c>
      <c r="Q403" s="273"/>
      <c r="R403" s="182" t="str">
        <f ca="1">IF(AND(L403&lt;&gt;"-",Q403&lt;&gt;"bypass"),IFERROR(IF((U403*$R$23/0.05)-SUM(S403:U403)&gt;0,(U403*$R$23/0.05)-SUM(S403:U403),0),"-"),Calculation!AH384)</f>
        <v>-</v>
      </c>
      <c r="S403" s="179" t="str">
        <f ca="1">IF(AND(L403&lt;&gt;"-",Q403&lt;&gt;"bypass"),IFERROR(X403*((H403*10^-12-H403*10^-12*I403)/(Calculation!$U$8*10^-9)),"-"),Calculation!AF384)</f>
        <v>-</v>
      </c>
      <c r="T403" s="179" t="str">
        <f ca="1">IF(AND(L403&lt;&gt;"-",Q403&lt;&gt;"bypass"),IFERROR(H403*I403*X403/(IF(Cluster!AA403=Cluster!$W$8,Cluster!$W$10,IF(Cluster!AA403=Cluster!$X$8,Cluster!$X$10,IF(Cluster!AA403=Cluster!$Y$8,Cluster!$Y$10,0)))*10^3),"-"),Calculation!AK384)</f>
        <v>-</v>
      </c>
      <c r="U403" s="179" t="str">
        <f ca="1">IF(AND(L403&lt;&gt;"-",Q403&lt;&gt;"bypass"),IFERROR((0.5/50)*X403/$R$23,"-"),Calculation!AG384)</f>
        <v>-</v>
      </c>
      <c r="V403" s="179" t="str">
        <f ca="1">IF(AND(L403&lt;&gt;"-",Q403&lt;&gt;"bypass"),IFERROR(5/50*X403,"-"),Calculation!AI384)</f>
        <v>-</v>
      </c>
      <c r="W403" s="179" t="str">
        <f ca="1">IF(AND(L403&lt;&gt;"-",Q403&lt;&gt;"bypass"),IFERROR(35/50*X403,"-"),Calculation!AJ384)</f>
        <v>-</v>
      </c>
      <c r="X403" s="179" t="str">
        <f ca="1">IF(AND(L403&lt;&gt;"-",Q403&lt;&gt;"bypass"),$W$23,Calculation!AL384)</f>
        <v>-</v>
      </c>
      <c r="Y403" s="183" t="str">
        <f ca="1">IF(AND(L403&lt;&gt;"-",Q403&lt;&gt;"bypass"),IFERROR($R$23*U403/SUM(R403:U403),"-"),Calculation!AP384)</f>
        <v>-</v>
      </c>
      <c r="Z403" s="184" t="str">
        <f t="shared" ca="1" si="25"/>
        <v>-</v>
      </c>
      <c r="AA403" s="185" t="str">
        <f ca="1">IFERROR(IF(I403=0,"-",IF(AND(ROUND(H403*I403*X403/($W$10*10^3),1)&gt;=Calculation!$O$6,ROUND((((U403)*$R$23/0.05)-((S403)+(H403*I403*X403/($W$10*10^3))+(U403))),1)&gt;=0),Cluster!$W$8,IF(AND(ROUND(H403*I403*X403/($X$10*10^3),1)&gt;=Calculation!$O$6,ROUND((((U403)*$R$23/0.05)-((S403)+(H403*I403*X403/($X$10*10^3))+(U403))),1)&gt;=0),Cluster!$X$8,IF(AND(ROUND(H403*I403*X403/($Y$10*10^3),1)&gt;=Calculation!$O$6,ROUND((((U403)*$R$23/0.05)-((S403)+(H403*I403*X403/($Y$10*10^3))+(U403))),1)&gt;=0),Cluster!$Y$8,"Recepie by hand needed")))),"-")</f>
        <v>-</v>
      </c>
      <c r="AC403" s="37" t="str">
        <f t="shared" ca="1" si="26"/>
        <v>-</v>
      </c>
      <c r="AD403" s="37" t="str">
        <f t="shared" ca="1" si="27"/>
        <v>-</v>
      </c>
      <c r="AE403" s="220" t="str">
        <f t="shared" ca="1" si="28"/>
        <v>-</v>
      </c>
      <c r="AF403" s="37" t="str">
        <f t="shared" ca="1" si="29"/>
        <v>-</v>
      </c>
    </row>
    <row r="404" spans="1:32" ht="13.5" customHeight="1" x14ac:dyDescent="0.5">
      <c r="A404" s="170" t="str">
        <f>Calculation!I385</f>
        <v/>
      </c>
      <c r="B404" s="221" t="str">
        <f ca="1">Calculation!B385</f>
        <v/>
      </c>
      <c r="C404" s="221" t="str">
        <f ca="1">Calculation!C385</f>
        <v/>
      </c>
      <c r="D404" s="172" t="str">
        <f ca="1">Calculation!AN385</f>
        <v/>
      </c>
      <c r="E404" s="173" t="str">
        <f ca="1">Calculation!D385</f>
        <v/>
      </c>
      <c r="F404" s="174" t="str">
        <f ca="1">Calculation!C385</f>
        <v/>
      </c>
      <c r="G404" s="175" t="str">
        <f ca="1">Calculation!F385</f>
        <v/>
      </c>
      <c r="H404" s="176" t="str">
        <f ca="1">Calculation!AD385</f>
        <v/>
      </c>
      <c r="I404" s="177" t="str">
        <f ca="1">Calculation!AE385</f>
        <v/>
      </c>
      <c r="J404" s="272" t="str">
        <f ca="1">IF(Calculation!Q385="","Selection",Calculation!Q385)</f>
        <v>Selection</v>
      </c>
      <c r="K404" s="179" t="str">
        <f ca="1">Calculation!T385</f>
        <v/>
      </c>
      <c r="L404" s="180" t="str">
        <f ca="1">Calculation!U385</f>
        <v>-</v>
      </c>
      <c r="M404" s="180" t="str">
        <f ca="1">Calculation!V385</f>
        <v>-</v>
      </c>
      <c r="N404" s="181"/>
      <c r="O404" s="180" t="str">
        <f ca="1">Calculation!X385</f>
        <v>-</v>
      </c>
      <c r="P404" s="180" t="str">
        <f ca="1">Calculation!Y385</f>
        <v>-</v>
      </c>
      <c r="Q404" s="273"/>
      <c r="R404" s="182" t="str">
        <f ca="1">IF(AND(L404&lt;&gt;"-",Q404&lt;&gt;"bypass"),IFERROR(IF((U404*$R$23/0.05)-SUM(S404:U404)&gt;0,(U404*$R$23/0.05)-SUM(S404:U404),0),"-"),Calculation!AH385)</f>
        <v>-</v>
      </c>
      <c r="S404" s="179" t="str">
        <f ca="1">IF(AND(L404&lt;&gt;"-",Q404&lt;&gt;"bypass"),IFERROR(X404*((H404*10^-12-H404*10^-12*I404)/(Calculation!$U$8*10^-9)),"-"),Calculation!AF385)</f>
        <v>-</v>
      </c>
      <c r="T404" s="179" t="str">
        <f ca="1">IF(AND(L404&lt;&gt;"-",Q404&lt;&gt;"bypass"),IFERROR(H404*I404*X404/(IF(Cluster!AA404=Cluster!$W$8,Cluster!$W$10,IF(Cluster!AA404=Cluster!$X$8,Cluster!$X$10,IF(Cluster!AA404=Cluster!$Y$8,Cluster!$Y$10,0)))*10^3),"-"),Calculation!AK385)</f>
        <v>-</v>
      </c>
      <c r="U404" s="179" t="str">
        <f ca="1">IF(AND(L404&lt;&gt;"-",Q404&lt;&gt;"bypass"),IFERROR((0.5/50)*X404/$R$23,"-"),Calculation!AG385)</f>
        <v>-</v>
      </c>
      <c r="V404" s="179" t="str">
        <f ca="1">IF(AND(L404&lt;&gt;"-",Q404&lt;&gt;"bypass"),IFERROR(5/50*X404,"-"),Calculation!AI385)</f>
        <v>-</v>
      </c>
      <c r="W404" s="179" t="str">
        <f ca="1">IF(AND(L404&lt;&gt;"-",Q404&lt;&gt;"bypass"),IFERROR(35/50*X404,"-"),Calculation!AJ385)</f>
        <v>-</v>
      </c>
      <c r="X404" s="179" t="str">
        <f ca="1">IF(AND(L404&lt;&gt;"-",Q404&lt;&gt;"bypass"),$W$23,Calculation!AL385)</f>
        <v>-</v>
      </c>
      <c r="Y404" s="183" t="str">
        <f ca="1">IF(AND(L404&lt;&gt;"-",Q404&lt;&gt;"bypass"),IFERROR($R$23*U404/SUM(R404:U404),"-"),Calculation!AP385)</f>
        <v>-</v>
      </c>
      <c r="Z404" s="184" t="str">
        <f t="shared" ca="1" si="25"/>
        <v>-</v>
      </c>
      <c r="AA404" s="185" t="str">
        <f ca="1">IFERROR(IF(I404=0,"-",IF(AND(ROUND(H404*I404*X404/($W$10*10^3),1)&gt;=Calculation!$O$6,ROUND((((U404)*$R$23/0.05)-((S404)+(H404*I404*X404/($W$10*10^3))+(U404))),1)&gt;=0),Cluster!$W$8,IF(AND(ROUND(H404*I404*X404/($X$10*10^3),1)&gt;=Calculation!$O$6,ROUND((((U404)*$R$23/0.05)-((S404)+(H404*I404*X404/($X$10*10^3))+(U404))),1)&gt;=0),Cluster!$X$8,IF(AND(ROUND(H404*I404*X404/($Y$10*10^3),1)&gt;=Calculation!$O$6,ROUND((((U404)*$R$23/0.05)-((S404)+(H404*I404*X404/($Y$10*10^3))+(U404))),1)&gt;=0),Cluster!$Y$8,"Recepie by hand needed")))),"-")</f>
        <v>-</v>
      </c>
      <c r="AC404" s="37" t="str">
        <f t="shared" ca="1" si="26"/>
        <v>-</v>
      </c>
      <c r="AD404" s="37" t="str">
        <f t="shared" ca="1" si="27"/>
        <v>-</v>
      </c>
      <c r="AE404" s="220" t="str">
        <f t="shared" ca="1" si="28"/>
        <v>-</v>
      </c>
      <c r="AF404" s="37" t="str">
        <f t="shared" ca="1" si="29"/>
        <v>-</v>
      </c>
    </row>
    <row r="405" spans="1:32" ht="13.5" customHeight="1" x14ac:dyDescent="0.5">
      <c r="A405" s="170" t="str">
        <f>Calculation!I386</f>
        <v/>
      </c>
      <c r="B405" s="221" t="str">
        <f ca="1">Calculation!B386</f>
        <v/>
      </c>
      <c r="C405" s="221" t="str">
        <f ca="1">Calculation!C386</f>
        <v/>
      </c>
      <c r="D405" s="172" t="str">
        <f ca="1">Calculation!AN386</f>
        <v/>
      </c>
      <c r="E405" s="173" t="str">
        <f ca="1">Calculation!D386</f>
        <v/>
      </c>
      <c r="F405" s="174" t="str">
        <f ca="1">Calculation!C386</f>
        <v/>
      </c>
      <c r="G405" s="175" t="str">
        <f ca="1">Calculation!F386</f>
        <v/>
      </c>
      <c r="H405" s="176" t="str">
        <f ca="1">Calculation!AD386</f>
        <v/>
      </c>
      <c r="I405" s="177" t="str">
        <f ca="1">Calculation!AE386</f>
        <v/>
      </c>
      <c r="J405" s="272" t="str">
        <f ca="1">IF(Calculation!Q386="","Selection",Calculation!Q386)</f>
        <v>Selection</v>
      </c>
      <c r="K405" s="179" t="str">
        <f ca="1">Calculation!T386</f>
        <v/>
      </c>
      <c r="L405" s="180" t="str">
        <f ca="1">Calculation!U386</f>
        <v>-</v>
      </c>
      <c r="M405" s="180" t="str">
        <f ca="1">Calculation!V386</f>
        <v>-</v>
      </c>
      <c r="N405" s="181"/>
      <c r="O405" s="180" t="str">
        <f ca="1">Calculation!X386</f>
        <v>-</v>
      </c>
      <c r="P405" s="180" t="str">
        <f ca="1">Calculation!Y386</f>
        <v>-</v>
      </c>
      <c r="Q405" s="273"/>
      <c r="R405" s="182" t="str">
        <f ca="1">IF(AND(L405&lt;&gt;"-",Q405&lt;&gt;"bypass"),IFERROR(IF((U405*$R$23/0.05)-SUM(S405:U405)&gt;0,(U405*$R$23/0.05)-SUM(S405:U405),0),"-"),Calculation!AH386)</f>
        <v>-</v>
      </c>
      <c r="S405" s="179" t="str">
        <f ca="1">IF(AND(L405&lt;&gt;"-",Q405&lt;&gt;"bypass"),IFERROR(X405*((H405*10^-12-H405*10^-12*I405)/(Calculation!$U$8*10^-9)),"-"),Calculation!AF386)</f>
        <v>-</v>
      </c>
      <c r="T405" s="179" t="str">
        <f ca="1">IF(AND(L405&lt;&gt;"-",Q405&lt;&gt;"bypass"),IFERROR(H405*I405*X405/(IF(Cluster!AA405=Cluster!$W$8,Cluster!$W$10,IF(Cluster!AA405=Cluster!$X$8,Cluster!$X$10,IF(Cluster!AA405=Cluster!$Y$8,Cluster!$Y$10,0)))*10^3),"-"),Calculation!AK386)</f>
        <v>-</v>
      </c>
      <c r="U405" s="179" t="str">
        <f ca="1">IF(AND(L405&lt;&gt;"-",Q405&lt;&gt;"bypass"),IFERROR((0.5/50)*X405/$R$23,"-"),Calculation!AG386)</f>
        <v>-</v>
      </c>
      <c r="V405" s="179" t="str">
        <f ca="1">IF(AND(L405&lt;&gt;"-",Q405&lt;&gt;"bypass"),IFERROR(5/50*X405,"-"),Calculation!AI386)</f>
        <v>-</v>
      </c>
      <c r="W405" s="179" t="str">
        <f ca="1">IF(AND(L405&lt;&gt;"-",Q405&lt;&gt;"bypass"),IFERROR(35/50*X405,"-"),Calculation!AJ386)</f>
        <v>-</v>
      </c>
      <c r="X405" s="179" t="str">
        <f ca="1">IF(AND(L405&lt;&gt;"-",Q405&lt;&gt;"bypass"),$W$23,Calculation!AL386)</f>
        <v>-</v>
      </c>
      <c r="Y405" s="183" t="str">
        <f ca="1">IF(AND(L405&lt;&gt;"-",Q405&lt;&gt;"bypass"),IFERROR($R$23*U405/SUM(R405:U405),"-"),Calculation!AP386)</f>
        <v>-</v>
      </c>
      <c r="Z405" s="184" t="str">
        <f t="shared" ca="1" si="25"/>
        <v>-</v>
      </c>
      <c r="AA405" s="185" t="str">
        <f ca="1">IFERROR(IF(I405=0,"-",IF(AND(ROUND(H405*I405*X405/($W$10*10^3),1)&gt;=Calculation!$O$6,ROUND((((U405)*$R$23/0.05)-((S405)+(H405*I405*X405/($W$10*10^3))+(U405))),1)&gt;=0),Cluster!$W$8,IF(AND(ROUND(H405*I405*X405/($X$10*10^3),1)&gt;=Calculation!$O$6,ROUND((((U405)*$R$23/0.05)-((S405)+(H405*I405*X405/($X$10*10^3))+(U405))),1)&gt;=0),Cluster!$X$8,IF(AND(ROUND(H405*I405*X405/($Y$10*10^3),1)&gt;=Calculation!$O$6,ROUND((((U405)*$R$23/0.05)-((S405)+(H405*I405*X405/($Y$10*10^3))+(U405))),1)&gt;=0),Cluster!$Y$8,"Recepie by hand needed")))),"-")</f>
        <v>-</v>
      </c>
      <c r="AC405" s="37" t="str">
        <f t="shared" ca="1" si="26"/>
        <v>-</v>
      </c>
      <c r="AD405" s="37" t="str">
        <f t="shared" ca="1" si="27"/>
        <v>-</v>
      </c>
      <c r="AE405" s="220" t="str">
        <f t="shared" ca="1" si="28"/>
        <v>-</v>
      </c>
      <c r="AF405" s="37" t="str">
        <f t="shared" ca="1" si="29"/>
        <v>-</v>
      </c>
    </row>
    <row r="406" spans="1:32" ht="13.5" customHeight="1" x14ac:dyDescent="0.5">
      <c r="A406" s="170" t="str">
        <f>Calculation!I387</f>
        <v/>
      </c>
      <c r="B406" s="221" t="str">
        <f ca="1">Calculation!B387</f>
        <v/>
      </c>
      <c r="C406" s="221" t="str">
        <f ca="1">Calculation!C387</f>
        <v/>
      </c>
      <c r="D406" s="172" t="str">
        <f ca="1">Calculation!AN387</f>
        <v/>
      </c>
      <c r="E406" s="173" t="str">
        <f ca="1">Calculation!D387</f>
        <v/>
      </c>
      <c r="F406" s="174" t="str">
        <f ca="1">Calculation!C387</f>
        <v/>
      </c>
      <c r="G406" s="175" t="str">
        <f ca="1">Calculation!F387</f>
        <v/>
      </c>
      <c r="H406" s="176" t="str">
        <f ca="1">Calculation!AD387</f>
        <v/>
      </c>
      <c r="I406" s="177" t="str">
        <f ca="1">Calculation!AE387</f>
        <v/>
      </c>
      <c r="J406" s="272" t="str">
        <f ca="1">IF(Calculation!Q387="","Selection",Calculation!Q387)</f>
        <v>Selection</v>
      </c>
      <c r="K406" s="179" t="str">
        <f ca="1">Calculation!T387</f>
        <v/>
      </c>
      <c r="L406" s="180" t="str">
        <f ca="1">Calculation!U387</f>
        <v>-</v>
      </c>
      <c r="M406" s="180" t="str">
        <f ca="1">Calculation!V387</f>
        <v>-</v>
      </c>
      <c r="N406" s="181"/>
      <c r="O406" s="180" t="str">
        <f ca="1">Calculation!X387</f>
        <v>-</v>
      </c>
      <c r="P406" s="180" t="str">
        <f ca="1">Calculation!Y387</f>
        <v>-</v>
      </c>
      <c r="Q406" s="273"/>
      <c r="R406" s="182" t="str">
        <f ca="1">IF(AND(L406&lt;&gt;"-",Q406&lt;&gt;"bypass"),IFERROR(IF((U406*$R$23/0.05)-SUM(S406:U406)&gt;0,(U406*$R$23/0.05)-SUM(S406:U406),0),"-"),Calculation!AH387)</f>
        <v>-</v>
      </c>
      <c r="S406" s="179" t="str">
        <f ca="1">IF(AND(L406&lt;&gt;"-",Q406&lt;&gt;"bypass"),IFERROR(X406*((H406*10^-12-H406*10^-12*I406)/(Calculation!$U$8*10^-9)),"-"),Calculation!AF387)</f>
        <v>-</v>
      </c>
      <c r="T406" s="179" t="str">
        <f ca="1">IF(AND(L406&lt;&gt;"-",Q406&lt;&gt;"bypass"),IFERROR(H406*I406*X406/(IF(Cluster!AA406=Cluster!$W$8,Cluster!$W$10,IF(Cluster!AA406=Cluster!$X$8,Cluster!$X$10,IF(Cluster!AA406=Cluster!$Y$8,Cluster!$Y$10,0)))*10^3),"-"),Calculation!AK387)</f>
        <v>-</v>
      </c>
      <c r="U406" s="179" t="str">
        <f ca="1">IF(AND(L406&lt;&gt;"-",Q406&lt;&gt;"bypass"),IFERROR((0.5/50)*X406/$R$23,"-"),Calculation!AG387)</f>
        <v>-</v>
      </c>
      <c r="V406" s="179" t="str">
        <f ca="1">IF(AND(L406&lt;&gt;"-",Q406&lt;&gt;"bypass"),IFERROR(5/50*X406,"-"),Calculation!AI387)</f>
        <v>-</v>
      </c>
      <c r="W406" s="179" t="str">
        <f ca="1">IF(AND(L406&lt;&gt;"-",Q406&lt;&gt;"bypass"),IFERROR(35/50*X406,"-"),Calculation!AJ387)</f>
        <v>-</v>
      </c>
      <c r="X406" s="179" t="str">
        <f ca="1">IF(AND(L406&lt;&gt;"-",Q406&lt;&gt;"bypass"),$W$23,Calculation!AL387)</f>
        <v>-</v>
      </c>
      <c r="Y406" s="183" t="str">
        <f ca="1">IF(AND(L406&lt;&gt;"-",Q406&lt;&gt;"bypass"),IFERROR($R$23*U406/SUM(R406:U406),"-"),Calculation!AP387)</f>
        <v>-</v>
      </c>
      <c r="Z406" s="184" t="str">
        <f t="shared" ca="1" si="25"/>
        <v>-</v>
      </c>
      <c r="AA406" s="185" t="str">
        <f ca="1">IFERROR(IF(I406=0,"-",IF(AND(ROUND(H406*I406*X406/($W$10*10^3),1)&gt;=Calculation!$O$6,ROUND((((U406)*$R$23/0.05)-((S406)+(H406*I406*X406/($W$10*10^3))+(U406))),1)&gt;=0),Cluster!$W$8,IF(AND(ROUND(H406*I406*X406/($X$10*10^3),1)&gt;=Calculation!$O$6,ROUND((((U406)*$R$23/0.05)-((S406)+(H406*I406*X406/($X$10*10^3))+(U406))),1)&gt;=0),Cluster!$X$8,IF(AND(ROUND(H406*I406*X406/($Y$10*10^3),1)&gt;=Calculation!$O$6,ROUND((((U406)*$R$23/0.05)-((S406)+(H406*I406*X406/($Y$10*10^3))+(U406))),1)&gt;=0),Cluster!$Y$8,"Recepie by hand needed")))),"-")</f>
        <v>-</v>
      </c>
      <c r="AC406" s="37" t="str">
        <f t="shared" ca="1" si="26"/>
        <v>-</v>
      </c>
      <c r="AD406" s="37" t="str">
        <f t="shared" ca="1" si="27"/>
        <v>-</v>
      </c>
      <c r="AE406" s="220" t="str">
        <f t="shared" ca="1" si="28"/>
        <v>-</v>
      </c>
      <c r="AF406" s="37" t="str">
        <f t="shared" ca="1" si="29"/>
        <v>-</v>
      </c>
    </row>
    <row r="407" spans="1:32" ht="13.5" customHeight="1" x14ac:dyDescent="0.5">
      <c r="A407" s="170" t="str">
        <f>Calculation!I388</f>
        <v/>
      </c>
      <c r="B407" s="221" t="str">
        <f ca="1">Calculation!B388</f>
        <v/>
      </c>
      <c r="C407" s="221" t="str">
        <f ca="1">Calculation!C388</f>
        <v/>
      </c>
      <c r="D407" s="172" t="str">
        <f ca="1">Calculation!AN388</f>
        <v/>
      </c>
      <c r="E407" s="173" t="str">
        <f ca="1">Calculation!D388</f>
        <v/>
      </c>
      <c r="F407" s="174" t="str">
        <f ca="1">Calculation!C388</f>
        <v/>
      </c>
      <c r="G407" s="175" t="str">
        <f ca="1">Calculation!F388</f>
        <v/>
      </c>
      <c r="H407" s="176" t="str">
        <f ca="1">Calculation!AD388</f>
        <v/>
      </c>
      <c r="I407" s="177" t="str">
        <f ca="1">Calculation!AE388</f>
        <v/>
      </c>
      <c r="J407" s="272" t="str">
        <f ca="1">IF(Calculation!Q388="","Selection",Calculation!Q388)</f>
        <v>Selection</v>
      </c>
      <c r="K407" s="179" t="str">
        <f ca="1">Calculation!T388</f>
        <v/>
      </c>
      <c r="L407" s="180" t="str">
        <f ca="1">Calculation!U388</f>
        <v>-</v>
      </c>
      <c r="M407" s="180" t="str">
        <f ca="1">Calculation!V388</f>
        <v>-</v>
      </c>
      <c r="N407" s="181"/>
      <c r="O407" s="180" t="str">
        <f ca="1">Calculation!X388</f>
        <v>-</v>
      </c>
      <c r="P407" s="180" t="str">
        <f ca="1">Calculation!Y388</f>
        <v>-</v>
      </c>
      <c r="Q407" s="273"/>
      <c r="R407" s="182" t="str">
        <f ca="1">IF(AND(L407&lt;&gt;"-",Q407&lt;&gt;"bypass"),IFERROR(IF((U407*$R$23/0.05)-SUM(S407:U407)&gt;0,(U407*$R$23/0.05)-SUM(S407:U407),0),"-"),Calculation!AH388)</f>
        <v>-</v>
      </c>
      <c r="S407" s="179" t="str">
        <f ca="1">IF(AND(L407&lt;&gt;"-",Q407&lt;&gt;"bypass"),IFERROR(X407*((H407*10^-12-H407*10^-12*I407)/(Calculation!$U$8*10^-9)),"-"),Calculation!AF388)</f>
        <v>-</v>
      </c>
      <c r="T407" s="179" t="str">
        <f ca="1">IF(AND(L407&lt;&gt;"-",Q407&lt;&gt;"bypass"),IFERROR(H407*I407*X407/(IF(Cluster!AA407=Cluster!$W$8,Cluster!$W$10,IF(Cluster!AA407=Cluster!$X$8,Cluster!$X$10,IF(Cluster!AA407=Cluster!$Y$8,Cluster!$Y$10,0)))*10^3),"-"),Calculation!AK388)</f>
        <v>-</v>
      </c>
      <c r="U407" s="179" t="str">
        <f ca="1">IF(AND(L407&lt;&gt;"-",Q407&lt;&gt;"bypass"),IFERROR((0.5/50)*X407/$R$23,"-"),Calculation!AG388)</f>
        <v>-</v>
      </c>
      <c r="V407" s="179" t="str">
        <f ca="1">IF(AND(L407&lt;&gt;"-",Q407&lt;&gt;"bypass"),IFERROR(5/50*X407,"-"),Calculation!AI388)</f>
        <v>-</v>
      </c>
      <c r="W407" s="179" t="str">
        <f ca="1">IF(AND(L407&lt;&gt;"-",Q407&lt;&gt;"bypass"),IFERROR(35/50*X407,"-"),Calculation!AJ388)</f>
        <v>-</v>
      </c>
      <c r="X407" s="179" t="str">
        <f ca="1">IF(AND(L407&lt;&gt;"-",Q407&lt;&gt;"bypass"),$W$23,Calculation!AL388)</f>
        <v>-</v>
      </c>
      <c r="Y407" s="183" t="str">
        <f ca="1">IF(AND(L407&lt;&gt;"-",Q407&lt;&gt;"bypass"),IFERROR($R$23*U407/SUM(R407:U407),"-"),Calculation!AP388)</f>
        <v>-</v>
      </c>
      <c r="Z407" s="184" t="str">
        <f t="shared" ca="1" si="25"/>
        <v>-</v>
      </c>
      <c r="AA407" s="185" t="str">
        <f ca="1">IFERROR(IF(I407=0,"-",IF(AND(ROUND(H407*I407*X407/($W$10*10^3),1)&gt;=Calculation!$O$6,ROUND((((U407)*$R$23/0.05)-((S407)+(H407*I407*X407/($W$10*10^3))+(U407))),1)&gt;=0),Cluster!$W$8,IF(AND(ROUND(H407*I407*X407/($X$10*10^3),1)&gt;=Calculation!$O$6,ROUND((((U407)*$R$23/0.05)-((S407)+(H407*I407*X407/($X$10*10^3))+(U407))),1)&gt;=0),Cluster!$X$8,IF(AND(ROUND(H407*I407*X407/($Y$10*10^3),1)&gt;=Calculation!$O$6,ROUND((((U407)*$R$23/0.05)-((S407)+(H407*I407*X407/($Y$10*10^3))+(U407))),1)&gt;=0),Cluster!$Y$8,"Recepie by hand needed")))),"-")</f>
        <v>-</v>
      </c>
      <c r="AC407" s="37" t="str">
        <f t="shared" ca="1" si="26"/>
        <v>-</v>
      </c>
      <c r="AD407" s="37" t="str">
        <f t="shared" ca="1" si="27"/>
        <v>-</v>
      </c>
      <c r="AE407" s="220" t="str">
        <f t="shared" ca="1" si="28"/>
        <v>-</v>
      </c>
      <c r="AF407" s="37" t="str">
        <f t="shared" ca="1" si="29"/>
        <v>-</v>
      </c>
    </row>
    <row r="408" spans="1:32" ht="13.5" customHeight="1" x14ac:dyDescent="0.5">
      <c r="A408" s="170" t="str">
        <f>Calculation!I389</f>
        <v/>
      </c>
      <c r="B408" s="221" t="str">
        <f ca="1">Calculation!B389</f>
        <v/>
      </c>
      <c r="C408" s="221" t="str">
        <f ca="1">Calculation!C389</f>
        <v/>
      </c>
      <c r="D408" s="172" t="str">
        <f ca="1">Calculation!AN389</f>
        <v/>
      </c>
      <c r="E408" s="173" t="str">
        <f ca="1">Calculation!D389</f>
        <v/>
      </c>
      <c r="F408" s="174" t="str">
        <f ca="1">Calculation!C389</f>
        <v/>
      </c>
      <c r="G408" s="175" t="str">
        <f ca="1">Calculation!F389</f>
        <v/>
      </c>
      <c r="H408" s="176" t="str">
        <f ca="1">Calculation!AD389</f>
        <v/>
      </c>
      <c r="I408" s="177" t="str">
        <f ca="1">Calculation!AE389</f>
        <v/>
      </c>
      <c r="J408" s="272" t="str">
        <f ca="1">IF(Calculation!Q389="","Selection",Calculation!Q389)</f>
        <v>Selection</v>
      </c>
      <c r="K408" s="179" t="str">
        <f ca="1">Calculation!T389</f>
        <v/>
      </c>
      <c r="L408" s="180" t="str">
        <f ca="1">Calculation!U389</f>
        <v>-</v>
      </c>
      <c r="M408" s="180" t="str">
        <f ca="1">Calculation!V389</f>
        <v>-</v>
      </c>
      <c r="N408" s="181"/>
      <c r="O408" s="180" t="str">
        <f ca="1">Calculation!X389</f>
        <v>-</v>
      </c>
      <c r="P408" s="180" t="str">
        <f ca="1">Calculation!Y389</f>
        <v>-</v>
      </c>
      <c r="Q408" s="273"/>
      <c r="R408" s="182" t="str">
        <f ca="1">IF(AND(L408&lt;&gt;"-",Q408&lt;&gt;"bypass"),IFERROR(IF((U408*$R$23/0.05)-SUM(S408:U408)&gt;0,(U408*$R$23/0.05)-SUM(S408:U408),0),"-"),Calculation!AH389)</f>
        <v>-</v>
      </c>
      <c r="S408" s="179" t="str">
        <f ca="1">IF(AND(L408&lt;&gt;"-",Q408&lt;&gt;"bypass"),IFERROR(X408*((H408*10^-12-H408*10^-12*I408)/(Calculation!$U$8*10^-9)),"-"),Calculation!AF389)</f>
        <v>-</v>
      </c>
      <c r="T408" s="179" t="str">
        <f ca="1">IF(AND(L408&lt;&gt;"-",Q408&lt;&gt;"bypass"),IFERROR(H408*I408*X408/(IF(Cluster!AA408=Cluster!$W$8,Cluster!$W$10,IF(Cluster!AA408=Cluster!$X$8,Cluster!$X$10,IF(Cluster!AA408=Cluster!$Y$8,Cluster!$Y$10,0)))*10^3),"-"),Calculation!AK389)</f>
        <v>-</v>
      </c>
      <c r="U408" s="179" t="str">
        <f ca="1">IF(AND(L408&lt;&gt;"-",Q408&lt;&gt;"bypass"),IFERROR((0.5/50)*X408/$R$23,"-"),Calculation!AG389)</f>
        <v>-</v>
      </c>
      <c r="V408" s="179" t="str">
        <f ca="1">IF(AND(L408&lt;&gt;"-",Q408&lt;&gt;"bypass"),IFERROR(5/50*X408,"-"),Calculation!AI389)</f>
        <v>-</v>
      </c>
      <c r="W408" s="179" t="str">
        <f ca="1">IF(AND(L408&lt;&gt;"-",Q408&lt;&gt;"bypass"),IFERROR(35/50*X408,"-"),Calculation!AJ389)</f>
        <v>-</v>
      </c>
      <c r="X408" s="179" t="str">
        <f ca="1">IF(AND(L408&lt;&gt;"-",Q408&lt;&gt;"bypass"),$W$23,Calculation!AL389)</f>
        <v>-</v>
      </c>
      <c r="Y408" s="183" t="str">
        <f ca="1">IF(AND(L408&lt;&gt;"-",Q408&lt;&gt;"bypass"),IFERROR($R$23*U408/SUM(R408:U408),"-"),Calculation!AP389)</f>
        <v>-</v>
      </c>
      <c r="Z408" s="184" t="str">
        <f t="shared" ca="1" si="25"/>
        <v>-</v>
      </c>
      <c r="AA408" s="185" t="str">
        <f ca="1">IFERROR(IF(I408=0,"-",IF(AND(ROUND(H408*I408*X408/($W$10*10^3),1)&gt;=Calculation!$O$6,ROUND((((U408)*$R$23/0.05)-((S408)+(H408*I408*X408/($W$10*10^3))+(U408))),1)&gt;=0),Cluster!$W$8,IF(AND(ROUND(H408*I408*X408/($X$10*10^3),1)&gt;=Calculation!$O$6,ROUND((((U408)*$R$23/0.05)-((S408)+(H408*I408*X408/($X$10*10^3))+(U408))),1)&gt;=0),Cluster!$X$8,IF(AND(ROUND(H408*I408*X408/($Y$10*10^3),1)&gt;=Calculation!$O$6,ROUND((((U408)*$R$23/0.05)-((S408)+(H408*I408*X408/($Y$10*10^3))+(U408))),1)&gt;=0),Cluster!$Y$8,"Recepie by hand needed")))),"-")</f>
        <v>-</v>
      </c>
      <c r="AC408" s="37" t="str">
        <f t="shared" ca="1" si="26"/>
        <v>-</v>
      </c>
      <c r="AD408" s="37" t="str">
        <f t="shared" ca="1" si="27"/>
        <v>-</v>
      </c>
      <c r="AE408" s="220" t="str">
        <f t="shared" ca="1" si="28"/>
        <v>-</v>
      </c>
      <c r="AF408" s="37" t="str">
        <f t="shared" ca="1" si="29"/>
        <v>-</v>
      </c>
    </row>
    <row r="409" spans="1:32" ht="13.5" customHeight="1" x14ac:dyDescent="0.5">
      <c r="A409" s="170" t="str">
        <f>Calculation!I390</f>
        <v/>
      </c>
      <c r="B409" s="221" t="str">
        <f ca="1">Calculation!B390</f>
        <v/>
      </c>
      <c r="C409" s="221" t="str">
        <f ca="1">Calculation!C390</f>
        <v/>
      </c>
      <c r="D409" s="172" t="str">
        <f ca="1">Calculation!AN390</f>
        <v/>
      </c>
      <c r="E409" s="173" t="str">
        <f ca="1">Calculation!D390</f>
        <v/>
      </c>
      <c r="F409" s="174" t="str">
        <f ca="1">Calculation!C390</f>
        <v/>
      </c>
      <c r="G409" s="175" t="str">
        <f ca="1">Calculation!F390</f>
        <v/>
      </c>
      <c r="H409" s="176" t="str">
        <f ca="1">Calculation!AD390</f>
        <v/>
      </c>
      <c r="I409" s="177" t="str">
        <f ca="1">Calculation!AE390</f>
        <v/>
      </c>
      <c r="J409" s="272" t="str">
        <f ca="1">IF(Calculation!Q390="","Selection",Calculation!Q390)</f>
        <v>Selection</v>
      </c>
      <c r="K409" s="179" t="str">
        <f ca="1">Calculation!T390</f>
        <v/>
      </c>
      <c r="L409" s="180" t="str">
        <f ca="1">Calculation!U390</f>
        <v>-</v>
      </c>
      <c r="M409" s="180" t="str">
        <f ca="1">Calculation!V390</f>
        <v>-</v>
      </c>
      <c r="N409" s="181"/>
      <c r="O409" s="180" t="str">
        <f ca="1">Calculation!X390</f>
        <v>-</v>
      </c>
      <c r="P409" s="180" t="str">
        <f ca="1">Calculation!Y390</f>
        <v>-</v>
      </c>
      <c r="Q409" s="273"/>
      <c r="R409" s="182" t="str">
        <f ca="1">IF(AND(L409&lt;&gt;"-",Q409&lt;&gt;"bypass"),IFERROR(IF((U409*$R$23/0.05)-SUM(S409:U409)&gt;0,(U409*$R$23/0.05)-SUM(S409:U409),0),"-"),Calculation!AH390)</f>
        <v>-</v>
      </c>
      <c r="S409" s="179" t="str">
        <f ca="1">IF(AND(L409&lt;&gt;"-",Q409&lt;&gt;"bypass"),IFERROR(X409*((H409*10^-12-H409*10^-12*I409)/(Calculation!$U$8*10^-9)),"-"),Calculation!AF390)</f>
        <v>-</v>
      </c>
      <c r="T409" s="179" t="str">
        <f ca="1">IF(AND(L409&lt;&gt;"-",Q409&lt;&gt;"bypass"),IFERROR(H409*I409*X409/(IF(Cluster!AA409=Cluster!$W$8,Cluster!$W$10,IF(Cluster!AA409=Cluster!$X$8,Cluster!$X$10,IF(Cluster!AA409=Cluster!$Y$8,Cluster!$Y$10,0)))*10^3),"-"),Calculation!AK390)</f>
        <v>-</v>
      </c>
      <c r="U409" s="179" t="str">
        <f ca="1">IF(AND(L409&lt;&gt;"-",Q409&lt;&gt;"bypass"),IFERROR((0.5/50)*X409/$R$23,"-"),Calculation!AG390)</f>
        <v>-</v>
      </c>
      <c r="V409" s="179" t="str">
        <f ca="1">IF(AND(L409&lt;&gt;"-",Q409&lt;&gt;"bypass"),IFERROR(5/50*X409,"-"),Calculation!AI390)</f>
        <v>-</v>
      </c>
      <c r="W409" s="179" t="str">
        <f ca="1">IF(AND(L409&lt;&gt;"-",Q409&lt;&gt;"bypass"),IFERROR(35/50*X409,"-"),Calculation!AJ390)</f>
        <v>-</v>
      </c>
      <c r="X409" s="179" t="str">
        <f ca="1">IF(AND(L409&lt;&gt;"-",Q409&lt;&gt;"bypass"),$W$23,Calculation!AL390)</f>
        <v>-</v>
      </c>
      <c r="Y409" s="183" t="str">
        <f ca="1">IF(AND(L409&lt;&gt;"-",Q409&lt;&gt;"bypass"),IFERROR($R$23*U409/SUM(R409:U409),"-"),Calculation!AP390)</f>
        <v>-</v>
      </c>
      <c r="Z409" s="184" t="str">
        <f t="shared" ca="1" si="25"/>
        <v>-</v>
      </c>
      <c r="AA409" s="185" t="str">
        <f ca="1">IFERROR(IF(I409=0,"-",IF(AND(ROUND(H409*I409*X409/($W$10*10^3),1)&gt;=Calculation!$O$6,ROUND((((U409)*$R$23/0.05)-((S409)+(H409*I409*X409/($W$10*10^3))+(U409))),1)&gt;=0),Cluster!$W$8,IF(AND(ROUND(H409*I409*X409/($X$10*10^3),1)&gt;=Calculation!$O$6,ROUND((((U409)*$R$23/0.05)-((S409)+(H409*I409*X409/($X$10*10^3))+(U409))),1)&gt;=0),Cluster!$X$8,IF(AND(ROUND(H409*I409*X409/($Y$10*10^3),1)&gt;=Calculation!$O$6,ROUND((((U409)*$R$23/0.05)-((S409)+(H409*I409*X409/($Y$10*10^3))+(U409))),1)&gt;=0),Cluster!$Y$8,"Recepie by hand needed")))),"-")</f>
        <v>-</v>
      </c>
      <c r="AC409" s="37" t="str">
        <f t="shared" ca="1" si="26"/>
        <v>-</v>
      </c>
      <c r="AD409" s="37" t="str">
        <f t="shared" ca="1" si="27"/>
        <v>-</v>
      </c>
      <c r="AE409" s="220" t="str">
        <f t="shared" ca="1" si="28"/>
        <v>-</v>
      </c>
      <c r="AF409" s="37" t="str">
        <f t="shared" ca="1" si="29"/>
        <v>-</v>
      </c>
    </row>
    <row r="410" spans="1:32" ht="13.5" customHeight="1" x14ac:dyDescent="0.5">
      <c r="A410" s="170" t="str">
        <f>Calculation!I391</f>
        <v/>
      </c>
      <c r="B410" s="221" t="str">
        <f ca="1">Calculation!B391</f>
        <v/>
      </c>
      <c r="C410" s="221" t="str">
        <f ca="1">Calculation!C391</f>
        <v/>
      </c>
      <c r="D410" s="172" t="str">
        <f ca="1">Calculation!AN391</f>
        <v/>
      </c>
      <c r="E410" s="173" t="str">
        <f ca="1">Calculation!D391</f>
        <v/>
      </c>
      <c r="F410" s="174" t="str">
        <f ca="1">Calculation!C391</f>
        <v/>
      </c>
      <c r="G410" s="175" t="str">
        <f ca="1">Calculation!F391</f>
        <v/>
      </c>
      <c r="H410" s="176" t="str">
        <f ca="1">Calculation!AD391</f>
        <v/>
      </c>
      <c r="I410" s="177" t="str">
        <f ca="1">Calculation!AE391</f>
        <v/>
      </c>
      <c r="J410" s="272" t="str">
        <f ca="1">IF(Calculation!Q391="","Selection",Calculation!Q391)</f>
        <v>Selection</v>
      </c>
      <c r="K410" s="179" t="str">
        <f ca="1">Calculation!T391</f>
        <v/>
      </c>
      <c r="L410" s="180" t="str">
        <f ca="1">Calculation!U391</f>
        <v>-</v>
      </c>
      <c r="M410" s="180" t="str">
        <f ca="1">Calculation!V391</f>
        <v>-</v>
      </c>
      <c r="N410" s="181"/>
      <c r="O410" s="180" t="str">
        <f ca="1">Calculation!X391</f>
        <v>-</v>
      </c>
      <c r="P410" s="180" t="str">
        <f ca="1">Calculation!Y391</f>
        <v>-</v>
      </c>
      <c r="Q410" s="273"/>
      <c r="R410" s="182" t="str">
        <f ca="1">IF(AND(L410&lt;&gt;"-",Q410&lt;&gt;"bypass"),IFERROR(IF((U410*$R$23/0.05)-SUM(S410:U410)&gt;0,(U410*$R$23/0.05)-SUM(S410:U410),0),"-"),Calculation!AH391)</f>
        <v>-</v>
      </c>
      <c r="S410" s="179" t="str">
        <f ca="1">IF(AND(L410&lt;&gt;"-",Q410&lt;&gt;"bypass"),IFERROR(X410*((H410*10^-12-H410*10^-12*I410)/(Calculation!$U$8*10^-9)),"-"),Calculation!AF391)</f>
        <v>-</v>
      </c>
      <c r="T410" s="179" t="str">
        <f ca="1">IF(AND(L410&lt;&gt;"-",Q410&lt;&gt;"bypass"),IFERROR(H410*I410*X410/(IF(Cluster!AA410=Cluster!$W$8,Cluster!$W$10,IF(Cluster!AA410=Cluster!$X$8,Cluster!$X$10,IF(Cluster!AA410=Cluster!$Y$8,Cluster!$Y$10,0)))*10^3),"-"),Calculation!AK391)</f>
        <v>-</v>
      </c>
      <c r="U410" s="179" t="str">
        <f ca="1">IF(AND(L410&lt;&gt;"-",Q410&lt;&gt;"bypass"),IFERROR((0.5/50)*X410/$R$23,"-"),Calculation!AG391)</f>
        <v>-</v>
      </c>
      <c r="V410" s="179" t="str">
        <f ca="1">IF(AND(L410&lt;&gt;"-",Q410&lt;&gt;"bypass"),IFERROR(5/50*X410,"-"),Calculation!AI391)</f>
        <v>-</v>
      </c>
      <c r="W410" s="179" t="str">
        <f ca="1">IF(AND(L410&lt;&gt;"-",Q410&lt;&gt;"bypass"),IFERROR(35/50*X410,"-"),Calculation!AJ391)</f>
        <v>-</v>
      </c>
      <c r="X410" s="179" t="str">
        <f ca="1">IF(AND(L410&lt;&gt;"-",Q410&lt;&gt;"bypass"),$W$23,Calculation!AL391)</f>
        <v>-</v>
      </c>
      <c r="Y410" s="183" t="str">
        <f ca="1">IF(AND(L410&lt;&gt;"-",Q410&lt;&gt;"bypass"),IFERROR($R$23*U410/SUM(R410:U410),"-"),Calculation!AP391)</f>
        <v>-</v>
      </c>
      <c r="Z410" s="184" t="str">
        <f t="shared" ca="1" si="25"/>
        <v>-</v>
      </c>
      <c r="AA410" s="185" t="str">
        <f ca="1">IFERROR(IF(I410=0,"-",IF(AND(ROUND(H410*I410*X410/($W$10*10^3),1)&gt;=Calculation!$O$6,ROUND((((U410)*$R$23/0.05)-((S410)+(H410*I410*X410/($W$10*10^3))+(U410))),1)&gt;=0),Cluster!$W$8,IF(AND(ROUND(H410*I410*X410/($X$10*10^3),1)&gt;=Calculation!$O$6,ROUND((((U410)*$R$23/0.05)-((S410)+(H410*I410*X410/($X$10*10^3))+(U410))),1)&gt;=0),Cluster!$X$8,IF(AND(ROUND(H410*I410*X410/($Y$10*10^3),1)&gt;=Calculation!$O$6,ROUND((((U410)*$R$23/0.05)-((S410)+(H410*I410*X410/($Y$10*10^3))+(U410))),1)&gt;=0),Cluster!$Y$8,"Recepie by hand needed")))),"-")</f>
        <v>-</v>
      </c>
      <c r="AC410" s="37" t="str">
        <f t="shared" ca="1" si="26"/>
        <v>-</v>
      </c>
      <c r="AD410" s="37" t="str">
        <f t="shared" ca="1" si="27"/>
        <v>-</v>
      </c>
      <c r="AE410" s="220" t="str">
        <f t="shared" ca="1" si="28"/>
        <v>-</v>
      </c>
      <c r="AF410" s="37" t="str">
        <f t="shared" ca="1" si="29"/>
        <v>-</v>
      </c>
    </row>
    <row r="411" spans="1:32" ht="13.5" customHeight="1" x14ac:dyDescent="0.5">
      <c r="A411" s="170" t="str">
        <f>Calculation!I392</f>
        <v/>
      </c>
      <c r="B411" s="221" t="str">
        <f ca="1">Calculation!B392</f>
        <v/>
      </c>
      <c r="C411" s="221" t="str">
        <f ca="1">Calculation!C392</f>
        <v/>
      </c>
      <c r="D411" s="172" t="str">
        <f ca="1">Calculation!AN392</f>
        <v/>
      </c>
      <c r="E411" s="173" t="str">
        <f ca="1">Calculation!D392</f>
        <v/>
      </c>
      <c r="F411" s="174" t="str">
        <f ca="1">Calculation!C392</f>
        <v/>
      </c>
      <c r="G411" s="175" t="str">
        <f ca="1">Calculation!F392</f>
        <v/>
      </c>
      <c r="H411" s="176" t="str">
        <f ca="1">Calculation!AD392</f>
        <v/>
      </c>
      <c r="I411" s="177" t="str">
        <f ca="1">Calculation!AE392</f>
        <v/>
      </c>
      <c r="J411" s="272" t="str">
        <f ca="1">IF(Calculation!Q392="","Selection",Calculation!Q392)</f>
        <v>Selection</v>
      </c>
      <c r="K411" s="179" t="str">
        <f ca="1">Calculation!T392</f>
        <v/>
      </c>
      <c r="L411" s="180" t="str">
        <f ca="1">Calculation!U392</f>
        <v>-</v>
      </c>
      <c r="M411" s="180" t="str">
        <f ca="1">Calculation!V392</f>
        <v>-</v>
      </c>
      <c r="N411" s="181"/>
      <c r="O411" s="180" t="str">
        <f ca="1">Calculation!X392</f>
        <v>-</v>
      </c>
      <c r="P411" s="180" t="str">
        <f ca="1">Calculation!Y392</f>
        <v>-</v>
      </c>
      <c r="Q411" s="273"/>
      <c r="R411" s="182" t="str">
        <f ca="1">IF(AND(L411&lt;&gt;"-",Q411&lt;&gt;"bypass"),IFERROR(IF((U411*$R$23/0.05)-SUM(S411:U411)&gt;0,(U411*$R$23/0.05)-SUM(S411:U411),0),"-"),Calculation!AH392)</f>
        <v>-</v>
      </c>
      <c r="S411" s="179" t="str">
        <f ca="1">IF(AND(L411&lt;&gt;"-",Q411&lt;&gt;"bypass"),IFERROR(X411*((H411*10^-12-H411*10^-12*I411)/(Calculation!$U$8*10^-9)),"-"),Calculation!AF392)</f>
        <v>-</v>
      </c>
      <c r="T411" s="179" t="str">
        <f ca="1">IF(AND(L411&lt;&gt;"-",Q411&lt;&gt;"bypass"),IFERROR(H411*I411*X411/(IF(Cluster!AA411=Cluster!$W$8,Cluster!$W$10,IF(Cluster!AA411=Cluster!$X$8,Cluster!$X$10,IF(Cluster!AA411=Cluster!$Y$8,Cluster!$Y$10,0)))*10^3),"-"),Calculation!AK392)</f>
        <v>-</v>
      </c>
      <c r="U411" s="179" t="str">
        <f ca="1">IF(AND(L411&lt;&gt;"-",Q411&lt;&gt;"bypass"),IFERROR((0.5/50)*X411/$R$23,"-"),Calculation!AG392)</f>
        <v>-</v>
      </c>
      <c r="V411" s="179" t="str">
        <f ca="1">IF(AND(L411&lt;&gt;"-",Q411&lt;&gt;"bypass"),IFERROR(5/50*X411,"-"),Calculation!AI392)</f>
        <v>-</v>
      </c>
      <c r="W411" s="179" t="str">
        <f ca="1">IF(AND(L411&lt;&gt;"-",Q411&lt;&gt;"bypass"),IFERROR(35/50*X411,"-"),Calculation!AJ392)</f>
        <v>-</v>
      </c>
      <c r="X411" s="179" t="str">
        <f ca="1">IF(AND(L411&lt;&gt;"-",Q411&lt;&gt;"bypass"),$W$23,Calculation!AL392)</f>
        <v>-</v>
      </c>
      <c r="Y411" s="183" t="str">
        <f ca="1">IF(AND(L411&lt;&gt;"-",Q411&lt;&gt;"bypass"),IFERROR($R$23*U411/SUM(R411:U411),"-"),Calculation!AP392)</f>
        <v>-</v>
      </c>
      <c r="Z411" s="184" t="str">
        <f t="shared" ca="1" si="25"/>
        <v>-</v>
      </c>
      <c r="AA411" s="185" t="str">
        <f ca="1">IFERROR(IF(I411=0,"-",IF(AND(ROUND(H411*I411*X411/($W$10*10^3),1)&gt;=Calculation!$O$6,ROUND((((U411)*$R$23/0.05)-((S411)+(H411*I411*X411/($W$10*10^3))+(U411))),1)&gt;=0),Cluster!$W$8,IF(AND(ROUND(H411*I411*X411/($X$10*10^3),1)&gt;=Calculation!$O$6,ROUND((((U411)*$R$23/0.05)-((S411)+(H411*I411*X411/($X$10*10^3))+(U411))),1)&gt;=0),Cluster!$X$8,IF(AND(ROUND(H411*I411*X411/($Y$10*10^3),1)&gt;=Calculation!$O$6,ROUND((((U411)*$R$23/0.05)-((S411)+(H411*I411*X411/($Y$10*10^3))+(U411))),1)&gt;=0),Cluster!$Y$8,"Recepie by hand needed")))),"-")</f>
        <v>-</v>
      </c>
      <c r="AC411" s="37" t="str">
        <f t="shared" ca="1" si="26"/>
        <v>-</v>
      </c>
      <c r="AD411" s="37" t="str">
        <f t="shared" ca="1" si="27"/>
        <v>-</v>
      </c>
      <c r="AE411" s="220" t="str">
        <f t="shared" ca="1" si="28"/>
        <v>-</v>
      </c>
      <c r="AF411" s="37" t="str">
        <f t="shared" ca="1" si="29"/>
        <v>-</v>
      </c>
    </row>
    <row r="412" spans="1:32" ht="13.5" customHeight="1" x14ac:dyDescent="0.5">
      <c r="A412" s="187" t="str">
        <f>Calculation!I393</f>
        <v/>
      </c>
      <c r="B412" s="262" t="str">
        <f ca="1">Calculation!B393</f>
        <v/>
      </c>
      <c r="C412" s="262" t="str">
        <f ca="1">Calculation!C393</f>
        <v/>
      </c>
      <c r="D412" s="189" t="str">
        <f ca="1">Calculation!AN393</f>
        <v/>
      </c>
      <c r="E412" s="190" t="str">
        <f ca="1">Calculation!D393</f>
        <v/>
      </c>
      <c r="F412" s="191" t="str">
        <f ca="1">Calculation!C393</f>
        <v/>
      </c>
      <c r="G412" s="192" t="str">
        <f ca="1">Calculation!F393</f>
        <v/>
      </c>
      <c r="H412" s="193" t="str">
        <f ca="1">Calculation!AD393</f>
        <v/>
      </c>
      <c r="I412" s="194" t="str">
        <f ca="1">Calculation!AE393</f>
        <v/>
      </c>
      <c r="J412" s="274" t="str">
        <f ca="1">IF(Calculation!Q393="","Selection",Calculation!Q393)</f>
        <v>Selection</v>
      </c>
      <c r="K412" s="196" t="str">
        <f ca="1">Calculation!T393</f>
        <v/>
      </c>
      <c r="L412" s="197" t="str">
        <f ca="1">Calculation!U393</f>
        <v>-</v>
      </c>
      <c r="M412" s="197" t="str">
        <f ca="1">Calculation!V393</f>
        <v>-</v>
      </c>
      <c r="N412" s="198"/>
      <c r="O412" s="197" t="str">
        <f ca="1">Calculation!X393</f>
        <v>-</v>
      </c>
      <c r="P412" s="197" t="str">
        <f ca="1">Calculation!Y393</f>
        <v>-</v>
      </c>
      <c r="Q412" s="275"/>
      <c r="R412" s="199" t="str">
        <f ca="1">IF(AND(L412&lt;&gt;"-",Q412&lt;&gt;"bypass"),IFERROR(IF((U412*$R$23/0.05)-SUM(S412:U412)&gt;0,(U412*$R$23/0.05)-SUM(S412:U412),0),"-"),Calculation!AH393)</f>
        <v>-</v>
      </c>
      <c r="S412" s="196" t="str">
        <f ca="1">IF(AND(L412&lt;&gt;"-",Q412&lt;&gt;"bypass"),IFERROR(X412*((H412*10^-12-H412*10^-12*I412)/(Calculation!$U$8*10^-9)),"-"),Calculation!AF393)</f>
        <v>-</v>
      </c>
      <c r="T412" s="196" t="str">
        <f ca="1">IF(AND(L412&lt;&gt;"-",Q412&lt;&gt;"bypass"),IFERROR(H412*I412*X412/(IF(Cluster!AA412=Cluster!$W$8,Cluster!$W$10,IF(Cluster!AA412=Cluster!$X$8,Cluster!$X$10,IF(Cluster!AA412=Cluster!$Y$8,Cluster!$Y$10,0)))*10^3),"-"),Calculation!AK393)</f>
        <v>-</v>
      </c>
      <c r="U412" s="196" t="str">
        <f ca="1">IF(AND(L412&lt;&gt;"-",Q412&lt;&gt;"bypass"),IFERROR((0.5/50)*X412/$R$23,"-"),Calculation!AG393)</f>
        <v>-</v>
      </c>
      <c r="V412" s="196" t="str">
        <f ca="1">IF(AND(L412&lt;&gt;"-",Q412&lt;&gt;"bypass"),IFERROR(5/50*X412,"-"),Calculation!AI393)</f>
        <v>-</v>
      </c>
      <c r="W412" s="196" t="str">
        <f ca="1">IF(AND(L412&lt;&gt;"-",Q412&lt;&gt;"bypass"),IFERROR(35/50*X412,"-"),Calculation!AJ393)</f>
        <v>-</v>
      </c>
      <c r="X412" s="196" t="str">
        <f ca="1">IF(AND(L412&lt;&gt;"-",Q412&lt;&gt;"bypass"),$W$23,Calculation!AL393)</f>
        <v>-</v>
      </c>
      <c r="Y412" s="200" t="str">
        <f ca="1">IF(AND(L412&lt;&gt;"-",Q412&lt;&gt;"bypass"),IFERROR($R$23*U412/SUM(R412:U412),"-"),Calculation!AP393)</f>
        <v>-</v>
      </c>
      <c r="Z412" s="184" t="str">
        <f t="shared" ca="1" si="25"/>
        <v>-</v>
      </c>
      <c r="AA412" s="185" t="str">
        <f ca="1">IFERROR(IF(I412=0,"-",IF(AND(ROUND(H412*I412*X412/($W$10*10^3),1)&gt;=Calculation!$O$6,ROUND((((U412)*$R$23/0.05)-((S412)+(H412*I412*X412/($W$10*10^3))+(U412))),1)&gt;=0),Cluster!$W$8,IF(AND(ROUND(H412*I412*X412/($X$10*10^3),1)&gt;=Calculation!$O$6,ROUND((((U412)*$R$23/0.05)-((S412)+(H412*I412*X412/($X$10*10^3))+(U412))),1)&gt;=0),Cluster!$X$8,IF(AND(ROUND(H412*I412*X412/($Y$10*10^3),1)&gt;=Calculation!$O$6,ROUND((((U412)*$R$23/0.05)-((S412)+(H412*I412*X412/($Y$10*10^3))+(U412))),1)&gt;=0),Cluster!$Y$8,"Recepie by hand needed")))),"-")</f>
        <v>-</v>
      </c>
      <c r="AC412" s="37" t="str">
        <f t="shared" ca="1" si="26"/>
        <v>-</v>
      </c>
      <c r="AD412" s="37" t="str">
        <f t="shared" ca="1" si="27"/>
        <v>-</v>
      </c>
      <c r="AE412" s="220" t="str">
        <f t="shared" ca="1" si="28"/>
        <v>-</v>
      </c>
      <c r="AF412" s="37" t="str">
        <f t="shared" ca="1" si="29"/>
        <v>-</v>
      </c>
    </row>
  </sheetData>
  <mergeCells count="10">
    <mergeCell ref="J4:T8"/>
    <mergeCell ref="AC6:AD6"/>
    <mergeCell ref="W7:Y7"/>
    <mergeCell ref="J11:M12"/>
    <mergeCell ref="J13:M13"/>
    <mergeCell ref="J14:M14"/>
    <mergeCell ref="T21:U21"/>
    <mergeCell ref="L26:M26"/>
    <mergeCell ref="O26:P26"/>
    <mergeCell ref="R26:Y26"/>
  </mergeCells>
  <conditionalFormatting sqref="I29:I412">
    <cfRule type="cellIs" dxfId="38" priority="2" operator="greaterThan">
      <formula>0.01</formula>
    </cfRule>
  </conditionalFormatting>
  <conditionalFormatting sqref="K22:K23">
    <cfRule type="cellIs" dxfId="37" priority="3" operator="equal">
      <formula>"Conflict"</formula>
    </cfRule>
    <cfRule type="cellIs" dxfId="36" priority="4" operator="equal">
      <formula>"OK"</formula>
    </cfRule>
  </conditionalFormatting>
  <conditionalFormatting sqref="Y29:Y412">
    <cfRule type="cellIs" dxfId="35" priority="5" operator="lessThan">
      <formula>0.05</formula>
    </cfRule>
  </conditionalFormatting>
  <conditionalFormatting sqref="J4:U9">
    <cfRule type="cellIs" dxfId="34" priority="6" operator="equal">
      <formula>"More than 96 Flow Cells Lanes"</formula>
    </cfRule>
    <cfRule type="cellIs" dxfId="33" priority="7" operator="equal">
      <formula>"More than 10 plates in TrackIT_Lines"</formula>
    </cfRule>
  </conditionalFormatting>
  <conditionalFormatting sqref="J13">
    <cfRule type="cellIs" dxfId="32" priority="8" operator="equal">
      <formula>"Manual Validation For Lane Format"</formula>
    </cfRule>
  </conditionalFormatting>
  <conditionalFormatting sqref="J14">
    <cfRule type="cellIs" dxfId="31" priority="9" operator="equal">
      <formula>"Index Conflict"</formula>
    </cfRule>
  </conditionalFormatting>
  <conditionalFormatting sqref="X29:X412">
    <cfRule type="cellIs" dxfId="30" priority="10" operator="between">
      <formula>801</formula>
      <formula>1000000</formula>
    </cfRule>
  </conditionalFormatting>
  <conditionalFormatting sqref="L22:L23">
    <cfRule type="expression" dxfId="29" priority="11">
      <formula>AND(OR($L$11="Index Conflict",$L$11="Format and Index Conflict"),$A$29&lt;&gt;"",K22="Conflict")</formula>
    </cfRule>
    <cfRule type="expression" dxfId="28" priority="12">
      <formula>AND(K22="-",OR($L$11="Format Error",$L$11="Format and Index Conflict"))</formula>
    </cfRule>
  </conditionalFormatting>
  <conditionalFormatting sqref="L22:L23">
    <cfRule type="expression" dxfId="27" priority="13">
      <formula>OR($L$11="No Manual Validation", $B$29="")</formula>
    </cfRule>
  </conditionalFormatting>
  <conditionalFormatting sqref="J4:T9">
    <cfRule type="cellIs" dxfId="26" priority="14" operator="equal">
      <formula>"Total number of Flow Cells Lane is wrong!"</formula>
    </cfRule>
  </conditionalFormatting>
  <conditionalFormatting sqref="R29:R412">
    <cfRule type="expression" dxfId="25" priority="15">
      <formula>$L29&lt;&gt;"-"</formula>
    </cfRule>
  </conditionalFormatting>
  <conditionalFormatting sqref="S29:S412">
    <cfRule type="cellIs" dxfId="24" priority="16" operator="greaterThan">
      <formula>12</formula>
    </cfRule>
    <cfRule type="expression" dxfId="23" priority="17">
      <formula>$L29&lt;&gt;"-"</formula>
    </cfRule>
  </conditionalFormatting>
  <conditionalFormatting sqref="T29:Y29">
    <cfRule type="expression" dxfId="22" priority="18">
      <formula>$L29&lt;&gt;"-"</formula>
    </cfRule>
  </conditionalFormatting>
  <conditionalFormatting sqref="T29:T412">
    <cfRule type="cellIs" dxfId="21" priority="19" operator="lessThan">
      <formula>1</formula>
    </cfRule>
    <cfRule type="expression" dxfId="20" priority="20">
      <formula>$L29&lt;&gt;"-"</formula>
    </cfRule>
  </conditionalFormatting>
  <conditionalFormatting sqref="U29:U412">
    <cfRule type="expression" dxfId="19" priority="21">
      <formula>$L29&lt;&gt;"-"</formula>
    </cfRule>
  </conditionalFormatting>
  <conditionalFormatting sqref="V29:V412">
    <cfRule type="expression" dxfId="18" priority="22">
      <formula>$L29&lt;&gt;"-"</formula>
    </cfRule>
  </conditionalFormatting>
  <conditionalFormatting sqref="W29:W412">
    <cfRule type="expression" dxfId="17" priority="23">
      <formula>$L29&lt;&gt;"-"</formula>
    </cfRule>
  </conditionalFormatting>
  <conditionalFormatting sqref="X29:X412">
    <cfRule type="expression" dxfId="16" priority="24">
      <formula>$L29&lt;&gt;"-"</formula>
    </cfRule>
  </conditionalFormatting>
  <conditionalFormatting sqref="Y29:Y412">
    <cfRule type="expression" dxfId="15" priority="25">
      <formula>$L29&lt;&gt;"-"</formula>
    </cfRule>
  </conditionalFormatting>
  <conditionalFormatting sqref="L29:M412">
    <cfRule type="cellIs" dxfId="14" priority="26" operator="notEqual">
      <formula>"-"</formula>
    </cfRule>
  </conditionalFormatting>
  <conditionalFormatting sqref="AA29:AA412">
    <cfRule type="cellIs" dxfId="13" priority="27" operator="equal">
      <formula>"Recepie by hand needed"</formula>
    </cfRule>
  </conditionalFormatting>
  <conditionalFormatting sqref="W10">
    <cfRule type="cellIs" dxfId="12" priority="28" operator="notEqual">
      <formula>$AC$14</formula>
    </cfRule>
  </conditionalFormatting>
  <conditionalFormatting sqref="X10">
    <cfRule type="cellIs" dxfId="11" priority="29" operator="notEqual">
      <formula>$AD$14</formula>
    </cfRule>
  </conditionalFormatting>
  <conditionalFormatting sqref="Y10">
    <cfRule type="cellIs" dxfId="10" priority="30" operator="notEqual">
      <formula>$AE$14</formula>
    </cfRule>
  </conditionalFormatting>
  <dataValidations count="5">
    <dataValidation type="list" allowBlank="1" showInputMessage="1" showErrorMessage="1" sqref="J30:J401">
      <formula1>QC</formula1>
      <formula2>0</formula2>
    </dataValidation>
    <dataValidation type="list" allowBlank="1" showInputMessage="1" showErrorMessage="1" sqref="N29:N412">
      <formula1>$N$27:$N$28</formula1>
      <formula2>0</formula2>
    </dataValidation>
    <dataValidation type="list" allowBlank="1" showInputMessage="1" showErrorMessage="1" sqref="Q29:Q412">
      <formula1>$Q$27:$Q$28</formula1>
      <formula2>0</formula2>
    </dataValidation>
    <dataValidation type="list" showInputMessage="1" showErrorMessage="1" sqref="J29 J402:J412">
      <formula1>QC</formula1>
      <formula2>0</formula2>
    </dataValidation>
    <dataValidation type="list" allowBlank="1" showInputMessage="1" showErrorMessage="1" sqref="L22:L23">
      <formula1>"Index Verified"</formula1>
      <formula2>0</formula2>
    </dataValidation>
  </dataValidations>
  <pageMargins left="0.75" right="0.75" top="1" bottom="1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L22"/>
  <sheetViews>
    <sheetView zoomScaleNormal="100" workbookViewId="0">
      <selection activeCell="D46" sqref="D46"/>
    </sheetView>
  </sheetViews>
  <sheetFormatPr defaultRowHeight="12.5" x14ac:dyDescent="0.5"/>
  <cols>
    <col min="1" max="1" width="18.08984375"/>
    <col min="2" max="2" width="15.76953125"/>
    <col min="3" max="7" width="8.5"/>
    <col min="8" max="8" width="18.08984375"/>
    <col min="9" max="9" width="15.76953125"/>
    <col min="10" max="1025" width="8.5"/>
  </cols>
  <sheetData>
    <row r="1" spans="1:12" x14ac:dyDescent="0.5">
      <c r="D1" s="276" t="s">
        <v>123</v>
      </c>
    </row>
    <row r="2" spans="1:12" x14ac:dyDescent="0.5">
      <c r="A2" s="277" t="s">
        <v>124</v>
      </c>
      <c r="B2" s="277">
        <v>10095</v>
      </c>
      <c r="H2" s="277" t="s">
        <v>124</v>
      </c>
      <c r="I2" s="277">
        <v>10097</v>
      </c>
    </row>
    <row r="3" spans="1:12" x14ac:dyDescent="0.5">
      <c r="A3" s="278" t="s">
        <v>125</v>
      </c>
      <c r="B3" s="279" t="s">
        <v>126</v>
      </c>
      <c r="H3" s="278" t="s">
        <v>125</v>
      </c>
      <c r="I3" s="279" t="s">
        <v>126</v>
      </c>
    </row>
    <row r="4" spans="1:12" x14ac:dyDescent="0.5">
      <c r="A4" s="280" t="s">
        <v>127</v>
      </c>
      <c r="B4" s="280" t="s">
        <v>128</v>
      </c>
      <c r="D4" s="281" t="s">
        <v>129</v>
      </c>
      <c r="E4" s="282" t="s">
        <v>130</v>
      </c>
      <c r="H4" s="280" t="s">
        <v>127</v>
      </c>
      <c r="I4" s="280" t="s">
        <v>131</v>
      </c>
      <c r="K4" s="281" t="s">
        <v>129</v>
      </c>
      <c r="L4" s="282" t="s">
        <v>132</v>
      </c>
    </row>
    <row r="5" spans="1:12" x14ac:dyDescent="0.5">
      <c r="A5" s="280" t="s">
        <v>133</v>
      </c>
      <c r="B5" s="280">
        <v>20206530</v>
      </c>
      <c r="D5" s="281" t="s">
        <v>134</v>
      </c>
      <c r="E5" s="282" t="s">
        <v>135</v>
      </c>
      <c r="H5" s="280" t="s">
        <v>133</v>
      </c>
      <c r="I5" s="280">
        <v>20206530</v>
      </c>
      <c r="K5" s="281" t="s">
        <v>134</v>
      </c>
      <c r="L5" s="282" t="s">
        <v>136</v>
      </c>
    </row>
    <row r="6" spans="1:12" x14ac:dyDescent="0.5">
      <c r="A6" s="283" t="s">
        <v>137</v>
      </c>
      <c r="B6" s="284">
        <v>20195394</v>
      </c>
      <c r="H6" s="283" t="s">
        <v>137</v>
      </c>
      <c r="I6" s="284">
        <v>20195394</v>
      </c>
    </row>
    <row r="7" spans="1:12" x14ac:dyDescent="0.5">
      <c r="A7" s="283" t="s">
        <v>138</v>
      </c>
      <c r="B7" s="284">
        <v>20161163</v>
      </c>
      <c r="H7" s="283" t="s">
        <v>138</v>
      </c>
      <c r="I7" s="284">
        <v>20161163</v>
      </c>
    </row>
    <row r="8" spans="1:12" x14ac:dyDescent="0.5">
      <c r="A8" s="280" t="s">
        <v>139</v>
      </c>
      <c r="B8" s="284">
        <v>10170177</v>
      </c>
      <c r="H8" s="280" t="s">
        <v>139</v>
      </c>
      <c r="I8" s="284">
        <v>10170177</v>
      </c>
    </row>
    <row r="9" spans="1:12" x14ac:dyDescent="0.5">
      <c r="A9" s="280" t="s">
        <v>140</v>
      </c>
      <c r="B9" s="284">
        <v>20225960</v>
      </c>
      <c r="H9" s="280" t="s">
        <v>140</v>
      </c>
      <c r="I9" s="284">
        <v>20225960</v>
      </c>
    </row>
    <row r="10" spans="1:12" x14ac:dyDescent="0.5">
      <c r="A10" s="280" t="s">
        <v>141</v>
      </c>
      <c r="B10" s="284">
        <v>20235784</v>
      </c>
      <c r="H10" s="280" t="s">
        <v>141</v>
      </c>
      <c r="I10" s="284">
        <v>20235784</v>
      </c>
    </row>
    <row r="11" spans="1:12" x14ac:dyDescent="0.5">
      <c r="A11" s="280" t="s">
        <v>142</v>
      </c>
      <c r="B11" s="284">
        <v>20228538</v>
      </c>
      <c r="H11" s="280" t="s">
        <v>142</v>
      </c>
      <c r="I11" s="284">
        <v>20228538</v>
      </c>
    </row>
    <row r="13" spans="1:12" x14ac:dyDescent="0.5">
      <c r="A13" s="277" t="s">
        <v>124</v>
      </c>
      <c r="B13" s="277">
        <v>10096</v>
      </c>
      <c r="H13" s="277" t="s">
        <v>124</v>
      </c>
      <c r="I13" s="277">
        <v>10098</v>
      </c>
    </row>
    <row r="14" spans="1:12" x14ac:dyDescent="0.5">
      <c r="A14" s="278" t="s">
        <v>125</v>
      </c>
      <c r="B14" s="279" t="s">
        <v>126</v>
      </c>
      <c r="H14" s="278" t="s">
        <v>125</v>
      </c>
      <c r="I14" s="279" t="s">
        <v>126</v>
      </c>
    </row>
    <row r="15" spans="1:12" x14ac:dyDescent="0.5">
      <c r="A15" s="280" t="s">
        <v>127</v>
      </c>
      <c r="B15" s="280" t="s">
        <v>143</v>
      </c>
      <c r="D15" s="281" t="s">
        <v>129</v>
      </c>
      <c r="E15" s="282" t="s">
        <v>144</v>
      </c>
      <c r="H15" s="280" t="s">
        <v>127</v>
      </c>
      <c r="I15" s="280" t="s">
        <v>145</v>
      </c>
      <c r="K15" s="281" t="s">
        <v>129</v>
      </c>
      <c r="L15" s="282" t="s">
        <v>146</v>
      </c>
    </row>
    <row r="16" spans="1:12" x14ac:dyDescent="0.5">
      <c r="A16" s="280" t="s">
        <v>133</v>
      </c>
      <c r="B16" s="280">
        <v>20206530</v>
      </c>
      <c r="D16" s="281" t="s">
        <v>134</v>
      </c>
      <c r="E16" s="282" t="s">
        <v>135</v>
      </c>
      <c r="H16" s="280" t="s">
        <v>133</v>
      </c>
      <c r="I16" s="280">
        <v>20206530</v>
      </c>
      <c r="K16" s="281" t="s">
        <v>134</v>
      </c>
      <c r="L16" s="282" t="s">
        <v>136</v>
      </c>
    </row>
    <row r="17" spans="1:9" x14ac:dyDescent="0.5">
      <c r="A17" s="283" t="s">
        <v>137</v>
      </c>
      <c r="B17" s="284">
        <v>20195394</v>
      </c>
      <c r="H17" s="283" t="s">
        <v>137</v>
      </c>
      <c r="I17" s="284">
        <v>20195394</v>
      </c>
    </row>
    <row r="18" spans="1:9" x14ac:dyDescent="0.5">
      <c r="A18" s="283" t="s">
        <v>138</v>
      </c>
      <c r="B18" s="284">
        <v>20161163</v>
      </c>
      <c r="H18" s="283" t="s">
        <v>138</v>
      </c>
      <c r="I18" s="284">
        <v>20161163</v>
      </c>
    </row>
    <row r="19" spans="1:9" x14ac:dyDescent="0.5">
      <c r="A19" s="280" t="s">
        <v>139</v>
      </c>
      <c r="B19" s="284">
        <v>10170177</v>
      </c>
      <c r="H19" s="280" t="s">
        <v>139</v>
      </c>
      <c r="I19" s="284">
        <v>10170177</v>
      </c>
    </row>
    <row r="20" spans="1:9" x14ac:dyDescent="0.5">
      <c r="A20" s="280" t="s">
        <v>140</v>
      </c>
      <c r="B20" s="284">
        <v>20225960</v>
      </c>
      <c r="H20" s="280" t="s">
        <v>140</v>
      </c>
      <c r="I20" s="284">
        <v>20225960</v>
      </c>
    </row>
    <row r="21" spans="1:9" x14ac:dyDescent="0.5">
      <c r="A21" s="280" t="s">
        <v>141</v>
      </c>
      <c r="B21" s="284">
        <v>20235784</v>
      </c>
      <c r="H21" s="280" t="s">
        <v>141</v>
      </c>
      <c r="I21" s="284">
        <v>20235784</v>
      </c>
    </row>
    <row r="22" spans="1:9" x14ac:dyDescent="0.5">
      <c r="A22" s="280" t="s">
        <v>142</v>
      </c>
      <c r="B22" s="284">
        <v>20228538</v>
      </c>
      <c r="H22" s="280" t="s">
        <v>142</v>
      </c>
      <c r="I22" s="284">
        <v>20228538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AMK25"/>
  <sheetViews>
    <sheetView topLeftCell="A7" zoomScale="85" zoomScaleNormal="85" workbookViewId="0">
      <selection activeCell="F43" sqref="F43"/>
    </sheetView>
  </sheetViews>
  <sheetFormatPr defaultRowHeight="12.5" x14ac:dyDescent="0.5"/>
  <cols>
    <col min="1" max="9" width="15.26953125" style="35"/>
    <col min="10" max="10" width="16.86328125" style="35"/>
    <col min="11" max="12" width="15.26953125" style="35"/>
    <col min="13" max="1025" width="11.1796875" style="35"/>
  </cols>
  <sheetData>
    <row r="1" spans="1:12" x14ac:dyDescent="0.5">
      <c r="A1"/>
      <c r="B1"/>
      <c r="C1"/>
      <c r="D1"/>
      <c r="E1"/>
      <c r="F1"/>
      <c r="G1"/>
      <c r="H1"/>
      <c r="I1"/>
      <c r="J1"/>
      <c r="K1"/>
      <c r="L1"/>
    </row>
    <row r="2" spans="1:12" ht="15.25" x14ac:dyDescent="0.6">
      <c r="A2" s="285" t="s">
        <v>147</v>
      </c>
      <c r="B2" s="610" t="str">
        <f>Cluster!B5</f>
        <v>10095-10098</v>
      </c>
      <c r="C2" s="610"/>
      <c r="D2"/>
      <c r="E2"/>
      <c r="F2"/>
      <c r="G2"/>
      <c r="H2"/>
      <c r="I2"/>
      <c r="J2"/>
      <c r="K2"/>
      <c r="L2"/>
    </row>
    <row r="3" spans="1:12" x14ac:dyDescent="0.5">
      <c r="A3"/>
      <c r="B3"/>
      <c r="C3"/>
      <c r="D3"/>
      <c r="E3"/>
      <c r="F3"/>
      <c r="G3"/>
      <c r="H3"/>
      <c r="I3"/>
      <c r="J3"/>
      <c r="K3"/>
      <c r="L3"/>
    </row>
    <row r="4" spans="1:12" x14ac:dyDescent="0.5">
      <c r="A4"/>
      <c r="B4"/>
      <c r="C4"/>
      <c r="D4"/>
      <c r="E4"/>
      <c r="F4"/>
      <c r="G4"/>
      <c r="H4"/>
      <c r="I4"/>
      <c r="J4"/>
      <c r="K4"/>
      <c r="L4"/>
    </row>
    <row r="5" spans="1:12" ht="15.25" x14ac:dyDescent="0.6">
      <c r="A5" s="611" t="s">
        <v>148</v>
      </c>
      <c r="B5" s="611"/>
      <c r="C5" s="611"/>
      <c r="D5" s="286"/>
      <c r="E5" s="286"/>
      <c r="F5" s="286"/>
      <c r="G5" s="286"/>
      <c r="H5" s="286"/>
      <c r="I5" s="286"/>
      <c r="J5" s="286"/>
      <c r="K5" s="286"/>
      <c r="L5" s="286"/>
    </row>
    <row r="6" spans="1:12" ht="15" x14ac:dyDescent="0.6">
      <c r="A6" s="287">
        <v>1</v>
      </c>
      <c r="B6" s="288">
        <v>2</v>
      </c>
      <c r="C6" s="289">
        <v>3</v>
      </c>
      <c r="D6" s="288">
        <v>4</v>
      </c>
      <c r="E6" s="289">
        <v>5</v>
      </c>
      <c r="F6" s="288">
        <v>6</v>
      </c>
      <c r="G6" s="289">
        <v>7</v>
      </c>
      <c r="H6" s="288">
        <v>8</v>
      </c>
      <c r="I6" s="289">
        <v>9</v>
      </c>
      <c r="J6" s="288">
        <v>10</v>
      </c>
      <c r="K6" s="289">
        <v>11</v>
      </c>
      <c r="L6" s="290">
        <v>12</v>
      </c>
    </row>
    <row r="7" spans="1:12" ht="15" x14ac:dyDescent="0.6">
      <c r="A7" s="291" t="e">
        <f>ListAndConversion!$R$3</f>
        <v>#DIV/0!</v>
      </c>
      <c r="B7" s="292" t="e">
        <f>ListAndConversion!$R$4</f>
        <v>#DIV/0!</v>
      </c>
      <c r="C7" s="293" t="e">
        <f>ListAndConversion!$R$5</f>
        <v>#DIV/0!</v>
      </c>
      <c r="D7" s="293" t="e">
        <f>ListAndConversion!$R$6</f>
        <v>#DIV/0!</v>
      </c>
      <c r="E7" s="293" t="e">
        <f>ListAndConversion!$R$7</f>
        <v>#DIV/0!</v>
      </c>
      <c r="F7" s="293" t="e">
        <f>ListAndConversion!$R$8</f>
        <v>#DIV/0!</v>
      </c>
      <c r="G7" s="292" t="e">
        <f>ListAndConversion!$R$9</f>
        <v>#DIV/0!</v>
      </c>
      <c r="H7" s="292" t="e">
        <f>ListAndConversion!$R$10</f>
        <v>#DIV/0!</v>
      </c>
      <c r="I7" s="294" t="e">
        <f>ListAndConversion!$R$11</f>
        <v>#DIV/0!</v>
      </c>
      <c r="J7" s="294" t="e">
        <f>ListAndConversion!$R$12</f>
        <v>#DIV/0!</v>
      </c>
      <c r="K7" s="294" t="e">
        <f>ListAndConversion!$R$13</f>
        <v>#DIV/0!</v>
      </c>
      <c r="L7" s="295" t="e">
        <f>ListAndConversion!$R$14</f>
        <v>#DIV/0!</v>
      </c>
    </row>
    <row r="8" spans="1:12" x14ac:dyDescent="0.5">
      <c r="A8"/>
      <c r="B8"/>
      <c r="C8"/>
      <c r="D8"/>
      <c r="E8"/>
      <c r="F8"/>
      <c r="G8"/>
      <c r="H8"/>
      <c r="I8"/>
      <c r="J8"/>
      <c r="K8"/>
      <c r="L8"/>
    </row>
    <row r="9" spans="1:12" x14ac:dyDescent="0.5">
      <c r="A9"/>
      <c r="B9"/>
      <c r="C9"/>
      <c r="D9"/>
      <c r="E9"/>
      <c r="F9"/>
      <c r="G9"/>
      <c r="H9"/>
      <c r="I9"/>
      <c r="J9"/>
      <c r="K9"/>
      <c r="L9"/>
    </row>
    <row r="10" spans="1:12" ht="15.25" x14ac:dyDescent="0.6">
      <c r="A10" s="612" t="s">
        <v>149</v>
      </c>
      <c r="B10" s="612"/>
      <c r="C10" s="612"/>
      <c r="D10" s="117"/>
      <c r="E10" s="90"/>
      <c r="F10"/>
      <c r="G10"/>
      <c r="H10"/>
      <c r="I10"/>
      <c r="J10"/>
      <c r="K10"/>
      <c r="L10"/>
    </row>
    <row r="11" spans="1:12" ht="39.75" customHeight="1" x14ac:dyDescent="0.5">
      <c r="A11" s="296" t="s">
        <v>150</v>
      </c>
      <c r="B11" s="297" t="s">
        <v>150</v>
      </c>
      <c r="C11" s="297" t="s">
        <v>150</v>
      </c>
      <c r="D11" s="297" t="s">
        <v>150</v>
      </c>
      <c r="E11" s="298" t="s">
        <v>151</v>
      </c>
      <c r="F11" s="299" t="s">
        <v>152</v>
      </c>
      <c r="G11" s="300"/>
      <c r="H11" s="301"/>
      <c r="I11"/>
      <c r="J11" s="302" t="s">
        <v>153</v>
      </c>
      <c r="K11" s="302" t="s">
        <v>154</v>
      </c>
      <c r="L11"/>
    </row>
    <row r="12" spans="1:12" ht="39.75" customHeight="1" x14ac:dyDescent="0.5">
      <c r="A12" s="303" t="s">
        <v>155</v>
      </c>
      <c r="B12" s="304" t="e">
        <f ca="1">ListAndConversion!A3</f>
        <v>#DIV/0!</v>
      </c>
      <c r="C12" s="304" t="e">
        <f ca="1">ListAndConversion!A4</f>
        <v>#DIV/0!</v>
      </c>
      <c r="D12" s="304" t="e">
        <f ca="1">ListAndConversion!A5</f>
        <v>#DIV/0!</v>
      </c>
      <c r="E12" s="305" t="s">
        <v>156</v>
      </c>
      <c r="F12" s="306" t="s">
        <v>157</v>
      </c>
      <c r="G12" s="307"/>
      <c r="H12" s="300"/>
      <c r="I12"/>
      <c r="J12" s="308" t="str">
        <f ca="1">CONCATENATE(ROUND(SUM(RunName_Diluent!C2:C481)+4000,0)," µl")</f>
        <v>4000 µl</v>
      </c>
      <c r="K12" s="309" t="str">
        <f ca="1">CONCATENATE(ROUND(SUM(ListAndConversion!CB4:CB387),0)+4000," µl")</f>
        <v>4000 µl</v>
      </c>
      <c r="L12" s="310"/>
    </row>
    <row r="13" spans="1:12" ht="39.75" customHeight="1" x14ac:dyDescent="0.5">
      <c r="A13" s="303" t="s">
        <v>155</v>
      </c>
      <c r="B13" s="304" t="e">
        <f ca="1">ListAndConversion!A6</f>
        <v>#DIV/0!</v>
      </c>
      <c r="C13" s="304" t="e">
        <f ca="1">ListAndConversion!A7</f>
        <v>#DIV/0!</v>
      </c>
      <c r="D13" s="304" t="e">
        <f ca="1">ListAndConversion!A8</f>
        <v>#DIV/0!</v>
      </c>
      <c r="E13" s="304" t="s">
        <v>158</v>
      </c>
      <c r="F13" s="306" t="s">
        <v>159</v>
      </c>
      <c r="G13" s="311"/>
      <c r="H13" s="300"/>
      <c r="I13"/>
      <c r="J13" s="312" t="str">
        <f>CONCATENATE("Vol PHiX Recipe ",Cluster!W8," :")</f>
        <v>Vol PHiX Recipe A :</v>
      </c>
      <c r="K13" s="313" t="str">
        <f>CONCATENATE("Vol PHiX Recipe ",Cluster!X8," :")</f>
        <v>Vol PHiX Recipe B :</v>
      </c>
      <c r="L13" s="314" t="str">
        <f>CONCATENATE("Vol PHiX Recipe ",Cluster!Y8," :")</f>
        <v>Vol PHiX Recipe C :</v>
      </c>
    </row>
    <row r="14" spans="1:12" ht="39.75" customHeight="1" x14ac:dyDescent="0.5">
      <c r="A14" s="315" t="s">
        <v>160</v>
      </c>
      <c r="B14" s="316" t="s">
        <v>161</v>
      </c>
      <c r="C14" s="316" t="s">
        <v>162</v>
      </c>
      <c r="D14" s="317" t="s">
        <v>163</v>
      </c>
      <c r="E14" s="318" t="s">
        <v>164</v>
      </c>
      <c r="F14" s="319" t="s">
        <v>165</v>
      </c>
      <c r="G14" s="300"/>
      <c r="H14" s="301"/>
      <c r="I14"/>
      <c r="J14" s="320" t="str">
        <f ca="1">CONCATENATE(ROUND(IF(SUMIF(ListAndConversion!$CD:$CD,5,ListAndConversion!$CC:$CC)&lt;=0,0,IF((SUMIF(ListAndConversion!$CD:$CD,5,ListAndConversion!$CC:$CC)+40)*Cluster!W10/10&lt;Calculation!$O$6,Calculation!$O$6*10/Cluster!W10,(SUMIF(ListAndConversion!$CD:$CD,5,ListAndConversion!$CC:$CC)+40))),1)," µl")</f>
        <v>0 µl</v>
      </c>
      <c r="K14" s="321" t="str">
        <f ca="1">CONCATENATE(ROUND(IF(SUMIF(ListAndConversion!$CD:$CD,6,ListAndConversion!$CC:$CC)&lt;=0,0,IF((SUMIF(ListAndConversion!$CD:$CD,6,ListAndConversion!$CC:$CC)+40)*Cluster!X10/10&lt;Calculation!$O$6,Calculation!$O$6*10/Cluster!X10,(SUMIF(ListAndConversion!$CD:$CD,6,ListAndConversion!$CC:$CC)+40))),1)," µl")</f>
        <v>0 µl</v>
      </c>
      <c r="L14" s="322" t="str">
        <f ca="1">CONCATENATE(ROUND(IF(SUMIF(ListAndConversion!$CD:$CD,7,ListAndConversion!$CC:$CC)&lt;=0,0,IF((SUMIF(ListAndConversion!$CD:$CD,7,ListAndConversion!$CC:$CC)+40)*Cluster!Y10/10&lt;Calculation!$O$6,Calculation!$O$6*10/Cluster!Y10,(SUMIF(ListAndConversion!$CD:$CD,7,ListAndConversion!$CC:$CC)+40))),1)," µl")</f>
        <v>0 µl</v>
      </c>
    </row>
    <row r="15" spans="1:12" x14ac:dyDescent="0.5">
      <c r="A15"/>
      <c r="B15"/>
      <c r="C15"/>
      <c r="D15"/>
      <c r="E15"/>
      <c r="F15"/>
      <c r="I15"/>
      <c r="J15" s="114"/>
      <c r="K15" s="109"/>
      <c r="L15" s="110"/>
    </row>
    <row r="16" spans="1:12" ht="17.5" x14ac:dyDescent="0.7">
      <c r="A16" s="323" t="s">
        <v>157</v>
      </c>
      <c r="B16"/>
      <c r="C16"/>
      <c r="D16"/>
      <c r="E16"/>
      <c r="F16"/>
      <c r="I16" s="324" t="s">
        <v>166</v>
      </c>
      <c r="J16" s="325">
        <f ca="1">ROUND(IF(SUMIF(ListAndConversion!$CD:$CD,5,ListAndConversion!$CC:$CC)&lt;=0,0,IF((SUMIF(ListAndConversion!$CD:$CD,5,ListAndConversion!$CC:$CC)+40)*Cluster!W10/10&lt;Calculation!$O$6,Calculation!$O$6*10/Cluster!W10,(SUMIF(ListAndConversion!$CD:$CD,5,ListAndConversion!$CC:$CC)+40)))*Cluster!W10/10,1)</f>
        <v>0</v>
      </c>
      <c r="K16" s="325">
        <f ca="1">ROUND(IF(SUMIF(ListAndConversion!$CD:$CD,6,ListAndConversion!$CC:$CC)&lt;=0,0,IF((SUMIF(ListAndConversion!$CD:$CD,6,ListAndConversion!$CC:$CC)+40)*Cluster!X10/10&lt;Calculation!$O$6,Calculation!$O$6*10/Cluster!X10,(SUMIF(ListAndConversion!$CD:$CD,6,ListAndConversion!$CC:$CC)+40)))*Cluster!X10/10,1)</f>
        <v>0</v>
      </c>
      <c r="L16" s="326">
        <f ca="1">ROUND(IF(SUMIF(ListAndConversion!$CD:$CD,7,ListAndConversion!$CC:$CC)&lt;=0,0,IF((SUMIF(ListAndConversion!$CD:$CD,7,ListAndConversion!$CC:$CC)+40)*Cluster!Y10/10&lt;Calculation!$O$6,Calculation!$O$6*10/Cluster!Y10,(SUMIF(ListAndConversion!$CD:$CD,7,ListAndConversion!$CC:$CC)+40)))*Cluster!Y10/10,0)</f>
        <v>0</v>
      </c>
    </row>
    <row r="17" spans="1:12" ht="21.75" customHeight="1" x14ac:dyDescent="0.7">
      <c r="A17" s="327" t="str">
        <f>"NaOH " &amp; Cluster!R23 &amp; " N"</f>
        <v>NaOH 0.5 N</v>
      </c>
      <c r="B17" s="328" t="str">
        <f ca="1">IF(Cluster!W11&lt;&gt;0,"PHiX Recipe A","")</f>
        <v/>
      </c>
      <c r="C17" s="328" t="e">
        <f>IF(Calculation!$H$6&gt;0,"EXP1","")</f>
        <v>#DIV/0!</v>
      </c>
      <c r="D17" s="328" t="e">
        <f>IF(Calculation!$H$6&gt;0,"EXP2","")</f>
        <v>#DIV/0!</v>
      </c>
      <c r="E17" s="328" t="e">
        <f>IF(Calculation!$H$6&gt;0,"EXP3","")</f>
        <v>#DIV/0!</v>
      </c>
      <c r="F17" s="328" t="e">
        <f>IF(Calculation!$H$6&gt;0,"Empty Tube","")</f>
        <v>#DIV/0!</v>
      </c>
      <c r="I17" s="329" t="s">
        <v>167</v>
      </c>
      <c r="J17" s="330">
        <f ca="1">ROUND(IF(SUMIF(ListAndConversion!$CD:$CD,5,ListAndConversion!$CC:$CC)&lt;=0,0,IF((SUMIF(ListAndConversion!$CD:$CD,5,ListAndConversion!$CC:$CC)+40)*Cluster!W10/10&lt;Calculation!$O$6,Calculation!$O$6*10/Cluster!W10,(SUMIF(ListAndConversion!$CD:$CD,5,ListAndConversion!$CC:$CC)+40)))-J16,1)</f>
        <v>0</v>
      </c>
      <c r="K17" s="330">
        <f ca="1">ROUND(IF(SUMIF(ListAndConversion!$CD:$CD,6,ListAndConversion!$CC:$CC)&lt;=0,0,IF((SUMIF(ListAndConversion!$CD:$CD,6,ListAndConversion!$CC:$CC)+40)*Cluster!X10/10&lt;Calculation!$O$6,Calculation!$O$6*10/Cluster!X10,(SUMIF(ListAndConversion!$CD:$CD,6,ListAndConversion!$CC:$CC)+40)))-K16,1)</f>
        <v>0</v>
      </c>
      <c r="L17" s="331">
        <f ca="1">ROUND(IF(SUMIF(ListAndConversion!$CD:$CD,7,ListAndConversion!$CC:$CC)&lt;=0,0,IF((SUMIF(ListAndConversion!$CD:$CD,7,ListAndConversion!$CC:$CC)+40)*Cluster!Y10/10&lt;Calculation!$O$6,Calculation!$O$6*10/Cluster!Y10,(SUMIF(ListAndConversion!$CD:$CD,7,ListAndConversion!$CC:$CC)+40)))-L16,1)</f>
        <v>0</v>
      </c>
    </row>
    <row r="18" spans="1:12" ht="21.75" customHeight="1" x14ac:dyDescent="0.5">
      <c r="A18" s="328"/>
      <c r="B18" s="328" t="str">
        <f ca="1">IF(Cluster!X11&lt;&gt;0,"PHiX Recipe B","")</f>
        <v/>
      </c>
      <c r="C18" s="328" t="e">
        <f>IF(Calculation!$H$6&gt;1,"EXP1","")</f>
        <v>#DIV/0!</v>
      </c>
      <c r="D18" s="328" t="e">
        <f>IF(Calculation!$H$6&gt;1,"EXP2","")</f>
        <v>#DIV/0!</v>
      </c>
      <c r="E18" s="328" t="e">
        <f>IF(Calculation!$H$6&gt;1,"EXP3","")</f>
        <v>#DIV/0!</v>
      </c>
      <c r="F18" s="328" t="e">
        <f>IF(Calculation!$H$6&gt;1,"Empty Tube","")</f>
        <v>#DIV/0!</v>
      </c>
      <c r="J18"/>
      <c r="K18"/>
      <c r="L18"/>
    </row>
    <row r="19" spans="1:12" ht="21.75" customHeight="1" x14ac:dyDescent="0.5">
      <c r="A19" s="328"/>
      <c r="B19" s="328" t="str">
        <f ca="1">IF(Cluster!Y11&lt;&gt;0,"PHiX Recipe C","")</f>
        <v/>
      </c>
      <c r="C19" s="328" t="e">
        <f>IF(Calculation!$H$6&gt;2,"EXP1","")</f>
        <v>#DIV/0!</v>
      </c>
      <c r="D19" s="328" t="e">
        <f>IF(Calculation!$H$6&gt;2,"EXP2","")</f>
        <v>#DIV/0!</v>
      </c>
      <c r="E19" s="328" t="e">
        <f>IF(Calculation!$H$6&gt;2,"EXP3","")</f>
        <v>#DIV/0!</v>
      </c>
      <c r="F19" s="328" t="e">
        <f>IF(Calculation!$H$6&gt;2,"Empty Tube","")</f>
        <v>#DIV/0!</v>
      </c>
      <c r="J19" s="613" t="s">
        <v>84</v>
      </c>
      <c r="K19" s="613"/>
      <c r="L19" s="613"/>
    </row>
    <row r="20" spans="1:12" ht="21.75" customHeight="1" x14ac:dyDescent="0.5">
      <c r="A20" s="332"/>
      <c r="B20" s="328"/>
      <c r="C20" s="328" t="e">
        <f>IF(Calculation!$H$6&gt;3,"EXP1","")</f>
        <v>#DIV/0!</v>
      </c>
      <c r="D20" s="328" t="e">
        <f>IF(Calculation!$H$6&gt;3,"EXP2","")</f>
        <v>#DIV/0!</v>
      </c>
      <c r="E20" s="328" t="e">
        <f>IF(Calculation!$H$6&gt;3,"EXP3","")</f>
        <v>#DIV/0!</v>
      </c>
      <c r="F20" s="328" t="e">
        <f>IF(Calculation!$H$6&gt;3,"Empty Tube","")</f>
        <v>#DIV/0!</v>
      </c>
      <c r="J20" s="114"/>
      <c r="K20" s="109"/>
      <c r="L20" s="110"/>
    </row>
    <row r="21" spans="1:12" ht="19.5" customHeight="1" x14ac:dyDescent="0.7">
      <c r="A21" s="323" t="s">
        <v>159</v>
      </c>
      <c r="B21"/>
      <c r="C21"/>
      <c r="D21"/>
      <c r="E21"/>
      <c r="F21"/>
      <c r="J21" s="333" t="s">
        <v>86</v>
      </c>
      <c r="K21" s="325">
        <f ca="1">K24*Cluster!R23/2</f>
        <v>11.25</v>
      </c>
      <c r="L21" s="334"/>
    </row>
    <row r="22" spans="1:12" ht="21.75" customHeight="1" x14ac:dyDescent="0.7">
      <c r="A22" s="328" t="e">
        <f>IF(Calculation!$H$6&gt;4,"EXP1","")</f>
        <v>#DIV/0!</v>
      </c>
      <c r="B22" s="328" t="e">
        <f>IF(Calculation!$H$6&gt;4,"EXP2","")</f>
        <v>#DIV/0!</v>
      </c>
      <c r="C22" s="328" t="e">
        <f>IF(Calculation!$H$6&gt;4,"EXP3","")</f>
        <v>#DIV/0!</v>
      </c>
      <c r="D22" s="328" t="e">
        <f>IF(Calculation!$H$6&gt;4,"Empty Tube","")</f>
        <v>#DIV/0!</v>
      </c>
      <c r="E22" s="328"/>
      <c r="F22" s="328"/>
      <c r="J22" s="333" t="s">
        <v>87</v>
      </c>
      <c r="K22" s="325">
        <f ca="1">K24-K21</f>
        <v>33.75</v>
      </c>
      <c r="L22" s="334"/>
    </row>
    <row r="23" spans="1:12" ht="21.75" customHeight="1" x14ac:dyDescent="0.7">
      <c r="A23" s="328" t="e">
        <f>IF(Calculation!$H$6&gt;5,"EXP1","")</f>
        <v>#DIV/0!</v>
      </c>
      <c r="B23" s="328" t="e">
        <f>IF(Calculation!$H$6&gt;5,"EXP2","")</f>
        <v>#DIV/0!</v>
      </c>
      <c r="C23" s="328" t="e">
        <f>IF(Calculation!$H$6&gt;5,"EXP3","")</f>
        <v>#DIV/0!</v>
      </c>
      <c r="D23" s="328" t="e">
        <f>IF(Calculation!$H$6&gt;5,"Empty Tube","")</f>
        <v>#DIV/0!</v>
      </c>
      <c r="E23" s="328"/>
      <c r="F23" s="328"/>
      <c r="J23" s="333"/>
      <c r="K23" s="335"/>
      <c r="L23" s="334"/>
    </row>
    <row r="24" spans="1:12" ht="21.75" customHeight="1" x14ac:dyDescent="0.7">
      <c r="A24" s="328" t="e">
        <f>IF(Calculation!$H$6&gt;6,"EXP1","")</f>
        <v>#DIV/0!</v>
      </c>
      <c r="B24" s="328" t="e">
        <f>IF(Calculation!$H$6&gt;6,"EXP2","")</f>
        <v>#DIV/0!</v>
      </c>
      <c r="C24" s="328" t="e">
        <f>IF(Calculation!$H$6&gt;6,"EXP3","")</f>
        <v>#DIV/0!</v>
      </c>
      <c r="D24" s="328" t="e">
        <f>IF(Calculation!$H$6&gt;6,"Empty Tube","")</f>
        <v>#DIV/0!</v>
      </c>
      <c r="E24" s="328"/>
      <c r="F24" s="328"/>
      <c r="J24" s="329" t="s">
        <v>89</v>
      </c>
      <c r="K24" s="336">
        <f ca="1">ROUND(SUM(ListAndConversion!BZ4:BZ387)*1.2+45,1)</f>
        <v>45</v>
      </c>
      <c r="L24" s="337" t="str">
        <f>CONCATENATE("µl at ",Cluster!R23," N")</f>
        <v>µl at 0.5 N</v>
      </c>
    </row>
    <row r="25" spans="1:12" ht="21.75" customHeight="1" x14ac:dyDescent="0.5">
      <c r="A25" s="328" t="e">
        <f>IF(Calculation!$H$6&gt;7,"EXP1","")</f>
        <v>#DIV/0!</v>
      </c>
      <c r="B25" s="328" t="e">
        <f>IF(Calculation!$H$6&gt;7,"EXP2","")</f>
        <v>#DIV/0!</v>
      </c>
      <c r="C25" s="328" t="e">
        <f>IF(Calculation!$H$6&gt;7,"EXP3","")</f>
        <v>#DIV/0!</v>
      </c>
      <c r="D25" s="328" t="e">
        <f>IF(Calculation!$H$6&gt;7,"Empty Tube","")</f>
        <v>#DIV/0!</v>
      </c>
      <c r="E25" s="328"/>
      <c r="F25" s="328"/>
    </row>
  </sheetData>
  <mergeCells count="4">
    <mergeCell ref="B2:C2"/>
    <mergeCell ref="A5:C5"/>
    <mergeCell ref="A10:C10"/>
    <mergeCell ref="J19:L19"/>
  </mergeCells>
  <conditionalFormatting sqref="B12:G13">
    <cfRule type="cellIs" dxfId="9" priority="2" operator="notEqual">
      <formula>""</formula>
    </cfRule>
  </conditionalFormatting>
  <pageMargins left="0.70833333333333304" right="0.70833333333333304" top="0.74791666666666701" bottom="0.74791666666666701" header="0.31527777777777799" footer="0.51180555555555496"/>
  <pageSetup paperSize="0" scale="0" firstPageNumber="0" fitToHeight="0" orientation="portrait" usePrinterDefaults="0" horizontalDpi="0" verticalDpi="0" copies="0"/>
  <headerFooter>
    <oddHeader>&amp;L&amp;T&amp;C&amp;D&amp;R&amp;F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94"/>
  <sheetViews>
    <sheetView topLeftCell="W1" zoomScale="70" zoomScaleNormal="70" workbookViewId="0">
      <selection activeCell="AV10" sqref="AV10"/>
    </sheetView>
  </sheetViews>
  <sheetFormatPr defaultRowHeight="12.5" x14ac:dyDescent="0.5"/>
  <cols>
    <col min="2" max="2" width="28.953125"/>
    <col min="3" max="8" width="15.90625"/>
    <col min="9" max="9" width="18.90625"/>
    <col min="10" max="10" width="11.58984375" style="9"/>
    <col min="11" max="11" width="7.81640625"/>
    <col min="12" max="12" width="8.2265625"/>
    <col min="13" max="14" width="8.36328125"/>
    <col min="15" max="15" width="15.76953125"/>
    <col min="16" max="17" width="12.26953125"/>
    <col min="18" max="18" width="11.86328125"/>
    <col min="19" max="19" width="13.2265625"/>
    <col min="20" max="20" width="13.6328125"/>
    <col min="21" max="21" width="9.58984375"/>
    <col min="22" max="23" width="10.6328125"/>
    <col min="24" max="24" width="10"/>
    <col min="25" max="27" width="11.86328125"/>
    <col min="28" max="28" width="10.26953125"/>
    <col min="29" max="29" width="9.7265625"/>
    <col min="30" max="30" width="9.86328125" style="9"/>
    <col min="31" max="31" width="9.04296875" style="9"/>
    <col min="32" max="32" width="12.1328125"/>
    <col min="33" max="34" width="10.40625"/>
    <col min="37" max="37" width="11.7265625"/>
    <col min="40" max="40" width="16.7265625" style="338"/>
    <col min="42" max="42" width="9.58984375"/>
    <col min="44" max="44" width="9.7265625"/>
    <col min="45" max="45" width="15.5"/>
    <col min="48" max="48" width="4.58984375" style="9"/>
    <col min="49" max="49" width="10.54296875"/>
    <col min="50" max="50" width="11.58984375"/>
    <col min="51" max="51" width="11.7265625"/>
    <col min="56" max="56" width="15.5"/>
  </cols>
  <sheetData>
    <row r="1" spans="1:56" s="359" customFormat="1" ht="62.5" x14ac:dyDescent="0.5">
      <c r="A1" s="339" t="s">
        <v>168</v>
      </c>
      <c r="B1" s="340" t="s">
        <v>169</v>
      </c>
      <c r="C1" s="340" t="s">
        <v>102</v>
      </c>
      <c r="D1" s="340" t="s">
        <v>101</v>
      </c>
      <c r="E1" s="340" t="s">
        <v>4</v>
      </c>
      <c r="F1" s="340" t="s">
        <v>103</v>
      </c>
      <c r="G1" s="340" t="s">
        <v>170</v>
      </c>
      <c r="H1" s="340" t="s">
        <v>171</v>
      </c>
      <c r="I1" s="341" t="s">
        <v>172</v>
      </c>
      <c r="J1" s="342" t="s">
        <v>12</v>
      </c>
      <c r="K1" s="340" t="s">
        <v>173</v>
      </c>
      <c r="L1" s="340" t="s">
        <v>38</v>
      </c>
      <c r="M1" s="340" t="s">
        <v>39</v>
      </c>
      <c r="N1" s="340" t="s">
        <v>174</v>
      </c>
      <c r="O1" s="340" t="s">
        <v>175</v>
      </c>
      <c r="P1" s="340" t="s">
        <v>176</v>
      </c>
      <c r="Q1" s="340" t="s">
        <v>177</v>
      </c>
      <c r="R1" s="343" t="s">
        <v>178</v>
      </c>
      <c r="S1" s="344" t="s">
        <v>179</v>
      </c>
      <c r="T1" s="344" t="s">
        <v>180</v>
      </c>
      <c r="U1" s="344" t="s">
        <v>181</v>
      </c>
      <c r="V1" s="344" t="s">
        <v>182</v>
      </c>
      <c r="W1" s="343" t="s">
        <v>109</v>
      </c>
      <c r="X1" s="344" t="s">
        <v>181</v>
      </c>
      <c r="Y1" s="344" t="s">
        <v>182</v>
      </c>
      <c r="Z1" s="341" t="s">
        <v>183</v>
      </c>
      <c r="AA1" s="344" t="s">
        <v>182</v>
      </c>
      <c r="AB1" s="344" t="s">
        <v>184</v>
      </c>
      <c r="AC1" s="345" t="s">
        <v>109</v>
      </c>
      <c r="AD1" s="346" t="s">
        <v>185</v>
      </c>
      <c r="AE1" s="346" t="s">
        <v>105</v>
      </c>
      <c r="AF1" s="344" t="s">
        <v>186</v>
      </c>
      <c r="AG1" s="344" t="s">
        <v>187</v>
      </c>
      <c r="AH1" s="347" t="s">
        <v>112</v>
      </c>
      <c r="AI1" s="342" t="s">
        <v>188</v>
      </c>
      <c r="AJ1" s="344" t="s">
        <v>189</v>
      </c>
      <c r="AK1" s="344" t="s">
        <v>114</v>
      </c>
      <c r="AL1" s="348" t="s">
        <v>190</v>
      </c>
      <c r="AM1" s="349" t="s">
        <v>0</v>
      </c>
      <c r="AN1" s="350" t="s">
        <v>100</v>
      </c>
      <c r="AO1" s="351" t="s">
        <v>191</v>
      </c>
      <c r="AP1" s="347" t="s">
        <v>192</v>
      </c>
      <c r="AQ1" s="352" t="s">
        <v>193</v>
      </c>
      <c r="AR1" s="352" t="s">
        <v>194</v>
      </c>
      <c r="AS1" s="352" t="s">
        <v>195</v>
      </c>
      <c r="AT1" s="353"/>
      <c r="AU1" s="354"/>
      <c r="AV1" s="355" t="s">
        <v>196</v>
      </c>
      <c r="AW1" s="356" t="s">
        <v>197</v>
      </c>
      <c r="AX1" s="357" t="s">
        <v>198</v>
      </c>
      <c r="AY1" s="357" t="s">
        <v>199</v>
      </c>
      <c r="AZ1" s="357" t="s">
        <v>100</v>
      </c>
      <c r="BA1" s="357" t="s">
        <v>200</v>
      </c>
      <c r="BB1" s="357" t="s">
        <v>201</v>
      </c>
      <c r="BC1" s="357" t="s">
        <v>202</v>
      </c>
      <c r="BD1" s="358" t="s">
        <v>203</v>
      </c>
    </row>
    <row r="2" spans="1:56" x14ac:dyDescent="0.5">
      <c r="B2" s="360" t="s">
        <v>75</v>
      </c>
      <c r="C2" s="361"/>
      <c r="D2" s="361" t="s">
        <v>204</v>
      </c>
      <c r="E2" s="361" t="s">
        <v>205</v>
      </c>
      <c r="F2" s="361" t="s">
        <v>206</v>
      </c>
      <c r="G2" s="361"/>
      <c r="H2" s="361"/>
      <c r="I2" s="361"/>
      <c r="J2" s="362" t="s">
        <v>207</v>
      </c>
      <c r="K2" s="361" t="s">
        <v>208</v>
      </c>
      <c r="L2" s="361" t="s">
        <v>209</v>
      </c>
      <c r="M2" s="361" t="s">
        <v>210</v>
      </c>
      <c r="N2" s="361" t="s">
        <v>211</v>
      </c>
      <c r="O2" s="361" t="s">
        <v>212</v>
      </c>
      <c r="P2" s="361" t="s">
        <v>211</v>
      </c>
      <c r="Q2" s="361" t="s">
        <v>213</v>
      </c>
      <c r="R2" s="361"/>
      <c r="S2" s="361"/>
      <c r="T2" s="361"/>
      <c r="U2" s="361"/>
      <c r="V2" s="361"/>
      <c r="W2" s="361"/>
      <c r="X2" s="361"/>
      <c r="Y2" s="361"/>
      <c r="Z2" s="361"/>
      <c r="AA2" s="361"/>
      <c r="AB2" s="361"/>
      <c r="AC2" s="361"/>
      <c r="AD2" s="362" t="s">
        <v>214</v>
      </c>
      <c r="AE2" s="362" t="s">
        <v>215</v>
      </c>
      <c r="AF2" s="361"/>
      <c r="AG2" s="361"/>
      <c r="AH2" s="361"/>
      <c r="AI2" s="361"/>
      <c r="AJ2" s="361"/>
      <c r="AK2" s="361"/>
      <c r="AL2" s="361"/>
      <c r="AM2" s="361" t="s">
        <v>216</v>
      </c>
      <c r="AN2" s="361" t="s">
        <v>217</v>
      </c>
      <c r="AO2" s="363"/>
      <c r="AP2" s="364"/>
      <c r="AQ2" s="364"/>
      <c r="AR2" s="364"/>
      <c r="AS2" s="364"/>
      <c r="AT2" s="365"/>
      <c r="AU2" s="365"/>
      <c r="AV2"/>
    </row>
    <row r="3" spans="1:56" x14ac:dyDescent="0.5">
      <c r="A3">
        <v>1</v>
      </c>
      <c r="B3" s="282">
        <v>2</v>
      </c>
      <c r="C3">
        <v>3</v>
      </c>
      <c r="D3" s="282">
        <v>4</v>
      </c>
      <c r="E3">
        <v>5</v>
      </c>
      <c r="F3" s="282">
        <v>6</v>
      </c>
      <c r="G3">
        <v>7</v>
      </c>
      <c r="H3" s="282">
        <v>8</v>
      </c>
      <c r="I3">
        <v>9</v>
      </c>
      <c r="J3" s="282">
        <v>10</v>
      </c>
      <c r="K3">
        <v>11</v>
      </c>
      <c r="L3" s="282">
        <v>12</v>
      </c>
      <c r="M3">
        <v>13</v>
      </c>
      <c r="N3" s="282">
        <v>14</v>
      </c>
      <c r="O3">
        <v>15</v>
      </c>
      <c r="P3" s="282">
        <v>16</v>
      </c>
      <c r="Q3">
        <v>17</v>
      </c>
      <c r="R3" s="282">
        <v>18</v>
      </c>
      <c r="S3">
        <v>19</v>
      </c>
      <c r="T3" s="282">
        <v>20</v>
      </c>
      <c r="U3">
        <v>21</v>
      </c>
      <c r="V3" s="282">
        <v>22</v>
      </c>
      <c r="W3">
        <v>23</v>
      </c>
      <c r="X3" s="282">
        <v>24</v>
      </c>
      <c r="Y3">
        <v>25</v>
      </c>
      <c r="Z3" s="282">
        <v>26</v>
      </c>
      <c r="AA3">
        <v>27</v>
      </c>
      <c r="AB3" s="282">
        <v>28</v>
      </c>
      <c r="AC3">
        <v>29</v>
      </c>
      <c r="AD3" s="282">
        <v>30</v>
      </c>
      <c r="AE3">
        <v>31</v>
      </c>
      <c r="AF3" s="282">
        <v>32</v>
      </c>
      <c r="AG3">
        <v>33</v>
      </c>
      <c r="AH3" s="282">
        <v>34</v>
      </c>
      <c r="AI3">
        <v>35</v>
      </c>
      <c r="AJ3" s="282">
        <v>36</v>
      </c>
      <c r="AK3">
        <v>37</v>
      </c>
      <c r="AL3" s="282">
        <v>38</v>
      </c>
      <c r="AM3">
        <v>39</v>
      </c>
      <c r="AN3" s="282">
        <v>40</v>
      </c>
      <c r="AO3">
        <v>41</v>
      </c>
      <c r="AP3" s="282">
        <v>42</v>
      </c>
      <c r="AQ3">
        <v>43</v>
      </c>
      <c r="AR3" s="282">
        <v>44</v>
      </c>
      <c r="AS3">
        <v>45</v>
      </c>
      <c r="AT3" s="366"/>
      <c r="AV3"/>
    </row>
    <row r="4" spans="1:56" ht="12.75" customHeight="1" x14ac:dyDescent="0.5">
      <c r="E4" s="619" t="s">
        <v>218</v>
      </c>
      <c r="H4" s="619" t="s">
        <v>219</v>
      </c>
      <c r="I4" s="619" t="s">
        <v>220</v>
      </c>
      <c r="J4" s="367"/>
      <c r="O4" s="620" t="s">
        <v>221</v>
      </c>
      <c r="P4" s="620"/>
      <c r="Q4" s="619" t="s">
        <v>222</v>
      </c>
      <c r="R4" s="619"/>
      <c r="U4" s="616" t="s">
        <v>223</v>
      </c>
      <c r="V4" s="616"/>
      <c r="W4" s="368"/>
      <c r="X4" s="616" t="s">
        <v>223</v>
      </c>
      <c r="Y4" s="616"/>
      <c r="Z4" s="616" t="s">
        <v>223</v>
      </c>
      <c r="AA4" s="616"/>
      <c r="AD4"/>
      <c r="AE4"/>
      <c r="AG4" s="369" t="s">
        <v>91</v>
      </c>
      <c r="AH4" s="370"/>
      <c r="AI4" s="371" t="s">
        <v>224</v>
      </c>
      <c r="AJ4" s="370"/>
      <c r="AK4" s="369" t="s">
        <v>93</v>
      </c>
      <c r="AL4" s="370"/>
      <c r="AN4"/>
      <c r="AR4" s="369" t="s">
        <v>88</v>
      </c>
      <c r="AS4" s="370"/>
      <c r="AT4" s="365"/>
      <c r="AV4"/>
    </row>
    <row r="5" spans="1:56" ht="18.75" customHeight="1" x14ac:dyDescent="0.5">
      <c r="E5" s="619"/>
      <c r="H5" s="619"/>
      <c r="I5" s="619"/>
      <c r="J5" s="367"/>
      <c r="O5" s="620"/>
      <c r="P5" s="620"/>
      <c r="Q5" s="619"/>
      <c r="R5" s="619"/>
      <c r="U5" s="616"/>
      <c r="V5" s="616"/>
      <c r="W5" s="372"/>
      <c r="X5" s="616"/>
      <c r="Y5" s="616"/>
      <c r="Z5" s="616"/>
      <c r="AA5" s="616"/>
      <c r="AD5"/>
      <c r="AE5"/>
      <c r="AG5" s="115"/>
      <c r="AH5" s="116"/>
      <c r="AI5" s="373"/>
      <c r="AJ5" s="116"/>
      <c r="AK5" s="115"/>
      <c r="AL5" s="116"/>
      <c r="AN5"/>
      <c r="AR5" s="115"/>
      <c r="AS5" s="116"/>
      <c r="AT5" s="365"/>
      <c r="AV5"/>
    </row>
    <row r="6" spans="1:56" ht="15.75" customHeight="1" x14ac:dyDescent="0.5">
      <c r="B6" s="374"/>
      <c r="C6" s="375"/>
      <c r="D6" s="375"/>
      <c r="E6" s="376" t="e">
        <f ca="1">SUMPRODUCT(1/COUNTIF(Plate_Barcode,Plate_Barcode))-1</f>
        <v>#DIV/0!</v>
      </c>
      <c r="F6" s="375"/>
      <c r="G6" s="375"/>
      <c r="H6" s="376" t="e">
        <f>ROUND(SUMPRODUCT(1/COUNTIF(Flow_Cell,Flow_Cell))-1,3)</f>
        <v>#DIV/0!</v>
      </c>
      <c r="I6" s="377" t="e">
        <f>ROUND(SUMPRODUCT(1/COUNTIF(UniqueFCLane,UniqueFCLane))-1,3)</f>
        <v>#DIV/0!</v>
      </c>
      <c r="J6" s="378"/>
      <c r="O6" s="379">
        <v>1</v>
      </c>
      <c r="P6" s="380" t="s">
        <v>225</v>
      </c>
      <c r="Q6" s="617">
        <v>0.2</v>
      </c>
      <c r="R6" s="617"/>
      <c r="U6" s="381">
        <v>20</v>
      </c>
      <c r="V6" s="116" t="s">
        <v>90</v>
      </c>
      <c r="W6" s="373"/>
      <c r="X6" s="381">
        <v>30</v>
      </c>
      <c r="Y6" s="116" t="s">
        <v>90</v>
      </c>
      <c r="Z6" s="381">
        <v>20</v>
      </c>
      <c r="AA6" s="116" t="s">
        <v>90</v>
      </c>
      <c r="AD6"/>
      <c r="AE6"/>
      <c r="AG6" s="382">
        <f>Cluster!R23</f>
        <v>0.5</v>
      </c>
      <c r="AH6" s="116" t="s">
        <v>94</v>
      </c>
      <c r="AI6" s="373">
        <f>Cluster!W15</f>
        <v>0.04</v>
      </c>
      <c r="AJ6" s="116" t="s">
        <v>14</v>
      </c>
      <c r="AK6" s="115">
        <f>Cluster!W23</f>
        <v>60</v>
      </c>
      <c r="AL6" s="116" t="s">
        <v>90</v>
      </c>
      <c r="AN6"/>
      <c r="AR6" s="122">
        <f>Cluster!W19</f>
        <v>30</v>
      </c>
      <c r="AS6" s="123" t="s">
        <v>90</v>
      </c>
      <c r="AT6" s="365"/>
      <c r="AV6"/>
    </row>
    <row r="7" spans="1:56" ht="13.5" customHeight="1" x14ac:dyDescent="0.5">
      <c r="B7" s="374"/>
      <c r="C7" s="375"/>
      <c r="D7" s="375"/>
      <c r="E7" s="375"/>
      <c r="F7" s="375"/>
      <c r="G7" s="375"/>
      <c r="H7" s="375"/>
      <c r="I7" s="375"/>
      <c r="J7" s="375"/>
      <c r="U7" s="383"/>
      <c r="V7" s="384"/>
      <c r="W7" s="385"/>
      <c r="X7" s="618" t="s">
        <v>156</v>
      </c>
      <c r="Y7" s="618"/>
      <c r="Z7" s="618"/>
      <c r="AA7" s="618"/>
      <c r="AD7"/>
      <c r="AE7"/>
      <c r="AG7" s="383"/>
      <c r="AH7" s="384"/>
      <c r="AI7" s="385"/>
      <c r="AJ7" s="384"/>
      <c r="AK7" s="386"/>
      <c r="AL7" s="387"/>
      <c r="AN7"/>
      <c r="AT7" s="365"/>
      <c r="AV7"/>
    </row>
    <row r="8" spans="1:56" ht="30" customHeight="1" x14ac:dyDescent="0.5">
      <c r="J8"/>
      <c r="U8" s="388">
        <v>3</v>
      </c>
      <c r="V8" s="389" t="s">
        <v>14</v>
      </c>
      <c r="W8" s="390"/>
      <c r="X8" s="391">
        <v>100</v>
      </c>
      <c r="Y8" s="392" t="s">
        <v>14</v>
      </c>
      <c r="Z8" s="393">
        <f>U8</f>
        <v>3</v>
      </c>
      <c r="AA8" s="389" t="str">
        <f>V8</f>
        <v>nM</v>
      </c>
      <c r="AB8" s="378"/>
      <c r="AC8" s="378"/>
      <c r="AD8" s="614" t="s">
        <v>226</v>
      </c>
      <c r="AE8" s="614"/>
      <c r="AF8" s="614"/>
      <c r="AG8" s="614"/>
      <c r="AH8" s="614"/>
      <c r="AI8" s="614"/>
      <c r="AJ8" s="614"/>
      <c r="AK8" s="614"/>
      <c r="AL8" s="394"/>
      <c r="AN8"/>
      <c r="AT8" s="365"/>
      <c r="AV8"/>
      <c r="AW8" s="615" t="s">
        <v>227</v>
      </c>
      <c r="AX8" s="615"/>
      <c r="AY8" s="615"/>
      <c r="AZ8" s="615"/>
      <c r="BA8" s="615"/>
      <c r="BB8" s="615"/>
    </row>
    <row r="9" spans="1:56" s="359" customFormat="1" ht="62.5" x14ac:dyDescent="0.5">
      <c r="A9" s="339" t="s">
        <v>228</v>
      </c>
      <c r="B9" s="395" t="str">
        <f t="shared" ref="B9:AS9" si="0">B1</f>
        <v>Sample Name</v>
      </c>
      <c r="C9" s="395" t="str">
        <f t="shared" si="0"/>
        <v>Identifier</v>
      </c>
      <c r="D9" s="395" t="str">
        <f t="shared" si="0"/>
        <v>Batch Name</v>
      </c>
      <c r="E9" s="395" t="str">
        <f t="shared" si="0"/>
        <v>Plate Barcode</v>
      </c>
      <c r="F9" s="395" t="str">
        <f t="shared" si="0"/>
        <v>Position</v>
      </c>
      <c r="G9" s="395" t="str">
        <f t="shared" si="0"/>
        <v>Source Name on Janus Deck</v>
      </c>
      <c r="H9" s="395" t="str">
        <f t="shared" si="0"/>
        <v>Flow Cell</v>
      </c>
      <c r="I9" s="341" t="str">
        <f t="shared" si="0"/>
        <v>Flow Cell Lane</v>
      </c>
      <c r="J9" s="347" t="str">
        <f t="shared" si="0"/>
        <v># OF LANES</v>
      </c>
      <c r="K9" s="395" t="str">
        <f t="shared" si="0"/>
        <v>Size (bp)</v>
      </c>
      <c r="L9" s="395" t="str">
        <f t="shared" si="0"/>
        <v>[qPCR] (nM)</v>
      </c>
      <c r="M9" s="341" t="str">
        <f t="shared" si="0"/>
        <v>[qPCR] (ng/ul)</v>
      </c>
      <c r="N9" s="395" t="str">
        <f t="shared" si="0"/>
        <v>Bio-analyzer (ng/ul)</v>
      </c>
      <c r="O9" s="395" t="str">
        <f t="shared" si="0"/>
        <v>Commentaire Lib</v>
      </c>
      <c r="P9" s="395" t="str">
        <f t="shared" si="0"/>
        <v>Commentraire Run</v>
      </c>
      <c r="Q9" s="395" t="str">
        <f t="shared" si="0"/>
        <v>QC Used in TrackIt</v>
      </c>
      <c r="R9" s="395" t="str">
        <f t="shared" si="0"/>
        <v>Selection</v>
      </c>
      <c r="S9" s="395" t="str">
        <f t="shared" si="0"/>
        <v>Concentration for calculations (ng/µl)</v>
      </c>
      <c r="T9" s="395" t="str">
        <f t="shared" si="0"/>
        <v>Concentration for calculations (nM)</v>
      </c>
      <c r="U9" s="395" t="str">
        <f t="shared" si="0"/>
        <v>Library stock (µl)</v>
      </c>
      <c r="V9" s="395" t="str">
        <f t="shared" si="0"/>
        <v>Volume (µl) to bring up to volume</v>
      </c>
      <c r="W9" s="395" t="str">
        <f t="shared" si="0"/>
        <v>Bypass</v>
      </c>
      <c r="X9" s="395" t="str">
        <f t="shared" si="0"/>
        <v>Library stock (µl)</v>
      </c>
      <c r="Y9" s="395" t="str">
        <f t="shared" si="0"/>
        <v>Volume (µl) to bring up to volume</v>
      </c>
      <c r="Z9" s="341" t="str">
        <f t="shared" si="0"/>
        <v>Volume (µl) dilution</v>
      </c>
      <c r="AA9" s="395" t="str">
        <f t="shared" si="0"/>
        <v>Volume (µl) to bring up to volume</v>
      </c>
      <c r="AB9" s="395" t="str">
        <f t="shared" si="0"/>
        <v>Flag concentrations less than 1 nM</v>
      </c>
      <c r="AC9" s="395" t="str">
        <f t="shared" si="0"/>
        <v>Bypass</v>
      </c>
      <c r="AD9" s="396" t="str">
        <f t="shared" si="0"/>
        <v>Final Dilution Concentration (pM)</v>
      </c>
      <c r="AE9" s="396" t="str">
        <f t="shared" si="0"/>
        <v>%PhiX</v>
      </c>
      <c r="AF9" s="396" t="str">
        <f t="shared" si="0"/>
        <v>Vol DNA for Pipettable volume (µl)</v>
      </c>
      <c r="AG9" s="396" t="str">
        <f t="shared" si="0"/>
        <v>Vol NaOH (µl)</v>
      </c>
      <c r="AH9" s="342" t="str">
        <f t="shared" si="0"/>
        <v>Vol RSB (µl)</v>
      </c>
      <c r="AI9" s="342" t="str">
        <f t="shared" si="0"/>
        <v>Vol 200 mM Tris-HCl</v>
      </c>
      <c r="AJ9" s="396" t="str">
        <f t="shared" si="0"/>
        <v>Vol ExAMP (µl)</v>
      </c>
      <c r="AK9" s="397" t="str">
        <f t="shared" si="0"/>
        <v>Volume of PhiX (µl)</v>
      </c>
      <c r="AL9" s="396" t="str">
        <f t="shared" si="0"/>
        <v>Final total volume (µl)</v>
      </c>
      <c r="AM9" s="396" t="str">
        <f t="shared" si="0"/>
        <v>Lane</v>
      </c>
      <c r="AN9" s="340" t="str">
        <f t="shared" si="0"/>
        <v>Index</v>
      </c>
      <c r="AO9" s="396" t="str">
        <f t="shared" si="0"/>
        <v>count nb of same index in same lane</v>
      </c>
      <c r="AP9" s="342" t="str">
        <f t="shared" si="0"/>
        <v>Conc. NaOH Denat (N)</v>
      </c>
      <c r="AQ9" s="398" t="str">
        <f t="shared" si="0"/>
        <v>Conc. NaOH Final (N)</v>
      </c>
      <c r="AR9" s="399" t="str">
        <f t="shared" si="0"/>
        <v>Pooling Ratio</v>
      </c>
      <c r="AS9" s="400" t="str">
        <f t="shared" si="0"/>
        <v>To Pool</v>
      </c>
      <c r="AT9" s="401"/>
      <c r="AU9" s="402"/>
      <c r="AV9" s="403" t="str">
        <f t="shared" ref="AV9:BD9" si="1">AV1</f>
        <v># lane</v>
      </c>
      <c r="AW9" s="404" t="str">
        <f t="shared" si="1"/>
        <v>Calculated lanes</v>
      </c>
      <c r="AX9" s="405" t="str">
        <f t="shared" si="1"/>
        <v>Lane Control / FlowCell</v>
      </c>
      <c r="AY9" s="405" t="str">
        <f t="shared" si="1"/>
        <v>Lane Code</v>
      </c>
      <c r="AZ9" s="405" t="str">
        <f t="shared" si="1"/>
        <v>Index</v>
      </c>
      <c r="BA9" s="405" t="str">
        <f t="shared" si="1"/>
        <v>NB for Index Validation</v>
      </c>
      <c r="BB9" s="404" t="str">
        <f t="shared" si="1"/>
        <v>Index Validation</v>
      </c>
      <c r="BC9" s="406" t="str">
        <f t="shared" si="1"/>
        <v>Length of lane</v>
      </c>
      <c r="BD9" s="406" t="str">
        <f t="shared" si="1"/>
        <v>Manual Validation</v>
      </c>
    </row>
    <row r="10" spans="1:56" s="407" customFormat="1" ht="14.25" x14ac:dyDescent="0.65">
      <c r="A10" s="407">
        <v>2</v>
      </c>
      <c r="B10" s="408" t="str">
        <f t="shared" ref="B10:B73" ca="1" si="2">IF((INDIRECT("TrackIT_Lines!"&amp;B$2&amp;$A10))="","", (INDIRECT("TrackIT_Lines!"&amp;B$2&amp;$A10)))</f>
        <v/>
      </c>
      <c r="C10" s="408" t="str">
        <f ca="1">IFERROR(IF(G10="","",CONCATENATE(E10,"-",INDEX(Coordinate,MATCH(F10,ListAndConversion!$X$4:$X$99,0),2))),"")</f>
        <v/>
      </c>
      <c r="D10" s="408" t="str">
        <f t="shared" ref="D10:F29" ca="1" si="3">IF((INDIRECT("TrackIT_Lines!"&amp;D$2&amp;$A10))="","", (INDIRECT("TrackIT_Lines!"&amp;D$2&amp;$A10)))</f>
        <v/>
      </c>
      <c r="E10" s="409" t="str">
        <f t="shared" ca="1" si="3"/>
        <v/>
      </c>
      <c r="F10" s="408" t="str">
        <f t="shared" ca="1" si="3"/>
        <v/>
      </c>
      <c r="G10" s="408" t="str">
        <f ca="1">IFERROR(INDEX(ListAndConversion!A:B,MATCH(Calculation!E10,ListAndConversion!A:A,0),2),"")</f>
        <v/>
      </c>
      <c r="H10" s="408" t="str">
        <f>IF(TrackIT_Lines!AD2="","",TrackIT_Lines!AD2)</f>
        <v/>
      </c>
      <c r="I10" s="408" t="str">
        <f>IF(TrackIT_Lines!AD2="","",CONCATENATE(TrackIT_Lines!AD2,"-",TrackIT_Lines!AG2))</f>
        <v/>
      </c>
      <c r="J10" s="409" t="str">
        <f t="shared" ref="J10:Q19" ca="1" si="4">IF((INDIRECT("TrackIT_Lines!"&amp;J$2&amp;$A10))="","", (INDIRECT("TrackIT_Lines!"&amp;J$2&amp;$A10)))</f>
        <v/>
      </c>
      <c r="K10" s="408" t="str">
        <f t="shared" ca="1" si="4"/>
        <v/>
      </c>
      <c r="L10" s="408" t="str">
        <f t="shared" ca="1" si="4"/>
        <v/>
      </c>
      <c r="M10" s="408" t="str">
        <f t="shared" ca="1" si="4"/>
        <v/>
      </c>
      <c r="N10" s="408" t="str">
        <f t="shared" ca="1" si="4"/>
        <v/>
      </c>
      <c r="O10" s="408" t="str">
        <f t="shared" ca="1" si="4"/>
        <v/>
      </c>
      <c r="P10" s="408" t="str">
        <f t="shared" ca="1" si="4"/>
        <v/>
      </c>
      <c r="Q10" s="408" t="str">
        <f t="shared" ca="1" si="4"/>
        <v/>
      </c>
      <c r="R10" s="410" t="str">
        <f ca="1">Cluster!J29</f>
        <v>Selection</v>
      </c>
      <c r="S10" s="411" t="str">
        <f t="shared" ref="S10:S73" ca="1" si="5">IFERROR(HLOOKUP(R10,$L$9:$Q$393,$A10,0),"-")</f>
        <v>-</v>
      </c>
      <c r="T10" s="412" t="str">
        <f t="shared" ref="T10:T73" ca="1" si="6">IFERROR(IF(L10&lt;&gt;"",L10,IF(M10&lt;&gt;"",M10/(K10*660*0.000001),"")),"")</f>
        <v/>
      </c>
      <c r="U10" s="411" t="str">
        <f t="shared" ref="U10:U73" ca="1" si="7">IFERROR(IF(AND(T10&gt;($U$8+2),T10&lt;=($X$8+400),W10=0,AC10=0),ROUNDUP($O$6/($U$8*$U$6/T10),0)*($U$8*$U$6/T10),"-"),"-")</f>
        <v>-</v>
      </c>
      <c r="V10" s="411" t="str">
        <f t="shared" ref="V10:V73" ca="1" si="8">IFERROR(IF(AND(T10&gt;=($U$8+2),T10&lt;=($X$8+400), W10=0, AC10=0),ROUNDUP($O$6/($U$8*$U$6/T10),0)*($U$6-($U$8*$U$6/T10)),"-"),"-")</f>
        <v>-</v>
      </c>
      <c r="W10" s="413">
        <f>Cluster!N29</f>
        <v>0</v>
      </c>
      <c r="X10" s="414" t="str">
        <f t="shared" ref="X10:X73" ca="1" si="9">IFERROR(IF(AND(AC10=0,OR(W10="Bypass",OR(T10&gt;($X$8+400)))),ROUNDUP($O$6/($X$8*$X$6/T10),0)*($X$8*$X$6/T10),"-"),"-")</f>
        <v>-</v>
      </c>
      <c r="Y10" s="411" t="str">
        <f t="shared" ref="Y10:Y73" ca="1" si="10">IFERROR(IF(AND(AC10=0,OR(W10="Bypass",OR(T10&gt;($X$8+400)))),ROUNDUP($O$6/($X$8*$X$6/T10),0)*($X$6-($X$8*$X$6/T10)),"-"),"-")</f>
        <v>-</v>
      </c>
      <c r="Z10" s="415" t="str">
        <f t="shared" ref="Z10:Z73" ca="1" si="11">IFERROR(IF(X10&lt;&gt;"-",ROUNDUP($O$6/($U$8*$Z$6/$X$8),0)*($U$8*$Z$6/$X$8),"-"),"-")</f>
        <v>-</v>
      </c>
      <c r="AA10" s="416" t="str">
        <f t="shared" ref="AA10:AA73" ca="1" si="12">IFERROR(IF(X10&lt;&gt;"-",ROUNDUP($O$6/($U$8*$Z$6/$X$8),0)*($Z$6-($U$8*$Z$6/$X$8)),"-"),"-")</f>
        <v>-</v>
      </c>
      <c r="AB10" s="416" t="str">
        <f t="shared" ref="AB10:AB73" ca="1" si="13">IF(T10&lt;5,"No Dilution","")</f>
        <v/>
      </c>
      <c r="AC10" s="417" t="str">
        <f>Cluster!Q29</f>
        <v>Bypass</v>
      </c>
      <c r="AD10" s="418" t="str">
        <f t="shared" ref="AD10:AE29" ca="1" si="14">IF((INDIRECT("TrackIT_Lines!"&amp;AD$2&amp;$A10))="","", (INDIRECT("TrackIT_Lines!"&amp;AD$2&amp;$A10)))</f>
        <v/>
      </c>
      <c r="AE10" s="419" t="str">
        <f t="shared" ca="1" si="14"/>
        <v/>
      </c>
      <c r="AF10" s="420" t="str">
        <f t="shared" ref="AF10:AF73" ca="1" si="15">IFERROR(AL10*((AD10*10^-12-AD10*10^-12*AE10)/(T10*10^-9)),"-")</f>
        <v>-</v>
      </c>
      <c r="AG10" s="421" t="str">
        <f t="shared" ref="AG10:AG73" ca="1" si="16">IFERROR((0.5/50)*AL10/$AG$6,"-")</f>
        <v>-</v>
      </c>
      <c r="AH10" s="420" t="str">
        <f t="shared" ref="AH10:AH73" ca="1" si="17">IFERROR(IF((AG10*$AG$6/0.05)-SUM(AF10:AG10,AK10)&gt;0,(AG10*$AG$6/0.05)-SUM(AF10:AG10,AK10),0),"-")</f>
        <v>-</v>
      </c>
      <c r="AI10" s="421" t="str">
        <f t="shared" ref="AI10:AI73" ca="1" si="18">IFERROR(5/50*AL10,"-")</f>
        <v>-</v>
      </c>
      <c r="AJ10" s="421" t="str">
        <f t="shared" ref="AJ10:AJ73" ca="1" si="19">IFERROR(AL10-SUM(AF10:AI10,AK10),"-")</f>
        <v>-</v>
      </c>
      <c r="AK10" s="422" t="str">
        <f ca="1">IFERROR(AE10*AD10*AL10/(IF(Cluster!AA29=Cluster!$W$8,Cluster!$W$10,IF(Cluster!AA29=Cluster!$X$8,Cluster!$X$10,IF(Cluster!AA29=Cluster!$Y$8,Cluster!$Y$10,0)))*10^3),"-")</f>
        <v>-</v>
      </c>
      <c r="AL10" s="423" t="str">
        <f ca="1">IFERROR(IF(OR(Calculation!T10&lt;(Calculation!$U$8+2),Calculation!AC10="Bypass"),IF((IF(Calculation!$O$6/((Calculation!AD10*10^-12)/(Calculation!T10*10^-9)*50)&lt;=1,1,ROUNDUP(Calculation!$O$6/((Calculation!AD10*10^-12)/(Calculation!T10*10^-9)*50),0))*50)&lt;Calculation!$AK$6,Calculation!$AK$6,IF(Calculation!$O$6/((Calculation!AD10*10^-12)/(Calculation!T10*10^-9)*50)&lt;=1,1,ROUNDUP(Calculation!$O$6/((Calculation!AD10*10^-12)/(Calculation!T10*10^-9)*50),0))*50),"-"),"-")</f>
        <v>-</v>
      </c>
      <c r="AM10" s="424" t="str">
        <f t="shared" ref="AM10:AN29" ca="1" si="20">IF((INDIRECT("TrackIT_Lines!"&amp;AM$2&amp;$A10))="","", (INDIRECT("TrackIT_Lines!"&amp;AM$2&amp;$A10)))</f>
        <v/>
      </c>
      <c r="AN10" s="425" t="str">
        <f t="shared" ca="1" si="20"/>
        <v/>
      </c>
      <c r="AO10" s="426">
        <f t="shared" ref="AO10:AO73" ca="1" si="21">COUNTIFS($I$10:$I$393,I10,$AN$10:$AN$393,AN10)</f>
        <v>384</v>
      </c>
      <c r="AP10" s="427" t="str">
        <f t="shared" ref="AP10:AP73" ca="1" si="22">IFERROR($AG$6*AG10/SUM(AF10:AH10,AK10),"-")</f>
        <v>-</v>
      </c>
      <c r="AQ10" s="428" t="str">
        <f t="shared" ref="AQ10:AQ73" ca="1" si="23">IFERROR(AP10*SUM(AF10:AH10)/AL10,"-")</f>
        <v>-</v>
      </c>
      <c r="AR10" s="429" t="str">
        <f t="shared" ref="AR10:AR73" ca="1" si="24">IFERROR(IF(J10&gt;0,J10/IF(LEN(AM10)&gt;1,LEN(AM10)-1,1),"-"),"-")</f>
        <v>-</v>
      </c>
      <c r="AS10" s="430" t="str">
        <f t="shared" ref="AS10:AS73" ca="1" si="25">IF(AND(AR10&lt;1,AL10="-",COUNTIFS($I$10:$I$393,I10,Direct_Denaturation,"-")&gt;1),C10,"-")</f>
        <v>-</v>
      </c>
      <c r="AT10" s="431"/>
      <c r="AU10" s="431"/>
      <c r="AV10" s="432">
        <v>1</v>
      </c>
      <c r="AW10" s="433" t="e">
        <f>ListAndConversion!S3</f>
        <v>#DIV/0!</v>
      </c>
      <c r="AX10" s="432" t="e">
        <f>IF(AW10="-","-",IF(COUNTIF(ListAndConversion!$F$3:$M$386,Calculation!AW10)=0,"Missing Lane","OK"))</f>
        <v>#DIV/0!</v>
      </c>
      <c r="AY10" s="433" t="str">
        <f>IFERROR(VLOOKUP(AW10,ListAndConversion!$F$3:$O$386,9,0),"-")</f>
        <v>-</v>
      </c>
      <c r="AZ10" s="433" t="str">
        <f>IFERROR(VLOOKUP(AW10,ListAndConversion!$F$3:$O$386,10,0),"-")</f>
        <v>-</v>
      </c>
      <c r="BA10" s="433" t="e">
        <f t="shared" ref="BA10:BA41" si="26">IF(AX10="-","-",COUNTIFS($I$10:$I$393,AW10,$AO$10:$AO$393,"&gt;1"))</f>
        <v>#DIV/0!</v>
      </c>
      <c r="BB10" s="433" t="str">
        <f t="shared" ref="BB10:BB41" si="27">IF(AY10="-","-",IF(BA10=0,"OK","Conflict"))</f>
        <v>-</v>
      </c>
      <c r="BC10" s="433" t="str">
        <f t="shared" ref="BC10:BC41" si="28">IF(AY10="-","",LEN(AY10))</f>
        <v/>
      </c>
      <c r="BD10" s="433" t="e">
        <f>IF(AND(SUM(BC10:BC105)=COUNTIF(BC10:BC105,"&gt;=1"), SUM(BA10:BA105)=0),"No Manual Validation","Manual Validation For Lane Format")</f>
        <v>#DIV/0!</v>
      </c>
    </row>
    <row r="11" spans="1:56" ht="14.25" x14ac:dyDescent="0.65">
      <c r="A11" s="407">
        <v>3</v>
      </c>
      <c r="B11" s="408" t="str">
        <f t="shared" ca="1" si="2"/>
        <v/>
      </c>
      <c r="C11" s="408" t="str">
        <f ca="1">IFERROR(IF(G11="","",CONCATENATE(E11,"-",INDEX(Coordinate,MATCH(F11,ListAndConversion!$X$4:$X$99,0),2))),"")</f>
        <v/>
      </c>
      <c r="D11" s="408" t="str">
        <f t="shared" ca="1" si="3"/>
        <v/>
      </c>
      <c r="E11" s="408" t="str">
        <f t="shared" ca="1" si="3"/>
        <v/>
      </c>
      <c r="F11" s="408" t="str">
        <f t="shared" ca="1" si="3"/>
        <v/>
      </c>
      <c r="G11" s="408" t="str">
        <f ca="1">IFERROR(INDEX(ListAndConversion!A:B,MATCH(Calculation!E11,ListAndConversion!A:A,0),2),"")</f>
        <v/>
      </c>
      <c r="H11" s="408" t="str">
        <f>IF(TrackIT_Lines!AD3="","",TrackIT_Lines!AD3)</f>
        <v/>
      </c>
      <c r="I11" s="408" t="str">
        <f>IF(TrackIT_Lines!AD3="","",CONCATENATE(TrackIT_Lines!AD3,"-",TrackIT_Lines!AG3))</f>
        <v/>
      </c>
      <c r="J11" s="409" t="str">
        <f t="shared" ca="1" si="4"/>
        <v/>
      </c>
      <c r="K11" s="408" t="str">
        <f t="shared" ca="1" si="4"/>
        <v/>
      </c>
      <c r="L11" s="408" t="str">
        <f t="shared" ca="1" si="4"/>
        <v/>
      </c>
      <c r="M11" s="408" t="str">
        <f t="shared" ca="1" si="4"/>
        <v/>
      </c>
      <c r="N11" s="408" t="str">
        <f t="shared" ca="1" si="4"/>
        <v/>
      </c>
      <c r="O11" s="408" t="str">
        <f t="shared" ca="1" si="4"/>
        <v/>
      </c>
      <c r="P11" s="408" t="str">
        <f t="shared" ca="1" si="4"/>
        <v/>
      </c>
      <c r="Q11" s="408" t="str">
        <f t="shared" ca="1" si="4"/>
        <v/>
      </c>
      <c r="R11" s="410" t="str">
        <f ca="1">Cluster!J30</f>
        <v>Selection</v>
      </c>
      <c r="S11" s="411" t="str">
        <f t="shared" ca="1" si="5"/>
        <v>-</v>
      </c>
      <c r="T11" s="412" t="str">
        <f t="shared" ca="1" si="6"/>
        <v/>
      </c>
      <c r="U11" s="411" t="str">
        <f t="shared" ca="1" si="7"/>
        <v>-</v>
      </c>
      <c r="V11" s="411" t="str">
        <f t="shared" ca="1" si="8"/>
        <v>-</v>
      </c>
      <c r="W11" s="413">
        <f>Cluster!N30</f>
        <v>0</v>
      </c>
      <c r="X11" s="414" t="str">
        <f t="shared" ca="1" si="9"/>
        <v>-</v>
      </c>
      <c r="Y11" s="411" t="str">
        <f t="shared" ca="1" si="10"/>
        <v>-</v>
      </c>
      <c r="Z11" s="415" t="str">
        <f t="shared" ca="1" si="11"/>
        <v>-</v>
      </c>
      <c r="AA11" s="416" t="str">
        <f t="shared" ca="1" si="12"/>
        <v>-</v>
      </c>
      <c r="AB11" s="416" t="str">
        <f t="shared" ca="1" si="13"/>
        <v/>
      </c>
      <c r="AC11" s="434" t="str">
        <f>Cluster!Q30</f>
        <v>Bypass</v>
      </c>
      <c r="AD11" s="435" t="str">
        <f t="shared" ca="1" si="14"/>
        <v/>
      </c>
      <c r="AE11" s="436" t="str">
        <f t="shared" ca="1" si="14"/>
        <v/>
      </c>
      <c r="AF11" s="437" t="str">
        <f t="shared" ca="1" si="15"/>
        <v>-</v>
      </c>
      <c r="AG11" s="438" t="str">
        <f t="shared" ca="1" si="16"/>
        <v>-</v>
      </c>
      <c r="AH11" s="437" t="str">
        <f t="shared" ca="1" si="17"/>
        <v>-</v>
      </c>
      <c r="AI11" s="438" t="str">
        <f t="shared" ca="1" si="18"/>
        <v>-</v>
      </c>
      <c r="AJ11" s="438" t="str">
        <f t="shared" ca="1" si="19"/>
        <v>-</v>
      </c>
      <c r="AK11" s="439" t="str">
        <f ca="1">IFERROR(AE11*AD11*AL11/(IF(Cluster!AA30=Cluster!$W$8,Cluster!$W$10,IF(Cluster!AA30=Cluster!$X$8,Cluster!$X$10,IF(Cluster!AA30=Cluster!$Y$8,Cluster!$Y$10,0)))*10^3),"-")</f>
        <v>-</v>
      </c>
      <c r="AL11" s="440" t="str">
        <f ca="1">IFERROR(IF(OR(Calculation!T11&lt;(Calculation!$U$8+2),Calculation!AC11="Bypass"),IF((IF(Calculation!$O$6/((Calculation!AD11*10^-12)/(Calculation!T11*10^-9)*50)&lt;=1,1,ROUNDUP(Calculation!$O$6/((Calculation!AD11*10^-12)/(Calculation!T11*10^-9)*50),0))*50)&lt;Calculation!$AK$6,Calculation!$AK$6,IF(Calculation!$O$6/((Calculation!AD11*10^-12)/(Calculation!T11*10^-9)*50)&lt;=1,1,ROUNDUP(Calculation!$O$6/((Calculation!AD11*10^-12)/(Calculation!T11*10^-9)*50),0))*50),"-"),"-")</f>
        <v>-</v>
      </c>
      <c r="AM11" s="441" t="str">
        <f t="shared" ca="1" si="20"/>
        <v/>
      </c>
      <c r="AN11" s="442" t="str">
        <f t="shared" ca="1" si="20"/>
        <v/>
      </c>
      <c r="AO11" s="432">
        <f t="shared" ca="1" si="21"/>
        <v>384</v>
      </c>
      <c r="AP11" s="427" t="str">
        <f t="shared" ca="1" si="22"/>
        <v>-</v>
      </c>
      <c r="AQ11" s="443" t="str">
        <f t="shared" ca="1" si="23"/>
        <v>-</v>
      </c>
      <c r="AR11" s="444" t="str">
        <f t="shared" ca="1" si="24"/>
        <v>-</v>
      </c>
      <c r="AS11" s="430" t="str">
        <f t="shared" ca="1" si="25"/>
        <v>-</v>
      </c>
      <c r="AT11" s="431"/>
      <c r="AU11" s="431"/>
      <c r="AV11" s="432">
        <v>2</v>
      </c>
      <c r="AW11" s="433" t="e">
        <f>ListAndConversion!S4</f>
        <v>#DIV/0!</v>
      </c>
      <c r="AX11" s="432" t="e">
        <f>IF(AW11="-","-",IF(COUNTIF(ListAndConversion!$F$3:$M$386,Calculation!AW11)=0,"Missing Lane","OK"))</f>
        <v>#DIV/0!</v>
      </c>
      <c r="AY11" s="433" t="str">
        <f>IFERROR(VLOOKUP(AW11,ListAndConversion!$F$3:$O$386,9,0),"-")</f>
        <v>-</v>
      </c>
      <c r="AZ11" s="433" t="str">
        <f>IFERROR(VLOOKUP(AW11,ListAndConversion!$F$3:$O$386,10,0),"-")</f>
        <v>-</v>
      </c>
      <c r="BA11" s="433" t="e">
        <f t="shared" si="26"/>
        <v>#DIV/0!</v>
      </c>
      <c r="BB11" s="433" t="str">
        <f t="shared" si="27"/>
        <v>-</v>
      </c>
      <c r="BC11" s="433" t="str">
        <f t="shared" si="28"/>
        <v/>
      </c>
      <c r="BD11" s="433" t="e">
        <f>IF(SUM(BC10:BC105)=BD17+COUNTIF(BC10:BC105,"&gt;1"),"No Format Error", "Format Error")</f>
        <v>#DIV/0!</v>
      </c>
    </row>
    <row r="12" spans="1:56" ht="14.25" x14ac:dyDescent="0.65">
      <c r="A12" s="407">
        <v>4</v>
      </c>
      <c r="B12" s="408" t="str">
        <f t="shared" ca="1" si="2"/>
        <v/>
      </c>
      <c r="C12" s="408" t="str">
        <f ca="1">IFERROR(IF(G12="","",CONCATENATE(E12,"-",INDEX(Coordinate,MATCH(F12,ListAndConversion!$X$4:$X$99,0),2))),"")</f>
        <v/>
      </c>
      <c r="D12" s="408" t="str">
        <f t="shared" ca="1" si="3"/>
        <v/>
      </c>
      <c r="E12" s="408" t="str">
        <f t="shared" ca="1" si="3"/>
        <v/>
      </c>
      <c r="F12" s="408" t="str">
        <f t="shared" ca="1" si="3"/>
        <v/>
      </c>
      <c r="G12" s="408" t="str">
        <f ca="1">IFERROR(INDEX(ListAndConversion!A:B,MATCH(Calculation!E12,ListAndConversion!A:A,0),2),"")</f>
        <v/>
      </c>
      <c r="H12" s="408" t="str">
        <f>IF(TrackIT_Lines!AD4="","",TrackIT_Lines!AD4)</f>
        <v/>
      </c>
      <c r="I12" s="408" t="str">
        <f>IF(TrackIT_Lines!AD4="","",CONCATENATE(TrackIT_Lines!AD4,"-",TrackIT_Lines!AG4))</f>
        <v/>
      </c>
      <c r="J12" s="409" t="str">
        <f t="shared" ca="1" si="4"/>
        <v/>
      </c>
      <c r="K12" s="408" t="str">
        <f t="shared" ca="1" si="4"/>
        <v/>
      </c>
      <c r="L12" s="408" t="str">
        <f t="shared" ca="1" si="4"/>
        <v/>
      </c>
      <c r="M12" s="408" t="str">
        <f t="shared" ca="1" si="4"/>
        <v/>
      </c>
      <c r="N12" s="408" t="str">
        <f t="shared" ca="1" si="4"/>
        <v/>
      </c>
      <c r="O12" s="408" t="str">
        <f t="shared" ca="1" si="4"/>
        <v/>
      </c>
      <c r="P12" s="408" t="str">
        <f t="shared" ca="1" si="4"/>
        <v/>
      </c>
      <c r="Q12" s="408" t="str">
        <f t="shared" ca="1" si="4"/>
        <v/>
      </c>
      <c r="R12" s="410" t="str">
        <f ca="1">Cluster!J31</f>
        <v>Selection</v>
      </c>
      <c r="S12" s="411" t="str">
        <f t="shared" ca="1" si="5"/>
        <v>-</v>
      </c>
      <c r="T12" s="412" t="str">
        <f t="shared" ca="1" si="6"/>
        <v/>
      </c>
      <c r="U12" s="411" t="str">
        <f t="shared" ca="1" si="7"/>
        <v>-</v>
      </c>
      <c r="V12" s="411" t="str">
        <f t="shared" ca="1" si="8"/>
        <v>-</v>
      </c>
      <c r="W12" s="413">
        <f>Cluster!N31</f>
        <v>0</v>
      </c>
      <c r="X12" s="414" t="str">
        <f t="shared" ca="1" si="9"/>
        <v>-</v>
      </c>
      <c r="Y12" s="411" t="str">
        <f t="shared" ca="1" si="10"/>
        <v>-</v>
      </c>
      <c r="Z12" s="415" t="str">
        <f t="shared" ca="1" si="11"/>
        <v>-</v>
      </c>
      <c r="AA12" s="416" t="str">
        <f t="shared" ca="1" si="12"/>
        <v>-</v>
      </c>
      <c r="AB12" s="416" t="str">
        <f t="shared" ca="1" si="13"/>
        <v/>
      </c>
      <c r="AC12" s="434" t="str">
        <f>Cluster!Q31</f>
        <v>Bypass</v>
      </c>
      <c r="AD12" s="435" t="str">
        <f t="shared" ca="1" si="14"/>
        <v/>
      </c>
      <c r="AE12" s="436" t="str">
        <f t="shared" ca="1" si="14"/>
        <v/>
      </c>
      <c r="AF12" s="437" t="str">
        <f t="shared" ca="1" si="15"/>
        <v>-</v>
      </c>
      <c r="AG12" s="438" t="str">
        <f t="shared" ca="1" si="16"/>
        <v>-</v>
      </c>
      <c r="AH12" s="437" t="str">
        <f t="shared" ca="1" si="17"/>
        <v>-</v>
      </c>
      <c r="AI12" s="438" t="str">
        <f t="shared" ca="1" si="18"/>
        <v>-</v>
      </c>
      <c r="AJ12" s="438" t="str">
        <f t="shared" ca="1" si="19"/>
        <v>-</v>
      </c>
      <c r="AK12" s="439" t="str">
        <f ca="1">IFERROR(AE12*AD12*AL12/(IF(Cluster!AA31=Cluster!$W$8,Cluster!$W$10,IF(Cluster!AA31=Cluster!$X$8,Cluster!$X$10,IF(Cluster!AA31=Cluster!$Y$8,Cluster!$Y$10,0)))*10^3),"-")</f>
        <v>-</v>
      </c>
      <c r="AL12" s="440" t="str">
        <f ca="1">IFERROR(IF(OR(Calculation!T12&lt;(Calculation!$U$8+2),Calculation!AC12="Bypass"),IF((IF(Calculation!$O$6/((Calculation!AD12*10^-12)/(Calculation!T12*10^-9)*50)&lt;=1,1,ROUNDUP(Calculation!$O$6/((Calculation!AD12*10^-12)/(Calculation!T12*10^-9)*50),0))*50)&lt;Calculation!$AK$6,Calculation!$AK$6,IF(Calculation!$O$6/((Calculation!AD12*10^-12)/(Calculation!T12*10^-9)*50)&lt;=1,1,ROUNDUP(Calculation!$O$6/((Calculation!AD12*10^-12)/(Calculation!T12*10^-9)*50),0))*50),"-"),"-")</f>
        <v>-</v>
      </c>
      <c r="AM12" s="441" t="str">
        <f t="shared" ca="1" si="20"/>
        <v/>
      </c>
      <c r="AN12" s="442" t="str">
        <f t="shared" ca="1" si="20"/>
        <v/>
      </c>
      <c r="AO12" s="432">
        <f t="shared" ca="1" si="21"/>
        <v>384</v>
      </c>
      <c r="AP12" s="427" t="str">
        <f t="shared" ca="1" si="22"/>
        <v>-</v>
      </c>
      <c r="AQ12" s="443" t="str">
        <f t="shared" ca="1" si="23"/>
        <v>-</v>
      </c>
      <c r="AR12" s="444" t="str">
        <f t="shared" ca="1" si="24"/>
        <v>-</v>
      </c>
      <c r="AS12" s="430" t="str">
        <f t="shared" ca="1" si="25"/>
        <v>-</v>
      </c>
      <c r="AT12" s="431"/>
      <c r="AU12" s="431"/>
      <c r="AV12" s="432">
        <v>3</v>
      </c>
      <c r="AW12" s="433" t="e">
        <f>ListAndConversion!S5</f>
        <v>#DIV/0!</v>
      </c>
      <c r="AX12" s="432" t="e">
        <f>IF(AW12="-","-",IF(COUNTIF(ListAndConversion!$F$3:$M$386,Calculation!AW12)=0,"Missing Lane","OK"))</f>
        <v>#DIV/0!</v>
      </c>
      <c r="AY12" s="433" t="str">
        <f>IFERROR(VLOOKUP(AW12,ListAndConversion!$F$3:$O$386,9,0),"-")</f>
        <v>-</v>
      </c>
      <c r="AZ12" s="433" t="str">
        <f>IFERROR(VLOOKUP(AW12,ListAndConversion!$F$3:$O$386,10,0),"-")</f>
        <v>-</v>
      </c>
      <c r="BA12" s="433" t="e">
        <f t="shared" si="26"/>
        <v>#DIV/0!</v>
      </c>
      <c r="BB12" s="433" t="str">
        <f t="shared" si="27"/>
        <v>-</v>
      </c>
      <c r="BC12" s="433" t="str">
        <f t="shared" si="28"/>
        <v/>
      </c>
      <c r="BD12" s="433" t="e">
        <f>IF(SUM(BA10:BA105)=0,"No Index Conflict","Index Conflict")</f>
        <v>#DIV/0!</v>
      </c>
    </row>
    <row r="13" spans="1:56" ht="14.25" x14ac:dyDescent="0.65">
      <c r="A13" s="407">
        <v>5</v>
      </c>
      <c r="B13" s="408" t="str">
        <f t="shared" ca="1" si="2"/>
        <v/>
      </c>
      <c r="C13" s="408" t="str">
        <f ca="1">IFERROR(IF(G13="","",CONCATENATE(E13,"-",INDEX(Coordinate,MATCH(F13,ListAndConversion!$X$4:$X$99,0),2))),"")</f>
        <v/>
      </c>
      <c r="D13" s="408" t="str">
        <f t="shared" ca="1" si="3"/>
        <v/>
      </c>
      <c r="E13" s="408" t="str">
        <f t="shared" ca="1" si="3"/>
        <v/>
      </c>
      <c r="F13" s="408" t="str">
        <f t="shared" ca="1" si="3"/>
        <v/>
      </c>
      <c r="G13" s="408" t="str">
        <f ca="1">IFERROR(INDEX(ListAndConversion!A:B,MATCH(Calculation!E13,ListAndConversion!A:A,0),2),"")</f>
        <v/>
      </c>
      <c r="H13" s="408" t="str">
        <f>IF(TrackIT_Lines!AD5="","",TrackIT_Lines!AD5)</f>
        <v/>
      </c>
      <c r="I13" s="408" t="str">
        <f>IF(TrackIT_Lines!AD5="","",CONCATENATE(TrackIT_Lines!AD5,"-",TrackIT_Lines!AG5))</f>
        <v/>
      </c>
      <c r="J13" s="409" t="str">
        <f t="shared" ca="1" si="4"/>
        <v/>
      </c>
      <c r="K13" s="408" t="str">
        <f t="shared" ca="1" si="4"/>
        <v/>
      </c>
      <c r="L13" s="408" t="str">
        <f t="shared" ca="1" si="4"/>
        <v/>
      </c>
      <c r="M13" s="408" t="str">
        <f t="shared" ca="1" si="4"/>
        <v/>
      </c>
      <c r="N13" s="408" t="str">
        <f t="shared" ca="1" si="4"/>
        <v/>
      </c>
      <c r="O13" s="408" t="str">
        <f t="shared" ca="1" si="4"/>
        <v/>
      </c>
      <c r="P13" s="408" t="str">
        <f t="shared" ca="1" si="4"/>
        <v/>
      </c>
      <c r="Q13" s="408" t="str">
        <f t="shared" ca="1" si="4"/>
        <v/>
      </c>
      <c r="R13" s="410" t="str">
        <f ca="1">Cluster!J32</f>
        <v>Selection</v>
      </c>
      <c r="S13" s="411" t="str">
        <f t="shared" ca="1" si="5"/>
        <v>-</v>
      </c>
      <c r="T13" s="412" t="str">
        <f t="shared" ca="1" si="6"/>
        <v/>
      </c>
      <c r="U13" s="411" t="str">
        <f t="shared" ca="1" si="7"/>
        <v>-</v>
      </c>
      <c r="V13" s="411" t="str">
        <f t="shared" ca="1" si="8"/>
        <v>-</v>
      </c>
      <c r="W13" s="413">
        <f>Cluster!N32</f>
        <v>0</v>
      </c>
      <c r="X13" s="414" t="str">
        <f t="shared" ca="1" si="9"/>
        <v>-</v>
      </c>
      <c r="Y13" s="411" t="str">
        <f t="shared" ca="1" si="10"/>
        <v>-</v>
      </c>
      <c r="Z13" s="415" t="str">
        <f t="shared" ca="1" si="11"/>
        <v>-</v>
      </c>
      <c r="AA13" s="416" t="str">
        <f t="shared" ca="1" si="12"/>
        <v>-</v>
      </c>
      <c r="AB13" s="416" t="str">
        <f t="shared" ca="1" si="13"/>
        <v/>
      </c>
      <c r="AC13" s="434" t="str">
        <f>Cluster!Q32</f>
        <v>Bypass</v>
      </c>
      <c r="AD13" s="435" t="str">
        <f t="shared" ca="1" si="14"/>
        <v/>
      </c>
      <c r="AE13" s="436" t="str">
        <f t="shared" ca="1" si="14"/>
        <v/>
      </c>
      <c r="AF13" s="437" t="str">
        <f t="shared" ca="1" si="15"/>
        <v>-</v>
      </c>
      <c r="AG13" s="438" t="str">
        <f t="shared" ca="1" si="16"/>
        <v>-</v>
      </c>
      <c r="AH13" s="437" t="str">
        <f t="shared" ca="1" si="17"/>
        <v>-</v>
      </c>
      <c r="AI13" s="438" t="str">
        <f t="shared" ca="1" si="18"/>
        <v>-</v>
      </c>
      <c r="AJ13" s="438" t="str">
        <f t="shared" ca="1" si="19"/>
        <v>-</v>
      </c>
      <c r="AK13" s="439" t="str">
        <f ca="1">IFERROR(AE13*AD13*AL13/(IF(Cluster!AA32=Cluster!$W$8,Cluster!$W$10,IF(Cluster!AA32=Cluster!$X$8,Cluster!$X$10,IF(Cluster!AA32=Cluster!$Y$8,Cluster!$Y$10,0)))*10^3),"-")</f>
        <v>-</v>
      </c>
      <c r="AL13" s="440" t="str">
        <f ca="1">IFERROR(IF(OR(Calculation!T13&lt;(Calculation!$U$8+2),Calculation!AC13="Bypass"),IF((IF(Calculation!$O$6/((Calculation!AD13*10^-12)/(Calculation!T13*10^-9)*50)&lt;=1,1,ROUNDUP(Calculation!$O$6/((Calculation!AD13*10^-12)/(Calculation!T13*10^-9)*50),0))*50)&lt;Calculation!$AK$6,Calculation!$AK$6,IF(Calculation!$O$6/((Calculation!AD13*10^-12)/(Calculation!T13*10^-9)*50)&lt;=1,1,ROUNDUP(Calculation!$O$6/((Calculation!AD13*10^-12)/(Calculation!T13*10^-9)*50),0))*50),"-"),"-")</f>
        <v>-</v>
      </c>
      <c r="AM13" s="441" t="str">
        <f t="shared" ca="1" si="20"/>
        <v/>
      </c>
      <c r="AN13" s="442" t="str">
        <f t="shared" ca="1" si="20"/>
        <v/>
      </c>
      <c r="AO13" s="432">
        <f t="shared" ca="1" si="21"/>
        <v>384</v>
      </c>
      <c r="AP13" s="427" t="str">
        <f t="shared" ca="1" si="22"/>
        <v>-</v>
      </c>
      <c r="AQ13" s="443" t="str">
        <f t="shared" ca="1" si="23"/>
        <v>-</v>
      </c>
      <c r="AR13" s="444" t="str">
        <f t="shared" ca="1" si="24"/>
        <v>-</v>
      </c>
      <c r="AS13" s="430" t="str">
        <f t="shared" ca="1" si="25"/>
        <v>-</v>
      </c>
      <c r="AT13" s="431"/>
      <c r="AU13" s="431"/>
      <c r="AV13" s="432">
        <v>4</v>
      </c>
      <c r="AW13" s="433" t="e">
        <f>ListAndConversion!S6</f>
        <v>#DIV/0!</v>
      </c>
      <c r="AX13" s="432" t="e">
        <f>IF(AW13="-","-",IF(COUNTIF(ListAndConversion!$F$3:$M$386,Calculation!AW13)=0,"Missing Lane","OK"))</f>
        <v>#DIV/0!</v>
      </c>
      <c r="AY13" s="433" t="str">
        <f>IFERROR(VLOOKUP(AW13,ListAndConversion!$F$3:$O$386,9,0),"-")</f>
        <v>-</v>
      </c>
      <c r="AZ13" s="433" t="str">
        <f>IFERROR(VLOOKUP(AW13,ListAndConversion!$F$3:$O$386,10,0),"-")</f>
        <v>-</v>
      </c>
      <c r="BA13" s="433" t="e">
        <f t="shared" si="26"/>
        <v>#DIV/0!</v>
      </c>
      <c r="BB13" s="433" t="str">
        <f t="shared" si="27"/>
        <v>-</v>
      </c>
      <c r="BC13" s="433" t="str">
        <f t="shared" si="28"/>
        <v/>
      </c>
      <c r="BD13" s="433" t="e">
        <f>IF(AND(BD11="Format Error",BD12="Index Conflict"),"Format and Index Conflict",IF(AND(BD11="Format Error",BD12="No Index Conflict"),"Format Error",IF(BD12="Index Conflict","Index Conflict", "No Manual Validation")))</f>
        <v>#DIV/0!</v>
      </c>
    </row>
    <row r="14" spans="1:56" ht="14.25" x14ac:dyDescent="0.65">
      <c r="A14" s="407">
        <v>6</v>
      </c>
      <c r="B14" s="408" t="str">
        <f t="shared" ca="1" si="2"/>
        <v/>
      </c>
      <c r="C14" s="408" t="str">
        <f ca="1">IFERROR(IF(G14="","",CONCATENATE(E14,"-",INDEX(Coordinate,MATCH(F14,ListAndConversion!$X$4:$X$99,0),2))),"")</f>
        <v/>
      </c>
      <c r="D14" s="408" t="str">
        <f t="shared" ca="1" si="3"/>
        <v/>
      </c>
      <c r="E14" s="408" t="str">
        <f t="shared" ca="1" si="3"/>
        <v/>
      </c>
      <c r="F14" s="408" t="str">
        <f t="shared" ca="1" si="3"/>
        <v/>
      </c>
      <c r="G14" s="408" t="str">
        <f ca="1">IFERROR(INDEX(ListAndConversion!A:B,MATCH(Calculation!E14,ListAndConversion!A:A,0),2),"")</f>
        <v/>
      </c>
      <c r="H14" s="408" t="str">
        <f>IF(TrackIT_Lines!AD6="","",TrackIT_Lines!AD6)</f>
        <v/>
      </c>
      <c r="I14" s="408" t="str">
        <f>IF(TrackIT_Lines!AD6="","",CONCATENATE(TrackIT_Lines!AD6,"-",TrackIT_Lines!AG6))</f>
        <v/>
      </c>
      <c r="J14" s="409" t="str">
        <f t="shared" ca="1" si="4"/>
        <v/>
      </c>
      <c r="K14" s="408" t="str">
        <f t="shared" ca="1" si="4"/>
        <v/>
      </c>
      <c r="L14" s="408" t="str">
        <f t="shared" ca="1" si="4"/>
        <v/>
      </c>
      <c r="M14" s="408" t="str">
        <f t="shared" ca="1" si="4"/>
        <v/>
      </c>
      <c r="N14" s="408" t="str">
        <f t="shared" ca="1" si="4"/>
        <v/>
      </c>
      <c r="O14" s="408" t="str">
        <f t="shared" ca="1" si="4"/>
        <v/>
      </c>
      <c r="P14" s="408" t="str">
        <f t="shared" ca="1" si="4"/>
        <v/>
      </c>
      <c r="Q14" s="408" t="str">
        <f t="shared" ca="1" si="4"/>
        <v/>
      </c>
      <c r="R14" s="410" t="str">
        <f ca="1">Cluster!J33</f>
        <v>Selection</v>
      </c>
      <c r="S14" s="411" t="str">
        <f t="shared" ca="1" si="5"/>
        <v>-</v>
      </c>
      <c r="T14" s="412" t="str">
        <f t="shared" ca="1" si="6"/>
        <v/>
      </c>
      <c r="U14" s="411" t="str">
        <f t="shared" ca="1" si="7"/>
        <v>-</v>
      </c>
      <c r="V14" s="411" t="str">
        <f t="shared" ca="1" si="8"/>
        <v>-</v>
      </c>
      <c r="W14" s="413">
        <f>Cluster!N33</f>
        <v>0</v>
      </c>
      <c r="X14" s="414" t="str">
        <f t="shared" ca="1" si="9"/>
        <v>-</v>
      </c>
      <c r="Y14" s="411" t="str">
        <f t="shared" ca="1" si="10"/>
        <v>-</v>
      </c>
      <c r="Z14" s="415" t="str">
        <f t="shared" ca="1" si="11"/>
        <v>-</v>
      </c>
      <c r="AA14" s="416" t="str">
        <f t="shared" ca="1" si="12"/>
        <v>-</v>
      </c>
      <c r="AB14" s="416" t="str">
        <f t="shared" ca="1" si="13"/>
        <v/>
      </c>
      <c r="AC14" s="434" t="str">
        <f>Cluster!Q33</f>
        <v>Bypass</v>
      </c>
      <c r="AD14" s="435" t="str">
        <f t="shared" ca="1" si="14"/>
        <v/>
      </c>
      <c r="AE14" s="436" t="str">
        <f t="shared" ca="1" si="14"/>
        <v/>
      </c>
      <c r="AF14" s="437" t="str">
        <f t="shared" ca="1" si="15"/>
        <v>-</v>
      </c>
      <c r="AG14" s="438" t="str">
        <f t="shared" ca="1" si="16"/>
        <v>-</v>
      </c>
      <c r="AH14" s="437" t="str">
        <f t="shared" ca="1" si="17"/>
        <v>-</v>
      </c>
      <c r="AI14" s="438" t="str">
        <f t="shared" ca="1" si="18"/>
        <v>-</v>
      </c>
      <c r="AJ14" s="438" t="str">
        <f t="shared" ca="1" si="19"/>
        <v>-</v>
      </c>
      <c r="AK14" s="439" t="str">
        <f ca="1">IFERROR(AE14*AD14*AL14/(IF(Cluster!AA33=Cluster!$W$8,Cluster!$W$10,IF(Cluster!AA33=Cluster!$X$8,Cluster!$X$10,IF(Cluster!AA33=Cluster!$Y$8,Cluster!$Y$10,0)))*10^3),"-")</f>
        <v>-</v>
      </c>
      <c r="AL14" s="440" t="str">
        <f ca="1">IFERROR(IF(OR(Calculation!T14&lt;(Calculation!$U$8+2),Calculation!AC14="Bypass"),IF((IF(Calculation!$O$6/((Calculation!AD14*10^-12)/(Calculation!T14*10^-9)*50)&lt;=1,1,ROUNDUP(Calculation!$O$6/((Calculation!AD14*10^-12)/(Calculation!T14*10^-9)*50),0))*50)&lt;Calculation!$AK$6,Calculation!$AK$6,IF(Calculation!$O$6/((Calculation!AD14*10^-12)/(Calculation!T14*10^-9)*50)&lt;=1,1,ROUNDUP(Calculation!$O$6/((Calculation!AD14*10^-12)/(Calculation!T14*10^-9)*50),0))*50),"-"),"-")</f>
        <v>-</v>
      </c>
      <c r="AM14" s="441" t="str">
        <f t="shared" ca="1" si="20"/>
        <v/>
      </c>
      <c r="AN14" s="442" t="str">
        <f t="shared" ca="1" si="20"/>
        <v/>
      </c>
      <c r="AO14" s="432">
        <f t="shared" ca="1" si="21"/>
        <v>384</v>
      </c>
      <c r="AP14" s="427" t="str">
        <f t="shared" ca="1" si="22"/>
        <v>-</v>
      </c>
      <c r="AQ14" s="443" t="str">
        <f t="shared" ca="1" si="23"/>
        <v>-</v>
      </c>
      <c r="AR14" s="444" t="str">
        <f t="shared" ca="1" si="24"/>
        <v>-</v>
      </c>
      <c r="AS14" s="430" t="str">
        <f t="shared" ca="1" si="25"/>
        <v>-</v>
      </c>
      <c r="AT14" s="431"/>
      <c r="AU14" s="431"/>
      <c r="AV14" s="432">
        <v>5</v>
      </c>
      <c r="AW14" s="433" t="e">
        <f>ListAndConversion!S7</f>
        <v>#DIV/0!</v>
      </c>
      <c r="AX14" s="432" t="e">
        <f>IF(AW14="-","-",IF(COUNTIF(ListAndConversion!$F$3:$M$386,Calculation!AW14)=0,"Missing Lane","OK"))</f>
        <v>#DIV/0!</v>
      </c>
      <c r="AY14" s="433" t="str">
        <f>IFERROR(VLOOKUP(AW14,ListAndConversion!$F$3:$O$386,9,0),"-")</f>
        <v>-</v>
      </c>
      <c r="AZ14" s="433" t="str">
        <f>IFERROR(VLOOKUP(AW14,ListAndConversion!$F$3:$O$386,10,0),"-")</f>
        <v>-</v>
      </c>
      <c r="BA14" s="433" t="e">
        <f t="shared" si="26"/>
        <v>#DIV/0!</v>
      </c>
      <c r="BB14" s="433" t="str">
        <f t="shared" si="27"/>
        <v>-</v>
      </c>
      <c r="BC14" s="433" t="str">
        <f t="shared" si="28"/>
        <v/>
      </c>
      <c r="BD14" s="433"/>
    </row>
    <row r="15" spans="1:56" ht="14.25" x14ac:dyDescent="0.65">
      <c r="A15" s="407">
        <v>7</v>
      </c>
      <c r="B15" s="408" t="str">
        <f t="shared" ca="1" si="2"/>
        <v/>
      </c>
      <c r="C15" s="408" t="str">
        <f ca="1">IFERROR(IF(G15="","",CONCATENATE(E15,"-",INDEX(Coordinate,MATCH(F15,ListAndConversion!$X$4:$X$99,0),2))),"")</f>
        <v/>
      </c>
      <c r="D15" s="408" t="str">
        <f t="shared" ca="1" si="3"/>
        <v/>
      </c>
      <c r="E15" s="408" t="str">
        <f t="shared" ca="1" si="3"/>
        <v/>
      </c>
      <c r="F15" s="408" t="str">
        <f t="shared" ca="1" si="3"/>
        <v/>
      </c>
      <c r="G15" s="408" t="str">
        <f ca="1">IFERROR(INDEX(ListAndConversion!A:B,MATCH(Calculation!E15,ListAndConversion!A:A,0),2),"")</f>
        <v/>
      </c>
      <c r="H15" s="408" t="str">
        <f>IF(TrackIT_Lines!AD7="","",TrackIT_Lines!AD7)</f>
        <v/>
      </c>
      <c r="I15" s="408" t="str">
        <f>IF(TrackIT_Lines!AD7="","",CONCATENATE(TrackIT_Lines!AD7,"-",TrackIT_Lines!AG7))</f>
        <v/>
      </c>
      <c r="J15" s="409" t="str">
        <f t="shared" ca="1" si="4"/>
        <v/>
      </c>
      <c r="K15" s="408" t="str">
        <f t="shared" ca="1" si="4"/>
        <v/>
      </c>
      <c r="L15" s="408" t="str">
        <f t="shared" ca="1" si="4"/>
        <v/>
      </c>
      <c r="M15" s="408" t="str">
        <f t="shared" ca="1" si="4"/>
        <v/>
      </c>
      <c r="N15" s="408" t="str">
        <f t="shared" ca="1" si="4"/>
        <v/>
      </c>
      <c r="O15" s="408" t="str">
        <f t="shared" ca="1" si="4"/>
        <v/>
      </c>
      <c r="P15" s="408" t="str">
        <f t="shared" ca="1" si="4"/>
        <v/>
      </c>
      <c r="Q15" s="408" t="str">
        <f t="shared" ca="1" si="4"/>
        <v/>
      </c>
      <c r="R15" s="410" t="str">
        <f ca="1">Cluster!J34</f>
        <v>Selection</v>
      </c>
      <c r="S15" s="411" t="str">
        <f t="shared" ca="1" si="5"/>
        <v>-</v>
      </c>
      <c r="T15" s="412" t="str">
        <f t="shared" ca="1" si="6"/>
        <v/>
      </c>
      <c r="U15" s="411" t="str">
        <f t="shared" ca="1" si="7"/>
        <v>-</v>
      </c>
      <c r="V15" s="411" t="str">
        <f t="shared" ca="1" si="8"/>
        <v>-</v>
      </c>
      <c r="W15" s="413">
        <f>Cluster!N34</f>
        <v>0</v>
      </c>
      <c r="X15" s="414" t="str">
        <f t="shared" ca="1" si="9"/>
        <v>-</v>
      </c>
      <c r="Y15" s="411" t="str">
        <f t="shared" ca="1" si="10"/>
        <v>-</v>
      </c>
      <c r="Z15" s="415" t="str">
        <f t="shared" ca="1" si="11"/>
        <v>-</v>
      </c>
      <c r="AA15" s="416" t="str">
        <f t="shared" ca="1" si="12"/>
        <v>-</v>
      </c>
      <c r="AB15" s="416" t="str">
        <f t="shared" ca="1" si="13"/>
        <v/>
      </c>
      <c r="AC15" s="434" t="str">
        <f>Cluster!Q34</f>
        <v>Bypass</v>
      </c>
      <c r="AD15" s="435" t="str">
        <f t="shared" ca="1" si="14"/>
        <v/>
      </c>
      <c r="AE15" s="436" t="str">
        <f t="shared" ca="1" si="14"/>
        <v/>
      </c>
      <c r="AF15" s="437" t="str">
        <f t="shared" ca="1" si="15"/>
        <v>-</v>
      </c>
      <c r="AG15" s="438" t="str">
        <f t="shared" ca="1" si="16"/>
        <v>-</v>
      </c>
      <c r="AH15" s="437" t="str">
        <f t="shared" ca="1" si="17"/>
        <v>-</v>
      </c>
      <c r="AI15" s="438" t="str">
        <f t="shared" ca="1" si="18"/>
        <v>-</v>
      </c>
      <c r="AJ15" s="438" t="str">
        <f t="shared" ca="1" si="19"/>
        <v>-</v>
      </c>
      <c r="AK15" s="439" t="str">
        <f ca="1">IFERROR(AE15*AD15*AL15/(IF(Cluster!AA34=Cluster!$W$8,Cluster!$W$10,IF(Cluster!AA34=Cluster!$X$8,Cluster!$X$10,IF(Cluster!AA34=Cluster!$Y$8,Cluster!$Y$10,0)))*10^3),"-")</f>
        <v>-</v>
      </c>
      <c r="AL15" s="440" t="str">
        <f ca="1">IFERROR(IF(OR(Calculation!T15&lt;(Calculation!$U$8+2),Calculation!AC15="Bypass"),IF((IF(Calculation!$O$6/((Calculation!AD15*10^-12)/(Calculation!T15*10^-9)*50)&lt;=1,1,ROUNDUP(Calculation!$O$6/((Calculation!AD15*10^-12)/(Calculation!T15*10^-9)*50),0))*50)&lt;Calculation!$AK$6,Calculation!$AK$6,IF(Calculation!$O$6/((Calculation!AD15*10^-12)/(Calculation!T15*10^-9)*50)&lt;=1,1,ROUNDUP(Calculation!$O$6/((Calculation!AD15*10^-12)/(Calculation!T15*10^-9)*50),0))*50),"-"),"-")</f>
        <v>-</v>
      </c>
      <c r="AM15" s="441" t="str">
        <f t="shared" ca="1" si="20"/>
        <v/>
      </c>
      <c r="AN15" s="442" t="str">
        <f t="shared" ca="1" si="20"/>
        <v/>
      </c>
      <c r="AO15" s="432">
        <f t="shared" ca="1" si="21"/>
        <v>384</v>
      </c>
      <c r="AP15" s="427" t="str">
        <f t="shared" ca="1" si="22"/>
        <v>-</v>
      </c>
      <c r="AQ15" s="443" t="str">
        <f t="shared" ca="1" si="23"/>
        <v>-</v>
      </c>
      <c r="AR15" s="444" t="str">
        <f t="shared" ca="1" si="24"/>
        <v>-</v>
      </c>
      <c r="AS15" s="430" t="str">
        <f t="shared" ca="1" si="25"/>
        <v>-</v>
      </c>
      <c r="AT15" s="431"/>
      <c r="AU15" s="431"/>
      <c r="AV15" s="432">
        <v>6</v>
      </c>
      <c r="AW15" s="433" t="e">
        <f>ListAndConversion!S8</f>
        <v>#DIV/0!</v>
      </c>
      <c r="AX15" s="432" t="e">
        <f>IF(AW15="-","-",IF(COUNTIF(ListAndConversion!$F$3:$M$386,Calculation!AW15)=0,"Missing Lane","OK"))</f>
        <v>#DIV/0!</v>
      </c>
      <c r="AY15" s="433" t="str">
        <f>IFERROR(VLOOKUP(AW15,ListAndConversion!$F$3:$O$386,9,0),"-")</f>
        <v>-</v>
      </c>
      <c r="AZ15" s="433" t="str">
        <f>IFERROR(VLOOKUP(AW15,ListAndConversion!$F$3:$O$386,10,0),"-")</f>
        <v>-</v>
      </c>
      <c r="BA15" s="433" t="e">
        <f t="shared" si="26"/>
        <v>#DIV/0!</v>
      </c>
      <c r="BB15" s="433" t="str">
        <f t="shared" si="27"/>
        <v>-</v>
      </c>
      <c r="BC15" s="433" t="str">
        <f t="shared" si="28"/>
        <v/>
      </c>
      <c r="BD15" s="433" t="s">
        <v>229</v>
      </c>
    </row>
    <row r="16" spans="1:56" ht="14.25" x14ac:dyDescent="0.65">
      <c r="A16" s="407">
        <v>8</v>
      </c>
      <c r="B16" s="408" t="str">
        <f t="shared" ca="1" si="2"/>
        <v/>
      </c>
      <c r="C16" s="408" t="str">
        <f ca="1">IFERROR(IF(G16="","",CONCATENATE(E16,"-",INDEX(Coordinate,MATCH(F16,ListAndConversion!$X$4:$X$99,0),2))),"")</f>
        <v/>
      </c>
      <c r="D16" s="408" t="str">
        <f t="shared" ca="1" si="3"/>
        <v/>
      </c>
      <c r="E16" s="408" t="str">
        <f t="shared" ca="1" si="3"/>
        <v/>
      </c>
      <c r="F16" s="408" t="str">
        <f t="shared" ca="1" si="3"/>
        <v/>
      </c>
      <c r="G16" s="408" t="str">
        <f ca="1">IFERROR(INDEX(ListAndConversion!A:B,MATCH(Calculation!E16,ListAndConversion!A:A,0),2),"")</f>
        <v/>
      </c>
      <c r="H16" s="408" t="str">
        <f>IF(TrackIT_Lines!AD8="","",TrackIT_Lines!AD8)</f>
        <v/>
      </c>
      <c r="I16" s="408" t="str">
        <f>IF(TrackIT_Lines!AD8="","",CONCATENATE(TrackIT_Lines!AD8,"-",TrackIT_Lines!AG8))</f>
        <v/>
      </c>
      <c r="J16" s="409" t="str">
        <f t="shared" ca="1" si="4"/>
        <v/>
      </c>
      <c r="K16" s="408" t="str">
        <f t="shared" ca="1" si="4"/>
        <v/>
      </c>
      <c r="L16" s="408" t="str">
        <f t="shared" ca="1" si="4"/>
        <v/>
      </c>
      <c r="M16" s="408" t="str">
        <f t="shared" ca="1" si="4"/>
        <v/>
      </c>
      <c r="N16" s="408" t="str">
        <f t="shared" ca="1" si="4"/>
        <v/>
      </c>
      <c r="O16" s="408" t="str">
        <f t="shared" ca="1" si="4"/>
        <v/>
      </c>
      <c r="P16" s="408" t="str">
        <f t="shared" ca="1" si="4"/>
        <v/>
      </c>
      <c r="Q16" s="408" t="str">
        <f t="shared" ca="1" si="4"/>
        <v/>
      </c>
      <c r="R16" s="410" t="str">
        <f ca="1">Cluster!J35</f>
        <v>Selection</v>
      </c>
      <c r="S16" s="411" t="str">
        <f t="shared" ca="1" si="5"/>
        <v>-</v>
      </c>
      <c r="T16" s="412" t="str">
        <f t="shared" ca="1" si="6"/>
        <v/>
      </c>
      <c r="U16" s="411" t="str">
        <f t="shared" ca="1" si="7"/>
        <v>-</v>
      </c>
      <c r="V16" s="411" t="str">
        <f t="shared" ca="1" si="8"/>
        <v>-</v>
      </c>
      <c r="W16" s="413">
        <f>Cluster!N35</f>
        <v>0</v>
      </c>
      <c r="X16" s="414" t="str">
        <f t="shared" ca="1" si="9"/>
        <v>-</v>
      </c>
      <c r="Y16" s="411" t="str">
        <f t="shared" ca="1" si="10"/>
        <v>-</v>
      </c>
      <c r="Z16" s="415" t="str">
        <f t="shared" ca="1" si="11"/>
        <v>-</v>
      </c>
      <c r="AA16" s="416" t="str">
        <f t="shared" ca="1" si="12"/>
        <v>-</v>
      </c>
      <c r="AB16" s="416" t="str">
        <f t="shared" ca="1" si="13"/>
        <v/>
      </c>
      <c r="AC16" s="434" t="str">
        <f>Cluster!Q35</f>
        <v>Bypass</v>
      </c>
      <c r="AD16" s="435" t="str">
        <f t="shared" ca="1" si="14"/>
        <v/>
      </c>
      <c r="AE16" s="436" t="str">
        <f t="shared" ca="1" si="14"/>
        <v/>
      </c>
      <c r="AF16" s="437" t="str">
        <f t="shared" ca="1" si="15"/>
        <v>-</v>
      </c>
      <c r="AG16" s="438" t="str">
        <f t="shared" ca="1" si="16"/>
        <v>-</v>
      </c>
      <c r="AH16" s="437" t="str">
        <f t="shared" ca="1" si="17"/>
        <v>-</v>
      </c>
      <c r="AI16" s="438" t="str">
        <f t="shared" ca="1" si="18"/>
        <v>-</v>
      </c>
      <c r="AJ16" s="438" t="str">
        <f t="shared" ca="1" si="19"/>
        <v>-</v>
      </c>
      <c r="AK16" s="439" t="str">
        <f ca="1">IFERROR(AE16*AD16*AL16/(IF(Cluster!AA35=Cluster!$W$8,Cluster!$W$10,IF(Cluster!AA35=Cluster!$X$8,Cluster!$X$10,IF(Cluster!AA35=Cluster!$Y$8,Cluster!$Y$10,0)))*10^3),"-")</f>
        <v>-</v>
      </c>
      <c r="AL16" s="440" t="str">
        <f ca="1">IFERROR(IF(OR(Calculation!T16&lt;(Calculation!$U$8+2),Calculation!AC16="Bypass"),IF((IF(Calculation!$O$6/((Calculation!AD16*10^-12)/(Calculation!T16*10^-9)*50)&lt;=1,1,ROUNDUP(Calculation!$O$6/((Calculation!AD16*10^-12)/(Calculation!T16*10^-9)*50),0))*50)&lt;Calculation!$AK$6,Calculation!$AK$6,IF(Calculation!$O$6/((Calculation!AD16*10^-12)/(Calculation!T16*10^-9)*50)&lt;=1,1,ROUNDUP(Calculation!$O$6/((Calculation!AD16*10^-12)/(Calculation!T16*10^-9)*50),0))*50),"-"),"-")</f>
        <v>-</v>
      </c>
      <c r="AM16" s="441" t="str">
        <f t="shared" ca="1" si="20"/>
        <v/>
      </c>
      <c r="AN16" s="442" t="str">
        <f t="shared" ca="1" si="20"/>
        <v/>
      </c>
      <c r="AO16" s="432">
        <f t="shared" ca="1" si="21"/>
        <v>384</v>
      </c>
      <c r="AP16" s="427" t="str">
        <f t="shared" ca="1" si="22"/>
        <v>-</v>
      </c>
      <c r="AQ16" s="443" t="str">
        <f t="shared" ca="1" si="23"/>
        <v>-</v>
      </c>
      <c r="AR16" s="444" t="str">
        <f t="shared" ca="1" si="24"/>
        <v>-</v>
      </c>
      <c r="AS16" s="430" t="str">
        <f t="shared" ca="1" si="25"/>
        <v>-</v>
      </c>
      <c r="AT16" s="431"/>
      <c r="AU16" s="431"/>
      <c r="AV16" s="432">
        <v>7</v>
      </c>
      <c r="AW16" s="433" t="e">
        <f>ListAndConversion!S9</f>
        <v>#DIV/0!</v>
      </c>
      <c r="AX16" s="432" t="e">
        <f>IF(AW16="-","-",IF(COUNTIF(ListAndConversion!$F$3:$M$386,Calculation!AW16)=0,"Missing Lane","OK"))</f>
        <v>#DIV/0!</v>
      </c>
      <c r="AY16" s="433" t="str">
        <f>IFERROR(VLOOKUP(AW16,ListAndConversion!$F$3:$O$386,9,0),"-")</f>
        <v>-</v>
      </c>
      <c r="AZ16" s="433" t="str">
        <f>IFERROR(VLOOKUP(AW16,ListAndConversion!$F$3:$O$386,10,0),"-")</f>
        <v>-</v>
      </c>
      <c r="BA16" s="433" t="e">
        <f t="shared" si="26"/>
        <v>#DIV/0!</v>
      </c>
      <c r="BB16" s="433" t="str">
        <f t="shared" si="27"/>
        <v>-</v>
      </c>
      <c r="BC16" s="433" t="str">
        <f t="shared" si="28"/>
        <v/>
      </c>
      <c r="BD16" s="433" t="str">
        <f>Cluster!A5</f>
        <v xml:space="preserve">RUN </v>
      </c>
    </row>
    <row r="17" spans="1:56" ht="14.25" x14ac:dyDescent="0.65">
      <c r="A17" s="407">
        <v>9</v>
      </c>
      <c r="B17" s="408" t="str">
        <f t="shared" ca="1" si="2"/>
        <v/>
      </c>
      <c r="C17" s="408" t="str">
        <f ca="1">IFERROR(IF(G17="","",CONCATENATE(E17,"-",INDEX(Coordinate,MATCH(F17,ListAndConversion!$X$4:$X$99,0),2))),"")</f>
        <v/>
      </c>
      <c r="D17" s="408" t="str">
        <f t="shared" ca="1" si="3"/>
        <v/>
      </c>
      <c r="E17" s="408" t="str">
        <f t="shared" ca="1" si="3"/>
        <v/>
      </c>
      <c r="F17" s="408" t="str">
        <f t="shared" ca="1" si="3"/>
        <v/>
      </c>
      <c r="G17" s="408" t="str">
        <f ca="1">IFERROR(INDEX(ListAndConversion!A:B,MATCH(Calculation!E17,ListAndConversion!A:A,0),2),"")</f>
        <v/>
      </c>
      <c r="H17" s="408" t="str">
        <f>IF(TrackIT_Lines!AD9="","",TrackIT_Lines!AD9)</f>
        <v/>
      </c>
      <c r="I17" s="408" t="str">
        <f>IF(TrackIT_Lines!AD9="","",CONCATENATE(TrackIT_Lines!AD9,"-",TrackIT_Lines!AG9))</f>
        <v/>
      </c>
      <c r="J17" s="409" t="str">
        <f t="shared" ca="1" si="4"/>
        <v/>
      </c>
      <c r="K17" s="408" t="str">
        <f t="shared" ca="1" si="4"/>
        <v/>
      </c>
      <c r="L17" s="408" t="str">
        <f t="shared" ca="1" si="4"/>
        <v/>
      </c>
      <c r="M17" s="408" t="str">
        <f t="shared" ca="1" si="4"/>
        <v/>
      </c>
      <c r="N17" s="408" t="str">
        <f t="shared" ca="1" si="4"/>
        <v/>
      </c>
      <c r="O17" s="408" t="str">
        <f t="shared" ca="1" si="4"/>
        <v/>
      </c>
      <c r="P17" s="408" t="str">
        <f t="shared" ca="1" si="4"/>
        <v/>
      </c>
      <c r="Q17" s="408" t="str">
        <f t="shared" ca="1" si="4"/>
        <v/>
      </c>
      <c r="R17" s="410" t="str">
        <f ca="1">Cluster!J36</f>
        <v>Selection</v>
      </c>
      <c r="S17" s="411" t="str">
        <f t="shared" ca="1" si="5"/>
        <v>-</v>
      </c>
      <c r="T17" s="412" t="str">
        <f t="shared" ca="1" si="6"/>
        <v/>
      </c>
      <c r="U17" s="411" t="str">
        <f t="shared" ca="1" si="7"/>
        <v>-</v>
      </c>
      <c r="V17" s="411" t="str">
        <f t="shared" ca="1" si="8"/>
        <v>-</v>
      </c>
      <c r="W17" s="413">
        <f>Cluster!N36</f>
        <v>0</v>
      </c>
      <c r="X17" s="414" t="str">
        <f t="shared" ca="1" si="9"/>
        <v>-</v>
      </c>
      <c r="Y17" s="411" t="str">
        <f t="shared" ca="1" si="10"/>
        <v>-</v>
      </c>
      <c r="Z17" s="415" t="str">
        <f t="shared" ca="1" si="11"/>
        <v>-</v>
      </c>
      <c r="AA17" s="416" t="str">
        <f t="shared" ca="1" si="12"/>
        <v>-</v>
      </c>
      <c r="AB17" s="416" t="str">
        <f t="shared" ca="1" si="13"/>
        <v/>
      </c>
      <c r="AC17" s="434" t="str">
        <f>Cluster!Q36</f>
        <v>Bypass</v>
      </c>
      <c r="AD17" s="435" t="str">
        <f t="shared" ca="1" si="14"/>
        <v/>
      </c>
      <c r="AE17" s="436" t="str">
        <f t="shared" ca="1" si="14"/>
        <v/>
      </c>
      <c r="AF17" s="437" t="str">
        <f t="shared" ca="1" si="15"/>
        <v>-</v>
      </c>
      <c r="AG17" s="438" t="str">
        <f t="shared" ca="1" si="16"/>
        <v>-</v>
      </c>
      <c r="AH17" s="437" t="str">
        <f t="shared" ca="1" si="17"/>
        <v>-</v>
      </c>
      <c r="AI17" s="438" t="str">
        <f t="shared" ca="1" si="18"/>
        <v>-</v>
      </c>
      <c r="AJ17" s="438" t="str">
        <f t="shared" ca="1" si="19"/>
        <v>-</v>
      </c>
      <c r="AK17" s="439" t="str">
        <f ca="1">IFERROR(AE17*AD17*AL17/(IF(Cluster!AA36=Cluster!$W$8,Cluster!$W$10,IF(Cluster!AA36=Cluster!$X$8,Cluster!$X$10,IF(Cluster!AA36=Cluster!$Y$8,Cluster!$Y$10,0)))*10^3),"-")</f>
        <v>-</v>
      </c>
      <c r="AL17" s="440" t="str">
        <f ca="1">IFERROR(IF(OR(Calculation!T17&lt;(Calculation!$U$8+2),Calculation!AC17="Bypass"),IF((IF(Calculation!$O$6/((Calculation!AD17*10^-12)/(Calculation!T17*10^-9)*50)&lt;=1,1,ROUNDUP(Calculation!$O$6/((Calculation!AD17*10^-12)/(Calculation!T17*10^-9)*50),0))*50)&lt;Calculation!$AK$6,Calculation!$AK$6,IF(Calculation!$O$6/((Calculation!AD17*10^-12)/(Calculation!T17*10^-9)*50)&lt;=1,1,ROUNDUP(Calculation!$O$6/((Calculation!AD17*10^-12)/(Calculation!T17*10^-9)*50),0))*50),"-"),"-")</f>
        <v>-</v>
      </c>
      <c r="AM17" s="441" t="str">
        <f t="shared" ca="1" si="20"/>
        <v/>
      </c>
      <c r="AN17" s="442" t="str">
        <f t="shared" ca="1" si="20"/>
        <v/>
      </c>
      <c r="AO17" s="432">
        <f t="shared" ca="1" si="21"/>
        <v>384</v>
      </c>
      <c r="AP17" s="427" t="str">
        <f t="shared" ca="1" si="22"/>
        <v>-</v>
      </c>
      <c r="AQ17" s="443" t="str">
        <f t="shared" ca="1" si="23"/>
        <v>-</v>
      </c>
      <c r="AR17" s="444" t="str">
        <f t="shared" ca="1" si="24"/>
        <v>-</v>
      </c>
      <c r="AS17" s="430" t="str">
        <f t="shared" ca="1" si="25"/>
        <v>-</v>
      </c>
      <c r="AT17" s="431"/>
      <c r="AU17" s="431"/>
      <c r="AV17" s="432">
        <v>8</v>
      </c>
      <c r="AW17" s="433" t="e">
        <f>ListAndConversion!S10</f>
        <v>#DIV/0!</v>
      </c>
      <c r="AX17" s="432" t="e">
        <f>IF(AW17="-","-",IF(COUNTIF(ListAndConversion!$F$3:$M$386,Calculation!AW17)=0,"Missing Lane","OK"))</f>
        <v>#DIV/0!</v>
      </c>
      <c r="AY17" s="433" t="str">
        <f>IFERROR(VLOOKUP(AW17,ListAndConversion!$F$3:$O$386,9,0),"-")</f>
        <v>-</v>
      </c>
      <c r="AZ17" s="433" t="str">
        <f>IFERROR(VLOOKUP(AW17,ListAndConversion!$F$3:$O$386,10,0),"-")</f>
        <v>-</v>
      </c>
      <c r="BA17" s="433" t="e">
        <f t="shared" si="26"/>
        <v>#DIV/0!</v>
      </c>
      <c r="BB17" s="433" t="str">
        <f t="shared" si="27"/>
        <v>-</v>
      </c>
      <c r="BC17" s="433" t="str">
        <f t="shared" si="28"/>
        <v/>
      </c>
      <c r="BD17" s="433" t="e">
        <f>IF(BD16="MiSeq RUN",1,IF(BD16="Rapid RUN",2,8*Calculation!H6))</f>
        <v>#DIV/0!</v>
      </c>
    </row>
    <row r="18" spans="1:56" ht="14.25" x14ac:dyDescent="0.65">
      <c r="A18" s="407">
        <v>10</v>
      </c>
      <c r="B18" s="408" t="str">
        <f t="shared" ca="1" si="2"/>
        <v/>
      </c>
      <c r="C18" s="408" t="str">
        <f ca="1">IFERROR(IF(G18="","",CONCATENATE(E18,"-",INDEX(Coordinate,MATCH(F18,ListAndConversion!$X$4:$X$99,0),2))),"")</f>
        <v/>
      </c>
      <c r="D18" s="408" t="str">
        <f t="shared" ca="1" si="3"/>
        <v/>
      </c>
      <c r="E18" s="408" t="str">
        <f t="shared" ca="1" si="3"/>
        <v/>
      </c>
      <c r="F18" s="408" t="str">
        <f t="shared" ca="1" si="3"/>
        <v/>
      </c>
      <c r="G18" s="408" t="str">
        <f ca="1">IFERROR(INDEX(ListAndConversion!A:B,MATCH(Calculation!E18,ListAndConversion!A:A,0),2),"")</f>
        <v/>
      </c>
      <c r="H18" s="408" t="str">
        <f>IF(TrackIT_Lines!AD10="","",TrackIT_Lines!AD10)</f>
        <v/>
      </c>
      <c r="I18" s="408" t="str">
        <f>IF(TrackIT_Lines!AD10="","",CONCATENATE(TrackIT_Lines!AD10,"-",TrackIT_Lines!AG10))</f>
        <v/>
      </c>
      <c r="J18" s="409" t="str">
        <f t="shared" ca="1" si="4"/>
        <v/>
      </c>
      <c r="K18" s="408" t="str">
        <f t="shared" ca="1" si="4"/>
        <v/>
      </c>
      <c r="L18" s="408" t="str">
        <f t="shared" ca="1" si="4"/>
        <v/>
      </c>
      <c r="M18" s="408" t="str">
        <f t="shared" ca="1" si="4"/>
        <v/>
      </c>
      <c r="N18" s="408" t="str">
        <f t="shared" ca="1" si="4"/>
        <v/>
      </c>
      <c r="O18" s="408" t="str">
        <f t="shared" ca="1" si="4"/>
        <v/>
      </c>
      <c r="P18" s="408" t="str">
        <f t="shared" ca="1" si="4"/>
        <v/>
      </c>
      <c r="Q18" s="408" t="str">
        <f t="shared" ca="1" si="4"/>
        <v/>
      </c>
      <c r="R18" s="410" t="str">
        <f ca="1">Cluster!J37</f>
        <v>Selection</v>
      </c>
      <c r="S18" s="411" t="str">
        <f t="shared" ca="1" si="5"/>
        <v>-</v>
      </c>
      <c r="T18" s="412" t="str">
        <f t="shared" ca="1" si="6"/>
        <v/>
      </c>
      <c r="U18" s="411" t="str">
        <f t="shared" ca="1" si="7"/>
        <v>-</v>
      </c>
      <c r="V18" s="411" t="str">
        <f t="shared" ca="1" si="8"/>
        <v>-</v>
      </c>
      <c r="W18" s="413">
        <f>Cluster!N37</f>
        <v>0</v>
      </c>
      <c r="X18" s="414" t="str">
        <f t="shared" ca="1" si="9"/>
        <v>-</v>
      </c>
      <c r="Y18" s="411" t="str">
        <f t="shared" ca="1" si="10"/>
        <v>-</v>
      </c>
      <c r="Z18" s="415" t="str">
        <f t="shared" ca="1" si="11"/>
        <v>-</v>
      </c>
      <c r="AA18" s="416" t="str">
        <f t="shared" ca="1" si="12"/>
        <v>-</v>
      </c>
      <c r="AB18" s="416" t="str">
        <f t="shared" ca="1" si="13"/>
        <v/>
      </c>
      <c r="AC18" s="434" t="str">
        <f>Cluster!Q37</f>
        <v>Bypass</v>
      </c>
      <c r="AD18" s="435" t="str">
        <f t="shared" ca="1" si="14"/>
        <v/>
      </c>
      <c r="AE18" s="436" t="str">
        <f t="shared" ca="1" si="14"/>
        <v/>
      </c>
      <c r="AF18" s="437" t="str">
        <f t="shared" ca="1" si="15"/>
        <v>-</v>
      </c>
      <c r="AG18" s="438" t="str">
        <f t="shared" ca="1" si="16"/>
        <v>-</v>
      </c>
      <c r="AH18" s="437" t="str">
        <f t="shared" ca="1" si="17"/>
        <v>-</v>
      </c>
      <c r="AI18" s="438" t="str">
        <f t="shared" ca="1" si="18"/>
        <v>-</v>
      </c>
      <c r="AJ18" s="438" t="str">
        <f t="shared" ca="1" si="19"/>
        <v>-</v>
      </c>
      <c r="AK18" s="439" t="str">
        <f ca="1">IFERROR(AE18*AD18*AL18/(IF(Cluster!AA37=Cluster!$W$8,Cluster!$W$10,IF(Cluster!AA37=Cluster!$X$8,Cluster!$X$10,IF(Cluster!AA37=Cluster!$Y$8,Cluster!$Y$10,0)))*10^3),"-")</f>
        <v>-</v>
      </c>
      <c r="AL18" s="440" t="str">
        <f ca="1">IFERROR(IF(OR(Calculation!T18&lt;(Calculation!$U$8+2),Calculation!AC18="Bypass"),IF((IF(Calculation!$O$6/((Calculation!AD18*10^-12)/(Calculation!T18*10^-9)*50)&lt;=1,1,ROUNDUP(Calculation!$O$6/((Calculation!AD18*10^-12)/(Calculation!T18*10^-9)*50),0))*50)&lt;Calculation!$AK$6,Calculation!$AK$6,IF(Calculation!$O$6/((Calculation!AD18*10^-12)/(Calculation!T18*10^-9)*50)&lt;=1,1,ROUNDUP(Calculation!$O$6/((Calculation!AD18*10^-12)/(Calculation!T18*10^-9)*50),0))*50),"-"),"-")</f>
        <v>-</v>
      </c>
      <c r="AM18" s="441" t="str">
        <f t="shared" ca="1" si="20"/>
        <v/>
      </c>
      <c r="AN18" s="442" t="str">
        <f t="shared" ca="1" si="20"/>
        <v/>
      </c>
      <c r="AO18" s="432">
        <f t="shared" ca="1" si="21"/>
        <v>384</v>
      </c>
      <c r="AP18" s="427" t="str">
        <f t="shared" ca="1" si="22"/>
        <v>-</v>
      </c>
      <c r="AQ18" s="443" t="str">
        <f t="shared" ca="1" si="23"/>
        <v>-</v>
      </c>
      <c r="AR18" s="444" t="str">
        <f t="shared" ca="1" si="24"/>
        <v>-</v>
      </c>
      <c r="AS18" s="430" t="str">
        <f t="shared" ca="1" si="25"/>
        <v>-</v>
      </c>
      <c r="AT18" s="431"/>
      <c r="AU18" s="431"/>
      <c r="AV18" s="432">
        <v>9</v>
      </c>
      <c r="AW18" s="433" t="e">
        <f>ListAndConversion!S11</f>
        <v>#DIV/0!</v>
      </c>
      <c r="AX18" s="432" t="e">
        <f>IF(AW18="-","-",IF(COUNTIF(ListAndConversion!$F$3:$M$386,Calculation!AW18)=0,"Missing Lane","OK"))</f>
        <v>#DIV/0!</v>
      </c>
      <c r="AY18" s="433" t="str">
        <f>IFERROR(VLOOKUP(AW18,ListAndConversion!$F$3:$O$386,9,0),"-")</f>
        <v>-</v>
      </c>
      <c r="AZ18" s="433" t="str">
        <f>IFERROR(VLOOKUP(AW18,ListAndConversion!$F$3:$O$386,10,0),"-")</f>
        <v>-</v>
      </c>
      <c r="BA18" s="433" t="e">
        <f t="shared" si="26"/>
        <v>#DIV/0!</v>
      </c>
      <c r="BB18" s="433" t="str">
        <f t="shared" si="27"/>
        <v>-</v>
      </c>
      <c r="BC18" s="433" t="str">
        <f t="shared" si="28"/>
        <v/>
      </c>
    </row>
    <row r="19" spans="1:56" ht="14.25" x14ac:dyDescent="0.65">
      <c r="A19" s="407">
        <v>11</v>
      </c>
      <c r="B19" s="408" t="str">
        <f t="shared" ca="1" si="2"/>
        <v/>
      </c>
      <c r="C19" s="408" t="str">
        <f ca="1">IFERROR(IF(G19="","",CONCATENATE(E19,"-",INDEX(Coordinate,MATCH(F19,ListAndConversion!$X$4:$X$99,0),2))),"")</f>
        <v/>
      </c>
      <c r="D19" s="408" t="str">
        <f t="shared" ca="1" si="3"/>
        <v/>
      </c>
      <c r="E19" s="408" t="str">
        <f t="shared" ca="1" si="3"/>
        <v/>
      </c>
      <c r="F19" s="408" t="str">
        <f t="shared" ca="1" si="3"/>
        <v/>
      </c>
      <c r="G19" s="408" t="str">
        <f ca="1">IFERROR(INDEX(ListAndConversion!A:B,MATCH(Calculation!E19,ListAndConversion!A:A,0),2),"")</f>
        <v/>
      </c>
      <c r="H19" s="408" t="str">
        <f>IF(TrackIT_Lines!AD11="","",TrackIT_Lines!AD11)</f>
        <v/>
      </c>
      <c r="I19" s="408" t="str">
        <f>IF(TrackIT_Lines!AD11="","",CONCATENATE(TrackIT_Lines!AD11,"-",TrackIT_Lines!AG11))</f>
        <v/>
      </c>
      <c r="J19" s="409" t="str">
        <f t="shared" ca="1" si="4"/>
        <v/>
      </c>
      <c r="K19" s="408" t="str">
        <f t="shared" ca="1" si="4"/>
        <v/>
      </c>
      <c r="L19" s="408" t="str">
        <f t="shared" ca="1" si="4"/>
        <v/>
      </c>
      <c r="M19" s="408" t="str">
        <f t="shared" ca="1" si="4"/>
        <v/>
      </c>
      <c r="N19" s="408" t="str">
        <f t="shared" ca="1" si="4"/>
        <v/>
      </c>
      <c r="O19" s="408" t="str">
        <f t="shared" ca="1" si="4"/>
        <v/>
      </c>
      <c r="P19" s="408" t="str">
        <f t="shared" ca="1" si="4"/>
        <v/>
      </c>
      <c r="Q19" s="408" t="str">
        <f t="shared" ca="1" si="4"/>
        <v/>
      </c>
      <c r="R19" s="410" t="str">
        <f ca="1">Cluster!J38</f>
        <v>Selection</v>
      </c>
      <c r="S19" s="411" t="str">
        <f t="shared" ca="1" si="5"/>
        <v>-</v>
      </c>
      <c r="T19" s="412" t="str">
        <f t="shared" ca="1" si="6"/>
        <v/>
      </c>
      <c r="U19" s="411" t="str">
        <f t="shared" ca="1" si="7"/>
        <v>-</v>
      </c>
      <c r="V19" s="411" t="str">
        <f t="shared" ca="1" si="8"/>
        <v>-</v>
      </c>
      <c r="W19" s="413">
        <f>Cluster!N38</f>
        <v>0</v>
      </c>
      <c r="X19" s="414" t="str">
        <f t="shared" ca="1" si="9"/>
        <v>-</v>
      </c>
      <c r="Y19" s="411" t="str">
        <f t="shared" ca="1" si="10"/>
        <v>-</v>
      </c>
      <c r="Z19" s="415" t="str">
        <f t="shared" ca="1" si="11"/>
        <v>-</v>
      </c>
      <c r="AA19" s="416" t="str">
        <f t="shared" ca="1" si="12"/>
        <v>-</v>
      </c>
      <c r="AB19" s="416" t="str">
        <f t="shared" ca="1" si="13"/>
        <v/>
      </c>
      <c r="AC19" s="434" t="str">
        <f>Cluster!Q38</f>
        <v>Bypass</v>
      </c>
      <c r="AD19" s="435" t="str">
        <f t="shared" ca="1" si="14"/>
        <v/>
      </c>
      <c r="AE19" s="436" t="str">
        <f t="shared" ca="1" si="14"/>
        <v/>
      </c>
      <c r="AF19" s="437" t="str">
        <f t="shared" ca="1" si="15"/>
        <v>-</v>
      </c>
      <c r="AG19" s="438" t="str">
        <f t="shared" ca="1" si="16"/>
        <v>-</v>
      </c>
      <c r="AH19" s="437" t="str">
        <f t="shared" ca="1" si="17"/>
        <v>-</v>
      </c>
      <c r="AI19" s="438" t="str">
        <f t="shared" ca="1" si="18"/>
        <v>-</v>
      </c>
      <c r="AJ19" s="438" t="str">
        <f t="shared" ca="1" si="19"/>
        <v>-</v>
      </c>
      <c r="AK19" s="439" t="str">
        <f ca="1">IFERROR(AE19*AD19*AL19/(IF(Cluster!AA38=Cluster!$W$8,Cluster!$W$10,IF(Cluster!AA38=Cluster!$X$8,Cluster!$X$10,IF(Cluster!AA38=Cluster!$Y$8,Cluster!$Y$10,0)))*10^3),"-")</f>
        <v>-</v>
      </c>
      <c r="AL19" s="440" t="str">
        <f ca="1">IFERROR(IF(OR(Calculation!T19&lt;(Calculation!$U$8+2),Calculation!AC19="Bypass"),IF((IF(Calculation!$O$6/((Calculation!AD19*10^-12)/(Calculation!T19*10^-9)*50)&lt;=1,1,ROUNDUP(Calculation!$O$6/((Calculation!AD19*10^-12)/(Calculation!T19*10^-9)*50),0))*50)&lt;Calculation!$AK$6,Calculation!$AK$6,IF(Calculation!$O$6/((Calculation!AD19*10^-12)/(Calculation!T19*10^-9)*50)&lt;=1,1,ROUNDUP(Calculation!$O$6/((Calculation!AD19*10^-12)/(Calculation!T19*10^-9)*50),0))*50),"-"),"-")</f>
        <v>-</v>
      </c>
      <c r="AM19" s="441" t="str">
        <f t="shared" ca="1" si="20"/>
        <v/>
      </c>
      <c r="AN19" s="442" t="str">
        <f t="shared" ca="1" si="20"/>
        <v/>
      </c>
      <c r="AO19" s="432">
        <f t="shared" ca="1" si="21"/>
        <v>384</v>
      </c>
      <c r="AP19" s="427" t="str">
        <f t="shared" ca="1" si="22"/>
        <v>-</v>
      </c>
      <c r="AQ19" s="443" t="str">
        <f t="shared" ca="1" si="23"/>
        <v>-</v>
      </c>
      <c r="AR19" s="444" t="str">
        <f t="shared" ca="1" si="24"/>
        <v>-</v>
      </c>
      <c r="AS19" s="430" t="str">
        <f t="shared" ca="1" si="25"/>
        <v>-</v>
      </c>
      <c r="AT19" s="431"/>
      <c r="AU19" s="431"/>
      <c r="AV19" s="432">
        <v>10</v>
      </c>
      <c r="AW19" s="433" t="e">
        <f>ListAndConversion!S12</f>
        <v>#DIV/0!</v>
      </c>
      <c r="AX19" s="432" t="e">
        <f>IF(AW19="-","-",IF(COUNTIF(ListAndConversion!$F$3:$M$386,Calculation!AW19)=0,"Missing Lane","OK"))</f>
        <v>#DIV/0!</v>
      </c>
      <c r="AY19" s="433" t="str">
        <f>IFERROR(VLOOKUP(AW19,ListAndConversion!$F$3:$O$386,9,0),"-")</f>
        <v>-</v>
      </c>
      <c r="AZ19" s="433" t="str">
        <f>IFERROR(VLOOKUP(AW19,ListAndConversion!$F$3:$O$386,10,0),"-")</f>
        <v>-</v>
      </c>
      <c r="BA19" s="433" t="e">
        <f t="shared" si="26"/>
        <v>#DIV/0!</v>
      </c>
      <c r="BB19" s="433" t="str">
        <f t="shared" si="27"/>
        <v>-</v>
      </c>
      <c r="BC19" s="433" t="str">
        <f t="shared" si="28"/>
        <v/>
      </c>
    </row>
    <row r="20" spans="1:56" ht="14.25" x14ac:dyDescent="0.65">
      <c r="A20" s="407">
        <v>12</v>
      </c>
      <c r="B20" s="408" t="str">
        <f t="shared" ca="1" si="2"/>
        <v/>
      </c>
      <c r="C20" s="408" t="str">
        <f ca="1">IFERROR(IF(G20="","",CONCATENATE(E20,"-",INDEX(Coordinate,MATCH(F20,ListAndConversion!$X$4:$X$99,0),2))),"")</f>
        <v/>
      </c>
      <c r="D20" s="408" t="str">
        <f t="shared" ca="1" si="3"/>
        <v/>
      </c>
      <c r="E20" s="408" t="str">
        <f t="shared" ca="1" si="3"/>
        <v/>
      </c>
      <c r="F20" s="408" t="str">
        <f t="shared" ca="1" si="3"/>
        <v/>
      </c>
      <c r="G20" s="408" t="str">
        <f ca="1">IFERROR(INDEX(ListAndConversion!A:B,MATCH(Calculation!E20,ListAndConversion!A:A,0),2),"")</f>
        <v/>
      </c>
      <c r="H20" s="408" t="str">
        <f>IF(TrackIT_Lines!AD12="","",TrackIT_Lines!AD12)</f>
        <v/>
      </c>
      <c r="I20" s="408" t="str">
        <f>IF(TrackIT_Lines!AD12="","",CONCATENATE(TrackIT_Lines!AD12,"-",TrackIT_Lines!AG12))</f>
        <v/>
      </c>
      <c r="J20" s="409" t="str">
        <f t="shared" ref="J20:Q29" ca="1" si="29">IF((INDIRECT("TrackIT_Lines!"&amp;J$2&amp;$A20))="","", (INDIRECT("TrackIT_Lines!"&amp;J$2&amp;$A20)))</f>
        <v/>
      </c>
      <c r="K20" s="408" t="str">
        <f t="shared" ca="1" si="29"/>
        <v/>
      </c>
      <c r="L20" s="408" t="str">
        <f t="shared" ca="1" si="29"/>
        <v/>
      </c>
      <c r="M20" s="408" t="str">
        <f t="shared" ca="1" si="29"/>
        <v/>
      </c>
      <c r="N20" s="408" t="str">
        <f t="shared" ca="1" si="29"/>
        <v/>
      </c>
      <c r="O20" s="408" t="str">
        <f t="shared" ca="1" si="29"/>
        <v/>
      </c>
      <c r="P20" s="408" t="str">
        <f t="shared" ca="1" si="29"/>
        <v/>
      </c>
      <c r="Q20" s="408" t="str">
        <f t="shared" ca="1" si="29"/>
        <v/>
      </c>
      <c r="R20" s="410" t="str">
        <f ca="1">Cluster!J39</f>
        <v>Selection</v>
      </c>
      <c r="S20" s="411" t="str">
        <f t="shared" ca="1" si="5"/>
        <v>-</v>
      </c>
      <c r="T20" s="412" t="str">
        <f t="shared" ca="1" si="6"/>
        <v/>
      </c>
      <c r="U20" s="411" t="str">
        <f t="shared" ca="1" si="7"/>
        <v>-</v>
      </c>
      <c r="V20" s="411" t="str">
        <f t="shared" ca="1" si="8"/>
        <v>-</v>
      </c>
      <c r="W20" s="413">
        <f>Cluster!N39</f>
        <v>0</v>
      </c>
      <c r="X20" s="414" t="str">
        <f t="shared" ca="1" si="9"/>
        <v>-</v>
      </c>
      <c r="Y20" s="411" t="str">
        <f t="shared" ca="1" si="10"/>
        <v>-</v>
      </c>
      <c r="Z20" s="415" t="str">
        <f t="shared" ca="1" si="11"/>
        <v>-</v>
      </c>
      <c r="AA20" s="416" t="str">
        <f t="shared" ca="1" si="12"/>
        <v>-</v>
      </c>
      <c r="AB20" s="416" t="str">
        <f t="shared" ca="1" si="13"/>
        <v/>
      </c>
      <c r="AC20" s="434" t="str">
        <f>Cluster!Q39</f>
        <v>Bypass</v>
      </c>
      <c r="AD20" s="435" t="str">
        <f t="shared" ca="1" si="14"/>
        <v/>
      </c>
      <c r="AE20" s="436" t="str">
        <f t="shared" ca="1" si="14"/>
        <v/>
      </c>
      <c r="AF20" s="437" t="str">
        <f t="shared" ca="1" si="15"/>
        <v>-</v>
      </c>
      <c r="AG20" s="438" t="str">
        <f t="shared" ca="1" si="16"/>
        <v>-</v>
      </c>
      <c r="AH20" s="437" t="str">
        <f t="shared" ca="1" si="17"/>
        <v>-</v>
      </c>
      <c r="AI20" s="438" t="str">
        <f t="shared" ca="1" si="18"/>
        <v>-</v>
      </c>
      <c r="AJ20" s="438" t="str">
        <f t="shared" ca="1" si="19"/>
        <v>-</v>
      </c>
      <c r="AK20" s="439" t="str">
        <f ca="1">IFERROR(AE20*AD20*AL20/(IF(Cluster!AA39=Cluster!$W$8,Cluster!$W$10,IF(Cluster!AA39=Cluster!$X$8,Cluster!$X$10,IF(Cluster!AA39=Cluster!$Y$8,Cluster!$Y$10,0)))*10^3),"-")</f>
        <v>-</v>
      </c>
      <c r="AL20" s="440" t="str">
        <f ca="1">IFERROR(IF(OR(Calculation!T20&lt;(Calculation!$U$8+2),Calculation!AC20="Bypass"),IF((IF(Calculation!$O$6/((Calculation!AD20*10^-12)/(Calculation!T20*10^-9)*50)&lt;=1,1,ROUNDUP(Calculation!$O$6/((Calculation!AD20*10^-12)/(Calculation!T20*10^-9)*50),0))*50)&lt;Calculation!$AK$6,Calculation!$AK$6,IF(Calculation!$O$6/((Calculation!AD20*10^-12)/(Calculation!T20*10^-9)*50)&lt;=1,1,ROUNDUP(Calculation!$O$6/((Calculation!AD20*10^-12)/(Calculation!T20*10^-9)*50),0))*50),"-"),"-")</f>
        <v>-</v>
      </c>
      <c r="AM20" s="441" t="str">
        <f t="shared" ca="1" si="20"/>
        <v/>
      </c>
      <c r="AN20" s="442" t="str">
        <f t="shared" ca="1" si="20"/>
        <v/>
      </c>
      <c r="AO20" s="432">
        <f t="shared" ca="1" si="21"/>
        <v>384</v>
      </c>
      <c r="AP20" s="427" t="str">
        <f t="shared" ca="1" si="22"/>
        <v>-</v>
      </c>
      <c r="AQ20" s="443" t="str">
        <f t="shared" ca="1" si="23"/>
        <v>-</v>
      </c>
      <c r="AR20" s="444" t="str">
        <f t="shared" ca="1" si="24"/>
        <v>-</v>
      </c>
      <c r="AS20" s="430" t="str">
        <f t="shared" ca="1" si="25"/>
        <v>-</v>
      </c>
      <c r="AT20" s="431"/>
      <c r="AU20" s="431"/>
      <c r="AV20" s="432">
        <v>11</v>
      </c>
      <c r="AW20" s="433" t="e">
        <f>ListAndConversion!S13</f>
        <v>#DIV/0!</v>
      </c>
      <c r="AX20" s="432" t="e">
        <f>IF(AW20="-","-",IF(COUNTIF(ListAndConversion!$F$3:$M$386,Calculation!AW20)=0,"Missing Lane","OK"))</f>
        <v>#DIV/0!</v>
      </c>
      <c r="AY20" s="433" t="str">
        <f>IFERROR(VLOOKUP(AW20,ListAndConversion!$F$3:$O$386,9,0),"-")</f>
        <v>-</v>
      </c>
      <c r="AZ20" s="433" t="str">
        <f>IFERROR(VLOOKUP(AW20,ListAndConversion!$F$3:$O$386,10,0),"-")</f>
        <v>-</v>
      </c>
      <c r="BA20" s="433" t="e">
        <f t="shared" si="26"/>
        <v>#DIV/0!</v>
      </c>
      <c r="BB20" s="433" t="str">
        <f t="shared" si="27"/>
        <v>-</v>
      </c>
      <c r="BC20" s="433" t="str">
        <f t="shared" si="28"/>
        <v/>
      </c>
    </row>
    <row r="21" spans="1:56" ht="14.25" x14ac:dyDescent="0.65">
      <c r="A21" s="407">
        <v>13</v>
      </c>
      <c r="B21" s="408" t="str">
        <f t="shared" ca="1" si="2"/>
        <v/>
      </c>
      <c r="C21" s="408" t="str">
        <f ca="1">IFERROR(IF(G21="","",CONCATENATE(E21,"-",INDEX(Coordinate,MATCH(F21,ListAndConversion!$X$4:$X$99,0),2))),"")</f>
        <v/>
      </c>
      <c r="D21" s="408" t="str">
        <f t="shared" ca="1" si="3"/>
        <v/>
      </c>
      <c r="E21" s="408" t="str">
        <f t="shared" ca="1" si="3"/>
        <v/>
      </c>
      <c r="F21" s="408" t="str">
        <f t="shared" ca="1" si="3"/>
        <v/>
      </c>
      <c r="G21" s="408" t="str">
        <f ca="1">IFERROR(INDEX(ListAndConversion!A:B,MATCH(Calculation!E21,ListAndConversion!A:A,0),2),"")</f>
        <v/>
      </c>
      <c r="H21" s="408" t="str">
        <f>IF(TrackIT_Lines!AD13="","",TrackIT_Lines!AD13)</f>
        <v/>
      </c>
      <c r="I21" s="408" t="str">
        <f>IF(TrackIT_Lines!AD13="","",CONCATENATE(TrackIT_Lines!AD13,"-",TrackIT_Lines!AG13))</f>
        <v/>
      </c>
      <c r="J21" s="409" t="str">
        <f t="shared" ca="1" si="29"/>
        <v/>
      </c>
      <c r="K21" s="408" t="str">
        <f t="shared" ca="1" si="29"/>
        <v/>
      </c>
      <c r="L21" s="408" t="str">
        <f t="shared" ca="1" si="29"/>
        <v/>
      </c>
      <c r="M21" s="408" t="str">
        <f t="shared" ca="1" si="29"/>
        <v/>
      </c>
      <c r="N21" s="408" t="str">
        <f t="shared" ca="1" si="29"/>
        <v/>
      </c>
      <c r="O21" s="408" t="str">
        <f t="shared" ca="1" si="29"/>
        <v/>
      </c>
      <c r="P21" s="408" t="str">
        <f t="shared" ca="1" si="29"/>
        <v/>
      </c>
      <c r="Q21" s="408" t="str">
        <f t="shared" ca="1" si="29"/>
        <v/>
      </c>
      <c r="R21" s="410" t="str">
        <f ca="1">Cluster!J40</f>
        <v>Selection</v>
      </c>
      <c r="S21" s="411" t="str">
        <f t="shared" ca="1" si="5"/>
        <v>-</v>
      </c>
      <c r="T21" s="412" t="str">
        <f t="shared" ca="1" si="6"/>
        <v/>
      </c>
      <c r="U21" s="411" t="str">
        <f t="shared" ca="1" si="7"/>
        <v>-</v>
      </c>
      <c r="V21" s="411" t="str">
        <f t="shared" ca="1" si="8"/>
        <v>-</v>
      </c>
      <c r="W21" s="413">
        <f>Cluster!N40</f>
        <v>0</v>
      </c>
      <c r="X21" s="414" t="str">
        <f t="shared" ca="1" si="9"/>
        <v>-</v>
      </c>
      <c r="Y21" s="411" t="str">
        <f t="shared" ca="1" si="10"/>
        <v>-</v>
      </c>
      <c r="Z21" s="415" t="str">
        <f t="shared" ca="1" si="11"/>
        <v>-</v>
      </c>
      <c r="AA21" s="416" t="str">
        <f t="shared" ca="1" si="12"/>
        <v>-</v>
      </c>
      <c r="AB21" s="416" t="str">
        <f t="shared" ca="1" si="13"/>
        <v/>
      </c>
      <c r="AC21" s="434" t="str">
        <f>Cluster!Q40</f>
        <v>Bypass</v>
      </c>
      <c r="AD21" s="435" t="str">
        <f t="shared" ca="1" si="14"/>
        <v/>
      </c>
      <c r="AE21" s="436" t="str">
        <f t="shared" ca="1" si="14"/>
        <v/>
      </c>
      <c r="AF21" s="437" t="str">
        <f t="shared" ca="1" si="15"/>
        <v>-</v>
      </c>
      <c r="AG21" s="438" t="str">
        <f t="shared" ca="1" si="16"/>
        <v>-</v>
      </c>
      <c r="AH21" s="437" t="str">
        <f t="shared" ca="1" si="17"/>
        <v>-</v>
      </c>
      <c r="AI21" s="438" t="str">
        <f t="shared" ca="1" si="18"/>
        <v>-</v>
      </c>
      <c r="AJ21" s="438" t="str">
        <f t="shared" ca="1" si="19"/>
        <v>-</v>
      </c>
      <c r="AK21" s="439" t="str">
        <f ca="1">IFERROR(AE21*AD21*AL21/(IF(Cluster!AA40=Cluster!$W$8,Cluster!$W$10,IF(Cluster!AA40=Cluster!$X$8,Cluster!$X$10,IF(Cluster!AA40=Cluster!$Y$8,Cluster!$Y$10,0)))*10^3),"-")</f>
        <v>-</v>
      </c>
      <c r="AL21" s="440" t="str">
        <f ca="1">IFERROR(IF(OR(Calculation!T21&lt;(Calculation!$U$8+2),Calculation!AC21="Bypass"),IF((IF(Calculation!$O$6/((Calculation!AD21*10^-12)/(Calculation!T21*10^-9)*50)&lt;=1,1,ROUNDUP(Calculation!$O$6/((Calculation!AD21*10^-12)/(Calculation!T21*10^-9)*50),0))*50)&lt;Calculation!$AK$6,Calculation!$AK$6,IF(Calculation!$O$6/((Calculation!AD21*10^-12)/(Calculation!T21*10^-9)*50)&lt;=1,1,ROUNDUP(Calculation!$O$6/((Calculation!AD21*10^-12)/(Calculation!T21*10^-9)*50),0))*50),"-"),"-")</f>
        <v>-</v>
      </c>
      <c r="AM21" s="441" t="str">
        <f t="shared" ca="1" si="20"/>
        <v/>
      </c>
      <c r="AN21" s="442" t="str">
        <f t="shared" ca="1" si="20"/>
        <v/>
      </c>
      <c r="AO21" s="432">
        <f t="shared" ca="1" si="21"/>
        <v>384</v>
      </c>
      <c r="AP21" s="427" t="str">
        <f t="shared" ca="1" si="22"/>
        <v>-</v>
      </c>
      <c r="AQ21" s="443" t="str">
        <f t="shared" ca="1" si="23"/>
        <v>-</v>
      </c>
      <c r="AR21" s="444" t="str">
        <f t="shared" ca="1" si="24"/>
        <v>-</v>
      </c>
      <c r="AS21" s="430" t="str">
        <f t="shared" ca="1" si="25"/>
        <v>-</v>
      </c>
      <c r="AT21" s="431"/>
      <c r="AU21" s="431"/>
      <c r="AV21" s="432">
        <v>12</v>
      </c>
      <c r="AW21" s="433" t="e">
        <f>ListAndConversion!S14</f>
        <v>#DIV/0!</v>
      </c>
      <c r="AX21" s="432" t="e">
        <f>IF(AW21="-","-",IF(COUNTIF(ListAndConversion!$F$3:$M$386,Calculation!AW21)=0,"Missing Lane","OK"))</f>
        <v>#DIV/0!</v>
      </c>
      <c r="AY21" s="433" t="str">
        <f>IFERROR(VLOOKUP(AW21,ListAndConversion!$F$3:$O$386,9,0),"-")</f>
        <v>-</v>
      </c>
      <c r="AZ21" s="433" t="str">
        <f>IFERROR(VLOOKUP(AW21,ListAndConversion!$F$3:$O$386,10,0),"-")</f>
        <v>-</v>
      </c>
      <c r="BA21" s="433" t="e">
        <f t="shared" si="26"/>
        <v>#DIV/0!</v>
      </c>
      <c r="BB21" s="433" t="str">
        <f t="shared" si="27"/>
        <v>-</v>
      </c>
      <c r="BC21" s="433" t="str">
        <f t="shared" si="28"/>
        <v/>
      </c>
    </row>
    <row r="22" spans="1:56" ht="14.25" x14ac:dyDescent="0.65">
      <c r="A22" s="407">
        <v>14</v>
      </c>
      <c r="B22" s="408" t="str">
        <f t="shared" ca="1" si="2"/>
        <v/>
      </c>
      <c r="C22" s="408" t="str">
        <f ca="1">IFERROR(IF(G22="","",CONCATENATE(E22,"-",INDEX(Coordinate,MATCH(F22,ListAndConversion!$X$4:$X$99,0),2))),"")</f>
        <v/>
      </c>
      <c r="D22" s="408" t="str">
        <f t="shared" ca="1" si="3"/>
        <v/>
      </c>
      <c r="E22" s="408" t="str">
        <f t="shared" ca="1" si="3"/>
        <v/>
      </c>
      <c r="F22" s="408" t="str">
        <f t="shared" ca="1" si="3"/>
        <v/>
      </c>
      <c r="G22" s="408" t="str">
        <f ca="1">IFERROR(INDEX(ListAndConversion!A:B,MATCH(Calculation!E22,ListAndConversion!A:A,0),2),"")</f>
        <v/>
      </c>
      <c r="H22" s="408" t="str">
        <f>IF(TrackIT_Lines!AD14="","",TrackIT_Lines!AD14)</f>
        <v/>
      </c>
      <c r="I22" s="408" t="str">
        <f>IF(TrackIT_Lines!AD14="","",CONCATENATE(TrackIT_Lines!AD14,"-",TrackIT_Lines!AG14))</f>
        <v/>
      </c>
      <c r="J22" s="409" t="str">
        <f t="shared" ca="1" si="29"/>
        <v/>
      </c>
      <c r="K22" s="408" t="str">
        <f t="shared" ca="1" si="29"/>
        <v/>
      </c>
      <c r="L22" s="408" t="str">
        <f t="shared" ca="1" si="29"/>
        <v/>
      </c>
      <c r="M22" s="408" t="str">
        <f t="shared" ca="1" si="29"/>
        <v/>
      </c>
      <c r="N22" s="408" t="str">
        <f t="shared" ca="1" si="29"/>
        <v/>
      </c>
      <c r="O22" s="408" t="str">
        <f t="shared" ca="1" si="29"/>
        <v/>
      </c>
      <c r="P22" s="408" t="str">
        <f t="shared" ca="1" si="29"/>
        <v/>
      </c>
      <c r="Q22" s="408" t="str">
        <f t="shared" ca="1" si="29"/>
        <v/>
      </c>
      <c r="R22" s="410" t="str">
        <f ca="1">Cluster!J41</f>
        <v>Selection</v>
      </c>
      <c r="S22" s="411" t="str">
        <f t="shared" ca="1" si="5"/>
        <v>-</v>
      </c>
      <c r="T22" s="412" t="str">
        <f t="shared" ca="1" si="6"/>
        <v/>
      </c>
      <c r="U22" s="411" t="str">
        <f t="shared" ca="1" si="7"/>
        <v>-</v>
      </c>
      <c r="V22" s="411" t="str">
        <f t="shared" ca="1" si="8"/>
        <v>-</v>
      </c>
      <c r="W22" s="413">
        <f>Cluster!N41</f>
        <v>0</v>
      </c>
      <c r="X22" s="414" t="str">
        <f t="shared" ca="1" si="9"/>
        <v>-</v>
      </c>
      <c r="Y22" s="411" t="str">
        <f t="shared" ca="1" si="10"/>
        <v>-</v>
      </c>
      <c r="Z22" s="415" t="str">
        <f t="shared" ca="1" si="11"/>
        <v>-</v>
      </c>
      <c r="AA22" s="416" t="str">
        <f t="shared" ca="1" si="12"/>
        <v>-</v>
      </c>
      <c r="AB22" s="416" t="str">
        <f t="shared" ca="1" si="13"/>
        <v/>
      </c>
      <c r="AC22" s="434" t="str">
        <f>Cluster!Q41</f>
        <v>Bypass</v>
      </c>
      <c r="AD22" s="435" t="str">
        <f t="shared" ca="1" si="14"/>
        <v/>
      </c>
      <c r="AE22" s="436" t="str">
        <f t="shared" ca="1" si="14"/>
        <v/>
      </c>
      <c r="AF22" s="437" t="str">
        <f t="shared" ca="1" si="15"/>
        <v>-</v>
      </c>
      <c r="AG22" s="438" t="str">
        <f t="shared" ca="1" si="16"/>
        <v>-</v>
      </c>
      <c r="AH22" s="437" t="str">
        <f t="shared" ca="1" si="17"/>
        <v>-</v>
      </c>
      <c r="AI22" s="438" t="str">
        <f t="shared" ca="1" si="18"/>
        <v>-</v>
      </c>
      <c r="AJ22" s="438" t="str">
        <f t="shared" ca="1" si="19"/>
        <v>-</v>
      </c>
      <c r="AK22" s="439" t="str">
        <f ca="1">IFERROR(AE22*AD22*AL22/(IF(Cluster!AA41=Cluster!$W$8,Cluster!$W$10,IF(Cluster!AA41=Cluster!$X$8,Cluster!$X$10,IF(Cluster!AA41=Cluster!$Y$8,Cluster!$Y$10,0)))*10^3),"-")</f>
        <v>-</v>
      </c>
      <c r="AL22" s="440" t="str">
        <f ca="1">IFERROR(IF(OR(Calculation!T22&lt;(Calculation!$U$8+2),Calculation!AC22="Bypass"),IF((IF(Calculation!$O$6/((Calculation!AD22*10^-12)/(Calculation!T22*10^-9)*50)&lt;=1,1,ROUNDUP(Calculation!$O$6/((Calculation!AD22*10^-12)/(Calculation!T22*10^-9)*50),0))*50)&lt;Calculation!$AK$6,Calculation!$AK$6,IF(Calculation!$O$6/((Calculation!AD22*10^-12)/(Calculation!T22*10^-9)*50)&lt;=1,1,ROUNDUP(Calculation!$O$6/((Calculation!AD22*10^-12)/(Calculation!T22*10^-9)*50),0))*50),"-"),"-")</f>
        <v>-</v>
      </c>
      <c r="AM22" s="441" t="str">
        <f t="shared" ca="1" si="20"/>
        <v/>
      </c>
      <c r="AN22" s="442" t="str">
        <f t="shared" ca="1" si="20"/>
        <v/>
      </c>
      <c r="AO22" s="432">
        <f t="shared" ca="1" si="21"/>
        <v>384</v>
      </c>
      <c r="AP22" s="427" t="str">
        <f t="shared" ca="1" si="22"/>
        <v>-</v>
      </c>
      <c r="AQ22" s="443" t="str">
        <f t="shared" ca="1" si="23"/>
        <v>-</v>
      </c>
      <c r="AR22" s="444" t="str">
        <f t="shared" ca="1" si="24"/>
        <v>-</v>
      </c>
      <c r="AS22" s="430" t="str">
        <f t="shared" ca="1" si="25"/>
        <v>-</v>
      </c>
      <c r="AT22" s="431"/>
      <c r="AU22" s="431"/>
      <c r="AV22" s="432">
        <v>13</v>
      </c>
      <c r="AW22" s="433" t="e">
        <f>ListAndConversion!S15</f>
        <v>#DIV/0!</v>
      </c>
      <c r="AX22" s="432" t="e">
        <f>IF(AW22="-","-",IF(COUNTIF(ListAndConversion!$F$3:$M$386,Calculation!AW22)=0,"Missing Lane","OK"))</f>
        <v>#DIV/0!</v>
      </c>
      <c r="AY22" s="433" t="str">
        <f>IFERROR(VLOOKUP(AW22,ListAndConversion!$F$3:$O$386,9,0),"-")</f>
        <v>-</v>
      </c>
      <c r="AZ22" s="433" t="str">
        <f>IFERROR(VLOOKUP(AW22,ListAndConversion!$F$3:$O$386,10,0),"-")</f>
        <v>-</v>
      </c>
      <c r="BA22" s="433" t="e">
        <f t="shared" si="26"/>
        <v>#DIV/0!</v>
      </c>
      <c r="BB22" s="433" t="str">
        <f t="shared" si="27"/>
        <v>-</v>
      </c>
      <c r="BC22" s="433" t="str">
        <f t="shared" si="28"/>
        <v/>
      </c>
    </row>
    <row r="23" spans="1:56" ht="14.25" x14ac:dyDescent="0.65">
      <c r="A23" s="407">
        <v>15</v>
      </c>
      <c r="B23" s="408" t="str">
        <f t="shared" ca="1" si="2"/>
        <v/>
      </c>
      <c r="C23" s="408" t="str">
        <f ca="1">IFERROR(IF(G23="","",CONCATENATE(E23,"-",INDEX(Coordinate,MATCH(F23,ListAndConversion!$X$4:$X$99,0),2))),"")</f>
        <v/>
      </c>
      <c r="D23" s="408" t="str">
        <f t="shared" ca="1" si="3"/>
        <v/>
      </c>
      <c r="E23" s="408" t="str">
        <f t="shared" ca="1" si="3"/>
        <v/>
      </c>
      <c r="F23" s="408" t="str">
        <f t="shared" ca="1" si="3"/>
        <v/>
      </c>
      <c r="G23" s="408" t="str">
        <f ca="1">IFERROR(INDEX(ListAndConversion!A:B,MATCH(Calculation!E23,ListAndConversion!A:A,0),2),"")</f>
        <v/>
      </c>
      <c r="H23" s="408" t="str">
        <f>IF(TrackIT_Lines!AD15="","",TrackIT_Lines!AD15)</f>
        <v/>
      </c>
      <c r="I23" s="408" t="str">
        <f>IF(TrackIT_Lines!AD15="","",CONCATENATE(TrackIT_Lines!AD15,"-",TrackIT_Lines!AG15))</f>
        <v/>
      </c>
      <c r="J23" s="409" t="str">
        <f t="shared" ca="1" si="29"/>
        <v/>
      </c>
      <c r="K23" s="408" t="str">
        <f t="shared" ca="1" si="29"/>
        <v/>
      </c>
      <c r="L23" s="408" t="str">
        <f t="shared" ca="1" si="29"/>
        <v/>
      </c>
      <c r="M23" s="408" t="str">
        <f t="shared" ca="1" si="29"/>
        <v/>
      </c>
      <c r="N23" s="408" t="str">
        <f t="shared" ca="1" si="29"/>
        <v/>
      </c>
      <c r="O23" s="408" t="str">
        <f t="shared" ca="1" si="29"/>
        <v/>
      </c>
      <c r="P23" s="408" t="str">
        <f t="shared" ca="1" si="29"/>
        <v/>
      </c>
      <c r="Q23" s="408" t="str">
        <f t="shared" ca="1" si="29"/>
        <v/>
      </c>
      <c r="R23" s="410" t="str">
        <f ca="1">Cluster!J42</f>
        <v>Selection</v>
      </c>
      <c r="S23" s="411" t="str">
        <f t="shared" ca="1" si="5"/>
        <v>-</v>
      </c>
      <c r="T23" s="412" t="str">
        <f t="shared" ca="1" si="6"/>
        <v/>
      </c>
      <c r="U23" s="411" t="str">
        <f t="shared" ca="1" si="7"/>
        <v>-</v>
      </c>
      <c r="V23" s="411" t="str">
        <f t="shared" ca="1" si="8"/>
        <v>-</v>
      </c>
      <c r="W23" s="413">
        <f>Cluster!N42</f>
        <v>0</v>
      </c>
      <c r="X23" s="414" t="str">
        <f t="shared" ca="1" si="9"/>
        <v>-</v>
      </c>
      <c r="Y23" s="411" t="str">
        <f t="shared" ca="1" si="10"/>
        <v>-</v>
      </c>
      <c r="Z23" s="415" t="str">
        <f t="shared" ca="1" si="11"/>
        <v>-</v>
      </c>
      <c r="AA23" s="416" t="str">
        <f t="shared" ca="1" si="12"/>
        <v>-</v>
      </c>
      <c r="AB23" s="416" t="str">
        <f t="shared" ca="1" si="13"/>
        <v/>
      </c>
      <c r="AC23" s="434" t="str">
        <f>Cluster!Q42</f>
        <v>Bypass</v>
      </c>
      <c r="AD23" s="435" t="str">
        <f t="shared" ca="1" si="14"/>
        <v/>
      </c>
      <c r="AE23" s="436" t="str">
        <f t="shared" ca="1" si="14"/>
        <v/>
      </c>
      <c r="AF23" s="437" t="str">
        <f t="shared" ca="1" si="15"/>
        <v>-</v>
      </c>
      <c r="AG23" s="438" t="str">
        <f t="shared" ca="1" si="16"/>
        <v>-</v>
      </c>
      <c r="AH23" s="437" t="str">
        <f t="shared" ca="1" si="17"/>
        <v>-</v>
      </c>
      <c r="AI23" s="438" t="str">
        <f t="shared" ca="1" si="18"/>
        <v>-</v>
      </c>
      <c r="AJ23" s="438" t="str">
        <f t="shared" ca="1" si="19"/>
        <v>-</v>
      </c>
      <c r="AK23" s="439" t="str">
        <f ca="1">IFERROR(AE23*AD23*AL23/(IF(Cluster!AA42=Cluster!$W$8,Cluster!$W$10,IF(Cluster!AA42=Cluster!$X$8,Cluster!$X$10,IF(Cluster!AA42=Cluster!$Y$8,Cluster!$Y$10,0)))*10^3),"-")</f>
        <v>-</v>
      </c>
      <c r="AL23" s="440" t="str">
        <f ca="1">IFERROR(IF(OR(Calculation!T23&lt;(Calculation!$U$8+2),Calculation!AC23="Bypass"),IF((IF(Calculation!$O$6/((Calculation!AD23*10^-12)/(Calculation!T23*10^-9)*50)&lt;=1,1,ROUNDUP(Calculation!$O$6/((Calculation!AD23*10^-12)/(Calculation!T23*10^-9)*50),0))*50)&lt;Calculation!$AK$6,Calculation!$AK$6,IF(Calculation!$O$6/((Calculation!AD23*10^-12)/(Calculation!T23*10^-9)*50)&lt;=1,1,ROUNDUP(Calculation!$O$6/((Calculation!AD23*10^-12)/(Calculation!T23*10^-9)*50),0))*50),"-"),"-")</f>
        <v>-</v>
      </c>
      <c r="AM23" s="441" t="str">
        <f t="shared" ca="1" si="20"/>
        <v/>
      </c>
      <c r="AN23" s="442" t="str">
        <f t="shared" ca="1" si="20"/>
        <v/>
      </c>
      <c r="AO23" s="432">
        <f t="shared" ca="1" si="21"/>
        <v>384</v>
      </c>
      <c r="AP23" s="427" t="str">
        <f t="shared" ca="1" si="22"/>
        <v>-</v>
      </c>
      <c r="AQ23" s="443" t="str">
        <f t="shared" ca="1" si="23"/>
        <v>-</v>
      </c>
      <c r="AR23" s="444" t="str">
        <f t="shared" ca="1" si="24"/>
        <v>-</v>
      </c>
      <c r="AS23" s="430" t="str">
        <f t="shared" ca="1" si="25"/>
        <v>-</v>
      </c>
      <c r="AT23" s="431"/>
      <c r="AU23" s="431"/>
      <c r="AV23" s="432">
        <v>14</v>
      </c>
      <c r="AW23" s="433" t="e">
        <f>ListAndConversion!S16</f>
        <v>#DIV/0!</v>
      </c>
      <c r="AX23" s="432" t="e">
        <f>IF(AW23="-","-",IF(COUNTIF(ListAndConversion!$F$3:$M$386,Calculation!AW23)=0,"Missing Lane","OK"))</f>
        <v>#DIV/0!</v>
      </c>
      <c r="AY23" s="433" t="str">
        <f>IFERROR(VLOOKUP(AW23,ListAndConversion!$F$3:$O$386,9,0),"-")</f>
        <v>-</v>
      </c>
      <c r="AZ23" s="433" t="str">
        <f>IFERROR(VLOOKUP(AW23,ListAndConversion!$F$3:$O$386,10,0),"-")</f>
        <v>-</v>
      </c>
      <c r="BA23" s="433" t="e">
        <f t="shared" si="26"/>
        <v>#DIV/0!</v>
      </c>
      <c r="BB23" s="433" t="str">
        <f t="shared" si="27"/>
        <v>-</v>
      </c>
      <c r="BC23" s="433" t="str">
        <f t="shared" si="28"/>
        <v/>
      </c>
    </row>
    <row r="24" spans="1:56" ht="14.25" x14ac:dyDescent="0.65">
      <c r="A24" s="407">
        <v>16</v>
      </c>
      <c r="B24" s="408" t="str">
        <f t="shared" ca="1" si="2"/>
        <v/>
      </c>
      <c r="C24" s="408" t="str">
        <f ca="1">IFERROR(IF(G24="","",CONCATENATE(E24,"-",INDEX(Coordinate,MATCH(F24,ListAndConversion!$X$4:$X$99,0),2))),"")</f>
        <v/>
      </c>
      <c r="D24" s="408" t="str">
        <f t="shared" ca="1" si="3"/>
        <v/>
      </c>
      <c r="E24" s="408" t="str">
        <f t="shared" ca="1" si="3"/>
        <v/>
      </c>
      <c r="F24" s="408" t="str">
        <f t="shared" ca="1" si="3"/>
        <v/>
      </c>
      <c r="G24" s="408" t="str">
        <f ca="1">IFERROR(INDEX(ListAndConversion!A:B,MATCH(Calculation!E24,ListAndConversion!A:A,0),2),"")</f>
        <v/>
      </c>
      <c r="H24" s="408" t="str">
        <f>IF(TrackIT_Lines!AD16="","",TrackIT_Lines!AD16)</f>
        <v/>
      </c>
      <c r="I24" s="408" t="str">
        <f>IF(TrackIT_Lines!AD16="","",CONCATENATE(TrackIT_Lines!AD16,"-",TrackIT_Lines!AG16))</f>
        <v/>
      </c>
      <c r="J24" s="409" t="str">
        <f t="shared" ca="1" si="29"/>
        <v/>
      </c>
      <c r="K24" s="408" t="str">
        <f t="shared" ca="1" si="29"/>
        <v/>
      </c>
      <c r="L24" s="408" t="str">
        <f t="shared" ca="1" si="29"/>
        <v/>
      </c>
      <c r="M24" s="408" t="str">
        <f t="shared" ca="1" si="29"/>
        <v/>
      </c>
      <c r="N24" s="408" t="str">
        <f t="shared" ca="1" si="29"/>
        <v/>
      </c>
      <c r="O24" s="408" t="str">
        <f t="shared" ca="1" si="29"/>
        <v/>
      </c>
      <c r="P24" s="408" t="str">
        <f t="shared" ca="1" si="29"/>
        <v/>
      </c>
      <c r="Q24" s="408" t="str">
        <f t="shared" ca="1" si="29"/>
        <v/>
      </c>
      <c r="R24" s="410" t="str">
        <f ca="1">Cluster!J43</f>
        <v>Selection</v>
      </c>
      <c r="S24" s="411" t="str">
        <f t="shared" ca="1" si="5"/>
        <v>-</v>
      </c>
      <c r="T24" s="412" t="str">
        <f t="shared" ca="1" si="6"/>
        <v/>
      </c>
      <c r="U24" s="411" t="str">
        <f t="shared" ca="1" si="7"/>
        <v>-</v>
      </c>
      <c r="V24" s="411" t="str">
        <f t="shared" ca="1" si="8"/>
        <v>-</v>
      </c>
      <c r="W24" s="413">
        <f>Cluster!N43</f>
        <v>0</v>
      </c>
      <c r="X24" s="414" t="str">
        <f t="shared" ca="1" si="9"/>
        <v>-</v>
      </c>
      <c r="Y24" s="411" t="str">
        <f t="shared" ca="1" si="10"/>
        <v>-</v>
      </c>
      <c r="Z24" s="415" t="str">
        <f t="shared" ca="1" si="11"/>
        <v>-</v>
      </c>
      <c r="AA24" s="416" t="str">
        <f t="shared" ca="1" si="12"/>
        <v>-</v>
      </c>
      <c r="AB24" s="416" t="str">
        <f t="shared" ca="1" si="13"/>
        <v/>
      </c>
      <c r="AC24" s="434" t="str">
        <f>Cluster!Q43</f>
        <v>Bypass</v>
      </c>
      <c r="AD24" s="435" t="str">
        <f t="shared" ca="1" si="14"/>
        <v/>
      </c>
      <c r="AE24" s="436" t="str">
        <f t="shared" ca="1" si="14"/>
        <v/>
      </c>
      <c r="AF24" s="437" t="str">
        <f t="shared" ca="1" si="15"/>
        <v>-</v>
      </c>
      <c r="AG24" s="438" t="str">
        <f t="shared" ca="1" si="16"/>
        <v>-</v>
      </c>
      <c r="AH24" s="437" t="str">
        <f t="shared" ca="1" si="17"/>
        <v>-</v>
      </c>
      <c r="AI24" s="438" t="str">
        <f t="shared" ca="1" si="18"/>
        <v>-</v>
      </c>
      <c r="AJ24" s="438" t="str">
        <f t="shared" ca="1" si="19"/>
        <v>-</v>
      </c>
      <c r="AK24" s="439" t="str">
        <f ca="1">IFERROR(AE24*AD24*AL24/(IF(Cluster!AA43=Cluster!$W$8,Cluster!$W$10,IF(Cluster!AA43=Cluster!$X$8,Cluster!$X$10,IF(Cluster!AA43=Cluster!$Y$8,Cluster!$Y$10,0)))*10^3),"-")</f>
        <v>-</v>
      </c>
      <c r="AL24" s="440" t="str">
        <f ca="1">IFERROR(IF(OR(Calculation!T24&lt;(Calculation!$U$8+2),Calculation!AC24="Bypass"),IF((IF(Calculation!$O$6/((Calculation!AD24*10^-12)/(Calculation!T24*10^-9)*50)&lt;=1,1,ROUNDUP(Calculation!$O$6/((Calculation!AD24*10^-12)/(Calculation!T24*10^-9)*50),0))*50)&lt;Calculation!$AK$6,Calculation!$AK$6,IF(Calculation!$O$6/((Calculation!AD24*10^-12)/(Calculation!T24*10^-9)*50)&lt;=1,1,ROUNDUP(Calculation!$O$6/((Calculation!AD24*10^-12)/(Calculation!T24*10^-9)*50),0))*50),"-"),"-")</f>
        <v>-</v>
      </c>
      <c r="AM24" s="441" t="str">
        <f t="shared" ca="1" si="20"/>
        <v/>
      </c>
      <c r="AN24" s="442" t="str">
        <f t="shared" ca="1" si="20"/>
        <v/>
      </c>
      <c r="AO24" s="432">
        <f t="shared" ca="1" si="21"/>
        <v>384</v>
      </c>
      <c r="AP24" s="427" t="str">
        <f t="shared" ca="1" si="22"/>
        <v>-</v>
      </c>
      <c r="AQ24" s="443" t="str">
        <f t="shared" ca="1" si="23"/>
        <v>-</v>
      </c>
      <c r="AR24" s="444" t="str">
        <f t="shared" ca="1" si="24"/>
        <v>-</v>
      </c>
      <c r="AS24" s="430" t="str">
        <f t="shared" ca="1" si="25"/>
        <v>-</v>
      </c>
      <c r="AT24" s="431"/>
      <c r="AU24" s="431"/>
      <c r="AV24" s="432">
        <v>15</v>
      </c>
      <c r="AW24" s="433" t="e">
        <f>ListAndConversion!S17</f>
        <v>#DIV/0!</v>
      </c>
      <c r="AX24" s="432" t="e">
        <f>IF(AW24="-","-",IF(COUNTIF(ListAndConversion!$F$3:$M$386,Calculation!AW24)=0,"Missing Lane","OK"))</f>
        <v>#DIV/0!</v>
      </c>
      <c r="AY24" s="433" t="str">
        <f>IFERROR(VLOOKUP(AW24,ListAndConversion!$F$3:$O$386,9,0),"-")</f>
        <v>-</v>
      </c>
      <c r="AZ24" s="433" t="str">
        <f>IFERROR(VLOOKUP(AW24,ListAndConversion!$F$3:$O$386,10,0),"-")</f>
        <v>-</v>
      </c>
      <c r="BA24" s="433" t="e">
        <f t="shared" si="26"/>
        <v>#DIV/0!</v>
      </c>
      <c r="BB24" s="433" t="str">
        <f t="shared" si="27"/>
        <v>-</v>
      </c>
      <c r="BC24" s="433" t="str">
        <f t="shared" si="28"/>
        <v/>
      </c>
    </row>
    <row r="25" spans="1:56" ht="14.25" x14ac:dyDescent="0.65">
      <c r="A25" s="407">
        <v>17</v>
      </c>
      <c r="B25" s="408" t="str">
        <f t="shared" ca="1" si="2"/>
        <v/>
      </c>
      <c r="C25" s="408" t="str">
        <f ca="1">IFERROR(IF(G25="","",CONCATENATE(E25,"-",INDEX(Coordinate,MATCH(F25,ListAndConversion!$X$4:$X$99,0),2))),"")</f>
        <v/>
      </c>
      <c r="D25" s="408" t="str">
        <f t="shared" ca="1" si="3"/>
        <v/>
      </c>
      <c r="E25" s="408" t="str">
        <f t="shared" ca="1" si="3"/>
        <v/>
      </c>
      <c r="F25" s="408" t="str">
        <f t="shared" ca="1" si="3"/>
        <v/>
      </c>
      <c r="G25" s="408" t="str">
        <f ca="1">IFERROR(INDEX(ListAndConversion!A:B,MATCH(Calculation!E25,ListAndConversion!A:A,0),2),"")</f>
        <v/>
      </c>
      <c r="H25" s="408" t="str">
        <f>IF(TrackIT_Lines!AD17="","",TrackIT_Lines!AD17)</f>
        <v/>
      </c>
      <c r="I25" s="408" t="str">
        <f>IF(TrackIT_Lines!AD17="","",CONCATENATE(TrackIT_Lines!AD17,"-",TrackIT_Lines!AG17))</f>
        <v/>
      </c>
      <c r="J25" s="409" t="str">
        <f t="shared" ca="1" si="29"/>
        <v/>
      </c>
      <c r="K25" s="408" t="str">
        <f t="shared" ca="1" si="29"/>
        <v/>
      </c>
      <c r="L25" s="408" t="str">
        <f t="shared" ca="1" si="29"/>
        <v/>
      </c>
      <c r="M25" s="408" t="str">
        <f t="shared" ca="1" si="29"/>
        <v/>
      </c>
      <c r="N25" s="408" t="str">
        <f t="shared" ca="1" si="29"/>
        <v/>
      </c>
      <c r="O25" s="408" t="str">
        <f t="shared" ca="1" si="29"/>
        <v/>
      </c>
      <c r="P25" s="408" t="str">
        <f t="shared" ca="1" si="29"/>
        <v/>
      </c>
      <c r="Q25" s="408" t="str">
        <f t="shared" ca="1" si="29"/>
        <v/>
      </c>
      <c r="R25" s="410" t="str">
        <f ca="1">Cluster!J44</f>
        <v>Selection</v>
      </c>
      <c r="S25" s="411" t="str">
        <f t="shared" ca="1" si="5"/>
        <v>-</v>
      </c>
      <c r="T25" s="412" t="str">
        <f t="shared" ca="1" si="6"/>
        <v/>
      </c>
      <c r="U25" s="411" t="str">
        <f t="shared" ca="1" si="7"/>
        <v>-</v>
      </c>
      <c r="V25" s="411" t="str">
        <f t="shared" ca="1" si="8"/>
        <v>-</v>
      </c>
      <c r="W25" s="413">
        <f>Cluster!N44</f>
        <v>0</v>
      </c>
      <c r="X25" s="414" t="str">
        <f t="shared" ca="1" si="9"/>
        <v>-</v>
      </c>
      <c r="Y25" s="411" t="str">
        <f t="shared" ca="1" si="10"/>
        <v>-</v>
      </c>
      <c r="Z25" s="415" t="str">
        <f t="shared" ca="1" si="11"/>
        <v>-</v>
      </c>
      <c r="AA25" s="416" t="str">
        <f t="shared" ca="1" si="12"/>
        <v>-</v>
      </c>
      <c r="AB25" s="416" t="str">
        <f t="shared" ca="1" si="13"/>
        <v/>
      </c>
      <c r="AC25" s="434" t="str">
        <f>Cluster!Q44</f>
        <v>Bypass</v>
      </c>
      <c r="AD25" s="435" t="str">
        <f t="shared" ca="1" si="14"/>
        <v/>
      </c>
      <c r="AE25" s="436" t="str">
        <f t="shared" ca="1" si="14"/>
        <v/>
      </c>
      <c r="AF25" s="437" t="str">
        <f t="shared" ca="1" si="15"/>
        <v>-</v>
      </c>
      <c r="AG25" s="438" t="str">
        <f t="shared" ca="1" si="16"/>
        <v>-</v>
      </c>
      <c r="AH25" s="437" t="str">
        <f t="shared" ca="1" si="17"/>
        <v>-</v>
      </c>
      <c r="AI25" s="438" t="str">
        <f t="shared" ca="1" si="18"/>
        <v>-</v>
      </c>
      <c r="AJ25" s="438" t="str">
        <f t="shared" ca="1" si="19"/>
        <v>-</v>
      </c>
      <c r="AK25" s="439" t="str">
        <f ca="1">IFERROR(AE25*AD25*AL25/(IF(Cluster!AA44=Cluster!$W$8,Cluster!$W$10,IF(Cluster!AA44=Cluster!$X$8,Cluster!$X$10,IF(Cluster!AA44=Cluster!$Y$8,Cluster!$Y$10,0)))*10^3),"-")</f>
        <v>-</v>
      </c>
      <c r="AL25" s="440" t="str">
        <f ca="1">IFERROR(IF(OR(Calculation!T25&lt;(Calculation!$U$8+2),Calculation!AC25="Bypass"),IF((IF(Calculation!$O$6/((Calculation!AD25*10^-12)/(Calculation!T25*10^-9)*50)&lt;=1,1,ROUNDUP(Calculation!$O$6/((Calculation!AD25*10^-12)/(Calculation!T25*10^-9)*50),0))*50)&lt;Calculation!$AK$6,Calculation!$AK$6,IF(Calculation!$O$6/((Calculation!AD25*10^-12)/(Calculation!T25*10^-9)*50)&lt;=1,1,ROUNDUP(Calculation!$O$6/((Calculation!AD25*10^-12)/(Calculation!T25*10^-9)*50),0))*50),"-"),"-")</f>
        <v>-</v>
      </c>
      <c r="AM25" s="441" t="str">
        <f t="shared" ca="1" si="20"/>
        <v/>
      </c>
      <c r="AN25" s="442" t="str">
        <f t="shared" ca="1" si="20"/>
        <v/>
      </c>
      <c r="AO25" s="432">
        <f t="shared" ca="1" si="21"/>
        <v>384</v>
      </c>
      <c r="AP25" s="427" t="str">
        <f t="shared" ca="1" si="22"/>
        <v>-</v>
      </c>
      <c r="AQ25" s="443" t="str">
        <f t="shared" ca="1" si="23"/>
        <v>-</v>
      </c>
      <c r="AR25" s="444" t="str">
        <f t="shared" ca="1" si="24"/>
        <v>-</v>
      </c>
      <c r="AS25" s="430" t="str">
        <f t="shared" ca="1" si="25"/>
        <v>-</v>
      </c>
      <c r="AT25" s="431"/>
      <c r="AU25" s="431"/>
      <c r="AV25" s="432">
        <v>16</v>
      </c>
      <c r="AW25" s="433" t="e">
        <f>ListAndConversion!S18</f>
        <v>#DIV/0!</v>
      </c>
      <c r="AX25" s="432" t="e">
        <f>IF(AW25="-","-",IF(COUNTIF(ListAndConversion!$F$3:$M$386,Calculation!AW25)=0,"Missing Lane","OK"))</f>
        <v>#DIV/0!</v>
      </c>
      <c r="AY25" s="433" t="str">
        <f>IFERROR(VLOOKUP(AW25,ListAndConversion!$F$3:$O$386,9,0),"-")</f>
        <v>-</v>
      </c>
      <c r="AZ25" s="433" t="str">
        <f>IFERROR(VLOOKUP(AW25,ListAndConversion!$F$3:$O$386,10,0),"-")</f>
        <v>-</v>
      </c>
      <c r="BA25" s="433" t="e">
        <f t="shared" si="26"/>
        <v>#DIV/0!</v>
      </c>
      <c r="BB25" s="433" t="str">
        <f t="shared" si="27"/>
        <v>-</v>
      </c>
      <c r="BC25" s="433" t="str">
        <f t="shared" si="28"/>
        <v/>
      </c>
    </row>
    <row r="26" spans="1:56" ht="14.25" x14ac:dyDescent="0.65">
      <c r="A26" s="407">
        <v>18</v>
      </c>
      <c r="B26" s="408" t="str">
        <f t="shared" ca="1" si="2"/>
        <v/>
      </c>
      <c r="C26" s="408" t="str">
        <f ca="1">IFERROR(IF(G26="","",CONCATENATE(E26,"-",INDEX(Coordinate,MATCH(F26,ListAndConversion!$X$4:$X$99,0),2))),"")</f>
        <v/>
      </c>
      <c r="D26" s="408" t="str">
        <f t="shared" ca="1" si="3"/>
        <v/>
      </c>
      <c r="E26" s="408" t="str">
        <f t="shared" ca="1" si="3"/>
        <v/>
      </c>
      <c r="F26" s="408" t="str">
        <f t="shared" ca="1" si="3"/>
        <v/>
      </c>
      <c r="G26" s="408" t="str">
        <f ca="1">IFERROR(INDEX(ListAndConversion!A:B,MATCH(Calculation!E26,ListAndConversion!A:A,0),2),"")</f>
        <v/>
      </c>
      <c r="H26" s="408" t="str">
        <f>IF(TrackIT_Lines!AD18="","",TrackIT_Lines!AD18)</f>
        <v/>
      </c>
      <c r="I26" s="408" t="str">
        <f>IF(TrackIT_Lines!AD18="","",CONCATENATE(TrackIT_Lines!AD18,"-",TrackIT_Lines!AG18))</f>
        <v/>
      </c>
      <c r="J26" s="409" t="str">
        <f t="shared" ca="1" si="29"/>
        <v/>
      </c>
      <c r="K26" s="408" t="str">
        <f t="shared" ca="1" si="29"/>
        <v/>
      </c>
      <c r="L26" s="408" t="str">
        <f t="shared" ca="1" si="29"/>
        <v/>
      </c>
      <c r="M26" s="408" t="str">
        <f t="shared" ca="1" si="29"/>
        <v/>
      </c>
      <c r="N26" s="408" t="str">
        <f t="shared" ca="1" si="29"/>
        <v/>
      </c>
      <c r="O26" s="408" t="str">
        <f t="shared" ca="1" si="29"/>
        <v/>
      </c>
      <c r="P26" s="408" t="str">
        <f t="shared" ca="1" si="29"/>
        <v/>
      </c>
      <c r="Q26" s="408" t="str">
        <f t="shared" ca="1" si="29"/>
        <v/>
      </c>
      <c r="R26" s="410" t="str">
        <f ca="1">Cluster!J45</f>
        <v>Selection</v>
      </c>
      <c r="S26" s="411" t="str">
        <f t="shared" ca="1" si="5"/>
        <v>-</v>
      </c>
      <c r="T26" s="412" t="str">
        <f t="shared" ca="1" si="6"/>
        <v/>
      </c>
      <c r="U26" s="411" t="str">
        <f t="shared" ca="1" si="7"/>
        <v>-</v>
      </c>
      <c r="V26" s="411" t="str">
        <f t="shared" ca="1" si="8"/>
        <v>-</v>
      </c>
      <c r="W26" s="413">
        <f>Cluster!N45</f>
        <v>0</v>
      </c>
      <c r="X26" s="414" t="str">
        <f t="shared" ca="1" si="9"/>
        <v>-</v>
      </c>
      <c r="Y26" s="411" t="str">
        <f t="shared" ca="1" si="10"/>
        <v>-</v>
      </c>
      <c r="Z26" s="415" t="str">
        <f t="shared" ca="1" si="11"/>
        <v>-</v>
      </c>
      <c r="AA26" s="416" t="str">
        <f t="shared" ca="1" si="12"/>
        <v>-</v>
      </c>
      <c r="AB26" s="416" t="str">
        <f t="shared" ca="1" si="13"/>
        <v/>
      </c>
      <c r="AC26" s="434" t="str">
        <f>Cluster!Q45</f>
        <v>Bypass</v>
      </c>
      <c r="AD26" s="435" t="str">
        <f t="shared" ca="1" si="14"/>
        <v/>
      </c>
      <c r="AE26" s="436" t="str">
        <f t="shared" ca="1" si="14"/>
        <v/>
      </c>
      <c r="AF26" s="437" t="str">
        <f t="shared" ca="1" si="15"/>
        <v>-</v>
      </c>
      <c r="AG26" s="438" t="str">
        <f t="shared" ca="1" si="16"/>
        <v>-</v>
      </c>
      <c r="AH26" s="437" t="str">
        <f t="shared" ca="1" si="17"/>
        <v>-</v>
      </c>
      <c r="AI26" s="438" t="str">
        <f t="shared" ca="1" si="18"/>
        <v>-</v>
      </c>
      <c r="AJ26" s="438" t="str">
        <f t="shared" ca="1" si="19"/>
        <v>-</v>
      </c>
      <c r="AK26" s="439" t="str">
        <f ca="1">IFERROR(AE26*AD26*AL26/(IF(Cluster!AA45=Cluster!$W$8,Cluster!$W$10,IF(Cluster!AA45=Cluster!$X$8,Cluster!$X$10,IF(Cluster!AA45=Cluster!$Y$8,Cluster!$Y$10,0)))*10^3),"-")</f>
        <v>-</v>
      </c>
      <c r="AL26" s="440" t="str">
        <f ca="1">IFERROR(IF(OR(Calculation!T26&lt;(Calculation!$U$8+2),Calculation!AC26="Bypass"),IF((IF(Calculation!$O$6/((Calculation!AD26*10^-12)/(Calculation!T26*10^-9)*50)&lt;=1,1,ROUNDUP(Calculation!$O$6/((Calculation!AD26*10^-12)/(Calculation!T26*10^-9)*50),0))*50)&lt;Calculation!$AK$6,Calculation!$AK$6,IF(Calculation!$O$6/((Calculation!AD26*10^-12)/(Calculation!T26*10^-9)*50)&lt;=1,1,ROUNDUP(Calculation!$O$6/((Calculation!AD26*10^-12)/(Calculation!T26*10^-9)*50),0))*50),"-"),"-")</f>
        <v>-</v>
      </c>
      <c r="AM26" s="441" t="str">
        <f t="shared" ca="1" si="20"/>
        <v/>
      </c>
      <c r="AN26" s="442" t="str">
        <f t="shared" ca="1" si="20"/>
        <v/>
      </c>
      <c r="AO26" s="432">
        <f t="shared" ca="1" si="21"/>
        <v>384</v>
      </c>
      <c r="AP26" s="427" t="str">
        <f t="shared" ca="1" si="22"/>
        <v>-</v>
      </c>
      <c r="AQ26" s="443" t="str">
        <f t="shared" ca="1" si="23"/>
        <v>-</v>
      </c>
      <c r="AR26" s="444" t="str">
        <f t="shared" ca="1" si="24"/>
        <v>-</v>
      </c>
      <c r="AS26" s="430" t="str">
        <f t="shared" ca="1" si="25"/>
        <v>-</v>
      </c>
      <c r="AT26" s="431"/>
      <c r="AU26" s="431"/>
      <c r="AV26" s="432">
        <v>17</v>
      </c>
      <c r="AW26" s="433" t="e">
        <f>ListAndConversion!S19</f>
        <v>#DIV/0!</v>
      </c>
      <c r="AX26" s="432" t="e">
        <f>IF(AW26="-","-",IF(COUNTIF(ListAndConversion!$F$3:$M$386,Calculation!AW26)=0,"Missing Lane","OK"))</f>
        <v>#DIV/0!</v>
      </c>
      <c r="AY26" s="433" t="str">
        <f>IFERROR(VLOOKUP(AW26,ListAndConversion!$F$3:$O$386,9,0),"-")</f>
        <v>-</v>
      </c>
      <c r="AZ26" s="433" t="str">
        <f>IFERROR(VLOOKUP(AW26,ListAndConversion!$F$3:$O$386,10,0),"-")</f>
        <v>-</v>
      </c>
      <c r="BA26" s="433" t="e">
        <f t="shared" si="26"/>
        <v>#DIV/0!</v>
      </c>
      <c r="BB26" s="433" t="str">
        <f t="shared" si="27"/>
        <v>-</v>
      </c>
      <c r="BC26" s="433" t="str">
        <f t="shared" si="28"/>
        <v/>
      </c>
    </row>
    <row r="27" spans="1:56" ht="14.25" x14ac:dyDescent="0.65">
      <c r="A27" s="407">
        <v>19</v>
      </c>
      <c r="B27" s="408" t="str">
        <f t="shared" ca="1" si="2"/>
        <v/>
      </c>
      <c r="C27" s="408" t="str">
        <f ca="1">IFERROR(IF(G27="","",CONCATENATE(E27,"-",INDEX(Coordinate,MATCH(F27,ListAndConversion!$X$4:$X$99,0),2))),"")</f>
        <v/>
      </c>
      <c r="D27" s="408" t="str">
        <f t="shared" ca="1" si="3"/>
        <v/>
      </c>
      <c r="E27" s="408" t="str">
        <f t="shared" ca="1" si="3"/>
        <v/>
      </c>
      <c r="F27" s="408" t="str">
        <f t="shared" ca="1" si="3"/>
        <v/>
      </c>
      <c r="G27" s="408" t="str">
        <f ca="1">IFERROR(INDEX(ListAndConversion!A:B,MATCH(Calculation!E27,ListAndConversion!A:A,0),2),"")</f>
        <v/>
      </c>
      <c r="H27" s="408" t="str">
        <f>IF(TrackIT_Lines!AD19="","",TrackIT_Lines!AD19)</f>
        <v/>
      </c>
      <c r="I27" s="408" t="str">
        <f>IF(TrackIT_Lines!AD19="","",CONCATENATE(TrackIT_Lines!AD19,"-",TrackIT_Lines!AG19))</f>
        <v/>
      </c>
      <c r="J27" s="409" t="str">
        <f t="shared" ca="1" si="29"/>
        <v/>
      </c>
      <c r="K27" s="408" t="str">
        <f t="shared" ca="1" si="29"/>
        <v/>
      </c>
      <c r="L27" s="408" t="str">
        <f t="shared" ca="1" si="29"/>
        <v/>
      </c>
      <c r="M27" s="408" t="str">
        <f t="shared" ca="1" si="29"/>
        <v/>
      </c>
      <c r="N27" s="408" t="str">
        <f t="shared" ca="1" si="29"/>
        <v/>
      </c>
      <c r="O27" s="408" t="str">
        <f t="shared" ca="1" si="29"/>
        <v/>
      </c>
      <c r="P27" s="408" t="str">
        <f t="shared" ca="1" si="29"/>
        <v/>
      </c>
      <c r="Q27" s="408" t="str">
        <f t="shared" ca="1" si="29"/>
        <v/>
      </c>
      <c r="R27" s="410" t="str">
        <f ca="1">Cluster!J46</f>
        <v>Selection</v>
      </c>
      <c r="S27" s="411" t="str">
        <f t="shared" ca="1" si="5"/>
        <v>-</v>
      </c>
      <c r="T27" s="412" t="str">
        <f t="shared" ca="1" si="6"/>
        <v/>
      </c>
      <c r="U27" s="411" t="str">
        <f t="shared" ca="1" si="7"/>
        <v>-</v>
      </c>
      <c r="V27" s="411" t="str">
        <f t="shared" ca="1" si="8"/>
        <v>-</v>
      </c>
      <c r="W27" s="413">
        <f>Cluster!N46</f>
        <v>0</v>
      </c>
      <c r="X27" s="414" t="str">
        <f t="shared" ca="1" si="9"/>
        <v>-</v>
      </c>
      <c r="Y27" s="411" t="str">
        <f t="shared" ca="1" si="10"/>
        <v>-</v>
      </c>
      <c r="Z27" s="415" t="str">
        <f t="shared" ca="1" si="11"/>
        <v>-</v>
      </c>
      <c r="AA27" s="416" t="str">
        <f t="shared" ca="1" si="12"/>
        <v>-</v>
      </c>
      <c r="AB27" s="416" t="str">
        <f t="shared" ca="1" si="13"/>
        <v/>
      </c>
      <c r="AC27" s="434" t="str">
        <f>Cluster!Q46</f>
        <v>Bypass</v>
      </c>
      <c r="AD27" s="435" t="str">
        <f t="shared" ca="1" si="14"/>
        <v/>
      </c>
      <c r="AE27" s="436" t="str">
        <f t="shared" ca="1" si="14"/>
        <v/>
      </c>
      <c r="AF27" s="437" t="str">
        <f t="shared" ca="1" si="15"/>
        <v>-</v>
      </c>
      <c r="AG27" s="438" t="str">
        <f t="shared" ca="1" si="16"/>
        <v>-</v>
      </c>
      <c r="AH27" s="437" t="str">
        <f t="shared" ca="1" si="17"/>
        <v>-</v>
      </c>
      <c r="AI27" s="438" t="str">
        <f t="shared" ca="1" si="18"/>
        <v>-</v>
      </c>
      <c r="AJ27" s="438" t="str">
        <f t="shared" ca="1" si="19"/>
        <v>-</v>
      </c>
      <c r="AK27" s="439" t="str">
        <f ca="1">IFERROR(AE27*AD27*AL27/(IF(Cluster!AA46=Cluster!$W$8,Cluster!$W$10,IF(Cluster!AA46=Cluster!$X$8,Cluster!$X$10,IF(Cluster!AA46=Cluster!$Y$8,Cluster!$Y$10,0)))*10^3),"-")</f>
        <v>-</v>
      </c>
      <c r="AL27" s="440" t="str">
        <f ca="1">IFERROR(IF(OR(Calculation!T27&lt;(Calculation!$U$8+2),Calculation!AC27="Bypass"),IF((IF(Calculation!$O$6/((Calculation!AD27*10^-12)/(Calculation!T27*10^-9)*50)&lt;=1,1,ROUNDUP(Calculation!$O$6/((Calculation!AD27*10^-12)/(Calculation!T27*10^-9)*50),0))*50)&lt;Calculation!$AK$6,Calculation!$AK$6,IF(Calculation!$O$6/((Calculation!AD27*10^-12)/(Calculation!T27*10^-9)*50)&lt;=1,1,ROUNDUP(Calculation!$O$6/((Calculation!AD27*10^-12)/(Calculation!T27*10^-9)*50),0))*50),"-"),"-")</f>
        <v>-</v>
      </c>
      <c r="AM27" s="441" t="str">
        <f t="shared" ca="1" si="20"/>
        <v/>
      </c>
      <c r="AN27" s="442" t="str">
        <f t="shared" ca="1" si="20"/>
        <v/>
      </c>
      <c r="AO27" s="432">
        <f t="shared" ca="1" si="21"/>
        <v>384</v>
      </c>
      <c r="AP27" s="427" t="str">
        <f t="shared" ca="1" si="22"/>
        <v>-</v>
      </c>
      <c r="AQ27" s="443" t="str">
        <f t="shared" ca="1" si="23"/>
        <v>-</v>
      </c>
      <c r="AR27" s="444" t="str">
        <f t="shared" ca="1" si="24"/>
        <v>-</v>
      </c>
      <c r="AS27" s="430" t="str">
        <f t="shared" ca="1" si="25"/>
        <v>-</v>
      </c>
      <c r="AT27" s="431"/>
      <c r="AU27" s="431"/>
      <c r="AV27" s="432">
        <v>18</v>
      </c>
      <c r="AW27" s="433" t="e">
        <f>ListAndConversion!S20</f>
        <v>#DIV/0!</v>
      </c>
      <c r="AX27" s="432" t="e">
        <f>IF(AW27="-","-",IF(COUNTIF(ListAndConversion!$F$3:$M$386,Calculation!AW27)=0,"Missing Lane","OK"))</f>
        <v>#DIV/0!</v>
      </c>
      <c r="AY27" s="433" t="str">
        <f>IFERROR(VLOOKUP(AW27,ListAndConversion!$F$3:$O$386,9,0),"-")</f>
        <v>-</v>
      </c>
      <c r="AZ27" s="433" t="str">
        <f>IFERROR(VLOOKUP(AW27,ListAndConversion!$F$3:$O$386,10,0),"-")</f>
        <v>-</v>
      </c>
      <c r="BA27" s="433" t="e">
        <f t="shared" si="26"/>
        <v>#DIV/0!</v>
      </c>
      <c r="BB27" s="433" t="str">
        <f t="shared" si="27"/>
        <v>-</v>
      </c>
      <c r="BC27" s="433" t="str">
        <f t="shared" si="28"/>
        <v/>
      </c>
    </row>
    <row r="28" spans="1:56" ht="14.25" x14ac:dyDescent="0.65">
      <c r="A28" s="407">
        <v>20</v>
      </c>
      <c r="B28" s="408" t="str">
        <f t="shared" ca="1" si="2"/>
        <v/>
      </c>
      <c r="C28" s="408" t="str">
        <f ca="1">IFERROR(IF(G28="","",CONCATENATE(E28,"-",INDEX(Coordinate,MATCH(F28,ListAndConversion!$X$4:$X$99,0),2))),"")</f>
        <v/>
      </c>
      <c r="D28" s="408" t="str">
        <f t="shared" ca="1" si="3"/>
        <v/>
      </c>
      <c r="E28" s="408" t="str">
        <f t="shared" ca="1" si="3"/>
        <v/>
      </c>
      <c r="F28" s="408" t="str">
        <f t="shared" ca="1" si="3"/>
        <v/>
      </c>
      <c r="G28" s="408" t="str">
        <f ca="1">IFERROR(INDEX(ListAndConversion!A:B,MATCH(Calculation!E28,ListAndConversion!A:A,0),2),"")</f>
        <v/>
      </c>
      <c r="H28" s="408" t="str">
        <f>IF(TrackIT_Lines!AD20="","",TrackIT_Lines!AD20)</f>
        <v/>
      </c>
      <c r="I28" s="408" t="str">
        <f>IF(TrackIT_Lines!AD20="","",CONCATENATE(TrackIT_Lines!AD20,"-",TrackIT_Lines!AG20))</f>
        <v/>
      </c>
      <c r="J28" s="409" t="str">
        <f t="shared" ca="1" si="29"/>
        <v/>
      </c>
      <c r="K28" s="408" t="str">
        <f t="shared" ca="1" si="29"/>
        <v/>
      </c>
      <c r="L28" s="408" t="str">
        <f t="shared" ca="1" si="29"/>
        <v/>
      </c>
      <c r="M28" s="408" t="str">
        <f t="shared" ca="1" si="29"/>
        <v/>
      </c>
      <c r="N28" s="408" t="str">
        <f t="shared" ca="1" si="29"/>
        <v/>
      </c>
      <c r="O28" s="408" t="str">
        <f t="shared" ca="1" si="29"/>
        <v/>
      </c>
      <c r="P28" s="408" t="str">
        <f t="shared" ca="1" si="29"/>
        <v/>
      </c>
      <c r="Q28" s="408" t="str">
        <f t="shared" ca="1" si="29"/>
        <v/>
      </c>
      <c r="R28" s="410" t="str">
        <f ca="1">Cluster!J47</f>
        <v>Selection</v>
      </c>
      <c r="S28" s="411" t="str">
        <f t="shared" ca="1" si="5"/>
        <v>-</v>
      </c>
      <c r="T28" s="412" t="str">
        <f t="shared" ca="1" si="6"/>
        <v/>
      </c>
      <c r="U28" s="411" t="str">
        <f t="shared" ca="1" si="7"/>
        <v>-</v>
      </c>
      <c r="V28" s="411" t="str">
        <f t="shared" ca="1" si="8"/>
        <v>-</v>
      </c>
      <c r="W28" s="413">
        <f>Cluster!N47</f>
        <v>0</v>
      </c>
      <c r="X28" s="414" t="str">
        <f t="shared" ca="1" si="9"/>
        <v>-</v>
      </c>
      <c r="Y28" s="411" t="str">
        <f t="shared" ca="1" si="10"/>
        <v>-</v>
      </c>
      <c r="Z28" s="415" t="str">
        <f t="shared" ca="1" si="11"/>
        <v>-</v>
      </c>
      <c r="AA28" s="416" t="str">
        <f t="shared" ca="1" si="12"/>
        <v>-</v>
      </c>
      <c r="AB28" s="416" t="str">
        <f t="shared" ca="1" si="13"/>
        <v/>
      </c>
      <c r="AC28" s="434" t="str">
        <f>Cluster!Q47</f>
        <v>Bypass</v>
      </c>
      <c r="AD28" s="435" t="str">
        <f t="shared" ca="1" si="14"/>
        <v/>
      </c>
      <c r="AE28" s="436" t="str">
        <f t="shared" ca="1" si="14"/>
        <v/>
      </c>
      <c r="AF28" s="437" t="str">
        <f t="shared" ca="1" si="15"/>
        <v>-</v>
      </c>
      <c r="AG28" s="438" t="str">
        <f t="shared" ca="1" si="16"/>
        <v>-</v>
      </c>
      <c r="AH28" s="437" t="str">
        <f t="shared" ca="1" si="17"/>
        <v>-</v>
      </c>
      <c r="AI28" s="438" t="str">
        <f t="shared" ca="1" si="18"/>
        <v>-</v>
      </c>
      <c r="AJ28" s="438" t="str">
        <f t="shared" ca="1" si="19"/>
        <v>-</v>
      </c>
      <c r="AK28" s="439" t="str">
        <f ca="1">IFERROR(AE28*AD28*AL28/(IF(Cluster!AA47=Cluster!$W$8,Cluster!$W$10,IF(Cluster!AA47=Cluster!$X$8,Cluster!$X$10,IF(Cluster!AA47=Cluster!$Y$8,Cluster!$Y$10,0)))*10^3),"-")</f>
        <v>-</v>
      </c>
      <c r="AL28" s="440" t="str">
        <f ca="1">IFERROR(IF(OR(Calculation!T28&lt;(Calculation!$U$8+2),Calculation!AC28="Bypass"),IF((IF(Calculation!$O$6/((Calculation!AD28*10^-12)/(Calculation!T28*10^-9)*50)&lt;=1,1,ROUNDUP(Calculation!$O$6/((Calculation!AD28*10^-12)/(Calculation!T28*10^-9)*50),0))*50)&lt;Calculation!$AK$6,Calculation!$AK$6,IF(Calculation!$O$6/((Calculation!AD28*10^-12)/(Calculation!T28*10^-9)*50)&lt;=1,1,ROUNDUP(Calculation!$O$6/((Calculation!AD28*10^-12)/(Calculation!T28*10^-9)*50),0))*50),"-"),"-")</f>
        <v>-</v>
      </c>
      <c r="AM28" s="441" t="str">
        <f t="shared" ca="1" si="20"/>
        <v/>
      </c>
      <c r="AN28" s="442" t="str">
        <f t="shared" ca="1" si="20"/>
        <v/>
      </c>
      <c r="AO28" s="432">
        <f t="shared" ca="1" si="21"/>
        <v>384</v>
      </c>
      <c r="AP28" s="427" t="str">
        <f t="shared" ca="1" si="22"/>
        <v>-</v>
      </c>
      <c r="AQ28" s="443" t="str">
        <f t="shared" ca="1" si="23"/>
        <v>-</v>
      </c>
      <c r="AR28" s="444" t="str">
        <f t="shared" ca="1" si="24"/>
        <v>-</v>
      </c>
      <c r="AS28" s="430" t="str">
        <f t="shared" ca="1" si="25"/>
        <v>-</v>
      </c>
      <c r="AT28" s="431"/>
      <c r="AU28" s="431"/>
      <c r="AV28" s="432">
        <v>19</v>
      </c>
      <c r="AW28" s="433" t="e">
        <f>ListAndConversion!S21</f>
        <v>#DIV/0!</v>
      </c>
      <c r="AX28" s="432" t="e">
        <f>IF(AW28="-","-",IF(COUNTIF(ListAndConversion!$F$3:$M$386,Calculation!AW28)=0,"Missing Lane","OK"))</f>
        <v>#DIV/0!</v>
      </c>
      <c r="AY28" s="433" t="str">
        <f>IFERROR(VLOOKUP(AW28,ListAndConversion!$F$3:$O$386,9,0),"-")</f>
        <v>-</v>
      </c>
      <c r="AZ28" s="433" t="str">
        <f>IFERROR(VLOOKUP(AW28,ListAndConversion!$F$3:$O$386,10,0),"-")</f>
        <v>-</v>
      </c>
      <c r="BA28" s="433" t="e">
        <f t="shared" si="26"/>
        <v>#DIV/0!</v>
      </c>
      <c r="BB28" s="433" t="str">
        <f t="shared" si="27"/>
        <v>-</v>
      </c>
      <c r="BC28" s="433" t="str">
        <f t="shared" si="28"/>
        <v/>
      </c>
    </row>
    <row r="29" spans="1:56" ht="14.25" x14ac:dyDescent="0.65">
      <c r="A29" s="407">
        <v>21</v>
      </c>
      <c r="B29" s="408" t="str">
        <f t="shared" ca="1" si="2"/>
        <v/>
      </c>
      <c r="C29" s="408" t="str">
        <f ca="1">IFERROR(IF(G29="","",CONCATENATE(E29,"-",INDEX(Coordinate,MATCH(F29,ListAndConversion!$X$4:$X$99,0),2))),"")</f>
        <v/>
      </c>
      <c r="D29" s="408" t="str">
        <f t="shared" ca="1" si="3"/>
        <v/>
      </c>
      <c r="E29" s="408" t="str">
        <f t="shared" ca="1" si="3"/>
        <v/>
      </c>
      <c r="F29" s="408" t="str">
        <f t="shared" ca="1" si="3"/>
        <v/>
      </c>
      <c r="G29" s="408" t="str">
        <f ca="1">IFERROR(INDEX(ListAndConversion!A:B,MATCH(Calculation!E29,ListAndConversion!A:A,0),2),"")</f>
        <v/>
      </c>
      <c r="H29" s="408" t="str">
        <f>IF(TrackIT_Lines!AD21="","",TrackIT_Lines!AD21)</f>
        <v/>
      </c>
      <c r="I29" s="408" t="str">
        <f>IF(TrackIT_Lines!AD21="","",CONCATENATE(TrackIT_Lines!AD21,"-",TrackIT_Lines!AG21))</f>
        <v/>
      </c>
      <c r="J29" s="409" t="str">
        <f t="shared" ca="1" si="29"/>
        <v/>
      </c>
      <c r="K29" s="408" t="str">
        <f t="shared" ca="1" si="29"/>
        <v/>
      </c>
      <c r="L29" s="408" t="str">
        <f t="shared" ca="1" si="29"/>
        <v/>
      </c>
      <c r="M29" s="408" t="str">
        <f t="shared" ca="1" si="29"/>
        <v/>
      </c>
      <c r="N29" s="408" t="str">
        <f t="shared" ca="1" si="29"/>
        <v/>
      </c>
      <c r="O29" s="408" t="str">
        <f t="shared" ca="1" si="29"/>
        <v/>
      </c>
      <c r="P29" s="408" t="str">
        <f t="shared" ca="1" si="29"/>
        <v/>
      </c>
      <c r="Q29" s="408" t="str">
        <f t="shared" ca="1" si="29"/>
        <v/>
      </c>
      <c r="R29" s="410" t="str">
        <f ca="1">Cluster!J48</f>
        <v>Selection</v>
      </c>
      <c r="S29" s="411" t="str">
        <f t="shared" ca="1" si="5"/>
        <v>-</v>
      </c>
      <c r="T29" s="412" t="str">
        <f t="shared" ca="1" si="6"/>
        <v/>
      </c>
      <c r="U29" s="411" t="str">
        <f t="shared" ca="1" si="7"/>
        <v>-</v>
      </c>
      <c r="V29" s="411" t="str">
        <f t="shared" ca="1" si="8"/>
        <v>-</v>
      </c>
      <c r="W29" s="413">
        <f>Cluster!N48</f>
        <v>0</v>
      </c>
      <c r="X29" s="414" t="str">
        <f t="shared" ca="1" si="9"/>
        <v>-</v>
      </c>
      <c r="Y29" s="411" t="str">
        <f t="shared" ca="1" si="10"/>
        <v>-</v>
      </c>
      <c r="Z29" s="415" t="str">
        <f t="shared" ca="1" si="11"/>
        <v>-</v>
      </c>
      <c r="AA29" s="416" t="str">
        <f t="shared" ca="1" si="12"/>
        <v>-</v>
      </c>
      <c r="AB29" s="416" t="str">
        <f t="shared" ca="1" si="13"/>
        <v/>
      </c>
      <c r="AC29" s="434" t="str">
        <f>Cluster!Q48</f>
        <v>Bypass</v>
      </c>
      <c r="AD29" s="435" t="str">
        <f t="shared" ca="1" si="14"/>
        <v/>
      </c>
      <c r="AE29" s="436" t="str">
        <f t="shared" ca="1" si="14"/>
        <v/>
      </c>
      <c r="AF29" s="437" t="str">
        <f t="shared" ca="1" si="15"/>
        <v>-</v>
      </c>
      <c r="AG29" s="438" t="str">
        <f t="shared" ca="1" si="16"/>
        <v>-</v>
      </c>
      <c r="AH29" s="437" t="str">
        <f t="shared" ca="1" si="17"/>
        <v>-</v>
      </c>
      <c r="AI29" s="438" t="str">
        <f t="shared" ca="1" si="18"/>
        <v>-</v>
      </c>
      <c r="AJ29" s="438" t="str">
        <f t="shared" ca="1" si="19"/>
        <v>-</v>
      </c>
      <c r="AK29" s="439" t="str">
        <f ca="1">IFERROR(AE29*AD29*AL29/(IF(Cluster!AA48=Cluster!$W$8,Cluster!$W$10,IF(Cluster!AA48=Cluster!$X$8,Cluster!$X$10,IF(Cluster!AA48=Cluster!$Y$8,Cluster!$Y$10,0)))*10^3),"-")</f>
        <v>-</v>
      </c>
      <c r="AL29" s="440" t="str">
        <f ca="1">IFERROR(IF(OR(Calculation!T29&lt;(Calculation!$U$8+2),Calculation!AC29="Bypass"),IF((IF(Calculation!$O$6/((Calculation!AD29*10^-12)/(Calculation!T29*10^-9)*50)&lt;=1,1,ROUNDUP(Calculation!$O$6/((Calculation!AD29*10^-12)/(Calculation!T29*10^-9)*50),0))*50)&lt;Calculation!$AK$6,Calculation!$AK$6,IF(Calculation!$O$6/((Calculation!AD29*10^-12)/(Calculation!T29*10^-9)*50)&lt;=1,1,ROUNDUP(Calculation!$O$6/((Calculation!AD29*10^-12)/(Calculation!T29*10^-9)*50),0))*50),"-"),"-")</f>
        <v>-</v>
      </c>
      <c r="AM29" s="441" t="str">
        <f t="shared" ca="1" si="20"/>
        <v/>
      </c>
      <c r="AN29" s="442" t="str">
        <f t="shared" ca="1" si="20"/>
        <v/>
      </c>
      <c r="AO29" s="432">
        <f t="shared" ca="1" si="21"/>
        <v>384</v>
      </c>
      <c r="AP29" s="427" t="str">
        <f t="shared" ca="1" si="22"/>
        <v>-</v>
      </c>
      <c r="AQ29" s="443" t="str">
        <f t="shared" ca="1" si="23"/>
        <v>-</v>
      </c>
      <c r="AR29" s="444" t="str">
        <f t="shared" ca="1" si="24"/>
        <v>-</v>
      </c>
      <c r="AS29" s="430" t="str">
        <f t="shared" ca="1" si="25"/>
        <v>-</v>
      </c>
      <c r="AT29" s="431"/>
      <c r="AU29" s="431"/>
      <c r="AV29" s="432">
        <v>20</v>
      </c>
      <c r="AW29" s="433" t="e">
        <f>ListAndConversion!S22</f>
        <v>#DIV/0!</v>
      </c>
      <c r="AX29" s="432" t="e">
        <f>IF(AW29="-","-",IF(COUNTIF(ListAndConversion!$F$3:$M$386,Calculation!AW29)=0,"Missing Lane","OK"))</f>
        <v>#DIV/0!</v>
      </c>
      <c r="AY29" s="433" t="str">
        <f>IFERROR(VLOOKUP(AW29,ListAndConversion!$F$3:$O$386,9,0),"-")</f>
        <v>-</v>
      </c>
      <c r="AZ29" s="433" t="str">
        <f>IFERROR(VLOOKUP(AW29,ListAndConversion!$F$3:$O$386,10,0),"-")</f>
        <v>-</v>
      </c>
      <c r="BA29" s="433" t="e">
        <f t="shared" si="26"/>
        <v>#DIV/0!</v>
      </c>
      <c r="BB29" s="433" t="str">
        <f t="shared" si="27"/>
        <v>-</v>
      </c>
      <c r="BC29" s="433" t="str">
        <f t="shared" si="28"/>
        <v/>
      </c>
    </row>
    <row r="30" spans="1:56" ht="14.25" x14ac:dyDescent="0.65">
      <c r="A30" s="407">
        <v>22</v>
      </c>
      <c r="B30" s="408" t="str">
        <f t="shared" ca="1" si="2"/>
        <v/>
      </c>
      <c r="C30" s="408" t="str">
        <f ca="1">IFERROR(IF(G30="","",CONCATENATE(E30,"-",INDEX(Coordinate,MATCH(F30,ListAndConversion!$X$4:$X$99,0),2))),"")</f>
        <v/>
      </c>
      <c r="D30" s="408" t="str">
        <f t="shared" ref="D30:F49" ca="1" si="30">IF((INDIRECT("TrackIT_Lines!"&amp;D$2&amp;$A30))="","", (INDIRECT("TrackIT_Lines!"&amp;D$2&amp;$A30)))</f>
        <v/>
      </c>
      <c r="E30" s="408" t="str">
        <f t="shared" ca="1" si="30"/>
        <v/>
      </c>
      <c r="F30" s="408" t="str">
        <f t="shared" ca="1" si="30"/>
        <v/>
      </c>
      <c r="G30" s="408" t="str">
        <f ca="1">IFERROR(INDEX(ListAndConversion!A:B,MATCH(Calculation!E30,ListAndConversion!A:A,0),2),"")</f>
        <v/>
      </c>
      <c r="H30" s="408" t="str">
        <f>IF(TrackIT_Lines!AD22="","",TrackIT_Lines!AD22)</f>
        <v/>
      </c>
      <c r="I30" s="408" t="str">
        <f>IF(TrackIT_Lines!AD22="","",CONCATENATE(TrackIT_Lines!AD22,"-",TrackIT_Lines!AG22))</f>
        <v/>
      </c>
      <c r="J30" s="409" t="str">
        <f t="shared" ref="J30:Q39" ca="1" si="31">IF((INDIRECT("TrackIT_Lines!"&amp;J$2&amp;$A30))="","", (INDIRECT("TrackIT_Lines!"&amp;J$2&amp;$A30)))</f>
        <v/>
      </c>
      <c r="K30" s="408" t="str">
        <f t="shared" ca="1" si="31"/>
        <v/>
      </c>
      <c r="L30" s="408" t="str">
        <f t="shared" ca="1" si="31"/>
        <v/>
      </c>
      <c r="M30" s="408" t="str">
        <f t="shared" ca="1" si="31"/>
        <v/>
      </c>
      <c r="N30" s="408" t="str">
        <f t="shared" ca="1" si="31"/>
        <v/>
      </c>
      <c r="O30" s="408" t="str">
        <f t="shared" ca="1" si="31"/>
        <v/>
      </c>
      <c r="P30" s="408" t="str">
        <f t="shared" ca="1" si="31"/>
        <v/>
      </c>
      <c r="Q30" s="408" t="str">
        <f t="shared" ca="1" si="31"/>
        <v/>
      </c>
      <c r="R30" s="410" t="str">
        <f ca="1">Cluster!J49</f>
        <v>Selection</v>
      </c>
      <c r="S30" s="411" t="str">
        <f t="shared" ca="1" si="5"/>
        <v>-</v>
      </c>
      <c r="T30" s="412" t="str">
        <f t="shared" ca="1" si="6"/>
        <v/>
      </c>
      <c r="U30" s="411" t="str">
        <f t="shared" ca="1" si="7"/>
        <v>-</v>
      </c>
      <c r="V30" s="411" t="str">
        <f t="shared" ca="1" si="8"/>
        <v>-</v>
      </c>
      <c r="W30" s="413">
        <f>Cluster!N49</f>
        <v>0</v>
      </c>
      <c r="X30" s="414" t="str">
        <f t="shared" ca="1" si="9"/>
        <v>-</v>
      </c>
      <c r="Y30" s="411" t="str">
        <f t="shared" ca="1" si="10"/>
        <v>-</v>
      </c>
      <c r="Z30" s="415" t="str">
        <f t="shared" ca="1" si="11"/>
        <v>-</v>
      </c>
      <c r="AA30" s="416" t="str">
        <f t="shared" ca="1" si="12"/>
        <v>-</v>
      </c>
      <c r="AB30" s="416" t="str">
        <f t="shared" ca="1" si="13"/>
        <v/>
      </c>
      <c r="AC30" s="434" t="str">
        <f>Cluster!Q49</f>
        <v>Bypass</v>
      </c>
      <c r="AD30" s="435" t="str">
        <f t="shared" ref="AD30:AE49" ca="1" si="32">IF((INDIRECT("TrackIT_Lines!"&amp;AD$2&amp;$A30))="","", (INDIRECT("TrackIT_Lines!"&amp;AD$2&amp;$A30)))</f>
        <v/>
      </c>
      <c r="AE30" s="436" t="str">
        <f t="shared" ca="1" si="32"/>
        <v/>
      </c>
      <c r="AF30" s="437" t="str">
        <f t="shared" ca="1" si="15"/>
        <v>-</v>
      </c>
      <c r="AG30" s="438" t="str">
        <f t="shared" ca="1" si="16"/>
        <v>-</v>
      </c>
      <c r="AH30" s="437" t="str">
        <f t="shared" ca="1" si="17"/>
        <v>-</v>
      </c>
      <c r="AI30" s="438" t="str">
        <f t="shared" ca="1" si="18"/>
        <v>-</v>
      </c>
      <c r="AJ30" s="438" t="str">
        <f t="shared" ca="1" si="19"/>
        <v>-</v>
      </c>
      <c r="AK30" s="439" t="str">
        <f ca="1">IFERROR(AE30*AD30*AL30/(IF(Cluster!AA49=Cluster!$W$8,Cluster!$W$10,IF(Cluster!AA49=Cluster!$X$8,Cluster!$X$10,IF(Cluster!AA49=Cluster!$Y$8,Cluster!$Y$10,0)))*10^3),"-")</f>
        <v>-</v>
      </c>
      <c r="AL30" s="440" t="str">
        <f ca="1">IFERROR(IF(OR(Calculation!T30&lt;(Calculation!$U$8+2),Calculation!AC30="Bypass"),IF((IF(Calculation!$O$6/((Calculation!AD30*10^-12)/(Calculation!T30*10^-9)*50)&lt;=1,1,ROUNDUP(Calculation!$O$6/((Calculation!AD30*10^-12)/(Calculation!T30*10^-9)*50),0))*50)&lt;Calculation!$AK$6,Calculation!$AK$6,IF(Calculation!$O$6/((Calculation!AD30*10^-12)/(Calculation!T30*10^-9)*50)&lt;=1,1,ROUNDUP(Calculation!$O$6/((Calculation!AD30*10^-12)/(Calculation!T30*10^-9)*50),0))*50),"-"),"-")</f>
        <v>-</v>
      </c>
      <c r="AM30" s="441" t="str">
        <f t="shared" ref="AM30:AN49" ca="1" si="33">IF((INDIRECT("TrackIT_Lines!"&amp;AM$2&amp;$A30))="","", (INDIRECT("TrackIT_Lines!"&amp;AM$2&amp;$A30)))</f>
        <v/>
      </c>
      <c r="AN30" s="442" t="str">
        <f t="shared" ca="1" si="33"/>
        <v/>
      </c>
      <c r="AO30" s="432">
        <f t="shared" ca="1" si="21"/>
        <v>384</v>
      </c>
      <c r="AP30" s="427" t="str">
        <f t="shared" ca="1" si="22"/>
        <v>-</v>
      </c>
      <c r="AQ30" s="443" t="str">
        <f t="shared" ca="1" si="23"/>
        <v>-</v>
      </c>
      <c r="AR30" s="444" t="str">
        <f t="shared" ca="1" si="24"/>
        <v>-</v>
      </c>
      <c r="AS30" s="430" t="str">
        <f t="shared" ca="1" si="25"/>
        <v>-</v>
      </c>
      <c r="AT30" s="431"/>
      <c r="AU30" s="431"/>
      <c r="AV30" s="432">
        <v>21</v>
      </c>
      <c r="AW30" s="433" t="e">
        <f>ListAndConversion!S23</f>
        <v>#DIV/0!</v>
      </c>
      <c r="AX30" s="432" t="e">
        <f>IF(AW30="-","-",IF(COUNTIF(ListAndConversion!$F$3:$M$386,Calculation!AW30)=0,"Missing Lane","OK"))</f>
        <v>#DIV/0!</v>
      </c>
      <c r="AY30" s="433" t="str">
        <f>IFERROR(VLOOKUP(AW30,ListAndConversion!$F$3:$O$386,9,0),"-")</f>
        <v>-</v>
      </c>
      <c r="AZ30" s="433" t="str">
        <f>IFERROR(VLOOKUP(AW30,ListAndConversion!$F$3:$O$386,10,0),"-")</f>
        <v>-</v>
      </c>
      <c r="BA30" s="433" t="e">
        <f t="shared" si="26"/>
        <v>#DIV/0!</v>
      </c>
      <c r="BB30" s="433" t="str">
        <f t="shared" si="27"/>
        <v>-</v>
      </c>
      <c r="BC30" s="433" t="str">
        <f t="shared" si="28"/>
        <v/>
      </c>
    </row>
    <row r="31" spans="1:56" ht="14.25" x14ac:dyDescent="0.65">
      <c r="A31" s="407">
        <v>23</v>
      </c>
      <c r="B31" s="408" t="str">
        <f t="shared" ca="1" si="2"/>
        <v/>
      </c>
      <c r="C31" s="408" t="str">
        <f ca="1">IFERROR(IF(G31="","",CONCATENATE(E31,"-",INDEX(Coordinate,MATCH(F31,ListAndConversion!$X$4:$X$99,0),2))),"")</f>
        <v/>
      </c>
      <c r="D31" s="408" t="str">
        <f t="shared" ca="1" si="30"/>
        <v/>
      </c>
      <c r="E31" s="408" t="str">
        <f t="shared" ca="1" si="30"/>
        <v/>
      </c>
      <c r="F31" s="408" t="str">
        <f t="shared" ca="1" si="30"/>
        <v/>
      </c>
      <c r="G31" s="408" t="str">
        <f ca="1">IFERROR(INDEX(ListAndConversion!A:B,MATCH(Calculation!E31,ListAndConversion!A:A,0),2),"")</f>
        <v/>
      </c>
      <c r="H31" s="408" t="str">
        <f>IF(TrackIT_Lines!AD23="","",TrackIT_Lines!AD23)</f>
        <v/>
      </c>
      <c r="I31" s="408" t="str">
        <f>IF(TrackIT_Lines!AD23="","",CONCATENATE(TrackIT_Lines!AD23,"-",TrackIT_Lines!AG23))</f>
        <v/>
      </c>
      <c r="J31" s="409" t="str">
        <f t="shared" ca="1" si="31"/>
        <v/>
      </c>
      <c r="K31" s="408" t="str">
        <f t="shared" ca="1" si="31"/>
        <v/>
      </c>
      <c r="L31" s="408" t="str">
        <f t="shared" ca="1" si="31"/>
        <v/>
      </c>
      <c r="M31" s="408" t="str">
        <f t="shared" ca="1" si="31"/>
        <v/>
      </c>
      <c r="N31" s="408" t="str">
        <f t="shared" ca="1" si="31"/>
        <v/>
      </c>
      <c r="O31" s="408" t="str">
        <f t="shared" ca="1" si="31"/>
        <v/>
      </c>
      <c r="P31" s="408" t="str">
        <f t="shared" ca="1" si="31"/>
        <v/>
      </c>
      <c r="Q31" s="408" t="str">
        <f t="shared" ca="1" si="31"/>
        <v/>
      </c>
      <c r="R31" s="410" t="str">
        <f ca="1">Cluster!J50</f>
        <v>Selection</v>
      </c>
      <c r="S31" s="411" t="str">
        <f t="shared" ca="1" si="5"/>
        <v>-</v>
      </c>
      <c r="T31" s="412" t="str">
        <f t="shared" ca="1" si="6"/>
        <v/>
      </c>
      <c r="U31" s="411" t="str">
        <f t="shared" ca="1" si="7"/>
        <v>-</v>
      </c>
      <c r="V31" s="411" t="str">
        <f t="shared" ca="1" si="8"/>
        <v>-</v>
      </c>
      <c r="W31" s="413">
        <f>Cluster!N50</f>
        <v>0</v>
      </c>
      <c r="X31" s="414" t="str">
        <f t="shared" ca="1" si="9"/>
        <v>-</v>
      </c>
      <c r="Y31" s="411" t="str">
        <f t="shared" ca="1" si="10"/>
        <v>-</v>
      </c>
      <c r="Z31" s="415" t="str">
        <f t="shared" ca="1" si="11"/>
        <v>-</v>
      </c>
      <c r="AA31" s="416" t="str">
        <f t="shared" ca="1" si="12"/>
        <v>-</v>
      </c>
      <c r="AB31" s="416" t="str">
        <f t="shared" ca="1" si="13"/>
        <v/>
      </c>
      <c r="AC31" s="434" t="str">
        <f>Cluster!Q50</f>
        <v>Bypass</v>
      </c>
      <c r="AD31" s="435" t="str">
        <f t="shared" ca="1" si="32"/>
        <v/>
      </c>
      <c r="AE31" s="436" t="str">
        <f t="shared" ca="1" si="32"/>
        <v/>
      </c>
      <c r="AF31" s="437" t="str">
        <f t="shared" ca="1" si="15"/>
        <v>-</v>
      </c>
      <c r="AG31" s="438" t="str">
        <f t="shared" ca="1" si="16"/>
        <v>-</v>
      </c>
      <c r="AH31" s="437" t="str">
        <f t="shared" ca="1" si="17"/>
        <v>-</v>
      </c>
      <c r="AI31" s="438" t="str">
        <f t="shared" ca="1" si="18"/>
        <v>-</v>
      </c>
      <c r="AJ31" s="438" t="str">
        <f t="shared" ca="1" si="19"/>
        <v>-</v>
      </c>
      <c r="AK31" s="439" t="str">
        <f ca="1">IFERROR(AE31*AD31*AL31/(IF(Cluster!AA50=Cluster!$W$8,Cluster!$W$10,IF(Cluster!AA50=Cluster!$X$8,Cluster!$X$10,IF(Cluster!AA50=Cluster!$Y$8,Cluster!$Y$10,0)))*10^3),"-")</f>
        <v>-</v>
      </c>
      <c r="AL31" s="440" t="str">
        <f ca="1">IFERROR(IF(OR(Calculation!T31&lt;(Calculation!$U$8+2),Calculation!AC31="Bypass"),IF((IF(Calculation!$O$6/((Calculation!AD31*10^-12)/(Calculation!T31*10^-9)*50)&lt;=1,1,ROUNDUP(Calculation!$O$6/((Calculation!AD31*10^-12)/(Calculation!T31*10^-9)*50),0))*50)&lt;Calculation!$AK$6,Calculation!$AK$6,IF(Calculation!$O$6/((Calculation!AD31*10^-12)/(Calculation!T31*10^-9)*50)&lt;=1,1,ROUNDUP(Calculation!$O$6/((Calculation!AD31*10^-12)/(Calculation!T31*10^-9)*50),0))*50),"-"),"-")</f>
        <v>-</v>
      </c>
      <c r="AM31" s="441" t="str">
        <f t="shared" ca="1" si="33"/>
        <v/>
      </c>
      <c r="AN31" s="442" t="str">
        <f t="shared" ca="1" si="33"/>
        <v/>
      </c>
      <c r="AO31" s="432">
        <f t="shared" ca="1" si="21"/>
        <v>384</v>
      </c>
      <c r="AP31" s="427" t="str">
        <f t="shared" ca="1" si="22"/>
        <v>-</v>
      </c>
      <c r="AQ31" s="443" t="str">
        <f t="shared" ca="1" si="23"/>
        <v>-</v>
      </c>
      <c r="AR31" s="444" t="str">
        <f t="shared" ca="1" si="24"/>
        <v>-</v>
      </c>
      <c r="AS31" s="430" t="str">
        <f t="shared" ca="1" si="25"/>
        <v>-</v>
      </c>
      <c r="AT31" s="431"/>
      <c r="AU31" s="431"/>
      <c r="AV31" s="432">
        <v>22</v>
      </c>
      <c r="AW31" s="433" t="e">
        <f>ListAndConversion!S24</f>
        <v>#DIV/0!</v>
      </c>
      <c r="AX31" s="432" t="e">
        <f>IF(AW31="-","-",IF(COUNTIF(ListAndConversion!$F$3:$M$386,Calculation!AW31)=0,"Missing Lane","OK"))</f>
        <v>#DIV/0!</v>
      </c>
      <c r="AY31" s="433" t="str">
        <f>IFERROR(VLOOKUP(AW31,ListAndConversion!$F$3:$O$386,9,0),"-")</f>
        <v>-</v>
      </c>
      <c r="AZ31" s="433" t="str">
        <f>IFERROR(VLOOKUP(AW31,ListAndConversion!$F$3:$O$386,10,0),"-")</f>
        <v>-</v>
      </c>
      <c r="BA31" s="433" t="e">
        <f t="shared" si="26"/>
        <v>#DIV/0!</v>
      </c>
      <c r="BB31" s="433" t="str">
        <f t="shared" si="27"/>
        <v>-</v>
      </c>
      <c r="BC31" s="433" t="str">
        <f t="shared" si="28"/>
        <v/>
      </c>
    </row>
    <row r="32" spans="1:56" ht="14.25" x14ac:dyDescent="0.65">
      <c r="A32" s="407">
        <v>24</v>
      </c>
      <c r="B32" s="408" t="str">
        <f t="shared" ca="1" si="2"/>
        <v/>
      </c>
      <c r="C32" s="408" t="str">
        <f ca="1">IFERROR(IF(G32="","",CONCATENATE(E32,"-",INDEX(Coordinate,MATCH(F32,ListAndConversion!$X$4:$X$99,0),2))),"")</f>
        <v/>
      </c>
      <c r="D32" s="408" t="str">
        <f t="shared" ca="1" si="30"/>
        <v/>
      </c>
      <c r="E32" s="408" t="str">
        <f t="shared" ca="1" si="30"/>
        <v/>
      </c>
      <c r="F32" s="408" t="str">
        <f t="shared" ca="1" si="30"/>
        <v/>
      </c>
      <c r="G32" s="408" t="str">
        <f ca="1">IFERROR(INDEX(ListAndConversion!A:B,MATCH(Calculation!E32,ListAndConversion!A:A,0),2),"")</f>
        <v/>
      </c>
      <c r="H32" s="408" t="str">
        <f>IF(TrackIT_Lines!AD24="","",TrackIT_Lines!AD24)</f>
        <v/>
      </c>
      <c r="I32" s="408" t="str">
        <f>IF(TrackIT_Lines!AD24="","",CONCATENATE(TrackIT_Lines!AD24,"-",TrackIT_Lines!AG24))</f>
        <v/>
      </c>
      <c r="J32" s="409" t="str">
        <f t="shared" ca="1" si="31"/>
        <v/>
      </c>
      <c r="K32" s="408" t="str">
        <f t="shared" ca="1" si="31"/>
        <v/>
      </c>
      <c r="L32" s="408" t="str">
        <f t="shared" ca="1" si="31"/>
        <v/>
      </c>
      <c r="M32" s="408" t="str">
        <f t="shared" ca="1" si="31"/>
        <v/>
      </c>
      <c r="N32" s="408" t="str">
        <f t="shared" ca="1" si="31"/>
        <v/>
      </c>
      <c r="O32" s="408" t="str">
        <f t="shared" ca="1" si="31"/>
        <v/>
      </c>
      <c r="P32" s="408" t="str">
        <f t="shared" ca="1" si="31"/>
        <v/>
      </c>
      <c r="Q32" s="408" t="str">
        <f t="shared" ca="1" si="31"/>
        <v/>
      </c>
      <c r="R32" s="410" t="str">
        <f ca="1">Cluster!J51</f>
        <v>Selection</v>
      </c>
      <c r="S32" s="411" t="str">
        <f t="shared" ca="1" si="5"/>
        <v>-</v>
      </c>
      <c r="T32" s="412" t="str">
        <f t="shared" ca="1" si="6"/>
        <v/>
      </c>
      <c r="U32" s="411" t="str">
        <f t="shared" ca="1" si="7"/>
        <v>-</v>
      </c>
      <c r="V32" s="411" t="str">
        <f t="shared" ca="1" si="8"/>
        <v>-</v>
      </c>
      <c r="W32" s="413">
        <f>Cluster!N51</f>
        <v>0</v>
      </c>
      <c r="X32" s="414" t="str">
        <f t="shared" ca="1" si="9"/>
        <v>-</v>
      </c>
      <c r="Y32" s="411" t="str">
        <f t="shared" ca="1" si="10"/>
        <v>-</v>
      </c>
      <c r="Z32" s="415" t="str">
        <f t="shared" ca="1" si="11"/>
        <v>-</v>
      </c>
      <c r="AA32" s="416" t="str">
        <f t="shared" ca="1" si="12"/>
        <v>-</v>
      </c>
      <c r="AB32" s="416" t="str">
        <f t="shared" ca="1" si="13"/>
        <v/>
      </c>
      <c r="AC32" s="434" t="str">
        <f>Cluster!Q51</f>
        <v>Bypass</v>
      </c>
      <c r="AD32" s="435" t="str">
        <f t="shared" ca="1" si="32"/>
        <v/>
      </c>
      <c r="AE32" s="436" t="str">
        <f t="shared" ca="1" si="32"/>
        <v/>
      </c>
      <c r="AF32" s="437" t="str">
        <f t="shared" ca="1" si="15"/>
        <v>-</v>
      </c>
      <c r="AG32" s="438" t="str">
        <f t="shared" ca="1" si="16"/>
        <v>-</v>
      </c>
      <c r="AH32" s="437" t="str">
        <f t="shared" ca="1" si="17"/>
        <v>-</v>
      </c>
      <c r="AI32" s="438" t="str">
        <f t="shared" ca="1" si="18"/>
        <v>-</v>
      </c>
      <c r="AJ32" s="438" t="str">
        <f t="shared" ca="1" si="19"/>
        <v>-</v>
      </c>
      <c r="AK32" s="439" t="str">
        <f ca="1">IFERROR(AE32*AD32*AL32/(IF(Cluster!AA51=Cluster!$W$8,Cluster!$W$10,IF(Cluster!AA51=Cluster!$X$8,Cluster!$X$10,IF(Cluster!AA51=Cluster!$Y$8,Cluster!$Y$10,0)))*10^3),"-")</f>
        <v>-</v>
      </c>
      <c r="AL32" s="440" t="str">
        <f ca="1">IFERROR(IF(OR(Calculation!T32&lt;(Calculation!$U$8+2),Calculation!AC32="Bypass"),IF((IF(Calculation!$O$6/((Calculation!AD32*10^-12)/(Calculation!T32*10^-9)*50)&lt;=1,1,ROUNDUP(Calculation!$O$6/((Calculation!AD32*10^-12)/(Calculation!T32*10^-9)*50),0))*50)&lt;Calculation!$AK$6,Calculation!$AK$6,IF(Calculation!$O$6/((Calculation!AD32*10^-12)/(Calculation!T32*10^-9)*50)&lt;=1,1,ROUNDUP(Calculation!$O$6/((Calculation!AD32*10^-12)/(Calculation!T32*10^-9)*50),0))*50),"-"),"-")</f>
        <v>-</v>
      </c>
      <c r="AM32" s="441" t="str">
        <f t="shared" ca="1" si="33"/>
        <v/>
      </c>
      <c r="AN32" s="442" t="str">
        <f t="shared" ca="1" si="33"/>
        <v/>
      </c>
      <c r="AO32" s="432">
        <f t="shared" ca="1" si="21"/>
        <v>384</v>
      </c>
      <c r="AP32" s="427" t="str">
        <f t="shared" ca="1" si="22"/>
        <v>-</v>
      </c>
      <c r="AQ32" s="443" t="str">
        <f t="shared" ca="1" si="23"/>
        <v>-</v>
      </c>
      <c r="AR32" s="444" t="str">
        <f t="shared" ca="1" si="24"/>
        <v>-</v>
      </c>
      <c r="AS32" s="430" t="str">
        <f t="shared" ca="1" si="25"/>
        <v>-</v>
      </c>
      <c r="AT32" s="431"/>
      <c r="AU32" s="431"/>
      <c r="AV32" s="432">
        <v>23</v>
      </c>
      <c r="AW32" s="433" t="e">
        <f>ListAndConversion!S25</f>
        <v>#DIV/0!</v>
      </c>
      <c r="AX32" s="432" t="e">
        <f>IF(AW32="-","-",IF(COUNTIF(ListAndConversion!$F$3:$M$386,Calculation!AW32)=0,"Missing Lane","OK"))</f>
        <v>#DIV/0!</v>
      </c>
      <c r="AY32" s="433" t="str">
        <f>IFERROR(VLOOKUP(AW32,ListAndConversion!$F$3:$O$386,9,0),"-")</f>
        <v>-</v>
      </c>
      <c r="AZ32" s="433" t="str">
        <f>IFERROR(VLOOKUP(AW32,ListAndConversion!$F$3:$O$386,10,0),"-")</f>
        <v>-</v>
      </c>
      <c r="BA32" s="433" t="e">
        <f t="shared" si="26"/>
        <v>#DIV/0!</v>
      </c>
      <c r="BB32" s="433" t="str">
        <f t="shared" si="27"/>
        <v>-</v>
      </c>
      <c r="BC32" s="433" t="str">
        <f t="shared" si="28"/>
        <v/>
      </c>
    </row>
    <row r="33" spans="1:55" ht="14.25" x14ac:dyDescent="0.65">
      <c r="A33" s="407">
        <v>25</v>
      </c>
      <c r="B33" s="408" t="str">
        <f t="shared" ca="1" si="2"/>
        <v/>
      </c>
      <c r="C33" s="408" t="str">
        <f ca="1">IFERROR(IF(G33="","",CONCATENATE(E33,"-",INDEX(Coordinate,MATCH(F33,ListAndConversion!$X$4:$X$99,0),2))),"")</f>
        <v/>
      </c>
      <c r="D33" s="408" t="str">
        <f t="shared" ca="1" si="30"/>
        <v/>
      </c>
      <c r="E33" s="408" t="str">
        <f t="shared" ca="1" si="30"/>
        <v/>
      </c>
      <c r="F33" s="408" t="str">
        <f t="shared" ca="1" si="30"/>
        <v/>
      </c>
      <c r="G33" s="408" t="str">
        <f ca="1">IFERROR(INDEX(ListAndConversion!A:B,MATCH(Calculation!E33,ListAndConversion!A:A,0),2),"")</f>
        <v/>
      </c>
      <c r="H33" s="408" t="str">
        <f>IF(TrackIT_Lines!AD25="","",TrackIT_Lines!AD25)</f>
        <v/>
      </c>
      <c r="I33" s="408" t="str">
        <f>IF(TrackIT_Lines!AD25="","",CONCATENATE(TrackIT_Lines!AD25,"-",TrackIT_Lines!AG25))</f>
        <v/>
      </c>
      <c r="J33" s="409" t="str">
        <f t="shared" ca="1" si="31"/>
        <v/>
      </c>
      <c r="K33" s="408" t="str">
        <f t="shared" ca="1" si="31"/>
        <v/>
      </c>
      <c r="L33" s="408" t="str">
        <f t="shared" ca="1" si="31"/>
        <v/>
      </c>
      <c r="M33" s="408" t="str">
        <f t="shared" ca="1" si="31"/>
        <v/>
      </c>
      <c r="N33" s="408" t="str">
        <f t="shared" ca="1" si="31"/>
        <v/>
      </c>
      <c r="O33" s="408" t="str">
        <f t="shared" ca="1" si="31"/>
        <v/>
      </c>
      <c r="P33" s="408" t="str">
        <f t="shared" ca="1" si="31"/>
        <v/>
      </c>
      <c r="Q33" s="408" t="str">
        <f t="shared" ca="1" si="31"/>
        <v/>
      </c>
      <c r="R33" s="410" t="str">
        <f ca="1">Cluster!J52</f>
        <v>Selection</v>
      </c>
      <c r="S33" s="411" t="str">
        <f t="shared" ca="1" si="5"/>
        <v>-</v>
      </c>
      <c r="T33" s="412" t="str">
        <f t="shared" ca="1" si="6"/>
        <v/>
      </c>
      <c r="U33" s="411" t="str">
        <f t="shared" ca="1" si="7"/>
        <v>-</v>
      </c>
      <c r="V33" s="411" t="str">
        <f t="shared" ca="1" si="8"/>
        <v>-</v>
      </c>
      <c r="W33" s="413">
        <f>Cluster!N52</f>
        <v>0</v>
      </c>
      <c r="X33" s="414" t="str">
        <f t="shared" ca="1" si="9"/>
        <v>-</v>
      </c>
      <c r="Y33" s="411" t="str">
        <f t="shared" ca="1" si="10"/>
        <v>-</v>
      </c>
      <c r="Z33" s="415" t="str">
        <f t="shared" ca="1" si="11"/>
        <v>-</v>
      </c>
      <c r="AA33" s="416" t="str">
        <f t="shared" ca="1" si="12"/>
        <v>-</v>
      </c>
      <c r="AB33" s="416" t="str">
        <f t="shared" ca="1" si="13"/>
        <v/>
      </c>
      <c r="AC33" s="434" t="str">
        <f>Cluster!Q52</f>
        <v>Bypass</v>
      </c>
      <c r="AD33" s="435" t="str">
        <f t="shared" ca="1" si="32"/>
        <v/>
      </c>
      <c r="AE33" s="436" t="str">
        <f t="shared" ca="1" si="32"/>
        <v/>
      </c>
      <c r="AF33" s="437" t="str">
        <f t="shared" ca="1" si="15"/>
        <v>-</v>
      </c>
      <c r="AG33" s="438" t="str">
        <f t="shared" ca="1" si="16"/>
        <v>-</v>
      </c>
      <c r="AH33" s="437" t="str">
        <f t="shared" ca="1" si="17"/>
        <v>-</v>
      </c>
      <c r="AI33" s="438" t="str">
        <f t="shared" ca="1" si="18"/>
        <v>-</v>
      </c>
      <c r="AJ33" s="438" t="str">
        <f t="shared" ca="1" si="19"/>
        <v>-</v>
      </c>
      <c r="AK33" s="439" t="str">
        <f ca="1">IFERROR(AE33*AD33*AL33/(IF(Cluster!AA52=Cluster!$W$8,Cluster!$W$10,IF(Cluster!AA52=Cluster!$X$8,Cluster!$X$10,IF(Cluster!AA52=Cluster!$Y$8,Cluster!$Y$10,0)))*10^3),"-")</f>
        <v>-</v>
      </c>
      <c r="AL33" s="440" t="str">
        <f ca="1">IFERROR(IF(OR(Calculation!T33&lt;(Calculation!$U$8+2),Calculation!AC33="Bypass"),IF((IF(Calculation!$O$6/((Calculation!AD33*10^-12)/(Calculation!T33*10^-9)*50)&lt;=1,1,ROUNDUP(Calculation!$O$6/((Calculation!AD33*10^-12)/(Calculation!T33*10^-9)*50),0))*50)&lt;Calculation!$AK$6,Calculation!$AK$6,IF(Calculation!$O$6/((Calculation!AD33*10^-12)/(Calculation!T33*10^-9)*50)&lt;=1,1,ROUNDUP(Calculation!$O$6/((Calculation!AD33*10^-12)/(Calculation!T33*10^-9)*50),0))*50),"-"),"-")</f>
        <v>-</v>
      </c>
      <c r="AM33" s="441" t="str">
        <f t="shared" ca="1" si="33"/>
        <v/>
      </c>
      <c r="AN33" s="442" t="str">
        <f t="shared" ca="1" si="33"/>
        <v/>
      </c>
      <c r="AO33" s="432">
        <f t="shared" ca="1" si="21"/>
        <v>384</v>
      </c>
      <c r="AP33" s="427" t="str">
        <f t="shared" ca="1" si="22"/>
        <v>-</v>
      </c>
      <c r="AQ33" s="443" t="str">
        <f t="shared" ca="1" si="23"/>
        <v>-</v>
      </c>
      <c r="AR33" s="444" t="str">
        <f t="shared" ca="1" si="24"/>
        <v>-</v>
      </c>
      <c r="AS33" s="430" t="str">
        <f t="shared" ca="1" si="25"/>
        <v>-</v>
      </c>
      <c r="AT33" s="431"/>
      <c r="AU33" s="431"/>
      <c r="AV33" s="432">
        <v>24</v>
      </c>
      <c r="AW33" s="433" t="e">
        <f>ListAndConversion!S26</f>
        <v>#DIV/0!</v>
      </c>
      <c r="AX33" s="432" t="e">
        <f>IF(AW33="-","-",IF(COUNTIF(ListAndConversion!$F$3:$M$386,Calculation!AW33)=0,"Missing Lane","OK"))</f>
        <v>#DIV/0!</v>
      </c>
      <c r="AY33" s="433" t="str">
        <f>IFERROR(VLOOKUP(AW33,ListAndConversion!$F$3:$O$386,9,0),"-")</f>
        <v>-</v>
      </c>
      <c r="AZ33" s="433" t="str">
        <f>IFERROR(VLOOKUP(AW33,ListAndConversion!$F$3:$O$386,10,0),"-")</f>
        <v>-</v>
      </c>
      <c r="BA33" s="433" t="e">
        <f t="shared" si="26"/>
        <v>#DIV/0!</v>
      </c>
      <c r="BB33" s="433" t="str">
        <f t="shared" si="27"/>
        <v>-</v>
      </c>
      <c r="BC33" s="433" t="str">
        <f t="shared" si="28"/>
        <v/>
      </c>
    </row>
    <row r="34" spans="1:55" ht="14.25" x14ac:dyDescent="0.65">
      <c r="A34" s="407">
        <v>26</v>
      </c>
      <c r="B34" s="408" t="str">
        <f t="shared" ca="1" si="2"/>
        <v/>
      </c>
      <c r="C34" s="408" t="str">
        <f ca="1">IFERROR(IF(G34="","",CONCATENATE(E34,"-",INDEX(Coordinate,MATCH(F34,ListAndConversion!$X$4:$X$99,0),2))),"")</f>
        <v/>
      </c>
      <c r="D34" s="408" t="str">
        <f t="shared" ca="1" si="30"/>
        <v/>
      </c>
      <c r="E34" s="408" t="str">
        <f t="shared" ca="1" si="30"/>
        <v/>
      </c>
      <c r="F34" s="408" t="str">
        <f t="shared" ca="1" si="30"/>
        <v/>
      </c>
      <c r="G34" s="408" t="str">
        <f ca="1">IFERROR(INDEX(ListAndConversion!A:B,MATCH(Calculation!E34,ListAndConversion!A:A,0),2),"")</f>
        <v/>
      </c>
      <c r="H34" s="408" t="str">
        <f>IF(TrackIT_Lines!AD26="","",TrackIT_Lines!AD26)</f>
        <v/>
      </c>
      <c r="I34" s="408" t="str">
        <f>IF(TrackIT_Lines!AD26="","",CONCATENATE(TrackIT_Lines!AD26,"-",TrackIT_Lines!AG26))</f>
        <v/>
      </c>
      <c r="J34" s="409" t="str">
        <f t="shared" ca="1" si="31"/>
        <v/>
      </c>
      <c r="K34" s="408" t="str">
        <f t="shared" ca="1" si="31"/>
        <v/>
      </c>
      <c r="L34" s="408" t="str">
        <f t="shared" ca="1" si="31"/>
        <v/>
      </c>
      <c r="M34" s="408" t="str">
        <f t="shared" ca="1" si="31"/>
        <v/>
      </c>
      <c r="N34" s="408" t="str">
        <f t="shared" ca="1" si="31"/>
        <v/>
      </c>
      <c r="O34" s="408" t="str">
        <f t="shared" ca="1" si="31"/>
        <v/>
      </c>
      <c r="P34" s="408" t="str">
        <f t="shared" ca="1" si="31"/>
        <v/>
      </c>
      <c r="Q34" s="408" t="str">
        <f t="shared" ca="1" si="31"/>
        <v/>
      </c>
      <c r="R34" s="410" t="str">
        <f ca="1">Cluster!J53</f>
        <v>Selection</v>
      </c>
      <c r="S34" s="411" t="str">
        <f t="shared" ca="1" si="5"/>
        <v>-</v>
      </c>
      <c r="T34" s="412" t="str">
        <f t="shared" ca="1" si="6"/>
        <v/>
      </c>
      <c r="U34" s="411" t="str">
        <f t="shared" ca="1" si="7"/>
        <v>-</v>
      </c>
      <c r="V34" s="411" t="str">
        <f t="shared" ca="1" si="8"/>
        <v>-</v>
      </c>
      <c r="W34" s="413">
        <f>Cluster!N53</f>
        <v>0</v>
      </c>
      <c r="X34" s="414" t="str">
        <f t="shared" ca="1" si="9"/>
        <v>-</v>
      </c>
      <c r="Y34" s="411" t="str">
        <f t="shared" ca="1" si="10"/>
        <v>-</v>
      </c>
      <c r="Z34" s="415" t="str">
        <f t="shared" ca="1" si="11"/>
        <v>-</v>
      </c>
      <c r="AA34" s="416" t="str">
        <f t="shared" ca="1" si="12"/>
        <v>-</v>
      </c>
      <c r="AB34" s="416" t="str">
        <f t="shared" ca="1" si="13"/>
        <v/>
      </c>
      <c r="AC34" s="434" t="str">
        <f>Cluster!Q53</f>
        <v>Bypass</v>
      </c>
      <c r="AD34" s="435" t="str">
        <f t="shared" ca="1" si="32"/>
        <v/>
      </c>
      <c r="AE34" s="436" t="str">
        <f t="shared" ca="1" si="32"/>
        <v/>
      </c>
      <c r="AF34" s="437" t="str">
        <f t="shared" ca="1" si="15"/>
        <v>-</v>
      </c>
      <c r="AG34" s="438" t="str">
        <f t="shared" ca="1" si="16"/>
        <v>-</v>
      </c>
      <c r="AH34" s="437" t="str">
        <f t="shared" ca="1" si="17"/>
        <v>-</v>
      </c>
      <c r="AI34" s="438" t="str">
        <f t="shared" ca="1" si="18"/>
        <v>-</v>
      </c>
      <c r="AJ34" s="438" t="str">
        <f t="shared" ca="1" si="19"/>
        <v>-</v>
      </c>
      <c r="AK34" s="439" t="str">
        <f ca="1">IFERROR(AE34*AD34*AL34/(IF(Cluster!AA53=Cluster!$W$8,Cluster!$W$10,IF(Cluster!AA53=Cluster!$X$8,Cluster!$X$10,IF(Cluster!AA53=Cluster!$Y$8,Cluster!$Y$10,0)))*10^3),"-")</f>
        <v>-</v>
      </c>
      <c r="AL34" s="440" t="str">
        <f ca="1">IFERROR(IF(OR(Calculation!T34&lt;(Calculation!$U$8+2),Calculation!AC34="Bypass"),IF((IF(Calculation!$O$6/((Calculation!AD34*10^-12)/(Calculation!T34*10^-9)*50)&lt;=1,1,ROUNDUP(Calculation!$O$6/((Calculation!AD34*10^-12)/(Calculation!T34*10^-9)*50),0))*50)&lt;Calculation!$AK$6,Calculation!$AK$6,IF(Calculation!$O$6/((Calculation!AD34*10^-12)/(Calculation!T34*10^-9)*50)&lt;=1,1,ROUNDUP(Calculation!$O$6/((Calculation!AD34*10^-12)/(Calculation!T34*10^-9)*50),0))*50),"-"),"-")</f>
        <v>-</v>
      </c>
      <c r="AM34" s="441" t="str">
        <f t="shared" ca="1" si="33"/>
        <v/>
      </c>
      <c r="AN34" s="442" t="str">
        <f t="shared" ca="1" si="33"/>
        <v/>
      </c>
      <c r="AO34" s="432">
        <f t="shared" ca="1" si="21"/>
        <v>384</v>
      </c>
      <c r="AP34" s="427" t="str">
        <f t="shared" ca="1" si="22"/>
        <v>-</v>
      </c>
      <c r="AQ34" s="443" t="str">
        <f t="shared" ca="1" si="23"/>
        <v>-</v>
      </c>
      <c r="AR34" s="444" t="str">
        <f t="shared" ca="1" si="24"/>
        <v>-</v>
      </c>
      <c r="AS34" s="430" t="str">
        <f t="shared" ca="1" si="25"/>
        <v>-</v>
      </c>
      <c r="AT34" s="431"/>
      <c r="AU34" s="431"/>
      <c r="AV34" s="432">
        <v>25</v>
      </c>
      <c r="AW34" s="433" t="e">
        <f>ListAndConversion!S27</f>
        <v>#DIV/0!</v>
      </c>
      <c r="AX34" s="432" t="e">
        <f>IF(AW34="-","-",IF(COUNTIF(ListAndConversion!$F$3:$M$386,Calculation!AW34)=0,"Missing Lane","OK"))</f>
        <v>#DIV/0!</v>
      </c>
      <c r="AY34" s="433" t="str">
        <f>IFERROR(VLOOKUP(AW34,ListAndConversion!$F$3:$O$386,9,0),"-")</f>
        <v>-</v>
      </c>
      <c r="AZ34" s="433" t="str">
        <f>IFERROR(VLOOKUP(AW34,ListAndConversion!$F$3:$O$386,10,0),"-")</f>
        <v>-</v>
      </c>
      <c r="BA34" s="433" t="e">
        <f t="shared" si="26"/>
        <v>#DIV/0!</v>
      </c>
      <c r="BB34" s="433" t="str">
        <f t="shared" si="27"/>
        <v>-</v>
      </c>
      <c r="BC34" s="433" t="str">
        <f t="shared" si="28"/>
        <v/>
      </c>
    </row>
    <row r="35" spans="1:55" ht="14.25" x14ac:dyDescent="0.65">
      <c r="A35" s="407">
        <v>27</v>
      </c>
      <c r="B35" s="408" t="str">
        <f t="shared" ca="1" si="2"/>
        <v/>
      </c>
      <c r="C35" s="408" t="str">
        <f ca="1">IFERROR(IF(G35="","",CONCATENATE(E35,"-",INDEX(Coordinate,MATCH(F35,ListAndConversion!$X$4:$X$99,0),2))),"")</f>
        <v/>
      </c>
      <c r="D35" s="408" t="str">
        <f t="shared" ca="1" si="30"/>
        <v/>
      </c>
      <c r="E35" s="408" t="str">
        <f t="shared" ca="1" si="30"/>
        <v/>
      </c>
      <c r="F35" s="408" t="str">
        <f t="shared" ca="1" si="30"/>
        <v/>
      </c>
      <c r="G35" s="408" t="str">
        <f ca="1">IFERROR(INDEX(ListAndConversion!A:B,MATCH(Calculation!E35,ListAndConversion!A:A,0),2),"")</f>
        <v/>
      </c>
      <c r="H35" s="408" t="str">
        <f>IF(TrackIT_Lines!AD27="","",TrackIT_Lines!AD27)</f>
        <v/>
      </c>
      <c r="I35" s="408" t="str">
        <f>IF(TrackIT_Lines!AD27="","",CONCATENATE(TrackIT_Lines!AD27,"-",TrackIT_Lines!AG27))</f>
        <v/>
      </c>
      <c r="J35" s="409" t="str">
        <f t="shared" ca="1" si="31"/>
        <v/>
      </c>
      <c r="K35" s="408" t="str">
        <f t="shared" ca="1" si="31"/>
        <v/>
      </c>
      <c r="L35" s="408" t="str">
        <f t="shared" ca="1" si="31"/>
        <v/>
      </c>
      <c r="M35" s="408" t="str">
        <f t="shared" ca="1" si="31"/>
        <v/>
      </c>
      <c r="N35" s="408" t="str">
        <f t="shared" ca="1" si="31"/>
        <v/>
      </c>
      <c r="O35" s="408" t="str">
        <f t="shared" ca="1" si="31"/>
        <v/>
      </c>
      <c r="P35" s="408" t="str">
        <f t="shared" ca="1" si="31"/>
        <v/>
      </c>
      <c r="Q35" s="408" t="str">
        <f t="shared" ca="1" si="31"/>
        <v/>
      </c>
      <c r="R35" s="410" t="str">
        <f ca="1">Cluster!J54</f>
        <v>Selection</v>
      </c>
      <c r="S35" s="411" t="str">
        <f t="shared" ca="1" si="5"/>
        <v>-</v>
      </c>
      <c r="T35" s="412" t="str">
        <f t="shared" ca="1" si="6"/>
        <v/>
      </c>
      <c r="U35" s="411" t="str">
        <f t="shared" ca="1" si="7"/>
        <v>-</v>
      </c>
      <c r="V35" s="411" t="str">
        <f t="shared" ca="1" si="8"/>
        <v>-</v>
      </c>
      <c r="W35" s="413">
        <f>Cluster!N54</f>
        <v>0</v>
      </c>
      <c r="X35" s="414" t="str">
        <f t="shared" ca="1" si="9"/>
        <v>-</v>
      </c>
      <c r="Y35" s="411" t="str">
        <f t="shared" ca="1" si="10"/>
        <v>-</v>
      </c>
      <c r="Z35" s="415" t="str">
        <f t="shared" ca="1" si="11"/>
        <v>-</v>
      </c>
      <c r="AA35" s="416" t="str">
        <f t="shared" ca="1" si="12"/>
        <v>-</v>
      </c>
      <c r="AB35" s="416" t="str">
        <f t="shared" ca="1" si="13"/>
        <v/>
      </c>
      <c r="AC35" s="434" t="str">
        <f>Cluster!Q54</f>
        <v>Bypass</v>
      </c>
      <c r="AD35" s="435" t="str">
        <f t="shared" ca="1" si="32"/>
        <v/>
      </c>
      <c r="AE35" s="436" t="str">
        <f t="shared" ca="1" si="32"/>
        <v/>
      </c>
      <c r="AF35" s="437" t="str">
        <f t="shared" ca="1" si="15"/>
        <v>-</v>
      </c>
      <c r="AG35" s="438" t="str">
        <f t="shared" ca="1" si="16"/>
        <v>-</v>
      </c>
      <c r="AH35" s="437" t="str">
        <f t="shared" ca="1" si="17"/>
        <v>-</v>
      </c>
      <c r="AI35" s="438" t="str">
        <f t="shared" ca="1" si="18"/>
        <v>-</v>
      </c>
      <c r="AJ35" s="438" t="str">
        <f t="shared" ca="1" si="19"/>
        <v>-</v>
      </c>
      <c r="AK35" s="439" t="str">
        <f ca="1">IFERROR(AE35*AD35*AL35/(IF(Cluster!AA54=Cluster!$W$8,Cluster!$W$10,IF(Cluster!AA54=Cluster!$X$8,Cluster!$X$10,IF(Cluster!AA54=Cluster!$Y$8,Cluster!$Y$10,0)))*10^3),"-")</f>
        <v>-</v>
      </c>
      <c r="AL35" s="440" t="str">
        <f ca="1">IFERROR(IF(OR(Calculation!T35&lt;(Calculation!$U$8+2),Calculation!AC35="Bypass"),IF((IF(Calculation!$O$6/((Calculation!AD35*10^-12)/(Calculation!T35*10^-9)*50)&lt;=1,1,ROUNDUP(Calculation!$O$6/((Calculation!AD35*10^-12)/(Calculation!T35*10^-9)*50),0))*50)&lt;Calculation!$AK$6,Calculation!$AK$6,IF(Calculation!$O$6/((Calculation!AD35*10^-12)/(Calculation!T35*10^-9)*50)&lt;=1,1,ROUNDUP(Calculation!$O$6/((Calculation!AD35*10^-12)/(Calculation!T35*10^-9)*50),0))*50),"-"),"-")</f>
        <v>-</v>
      </c>
      <c r="AM35" s="441" t="str">
        <f t="shared" ca="1" si="33"/>
        <v/>
      </c>
      <c r="AN35" s="442" t="str">
        <f t="shared" ca="1" si="33"/>
        <v/>
      </c>
      <c r="AO35" s="432">
        <f t="shared" ca="1" si="21"/>
        <v>384</v>
      </c>
      <c r="AP35" s="427" t="str">
        <f t="shared" ca="1" si="22"/>
        <v>-</v>
      </c>
      <c r="AQ35" s="443" t="str">
        <f t="shared" ca="1" si="23"/>
        <v>-</v>
      </c>
      <c r="AR35" s="444" t="str">
        <f t="shared" ca="1" si="24"/>
        <v>-</v>
      </c>
      <c r="AS35" s="430" t="str">
        <f t="shared" ca="1" si="25"/>
        <v>-</v>
      </c>
      <c r="AT35" s="431"/>
      <c r="AU35" s="431"/>
      <c r="AV35" s="432">
        <v>26</v>
      </c>
      <c r="AW35" s="433" t="e">
        <f>ListAndConversion!S28</f>
        <v>#DIV/0!</v>
      </c>
      <c r="AX35" s="432" t="e">
        <f>IF(AW35="-","-",IF(COUNTIF(ListAndConversion!$F$3:$M$386,Calculation!AW35)=0,"Missing Lane","OK"))</f>
        <v>#DIV/0!</v>
      </c>
      <c r="AY35" s="433" t="str">
        <f>IFERROR(VLOOKUP(AW35,ListAndConversion!$F$3:$O$386,9,0),"-")</f>
        <v>-</v>
      </c>
      <c r="AZ35" s="433" t="str">
        <f>IFERROR(VLOOKUP(AW35,ListAndConversion!$F$3:$O$386,10,0),"-")</f>
        <v>-</v>
      </c>
      <c r="BA35" s="433" t="e">
        <f t="shared" si="26"/>
        <v>#DIV/0!</v>
      </c>
      <c r="BB35" s="433" t="str">
        <f t="shared" si="27"/>
        <v>-</v>
      </c>
      <c r="BC35" s="433" t="str">
        <f t="shared" si="28"/>
        <v/>
      </c>
    </row>
    <row r="36" spans="1:55" ht="14.25" x14ac:dyDescent="0.65">
      <c r="A36" s="407">
        <v>28</v>
      </c>
      <c r="B36" s="408" t="str">
        <f t="shared" ca="1" si="2"/>
        <v/>
      </c>
      <c r="C36" s="408" t="str">
        <f ca="1">IFERROR(IF(G36="","",CONCATENATE(E36,"-",INDEX(Coordinate,MATCH(F36,ListAndConversion!$X$4:$X$99,0),2))),"")</f>
        <v/>
      </c>
      <c r="D36" s="408" t="str">
        <f t="shared" ca="1" si="30"/>
        <v/>
      </c>
      <c r="E36" s="408" t="str">
        <f t="shared" ca="1" si="30"/>
        <v/>
      </c>
      <c r="F36" s="408" t="str">
        <f t="shared" ca="1" si="30"/>
        <v/>
      </c>
      <c r="G36" s="408" t="str">
        <f ca="1">IFERROR(INDEX(ListAndConversion!A:B,MATCH(Calculation!E36,ListAndConversion!A:A,0),2),"")</f>
        <v/>
      </c>
      <c r="H36" s="408" t="str">
        <f>IF(TrackIT_Lines!AD28="","",TrackIT_Lines!AD28)</f>
        <v/>
      </c>
      <c r="I36" s="408" t="str">
        <f>IF(TrackIT_Lines!AD28="","",CONCATENATE(TrackIT_Lines!AD28,"-",TrackIT_Lines!AG28))</f>
        <v/>
      </c>
      <c r="J36" s="409" t="str">
        <f t="shared" ca="1" si="31"/>
        <v/>
      </c>
      <c r="K36" s="408" t="str">
        <f t="shared" ca="1" si="31"/>
        <v/>
      </c>
      <c r="L36" s="408" t="str">
        <f t="shared" ca="1" si="31"/>
        <v/>
      </c>
      <c r="M36" s="408" t="str">
        <f t="shared" ca="1" si="31"/>
        <v/>
      </c>
      <c r="N36" s="408" t="str">
        <f t="shared" ca="1" si="31"/>
        <v/>
      </c>
      <c r="O36" s="408" t="str">
        <f t="shared" ca="1" si="31"/>
        <v/>
      </c>
      <c r="P36" s="408" t="str">
        <f t="shared" ca="1" si="31"/>
        <v/>
      </c>
      <c r="Q36" s="408" t="str">
        <f t="shared" ca="1" si="31"/>
        <v/>
      </c>
      <c r="R36" s="410" t="str">
        <f ca="1">Cluster!J55</f>
        <v>Selection</v>
      </c>
      <c r="S36" s="411" t="str">
        <f t="shared" ca="1" si="5"/>
        <v>-</v>
      </c>
      <c r="T36" s="412" t="str">
        <f t="shared" ca="1" si="6"/>
        <v/>
      </c>
      <c r="U36" s="411" t="str">
        <f t="shared" ca="1" si="7"/>
        <v>-</v>
      </c>
      <c r="V36" s="411" t="str">
        <f t="shared" ca="1" si="8"/>
        <v>-</v>
      </c>
      <c r="W36" s="413">
        <f>Cluster!N55</f>
        <v>0</v>
      </c>
      <c r="X36" s="414" t="str">
        <f t="shared" ca="1" si="9"/>
        <v>-</v>
      </c>
      <c r="Y36" s="411" t="str">
        <f t="shared" ca="1" si="10"/>
        <v>-</v>
      </c>
      <c r="Z36" s="415" t="str">
        <f t="shared" ca="1" si="11"/>
        <v>-</v>
      </c>
      <c r="AA36" s="416" t="str">
        <f t="shared" ca="1" si="12"/>
        <v>-</v>
      </c>
      <c r="AB36" s="416" t="str">
        <f t="shared" ca="1" si="13"/>
        <v/>
      </c>
      <c r="AC36" s="434" t="str">
        <f>Cluster!Q55</f>
        <v>Bypass</v>
      </c>
      <c r="AD36" s="435" t="str">
        <f t="shared" ca="1" si="32"/>
        <v/>
      </c>
      <c r="AE36" s="436" t="str">
        <f t="shared" ca="1" si="32"/>
        <v/>
      </c>
      <c r="AF36" s="437" t="str">
        <f t="shared" ca="1" si="15"/>
        <v>-</v>
      </c>
      <c r="AG36" s="438" t="str">
        <f t="shared" ca="1" si="16"/>
        <v>-</v>
      </c>
      <c r="AH36" s="437" t="str">
        <f t="shared" ca="1" si="17"/>
        <v>-</v>
      </c>
      <c r="AI36" s="438" t="str">
        <f t="shared" ca="1" si="18"/>
        <v>-</v>
      </c>
      <c r="AJ36" s="438" t="str">
        <f t="shared" ca="1" si="19"/>
        <v>-</v>
      </c>
      <c r="AK36" s="439" t="str">
        <f ca="1">IFERROR(AE36*AD36*AL36/(IF(Cluster!AA55=Cluster!$W$8,Cluster!$W$10,IF(Cluster!AA55=Cluster!$X$8,Cluster!$X$10,IF(Cluster!AA55=Cluster!$Y$8,Cluster!$Y$10,0)))*10^3),"-")</f>
        <v>-</v>
      </c>
      <c r="AL36" s="440" t="str">
        <f ca="1">IFERROR(IF(OR(Calculation!T36&lt;(Calculation!$U$8+2),Calculation!AC36="Bypass"),IF((IF(Calculation!$O$6/((Calculation!AD36*10^-12)/(Calculation!T36*10^-9)*50)&lt;=1,1,ROUNDUP(Calculation!$O$6/((Calculation!AD36*10^-12)/(Calculation!T36*10^-9)*50),0))*50)&lt;Calculation!$AK$6,Calculation!$AK$6,IF(Calculation!$O$6/((Calculation!AD36*10^-12)/(Calculation!T36*10^-9)*50)&lt;=1,1,ROUNDUP(Calculation!$O$6/((Calculation!AD36*10^-12)/(Calculation!T36*10^-9)*50),0))*50),"-"),"-")</f>
        <v>-</v>
      </c>
      <c r="AM36" s="441" t="str">
        <f t="shared" ca="1" si="33"/>
        <v/>
      </c>
      <c r="AN36" s="442" t="str">
        <f t="shared" ca="1" si="33"/>
        <v/>
      </c>
      <c r="AO36" s="432">
        <f t="shared" ca="1" si="21"/>
        <v>384</v>
      </c>
      <c r="AP36" s="427" t="str">
        <f t="shared" ca="1" si="22"/>
        <v>-</v>
      </c>
      <c r="AQ36" s="443" t="str">
        <f t="shared" ca="1" si="23"/>
        <v>-</v>
      </c>
      <c r="AR36" s="444" t="str">
        <f t="shared" ca="1" si="24"/>
        <v>-</v>
      </c>
      <c r="AS36" s="430" t="str">
        <f t="shared" ca="1" si="25"/>
        <v>-</v>
      </c>
      <c r="AT36" s="431"/>
      <c r="AU36" s="431"/>
      <c r="AV36" s="432">
        <v>27</v>
      </c>
      <c r="AW36" s="433" t="e">
        <f>ListAndConversion!S29</f>
        <v>#DIV/0!</v>
      </c>
      <c r="AX36" s="432" t="e">
        <f>IF(AW36="-","-",IF(COUNTIF(ListAndConversion!$F$3:$M$386,Calculation!AW36)=0,"Missing Lane","OK"))</f>
        <v>#DIV/0!</v>
      </c>
      <c r="AY36" s="433" t="str">
        <f>IFERROR(VLOOKUP(AW36,ListAndConversion!$F$3:$O$386,9,0),"-")</f>
        <v>-</v>
      </c>
      <c r="AZ36" s="433" t="str">
        <f>IFERROR(VLOOKUP(AW36,ListAndConversion!$F$3:$O$386,10,0),"-")</f>
        <v>-</v>
      </c>
      <c r="BA36" s="433" t="e">
        <f t="shared" si="26"/>
        <v>#DIV/0!</v>
      </c>
      <c r="BB36" s="433" t="str">
        <f t="shared" si="27"/>
        <v>-</v>
      </c>
      <c r="BC36" s="433" t="str">
        <f t="shared" si="28"/>
        <v/>
      </c>
    </row>
    <row r="37" spans="1:55" ht="14.25" x14ac:dyDescent="0.65">
      <c r="A37" s="407">
        <v>29</v>
      </c>
      <c r="B37" s="408" t="str">
        <f t="shared" ca="1" si="2"/>
        <v/>
      </c>
      <c r="C37" s="408" t="str">
        <f ca="1">IFERROR(IF(G37="","",CONCATENATE(E37,"-",INDEX(Coordinate,MATCH(F37,ListAndConversion!$X$4:$X$99,0),2))),"")</f>
        <v/>
      </c>
      <c r="D37" s="408" t="str">
        <f t="shared" ca="1" si="30"/>
        <v/>
      </c>
      <c r="E37" s="408" t="str">
        <f t="shared" ca="1" si="30"/>
        <v/>
      </c>
      <c r="F37" s="408" t="str">
        <f t="shared" ca="1" si="30"/>
        <v/>
      </c>
      <c r="G37" s="408" t="str">
        <f ca="1">IFERROR(INDEX(ListAndConversion!A:B,MATCH(Calculation!E37,ListAndConversion!A:A,0),2),"")</f>
        <v/>
      </c>
      <c r="H37" s="408" t="str">
        <f>IF(TrackIT_Lines!AD29="","",TrackIT_Lines!AD29)</f>
        <v/>
      </c>
      <c r="I37" s="408" t="str">
        <f>IF(TrackIT_Lines!AD29="","",CONCATENATE(TrackIT_Lines!AD29,"-",TrackIT_Lines!AG29))</f>
        <v/>
      </c>
      <c r="J37" s="409" t="str">
        <f t="shared" ca="1" si="31"/>
        <v/>
      </c>
      <c r="K37" s="408" t="str">
        <f t="shared" ca="1" si="31"/>
        <v/>
      </c>
      <c r="L37" s="408" t="str">
        <f t="shared" ca="1" si="31"/>
        <v/>
      </c>
      <c r="M37" s="408" t="str">
        <f t="shared" ca="1" si="31"/>
        <v/>
      </c>
      <c r="N37" s="408" t="str">
        <f t="shared" ca="1" si="31"/>
        <v/>
      </c>
      <c r="O37" s="408" t="str">
        <f t="shared" ca="1" si="31"/>
        <v/>
      </c>
      <c r="P37" s="408" t="str">
        <f t="shared" ca="1" si="31"/>
        <v/>
      </c>
      <c r="Q37" s="408" t="str">
        <f t="shared" ca="1" si="31"/>
        <v/>
      </c>
      <c r="R37" s="410" t="str">
        <f ca="1">Cluster!J56</f>
        <v>Selection</v>
      </c>
      <c r="S37" s="411" t="str">
        <f t="shared" ca="1" si="5"/>
        <v>-</v>
      </c>
      <c r="T37" s="412" t="str">
        <f t="shared" ca="1" si="6"/>
        <v/>
      </c>
      <c r="U37" s="411" t="str">
        <f t="shared" ca="1" si="7"/>
        <v>-</v>
      </c>
      <c r="V37" s="411" t="str">
        <f t="shared" ca="1" si="8"/>
        <v>-</v>
      </c>
      <c r="W37" s="413">
        <f>Cluster!N56</f>
        <v>0</v>
      </c>
      <c r="X37" s="414" t="str">
        <f t="shared" ca="1" si="9"/>
        <v>-</v>
      </c>
      <c r="Y37" s="411" t="str">
        <f t="shared" ca="1" si="10"/>
        <v>-</v>
      </c>
      <c r="Z37" s="415" t="str">
        <f t="shared" ca="1" si="11"/>
        <v>-</v>
      </c>
      <c r="AA37" s="416" t="str">
        <f t="shared" ca="1" si="12"/>
        <v>-</v>
      </c>
      <c r="AB37" s="416" t="str">
        <f t="shared" ca="1" si="13"/>
        <v/>
      </c>
      <c r="AC37" s="434" t="str">
        <f>Cluster!Q56</f>
        <v>Bypass</v>
      </c>
      <c r="AD37" s="435" t="str">
        <f t="shared" ca="1" si="32"/>
        <v/>
      </c>
      <c r="AE37" s="436" t="str">
        <f t="shared" ca="1" si="32"/>
        <v/>
      </c>
      <c r="AF37" s="437" t="str">
        <f t="shared" ca="1" si="15"/>
        <v>-</v>
      </c>
      <c r="AG37" s="438" t="str">
        <f t="shared" ca="1" si="16"/>
        <v>-</v>
      </c>
      <c r="AH37" s="437" t="str">
        <f t="shared" ca="1" si="17"/>
        <v>-</v>
      </c>
      <c r="AI37" s="438" t="str">
        <f t="shared" ca="1" si="18"/>
        <v>-</v>
      </c>
      <c r="AJ37" s="438" t="str">
        <f t="shared" ca="1" si="19"/>
        <v>-</v>
      </c>
      <c r="AK37" s="439" t="str">
        <f ca="1">IFERROR(AE37*AD37*AL37/(IF(Cluster!AA56=Cluster!$W$8,Cluster!$W$10,IF(Cluster!AA56=Cluster!$X$8,Cluster!$X$10,IF(Cluster!AA56=Cluster!$Y$8,Cluster!$Y$10,0)))*10^3),"-")</f>
        <v>-</v>
      </c>
      <c r="AL37" s="440" t="str">
        <f ca="1">IFERROR(IF(OR(Calculation!T37&lt;(Calculation!$U$8+2),Calculation!AC37="Bypass"),IF((IF(Calculation!$O$6/((Calculation!AD37*10^-12)/(Calculation!T37*10^-9)*50)&lt;=1,1,ROUNDUP(Calculation!$O$6/((Calculation!AD37*10^-12)/(Calculation!T37*10^-9)*50),0))*50)&lt;Calculation!$AK$6,Calculation!$AK$6,IF(Calculation!$O$6/((Calculation!AD37*10^-12)/(Calculation!T37*10^-9)*50)&lt;=1,1,ROUNDUP(Calculation!$O$6/((Calculation!AD37*10^-12)/(Calculation!T37*10^-9)*50),0))*50),"-"),"-")</f>
        <v>-</v>
      </c>
      <c r="AM37" s="441" t="str">
        <f t="shared" ca="1" si="33"/>
        <v/>
      </c>
      <c r="AN37" s="442" t="str">
        <f t="shared" ca="1" si="33"/>
        <v/>
      </c>
      <c r="AO37" s="432">
        <f t="shared" ca="1" si="21"/>
        <v>384</v>
      </c>
      <c r="AP37" s="427" t="str">
        <f t="shared" ca="1" si="22"/>
        <v>-</v>
      </c>
      <c r="AQ37" s="443" t="str">
        <f t="shared" ca="1" si="23"/>
        <v>-</v>
      </c>
      <c r="AR37" s="444" t="str">
        <f t="shared" ca="1" si="24"/>
        <v>-</v>
      </c>
      <c r="AS37" s="430" t="str">
        <f t="shared" ca="1" si="25"/>
        <v>-</v>
      </c>
      <c r="AT37" s="431"/>
      <c r="AU37" s="431"/>
      <c r="AV37" s="432">
        <v>28</v>
      </c>
      <c r="AW37" s="433" t="e">
        <f>ListAndConversion!S30</f>
        <v>#DIV/0!</v>
      </c>
      <c r="AX37" s="432" t="e">
        <f>IF(AW37="-","-",IF(COUNTIF(ListAndConversion!$F$3:$M$386,Calculation!AW37)=0,"Missing Lane","OK"))</f>
        <v>#DIV/0!</v>
      </c>
      <c r="AY37" s="433" t="str">
        <f>IFERROR(VLOOKUP(AW37,ListAndConversion!$F$3:$O$386,9,0),"-")</f>
        <v>-</v>
      </c>
      <c r="AZ37" s="433" t="str">
        <f>IFERROR(VLOOKUP(AW37,ListAndConversion!$F$3:$O$386,10,0),"-")</f>
        <v>-</v>
      </c>
      <c r="BA37" s="433" t="e">
        <f t="shared" si="26"/>
        <v>#DIV/0!</v>
      </c>
      <c r="BB37" s="433" t="str">
        <f t="shared" si="27"/>
        <v>-</v>
      </c>
      <c r="BC37" s="433" t="str">
        <f t="shared" si="28"/>
        <v/>
      </c>
    </row>
    <row r="38" spans="1:55" ht="14.25" x14ac:dyDescent="0.65">
      <c r="A38" s="407">
        <v>30</v>
      </c>
      <c r="B38" s="408" t="str">
        <f t="shared" ca="1" si="2"/>
        <v/>
      </c>
      <c r="C38" s="408" t="str">
        <f ca="1">IFERROR(IF(G38="","",CONCATENATE(E38,"-",INDEX(Coordinate,MATCH(F38,ListAndConversion!$X$4:$X$99,0),2))),"")</f>
        <v/>
      </c>
      <c r="D38" s="408" t="str">
        <f t="shared" ca="1" si="30"/>
        <v/>
      </c>
      <c r="E38" s="408" t="str">
        <f t="shared" ca="1" si="30"/>
        <v/>
      </c>
      <c r="F38" s="408" t="str">
        <f t="shared" ca="1" si="30"/>
        <v/>
      </c>
      <c r="G38" s="408" t="str">
        <f ca="1">IFERROR(INDEX(ListAndConversion!A:B,MATCH(Calculation!E38,ListAndConversion!A:A,0),2),"")</f>
        <v/>
      </c>
      <c r="H38" s="408" t="str">
        <f>IF(TrackIT_Lines!AD30="","",TrackIT_Lines!AD30)</f>
        <v/>
      </c>
      <c r="I38" s="408" t="str">
        <f>IF(TrackIT_Lines!AD30="","",CONCATENATE(TrackIT_Lines!AD30,"-",TrackIT_Lines!AG30))</f>
        <v/>
      </c>
      <c r="J38" s="409" t="str">
        <f t="shared" ca="1" si="31"/>
        <v/>
      </c>
      <c r="K38" s="408" t="str">
        <f t="shared" ca="1" si="31"/>
        <v/>
      </c>
      <c r="L38" s="408" t="str">
        <f t="shared" ca="1" si="31"/>
        <v/>
      </c>
      <c r="M38" s="408" t="str">
        <f t="shared" ca="1" si="31"/>
        <v/>
      </c>
      <c r="N38" s="408" t="str">
        <f t="shared" ca="1" si="31"/>
        <v/>
      </c>
      <c r="O38" s="408" t="str">
        <f t="shared" ca="1" si="31"/>
        <v/>
      </c>
      <c r="P38" s="408" t="str">
        <f t="shared" ca="1" si="31"/>
        <v/>
      </c>
      <c r="Q38" s="408" t="str">
        <f t="shared" ca="1" si="31"/>
        <v/>
      </c>
      <c r="R38" s="410" t="str">
        <f ca="1">Cluster!J57</f>
        <v>Selection</v>
      </c>
      <c r="S38" s="411" t="str">
        <f t="shared" ca="1" si="5"/>
        <v>-</v>
      </c>
      <c r="T38" s="412" t="str">
        <f t="shared" ca="1" si="6"/>
        <v/>
      </c>
      <c r="U38" s="411" t="str">
        <f t="shared" ca="1" si="7"/>
        <v>-</v>
      </c>
      <c r="V38" s="411" t="str">
        <f t="shared" ca="1" si="8"/>
        <v>-</v>
      </c>
      <c r="W38" s="413">
        <f>Cluster!N57</f>
        <v>0</v>
      </c>
      <c r="X38" s="414" t="str">
        <f t="shared" ca="1" si="9"/>
        <v>-</v>
      </c>
      <c r="Y38" s="411" t="str">
        <f t="shared" ca="1" si="10"/>
        <v>-</v>
      </c>
      <c r="Z38" s="415" t="str">
        <f t="shared" ca="1" si="11"/>
        <v>-</v>
      </c>
      <c r="AA38" s="416" t="str">
        <f t="shared" ca="1" si="12"/>
        <v>-</v>
      </c>
      <c r="AB38" s="416" t="str">
        <f t="shared" ca="1" si="13"/>
        <v/>
      </c>
      <c r="AC38" s="434" t="str">
        <f>Cluster!Q57</f>
        <v>Bypass</v>
      </c>
      <c r="AD38" s="435" t="str">
        <f t="shared" ca="1" si="32"/>
        <v/>
      </c>
      <c r="AE38" s="436" t="str">
        <f t="shared" ca="1" si="32"/>
        <v/>
      </c>
      <c r="AF38" s="437" t="str">
        <f t="shared" ca="1" si="15"/>
        <v>-</v>
      </c>
      <c r="AG38" s="438" t="str">
        <f t="shared" ca="1" si="16"/>
        <v>-</v>
      </c>
      <c r="AH38" s="437" t="str">
        <f t="shared" ca="1" si="17"/>
        <v>-</v>
      </c>
      <c r="AI38" s="438" t="str">
        <f t="shared" ca="1" si="18"/>
        <v>-</v>
      </c>
      <c r="AJ38" s="438" t="str">
        <f t="shared" ca="1" si="19"/>
        <v>-</v>
      </c>
      <c r="AK38" s="439" t="str">
        <f ca="1">IFERROR(AE38*AD38*AL38/(IF(Cluster!AA57=Cluster!$W$8,Cluster!$W$10,IF(Cluster!AA57=Cluster!$X$8,Cluster!$X$10,IF(Cluster!AA57=Cluster!$Y$8,Cluster!$Y$10,0)))*10^3),"-")</f>
        <v>-</v>
      </c>
      <c r="AL38" s="440" t="str">
        <f ca="1">IFERROR(IF(OR(Calculation!T38&lt;(Calculation!$U$8+2),Calculation!AC38="Bypass"),IF((IF(Calculation!$O$6/((Calculation!AD38*10^-12)/(Calculation!T38*10^-9)*50)&lt;=1,1,ROUNDUP(Calculation!$O$6/((Calculation!AD38*10^-12)/(Calculation!T38*10^-9)*50),0))*50)&lt;Calculation!$AK$6,Calculation!$AK$6,IF(Calculation!$O$6/((Calculation!AD38*10^-12)/(Calculation!T38*10^-9)*50)&lt;=1,1,ROUNDUP(Calculation!$O$6/((Calculation!AD38*10^-12)/(Calculation!T38*10^-9)*50),0))*50),"-"),"-")</f>
        <v>-</v>
      </c>
      <c r="AM38" s="441" t="str">
        <f t="shared" ca="1" si="33"/>
        <v/>
      </c>
      <c r="AN38" s="442" t="str">
        <f t="shared" ca="1" si="33"/>
        <v/>
      </c>
      <c r="AO38" s="432">
        <f t="shared" ca="1" si="21"/>
        <v>384</v>
      </c>
      <c r="AP38" s="427" t="str">
        <f t="shared" ca="1" si="22"/>
        <v>-</v>
      </c>
      <c r="AQ38" s="443" t="str">
        <f t="shared" ca="1" si="23"/>
        <v>-</v>
      </c>
      <c r="AR38" s="444" t="str">
        <f t="shared" ca="1" si="24"/>
        <v>-</v>
      </c>
      <c r="AS38" s="430" t="str">
        <f t="shared" ca="1" si="25"/>
        <v>-</v>
      </c>
      <c r="AT38" s="431"/>
      <c r="AU38" s="431"/>
      <c r="AV38" s="432">
        <v>29</v>
      </c>
      <c r="AW38" s="433" t="e">
        <f>ListAndConversion!S31</f>
        <v>#DIV/0!</v>
      </c>
      <c r="AX38" s="432" t="e">
        <f>IF(AW38="-","-",IF(COUNTIF(ListAndConversion!$F$3:$M$386,Calculation!AW38)=0,"Missing Lane","OK"))</f>
        <v>#DIV/0!</v>
      </c>
      <c r="AY38" s="433" t="str">
        <f>IFERROR(VLOOKUP(AW38,ListAndConversion!$F$3:$O$386,9,0),"-")</f>
        <v>-</v>
      </c>
      <c r="AZ38" s="433" t="str">
        <f>IFERROR(VLOOKUP(AW38,ListAndConversion!$F$3:$O$386,10,0),"-")</f>
        <v>-</v>
      </c>
      <c r="BA38" s="433" t="e">
        <f t="shared" si="26"/>
        <v>#DIV/0!</v>
      </c>
      <c r="BB38" s="433" t="str">
        <f t="shared" si="27"/>
        <v>-</v>
      </c>
      <c r="BC38" s="433" t="str">
        <f t="shared" si="28"/>
        <v/>
      </c>
    </row>
    <row r="39" spans="1:55" ht="14.25" x14ac:dyDescent="0.65">
      <c r="A39" s="407">
        <v>31</v>
      </c>
      <c r="B39" s="408" t="str">
        <f t="shared" ca="1" si="2"/>
        <v/>
      </c>
      <c r="C39" s="408" t="str">
        <f ca="1">IFERROR(IF(G39="","",CONCATENATE(E39,"-",INDEX(Coordinate,MATCH(F39,ListAndConversion!$X$4:$X$99,0),2))),"")</f>
        <v/>
      </c>
      <c r="D39" s="408" t="str">
        <f t="shared" ca="1" si="30"/>
        <v/>
      </c>
      <c r="E39" s="408" t="str">
        <f t="shared" ca="1" si="30"/>
        <v/>
      </c>
      <c r="F39" s="408" t="str">
        <f t="shared" ca="1" si="30"/>
        <v/>
      </c>
      <c r="G39" s="408" t="str">
        <f ca="1">IFERROR(INDEX(ListAndConversion!A:B,MATCH(Calculation!E39,ListAndConversion!A:A,0),2),"")</f>
        <v/>
      </c>
      <c r="H39" s="408" t="str">
        <f>IF(TrackIT_Lines!AD31="","",TrackIT_Lines!AD31)</f>
        <v/>
      </c>
      <c r="I39" s="408" t="str">
        <f>IF(TrackIT_Lines!AD31="","",CONCATENATE(TrackIT_Lines!AD31,"-",TrackIT_Lines!AG31))</f>
        <v/>
      </c>
      <c r="J39" s="409" t="str">
        <f t="shared" ca="1" si="31"/>
        <v/>
      </c>
      <c r="K39" s="408" t="str">
        <f t="shared" ca="1" si="31"/>
        <v/>
      </c>
      <c r="L39" s="408" t="str">
        <f t="shared" ca="1" si="31"/>
        <v/>
      </c>
      <c r="M39" s="408" t="str">
        <f t="shared" ca="1" si="31"/>
        <v/>
      </c>
      <c r="N39" s="408" t="str">
        <f t="shared" ca="1" si="31"/>
        <v/>
      </c>
      <c r="O39" s="408" t="str">
        <f t="shared" ca="1" si="31"/>
        <v/>
      </c>
      <c r="P39" s="408" t="str">
        <f t="shared" ca="1" si="31"/>
        <v/>
      </c>
      <c r="Q39" s="408" t="str">
        <f t="shared" ca="1" si="31"/>
        <v/>
      </c>
      <c r="R39" s="410" t="str">
        <f ca="1">Cluster!J58</f>
        <v>Selection</v>
      </c>
      <c r="S39" s="411" t="str">
        <f t="shared" ca="1" si="5"/>
        <v>-</v>
      </c>
      <c r="T39" s="412" t="str">
        <f t="shared" ca="1" si="6"/>
        <v/>
      </c>
      <c r="U39" s="411" t="str">
        <f t="shared" ca="1" si="7"/>
        <v>-</v>
      </c>
      <c r="V39" s="411" t="str">
        <f t="shared" ca="1" si="8"/>
        <v>-</v>
      </c>
      <c r="W39" s="413">
        <f>Cluster!N58</f>
        <v>0</v>
      </c>
      <c r="X39" s="414" t="str">
        <f t="shared" ca="1" si="9"/>
        <v>-</v>
      </c>
      <c r="Y39" s="411" t="str">
        <f t="shared" ca="1" si="10"/>
        <v>-</v>
      </c>
      <c r="Z39" s="415" t="str">
        <f t="shared" ca="1" si="11"/>
        <v>-</v>
      </c>
      <c r="AA39" s="416" t="str">
        <f t="shared" ca="1" si="12"/>
        <v>-</v>
      </c>
      <c r="AB39" s="416" t="str">
        <f t="shared" ca="1" si="13"/>
        <v/>
      </c>
      <c r="AC39" s="434" t="str">
        <f>Cluster!Q58</f>
        <v>Bypass</v>
      </c>
      <c r="AD39" s="435" t="str">
        <f t="shared" ca="1" si="32"/>
        <v/>
      </c>
      <c r="AE39" s="436" t="str">
        <f t="shared" ca="1" si="32"/>
        <v/>
      </c>
      <c r="AF39" s="437" t="str">
        <f t="shared" ca="1" si="15"/>
        <v>-</v>
      </c>
      <c r="AG39" s="438" t="str">
        <f t="shared" ca="1" si="16"/>
        <v>-</v>
      </c>
      <c r="AH39" s="437" t="str">
        <f t="shared" ca="1" si="17"/>
        <v>-</v>
      </c>
      <c r="AI39" s="438" t="str">
        <f t="shared" ca="1" si="18"/>
        <v>-</v>
      </c>
      <c r="AJ39" s="438" t="str">
        <f t="shared" ca="1" si="19"/>
        <v>-</v>
      </c>
      <c r="AK39" s="439" t="str">
        <f ca="1">IFERROR(AE39*AD39*AL39/(IF(Cluster!AA58=Cluster!$W$8,Cluster!$W$10,IF(Cluster!AA58=Cluster!$X$8,Cluster!$X$10,IF(Cluster!AA58=Cluster!$Y$8,Cluster!$Y$10,0)))*10^3),"-")</f>
        <v>-</v>
      </c>
      <c r="AL39" s="440" t="str">
        <f ca="1">IFERROR(IF(OR(Calculation!T39&lt;(Calculation!$U$8+2),Calculation!AC39="Bypass"),IF((IF(Calculation!$O$6/((Calculation!AD39*10^-12)/(Calculation!T39*10^-9)*50)&lt;=1,1,ROUNDUP(Calculation!$O$6/((Calculation!AD39*10^-12)/(Calculation!T39*10^-9)*50),0))*50)&lt;Calculation!$AK$6,Calculation!$AK$6,IF(Calculation!$O$6/((Calculation!AD39*10^-12)/(Calculation!T39*10^-9)*50)&lt;=1,1,ROUNDUP(Calculation!$O$6/((Calculation!AD39*10^-12)/(Calculation!T39*10^-9)*50),0))*50),"-"),"-")</f>
        <v>-</v>
      </c>
      <c r="AM39" s="441" t="str">
        <f t="shared" ca="1" si="33"/>
        <v/>
      </c>
      <c r="AN39" s="442" t="str">
        <f t="shared" ca="1" si="33"/>
        <v/>
      </c>
      <c r="AO39" s="432">
        <f t="shared" ca="1" si="21"/>
        <v>384</v>
      </c>
      <c r="AP39" s="427" t="str">
        <f t="shared" ca="1" si="22"/>
        <v>-</v>
      </c>
      <c r="AQ39" s="443" t="str">
        <f t="shared" ca="1" si="23"/>
        <v>-</v>
      </c>
      <c r="AR39" s="444" t="str">
        <f t="shared" ca="1" si="24"/>
        <v>-</v>
      </c>
      <c r="AS39" s="430" t="str">
        <f t="shared" ca="1" si="25"/>
        <v>-</v>
      </c>
      <c r="AT39" s="431"/>
      <c r="AU39" s="431"/>
      <c r="AV39" s="432">
        <v>30</v>
      </c>
      <c r="AW39" s="433" t="e">
        <f>ListAndConversion!S32</f>
        <v>#DIV/0!</v>
      </c>
      <c r="AX39" s="432" t="e">
        <f>IF(AW39="-","-",IF(COUNTIF(ListAndConversion!$F$3:$M$386,Calculation!AW39)=0,"Missing Lane","OK"))</f>
        <v>#DIV/0!</v>
      </c>
      <c r="AY39" s="433" t="str">
        <f>IFERROR(VLOOKUP(AW39,ListAndConversion!$F$3:$O$386,9,0),"-")</f>
        <v>-</v>
      </c>
      <c r="AZ39" s="433" t="str">
        <f>IFERROR(VLOOKUP(AW39,ListAndConversion!$F$3:$O$386,10,0),"-")</f>
        <v>-</v>
      </c>
      <c r="BA39" s="433" t="e">
        <f t="shared" si="26"/>
        <v>#DIV/0!</v>
      </c>
      <c r="BB39" s="433" t="str">
        <f t="shared" si="27"/>
        <v>-</v>
      </c>
      <c r="BC39" s="433" t="str">
        <f t="shared" si="28"/>
        <v/>
      </c>
    </row>
    <row r="40" spans="1:55" ht="14.25" x14ac:dyDescent="0.65">
      <c r="A40" s="407">
        <v>32</v>
      </c>
      <c r="B40" s="408" t="str">
        <f t="shared" ca="1" si="2"/>
        <v/>
      </c>
      <c r="C40" s="408" t="str">
        <f ca="1">IFERROR(IF(G40="","",CONCATENATE(E40,"-",INDEX(Coordinate,MATCH(F40,ListAndConversion!$X$4:$X$99,0),2))),"")</f>
        <v/>
      </c>
      <c r="D40" s="408" t="str">
        <f t="shared" ca="1" si="30"/>
        <v/>
      </c>
      <c r="E40" s="408" t="str">
        <f t="shared" ca="1" si="30"/>
        <v/>
      </c>
      <c r="F40" s="408" t="str">
        <f t="shared" ca="1" si="30"/>
        <v/>
      </c>
      <c r="G40" s="408" t="str">
        <f ca="1">IFERROR(INDEX(ListAndConversion!A:B,MATCH(Calculation!E40,ListAndConversion!A:A,0),2),"")</f>
        <v/>
      </c>
      <c r="H40" s="408" t="str">
        <f>IF(TrackIT_Lines!AD32="","",TrackIT_Lines!AD32)</f>
        <v/>
      </c>
      <c r="I40" s="408" t="str">
        <f>IF(TrackIT_Lines!AD32="","",CONCATENATE(TrackIT_Lines!AD32,"-",TrackIT_Lines!AG32))</f>
        <v/>
      </c>
      <c r="J40" s="409" t="str">
        <f t="shared" ref="J40:Q49" ca="1" si="34">IF((INDIRECT("TrackIT_Lines!"&amp;J$2&amp;$A40))="","", (INDIRECT("TrackIT_Lines!"&amp;J$2&amp;$A40)))</f>
        <v/>
      </c>
      <c r="K40" s="408" t="str">
        <f t="shared" ca="1" si="34"/>
        <v/>
      </c>
      <c r="L40" s="408" t="str">
        <f t="shared" ca="1" si="34"/>
        <v/>
      </c>
      <c r="M40" s="408" t="str">
        <f t="shared" ca="1" si="34"/>
        <v/>
      </c>
      <c r="N40" s="408" t="str">
        <f t="shared" ca="1" si="34"/>
        <v/>
      </c>
      <c r="O40" s="408" t="str">
        <f t="shared" ca="1" si="34"/>
        <v/>
      </c>
      <c r="P40" s="408" t="str">
        <f t="shared" ca="1" si="34"/>
        <v/>
      </c>
      <c r="Q40" s="408" t="str">
        <f t="shared" ca="1" si="34"/>
        <v/>
      </c>
      <c r="R40" s="410" t="str">
        <f ca="1">Cluster!J59</f>
        <v>Selection</v>
      </c>
      <c r="S40" s="411" t="str">
        <f t="shared" ca="1" si="5"/>
        <v>-</v>
      </c>
      <c r="T40" s="412" t="str">
        <f t="shared" ca="1" si="6"/>
        <v/>
      </c>
      <c r="U40" s="411" t="str">
        <f t="shared" ca="1" si="7"/>
        <v>-</v>
      </c>
      <c r="V40" s="411" t="str">
        <f t="shared" ca="1" si="8"/>
        <v>-</v>
      </c>
      <c r="W40" s="413">
        <f>Cluster!N59</f>
        <v>0</v>
      </c>
      <c r="X40" s="414" t="str">
        <f t="shared" ca="1" si="9"/>
        <v>-</v>
      </c>
      <c r="Y40" s="411" t="str">
        <f t="shared" ca="1" si="10"/>
        <v>-</v>
      </c>
      <c r="Z40" s="415" t="str">
        <f t="shared" ca="1" si="11"/>
        <v>-</v>
      </c>
      <c r="AA40" s="416" t="str">
        <f t="shared" ca="1" si="12"/>
        <v>-</v>
      </c>
      <c r="AB40" s="416" t="str">
        <f t="shared" ca="1" si="13"/>
        <v/>
      </c>
      <c r="AC40" s="434">
        <f>Cluster!Q59</f>
        <v>0</v>
      </c>
      <c r="AD40" s="435" t="str">
        <f t="shared" ca="1" si="32"/>
        <v/>
      </c>
      <c r="AE40" s="436" t="str">
        <f t="shared" ca="1" si="32"/>
        <v/>
      </c>
      <c r="AF40" s="437" t="str">
        <f t="shared" ca="1" si="15"/>
        <v>-</v>
      </c>
      <c r="AG40" s="438" t="str">
        <f t="shared" ca="1" si="16"/>
        <v>-</v>
      </c>
      <c r="AH40" s="437" t="str">
        <f t="shared" ca="1" si="17"/>
        <v>-</v>
      </c>
      <c r="AI40" s="438" t="str">
        <f t="shared" ca="1" si="18"/>
        <v>-</v>
      </c>
      <c r="AJ40" s="438" t="str">
        <f t="shared" ca="1" si="19"/>
        <v>-</v>
      </c>
      <c r="AK40" s="439" t="str">
        <f ca="1">IFERROR(AE40*AD40*AL40/(IF(Cluster!AA59=Cluster!$W$8,Cluster!$W$10,IF(Cluster!AA59=Cluster!$X$8,Cluster!$X$10,IF(Cluster!AA59=Cluster!$Y$8,Cluster!$Y$10,0)))*10^3),"-")</f>
        <v>-</v>
      </c>
      <c r="AL40" s="440" t="str">
        <f ca="1">IFERROR(IF(OR(Calculation!T40&lt;(Calculation!$U$8+2),Calculation!AC40="Bypass"),IF((IF(Calculation!$O$6/((Calculation!AD40*10^-12)/(Calculation!T40*10^-9)*50)&lt;=1,1,ROUNDUP(Calculation!$O$6/((Calculation!AD40*10^-12)/(Calculation!T40*10^-9)*50),0))*50)&lt;Calculation!$AK$6,Calculation!$AK$6,IF(Calculation!$O$6/((Calculation!AD40*10^-12)/(Calculation!T40*10^-9)*50)&lt;=1,1,ROUNDUP(Calculation!$O$6/((Calculation!AD40*10^-12)/(Calculation!T40*10^-9)*50),0))*50),"-"),"-")</f>
        <v>-</v>
      </c>
      <c r="AM40" s="441" t="str">
        <f t="shared" ca="1" si="33"/>
        <v/>
      </c>
      <c r="AN40" s="442" t="str">
        <f t="shared" ca="1" si="33"/>
        <v/>
      </c>
      <c r="AO40" s="432">
        <f t="shared" ca="1" si="21"/>
        <v>384</v>
      </c>
      <c r="AP40" s="427" t="str">
        <f t="shared" ca="1" si="22"/>
        <v>-</v>
      </c>
      <c r="AQ40" s="443" t="str">
        <f t="shared" ca="1" si="23"/>
        <v>-</v>
      </c>
      <c r="AR40" s="444" t="str">
        <f t="shared" ca="1" si="24"/>
        <v>-</v>
      </c>
      <c r="AS40" s="430" t="str">
        <f t="shared" ca="1" si="25"/>
        <v>-</v>
      </c>
      <c r="AT40" s="431"/>
      <c r="AU40" s="431"/>
      <c r="AV40" s="432">
        <v>31</v>
      </c>
      <c r="AW40" s="433" t="e">
        <f>ListAndConversion!S33</f>
        <v>#DIV/0!</v>
      </c>
      <c r="AX40" s="432" t="e">
        <f>IF(AW40="-","-",IF(COUNTIF(ListAndConversion!$F$3:$M$386,Calculation!AW40)=0,"Missing Lane","OK"))</f>
        <v>#DIV/0!</v>
      </c>
      <c r="AY40" s="433" t="str">
        <f>IFERROR(VLOOKUP(AW40,ListAndConversion!$F$3:$O$386,9,0),"-")</f>
        <v>-</v>
      </c>
      <c r="AZ40" s="433" t="str">
        <f>IFERROR(VLOOKUP(AW40,ListAndConversion!$F$3:$O$386,10,0),"-")</f>
        <v>-</v>
      </c>
      <c r="BA40" s="433" t="e">
        <f t="shared" si="26"/>
        <v>#DIV/0!</v>
      </c>
      <c r="BB40" s="433" t="str">
        <f t="shared" si="27"/>
        <v>-</v>
      </c>
      <c r="BC40" s="433" t="str">
        <f t="shared" si="28"/>
        <v/>
      </c>
    </row>
    <row r="41" spans="1:55" ht="14.25" x14ac:dyDescent="0.65">
      <c r="A41" s="407">
        <v>33</v>
      </c>
      <c r="B41" s="408" t="str">
        <f t="shared" ca="1" si="2"/>
        <v/>
      </c>
      <c r="C41" s="408" t="str">
        <f ca="1">IFERROR(IF(G41="","",CONCATENATE(E41,"-",INDEX(Coordinate,MATCH(F41,ListAndConversion!$X$4:$X$99,0),2))),"")</f>
        <v/>
      </c>
      <c r="D41" s="408" t="str">
        <f t="shared" ca="1" si="30"/>
        <v/>
      </c>
      <c r="E41" s="408" t="str">
        <f t="shared" ca="1" si="30"/>
        <v/>
      </c>
      <c r="F41" s="408" t="str">
        <f t="shared" ca="1" si="30"/>
        <v/>
      </c>
      <c r="G41" s="408" t="str">
        <f ca="1">IFERROR(INDEX(ListAndConversion!A:B,MATCH(Calculation!E41,ListAndConversion!A:A,0),2),"")</f>
        <v/>
      </c>
      <c r="H41" s="408" t="str">
        <f>IF(TrackIT_Lines!AD33="","",TrackIT_Lines!AD33)</f>
        <v/>
      </c>
      <c r="I41" s="408" t="str">
        <f>IF(TrackIT_Lines!AD33="","",CONCATENATE(TrackIT_Lines!AD33,"-",TrackIT_Lines!AG33))</f>
        <v/>
      </c>
      <c r="J41" s="409" t="str">
        <f t="shared" ca="1" si="34"/>
        <v/>
      </c>
      <c r="K41" s="408" t="str">
        <f t="shared" ca="1" si="34"/>
        <v/>
      </c>
      <c r="L41" s="408" t="str">
        <f t="shared" ca="1" si="34"/>
        <v/>
      </c>
      <c r="M41" s="408" t="str">
        <f t="shared" ca="1" si="34"/>
        <v/>
      </c>
      <c r="N41" s="408" t="str">
        <f t="shared" ca="1" si="34"/>
        <v/>
      </c>
      <c r="O41" s="408" t="str">
        <f t="shared" ca="1" si="34"/>
        <v/>
      </c>
      <c r="P41" s="408" t="str">
        <f t="shared" ca="1" si="34"/>
        <v/>
      </c>
      <c r="Q41" s="408" t="str">
        <f t="shared" ca="1" si="34"/>
        <v/>
      </c>
      <c r="R41" s="410" t="str">
        <f ca="1">Cluster!J60</f>
        <v>Selection</v>
      </c>
      <c r="S41" s="411" t="str">
        <f t="shared" ca="1" si="5"/>
        <v>-</v>
      </c>
      <c r="T41" s="412" t="str">
        <f t="shared" ca="1" si="6"/>
        <v/>
      </c>
      <c r="U41" s="411" t="str">
        <f t="shared" ca="1" si="7"/>
        <v>-</v>
      </c>
      <c r="V41" s="411" t="str">
        <f t="shared" ca="1" si="8"/>
        <v>-</v>
      </c>
      <c r="W41" s="413">
        <f>Cluster!N60</f>
        <v>0</v>
      </c>
      <c r="X41" s="414" t="str">
        <f t="shared" ca="1" si="9"/>
        <v>-</v>
      </c>
      <c r="Y41" s="411" t="str">
        <f t="shared" ca="1" si="10"/>
        <v>-</v>
      </c>
      <c r="Z41" s="415" t="str">
        <f t="shared" ca="1" si="11"/>
        <v>-</v>
      </c>
      <c r="AA41" s="416" t="str">
        <f t="shared" ca="1" si="12"/>
        <v>-</v>
      </c>
      <c r="AB41" s="416" t="str">
        <f t="shared" ca="1" si="13"/>
        <v/>
      </c>
      <c r="AC41" s="434">
        <f>Cluster!Q60</f>
        <v>0</v>
      </c>
      <c r="AD41" s="435" t="str">
        <f t="shared" ca="1" si="32"/>
        <v/>
      </c>
      <c r="AE41" s="436" t="str">
        <f t="shared" ca="1" si="32"/>
        <v/>
      </c>
      <c r="AF41" s="437" t="str">
        <f t="shared" ca="1" si="15"/>
        <v>-</v>
      </c>
      <c r="AG41" s="438" t="str">
        <f t="shared" ca="1" si="16"/>
        <v>-</v>
      </c>
      <c r="AH41" s="437" t="str">
        <f t="shared" ca="1" si="17"/>
        <v>-</v>
      </c>
      <c r="AI41" s="438" t="str">
        <f t="shared" ca="1" si="18"/>
        <v>-</v>
      </c>
      <c r="AJ41" s="438" t="str">
        <f t="shared" ca="1" si="19"/>
        <v>-</v>
      </c>
      <c r="AK41" s="439" t="str">
        <f ca="1">IFERROR(AE41*AD41*AL41/(IF(Cluster!AA60=Cluster!$W$8,Cluster!$W$10,IF(Cluster!AA60=Cluster!$X$8,Cluster!$X$10,IF(Cluster!AA60=Cluster!$Y$8,Cluster!$Y$10,0)))*10^3),"-")</f>
        <v>-</v>
      </c>
      <c r="AL41" s="440" t="str">
        <f ca="1">IFERROR(IF(OR(Calculation!T41&lt;(Calculation!$U$8+2),Calculation!AC41="Bypass"),IF((IF(Calculation!$O$6/((Calculation!AD41*10^-12)/(Calculation!T41*10^-9)*50)&lt;=1,1,ROUNDUP(Calculation!$O$6/((Calculation!AD41*10^-12)/(Calculation!T41*10^-9)*50),0))*50)&lt;Calculation!$AK$6,Calculation!$AK$6,IF(Calculation!$O$6/((Calculation!AD41*10^-12)/(Calculation!T41*10^-9)*50)&lt;=1,1,ROUNDUP(Calculation!$O$6/((Calculation!AD41*10^-12)/(Calculation!T41*10^-9)*50),0))*50),"-"),"-")</f>
        <v>-</v>
      </c>
      <c r="AM41" s="441" t="str">
        <f t="shared" ca="1" si="33"/>
        <v/>
      </c>
      <c r="AN41" s="442" t="str">
        <f t="shared" ca="1" si="33"/>
        <v/>
      </c>
      <c r="AO41" s="432">
        <f t="shared" ca="1" si="21"/>
        <v>384</v>
      </c>
      <c r="AP41" s="427" t="str">
        <f t="shared" ca="1" si="22"/>
        <v>-</v>
      </c>
      <c r="AQ41" s="443" t="str">
        <f t="shared" ca="1" si="23"/>
        <v>-</v>
      </c>
      <c r="AR41" s="444" t="str">
        <f t="shared" ca="1" si="24"/>
        <v>-</v>
      </c>
      <c r="AS41" s="430" t="str">
        <f t="shared" ca="1" si="25"/>
        <v>-</v>
      </c>
      <c r="AT41" s="431"/>
      <c r="AU41" s="431"/>
      <c r="AV41" s="432">
        <v>32</v>
      </c>
      <c r="AW41" s="433" t="e">
        <f>ListAndConversion!S34</f>
        <v>#DIV/0!</v>
      </c>
      <c r="AX41" s="432" t="e">
        <f>IF(AW41="-","-",IF(COUNTIF(ListAndConversion!$F$3:$M$386,Calculation!AW41)=0,"Missing Lane","OK"))</f>
        <v>#DIV/0!</v>
      </c>
      <c r="AY41" s="433" t="str">
        <f>IFERROR(VLOOKUP(AW41,ListAndConversion!$F$3:$O$386,9,0),"-")</f>
        <v>-</v>
      </c>
      <c r="AZ41" s="433" t="str">
        <f>IFERROR(VLOOKUP(AW41,ListAndConversion!$F$3:$O$386,10,0),"-")</f>
        <v>-</v>
      </c>
      <c r="BA41" s="433" t="e">
        <f t="shared" si="26"/>
        <v>#DIV/0!</v>
      </c>
      <c r="BB41" s="433" t="str">
        <f t="shared" si="27"/>
        <v>-</v>
      </c>
      <c r="BC41" s="433" t="str">
        <f t="shared" si="28"/>
        <v/>
      </c>
    </row>
    <row r="42" spans="1:55" ht="14.25" x14ac:dyDescent="0.65">
      <c r="A42" s="407">
        <v>34</v>
      </c>
      <c r="B42" s="408" t="str">
        <f t="shared" ca="1" si="2"/>
        <v/>
      </c>
      <c r="C42" s="408" t="str">
        <f ca="1">IFERROR(IF(G42="","",CONCATENATE(E42,"-",INDEX(Coordinate,MATCH(F42,ListAndConversion!$X$4:$X$99,0),2))),"")</f>
        <v/>
      </c>
      <c r="D42" s="408" t="str">
        <f t="shared" ca="1" si="30"/>
        <v/>
      </c>
      <c r="E42" s="408" t="str">
        <f t="shared" ca="1" si="30"/>
        <v/>
      </c>
      <c r="F42" s="408" t="str">
        <f t="shared" ca="1" si="30"/>
        <v/>
      </c>
      <c r="G42" s="408" t="str">
        <f ca="1">IFERROR(INDEX(ListAndConversion!A:B,MATCH(Calculation!E42,ListAndConversion!A:A,0),2),"")</f>
        <v/>
      </c>
      <c r="H42" s="408" t="str">
        <f>IF(TrackIT_Lines!AD34="","",TrackIT_Lines!AD34)</f>
        <v/>
      </c>
      <c r="I42" s="408" t="str">
        <f>IF(TrackIT_Lines!AD34="","",CONCATENATE(TrackIT_Lines!AD34,"-",TrackIT_Lines!AG34))</f>
        <v/>
      </c>
      <c r="J42" s="409" t="str">
        <f t="shared" ca="1" si="34"/>
        <v/>
      </c>
      <c r="K42" s="408" t="str">
        <f t="shared" ca="1" si="34"/>
        <v/>
      </c>
      <c r="L42" s="408" t="str">
        <f t="shared" ca="1" si="34"/>
        <v/>
      </c>
      <c r="M42" s="408" t="str">
        <f t="shared" ca="1" si="34"/>
        <v/>
      </c>
      <c r="N42" s="408" t="str">
        <f t="shared" ca="1" si="34"/>
        <v/>
      </c>
      <c r="O42" s="408" t="str">
        <f t="shared" ca="1" si="34"/>
        <v/>
      </c>
      <c r="P42" s="408" t="str">
        <f t="shared" ca="1" si="34"/>
        <v/>
      </c>
      <c r="Q42" s="408" t="str">
        <f t="shared" ca="1" si="34"/>
        <v/>
      </c>
      <c r="R42" s="410" t="str">
        <f ca="1">Cluster!J61</f>
        <v>Selection</v>
      </c>
      <c r="S42" s="411" t="str">
        <f t="shared" ca="1" si="5"/>
        <v>-</v>
      </c>
      <c r="T42" s="412" t="str">
        <f t="shared" ca="1" si="6"/>
        <v/>
      </c>
      <c r="U42" s="411" t="str">
        <f t="shared" ca="1" si="7"/>
        <v>-</v>
      </c>
      <c r="V42" s="411" t="str">
        <f t="shared" ca="1" si="8"/>
        <v>-</v>
      </c>
      <c r="W42" s="413">
        <f>Cluster!N61</f>
        <v>0</v>
      </c>
      <c r="X42" s="414" t="str">
        <f t="shared" ca="1" si="9"/>
        <v>-</v>
      </c>
      <c r="Y42" s="411" t="str">
        <f t="shared" ca="1" si="10"/>
        <v>-</v>
      </c>
      <c r="Z42" s="415" t="str">
        <f t="shared" ca="1" si="11"/>
        <v>-</v>
      </c>
      <c r="AA42" s="416" t="str">
        <f t="shared" ca="1" si="12"/>
        <v>-</v>
      </c>
      <c r="AB42" s="416" t="str">
        <f t="shared" ca="1" si="13"/>
        <v/>
      </c>
      <c r="AC42" s="434">
        <f>Cluster!Q61</f>
        <v>0</v>
      </c>
      <c r="AD42" s="435" t="str">
        <f t="shared" ca="1" si="32"/>
        <v/>
      </c>
      <c r="AE42" s="436" t="str">
        <f t="shared" ca="1" si="32"/>
        <v/>
      </c>
      <c r="AF42" s="437" t="str">
        <f t="shared" ca="1" si="15"/>
        <v>-</v>
      </c>
      <c r="AG42" s="438" t="str">
        <f t="shared" ca="1" si="16"/>
        <v>-</v>
      </c>
      <c r="AH42" s="437" t="str">
        <f t="shared" ca="1" si="17"/>
        <v>-</v>
      </c>
      <c r="AI42" s="438" t="str">
        <f t="shared" ca="1" si="18"/>
        <v>-</v>
      </c>
      <c r="AJ42" s="438" t="str">
        <f t="shared" ca="1" si="19"/>
        <v>-</v>
      </c>
      <c r="AK42" s="439" t="str">
        <f ca="1">IFERROR(AE42*AD42*AL42/(IF(Cluster!AA61=Cluster!$W$8,Cluster!$W$10,IF(Cluster!AA61=Cluster!$X$8,Cluster!$X$10,IF(Cluster!AA61=Cluster!$Y$8,Cluster!$Y$10,0)))*10^3),"-")</f>
        <v>-</v>
      </c>
      <c r="AL42" s="440" t="str">
        <f ca="1">IFERROR(IF(OR(Calculation!T42&lt;(Calculation!$U$8+2),Calculation!AC42="Bypass"),IF((IF(Calculation!$O$6/((Calculation!AD42*10^-12)/(Calculation!T42*10^-9)*50)&lt;=1,1,ROUNDUP(Calculation!$O$6/((Calculation!AD42*10^-12)/(Calculation!T42*10^-9)*50),0))*50)&lt;Calculation!$AK$6,Calculation!$AK$6,IF(Calculation!$O$6/((Calculation!AD42*10^-12)/(Calculation!T42*10^-9)*50)&lt;=1,1,ROUNDUP(Calculation!$O$6/((Calculation!AD42*10^-12)/(Calculation!T42*10^-9)*50),0))*50),"-"),"-")</f>
        <v>-</v>
      </c>
      <c r="AM42" s="441" t="str">
        <f t="shared" ca="1" si="33"/>
        <v/>
      </c>
      <c r="AN42" s="442" t="str">
        <f t="shared" ca="1" si="33"/>
        <v/>
      </c>
      <c r="AO42" s="432">
        <f t="shared" ca="1" si="21"/>
        <v>384</v>
      </c>
      <c r="AP42" s="427" t="str">
        <f t="shared" ca="1" si="22"/>
        <v>-</v>
      </c>
      <c r="AQ42" s="443" t="str">
        <f t="shared" ca="1" si="23"/>
        <v>-</v>
      </c>
      <c r="AR42" s="444" t="str">
        <f t="shared" ca="1" si="24"/>
        <v>-</v>
      </c>
      <c r="AS42" s="430" t="str">
        <f t="shared" ca="1" si="25"/>
        <v>-</v>
      </c>
      <c r="AT42" s="431"/>
      <c r="AU42" s="431"/>
      <c r="AV42" s="432">
        <v>33</v>
      </c>
      <c r="AW42" s="433" t="e">
        <f>ListAndConversion!S35</f>
        <v>#DIV/0!</v>
      </c>
      <c r="AX42" s="432" t="e">
        <f>IF(AW42="-","-",IF(COUNTIF(ListAndConversion!$F$3:$M$386,Calculation!AW42)=0,"Missing Lane","OK"))</f>
        <v>#DIV/0!</v>
      </c>
      <c r="AY42" s="433" t="str">
        <f>IFERROR(VLOOKUP(AW42,ListAndConversion!$F$3:$O$386,9,0),"-")</f>
        <v>-</v>
      </c>
      <c r="AZ42" s="433" t="str">
        <f>IFERROR(VLOOKUP(AW42,ListAndConversion!$F$3:$O$386,10,0),"-")</f>
        <v>-</v>
      </c>
      <c r="BA42" s="433" t="e">
        <f t="shared" ref="BA42:BA73" si="35">IF(AX42="-","-",COUNTIFS($I$10:$I$393,AW42,$AO$10:$AO$393,"&gt;1"))</f>
        <v>#DIV/0!</v>
      </c>
      <c r="BB42" s="433" t="str">
        <f t="shared" ref="BB42:BB73" si="36">IF(AY42="-","-",IF(BA42=0,"OK","Conflict"))</f>
        <v>-</v>
      </c>
      <c r="BC42" s="433" t="str">
        <f t="shared" ref="BC42:BC73" si="37">IF(AY42="-","",LEN(AY42))</f>
        <v/>
      </c>
    </row>
    <row r="43" spans="1:55" ht="14.25" x14ac:dyDescent="0.65">
      <c r="A43" s="407">
        <v>35</v>
      </c>
      <c r="B43" s="408" t="str">
        <f t="shared" ca="1" si="2"/>
        <v/>
      </c>
      <c r="C43" s="408" t="str">
        <f ca="1">IFERROR(IF(G43="","",CONCATENATE(E43,"-",INDEX(Coordinate,MATCH(F43,ListAndConversion!$X$4:$X$99,0),2))),"")</f>
        <v/>
      </c>
      <c r="D43" s="408" t="str">
        <f t="shared" ca="1" si="30"/>
        <v/>
      </c>
      <c r="E43" s="408" t="str">
        <f t="shared" ca="1" si="30"/>
        <v/>
      </c>
      <c r="F43" s="408" t="str">
        <f t="shared" ca="1" si="30"/>
        <v/>
      </c>
      <c r="G43" s="408" t="str">
        <f ca="1">IFERROR(INDEX(ListAndConversion!A:B,MATCH(Calculation!E43,ListAndConversion!A:A,0),2),"")</f>
        <v/>
      </c>
      <c r="H43" s="408" t="str">
        <f>IF(TrackIT_Lines!AD35="","",TrackIT_Lines!AD35)</f>
        <v/>
      </c>
      <c r="I43" s="408" t="str">
        <f>IF(TrackIT_Lines!AD35="","",CONCATENATE(TrackIT_Lines!AD35,"-",TrackIT_Lines!AG35))</f>
        <v/>
      </c>
      <c r="J43" s="409" t="str">
        <f t="shared" ca="1" si="34"/>
        <v/>
      </c>
      <c r="K43" s="408" t="str">
        <f t="shared" ca="1" si="34"/>
        <v/>
      </c>
      <c r="L43" s="408" t="str">
        <f t="shared" ca="1" si="34"/>
        <v/>
      </c>
      <c r="M43" s="408" t="str">
        <f t="shared" ca="1" si="34"/>
        <v/>
      </c>
      <c r="N43" s="408" t="str">
        <f t="shared" ca="1" si="34"/>
        <v/>
      </c>
      <c r="O43" s="408" t="str">
        <f t="shared" ca="1" si="34"/>
        <v/>
      </c>
      <c r="P43" s="408" t="str">
        <f t="shared" ca="1" si="34"/>
        <v/>
      </c>
      <c r="Q43" s="408" t="str">
        <f t="shared" ca="1" si="34"/>
        <v/>
      </c>
      <c r="R43" s="410" t="str">
        <f ca="1">Cluster!J62</f>
        <v>Selection</v>
      </c>
      <c r="S43" s="411" t="str">
        <f t="shared" ca="1" si="5"/>
        <v>-</v>
      </c>
      <c r="T43" s="412" t="str">
        <f t="shared" ca="1" si="6"/>
        <v/>
      </c>
      <c r="U43" s="411" t="str">
        <f t="shared" ca="1" si="7"/>
        <v>-</v>
      </c>
      <c r="V43" s="411" t="str">
        <f t="shared" ca="1" si="8"/>
        <v>-</v>
      </c>
      <c r="W43" s="413">
        <f>Cluster!N62</f>
        <v>0</v>
      </c>
      <c r="X43" s="414" t="str">
        <f t="shared" ca="1" si="9"/>
        <v>-</v>
      </c>
      <c r="Y43" s="411" t="str">
        <f t="shared" ca="1" si="10"/>
        <v>-</v>
      </c>
      <c r="Z43" s="415" t="str">
        <f t="shared" ca="1" si="11"/>
        <v>-</v>
      </c>
      <c r="AA43" s="416" t="str">
        <f t="shared" ca="1" si="12"/>
        <v>-</v>
      </c>
      <c r="AB43" s="416" t="str">
        <f t="shared" ca="1" si="13"/>
        <v/>
      </c>
      <c r="AC43" s="434">
        <f>Cluster!Q62</f>
        <v>0</v>
      </c>
      <c r="AD43" s="435" t="str">
        <f t="shared" ca="1" si="32"/>
        <v/>
      </c>
      <c r="AE43" s="436" t="str">
        <f t="shared" ca="1" si="32"/>
        <v/>
      </c>
      <c r="AF43" s="437" t="str">
        <f t="shared" ca="1" si="15"/>
        <v>-</v>
      </c>
      <c r="AG43" s="438" t="str">
        <f t="shared" ca="1" si="16"/>
        <v>-</v>
      </c>
      <c r="AH43" s="437" t="str">
        <f t="shared" ca="1" si="17"/>
        <v>-</v>
      </c>
      <c r="AI43" s="438" t="str">
        <f t="shared" ca="1" si="18"/>
        <v>-</v>
      </c>
      <c r="AJ43" s="438" t="str">
        <f t="shared" ca="1" si="19"/>
        <v>-</v>
      </c>
      <c r="AK43" s="439" t="str">
        <f ca="1">IFERROR(AE43*AD43*AL43/(IF(Cluster!AA62=Cluster!$W$8,Cluster!$W$10,IF(Cluster!AA62=Cluster!$X$8,Cluster!$X$10,IF(Cluster!AA62=Cluster!$Y$8,Cluster!$Y$10,0)))*10^3),"-")</f>
        <v>-</v>
      </c>
      <c r="AL43" s="440" t="str">
        <f ca="1">IFERROR(IF(OR(Calculation!T43&lt;(Calculation!$U$8+2),Calculation!AC43="Bypass"),IF((IF(Calculation!$O$6/((Calculation!AD43*10^-12)/(Calculation!T43*10^-9)*50)&lt;=1,1,ROUNDUP(Calculation!$O$6/((Calculation!AD43*10^-12)/(Calculation!T43*10^-9)*50),0))*50)&lt;Calculation!$AK$6,Calculation!$AK$6,IF(Calculation!$O$6/((Calculation!AD43*10^-12)/(Calculation!T43*10^-9)*50)&lt;=1,1,ROUNDUP(Calculation!$O$6/((Calculation!AD43*10^-12)/(Calculation!T43*10^-9)*50),0))*50),"-"),"-")</f>
        <v>-</v>
      </c>
      <c r="AM43" s="441" t="str">
        <f t="shared" ca="1" si="33"/>
        <v/>
      </c>
      <c r="AN43" s="442" t="str">
        <f t="shared" ca="1" si="33"/>
        <v/>
      </c>
      <c r="AO43" s="432">
        <f t="shared" ca="1" si="21"/>
        <v>384</v>
      </c>
      <c r="AP43" s="427" t="str">
        <f t="shared" ca="1" si="22"/>
        <v>-</v>
      </c>
      <c r="AQ43" s="443" t="str">
        <f t="shared" ca="1" si="23"/>
        <v>-</v>
      </c>
      <c r="AR43" s="444" t="str">
        <f t="shared" ca="1" si="24"/>
        <v>-</v>
      </c>
      <c r="AS43" s="430" t="str">
        <f t="shared" ca="1" si="25"/>
        <v>-</v>
      </c>
      <c r="AT43" s="431"/>
      <c r="AU43" s="431"/>
      <c r="AV43" s="432">
        <v>34</v>
      </c>
      <c r="AW43" s="433" t="e">
        <f>ListAndConversion!S36</f>
        <v>#DIV/0!</v>
      </c>
      <c r="AX43" s="432" t="e">
        <f>IF(AW43="-","-",IF(COUNTIF(ListAndConversion!$F$3:$M$386,Calculation!AW43)=0,"Missing Lane","OK"))</f>
        <v>#DIV/0!</v>
      </c>
      <c r="AY43" s="433" t="str">
        <f>IFERROR(VLOOKUP(AW43,ListAndConversion!$F$3:$O$386,9,0),"-")</f>
        <v>-</v>
      </c>
      <c r="AZ43" s="433" t="str">
        <f>IFERROR(VLOOKUP(AW43,ListAndConversion!$F$3:$O$386,10,0),"-")</f>
        <v>-</v>
      </c>
      <c r="BA43" s="433" t="e">
        <f t="shared" si="35"/>
        <v>#DIV/0!</v>
      </c>
      <c r="BB43" s="433" t="str">
        <f t="shared" si="36"/>
        <v>-</v>
      </c>
      <c r="BC43" s="433" t="str">
        <f t="shared" si="37"/>
        <v/>
      </c>
    </row>
    <row r="44" spans="1:55" ht="14.25" x14ac:dyDescent="0.65">
      <c r="A44" s="407">
        <v>36</v>
      </c>
      <c r="B44" s="408" t="str">
        <f t="shared" ca="1" si="2"/>
        <v/>
      </c>
      <c r="C44" s="408" t="str">
        <f ca="1">IFERROR(IF(G44="","",CONCATENATE(E44,"-",INDEX(Coordinate,MATCH(F44,ListAndConversion!$X$4:$X$99,0),2))),"")</f>
        <v/>
      </c>
      <c r="D44" s="408" t="str">
        <f t="shared" ca="1" si="30"/>
        <v/>
      </c>
      <c r="E44" s="408" t="str">
        <f t="shared" ca="1" si="30"/>
        <v/>
      </c>
      <c r="F44" s="408" t="str">
        <f t="shared" ca="1" si="30"/>
        <v/>
      </c>
      <c r="G44" s="408" t="str">
        <f ca="1">IFERROR(INDEX(ListAndConversion!A:B,MATCH(Calculation!E44,ListAndConversion!A:A,0),2),"")</f>
        <v/>
      </c>
      <c r="H44" s="408" t="str">
        <f>IF(TrackIT_Lines!AD36="","",TrackIT_Lines!AD36)</f>
        <v/>
      </c>
      <c r="I44" s="408" t="str">
        <f>IF(TrackIT_Lines!AD36="","",CONCATENATE(TrackIT_Lines!AD36,"-",TrackIT_Lines!AG36))</f>
        <v/>
      </c>
      <c r="J44" s="409" t="str">
        <f t="shared" ca="1" si="34"/>
        <v/>
      </c>
      <c r="K44" s="408" t="str">
        <f t="shared" ca="1" si="34"/>
        <v/>
      </c>
      <c r="L44" s="408" t="str">
        <f t="shared" ca="1" si="34"/>
        <v/>
      </c>
      <c r="M44" s="408" t="str">
        <f t="shared" ca="1" si="34"/>
        <v/>
      </c>
      <c r="N44" s="408" t="str">
        <f t="shared" ca="1" si="34"/>
        <v/>
      </c>
      <c r="O44" s="408" t="str">
        <f t="shared" ca="1" si="34"/>
        <v/>
      </c>
      <c r="P44" s="408" t="str">
        <f t="shared" ca="1" si="34"/>
        <v/>
      </c>
      <c r="Q44" s="408" t="str">
        <f t="shared" ca="1" si="34"/>
        <v/>
      </c>
      <c r="R44" s="410" t="str">
        <f ca="1">Cluster!J63</f>
        <v>Selection</v>
      </c>
      <c r="S44" s="411" t="str">
        <f t="shared" ca="1" si="5"/>
        <v>-</v>
      </c>
      <c r="T44" s="412" t="str">
        <f t="shared" ca="1" si="6"/>
        <v/>
      </c>
      <c r="U44" s="411" t="str">
        <f t="shared" ca="1" si="7"/>
        <v>-</v>
      </c>
      <c r="V44" s="411" t="str">
        <f t="shared" ca="1" si="8"/>
        <v>-</v>
      </c>
      <c r="W44" s="413">
        <f>Cluster!N63</f>
        <v>0</v>
      </c>
      <c r="X44" s="414" t="str">
        <f t="shared" ca="1" si="9"/>
        <v>-</v>
      </c>
      <c r="Y44" s="411" t="str">
        <f t="shared" ca="1" si="10"/>
        <v>-</v>
      </c>
      <c r="Z44" s="415" t="str">
        <f t="shared" ca="1" si="11"/>
        <v>-</v>
      </c>
      <c r="AA44" s="416" t="str">
        <f t="shared" ca="1" si="12"/>
        <v>-</v>
      </c>
      <c r="AB44" s="416" t="str">
        <f t="shared" ca="1" si="13"/>
        <v/>
      </c>
      <c r="AC44" s="434">
        <f>Cluster!Q63</f>
        <v>0</v>
      </c>
      <c r="AD44" s="435" t="str">
        <f t="shared" ca="1" si="32"/>
        <v/>
      </c>
      <c r="AE44" s="436" t="str">
        <f t="shared" ca="1" si="32"/>
        <v/>
      </c>
      <c r="AF44" s="437" t="str">
        <f t="shared" ca="1" si="15"/>
        <v>-</v>
      </c>
      <c r="AG44" s="438" t="str">
        <f t="shared" ca="1" si="16"/>
        <v>-</v>
      </c>
      <c r="AH44" s="437" t="str">
        <f t="shared" ca="1" si="17"/>
        <v>-</v>
      </c>
      <c r="AI44" s="438" t="str">
        <f t="shared" ca="1" si="18"/>
        <v>-</v>
      </c>
      <c r="AJ44" s="438" t="str">
        <f t="shared" ca="1" si="19"/>
        <v>-</v>
      </c>
      <c r="AK44" s="439" t="str">
        <f ca="1">IFERROR(AE44*AD44*AL44/(IF(Cluster!AA63=Cluster!$W$8,Cluster!$W$10,IF(Cluster!AA63=Cluster!$X$8,Cluster!$X$10,IF(Cluster!AA63=Cluster!$Y$8,Cluster!$Y$10,0)))*10^3),"-")</f>
        <v>-</v>
      </c>
      <c r="AL44" s="440" t="str">
        <f ca="1">IFERROR(IF(OR(Calculation!T44&lt;(Calculation!$U$8+2),Calculation!AC44="Bypass"),IF((IF(Calculation!$O$6/((Calculation!AD44*10^-12)/(Calculation!T44*10^-9)*50)&lt;=1,1,ROUNDUP(Calculation!$O$6/((Calculation!AD44*10^-12)/(Calculation!T44*10^-9)*50),0))*50)&lt;Calculation!$AK$6,Calculation!$AK$6,IF(Calculation!$O$6/((Calculation!AD44*10^-12)/(Calculation!T44*10^-9)*50)&lt;=1,1,ROUNDUP(Calculation!$O$6/((Calculation!AD44*10^-12)/(Calculation!T44*10^-9)*50),0))*50),"-"),"-")</f>
        <v>-</v>
      </c>
      <c r="AM44" s="441" t="str">
        <f t="shared" ca="1" si="33"/>
        <v/>
      </c>
      <c r="AN44" s="442" t="str">
        <f t="shared" ca="1" si="33"/>
        <v/>
      </c>
      <c r="AO44" s="432">
        <f t="shared" ca="1" si="21"/>
        <v>384</v>
      </c>
      <c r="AP44" s="427" t="str">
        <f t="shared" ca="1" si="22"/>
        <v>-</v>
      </c>
      <c r="AQ44" s="443" t="str">
        <f t="shared" ca="1" si="23"/>
        <v>-</v>
      </c>
      <c r="AR44" s="444" t="str">
        <f t="shared" ca="1" si="24"/>
        <v>-</v>
      </c>
      <c r="AS44" s="430" t="str">
        <f t="shared" ca="1" si="25"/>
        <v>-</v>
      </c>
      <c r="AT44" s="431"/>
      <c r="AU44" s="431"/>
      <c r="AV44" s="432">
        <v>35</v>
      </c>
      <c r="AW44" s="433" t="e">
        <f>ListAndConversion!S37</f>
        <v>#DIV/0!</v>
      </c>
      <c r="AX44" s="432" t="e">
        <f>IF(AW44="-","-",IF(COUNTIF(ListAndConversion!$F$3:$M$386,Calculation!AW44)=0,"Missing Lane","OK"))</f>
        <v>#DIV/0!</v>
      </c>
      <c r="AY44" s="433" t="str">
        <f>IFERROR(VLOOKUP(AW44,ListAndConversion!$F$3:$O$386,9,0),"-")</f>
        <v>-</v>
      </c>
      <c r="AZ44" s="433" t="str">
        <f>IFERROR(VLOOKUP(AW44,ListAndConversion!$F$3:$O$386,10,0),"-")</f>
        <v>-</v>
      </c>
      <c r="BA44" s="433" t="e">
        <f t="shared" si="35"/>
        <v>#DIV/0!</v>
      </c>
      <c r="BB44" s="433" t="str">
        <f t="shared" si="36"/>
        <v>-</v>
      </c>
      <c r="BC44" s="433" t="str">
        <f t="shared" si="37"/>
        <v/>
      </c>
    </row>
    <row r="45" spans="1:55" ht="14.25" x14ac:dyDescent="0.65">
      <c r="A45" s="407">
        <v>37</v>
      </c>
      <c r="B45" s="408" t="str">
        <f t="shared" ca="1" si="2"/>
        <v/>
      </c>
      <c r="C45" s="408" t="str">
        <f ca="1">IFERROR(IF(G45="","",CONCATENATE(E45,"-",INDEX(Coordinate,MATCH(F45,ListAndConversion!$X$4:$X$99,0),2))),"")</f>
        <v/>
      </c>
      <c r="D45" s="408" t="str">
        <f t="shared" ca="1" si="30"/>
        <v/>
      </c>
      <c r="E45" s="408" t="str">
        <f t="shared" ca="1" si="30"/>
        <v/>
      </c>
      <c r="F45" s="408" t="str">
        <f t="shared" ca="1" si="30"/>
        <v/>
      </c>
      <c r="G45" s="408" t="str">
        <f ca="1">IFERROR(INDEX(ListAndConversion!A:B,MATCH(Calculation!E45,ListAndConversion!A:A,0),2),"")</f>
        <v/>
      </c>
      <c r="H45" s="408" t="str">
        <f>IF(TrackIT_Lines!AD37="","",TrackIT_Lines!AD37)</f>
        <v/>
      </c>
      <c r="I45" s="408" t="str">
        <f>IF(TrackIT_Lines!AD37="","",CONCATENATE(TrackIT_Lines!AD37,"-",TrackIT_Lines!AG37))</f>
        <v/>
      </c>
      <c r="J45" s="409" t="str">
        <f t="shared" ca="1" si="34"/>
        <v/>
      </c>
      <c r="K45" s="408" t="str">
        <f t="shared" ca="1" si="34"/>
        <v/>
      </c>
      <c r="L45" s="408" t="str">
        <f t="shared" ca="1" si="34"/>
        <v/>
      </c>
      <c r="M45" s="408" t="str">
        <f t="shared" ca="1" si="34"/>
        <v/>
      </c>
      <c r="N45" s="408" t="str">
        <f t="shared" ca="1" si="34"/>
        <v/>
      </c>
      <c r="O45" s="408" t="str">
        <f t="shared" ca="1" si="34"/>
        <v/>
      </c>
      <c r="P45" s="408" t="str">
        <f t="shared" ca="1" si="34"/>
        <v/>
      </c>
      <c r="Q45" s="408" t="str">
        <f t="shared" ca="1" si="34"/>
        <v/>
      </c>
      <c r="R45" s="410" t="str">
        <f ca="1">Cluster!J64</f>
        <v>Selection</v>
      </c>
      <c r="S45" s="411" t="str">
        <f t="shared" ca="1" si="5"/>
        <v>-</v>
      </c>
      <c r="T45" s="412" t="str">
        <f t="shared" ca="1" si="6"/>
        <v/>
      </c>
      <c r="U45" s="411" t="str">
        <f t="shared" ca="1" si="7"/>
        <v>-</v>
      </c>
      <c r="V45" s="411" t="str">
        <f t="shared" ca="1" si="8"/>
        <v>-</v>
      </c>
      <c r="W45" s="413">
        <f>Cluster!N64</f>
        <v>0</v>
      </c>
      <c r="X45" s="414" t="str">
        <f t="shared" ca="1" si="9"/>
        <v>-</v>
      </c>
      <c r="Y45" s="411" t="str">
        <f t="shared" ca="1" si="10"/>
        <v>-</v>
      </c>
      <c r="Z45" s="415" t="str">
        <f t="shared" ca="1" si="11"/>
        <v>-</v>
      </c>
      <c r="AA45" s="416" t="str">
        <f t="shared" ca="1" si="12"/>
        <v>-</v>
      </c>
      <c r="AB45" s="416" t="str">
        <f t="shared" ca="1" si="13"/>
        <v/>
      </c>
      <c r="AC45" s="434">
        <f>Cluster!Q64</f>
        <v>0</v>
      </c>
      <c r="AD45" s="435" t="str">
        <f t="shared" ca="1" si="32"/>
        <v/>
      </c>
      <c r="AE45" s="436" t="str">
        <f t="shared" ca="1" si="32"/>
        <v/>
      </c>
      <c r="AF45" s="437" t="str">
        <f t="shared" ca="1" si="15"/>
        <v>-</v>
      </c>
      <c r="AG45" s="438" t="str">
        <f t="shared" ca="1" si="16"/>
        <v>-</v>
      </c>
      <c r="AH45" s="437" t="str">
        <f t="shared" ca="1" si="17"/>
        <v>-</v>
      </c>
      <c r="AI45" s="438" t="str">
        <f t="shared" ca="1" si="18"/>
        <v>-</v>
      </c>
      <c r="AJ45" s="438" t="str">
        <f t="shared" ca="1" si="19"/>
        <v>-</v>
      </c>
      <c r="AK45" s="439" t="str">
        <f ca="1">IFERROR(AE45*AD45*AL45/(IF(Cluster!AA64=Cluster!$W$8,Cluster!$W$10,IF(Cluster!AA64=Cluster!$X$8,Cluster!$X$10,IF(Cluster!AA64=Cluster!$Y$8,Cluster!$Y$10,0)))*10^3),"-")</f>
        <v>-</v>
      </c>
      <c r="AL45" s="440" t="str">
        <f ca="1">IFERROR(IF(OR(Calculation!T45&lt;(Calculation!$U$8+2),Calculation!AC45="Bypass"),IF((IF(Calculation!$O$6/((Calculation!AD45*10^-12)/(Calculation!T45*10^-9)*50)&lt;=1,1,ROUNDUP(Calculation!$O$6/((Calculation!AD45*10^-12)/(Calculation!T45*10^-9)*50),0))*50)&lt;Calculation!$AK$6,Calculation!$AK$6,IF(Calculation!$O$6/((Calculation!AD45*10^-12)/(Calculation!T45*10^-9)*50)&lt;=1,1,ROUNDUP(Calculation!$O$6/((Calculation!AD45*10^-12)/(Calculation!T45*10^-9)*50),0))*50),"-"),"-")</f>
        <v>-</v>
      </c>
      <c r="AM45" s="441" t="str">
        <f t="shared" ca="1" si="33"/>
        <v/>
      </c>
      <c r="AN45" s="442" t="str">
        <f t="shared" ca="1" si="33"/>
        <v/>
      </c>
      <c r="AO45" s="432">
        <f t="shared" ca="1" si="21"/>
        <v>384</v>
      </c>
      <c r="AP45" s="427" t="str">
        <f t="shared" ca="1" si="22"/>
        <v>-</v>
      </c>
      <c r="AQ45" s="443" t="str">
        <f t="shared" ca="1" si="23"/>
        <v>-</v>
      </c>
      <c r="AR45" s="444" t="str">
        <f t="shared" ca="1" si="24"/>
        <v>-</v>
      </c>
      <c r="AS45" s="430" t="str">
        <f t="shared" ca="1" si="25"/>
        <v>-</v>
      </c>
      <c r="AT45" s="431"/>
      <c r="AU45" s="431"/>
      <c r="AV45" s="432">
        <v>36</v>
      </c>
      <c r="AW45" s="433" t="e">
        <f>ListAndConversion!S38</f>
        <v>#DIV/0!</v>
      </c>
      <c r="AX45" s="432" t="e">
        <f>IF(AW45="-","-",IF(COUNTIF(ListAndConversion!$F$3:$M$386,Calculation!AW45)=0,"Missing Lane","OK"))</f>
        <v>#DIV/0!</v>
      </c>
      <c r="AY45" s="433" t="str">
        <f>IFERROR(VLOOKUP(AW45,ListAndConversion!$F$3:$O$386,9,0),"-")</f>
        <v>-</v>
      </c>
      <c r="AZ45" s="433" t="str">
        <f>IFERROR(VLOOKUP(AW45,ListAndConversion!$F$3:$O$386,10,0),"-")</f>
        <v>-</v>
      </c>
      <c r="BA45" s="433" t="e">
        <f t="shared" si="35"/>
        <v>#DIV/0!</v>
      </c>
      <c r="BB45" s="433" t="str">
        <f t="shared" si="36"/>
        <v>-</v>
      </c>
      <c r="BC45" s="433" t="str">
        <f t="shared" si="37"/>
        <v/>
      </c>
    </row>
    <row r="46" spans="1:55" ht="14.25" x14ac:dyDescent="0.65">
      <c r="A46" s="407">
        <v>38</v>
      </c>
      <c r="B46" s="408" t="str">
        <f t="shared" ca="1" si="2"/>
        <v/>
      </c>
      <c r="C46" s="408" t="str">
        <f ca="1">IFERROR(IF(G46="","",CONCATENATE(E46,"-",INDEX(Coordinate,MATCH(F46,ListAndConversion!$X$4:$X$99,0),2))),"")</f>
        <v/>
      </c>
      <c r="D46" s="408" t="str">
        <f t="shared" ca="1" si="30"/>
        <v/>
      </c>
      <c r="E46" s="408" t="str">
        <f t="shared" ca="1" si="30"/>
        <v/>
      </c>
      <c r="F46" s="408" t="str">
        <f t="shared" ca="1" si="30"/>
        <v/>
      </c>
      <c r="G46" s="408" t="str">
        <f ca="1">IFERROR(INDEX(ListAndConversion!A:B,MATCH(Calculation!E46,ListAndConversion!A:A,0),2),"")</f>
        <v/>
      </c>
      <c r="H46" s="408" t="str">
        <f>IF(TrackIT_Lines!AD38="","",TrackIT_Lines!AD38)</f>
        <v/>
      </c>
      <c r="I46" s="408" t="str">
        <f>IF(TrackIT_Lines!AD38="","",CONCATENATE(TrackIT_Lines!AD38,"-",TrackIT_Lines!AG38))</f>
        <v/>
      </c>
      <c r="J46" s="409" t="str">
        <f t="shared" ca="1" si="34"/>
        <v/>
      </c>
      <c r="K46" s="408" t="str">
        <f t="shared" ca="1" si="34"/>
        <v/>
      </c>
      <c r="L46" s="408" t="str">
        <f t="shared" ca="1" si="34"/>
        <v/>
      </c>
      <c r="M46" s="408" t="str">
        <f t="shared" ca="1" si="34"/>
        <v/>
      </c>
      <c r="N46" s="408" t="str">
        <f t="shared" ca="1" si="34"/>
        <v/>
      </c>
      <c r="O46" s="408" t="str">
        <f t="shared" ca="1" si="34"/>
        <v/>
      </c>
      <c r="P46" s="408" t="str">
        <f t="shared" ca="1" si="34"/>
        <v/>
      </c>
      <c r="Q46" s="408" t="str">
        <f t="shared" ca="1" si="34"/>
        <v/>
      </c>
      <c r="R46" s="410" t="str">
        <f ca="1">Cluster!J65</f>
        <v>Selection</v>
      </c>
      <c r="S46" s="411" t="str">
        <f t="shared" ca="1" si="5"/>
        <v>-</v>
      </c>
      <c r="T46" s="412" t="str">
        <f t="shared" ca="1" si="6"/>
        <v/>
      </c>
      <c r="U46" s="411" t="str">
        <f t="shared" ca="1" si="7"/>
        <v>-</v>
      </c>
      <c r="V46" s="411" t="str">
        <f t="shared" ca="1" si="8"/>
        <v>-</v>
      </c>
      <c r="W46" s="413">
        <f>Cluster!N65</f>
        <v>0</v>
      </c>
      <c r="X46" s="414" t="str">
        <f t="shared" ca="1" si="9"/>
        <v>-</v>
      </c>
      <c r="Y46" s="411" t="str">
        <f t="shared" ca="1" si="10"/>
        <v>-</v>
      </c>
      <c r="Z46" s="415" t="str">
        <f t="shared" ca="1" si="11"/>
        <v>-</v>
      </c>
      <c r="AA46" s="416" t="str">
        <f t="shared" ca="1" si="12"/>
        <v>-</v>
      </c>
      <c r="AB46" s="416" t="str">
        <f t="shared" ca="1" si="13"/>
        <v/>
      </c>
      <c r="AC46" s="434">
        <f>Cluster!Q65</f>
        <v>0</v>
      </c>
      <c r="AD46" s="435" t="str">
        <f t="shared" ca="1" si="32"/>
        <v/>
      </c>
      <c r="AE46" s="436" t="str">
        <f t="shared" ca="1" si="32"/>
        <v/>
      </c>
      <c r="AF46" s="437" t="str">
        <f t="shared" ca="1" si="15"/>
        <v>-</v>
      </c>
      <c r="AG46" s="438" t="str">
        <f t="shared" ca="1" si="16"/>
        <v>-</v>
      </c>
      <c r="AH46" s="437" t="str">
        <f t="shared" ca="1" si="17"/>
        <v>-</v>
      </c>
      <c r="AI46" s="438" t="str">
        <f t="shared" ca="1" si="18"/>
        <v>-</v>
      </c>
      <c r="AJ46" s="438" t="str">
        <f t="shared" ca="1" si="19"/>
        <v>-</v>
      </c>
      <c r="AK46" s="439" t="str">
        <f ca="1">IFERROR(AE46*AD46*AL46/(IF(Cluster!AA65=Cluster!$W$8,Cluster!$W$10,IF(Cluster!AA65=Cluster!$X$8,Cluster!$X$10,IF(Cluster!AA65=Cluster!$Y$8,Cluster!$Y$10,0)))*10^3),"-")</f>
        <v>-</v>
      </c>
      <c r="AL46" s="440" t="str">
        <f ca="1">IFERROR(IF(OR(Calculation!T46&lt;(Calculation!$U$8+2),Calculation!AC46="Bypass"),IF((IF(Calculation!$O$6/((Calculation!AD46*10^-12)/(Calculation!T46*10^-9)*50)&lt;=1,1,ROUNDUP(Calculation!$O$6/((Calculation!AD46*10^-12)/(Calculation!T46*10^-9)*50),0))*50)&lt;Calculation!$AK$6,Calculation!$AK$6,IF(Calculation!$O$6/((Calculation!AD46*10^-12)/(Calculation!T46*10^-9)*50)&lt;=1,1,ROUNDUP(Calculation!$O$6/((Calculation!AD46*10^-12)/(Calculation!T46*10^-9)*50),0))*50),"-"),"-")</f>
        <v>-</v>
      </c>
      <c r="AM46" s="441" t="str">
        <f t="shared" ca="1" si="33"/>
        <v/>
      </c>
      <c r="AN46" s="442" t="str">
        <f t="shared" ca="1" si="33"/>
        <v/>
      </c>
      <c r="AO46" s="432">
        <f t="shared" ca="1" si="21"/>
        <v>384</v>
      </c>
      <c r="AP46" s="427" t="str">
        <f t="shared" ca="1" si="22"/>
        <v>-</v>
      </c>
      <c r="AQ46" s="443" t="str">
        <f t="shared" ca="1" si="23"/>
        <v>-</v>
      </c>
      <c r="AR46" s="444" t="str">
        <f t="shared" ca="1" si="24"/>
        <v>-</v>
      </c>
      <c r="AS46" s="430" t="str">
        <f t="shared" ca="1" si="25"/>
        <v>-</v>
      </c>
      <c r="AT46" s="431"/>
      <c r="AU46" s="431"/>
      <c r="AV46" s="432">
        <v>37</v>
      </c>
      <c r="AW46" s="433" t="e">
        <f>ListAndConversion!S39</f>
        <v>#DIV/0!</v>
      </c>
      <c r="AX46" s="432" t="e">
        <f>IF(AW46="-","-",IF(COUNTIF(ListAndConversion!$F$3:$M$386,Calculation!AW46)=0,"Missing Lane","OK"))</f>
        <v>#DIV/0!</v>
      </c>
      <c r="AY46" s="433" t="str">
        <f>IFERROR(VLOOKUP(AW46,ListAndConversion!$F$3:$O$386,9,0),"-")</f>
        <v>-</v>
      </c>
      <c r="AZ46" s="433" t="str">
        <f>IFERROR(VLOOKUP(AW46,ListAndConversion!$F$3:$O$386,10,0),"-")</f>
        <v>-</v>
      </c>
      <c r="BA46" s="433" t="e">
        <f t="shared" si="35"/>
        <v>#DIV/0!</v>
      </c>
      <c r="BB46" s="433" t="str">
        <f t="shared" si="36"/>
        <v>-</v>
      </c>
      <c r="BC46" s="433" t="str">
        <f t="shared" si="37"/>
        <v/>
      </c>
    </row>
    <row r="47" spans="1:55" ht="14.25" x14ac:dyDescent="0.65">
      <c r="A47" s="407">
        <v>39</v>
      </c>
      <c r="B47" s="408" t="str">
        <f t="shared" ca="1" si="2"/>
        <v/>
      </c>
      <c r="C47" s="408" t="str">
        <f ca="1">IFERROR(IF(G47="","",CONCATENATE(E47,"-",INDEX(Coordinate,MATCH(F47,ListAndConversion!$X$4:$X$99,0),2))),"")</f>
        <v/>
      </c>
      <c r="D47" s="408" t="str">
        <f t="shared" ca="1" si="30"/>
        <v/>
      </c>
      <c r="E47" s="408" t="str">
        <f t="shared" ca="1" si="30"/>
        <v/>
      </c>
      <c r="F47" s="408" t="str">
        <f t="shared" ca="1" si="30"/>
        <v/>
      </c>
      <c r="G47" s="408" t="str">
        <f ca="1">IFERROR(INDEX(ListAndConversion!A:B,MATCH(Calculation!E47,ListAndConversion!A:A,0),2),"")</f>
        <v/>
      </c>
      <c r="H47" s="408" t="str">
        <f>IF(TrackIT_Lines!AD39="","",TrackIT_Lines!AD39)</f>
        <v/>
      </c>
      <c r="I47" s="408" t="str">
        <f>IF(TrackIT_Lines!AD39="","",CONCATENATE(TrackIT_Lines!AD39,"-",TrackIT_Lines!AG39))</f>
        <v/>
      </c>
      <c r="J47" s="409" t="str">
        <f t="shared" ca="1" si="34"/>
        <v/>
      </c>
      <c r="K47" s="408" t="str">
        <f t="shared" ca="1" si="34"/>
        <v/>
      </c>
      <c r="L47" s="408" t="str">
        <f t="shared" ca="1" si="34"/>
        <v/>
      </c>
      <c r="M47" s="408" t="str">
        <f t="shared" ca="1" si="34"/>
        <v/>
      </c>
      <c r="N47" s="408" t="str">
        <f t="shared" ca="1" si="34"/>
        <v/>
      </c>
      <c r="O47" s="408" t="str">
        <f t="shared" ca="1" si="34"/>
        <v/>
      </c>
      <c r="P47" s="408" t="str">
        <f t="shared" ca="1" si="34"/>
        <v/>
      </c>
      <c r="Q47" s="408" t="str">
        <f t="shared" ca="1" si="34"/>
        <v/>
      </c>
      <c r="R47" s="410" t="str">
        <f ca="1">Cluster!J66</f>
        <v>Selection</v>
      </c>
      <c r="S47" s="411" t="str">
        <f t="shared" ca="1" si="5"/>
        <v>-</v>
      </c>
      <c r="T47" s="412" t="str">
        <f t="shared" ca="1" si="6"/>
        <v/>
      </c>
      <c r="U47" s="411" t="str">
        <f t="shared" ca="1" si="7"/>
        <v>-</v>
      </c>
      <c r="V47" s="411" t="str">
        <f t="shared" ca="1" si="8"/>
        <v>-</v>
      </c>
      <c r="W47" s="413">
        <f>Cluster!N66</f>
        <v>0</v>
      </c>
      <c r="X47" s="414" t="str">
        <f t="shared" ca="1" si="9"/>
        <v>-</v>
      </c>
      <c r="Y47" s="411" t="str">
        <f t="shared" ca="1" si="10"/>
        <v>-</v>
      </c>
      <c r="Z47" s="415" t="str">
        <f t="shared" ca="1" si="11"/>
        <v>-</v>
      </c>
      <c r="AA47" s="416" t="str">
        <f t="shared" ca="1" si="12"/>
        <v>-</v>
      </c>
      <c r="AB47" s="416" t="str">
        <f t="shared" ca="1" si="13"/>
        <v/>
      </c>
      <c r="AC47" s="434">
        <f>Cluster!Q66</f>
        <v>0</v>
      </c>
      <c r="AD47" s="435" t="str">
        <f t="shared" ca="1" si="32"/>
        <v/>
      </c>
      <c r="AE47" s="436" t="str">
        <f t="shared" ca="1" si="32"/>
        <v/>
      </c>
      <c r="AF47" s="437" t="str">
        <f t="shared" ca="1" si="15"/>
        <v>-</v>
      </c>
      <c r="AG47" s="438" t="str">
        <f t="shared" ca="1" si="16"/>
        <v>-</v>
      </c>
      <c r="AH47" s="437" t="str">
        <f t="shared" ca="1" si="17"/>
        <v>-</v>
      </c>
      <c r="AI47" s="438" t="str">
        <f t="shared" ca="1" si="18"/>
        <v>-</v>
      </c>
      <c r="AJ47" s="438" t="str">
        <f t="shared" ca="1" si="19"/>
        <v>-</v>
      </c>
      <c r="AK47" s="439" t="str">
        <f ca="1">IFERROR(AE47*AD47*AL47/(IF(Cluster!AA66=Cluster!$W$8,Cluster!$W$10,IF(Cluster!AA66=Cluster!$X$8,Cluster!$X$10,IF(Cluster!AA66=Cluster!$Y$8,Cluster!$Y$10,0)))*10^3),"-")</f>
        <v>-</v>
      </c>
      <c r="AL47" s="440" t="str">
        <f ca="1">IFERROR(IF(OR(Calculation!T47&lt;(Calculation!$U$8+2),Calculation!AC47="Bypass"),IF((IF(Calculation!$O$6/((Calculation!AD47*10^-12)/(Calculation!T47*10^-9)*50)&lt;=1,1,ROUNDUP(Calculation!$O$6/((Calculation!AD47*10^-12)/(Calculation!T47*10^-9)*50),0))*50)&lt;Calculation!$AK$6,Calculation!$AK$6,IF(Calculation!$O$6/((Calculation!AD47*10^-12)/(Calculation!T47*10^-9)*50)&lt;=1,1,ROUNDUP(Calculation!$O$6/((Calculation!AD47*10^-12)/(Calculation!T47*10^-9)*50),0))*50),"-"),"-")</f>
        <v>-</v>
      </c>
      <c r="AM47" s="441" t="str">
        <f t="shared" ca="1" si="33"/>
        <v/>
      </c>
      <c r="AN47" s="442" t="str">
        <f t="shared" ca="1" si="33"/>
        <v/>
      </c>
      <c r="AO47" s="432">
        <f t="shared" ca="1" si="21"/>
        <v>384</v>
      </c>
      <c r="AP47" s="427" t="str">
        <f t="shared" ca="1" si="22"/>
        <v>-</v>
      </c>
      <c r="AQ47" s="443" t="str">
        <f t="shared" ca="1" si="23"/>
        <v>-</v>
      </c>
      <c r="AR47" s="444" t="str">
        <f t="shared" ca="1" si="24"/>
        <v>-</v>
      </c>
      <c r="AS47" s="430" t="str">
        <f t="shared" ca="1" si="25"/>
        <v>-</v>
      </c>
      <c r="AT47" s="431"/>
      <c r="AU47" s="431"/>
      <c r="AV47" s="432">
        <v>38</v>
      </c>
      <c r="AW47" s="433" t="e">
        <f>ListAndConversion!S40</f>
        <v>#DIV/0!</v>
      </c>
      <c r="AX47" s="432" t="e">
        <f>IF(AW47="-","-",IF(COUNTIF(ListAndConversion!$F$3:$M$386,Calculation!AW47)=0,"Missing Lane","OK"))</f>
        <v>#DIV/0!</v>
      </c>
      <c r="AY47" s="433" t="str">
        <f>IFERROR(VLOOKUP(AW47,ListAndConversion!$F$3:$O$386,9,0),"-")</f>
        <v>-</v>
      </c>
      <c r="AZ47" s="433" t="str">
        <f>IFERROR(VLOOKUP(AW47,ListAndConversion!$F$3:$O$386,10,0),"-")</f>
        <v>-</v>
      </c>
      <c r="BA47" s="433" t="e">
        <f t="shared" si="35"/>
        <v>#DIV/0!</v>
      </c>
      <c r="BB47" s="433" t="str">
        <f t="shared" si="36"/>
        <v>-</v>
      </c>
      <c r="BC47" s="433" t="str">
        <f t="shared" si="37"/>
        <v/>
      </c>
    </row>
    <row r="48" spans="1:55" ht="14.25" x14ac:dyDescent="0.65">
      <c r="A48" s="407">
        <v>40</v>
      </c>
      <c r="B48" s="408" t="str">
        <f t="shared" ca="1" si="2"/>
        <v/>
      </c>
      <c r="C48" s="408" t="str">
        <f ca="1">IFERROR(IF(G48="","",CONCATENATE(E48,"-",INDEX(Coordinate,MATCH(F48,ListAndConversion!$X$4:$X$99,0),2))),"")</f>
        <v/>
      </c>
      <c r="D48" s="408" t="str">
        <f t="shared" ca="1" si="30"/>
        <v/>
      </c>
      <c r="E48" s="408" t="str">
        <f t="shared" ca="1" si="30"/>
        <v/>
      </c>
      <c r="F48" s="408" t="str">
        <f t="shared" ca="1" si="30"/>
        <v/>
      </c>
      <c r="G48" s="408" t="str">
        <f ca="1">IFERROR(INDEX(ListAndConversion!A:B,MATCH(Calculation!E48,ListAndConversion!A:A,0),2),"")</f>
        <v/>
      </c>
      <c r="H48" s="408" t="str">
        <f>IF(TrackIT_Lines!AD40="","",TrackIT_Lines!AD40)</f>
        <v/>
      </c>
      <c r="I48" s="408" t="str">
        <f>IF(TrackIT_Lines!AD40="","",CONCATENATE(TrackIT_Lines!AD40,"-",TrackIT_Lines!AG40))</f>
        <v/>
      </c>
      <c r="J48" s="409" t="str">
        <f t="shared" ca="1" si="34"/>
        <v/>
      </c>
      <c r="K48" s="408" t="str">
        <f t="shared" ca="1" si="34"/>
        <v/>
      </c>
      <c r="L48" s="408" t="str">
        <f t="shared" ca="1" si="34"/>
        <v/>
      </c>
      <c r="M48" s="408" t="str">
        <f t="shared" ca="1" si="34"/>
        <v/>
      </c>
      <c r="N48" s="408" t="str">
        <f t="shared" ca="1" si="34"/>
        <v/>
      </c>
      <c r="O48" s="408" t="str">
        <f t="shared" ca="1" si="34"/>
        <v/>
      </c>
      <c r="P48" s="408" t="str">
        <f t="shared" ca="1" si="34"/>
        <v/>
      </c>
      <c r="Q48" s="408" t="str">
        <f t="shared" ca="1" si="34"/>
        <v/>
      </c>
      <c r="R48" s="410" t="str">
        <f ca="1">Cluster!J67</f>
        <v>Selection</v>
      </c>
      <c r="S48" s="411" t="str">
        <f t="shared" ca="1" si="5"/>
        <v>-</v>
      </c>
      <c r="T48" s="412" t="str">
        <f t="shared" ca="1" si="6"/>
        <v/>
      </c>
      <c r="U48" s="411" t="str">
        <f t="shared" ca="1" si="7"/>
        <v>-</v>
      </c>
      <c r="V48" s="411" t="str">
        <f t="shared" ca="1" si="8"/>
        <v>-</v>
      </c>
      <c r="W48" s="413">
        <f>Cluster!N67</f>
        <v>0</v>
      </c>
      <c r="X48" s="414" t="str">
        <f t="shared" ca="1" si="9"/>
        <v>-</v>
      </c>
      <c r="Y48" s="411" t="str">
        <f t="shared" ca="1" si="10"/>
        <v>-</v>
      </c>
      <c r="Z48" s="415" t="str">
        <f t="shared" ca="1" si="11"/>
        <v>-</v>
      </c>
      <c r="AA48" s="416" t="str">
        <f t="shared" ca="1" si="12"/>
        <v>-</v>
      </c>
      <c r="AB48" s="416" t="str">
        <f t="shared" ca="1" si="13"/>
        <v/>
      </c>
      <c r="AC48" s="434">
        <f>Cluster!Q67</f>
        <v>0</v>
      </c>
      <c r="AD48" s="435" t="str">
        <f t="shared" ca="1" si="32"/>
        <v/>
      </c>
      <c r="AE48" s="436" t="str">
        <f t="shared" ca="1" si="32"/>
        <v/>
      </c>
      <c r="AF48" s="437" t="str">
        <f t="shared" ca="1" si="15"/>
        <v>-</v>
      </c>
      <c r="AG48" s="438" t="str">
        <f t="shared" ca="1" si="16"/>
        <v>-</v>
      </c>
      <c r="AH48" s="437" t="str">
        <f t="shared" ca="1" si="17"/>
        <v>-</v>
      </c>
      <c r="AI48" s="438" t="str">
        <f t="shared" ca="1" si="18"/>
        <v>-</v>
      </c>
      <c r="AJ48" s="438" t="str">
        <f t="shared" ca="1" si="19"/>
        <v>-</v>
      </c>
      <c r="AK48" s="439" t="str">
        <f ca="1">IFERROR(AE48*AD48*AL48/(IF(Cluster!AA67=Cluster!$W$8,Cluster!$W$10,IF(Cluster!AA67=Cluster!$X$8,Cluster!$X$10,IF(Cluster!AA67=Cluster!$Y$8,Cluster!$Y$10,0)))*10^3),"-")</f>
        <v>-</v>
      </c>
      <c r="AL48" s="440" t="str">
        <f ca="1">IFERROR(IF(OR(Calculation!T48&lt;(Calculation!$U$8+2),Calculation!AC48="Bypass"),IF((IF(Calculation!$O$6/((Calculation!AD48*10^-12)/(Calculation!T48*10^-9)*50)&lt;=1,1,ROUNDUP(Calculation!$O$6/((Calculation!AD48*10^-12)/(Calculation!T48*10^-9)*50),0))*50)&lt;Calculation!$AK$6,Calculation!$AK$6,IF(Calculation!$O$6/((Calculation!AD48*10^-12)/(Calculation!T48*10^-9)*50)&lt;=1,1,ROUNDUP(Calculation!$O$6/((Calculation!AD48*10^-12)/(Calculation!T48*10^-9)*50),0))*50),"-"),"-")</f>
        <v>-</v>
      </c>
      <c r="AM48" s="441" t="str">
        <f t="shared" ca="1" si="33"/>
        <v/>
      </c>
      <c r="AN48" s="442" t="str">
        <f t="shared" ca="1" si="33"/>
        <v/>
      </c>
      <c r="AO48" s="432">
        <f t="shared" ca="1" si="21"/>
        <v>384</v>
      </c>
      <c r="AP48" s="427" t="str">
        <f t="shared" ca="1" si="22"/>
        <v>-</v>
      </c>
      <c r="AQ48" s="443" t="str">
        <f t="shared" ca="1" si="23"/>
        <v>-</v>
      </c>
      <c r="AR48" s="444" t="str">
        <f t="shared" ca="1" si="24"/>
        <v>-</v>
      </c>
      <c r="AS48" s="430" t="str">
        <f t="shared" ca="1" si="25"/>
        <v>-</v>
      </c>
      <c r="AT48" s="431"/>
      <c r="AU48" s="431"/>
      <c r="AV48" s="432">
        <v>39</v>
      </c>
      <c r="AW48" s="433" t="e">
        <f>ListAndConversion!S41</f>
        <v>#DIV/0!</v>
      </c>
      <c r="AX48" s="432" t="e">
        <f>IF(AW48="-","-",IF(COUNTIF(ListAndConversion!$F$3:$M$386,Calculation!AW48)=0,"Missing Lane","OK"))</f>
        <v>#DIV/0!</v>
      </c>
      <c r="AY48" s="433" t="str">
        <f>IFERROR(VLOOKUP(AW48,ListAndConversion!$F$3:$O$386,9,0),"-")</f>
        <v>-</v>
      </c>
      <c r="AZ48" s="433" t="str">
        <f>IFERROR(VLOOKUP(AW48,ListAndConversion!$F$3:$O$386,10,0),"-")</f>
        <v>-</v>
      </c>
      <c r="BA48" s="433" t="e">
        <f t="shared" si="35"/>
        <v>#DIV/0!</v>
      </c>
      <c r="BB48" s="433" t="str">
        <f t="shared" si="36"/>
        <v>-</v>
      </c>
      <c r="BC48" s="433" t="str">
        <f t="shared" si="37"/>
        <v/>
      </c>
    </row>
    <row r="49" spans="1:55" ht="14.25" x14ac:dyDescent="0.65">
      <c r="A49" s="407">
        <v>41</v>
      </c>
      <c r="B49" s="408" t="str">
        <f t="shared" ca="1" si="2"/>
        <v/>
      </c>
      <c r="C49" s="408" t="str">
        <f ca="1">IFERROR(IF(G49="","",CONCATENATE(E49,"-",INDEX(Coordinate,MATCH(F49,ListAndConversion!$X$4:$X$99,0),2))),"")</f>
        <v/>
      </c>
      <c r="D49" s="408" t="str">
        <f t="shared" ca="1" si="30"/>
        <v/>
      </c>
      <c r="E49" s="408" t="str">
        <f t="shared" ca="1" si="30"/>
        <v/>
      </c>
      <c r="F49" s="408" t="str">
        <f t="shared" ca="1" si="30"/>
        <v/>
      </c>
      <c r="G49" s="408" t="str">
        <f ca="1">IFERROR(INDEX(ListAndConversion!A:B,MATCH(Calculation!E49,ListAndConversion!A:A,0),2),"")</f>
        <v/>
      </c>
      <c r="H49" s="408" t="str">
        <f>IF(TrackIT_Lines!AD41="","",TrackIT_Lines!AD41)</f>
        <v/>
      </c>
      <c r="I49" s="408" t="str">
        <f>IF(TrackIT_Lines!AD41="","",CONCATENATE(TrackIT_Lines!AD41,"-",TrackIT_Lines!AG41))</f>
        <v/>
      </c>
      <c r="J49" s="409" t="str">
        <f t="shared" ca="1" si="34"/>
        <v/>
      </c>
      <c r="K49" s="408" t="str">
        <f t="shared" ca="1" si="34"/>
        <v/>
      </c>
      <c r="L49" s="408" t="str">
        <f t="shared" ca="1" si="34"/>
        <v/>
      </c>
      <c r="M49" s="408" t="str">
        <f t="shared" ca="1" si="34"/>
        <v/>
      </c>
      <c r="N49" s="408" t="str">
        <f t="shared" ca="1" si="34"/>
        <v/>
      </c>
      <c r="O49" s="408" t="str">
        <f t="shared" ca="1" si="34"/>
        <v/>
      </c>
      <c r="P49" s="408" t="str">
        <f t="shared" ca="1" si="34"/>
        <v/>
      </c>
      <c r="Q49" s="408" t="str">
        <f t="shared" ca="1" si="34"/>
        <v/>
      </c>
      <c r="R49" s="410" t="str">
        <f ca="1">Cluster!J68</f>
        <v>Selection</v>
      </c>
      <c r="S49" s="411" t="str">
        <f t="shared" ca="1" si="5"/>
        <v>-</v>
      </c>
      <c r="T49" s="412" t="str">
        <f t="shared" ca="1" si="6"/>
        <v/>
      </c>
      <c r="U49" s="411" t="str">
        <f t="shared" ca="1" si="7"/>
        <v>-</v>
      </c>
      <c r="V49" s="411" t="str">
        <f t="shared" ca="1" si="8"/>
        <v>-</v>
      </c>
      <c r="W49" s="413">
        <f>Cluster!N68</f>
        <v>0</v>
      </c>
      <c r="X49" s="414" t="str">
        <f t="shared" ca="1" si="9"/>
        <v>-</v>
      </c>
      <c r="Y49" s="411" t="str">
        <f t="shared" ca="1" si="10"/>
        <v>-</v>
      </c>
      <c r="Z49" s="415" t="str">
        <f t="shared" ca="1" si="11"/>
        <v>-</v>
      </c>
      <c r="AA49" s="416" t="str">
        <f t="shared" ca="1" si="12"/>
        <v>-</v>
      </c>
      <c r="AB49" s="416" t="str">
        <f t="shared" ca="1" si="13"/>
        <v/>
      </c>
      <c r="AC49" s="434">
        <f>Cluster!Q68</f>
        <v>0</v>
      </c>
      <c r="AD49" s="435" t="str">
        <f t="shared" ca="1" si="32"/>
        <v/>
      </c>
      <c r="AE49" s="436" t="str">
        <f t="shared" ca="1" si="32"/>
        <v/>
      </c>
      <c r="AF49" s="437" t="str">
        <f t="shared" ca="1" si="15"/>
        <v>-</v>
      </c>
      <c r="AG49" s="438" t="str">
        <f t="shared" ca="1" si="16"/>
        <v>-</v>
      </c>
      <c r="AH49" s="437" t="str">
        <f t="shared" ca="1" si="17"/>
        <v>-</v>
      </c>
      <c r="AI49" s="438" t="str">
        <f t="shared" ca="1" si="18"/>
        <v>-</v>
      </c>
      <c r="AJ49" s="438" t="str">
        <f t="shared" ca="1" si="19"/>
        <v>-</v>
      </c>
      <c r="AK49" s="439" t="str">
        <f ca="1">IFERROR(AE49*AD49*AL49/(IF(Cluster!AA68=Cluster!$W$8,Cluster!$W$10,IF(Cluster!AA68=Cluster!$X$8,Cluster!$X$10,IF(Cluster!AA68=Cluster!$Y$8,Cluster!$Y$10,0)))*10^3),"-")</f>
        <v>-</v>
      </c>
      <c r="AL49" s="440" t="str">
        <f ca="1">IFERROR(IF(OR(Calculation!T49&lt;(Calculation!$U$8+2),Calculation!AC49="Bypass"),IF((IF(Calculation!$O$6/((Calculation!AD49*10^-12)/(Calculation!T49*10^-9)*50)&lt;=1,1,ROUNDUP(Calculation!$O$6/((Calculation!AD49*10^-12)/(Calculation!T49*10^-9)*50),0))*50)&lt;Calculation!$AK$6,Calculation!$AK$6,IF(Calculation!$O$6/((Calculation!AD49*10^-12)/(Calculation!T49*10^-9)*50)&lt;=1,1,ROUNDUP(Calculation!$O$6/((Calculation!AD49*10^-12)/(Calculation!T49*10^-9)*50),0))*50),"-"),"-")</f>
        <v>-</v>
      </c>
      <c r="AM49" s="441" t="str">
        <f t="shared" ca="1" si="33"/>
        <v/>
      </c>
      <c r="AN49" s="442" t="str">
        <f t="shared" ca="1" si="33"/>
        <v/>
      </c>
      <c r="AO49" s="432">
        <f t="shared" ca="1" si="21"/>
        <v>384</v>
      </c>
      <c r="AP49" s="427" t="str">
        <f t="shared" ca="1" si="22"/>
        <v>-</v>
      </c>
      <c r="AQ49" s="443" t="str">
        <f t="shared" ca="1" si="23"/>
        <v>-</v>
      </c>
      <c r="AR49" s="444" t="str">
        <f t="shared" ca="1" si="24"/>
        <v>-</v>
      </c>
      <c r="AS49" s="430" t="str">
        <f t="shared" ca="1" si="25"/>
        <v>-</v>
      </c>
      <c r="AT49" s="431"/>
      <c r="AU49" s="431"/>
      <c r="AV49" s="432">
        <v>40</v>
      </c>
      <c r="AW49" s="433" t="e">
        <f>ListAndConversion!S42</f>
        <v>#DIV/0!</v>
      </c>
      <c r="AX49" s="432" t="e">
        <f>IF(AW49="-","-",IF(COUNTIF(ListAndConversion!$F$3:$M$386,Calculation!AW49)=0,"Missing Lane","OK"))</f>
        <v>#DIV/0!</v>
      </c>
      <c r="AY49" s="433" t="str">
        <f>IFERROR(VLOOKUP(AW49,ListAndConversion!$F$3:$O$386,9,0),"-")</f>
        <v>-</v>
      </c>
      <c r="AZ49" s="433" t="str">
        <f>IFERROR(VLOOKUP(AW49,ListAndConversion!$F$3:$O$386,10,0),"-")</f>
        <v>-</v>
      </c>
      <c r="BA49" s="433" t="e">
        <f t="shared" si="35"/>
        <v>#DIV/0!</v>
      </c>
      <c r="BB49" s="433" t="str">
        <f t="shared" si="36"/>
        <v>-</v>
      </c>
      <c r="BC49" s="433" t="str">
        <f t="shared" si="37"/>
        <v/>
      </c>
    </row>
    <row r="50" spans="1:55" ht="14.25" x14ac:dyDescent="0.65">
      <c r="A50" s="407">
        <v>42</v>
      </c>
      <c r="B50" s="408" t="str">
        <f t="shared" ca="1" si="2"/>
        <v/>
      </c>
      <c r="C50" s="408" t="str">
        <f ca="1">IFERROR(IF(G50="","",CONCATENATE(E50,"-",INDEX(Coordinate,MATCH(F50,ListAndConversion!$X$4:$X$99,0),2))),"")</f>
        <v/>
      </c>
      <c r="D50" s="408" t="str">
        <f t="shared" ref="D50:F69" ca="1" si="38">IF((INDIRECT("TrackIT_Lines!"&amp;D$2&amp;$A50))="","", (INDIRECT("TrackIT_Lines!"&amp;D$2&amp;$A50)))</f>
        <v/>
      </c>
      <c r="E50" s="408" t="str">
        <f t="shared" ca="1" si="38"/>
        <v/>
      </c>
      <c r="F50" s="408" t="str">
        <f t="shared" ca="1" si="38"/>
        <v/>
      </c>
      <c r="G50" s="408" t="str">
        <f ca="1">IFERROR(INDEX(ListAndConversion!A:B,MATCH(Calculation!E50,ListAndConversion!A:A,0),2),"")</f>
        <v/>
      </c>
      <c r="H50" s="408" t="str">
        <f>IF(TrackIT_Lines!AD42="","",TrackIT_Lines!AD42)</f>
        <v/>
      </c>
      <c r="I50" s="408" t="str">
        <f>IF(TrackIT_Lines!AD42="","",CONCATENATE(TrackIT_Lines!AD42,"-",TrackIT_Lines!AG42))</f>
        <v/>
      </c>
      <c r="J50" s="409" t="str">
        <f t="shared" ref="J50:Q59" ca="1" si="39">IF((INDIRECT("TrackIT_Lines!"&amp;J$2&amp;$A50))="","", (INDIRECT("TrackIT_Lines!"&amp;J$2&amp;$A50)))</f>
        <v/>
      </c>
      <c r="K50" s="408" t="str">
        <f t="shared" ca="1" si="39"/>
        <v/>
      </c>
      <c r="L50" s="408" t="str">
        <f t="shared" ca="1" si="39"/>
        <v/>
      </c>
      <c r="M50" s="408" t="str">
        <f t="shared" ca="1" si="39"/>
        <v/>
      </c>
      <c r="N50" s="408" t="str">
        <f t="shared" ca="1" si="39"/>
        <v/>
      </c>
      <c r="O50" s="408" t="str">
        <f t="shared" ca="1" si="39"/>
        <v/>
      </c>
      <c r="P50" s="408" t="str">
        <f t="shared" ca="1" si="39"/>
        <v/>
      </c>
      <c r="Q50" s="408" t="str">
        <f t="shared" ca="1" si="39"/>
        <v/>
      </c>
      <c r="R50" s="410" t="str">
        <f ca="1">Cluster!J69</f>
        <v>Selection</v>
      </c>
      <c r="S50" s="411" t="str">
        <f t="shared" ca="1" si="5"/>
        <v>-</v>
      </c>
      <c r="T50" s="412" t="str">
        <f t="shared" ca="1" si="6"/>
        <v/>
      </c>
      <c r="U50" s="411" t="str">
        <f t="shared" ca="1" si="7"/>
        <v>-</v>
      </c>
      <c r="V50" s="411" t="str">
        <f t="shared" ca="1" si="8"/>
        <v>-</v>
      </c>
      <c r="W50" s="413">
        <f>Cluster!N69</f>
        <v>0</v>
      </c>
      <c r="X50" s="414" t="str">
        <f t="shared" ca="1" si="9"/>
        <v>-</v>
      </c>
      <c r="Y50" s="411" t="str">
        <f t="shared" ca="1" si="10"/>
        <v>-</v>
      </c>
      <c r="Z50" s="415" t="str">
        <f t="shared" ca="1" si="11"/>
        <v>-</v>
      </c>
      <c r="AA50" s="416" t="str">
        <f t="shared" ca="1" si="12"/>
        <v>-</v>
      </c>
      <c r="AB50" s="416" t="str">
        <f t="shared" ca="1" si="13"/>
        <v/>
      </c>
      <c r="AC50" s="434">
        <f>Cluster!Q69</f>
        <v>0</v>
      </c>
      <c r="AD50" s="435" t="str">
        <f t="shared" ref="AD50:AE69" ca="1" si="40">IF((INDIRECT("TrackIT_Lines!"&amp;AD$2&amp;$A50))="","", (INDIRECT("TrackIT_Lines!"&amp;AD$2&amp;$A50)))</f>
        <v/>
      </c>
      <c r="AE50" s="436" t="str">
        <f t="shared" ca="1" si="40"/>
        <v/>
      </c>
      <c r="AF50" s="437" t="str">
        <f t="shared" ca="1" si="15"/>
        <v>-</v>
      </c>
      <c r="AG50" s="438" t="str">
        <f t="shared" ca="1" si="16"/>
        <v>-</v>
      </c>
      <c r="AH50" s="437" t="str">
        <f t="shared" ca="1" si="17"/>
        <v>-</v>
      </c>
      <c r="AI50" s="438" t="str">
        <f t="shared" ca="1" si="18"/>
        <v>-</v>
      </c>
      <c r="AJ50" s="438" t="str">
        <f t="shared" ca="1" si="19"/>
        <v>-</v>
      </c>
      <c r="AK50" s="439" t="str">
        <f ca="1">IFERROR(AE50*AD50*AL50/(IF(Cluster!AA69=Cluster!$W$8,Cluster!$W$10,IF(Cluster!AA69=Cluster!$X$8,Cluster!$X$10,IF(Cluster!AA69=Cluster!$Y$8,Cluster!$Y$10,0)))*10^3),"-")</f>
        <v>-</v>
      </c>
      <c r="AL50" s="440" t="str">
        <f ca="1">IFERROR(IF(OR(Calculation!T50&lt;(Calculation!$U$8+2),Calculation!AC50="Bypass"),IF((IF(Calculation!$O$6/((Calculation!AD50*10^-12)/(Calculation!T50*10^-9)*50)&lt;=1,1,ROUNDUP(Calculation!$O$6/((Calculation!AD50*10^-12)/(Calculation!T50*10^-9)*50),0))*50)&lt;Calculation!$AK$6,Calculation!$AK$6,IF(Calculation!$O$6/((Calculation!AD50*10^-12)/(Calculation!T50*10^-9)*50)&lt;=1,1,ROUNDUP(Calculation!$O$6/((Calculation!AD50*10^-12)/(Calculation!T50*10^-9)*50),0))*50),"-"),"-")</f>
        <v>-</v>
      </c>
      <c r="AM50" s="441" t="str">
        <f t="shared" ref="AM50:AN69" ca="1" si="41">IF((INDIRECT("TrackIT_Lines!"&amp;AM$2&amp;$A50))="","", (INDIRECT("TrackIT_Lines!"&amp;AM$2&amp;$A50)))</f>
        <v/>
      </c>
      <c r="AN50" s="442" t="str">
        <f t="shared" ca="1" si="41"/>
        <v/>
      </c>
      <c r="AO50" s="432">
        <f t="shared" ca="1" si="21"/>
        <v>384</v>
      </c>
      <c r="AP50" s="427" t="str">
        <f t="shared" ca="1" si="22"/>
        <v>-</v>
      </c>
      <c r="AQ50" s="443" t="str">
        <f t="shared" ca="1" si="23"/>
        <v>-</v>
      </c>
      <c r="AR50" s="444" t="str">
        <f t="shared" ca="1" si="24"/>
        <v>-</v>
      </c>
      <c r="AS50" s="430" t="str">
        <f t="shared" ca="1" si="25"/>
        <v>-</v>
      </c>
      <c r="AT50" s="431"/>
      <c r="AU50" s="431"/>
      <c r="AV50" s="432">
        <v>41</v>
      </c>
      <c r="AW50" s="433" t="e">
        <f>ListAndConversion!S43</f>
        <v>#DIV/0!</v>
      </c>
      <c r="AX50" s="432" t="e">
        <f>IF(AW50="-","-",IF(COUNTIF(ListAndConversion!$F$3:$M$386,Calculation!AW50)=0,"Missing Lane","OK"))</f>
        <v>#DIV/0!</v>
      </c>
      <c r="AY50" s="433" t="str">
        <f>IFERROR(VLOOKUP(AW50,ListAndConversion!$F$3:$O$386,9,0),"-")</f>
        <v>-</v>
      </c>
      <c r="AZ50" s="433" t="str">
        <f>IFERROR(VLOOKUP(AW50,ListAndConversion!$F$3:$O$386,10,0),"-")</f>
        <v>-</v>
      </c>
      <c r="BA50" s="433" t="e">
        <f t="shared" si="35"/>
        <v>#DIV/0!</v>
      </c>
      <c r="BB50" s="433" t="str">
        <f t="shared" si="36"/>
        <v>-</v>
      </c>
      <c r="BC50" s="433" t="str">
        <f t="shared" si="37"/>
        <v/>
      </c>
    </row>
    <row r="51" spans="1:55" ht="14.25" x14ac:dyDescent="0.65">
      <c r="A51" s="407">
        <v>43</v>
      </c>
      <c r="B51" s="408" t="str">
        <f t="shared" ca="1" si="2"/>
        <v/>
      </c>
      <c r="C51" s="408" t="str">
        <f ca="1">IFERROR(IF(G51="","",CONCATENATE(E51,"-",INDEX(Coordinate,MATCH(F51,ListAndConversion!$X$4:$X$99,0),2))),"")</f>
        <v/>
      </c>
      <c r="D51" s="408" t="str">
        <f t="shared" ca="1" si="38"/>
        <v/>
      </c>
      <c r="E51" s="408" t="str">
        <f t="shared" ca="1" si="38"/>
        <v/>
      </c>
      <c r="F51" s="408" t="str">
        <f t="shared" ca="1" si="38"/>
        <v/>
      </c>
      <c r="G51" s="408" t="str">
        <f ca="1">IFERROR(INDEX(ListAndConversion!A:B,MATCH(Calculation!E51,ListAndConversion!A:A,0),2),"")</f>
        <v/>
      </c>
      <c r="H51" s="408" t="str">
        <f>IF(TrackIT_Lines!AD43="","",TrackIT_Lines!AD43)</f>
        <v/>
      </c>
      <c r="I51" s="408" t="str">
        <f>IF(TrackIT_Lines!AD43="","",CONCATENATE(TrackIT_Lines!AD43,"-",TrackIT_Lines!AG43))</f>
        <v/>
      </c>
      <c r="J51" s="409" t="str">
        <f t="shared" ca="1" si="39"/>
        <v/>
      </c>
      <c r="K51" s="408" t="str">
        <f t="shared" ca="1" si="39"/>
        <v/>
      </c>
      <c r="L51" s="408" t="str">
        <f t="shared" ca="1" si="39"/>
        <v/>
      </c>
      <c r="M51" s="408" t="str">
        <f t="shared" ca="1" si="39"/>
        <v/>
      </c>
      <c r="N51" s="408" t="str">
        <f t="shared" ca="1" si="39"/>
        <v/>
      </c>
      <c r="O51" s="408" t="str">
        <f t="shared" ca="1" si="39"/>
        <v/>
      </c>
      <c r="P51" s="408" t="str">
        <f t="shared" ca="1" si="39"/>
        <v/>
      </c>
      <c r="Q51" s="408" t="str">
        <f t="shared" ca="1" si="39"/>
        <v/>
      </c>
      <c r="R51" s="410" t="str">
        <f ca="1">Cluster!J70</f>
        <v>Selection</v>
      </c>
      <c r="S51" s="411" t="str">
        <f t="shared" ca="1" si="5"/>
        <v>-</v>
      </c>
      <c r="T51" s="412" t="str">
        <f t="shared" ca="1" si="6"/>
        <v/>
      </c>
      <c r="U51" s="411" t="str">
        <f t="shared" ca="1" si="7"/>
        <v>-</v>
      </c>
      <c r="V51" s="411" t="str">
        <f t="shared" ca="1" si="8"/>
        <v>-</v>
      </c>
      <c r="W51" s="413">
        <f>Cluster!N70</f>
        <v>0</v>
      </c>
      <c r="X51" s="414" t="str">
        <f t="shared" ca="1" si="9"/>
        <v>-</v>
      </c>
      <c r="Y51" s="411" t="str">
        <f t="shared" ca="1" si="10"/>
        <v>-</v>
      </c>
      <c r="Z51" s="415" t="str">
        <f t="shared" ca="1" si="11"/>
        <v>-</v>
      </c>
      <c r="AA51" s="416" t="str">
        <f t="shared" ca="1" si="12"/>
        <v>-</v>
      </c>
      <c r="AB51" s="416" t="str">
        <f t="shared" ca="1" si="13"/>
        <v/>
      </c>
      <c r="AC51" s="434">
        <f>Cluster!Q70</f>
        <v>0</v>
      </c>
      <c r="AD51" s="435" t="str">
        <f t="shared" ca="1" si="40"/>
        <v/>
      </c>
      <c r="AE51" s="436" t="str">
        <f t="shared" ca="1" si="40"/>
        <v/>
      </c>
      <c r="AF51" s="437" t="str">
        <f t="shared" ca="1" si="15"/>
        <v>-</v>
      </c>
      <c r="AG51" s="438" t="str">
        <f t="shared" ca="1" si="16"/>
        <v>-</v>
      </c>
      <c r="AH51" s="437" t="str">
        <f t="shared" ca="1" si="17"/>
        <v>-</v>
      </c>
      <c r="AI51" s="438" t="str">
        <f t="shared" ca="1" si="18"/>
        <v>-</v>
      </c>
      <c r="AJ51" s="438" t="str">
        <f t="shared" ca="1" si="19"/>
        <v>-</v>
      </c>
      <c r="AK51" s="439" t="str">
        <f ca="1">IFERROR(AE51*AD51*AL51/(IF(Cluster!AA70=Cluster!$W$8,Cluster!$W$10,IF(Cluster!AA70=Cluster!$X$8,Cluster!$X$10,IF(Cluster!AA70=Cluster!$Y$8,Cluster!$Y$10,0)))*10^3),"-")</f>
        <v>-</v>
      </c>
      <c r="AL51" s="440" t="str">
        <f ca="1">IFERROR(IF(OR(Calculation!T51&lt;(Calculation!$U$8+2),Calculation!AC51="Bypass"),IF((IF(Calculation!$O$6/((Calculation!AD51*10^-12)/(Calculation!T51*10^-9)*50)&lt;=1,1,ROUNDUP(Calculation!$O$6/((Calculation!AD51*10^-12)/(Calculation!T51*10^-9)*50),0))*50)&lt;Calculation!$AK$6,Calculation!$AK$6,IF(Calculation!$O$6/((Calculation!AD51*10^-12)/(Calculation!T51*10^-9)*50)&lt;=1,1,ROUNDUP(Calculation!$O$6/((Calculation!AD51*10^-12)/(Calculation!T51*10^-9)*50),0))*50),"-"),"-")</f>
        <v>-</v>
      </c>
      <c r="AM51" s="441" t="str">
        <f t="shared" ca="1" si="41"/>
        <v/>
      </c>
      <c r="AN51" s="442" t="str">
        <f t="shared" ca="1" si="41"/>
        <v/>
      </c>
      <c r="AO51" s="432">
        <f t="shared" ca="1" si="21"/>
        <v>384</v>
      </c>
      <c r="AP51" s="427" t="str">
        <f t="shared" ca="1" si="22"/>
        <v>-</v>
      </c>
      <c r="AQ51" s="443" t="str">
        <f t="shared" ca="1" si="23"/>
        <v>-</v>
      </c>
      <c r="AR51" s="444" t="str">
        <f t="shared" ca="1" si="24"/>
        <v>-</v>
      </c>
      <c r="AS51" s="430" t="str">
        <f t="shared" ca="1" si="25"/>
        <v>-</v>
      </c>
      <c r="AT51" s="431"/>
      <c r="AU51" s="431"/>
      <c r="AV51" s="432">
        <v>42</v>
      </c>
      <c r="AW51" s="433" t="e">
        <f>ListAndConversion!S44</f>
        <v>#DIV/0!</v>
      </c>
      <c r="AX51" s="432" t="e">
        <f>IF(AW51="-","-",IF(COUNTIF(ListAndConversion!$F$3:$M$386,Calculation!AW51)=0,"Missing Lane","OK"))</f>
        <v>#DIV/0!</v>
      </c>
      <c r="AY51" s="433" t="str">
        <f>IFERROR(VLOOKUP(AW51,ListAndConversion!$F$3:$O$386,9,0),"-")</f>
        <v>-</v>
      </c>
      <c r="AZ51" s="433" t="str">
        <f>IFERROR(VLOOKUP(AW51,ListAndConversion!$F$3:$O$386,10,0),"-")</f>
        <v>-</v>
      </c>
      <c r="BA51" s="433" t="e">
        <f t="shared" si="35"/>
        <v>#DIV/0!</v>
      </c>
      <c r="BB51" s="433" t="str">
        <f t="shared" si="36"/>
        <v>-</v>
      </c>
      <c r="BC51" s="433" t="str">
        <f t="shared" si="37"/>
        <v/>
      </c>
    </row>
    <row r="52" spans="1:55" ht="14.25" x14ac:dyDescent="0.65">
      <c r="A52" s="407">
        <v>44</v>
      </c>
      <c r="B52" s="408" t="str">
        <f t="shared" ca="1" si="2"/>
        <v/>
      </c>
      <c r="C52" s="408" t="str">
        <f ca="1">IFERROR(IF(G52="","",CONCATENATE(E52,"-",INDEX(Coordinate,MATCH(F52,ListAndConversion!$X$4:$X$99,0),2))),"")</f>
        <v/>
      </c>
      <c r="D52" s="408" t="str">
        <f t="shared" ca="1" si="38"/>
        <v/>
      </c>
      <c r="E52" s="408" t="str">
        <f t="shared" ca="1" si="38"/>
        <v/>
      </c>
      <c r="F52" s="408" t="str">
        <f t="shared" ca="1" si="38"/>
        <v/>
      </c>
      <c r="G52" s="408" t="str">
        <f ca="1">IFERROR(INDEX(ListAndConversion!A:B,MATCH(Calculation!E52,ListAndConversion!A:A,0),2),"")</f>
        <v/>
      </c>
      <c r="H52" s="408" t="str">
        <f>IF(TrackIT_Lines!AD44="","",TrackIT_Lines!AD44)</f>
        <v/>
      </c>
      <c r="I52" s="408" t="str">
        <f>IF(TrackIT_Lines!AD44="","",CONCATENATE(TrackIT_Lines!AD44,"-",TrackIT_Lines!AG44))</f>
        <v/>
      </c>
      <c r="J52" s="409" t="str">
        <f t="shared" ca="1" si="39"/>
        <v/>
      </c>
      <c r="K52" s="408" t="str">
        <f t="shared" ca="1" si="39"/>
        <v/>
      </c>
      <c r="L52" s="408" t="str">
        <f t="shared" ca="1" si="39"/>
        <v/>
      </c>
      <c r="M52" s="408" t="str">
        <f t="shared" ca="1" si="39"/>
        <v/>
      </c>
      <c r="N52" s="408" t="str">
        <f t="shared" ca="1" si="39"/>
        <v/>
      </c>
      <c r="O52" s="408" t="str">
        <f t="shared" ca="1" si="39"/>
        <v/>
      </c>
      <c r="P52" s="408" t="str">
        <f t="shared" ca="1" si="39"/>
        <v/>
      </c>
      <c r="Q52" s="408" t="str">
        <f t="shared" ca="1" si="39"/>
        <v/>
      </c>
      <c r="R52" s="410" t="str">
        <f ca="1">Cluster!J71</f>
        <v>Selection</v>
      </c>
      <c r="S52" s="411" t="str">
        <f t="shared" ca="1" si="5"/>
        <v>-</v>
      </c>
      <c r="T52" s="412" t="str">
        <f t="shared" ca="1" si="6"/>
        <v/>
      </c>
      <c r="U52" s="411" t="str">
        <f t="shared" ca="1" si="7"/>
        <v>-</v>
      </c>
      <c r="V52" s="411" t="str">
        <f t="shared" ca="1" si="8"/>
        <v>-</v>
      </c>
      <c r="W52" s="413">
        <f>Cluster!N71</f>
        <v>0</v>
      </c>
      <c r="X52" s="414" t="str">
        <f t="shared" ca="1" si="9"/>
        <v>-</v>
      </c>
      <c r="Y52" s="411" t="str">
        <f t="shared" ca="1" si="10"/>
        <v>-</v>
      </c>
      <c r="Z52" s="415" t="str">
        <f t="shared" ca="1" si="11"/>
        <v>-</v>
      </c>
      <c r="AA52" s="416" t="str">
        <f t="shared" ca="1" si="12"/>
        <v>-</v>
      </c>
      <c r="AB52" s="416" t="str">
        <f t="shared" ca="1" si="13"/>
        <v/>
      </c>
      <c r="AC52" s="434">
        <f>Cluster!Q71</f>
        <v>0</v>
      </c>
      <c r="AD52" s="435" t="str">
        <f t="shared" ca="1" si="40"/>
        <v/>
      </c>
      <c r="AE52" s="436" t="str">
        <f t="shared" ca="1" si="40"/>
        <v/>
      </c>
      <c r="AF52" s="437" t="str">
        <f t="shared" ca="1" si="15"/>
        <v>-</v>
      </c>
      <c r="AG52" s="438" t="str">
        <f t="shared" ca="1" si="16"/>
        <v>-</v>
      </c>
      <c r="AH52" s="437" t="str">
        <f t="shared" ca="1" si="17"/>
        <v>-</v>
      </c>
      <c r="AI52" s="438" t="str">
        <f t="shared" ca="1" si="18"/>
        <v>-</v>
      </c>
      <c r="AJ52" s="438" t="str">
        <f t="shared" ca="1" si="19"/>
        <v>-</v>
      </c>
      <c r="AK52" s="439" t="str">
        <f ca="1">IFERROR(AE52*AD52*AL52/(IF(Cluster!AA71=Cluster!$W$8,Cluster!$W$10,IF(Cluster!AA71=Cluster!$X$8,Cluster!$X$10,IF(Cluster!AA71=Cluster!$Y$8,Cluster!$Y$10,0)))*10^3),"-")</f>
        <v>-</v>
      </c>
      <c r="AL52" s="440" t="str">
        <f ca="1">IFERROR(IF(OR(Calculation!T52&lt;(Calculation!$U$8+2),Calculation!AC52="Bypass"),IF((IF(Calculation!$O$6/((Calculation!AD52*10^-12)/(Calculation!T52*10^-9)*50)&lt;=1,1,ROUNDUP(Calculation!$O$6/((Calculation!AD52*10^-12)/(Calculation!T52*10^-9)*50),0))*50)&lt;Calculation!$AK$6,Calculation!$AK$6,IF(Calculation!$O$6/((Calculation!AD52*10^-12)/(Calculation!T52*10^-9)*50)&lt;=1,1,ROUNDUP(Calculation!$O$6/((Calculation!AD52*10^-12)/(Calculation!T52*10^-9)*50),0))*50),"-"),"-")</f>
        <v>-</v>
      </c>
      <c r="AM52" s="441" t="str">
        <f t="shared" ca="1" si="41"/>
        <v/>
      </c>
      <c r="AN52" s="442" t="str">
        <f t="shared" ca="1" si="41"/>
        <v/>
      </c>
      <c r="AO52" s="432">
        <f t="shared" ca="1" si="21"/>
        <v>384</v>
      </c>
      <c r="AP52" s="427" t="str">
        <f t="shared" ca="1" si="22"/>
        <v>-</v>
      </c>
      <c r="AQ52" s="443" t="str">
        <f t="shared" ca="1" si="23"/>
        <v>-</v>
      </c>
      <c r="AR52" s="444" t="str">
        <f t="shared" ca="1" si="24"/>
        <v>-</v>
      </c>
      <c r="AS52" s="430" t="str">
        <f t="shared" ca="1" si="25"/>
        <v>-</v>
      </c>
      <c r="AT52" s="431"/>
      <c r="AU52" s="431"/>
      <c r="AV52" s="432">
        <v>43</v>
      </c>
      <c r="AW52" s="433" t="e">
        <f>ListAndConversion!S45</f>
        <v>#DIV/0!</v>
      </c>
      <c r="AX52" s="432" t="e">
        <f>IF(AW52="-","-",IF(COUNTIF(ListAndConversion!$F$3:$M$386,Calculation!AW52)=0,"Missing Lane","OK"))</f>
        <v>#DIV/0!</v>
      </c>
      <c r="AY52" s="433" t="str">
        <f>IFERROR(VLOOKUP(AW52,ListAndConversion!$F$3:$O$386,9,0),"-")</f>
        <v>-</v>
      </c>
      <c r="AZ52" s="433" t="str">
        <f>IFERROR(VLOOKUP(AW52,ListAndConversion!$F$3:$O$386,10,0),"-")</f>
        <v>-</v>
      </c>
      <c r="BA52" s="433" t="e">
        <f t="shared" si="35"/>
        <v>#DIV/0!</v>
      </c>
      <c r="BB52" s="433" t="str">
        <f t="shared" si="36"/>
        <v>-</v>
      </c>
      <c r="BC52" s="433" t="str">
        <f t="shared" si="37"/>
        <v/>
      </c>
    </row>
    <row r="53" spans="1:55" ht="14.25" x14ac:dyDescent="0.65">
      <c r="A53" s="407">
        <v>45</v>
      </c>
      <c r="B53" s="408" t="str">
        <f t="shared" ca="1" si="2"/>
        <v/>
      </c>
      <c r="C53" s="408" t="str">
        <f ca="1">IFERROR(IF(G53="","",CONCATENATE(E53,"-",INDEX(Coordinate,MATCH(F53,ListAndConversion!$X$4:$X$99,0),2))),"")</f>
        <v/>
      </c>
      <c r="D53" s="408" t="str">
        <f t="shared" ca="1" si="38"/>
        <v/>
      </c>
      <c r="E53" s="408" t="str">
        <f t="shared" ca="1" si="38"/>
        <v/>
      </c>
      <c r="F53" s="408" t="str">
        <f t="shared" ca="1" si="38"/>
        <v/>
      </c>
      <c r="G53" s="408" t="str">
        <f ca="1">IFERROR(INDEX(ListAndConversion!A:B,MATCH(Calculation!E53,ListAndConversion!A:A,0),2),"")</f>
        <v/>
      </c>
      <c r="H53" s="408" t="str">
        <f>IF(TrackIT_Lines!AD45="","",TrackIT_Lines!AD45)</f>
        <v/>
      </c>
      <c r="I53" s="408" t="str">
        <f>IF(TrackIT_Lines!AD45="","",CONCATENATE(TrackIT_Lines!AD45,"-",TrackIT_Lines!AG45))</f>
        <v/>
      </c>
      <c r="J53" s="409" t="str">
        <f t="shared" ca="1" si="39"/>
        <v/>
      </c>
      <c r="K53" s="408" t="str">
        <f t="shared" ca="1" si="39"/>
        <v/>
      </c>
      <c r="L53" s="408" t="str">
        <f t="shared" ca="1" si="39"/>
        <v/>
      </c>
      <c r="M53" s="408" t="str">
        <f t="shared" ca="1" si="39"/>
        <v/>
      </c>
      <c r="N53" s="408" t="str">
        <f t="shared" ca="1" si="39"/>
        <v/>
      </c>
      <c r="O53" s="408" t="str">
        <f t="shared" ca="1" si="39"/>
        <v/>
      </c>
      <c r="P53" s="408" t="str">
        <f t="shared" ca="1" si="39"/>
        <v/>
      </c>
      <c r="Q53" s="408" t="str">
        <f t="shared" ca="1" si="39"/>
        <v/>
      </c>
      <c r="R53" s="410" t="str">
        <f ca="1">Cluster!J72</f>
        <v>Selection</v>
      </c>
      <c r="S53" s="411" t="str">
        <f t="shared" ca="1" si="5"/>
        <v>-</v>
      </c>
      <c r="T53" s="412" t="str">
        <f t="shared" ca="1" si="6"/>
        <v/>
      </c>
      <c r="U53" s="411" t="str">
        <f t="shared" ca="1" si="7"/>
        <v>-</v>
      </c>
      <c r="V53" s="411" t="str">
        <f t="shared" ca="1" si="8"/>
        <v>-</v>
      </c>
      <c r="W53" s="413">
        <f>Cluster!N72</f>
        <v>0</v>
      </c>
      <c r="X53" s="414" t="str">
        <f t="shared" ca="1" si="9"/>
        <v>-</v>
      </c>
      <c r="Y53" s="411" t="str">
        <f t="shared" ca="1" si="10"/>
        <v>-</v>
      </c>
      <c r="Z53" s="415" t="str">
        <f t="shared" ca="1" si="11"/>
        <v>-</v>
      </c>
      <c r="AA53" s="416" t="str">
        <f t="shared" ca="1" si="12"/>
        <v>-</v>
      </c>
      <c r="AB53" s="416" t="str">
        <f t="shared" ca="1" si="13"/>
        <v/>
      </c>
      <c r="AC53" s="434">
        <f>Cluster!Q72</f>
        <v>0</v>
      </c>
      <c r="AD53" s="435" t="str">
        <f t="shared" ca="1" si="40"/>
        <v/>
      </c>
      <c r="AE53" s="436" t="str">
        <f t="shared" ca="1" si="40"/>
        <v/>
      </c>
      <c r="AF53" s="437" t="str">
        <f t="shared" ca="1" si="15"/>
        <v>-</v>
      </c>
      <c r="AG53" s="438" t="str">
        <f t="shared" ca="1" si="16"/>
        <v>-</v>
      </c>
      <c r="AH53" s="437" t="str">
        <f t="shared" ca="1" si="17"/>
        <v>-</v>
      </c>
      <c r="AI53" s="438" t="str">
        <f t="shared" ca="1" si="18"/>
        <v>-</v>
      </c>
      <c r="AJ53" s="438" t="str">
        <f t="shared" ca="1" si="19"/>
        <v>-</v>
      </c>
      <c r="AK53" s="439" t="str">
        <f ca="1">IFERROR(AE53*AD53*AL53/(IF(Cluster!AA72=Cluster!$W$8,Cluster!$W$10,IF(Cluster!AA72=Cluster!$X$8,Cluster!$X$10,IF(Cluster!AA72=Cluster!$Y$8,Cluster!$Y$10,0)))*10^3),"-")</f>
        <v>-</v>
      </c>
      <c r="AL53" s="440" t="str">
        <f ca="1">IFERROR(IF(OR(Calculation!T53&lt;(Calculation!$U$8+2),Calculation!AC53="Bypass"),IF((IF(Calculation!$O$6/((Calculation!AD53*10^-12)/(Calculation!T53*10^-9)*50)&lt;=1,1,ROUNDUP(Calculation!$O$6/((Calculation!AD53*10^-12)/(Calculation!T53*10^-9)*50),0))*50)&lt;Calculation!$AK$6,Calculation!$AK$6,IF(Calculation!$O$6/((Calculation!AD53*10^-12)/(Calculation!T53*10^-9)*50)&lt;=1,1,ROUNDUP(Calculation!$O$6/((Calculation!AD53*10^-12)/(Calculation!T53*10^-9)*50),0))*50),"-"),"-")</f>
        <v>-</v>
      </c>
      <c r="AM53" s="441" t="str">
        <f t="shared" ca="1" si="41"/>
        <v/>
      </c>
      <c r="AN53" s="442" t="str">
        <f t="shared" ca="1" si="41"/>
        <v/>
      </c>
      <c r="AO53" s="432">
        <f t="shared" ca="1" si="21"/>
        <v>384</v>
      </c>
      <c r="AP53" s="427" t="str">
        <f t="shared" ca="1" si="22"/>
        <v>-</v>
      </c>
      <c r="AQ53" s="443" t="str">
        <f t="shared" ca="1" si="23"/>
        <v>-</v>
      </c>
      <c r="AR53" s="444" t="str">
        <f t="shared" ca="1" si="24"/>
        <v>-</v>
      </c>
      <c r="AS53" s="430" t="str">
        <f t="shared" ca="1" si="25"/>
        <v>-</v>
      </c>
      <c r="AT53" s="431"/>
      <c r="AU53" s="431"/>
      <c r="AV53" s="432">
        <v>44</v>
      </c>
      <c r="AW53" s="433" t="e">
        <f>ListAndConversion!S46</f>
        <v>#DIV/0!</v>
      </c>
      <c r="AX53" s="432" t="e">
        <f>IF(AW53="-","-",IF(COUNTIF(ListAndConversion!$F$3:$M$386,Calculation!AW53)=0,"Missing Lane","OK"))</f>
        <v>#DIV/0!</v>
      </c>
      <c r="AY53" s="433" t="str">
        <f>IFERROR(VLOOKUP(AW53,ListAndConversion!$F$3:$O$386,9,0),"-")</f>
        <v>-</v>
      </c>
      <c r="AZ53" s="433" t="str">
        <f>IFERROR(VLOOKUP(AW53,ListAndConversion!$F$3:$O$386,10,0),"-")</f>
        <v>-</v>
      </c>
      <c r="BA53" s="433" t="e">
        <f t="shared" si="35"/>
        <v>#DIV/0!</v>
      </c>
      <c r="BB53" s="433" t="str">
        <f t="shared" si="36"/>
        <v>-</v>
      </c>
      <c r="BC53" s="433" t="str">
        <f t="shared" si="37"/>
        <v/>
      </c>
    </row>
    <row r="54" spans="1:55" ht="14.25" x14ac:dyDescent="0.65">
      <c r="A54" s="407">
        <v>46</v>
      </c>
      <c r="B54" s="408" t="str">
        <f t="shared" ca="1" si="2"/>
        <v/>
      </c>
      <c r="C54" s="408" t="str">
        <f ca="1">IFERROR(IF(G54="","",CONCATENATE(E54,"-",INDEX(Coordinate,MATCH(F54,ListAndConversion!$X$4:$X$99,0),2))),"")</f>
        <v/>
      </c>
      <c r="D54" s="408" t="str">
        <f t="shared" ca="1" si="38"/>
        <v/>
      </c>
      <c r="E54" s="408" t="str">
        <f t="shared" ca="1" si="38"/>
        <v/>
      </c>
      <c r="F54" s="408" t="str">
        <f t="shared" ca="1" si="38"/>
        <v/>
      </c>
      <c r="G54" s="408" t="str">
        <f ca="1">IFERROR(INDEX(ListAndConversion!A:B,MATCH(Calculation!E54,ListAndConversion!A:A,0),2),"")</f>
        <v/>
      </c>
      <c r="H54" s="408" t="str">
        <f>IF(TrackIT_Lines!AD46="","",TrackIT_Lines!AD46)</f>
        <v/>
      </c>
      <c r="I54" s="408" t="str">
        <f>IF(TrackIT_Lines!AD46="","",CONCATENATE(TrackIT_Lines!AD46,"-",TrackIT_Lines!AG46))</f>
        <v/>
      </c>
      <c r="J54" s="409" t="str">
        <f t="shared" ca="1" si="39"/>
        <v/>
      </c>
      <c r="K54" s="408" t="str">
        <f t="shared" ca="1" si="39"/>
        <v/>
      </c>
      <c r="L54" s="408" t="str">
        <f t="shared" ca="1" si="39"/>
        <v/>
      </c>
      <c r="M54" s="408" t="str">
        <f t="shared" ca="1" si="39"/>
        <v/>
      </c>
      <c r="N54" s="408" t="str">
        <f t="shared" ca="1" si="39"/>
        <v/>
      </c>
      <c r="O54" s="408" t="str">
        <f t="shared" ca="1" si="39"/>
        <v/>
      </c>
      <c r="P54" s="408" t="str">
        <f t="shared" ca="1" si="39"/>
        <v/>
      </c>
      <c r="Q54" s="408" t="str">
        <f t="shared" ca="1" si="39"/>
        <v/>
      </c>
      <c r="R54" s="410" t="str">
        <f ca="1">Cluster!J73</f>
        <v>Selection</v>
      </c>
      <c r="S54" s="411" t="str">
        <f t="shared" ca="1" si="5"/>
        <v>-</v>
      </c>
      <c r="T54" s="412" t="str">
        <f t="shared" ca="1" si="6"/>
        <v/>
      </c>
      <c r="U54" s="411" t="str">
        <f t="shared" ca="1" si="7"/>
        <v>-</v>
      </c>
      <c r="V54" s="411" t="str">
        <f t="shared" ca="1" si="8"/>
        <v>-</v>
      </c>
      <c r="W54" s="413">
        <f>Cluster!N73</f>
        <v>0</v>
      </c>
      <c r="X54" s="414" t="str">
        <f t="shared" ca="1" si="9"/>
        <v>-</v>
      </c>
      <c r="Y54" s="411" t="str">
        <f t="shared" ca="1" si="10"/>
        <v>-</v>
      </c>
      <c r="Z54" s="415" t="str">
        <f t="shared" ca="1" si="11"/>
        <v>-</v>
      </c>
      <c r="AA54" s="416" t="str">
        <f t="shared" ca="1" si="12"/>
        <v>-</v>
      </c>
      <c r="AB54" s="416" t="str">
        <f t="shared" ca="1" si="13"/>
        <v/>
      </c>
      <c r="AC54" s="434">
        <f>Cluster!Q73</f>
        <v>0</v>
      </c>
      <c r="AD54" s="435" t="str">
        <f t="shared" ca="1" si="40"/>
        <v/>
      </c>
      <c r="AE54" s="436" t="str">
        <f t="shared" ca="1" si="40"/>
        <v/>
      </c>
      <c r="AF54" s="437" t="str">
        <f t="shared" ca="1" si="15"/>
        <v>-</v>
      </c>
      <c r="AG54" s="438" t="str">
        <f t="shared" ca="1" si="16"/>
        <v>-</v>
      </c>
      <c r="AH54" s="437" t="str">
        <f t="shared" ca="1" si="17"/>
        <v>-</v>
      </c>
      <c r="AI54" s="438" t="str">
        <f t="shared" ca="1" si="18"/>
        <v>-</v>
      </c>
      <c r="AJ54" s="438" t="str">
        <f t="shared" ca="1" si="19"/>
        <v>-</v>
      </c>
      <c r="AK54" s="439" t="str">
        <f ca="1">IFERROR(AE54*AD54*AL54/(IF(Cluster!AA73=Cluster!$W$8,Cluster!$W$10,IF(Cluster!AA73=Cluster!$X$8,Cluster!$X$10,IF(Cluster!AA73=Cluster!$Y$8,Cluster!$Y$10,0)))*10^3),"-")</f>
        <v>-</v>
      </c>
      <c r="AL54" s="440" t="str">
        <f ca="1">IFERROR(IF(OR(Calculation!T54&lt;(Calculation!$U$8+2),Calculation!AC54="Bypass"),IF((IF(Calculation!$O$6/((Calculation!AD54*10^-12)/(Calculation!T54*10^-9)*50)&lt;=1,1,ROUNDUP(Calculation!$O$6/((Calculation!AD54*10^-12)/(Calculation!T54*10^-9)*50),0))*50)&lt;Calculation!$AK$6,Calculation!$AK$6,IF(Calculation!$O$6/((Calculation!AD54*10^-12)/(Calculation!T54*10^-9)*50)&lt;=1,1,ROUNDUP(Calculation!$O$6/((Calculation!AD54*10^-12)/(Calculation!T54*10^-9)*50),0))*50),"-"),"-")</f>
        <v>-</v>
      </c>
      <c r="AM54" s="441" t="str">
        <f t="shared" ca="1" si="41"/>
        <v/>
      </c>
      <c r="AN54" s="442" t="str">
        <f t="shared" ca="1" si="41"/>
        <v/>
      </c>
      <c r="AO54" s="432">
        <f t="shared" ca="1" si="21"/>
        <v>384</v>
      </c>
      <c r="AP54" s="427" t="str">
        <f t="shared" ca="1" si="22"/>
        <v>-</v>
      </c>
      <c r="AQ54" s="443" t="str">
        <f t="shared" ca="1" si="23"/>
        <v>-</v>
      </c>
      <c r="AR54" s="444" t="str">
        <f t="shared" ca="1" si="24"/>
        <v>-</v>
      </c>
      <c r="AS54" s="430" t="str">
        <f t="shared" ca="1" si="25"/>
        <v>-</v>
      </c>
      <c r="AT54" s="431"/>
      <c r="AU54" s="431"/>
      <c r="AV54" s="432">
        <v>45</v>
      </c>
      <c r="AW54" s="433" t="e">
        <f>ListAndConversion!S47</f>
        <v>#DIV/0!</v>
      </c>
      <c r="AX54" s="432" t="e">
        <f>IF(AW54="-","-",IF(COUNTIF(ListAndConversion!$F$3:$M$386,Calculation!AW54)=0,"Missing Lane","OK"))</f>
        <v>#DIV/0!</v>
      </c>
      <c r="AY54" s="433" t="str">
        <f>IFERROR(VLOOKUP(AW54,ListAndConversion!$F$3:$O$386,9,0),"-")</f>
        <v>-</v>
      </c>
      <c r="AZ54" s="433" t="str">
        <f>IFERROR(VLOOKUP(AW54,ListAndConversion!$F$3:$O$386,10,0),"-")</f>
        <v>-</v>
      </c>
      <c r="BA54" s="433" t="e">
        <f t="shared" si="35"/>
        <v>#DIV/0!</v>
      </c>
      <c r="BB54" s="433" t="str">
        <f t="shared" si="36"/>
        <v>-</v>
      </c>
      <c r="BC54" s="433" t="str">
        <f t="shared" si="37"/>
        <v/>
      </c>
    </row>
    <row r="55" spans="1:55" ht="14.25" x14ac:dyDescent="0.65">
      <c r="A55" s="407">
        <v>47</v>
      </c>
      <c r="B55" s="408" t="str">
        <f t="shared" ca="1" si="2"/>
        <v/>
      </c>
      <c r="C55" s="408" t="str">
        <f ca="1">IFERROR(IF(G55="","",CONCATENATE(E55,"-",INDEX(Coordinate,MATCH(F55,ListAndConversion!$X$4:$X$99,0),2))),"")</f>
        <v/>
      </c>
      <c r="D55" s="408" t="str">
        <f t="shared" ca="1" si="38"/>
        <v/>
      </c>
      <c r="E55" s="408" t="str">
        <f t="shared" ca="1" si="38"/>
        <v/>
      </c>
      <c r="F55" s="408" t="str">
        <f t="shared" ca="1" si="38"/>
        <v/>
      </c>
      <c r="G55" s="408" t="str">
        <f ca="1">IFERROR(INDEX(ListAndConversion!A:B,MATCH(Calculation!E55,ListAndConversion!A:A,0),2),"")</f>
        <v/>
      </c>
      <c r="H55" s="408" t="str">
        <f>IF(TrackIT_Lines!AD47="","",TrackIT_Lines!AD47)</f>
        <v/>
      </c>
      <c r="I55" s="408" t="str">
        <f>IF(TrackIT_Lines!AD47="","",CONCATENATE(TrackIT_Lines!AD47,"-",TrackIT_Lines!AG47))</f>
        <v/>
      </c>
      <c r="J55" s="409" t="str">
        <f t="shared" ca="1" si="39"/>
        <v/>
      </c>
      <c r="K55" s="408" t="str">
        <f t="shared" ca="1" si="39"/>
        <v/>
      </c>
      <c r="L55" s="408" t="str">
        <f t="shared" ca="1" si="39"/>
        <v/>
      </c>
      <c r="M55" s="408" t="str">
        <f t="shared" ca="1" si="39"/>
        <v/>
      </c>
      <c r="N55" s="408" t="str">
        <f t="shared" ca="1" si="39"/>
        <v/>
      </c>
      <c r="O55" s="408" t="str">
        <f t="shared" ca="1" si="39"/>
        <v/>
      </c>
      <c r="P55" s="408" t="str">
        <f t="shared" ca="1" si="39"/>
        <v/>
      </c>
      <c r="Q55" s="408" t="str">
        <f t="shared" ca="1" si="39"/>
        <v/>
      </c>
      <c r="R55" s="410" t="str">
        <f ca="1">Cluster!J74</f>
        <v>Selection</v>
      </c>
      <c r="S55" s="411" t="str">
        <f t="shared" ca="1" si="5"/>
        <v>-</v>
      </c>
      <c r="T55" s="412" t="str">
        <f t="shared" ca="1" si="6"/>
        <v/>
      </c>
      <c r="U55" s="411" t="str">
        <f t="shared" ca="1" si="7"/>
        <v>-</v>
      </c>
      <c r="V55" s="411" t="str">
        <f t="shared" ca="1" si="8"/>
        <v>-</v>
      </c>
      <c r="W55" s="413">
        <f>Cluster!N74</f>
        <v>0</v>
      </c>
      <c r="X55" s="414" t="str">
        <f t="shared" ca="1" si="9"/>
        <v>-</v>
      </c>
      <c r="Y55" s="411" t="str">
        <f t="shared" ca="1" si="10"/>
        <v>-</v>
      </c>
      <c r="Z55" s="415" t="str">
        <f t="shared" ca="1" si="11"/>
        <v>-</v>
      </c>
      <c r="AA55" s="416" t="str">
        <f t="shared" ca="1" si="12"/>
        <v>-</v>
      </c>
      <c r="AB55" s="416" t="str">
        <f t="shared" ca="1" si="13"/>
        <v/>
      </c>
      <c r="AC55" s="434">
        <f>Cluster!Q74</f>
        <v>0</v>
      </c>
      <c r="AD55" s="435" t="str">
        <f t="shared" ca="1" si="40"/>
        <v/>
      </c>
      <c r="AE55" s="436" t="str">
        <f t="shared" ca="1" si="40"/>
        <v/>
      </c>
      <c r="AF55" s="437" t="str">
        <f t="shared" ca="1" si="15"/>
        <v>-</v>
      </c>
      <c r="AG55" s="438" t="str">
        <f t="shared" ca="1" si="16"/>
        <v>-</v>
      </c>
      <c r="AH55" s="437" t="str">
        <f t="shared" ca="1" si="17"/>
        <v>-</v>
      </c>
      <c r="AI55" s="438" t="str">
        <f t="shared" ca="1" si="18"/>
        <v>-</v>
      </c>
      <c r="AJ55" s="438" t="str">
        <f t="shared" ca="1" si="19"/>
        <v>-</v>
      </c>
      <c r="AK55" s="439" t="str">
        <f ca="1">IFERROR(AE55*AD55*AL55/(IF(Cluster!AA74=Cluster!$W$8,Cluster!$W$10,IF(Cluster!AA74=Cluster!$X$8,Cluster!$X$10,IF(Cluster!AA74=Cluster!$Y$8,Cluster!$Y$10,0)))*10^3),"-")</f>
        <v>-</v>
      </c>
      <c r="AL55" s="440" t="str">
        <f ca="1">IFERROR(IF(OR(Calculation!T55&lt;(Calculation!$U$8+2),Calculation!AC55="Bypass"),IF((IF(Calculation!$O$6/((Calculation!AD55*10^-12)/(Calculation!T55*10^-9)*50)&lt;=1,1,ROUNDUP(Calculation!$O$6/((Calculation!AD55*10^-12)/(Calculation!T55*10^-9)*50),0))*50)&lt;Calculation!$AK$6,Calculation!$AK$6,IF(Calculation!$O$6/((Calculation!AD55*10^-12)/(Calculation!T55*10^-9)*50)&lt;=1,1,ROUNDUP(Calculation!$O$6/((Calculation!AD55*10^-12)/(Calculation!T55*10^-9)*50),0))*50),"-"),"-")</f>
        <v>-</v>
      </c>
      <c r="AM55" s="441" t="str">
        <f t="shared" ca="1" si="41"/>
        <v/>
      </c>
      <c r="AN55" s="442" t="str">
        <f t="shared" ca="1" si="41"/>
        <v/>
      </c>
      <c r="AO55" s="432">
        <f t="shared" ca="1" si="21"/>
        <v>384</v>
      </c>
      <c r="AP55" s="427" t="str">
        <f t="shared" ca="1" si="22"/>
        <v>-</v>
      </c>
      <c r="AQ55" s="443" t="str">
        <f t="shared" ca="1" si="23"/>
        <v>-</v>
      </c>
      <c r="AR55" s="444" t="str">
        <f t="shared" ca="1" si="24"/>
        <v>-</v>
      </c>
      <c r="AS55" s="430" t="str">
        <f t="shared" ca="1" si="25"/>
        <v>-</v>
      </c>
      <c r="AT55" s="431"/>
      <c r="AU55" s="431"/>
      <c r="AV55" s="432">
        <v>46</v>
      </c>
      <c r="AW55" s="433" t="e">
        <f>ListAndConversion!S48</f>
        <v>#DIV/0!</v>
      </c>
      <c r="AX55" s="432" t="e">
        <f>IF(AW55="-","-",IF(COUNTIF(ListAndConversion!$F$3:$M$386,Calculation!AW55)=0,"Missing Lane","OK"))</f>
        <v>#DIV/0!</v>
      </c>
      <c r="AY55" s="433" t="str">
        <f>IFERROR(VLOOKUP(AW55,ListAndConversion!$F$3:$O$386,9,0),"-")</f>
        <v>-</v>
      </c>
      <c r="AZ55" s="433" t="str">
        <f>IFERROR(VLOOKUP(AW55,ListAndConversion!$F$3:$O$386,10,0),"-")</f>
        <v>-</v>
      </c>
      <c r="BA55" s="433" t="e">
        <f t="shared" si="35"/>
        <v>#DIV/0!</v>
      </c>
      <c r="BB55" s="433" t="str">
        <f t="shared" si="36"/>
        <v>-</v>
      </c>
      <c r="BC55" s="433" t="str">
        <f t="shared" si="37"/>
        <v/>
      </c>
    </row>
    <row r="56" spans="1:55" ht="14.25" x14ac:dyDescent="0.65">
      <c r="A56" s="407">
        <v>48</v>
      </c>
      <c r="B56" s="408" t="str">
        <f t="shared" ca="1" si="2"/>
        <v/>
      </c>
      <c r="C56" s="408" t="str">
        <f ca="1">IFERROR(IF(G56="","",CONCATENATE(E56,"-",INDEX(Coordinate,MATCH(F56,ListAndConversion!$X$4:$X$99,0),2))),"")</f>
        <v/>
      </c>
      <c r="D56" s="408" t="str">
        <f t="shared" ca="1" si="38"/>
        <v/>
      </c>
      <c r="E56" s="408" t="str">
        <f t="shared" ca="1" si="38"/>
        <v/>
      </c>
      <c r="F56" s="408" t="str">
        <f t="shared" ca="1" si="38"/>
        <v/>
      </c>
      <c r="G56" s="408" t="str">
        <f ca="1">IFERROR(INDEX(ListAndConversion!A:B,MATCH(Calculation!E56,ListAndConversion!A:A,0),2),"")</f>
        <v/>
      </c>
      <c r="H56" s="408" t="str">
        <f>IF(TrackIT_Lines!AD48="","",TrackIT_Lines!AD48)</f>
        <v/>
      </c>
      <c r="I56" s="408" t="str">
        <f>IF(TrackIT_Lines!AD48="","",CONCATENATE(TrackIT_Lines!AD48,"-",TrackIT_Lines!AG48))</f>
        <v/>
      </c>
      <c r="J56" s="409" t="str">
        <f t="shared" ca="1" si="39"/>
        <v/>
      </c>
      <c r="K56" s="408" t="str">
        <f t="shared" ca="1" si="39"/>
        <v/>
      </c>
      <c r="L56" s="408" t="str">
        <f t="shared" ca="1" si="39"/>
        <v/>
      </c>
      <c r="M56" s="408" t="str">
        <f t="shared" ca="1" si="39"/>
        <v/>
      </c>
      <c r="N56" s="408" t="str">
        <f t="shared" ca="1" si="39"/>
        <v/>
      </c>
      <c r="O56" s="408" t="str">
        <f t="shared" ca="1" si="39"/>
        <v/>
      </c>
      <c r="P56" s="408" t="str">
        <f t="shared" ca="1" si="39"/>
        <v/>
      </c>
      <c r="Q56" s="408" t="str">
        <f t="shared" ca="1" si="39"/>
        <v/>
      </c>
      <c r="R56" s="410" t="str">
        <f ca="1">Cluster!J75</f>
        <v>Selection</v>
      </c>
      <c r="S56" s="411" t="str">
        <f t="shared" ca="1" si="5"/>
        <v>-</v>
      </c>
      <c r="T56" s="412" t="str">
        <f t="shared" ca="1" si="6"/>
        <v/>
      </c>
      <c r="U56" s="411" t="str">
        <f t="shared" ca="1" si="7"/>
        <v>-</v>
      </c>
      <c r="V56" s="411" t="str">
        <f t="shared" ca="1" si="8"/>
        <v>-</v>
      </c>
      <c r="W56" s="413">
        <f>Cluster!N75</f>
        <v>0</v>
      </c>
      <c r="X56" s="414" t="str">
        <f t="shared" ca="1" si="9"/>
        <v>-</v>
      </c>
      <c r="Y56" s="411" t="str">
        <f t="shared" ca="1" si="10"/>
        <v>-</v>
      </c>
      <c r="Z56" s="415" t="str">
        <f t="shared" ca="1" si="11"/>
        <v>-</v>
      </c>
      <c r="AA56" s="416" t="str">
        <f t="shared" ca="1" si="12"/>
        <v>-</v>
      </c>
      <c r="AB56" s="416" t="str">
        <f t="shared" ca="1" si="13"/>
        <v/>
      </c>
      <c r="AC56" s="434">
        <f>Cluster!Q75</f>
        <v>0</v>
      </c>
      <c r="AD56" s="435" t="str">
        <f t="shared" ca="1" si="40"/>
        <v/>
      </c>
      <c r="AE56" s="436" t="str">
        <f t="shared" ca="1" si="40"/>
        <v/>
      </c>
      <c r="AF56" s="437" t="str">
        <f t="shared" ca="1" si="15"/>
        <v>-</v>
      </c>
      <c r="AG56" s="438" t="str">
        <f t="shared" ca="1" si="16"/>
        <v>-</v>
      </c>
      <c r="AH56" s="437" t="str">
        <f t="shared" ca="1" si="17"/>
        <v>-</v>
      </c>
      <c r="AI56" s="438" t="str">
        <f t="shared" ca="1" si="18"/>
        <v>-</v>
      </c>
      <c r="AJ56" s="438" t="str">
        <f t="shared" ca="1" si="19"/>
        <v>-</v>
      </c>
      <c r="AK56" s="439" t="str">
        <f ca="1">IFERROR(AE56*AD56*AL56/(IF(Cluster!AA75=Cluster!$W$8,Cluster!$W$10,IF(Cluster!AA75=Cluster!$X$8,Cluster!$X$10,IF(Cluster!AA75=Cluster!$Y$8,Cluster!$Y$10,0)))*10^3),"-")</f>
        <v>-</v>
      </c>
      <c r="AL56" s="440" t="str">
        <f ca="1">IFERROR(IF(OR(Calculation!T56&lt;(Calculation!$U$8+2),Calculation!AC56="Bypass"),IF((IF(Calculation!$O$6/((Calculation!AD56*10^-12)/(Calculation!T56*10^-9)*50)&lt;=1,1,ROUNDUP(Calculation!$O$6/((Calculation!AD56*10^-12)/(Calculation!T56*10^-9)*50),0))*50)&lt;Calculation!$AK$6,Calculation!$AK$6,IF(Calculation!$O$6/((Calculation!AD56*10^-12)/(Calculation!T56*10^-9)*50)&lt;=1,1,ROUNDUP(Calculation!$O$6/((Calculation!AD56*10^-12)/(Calculation!T56*10^-9)*50),0))*50),"-"),"-")</f>
        <v>-</v>
      </c>
      <c r="AM56" s="441" t="str">
        <f t="shared" ca="1" si="41"/>
        <v/>
      </c>
      <c r="AN56" s="442" t="str">
        <f t="shared" ca="1" si="41"/>
        <v/>
      </c>
      <c r="AO56" s="432">
        <f t="shared" ca="1" si="21"/>
        <v>384</v>
      </c>
      <c r="AP56" s="427" t="str">
        <f t="shared" ca="1" si="22"/>
        <v>-</v>
      </c>
      <c r="AQ56" s="443" t="str">
        <f t="shared" ca="1" si="23"/>
        <v>-</v>
      </c>
      <c r="AR56" s="444" t="str">
        <f t="shared" ca="1" si="24"/>
        <v>-</v>
      </c>
      <c r="AS56" s="430" t="str">
        <f t="shared" ca="1" si="25"/>
        <v>-</v>
      </c>
      <c r="AT56" s="431"/>
      <c r="AU56" s="431"/>
      <c r="AV56" s="432">
        <v>47</v>
      </c>
      <c r="AW56" s="433" t="e">
        <f>ListAndConversion!S49</f>
        <v>#DIV/0!</v>
      </c>
      <c r="AX56" s="432" t="e">
        <f>IF(AW56="-","-",IF(COUNTIF(ListAndConversion!$F$3:$M$386,Calculation!AW56)=0,"Missing Lane","OK"))</f>
        <v>#DIV/0!</v>
      </c>
      <c r="AY56" s="433" t="str">
        <f>IFERROR(VLOOKUP(AW56,ListAndConversion!$F$3:$O$386,9,0),"-")</f>
        <v>-</v>
      </c>
      <c r="AZ56" s="433" t="str">
        <f>IFERROR(VLOOKUP(AW56,ListAndConversion!$F$3:$O$386,10,0),"-")</f>
        <v>-</v>
      </c>
      <c r="BA56" s="433" t="e">
        <f t="shared" si="35"/>
        <v>#DIV/0!</v>
      </c>
      <c r="BB56" s="433" t="str">
        <f t="shared" si="36"/>
        <v>-</v>
      </c>
      <c r="BC56" s="433" t="str">
        <f t="shared" si="37"/>
        <v/>
      </c>
    </row>
    <row r="57" spans="1:55" ht="14.25" x14ac:dyDescent="0.65">
      <c r="A57" s="407">
        <v>49</v>
      </c>
      <c r="B57" s="408" t="str">
        <f t="shared" ca="1" si="2"/>
        <v/>
      </c>
      <c r="C57" s="408" t="str">
        <f ca="1">IFERROR(IF(G57="","",CONCATENATE(E57,"-",INDEX(Coordinate,MATCH(F57,ListAndConversion!$X$4:$X$99,0),2))),"")</f>
        <v/>
      </c>
      <c r="D57" s="408" t="str">
        <f t="shared" ca="1" si="38"/>
        <v/>
      </c>
      <c r="E57" s="408" t="str">
        <f t="shared" ca="1" si="38"/>
        <v/>
      </c>
      <c r="F57" s="408" t="str">
        <f t="shared" ca="1" si="38"/>
        <v/>
      </c>
      <c r="G57" s="408" t="str">
        <f ca="1">IFERROR(INDEX(ListAndConversion!A:B,MATCH(Calculation!E57,ListAndConversion!A:A,0),2),"")</f>
        <v/>
      </c>
      <c r="H57" s="408" t="str">
        <f>IF(TrackIT_Lines!AD49="","",TrackIT_Lines!AD49)</f>
        <v/>
      </c>
      <c r="I57" s="408" t="str">
        <f>IF(TrackIT_Lines!AD49="","",CONCATENATE(TrackIT_Lines!AD49,"-",TrackIT_Lines!AG49))</f>
        <v/>
      </c>
      <c r="J57" s="409" t="str">
        <f t="shared" ca="1" si="39"/>
        <v/>
      </c>
      <c r="K57" s="408" t="str">
        <f t="shared" ca="1" si="39"/>
        <v/>
      </c>
      <c r="L57" s="408" t="str">
        <f t="shared" ca="1" si="39"/>
        <v/>
      </c>
      <c r="M57" s="408" t="str">
        <f t="shared" ca="1" si="39"/>
        <v/>
      </c>
      <c r="N57" s="408" t="str">
        <f t="shared" ca="1" si="39"/>
        <v/>
      </c>
      <c r="O57" s="408" t="str">
        <f t="shared" ca="1" si="39"/>
        <v/>
      </c>
      <c r="P57" s="408" t="str">
        <f t="shared" ca="1" si="39"/>
        <v/>
      </c>
      <c r="Q57" s="408" t="str">
        <f t="shared" ca="1" si="39"/>
        <v/>
      </c>
      <c r="R57" s="410" t="str">
        <f ca="1">Cluster!J76</f>
        <v>Selection</v>
      </c>
      <c r="S57" s="411" t="str">
        <f t="shared" ca="1" si="5"/>
        <v>-</v>
      </c>
      <c r="T57" s="412" t="str">
        <f t="shared" ca="1" si="6"/>
        <v/>
      </c>
      <c r="U57" s="411" t="str">
        <f t="shared" ca="1" si="7"/>
        <v>-</v>
      </c>
      <c r="V57" s="411" t="str">
        <f t="shared" ca="1" si="8"/>
        <v>-</v>
      </c>
      <c r="W57" s="413">
        <f>Cluster!N76</f>
        <v>0</v>
      </c>
      <c r="X57" s="414" t="str">
        <f t="shared" ca="1" si="9"/>
        <v>-</v>
      </c>
      <c r="Y57" s="411" t="str">
        <f t="shared" ca="1" si="10"/>
        <v>-</v>
      </c>
      <c r="Z57" s="415" t="str">
        <f t="shared" ca="1" si="11"/>
        <v>-</v>
      </c>
      <c r="AA57" s="416" t="str">
        <f t="shared" ca="1" si="12"/>
        <v>-</v>
      </c>
      <c r="AB57" s="416" t="str">
        <f t="shared" ca="1" si="13"/>
        <v/>
      </c>
      <c r="AC57" s="434">
        <f>Cluster!Q76</f>
        <v>0</v>
      </c>
      <c r="AD57" s="435" t="str">
        <f t="shared" ca="1" si="40"/>
        <v/>
      </c>
      <c r="AE57" s="436" t="str">
        <f t="shared" ca="1" si="40"/>
        <v/>
      </c>
      <c r="AF57" s="437" t="str">
        <f t="shared" ca="1" si="15"/>
        <v>-</v>
      </c>
      <c r="AG57" s="438" t="str">
        <f t="shared" ca="1" si="16"/>
        <v>-</v>
      </c>
      <c r="AH57" s="437" t="str">
        <f t="shared" ca="1" si="17"/>
        <v>-</v>
      </c>
      <c r="AI57" s="438" t="str">
        <f t="shared" ca="1" si="18"/>
        <v>-</v>
      </c>
      <c r="AJ57" s="438" t="str">
        <f t="shared" ca="1" si="19"/>
        <v>-</v>
      </c>
      <c r="AK57" s="439" t="str">
        <f ca="1">IFERROR(AE57*AD57*AL57/(IF(Cluster!AA76=Cluster!$W$8,Cluster!$W$10,IF(Cluster!AA76=Cluster!$X$8,Cluster!$X$10,IF(Cluster!AA76=Cluster!$Y$8,Cluster!$Y$10,0)))*10^3),"-")</f>
        <v>-</v>
      </c>
      <c r="AL57" s="440" t="str">
        <f ca="1">IFERROR(IF(OR(Calculation!T57&lt;(Calculation!$U$8+2),Calculation!AC57="Bypass"),IF((IF(Calculation!$O$6/((Calculation!AD57*10^-12)/(Calculation!T57*10^-9)*50)&lt;=1,1,ROUNDUP(Calculation!$O$6/((Calculation!AD57*10^-12)/(Calculation!T57*10^-9)*50),0))*50)&lt;Calculation!$AK$6,Calculation!$AK$6,IF(Calculation!$O$6/((Calculation!AD57*10^-12)/(Calculation!T57*10^-9)*50)&lt;=1,1,ROUNDUP(Calculation!$O$6/((Calculation!AD57*10^-12)/(Calculation!T57*10^-9)*50),0))*50),"-"),"-")</f>
        <v>-</v>
      </c>
      <c r="AM57" s="441" t="str">
        <f t="shared" ca="1" si="41"/>
        <v/>
      </c>
      <c r="AN57" s="442" t="str">
        <f t="shared" ca="1" si="41"/>
        <v/>
      </c>
      <c r="AO57" s="432">
        <f t="shared" ca="1" si="21"/>
        <v>384</v>
      </c>
      <c r="AP57" s="427" t="str">
        <f t="shared" ca="1" si="22"/>
        <v>-</v>
      </c>
      <c r="AQ57" s="443" t="str">
        <f t="shared" ca="1" si="23"/>
        <v>-</v>
      </c>
      <c r="AR57" s="444" t="str">
        <f t="shared" ca="1" si="24"/>
        <v>-</v>
      </c>
      <c r="AS57" s="430" t="str">
        <f t="shared" ca="1" si="25"/>
        <v>-</v>
      </c>
      <c r="AT57" s="431"/>
      <c r="AU57" s="431"/>
      <c r="AV57" s="432">
        <v>48</v>
      </c>
      <c r="AW57" s="433" t="e">
        <f>ListAndConversion!S50</f>
        <v>#DIV/0!</v>
      </c>
      <c r="AX57" s="432" t="e">
        <f>IF(AW57="-","-",IF(COUNTIF(ListAndConversion!$F$3:$M$386,Calculation!AW57)=0,"Missing Lane","OK"))</f>
        <v>#DIV/0!</v>
      </c>
      <c r="AY57" s="433" t="str">
        <f>IFERROR(VLOOKUP(AW57,ListAndConversion!$F$3:$O$386,9,0),"-")</f>
        <v>-</v>
      </c>
      <c r="AZ57" s="433" t="str">
        <f>IFERROR(VLOOKUP(AW57,ListAndConversion!$F$3:$O$386,10,0),"-")</f>
        <v>-</v>
      </c>
      <c r="BA57" s="433" t="e">
        <f t="shared" si="35"/>
        <v>#DIV/0!</v>
      </c>
      <c r="BB57" s="433" t="str">
        <f t="shared" si="36"/>
        <v>-</v>
      </c>
      <c r="BC57" s="433" t="str">
        <f t="shared" si="37"/>
        <v/>
      </c>
    </row>
    <row r="58" spans="1:55" ht="14.25" x14ac:dyDescent="0.65">
      <c r="A58" s="407">
        <v>50</v>
      </c>
      <c r="B58" s="408" t="str">
        <f t="shared" ca="1" si="2"/>
        <v/>
      </c>
      <c r="C58" s="408" t="str">
        <f ca="1">IFERROR(IF(G58="","",CONCATENATE(E58,"-",INDEX(Coordinate,MATCH(F58,ListAndConversion!$X$4:$X$99,0),2))),"")</f>
        <v/>
      </c>
      <c r="D58" s="408" t="str">
        <f t="shared" ca="1" si="38"/>
        <v/>
      </c>
      <c r="E58" s="408" t="str">
        <f t="shared" ca="1" si="38"/>
        <v/>
      </c>
      <c r="F58" s="408" t="str">
        <f t="shared" ca="1" si="38"/>
        <v/>
      </c>
      <c r="G58" s="408" t="str">
        <f ca="1">IFERROR(INDEX(ListAndConversion!A:B,MATCH(Calculation!E58,ListAndConversion!A:A,0),2),"")</f>
        <v/>
      </c>
      <c r="H58" s="408" t="str">
        <f>IF(TrackIT_Lines!AD50="","",TrackIT_Lines!AD50)</f>
        <v/>
      </c>
      <c r="I58" s="408" t="str">
        <f>IF(TrackIT_Lines!AD50="","",CONCATENATE(TrackIT_Lines!AD50,"-",TrackIT_Lines!AG50))</f>
        <v/>
      </c>
      <c r="J58" s="409" t="str">
        <f t="shared" ca="1" si="39"/>
        <v/>
      </c>
      <c r="K58" s="408" t="str">
        <f t="shared" ca="1" si="39"/>
        <v/>
      </c>
      <c r="L58" s="408" t="str">
        <f t="shared" ca="1" si="39"/>
        <v/>
      </c>
      <c r="M58" s="408" t="str">
        <f t="shared" ca="1" si="39"/>
        <v/>
      </c>
      <c r="N58" s="408" t="str">
        <f t="shared" ca="1" si="39"/>
        <v/>
      </c>
      <c r="O58" s="408" t="str">
        <f t="shared" ca="1" si="39"/>
        <v/>
      </c>
      <c r="P58" s="408" t="str">
        <f t="shared" ca="1" si="39"/>
        <v/>
      </c>
      <c r="Q58" s="408" t="str">
        <f t="shared" ca="1" si="39"/>
        <v/>
      </c>
      <c r="R58" s="410" t="str">
        <f ca="1">Cluster!J77</f>
        <v>Selection</v>
      </c>
      <c r="S58" s="411" t="str">
        <f t="shared" ca="1" si="5"/>
        <v>-</v>
      </c>
      <c r="T58" s="412" t="str">
        <f t="shared" ca="1" si="6"/>
        <v/>
      </c>
      <c r="U58" s="411" t="str">
        <f t="shared" ca="1" si="7"/>
        <v>-</v>
      </c>
      <c r="V58" s="411" t="str">
        <f t="shared" ca="1" si="8"/>
        <v>-</v>
      </c>
      <c r="W58" s="413">
        <f>Cluster!N77</f>
        <v>0</v>
      </c>
      <c r="X58" s="414" t="str">
        <f t="shared" ca="1" si="9"/>
        <v>-</v>
      </c>
      <c r="Y58" s="411" t="str">
        <f t="shared" ca="1" si="10"/>
        <v>-</v>
      </c>
      <c r="Z58" s="415" t="str">
        <f t="shared" ca="1" si="11"/>
        <v>-</v>
      </c>
      <c r="AA58" s="416" t="str">
        <f t="shared" ca="1" si="12"/>
        <v>-</v>
      </c>
      <c r="AB58" s="416" t="str">
        <f t="shared" ca="1" si="13"/>
        <v/>
      </c>
      <c r="AC58" s="434">
        <f>Cluster!Q77</f>
        <v>0</v>
      </c>
      <c r="AD58" s="435" t="str">
        <f t="shared" ca="1" si="40"/>
        <v/>
      </c>
      <c r="AE58" s="436" t="str">
        <f t="shared" ca="1" si="40"/>
        <v/>
      </c>
      <c r="AF58" s="437" t="str">
        <f t="shared" ca="1" si="15"/>
        <v>-</v>
      </c>
      <c r="AG58" s="438" t="str">
        <f t="shared" ca="1" si="16"/>
        <v>-</v>
      </c>
      <c r="AH58" s="437" t="str">
        <f t="shared" ca="1" si="17"/>
        <v>-</v>
      </c>
      <c r="AI58" s="438" t="str">
        <f t="shared" ca="1" si="18"/>
        <v>-</v>
      </c>
      <c r="AJ58" s="438" t="str">
        <f t="shared" ca="1" si="19"/>
        <v>-</v>
      </c>
      <c r="AK58" s="439" t="str">
        <f ca="1">IFERROR(AE58*AD58*AL58/(IF(Cluster!AA77=Cluster!$W$8,Cluster!$W$10,IF(Cluster!AA77=Cluster!$X$8,Cluster!$X$10,IF(Cluster!AA77=Cluster!$Y$8,Cluster!$Y$10,0)))*10^3),"-")</f>
        <v>-</v>
      </c>
      <c r="AL58" s="440" t="str">
        <f ca="1">IFERROR(IF(OR(Calculation!T58&lt;(Calculation!$U$8+2),Calculation!AC58="Bypass"),IF((IF(Calculation!$O$6/((Calculation!AD58*10^-12)/(Calculation!T58*10^-9)*50)&lt;=1,1,ROUNDUP(Calculation!$O$6/((Calculation!AD58*10^-12)/(Calculation!T58*10^-9)*50),0))*50)&lt;Calculation!$AK$6,Calculation!$AK$6,IF(Calculation!$O$6/((Calculation!AD58*10^-12)/(Calculation!T58*10^-9)*50)&lt;=1,1,ROUNDUP(Calculation!$O$6/((Calculation!AD58*10^-12)/(Calculation!T58*10^-9)*50),0))*50),"-"),"-")</f>
        <v>-</v>
      </c>
      <c r="AM58" s="441" t="str">
        <f t="shared" ca="1" si="41"/>
        <v/>
      </c>
      <c r="AN58" s="442" t="str">
        <f t="shared" ca="1" si="41"/>
        <v/>
      </c>
      <c r="AO58" s="432">
        <f t="shared" ca="1" si="21"/>
        <v>384</v>
      </c>
      <c r="AP58" s="427" t="str">
        <f t="shared" ca="1" si="22"/>
        <v>-</v>
      </c>
      <c r="AQ58" s="443" t="str">
        <f t="shared" ca="1" si="23"/>
        <v>-</v>
      </c>
      <c r="AR58" s="444" t="str">
        <f t="shared" ca="1" si="24"/>
        <v>-</v>
      </c>
      <c r="AS58" s="430" t="str">
        <f t="shared" ca="1" si="25"/>
        <v>-</v>
      </c>
      <c r="AT58" s="431"/>
      <c r="AU58" s="431"/>
      <c r="AV58" s="432">
        <v>49</v>
      </c>
      <c r="AW58" s="433" t="e">
        <f>ListAndConversion!S51</f>
        <v>#DIV/0!</v>
      </c>
      <c r="AX58" s="432" t="e">
        <f>IF(AW58="-","-",IF(COUNTIF(ListAndConversion!$F$3:$M$386,Calculation!AW58)=0,"Missing Lane","OK"))</f>
        <v>#DIV/0!</v>
      </c>
      <c r="AY58" s="433" t="str">
        <f>IFERROR(VLOOKUP(AW58,ListAndConversion!$F$3:$O$386,9,0),"-")</f>
        <v>-</v>
      </c>
      <c r="AZ58" s="433" t="str">
        <f>IFERROR(VLOOKUP(AW58,ListAndConversion!$F$3:$O$386,10,0),"-")</f>
        <v>-</v>
      </c>
      <c r="BA58" s="433" t="e">
        <f t="shared" si="35"/>
        <v>#DIV/0!</v>
      </c>
      <c r="BB58" s="433" t="str">
        <f t="shared" si="36"/>
        <v>-</v>
      </c>
      <c r="BC58" s="433" t="str">
        <f t="shared" si="37"/>
        <v/>
      </c>
    </row>
    <row r="59" spans="1:55" ht="14.25" x14ac:dyDescent="0.65">
      <c r="A59" s="407">
        <v>51</v>
      </c>
      <c r="B59" s="408" t="str">
        <f t="shared" ca="1" si="2"/>
        <v/>
      </c>
      <c r="C59" s="408" t="str">
        <f ca="1">IFERROR(IF(G59="","",CONCATENATE(E59,"-",INDEX(Coordinate,MATCH(F59,ListAndConversion!$X$4:$X$99,0),2))),"")</f>
        <v/>
      </c>
      <c r="D59" s="408" t="str">
        <f t="shared" ca="1" si="38"/>
        <v/>
      </c>
      <c r="E59" s="408" t="str">
        <f t="shared" ca="1" si="38"/>
        <v/>
      </c>
      <c r="F59" s="408" t="str">
        <f t="shared" ca="1" si="38"/>
        <v/>
      </c>
      <c r="G59" s="408" t="str">
        <f ca="1">IFERROR(INDEX(ListAndConversion!A:B,MATCH(Calculation!E59,ListAndConversion!A:A,0),2),"")</f>
        <v/>
      </c>
      <c r="H59" s="408" t="str">
        <f>IF(TrackIT_Lines!AD51="","",TrackIT_Lines!AD51)</f>
        <v/>
      </c>
      <c r="I59" s="408" t="str">
        <f>IF(TrackIT_Lines!AD51="","",CONCATENATE(TrackIT_Lines!AD51,"-",TrackIT_Lines!AG51))</f>
        <v/>
      </c>
      <c r="J59" s="409" t="str">
        <f t="shared" ca="1" si="39"/>
        <v/>
      </c>
      <c r="K59" s="408" t="str">
        <f t="shared" ca="1" si="39"/>
        <v/>
      </c>
      <c r="L59" s="408" t="str">
        <f t="shared" ca="1" si="39"/>
        <v/>
      </c>
      <c r="M59" s="408" t="str">
        <f t="shared" ca="1" si="39"/>
        <v/>
      </c>
      <c r="N59" s="408" t="str">
        <f t="shared" ca="1" si="39"/>
        <v/>
      </c>
      <c r="O59" s="408" t="str">
        <f t="shared" ca="1" si="39"/>
        <v/>
      </c>
      <c r="P59" s="408" t="str">
        <f t="shared" ca="1" si="39"/>
        <v/>
      </c>
      <c r="Q59" s="408" t="str">
        <f t="shared" ca="1" si="39"/>
        <v/>
      </c>
      <c r="R59" s="410" t="str">
        <f ca="1">Cluster!J78</f>
        <v>Selection</v>
      </c>
      <c r="S59" s="411" t="str">
        <f t="shared" ca="1" si="5"/>
        <v>-</v>
      </c>
      <c r="T59" s="412" t="str">
        <f t="shared" ca="1" si="6"/>
        <v/>
      </c>
      <c r="U59" s="411" t="str">
        <f t="shared" ca="1" si="7"/>
        <v>-</v>
      </c>
      <c r="V59" s="411" t="str">
        <f t="shared" ca="1" si="8"/>
        <v>-</v>
      </c>
      <c r="W59" s="413">
        <f>Cluster!N78</f>
        <v>0</v>
      </c>
      <c r="X59" s="414" t="str">
        <f t="shared" ca="1" si="9"/>
        <v>-</v>
      </c>
      <c r="Y59" s="411" t="str">
        <f t="shared" ca="1" si="10"/>
        <v>-</v>
      </c>
      <c r="Z59" s="415" t="str">
        <f t="shared" ca="1" si="11"/>
        <v>-</v>
      </c>
      <c r="AA59" s="416" t="str">
        <f t="shared" ca="1" si="12"/>
        <v>-</v>
      </c>
      <c r="AB59" s="416" t="str">
        <f t="shared" ca="1" si="13"/>
        <v/>
      </c>
      <c r="AC59" s="434">
        <f>Cluster!Q78</f>
        <v>0</v>
      </c>
      <c r="AD59" s="435" t="str">
        <f t="shared" ca="1" si="40"/>
        <v/>
      </c>
      <c r="AE59" s="436" t="str">
        <f t="shared" ca="1" si="40"/>
        <v/>
      </c>
      <c r="AF59" s="437" t="str">
        <f t="shared" ca="1" si="15"/>
        <v>-</v>
      </c>
      <c r="AG59" s="438" t="str">
        <f t="shared" ca="1" si="16"/>
        <v>-</v>
      </c>
      <c r="AH59" s="437" t="str">
        <f t="shared" ca="1" si="17"/>
        <v>-</v>
      </c>
      <c r="AI59" s="438" t="str">
        <f t="shared" ca="1" si="18"/>
        <v>-</v>
      </c>
      <c r="AJ59" s="438" t="str">
        <f t="shared" ca="1" si="19"/>
        <v>-</v>
      </c>
      <c r="AK59" s="439" t="str">
        <f ca="1">IFERROR(AE59*AD59*AL59/(IF(Cluster!AA78=Cluster!$W$8,Cluster!$W$10,IF(Cluster!AA78=Cluster!$X$8,Cluster!$X$10,IF(Cluster!AA78=Cluster!$Y$8,Cluster!$Y$10,0)))*10^3),"-")</f>
        <v>-</v>
      </c>
      <c r="AL59" s="440" t="str">
        <f ca="1">IFERROR(IF(OR(Calculation!T59&lt;(Calculation!$U$8+2),Calculation!AC59="Bypass"),IF((IF(Calculation!$O$6/((Calculation!AD59*10^-12)/(Calculation!T59*10^-9)*50)&lt;=1,1,ROUNDUP(Calculation!$O$6/((Calculation!AD59*10^-12)/(Calculation!T59*10^-9)*50),0))*50)&lt;Calculation!$AK$6,Calculation!$AK$6,IF(Calculation!$O$6/((Calculation!AD59*10^-12)/(Calculation!T59*10^-9)*50)&lt;=1,1,ROUNDUP(Calculation!$O$6/((Calculation!AD59*10^-12)/(Calculation!T59*10^-9)*50),0))*50),"-"),"-")</f>
        <v>-</v>
      </c>
      <c r="AM59" s="441" t="str">
        <f t="shared" ca="1" si="41"/>
        <v/>
      </c>
      <c r="AN59" s="442" t="str">
        <f t="shared" ca="1" si="41"/>
        <v/>
      </c>
      <c r="AO59" s="432">
        <f t="shared" ca="1" si="21"/>
        <v>384</v>
      </c>
      <c r="AP59" s="427" t="str">
        <f t="shared" ca="1" si="22"/>
        <v>-</v>
      </c>
      <c r="AQ59" s="443" t="str">
        <f t="shared" ca="1" si="23"/>
        <v>-</v>
      </c>
      <c r="AR59" s="444" t="str">
        <f t="shared" ca="1" si="24"/>
        <v>-</v>
      </c>
      <c r="AS59" s="430" t="str">
        <f t="shared" ca="1" si="25"/>
        <v>-</v>
      </c>
      <c r="AT59" s="431"/>
      <c r="AU59" s="431"/>
      <c r="AV59" s="432">
        <v>50</v>
      </c>
      <c r="AW59" s="433" t="e">
        <f>ListAndConversion!S52</f>
        <v>#DIV/0!</v>
      </c>
      <c r="AX59" s="432" t="e">
        <f>IF(AW59="-","-",IF(COUNTIF(ListAndConversion!$F$3:$M$386,Calculation!AW59)=0,"Missing Lane","OK"))</f>
        <v>#DIV/0!</v>
      </c>
      <c r="AY59" s="433" t="str">
        <f>IFERROR(VLOOKUP(AW59,ListAndConversion!$F$3:$O$386,9,0),"-")</f>
        <v>-</v>
      </c>
      <c r="AZ59" s="433" t="str">
        <f>IFERROR(VLOOKUP(AW59,ListAndConversion!$F$3:$O$386,10,0),"-")</f>
        <v>-</v>
      </c>
      <c r="BA59" s="433" t="e">
        <f t="shared" si="35"/>
        <v>#DIV/0!</v>
      </c>
      <c r="BB59" s="433" t="str">
        <f t="shared" si="36"/>
        <v>-</v>
      </c>
      <c r="BC59" s="433" t="str">
        <f t="shared" si="37"/>
        <v/>
      </c>
    </row>
    <row r="60" spans="1:55" ht="14.25" x14ac:dyDescent="0.65">
      <c r="A60" s="407">
        <v>52</v>
      </c>
      <c r="B60" s="408" t="str">
        <f t="shared" ca="1" si="2"/>
        <v/>
      </c>
      <c r="C60" s="408" t="str">
        <f ca="1">IFERROR(IF(G60="","",CONCATENATE(E60,"-",INDEX(Coordinate,MATCH(F60,ListAndConversion!$X$4:$X$99,0),2))),"")</f>
        <v/>
      </c>
      <c r="D60" s="408" t="str">
        <f t="shared" ca="1" si="38"/>
        <v/>
      </c>
      <c r="E60" s="408" t="str">
        <f t="shared" ca="1" si="38"/>
        <v/>
      </c>
      <c r="F60" s="408" t="str">
        <f t="shared" ca="1" si="38"/>
        <v/>
      </c>
      <c r="G60" s="408" t="str">
        <f ca="1">IFERROR(INDEX(ListAndConversion!A:B,MATCH(Calculation!E60,ListAndConversion!A:A,0),2),"")</f>
        <v/>
      </c>
      <c r="H60" s="408" t="str">
        <f>IF(TrackIT_Lines!AD52="","",TrackIT_Lines!AD52)</f>
        <v/>
      </c>
      <c r="I60" s="408" t="str">
        <f>IF(TrackIT_Lines!AD52="","",CONCATENATE(TrackIT_Lines!AD52,"-",TrackIT_Lines!AG52))</f>
        <v/>
      </c>
      <c r="J60" s="409" t="str">
        <f t="shared" ref="J60:Q69" ca="1" si="42">IF((INDIRECT("TrackIT_Lines!"&amp;J$2&amp;$A60))="","", (INDIRECT("TrackIT_Lines!"&amp;J$2&amp;$A60)))</f>
        <v/>
      </c>
      <c r="K60" s="408" t="str">
        <f t="shared" ca="1" si="42"/>
        <v/>
      </c>
      <c r="L60" s="408" t="str">
        <f t="shared" ca="1" si="42"/>
        <v/>
      </c>
      <c r="M60" s="408" t="str">
        <f t="shared" ca="1" si="42"/>
        <v/>
      </c>
      <c r="N60" s="408" t="str">
        <f t="shared" ca="1" si="42"/>
        <v/>
      </c>
      <c r="O60" s="408" t="str">
        <f t="shared" ca="1" si="42"/>
        <v/>
      </c>
      <c r="P60" s="408" t="str">
        <f t="shared" ca="1" si="42"/>
        <v/>
      </c>
      <c r="Q60" s="408" t="str">
        <f t="shared" ca="1" si="42"/>
        <v/>
      </c>
      <c r="R60" s="410" t="str">
        <f ca="1">Cluster!J79</f>
        <v>Selection</v>
      </c>
      <c r="S60" s="411" t="str">
        <f t="shared" ca="1" si="5"/>
        <v>-</v>
      </c>
      <c r="T60" s="412" t="str">
        <f t="shared" ca="1" si="6"/>
        <v/>
      </c>
      <c r="U60" s="411" t="str">
        <f t="shared" ca="1" si="7"/>
        <v>-</v>
      </c>
      <c r="V60" s="411" t="str">
        <f t="shared" ca="1" si="8"/>
        <v>-</v>
      </c>
      <c r="W60" s="413">
        <f>Cluster!N79</f>
        <v>0</v>
      </c>
      <c r="X60" s="414" t="str">
        <f t="shared" ca="1" si="9"/>
        <v>-</v>
      </c>
      <c r="Y60" s="411" t="str">
        <f t="shared" ca="1" si="10"/>
        <v>-</v>
      </c>
      <c r="Z60" s="415" t="str">
        <f t="shared" ca="1" si="11"/>
        <v>-</v>
      </c>
      <c r="AA60" s="416" t="str">
        <f t="shared" ca="1" si="12"/>
        <v>-</v>
      </c>
      <c r="AB60" s="416" t="str">
        <f t="shared" ca="1" si="13"/>
        <v/>
      </c>
      <c r="AC60" s="434">
        <f>Cluster!Q79</f>
        <v>0</v>
      </c>
      <c r="AD60" s="435" t="str">
        <f t="shared" ca="1" si="40"/>
        <v/>
      </c>
      <c r="AE60" s="436" t="str">
        <f t="shared" ca="1" si="40"/>
        <v/>
      </c>
      <c r="AF60" s="437" t="str">
        <f t="shared" ca="1" si="15"/>
        <v>-</v>
      </c>
      <c r="AG60" s="438" t="str">
        <f t="shared" ca="1" si="16"/>
        <v>-</v>
      </c>
      <c r="AH60" s="437" t="str">
        <f t="shared" ca="1" si="17"/>
        <v>-</v>
      </c>
      <c r="AI60" s="438" t="str">
        <f t="shared" ca="1" si="18"/>
        <v>-</v>
      </c>
      <c r="AJ60" s="438" t="str">
        <f t="shared" ca="1" si="19"/>
        <v>-</v>
      </c>
      <c r="AK60" s="439" t="str">
        <f ca="1">IFERROR(AE60*AD60*AL60/(IF(Cluster!AA79=Cluster!$W$8,Cluster!$W$10,IF(Cluster!AA79=Cluster!$X$8,Cluster!$X$10,IF(Cluster!AA79=Cluster!$Y$8,Cluster!$Y$10,0)))*10^3),"-")</f>
        <v>-</v>
      </c>
      <c r="AL60" s="440" t="str">
        <f ca="1">IFERROR(IF(OR(Calculation!T60&lt;(Calculation!$U$8+2),Calculation!AC60="Bypass"),IF((IF(Calculation!$O$6/((Calculation!AD60*10^-12)/(Calculation!T60*10^-9)*50)&lt;=1,1,ROUNDUP(Calculation!$O$6/((Calculation!AD60*10^-12)/(Calculation!T60*10^-9)*50),0))*50)&lt;Calculation!$AK$6,Calculation!$AK$6,IF(Calculation!$O$6/((Calculation!AD60*10^-12)/(Calculation!T60*10^-9)*50)&lt;=1,1,ROUNDUP(Calculation!$O$6/((Calculation!AD60*10^-12)/(Calculation!T60*10^-9)*50),0))*50),"-"),"-")</f>
        <v>-</v>
      </c>
      <c r="AM60" s="441" t="str">
        <f t="shared" ca="1" si="41"/>
        <v/>
      </c>
      <c r="AN60" s="442" t="str">
        <f t="shared" ca="1" si="41"/>
        <v/>
      </c>
      <c r="AO60" s="432">
        <f t="shared" ca="1" si="21"/>
        <v>384</v>
      </c>
      <c r="AP60" s="427" t="str">
        <f t="shared" ca="1" si="22"/>
        <v>-</v>
      </c>
      <c r="AQ60" s="443" t="str">
        <f t="shared" ca="1" si="23"/>
        <v>-</v>
      </c>
      <c r="AR60" s="444" t="str">
        <f t="shared" ca="1" si="24"/>
        <v>-</v>
      </c>
      <c r="AS60" s="430" t="str">
        <f t="shared" ca="1" si="25"/>
        <v>-</v>
      </c>
      <c r="AT60" s="431"/>
      <c r="AU60" s="431"/>
      <c r="AV60" s="432">
        <v>51</v>
      </c>
      <c r="AW60" s="433" t="e">
        <f>ListAndConversion!S53</f>
        <v>#DIV/0!</v>
      </c>
      <c r="AX60" s="432" t="e">
        <f>IF(AW60="-","-",IF(COUNTIF(ListAndConversion!$F$3:$M$386,Calculation!AW60)=0,"Missing Lane","OK"))</f>
        <v>#DIV/0!</v>
      </c>
      <c r="AY60" s="433" t="str">
        <f>IFERROR(VLOOKUP(AW60,ListAndConversion!$F$3:$O$386,9,0),"-")</f>
        <v>-</v>
      </c>
      <c r="AZ60" s="433" t="str">
        <f>IFERROR(VLOOKUP(AW60,ListAndConversion!$F$3:$O$386,10,0),"-")</f>
        <v>-</v>
      </c>
      <c r="BA60" s="433" t="e">
        <f t="shared" si="35"/>
        <v>#DIV/0!</v>
      </c>
      <c r="BB60" s="433" t="str">
        <f t="shared" si="36"/>
        <v>-</v>
      </c>
      <c r="BC60" s="433" t="str">
        <f t="shared" si="37"/>
        <v/>
      </c>
    </row>
    <row r="61" spans="1:55" ht="14.25" x14ac:dyDescent="0.65">
      <c r="A61" s="407">
        <v>53</v>
      </c>
      <c r="B61" s="408" t="str">
        <f t="shared" ca="1" si="2"/>
        <v/>
      </c>
      <c r="C61" s="408" t="str">
        <f ca="1">IFERROR(IF(G61="","",CONCATENATE(E61,"-",INDEX(Coordinate,MATCH(F61,ListAndConversion!$X$4:$X$99,0),2))),"")</f>
        <v/>
      </c>
      <c r="D61" s="408" t="str">
        <f t="shared" ca="1" si="38"/>
        <v/>
      </c>
      <c r="E61" s="408" t="str">
        <f t="shared" ca="1" si="38"/>
        <v/>
      </c>
      <c r="F61" s="408" t="str">
        <f t="shared" ca="1" si="38"/>
        <v/>
      </c>
      <c r="G61" s="408" t="str">
        <f ca="1">IFERROR(INDEX(ListAndConversion!A:B,MATCH(Calculation!E61,ListAndConversion!A:A,0),2),"")</f>
        <v/>
      </c>
      <c r="H61" s="408" t="str">
        <f>IF(TrackIT_Lines!AD53="","",TrackIT_Lines!AD53)</f>
        <v/>
      </c>
      <c r="I61" s="408" t="str">
        <f>IF(TrackIT_Lines!AD53="","",CONCATENATE(TrackIT_Lines!AD53,"-",TrackIT_Lines!AG53))</f>
        <v/>
      </c>
      <c r="J61" s="409" t="str">
        <f t="shared" ca="1" si="42"/>
        <v/>
      </c>
      <c r="K61" s="408" t="str">
        <f t="shared" ca="1" si="42"/>
        <v/>
      </c>
      <c r="L61" s="408" t="str">
        <f t="shared" ca="1" si="42"/>
        <v/>
      </c>
      <c r="M61" s="408" t="str">
        <f t="shared" ca="1" si="42"/>
        <v/>
      </c>
      <c r="N61" s="408" t="str">
        <f t="shared" ca="1" si="42"/>
        <v/>
      </c>
      <c r="O61" s="408" t="str">
        <f t="shared" ca="1" si="42"/>
        <v/>
      </c>
      <c r="P61" s="408" t="str">
        <f t="shared" ca="1" si="42"/>
        <v/>
      </c>
      <c r="Q61" s="408" t="str">
        <f t="shared" ca="1" si="42"/>
        <v/>
      </c>
      <c r="R61" s="410" t="str">
        <f ca="1">Cluster!J80</f>
        <v>Selection</v>
      </c>
      <c r="S61" s="411" t="str">
        <f t="shared" ca="1" si="5"/>
        <v>-</v>
      </c>
      <c r="T61" s="412" t="str">
        <f t="shared" ca="1" si="6"/>
        <v/>
      </c>
      <c r="U61" s="411" t="str">
        <f t="shared" ca="1" si="7"/>
        <v>-</v>
      </c>
      <c r="V61" s="411" t="str">
        <f t="shared" ca="1" si="8"/>
        <v>-</v>
      </c>
      <c r="W61" s="413">
        <f>Cluster!N80</f>
        <v>0</v>
      </c>
      <c r="X61" s="414" t="str">
        <f t="shared" ca="1" si="9"/>
        <v>-</v>
      </c>
      <c r="Y61" s="411" t="str">
        <f t="shared" ca="1" si="10"/>
        <v>-</v>
      </c>
      <c r="Z61" s="415" t="str">
        <f t="shared" ca="1" si="11"/>
        <v>-</v>
      </c>
      <c r="AA61" s="416" t="str">
        <f t="shared" ca="1" si="12"/>
        <v>-</v>
      </c>
      <c r="AB61" s="416" t="str">
        <f t="shared" ca="1" si="13"/>
        <v/>
      </c>
      <c r="AC61" s="434">
        <f>Cluster!Q80</f>
        <v>0</v>
      </c>
      <c r="AD61" s="435" t="str">
        <f t="shared" ca="1" si="40"/>
        <v/>
      </c>
      <c r="AE61" s="436" t="str">
        <f t="shared" ca="1" si="40"/>
        <v/>
      </c>
      <c r="AF61" s="437" t="str">
        <f t="shared" ca="1" si="15"/>
        <v>-</v>
      </c>
      <c r="AG61" s="438" t="str">
        <f t="shared" ca="1" si="16"/>
        <v>-</v>
      </c>
      <c r="AH61" s="437" t="str">
        <f t="shared" ca="1" si="17"/>
        <v>-</v>
      </c>
      <c r="AI61" s="438" t="str">
        <f t="shared" ca="1" si="18"/>
        <v>-</v>
      </c>
      <c r="AJ61" s="438" t="str">
        <f t="shared" ca="1" si="19"/>
        <v>-</v>
      </c>
      <c r="AK61" s="439" t="str">
        <f ca="1">IFERROR(AE61*AD61*AL61/(IF(Cluster!AA80=Cluster!$W$8,Cluster!$W$10,IF(Cluster!AA80=Cluster!$X$8,Cluster!$X$10,IF(Cluster!AA80=Cluster!$Y$8,Cluster!$Y$10,0)))*10^3),"-")</f>
        <v>-</v>
      </c>
      <c r="AL61" s="440" t="str">
        <f ca="1">IFERROR(IF(OR(Calculation!T61&lt;(Calculation!$U$8+2),Calculation!AC61="Bypass"),IF((IF(Calculation!$O$6/((Calculation!AD61*10^-12)/(Calculation!T61*10^-9)*50)&lt;=1,1,ROUNDUP(Calculation!$O$6/((Calculation!AD61*10^-12)/(Calculation!T61*10^-9)*50),0))*50)&lt;Calculation!$AK$6,Calculation!$AK$6,IF(Calculation!$O$6/((Calculation!AD61*10^-12)/(Calculation!T61*10^-9)*50)&lt;=1,1,ROUNDUP(Calculation!$O$6/((Calculation!AD61*10^-12)/(Calculation!T61*10^-9)*50),0))*50),"-"),"-")</f>
        <v>-</v>
      </c>
      <c r="AM61" s="441" t="str">
        <f t="shared" ca="1" si="41"/>
        <v/>
      </c>
      <c r="AN61" s="442" t="str">
        <f t="shared" ca="1" si="41"/>
        <v/>
      </c>
      <c r="AO61" s="432">
        <f t="shared" ca="1" si="21"/>
        <v>384</v>
      </c>
      <c r="AP61" s="427" t="str">
        <f t="shared" ca="1" si="22"/>
        <v>-</v>
      </c>
      <c r="AQ61" s="443" t="str">
        <f t="shared" ca="1" si="23"/>
        <v>-</v>
      </c>
      <c r="AR61" s="444" t="str">
        <f t="shared" ca="1" si="24"/>
        <v>-</v>
      </c>
      <c r="AS61" s="430" t="str">
        <f t="shared" ca="1" si="25"/>
        <v>-</v>
      </c>
      <c r="AT61" s="431"/>
      <c r="AU61" s="431"/>
      <c r="AV61" s="432">
        <v>52</v>
      </c>
      <c r="AW61" s="433" t="e">
        <f>ListAndConversion!S54</f>
        <v>#DIV/0!</v>
      </c>
      <c r="AX61" s="432" t="e">
        <f>IF(AW61="-","-",IF(COUNTIF(ListAndConversion!$F$3:$M$386,Calculation!AW61)=0,"Missing Lane","OK"))</f>
        <v>#DIV/0!</v>
      </c>
      <c r="AY61" s="433" t="str">
        <f>IFERROR(VLOOKUP(AW61,ListAndConversion!$F$3:$O$386,9,0),"-")</f>
        <v>-</v>
      </c>
      <c r="AZ61" s="433" t="str">
        <f>IFERROR(VLOOKUP(AW61,ListAndConversion!$F$3:$O$386,10,0),"-")</f>
        <v>-</v>
      </c>
      <c r="BA61" s="433" t="e">
        <f t="shared" si="35"/>
        <v>#DIV/0!</v>
      </c>
      <c r="BB61" s="433" t="str">
        <f t="shared" si="36"/>
        <v>-</v>
      </c>
      <c r="BC61" s="433" t="str">
        <f t="shared" si="37"/>
        <v/>
      </c>
    </row>
    <row r="62" spans="1:55" ht="14.25" x14ac:dyDescent="0.65">
      <c r="A62" s="407">
        <v>54</v>
      </c>
      <c r="B62" s="408" t="str">
        <f t="shared" ca="1" si="2"/>
        <v/>
      </c>
      <c r="C62" s="408" t="str">
        <f ca="1">IFERROR(IF(G62="","",CONCATENATE(E62,"-",INDEX(Coordinate,MATCH(F62,ListAndConversion!$X$4:$X$99,0),2))),"")</f>
        <v/>
      </c>
      <c r="D62" s="408" t="str">
        <f t="shared" ca="1" si="38"/>
        <v/>
      </c>
      <c r="E62" s="408" t="str">
        <f t="shared" ca="1" si="38"/>
        <v/>
      </c>
      <c r="F62" s="408" t="str">
        <f t="shared" ca="1" si="38"/>
        <v/>
      </c>
      <c r="G62" s="408" t="str">
        <f ca="1">IFERROR(INDEX(ListAndConversion!A:B,MATCH(Calculation!E62,ListAndConversion!A:A,0),2),"")</f>
        <v/>
      </c>
      <c r="H62" s="408" t="str">
        <f>IF(TrackIT_Lines!AD54="","",TrackIT_Lines!AD54)</f>
        <v/>
      </c>
      <c r="I62" s="408" t="str">
        <f>IF(TrackIT_Lines!AD54="","",CONCATENATE(TrackIT_Lines!AD54,"-",TrackIT_Lines!AG54))</f>
        <v/>
      </c>
      <c r="J62" s="409" t="str">
        <f t="shared" ca="1" si="42"/>
        <v/>
      </c>
      <c r="K62" s="408" t="str">
        <f t="shared" ca="1" si="42"/>
        <v/>
      </c>
      <c r="L62" s="408" t="str">
        <f t="shared" ca="1" si="42"/>
        <v/>
      </c>
      <c r="M62" s="408" t="str">
        <f t="shared" ca="1" si="42"/>
        <v/>
      </c>
      <c r="N62" s="408" t="str">
        <f t="shared" ca="1" si="42"/>
        <v/>
      </c>
      <c r="O62" s="408" t="str">
        <f t="shared" ca="1" si="42"/>
        <v/>
      </c>
      <c r="P62" s="408" t="str">
        <f t="shared" ca="1" si="42"/>
        <v/>
      </c>
      <c r="Q62" s="408" t="str">
        <f t="shared" ca="1" si="42"/>
        <v/>
      </c>
      <c r="R62" s="410" t="str">
        <f ca="1">Cluster!J81</f>
        <v>Selection</v>
      </c>
      <c r="S62" s="411" t="str">
        <f t="shared" ca="1" si="5"/>
        <v>-</v>
      </c>
      <c r="T62" s="412" t="str">
        <f t="shared" ca="1" si="6"/>
        <v/>
      </c>
      <c r="U62" s="411" t="str">
        <f t="shared" ca="1" si="7"/>
        <v>-</v>
      </c>
      <c r="V62" s="411" t="str">
        <f t="shared" ca="1" si="8"/>
        <v>-</v>
      </c>
      <c r="W62" s="413">
        <f>Cluster!N81</f>
        <v>0</v>
      </c>
      <c r="X62" s="414" t="str">
        <f t="shared" ca="1" si="9"/>
        <v>-</v>
      </c>
      <c r="Y62" s="411" t="str">
        <f t="shared" ca="1" si="10"/>
        <v>-</v>
      </c>
      <c r="Z62" s="415" t="str">
        <f t="shared" ca="1" si="11"/>
        <v>-</v>
      </c>
      <c r="AA62" s="416" t="str">
        <f t="shared" ca="1" si="12"/>
        <v>-</v>
      </c>
      <c r="AB62" s="416" t="str">
        <f t="shared" ca="1" si="13"/>
        <v/>
      </c>
      <c r="AC62" s="434">
        <f>Cluster!Q81</f>
        <v>0</v>
      </c>
      <c r="AD62" s="435" t="str">
        <f t="shared" ca="1" si="40"/>
        <v/>
      </c>
      <c r="AE62" s="436" t="str">
        <f t="shared" ca="1" si="40"/>
        <v/>
      </c>
      <c r="AF62" s="437" t="str">
        <f t="shared" ca="1" si="15"/>
        <v>-</v>
      </c>
      <c r="AG62" s="438" t="str">
        <f t="shared" ca="1" si="16"/>
        <v>-</v>
      </c>
      <c r="AH62" s="437" t="str">
        <f t="shared" ca="1" si="17"/>
        <v>-</v>
      </c>
      <c r="AI62" s="438" t="str">
        <f t="shared" ca="1" si="18"/>
        <v>-</v>
      </c>
      <c r="AJ62" s="438" t="str">
        <f t="shared" ca="1" si="19"/>
        <v>-</v>
      </c>
      <c r="AK62" s="439" t="str">
        <f ca="1">IFERROR(AE62*AD62*AL62/(IF(Cluster!AA81=Cluster!$W$8,Cluster!$W$10,IF(Cluster!AA81=Cluster!$X$8,Cluster!$X$10,IF(Cluster!AA81=Cluster!$Y$8,Cluster!$Y$10,0)))*10^3),"-")</f>
        <v>-</v>
      </c>
      <c r="AL62" s="440" t="str">
        <f ca="1">IFERROR(IF(OR(Calculation!T62&lt;(Calculation!$U$8+2),Calculation!AC62="Bypass"),IF((IF(Calculation!$O$6/((Calculation!AD62*10^-12)/(Calculation!T62*10^-9)*50)&lt;=1,1,ROUNDUP(Calculation!$O$6/((Calculation!AD62*10^-12)/(Calculation!T62*10^-9)*50),0))*50)&lt;Calculation!$AK$6,Calculation!$AK$6,IF(Calculation!$O$6/((Calculation!AD62*10^-12)/(Calculation!T62*10^-9)*50)&lt;=1,1,ROUNDUP(Calculation!$O$6/((Calculation!AD62*10^-12)/(Calculation!T62*10^-9)*50),0))*50),"-"),"-")</f>
        <v>-</v>
      </c>
      <c r="AM62" s="441" t="str">
        <f t="shared" ca="1" si="41"/>
        <v/>
      </c>
      <c r="AN62" s="442" t="str">
        <f t="shared" ca="1" si="41"/>
        <v/>
      </c>
      <c r="AO62" s="432">
        <f t="shared" ca="1" si="21"/>
        <v>384</v>
      </c>
      <c r="AP62" s="427" t="str">
        <f t="shared" ca="1" si="22"/>
        <v>-</v>
      </c>
      <c r="AQ62" s="443" t="str">
        <f t="shared" ca="1" si="23"/>
        <v>-</v>
      </c>
      <c r="AR62" s="444" t="str">
        <f t="shared" ca="1" si="24"/>
        <v>-</v>
      </c>
      <c r="AS62" s="430" t="str">
        <f t="shared" ca="1" si="25"/>
        <v>-</v>
      </c>
      <c r="AT62" s="431"/>
      <c r="AU62" s="431"/>
      <c r="AV62" s="432">
        <v>53</v>
      </c>
      <c r="AW62" s="433" t="e">
        <f>ListAndConversion!S55</f>
        <v>#DIV/0!</v>
      </c>
      <c r="AX62" s="432" t="e">
        <f>IF(AW62="-","-",IF(COUNTIF(ListAndConversion!$F$3:$M$386,Calculation!AW62)=0,"Missing Lane","OK"))</f>
        <v>#DIV/0!</v>
      </c>
      <c r="AY62" s="433" t="str">
        <f>IFERROR(VLOOKUP(AW62,ListAndConversion!$F$3:$O$386,9,0),"-")</f>
        <v>-</v>
      </c>
      <c r="AZ62" s="433" t="str">
        <f>IFERROR(VLOOKUP(AW62,ListAndConversion!$F$3:$O$386,10,0),"-")</f>
        <v>-</v>
      </c>
      <c r="BA62" s="433" t="e">
        <f t="shared" si="35"/>
        <v>#DIV/0!</v>
      </c>
      <c r="BB62" s="433" t="str">
        <f t="shared" si="36"/>
        <v>-</v>
      </c>
      <c r="BC62" s="433" t="str">
        <f t="shared" si="37"/>
        <v/>
      </c>
    </row>
    <row r="63" spans="1:55" ht="14.25" x14ac:dyDescent="0.65">
      <c r="A63" s="407">
        <v>55</v>
      </c>
      <c r="B63" s="408" t="str">
        <f t="shared" ca="1" si="2"/>
        <v/>
      </c>
      <c r="C63" s="408" t="str">
        <f ca="1">IFERROR(IF(G63="","",CONCATENATE(E63,"-",INDEX(Coordinate,MATCH(F63,ListAndConversion!$X$4:$X$99,0),2))),"")</f>
        <v/>
      </c>
      <c r="D63" s="408" t="str">
        <f t="shared" ca="1" si="38"/>
        <v/>
      </c>
      <c r="E63" s="408" t="str">
        <f t="shared" ca="1" si="38"/>
        <v/>
      </c>
      <c r="F63" s="408" t="str">
        <f t="shared" ca="1" si="38"/>
        <v/>
      </c>
      <c r="G63" s="408" t="str">
        <f ca="1">IFERROR(INDEX(ListAndConversion!A:B,MATCH(Calculation!E63,ListAndConversion!A:A,0),2),"")</f>
        <v/>
      </c>
      <c r="H63" s="408" t="str">
        <f>IF(TrackIT_Lines!AD55="","",TrackIT_Lines!AD55)</f>
        <v/>
      </c>
      <c r="I63" s="408" t="str">
        <f>IF(TrackIT_Lines!AD55="","",CONCATENATE(TrackIT_Lines!AD55,"-",TrackIT_Lines!AG55))</f>
        <v/>
      </c>
      <c r="J63" s="409" t="str">
        <f t="shared" ca="1" si="42"/>
        <v/>
      </c>
      <c r="K63" s="408" t="str">
        <f t="shared" ca="1" si="42"/>
        <v/>
      </c>
      <c r="L63" s="408" t="str">
        <f t="shared" ca="1" si="42"/>
        <v/>
      </c>
      <c r="M63" s="408" t="str">
        <f t="shared" ca="1" si="42"/>
        <v/>
      </c>
      <c r="N63" s="408" t="str">
        <f t="shared" ca="1" si="42"/>
        <v/>
      </c>
      <c r="O63" s="408" t="str">
        <f t="shared" ca="1" si="42"/>
        <v/>
      </c>
      <c r="P63" s="408" t="str">
        <f t="shared" ca="1" si="42"/>
        <v/>
      </c>
      <c r="Q63" s="408" t="str">
        <f t="shared" ca="1" si="42"/>
        <v/>
      </c>
      <c r="R63" s="410" t="str">
        <f ca="1">Cluster!J82</f>
        <v>Selection</v>
      </c>
      <c r="S63" s="411" t="str">
        <f t="shared" ca="1" si="5"/>
        <v>-</v>
      </c>
      <c r="T63" s="412" t="str">
        <f t="shared" ca="1" si="6"/>
        <v/>
      </c>
      <c r="U63" s="411" t="str">
        <f t="shared" ca="1" si="7"/>
        <v>-</v>
      </c>
      <c r="V63" s="411" t="str">
        <f t="shared" ca="1" si="8"/>
        <v>-</v>
      </c>
      <c r="W63" s="413">
        <f>Cluster!N82</f>
        <v>0</v>
      </c>
      <c r="X63" s="414" t="str">
        <f t="shared" ca="1" si="9"/>
        <v>-</v>
      </c>
      <c r="Y63" s="411" t="str">
        <f t="shared" ca="1" si="10"/>
        <v>-</v>
      </c>
      <c r="Z63" s="415" t="str">
        <f t="shared" ca="1" si="11"/>
        <v>-</v>
      </c>
      <c r="AA63" s="416" t="str">
        <f t="shared" ca="1" si="12"/>
        <v>-</v>
      </c>
      <c r="AB63" s="416" t="str">
        <f t="shared" ca="1" si="13"/>
        <v/>
      </c>
      <c r="AC63" s="434">
        <f>Cluster!Q82</f>
        <v>0</v>
      </c>
      <c r="AD63" s="435" t="str">
        <f t="shared" ca="1" si="40"/>
        <v/>
      </c>
      <c r="AE63" s="436" t="str">
        <f t="shared" ca="1" si="40"/>
        <v/>
      </c>
      <c r="AF63" s="437" t="str">
        <f t="shared" ca="1" si="15"/>
        <v>-</v>
      </c>
      <c r="AG63" s="438" t="str">
        <f t="shared" ca="1" si="16"/>
        <v>-</v>
      </c>
      <c r="AH63" s="437" t="str">
        <f t="shared" ca="1" si="17"/>
        <v>-</v>
      </c>
      <c r="AI63" s="438" t="str">
        <f t="shared" ca="1" si="18"/>
        <v>-</v>
      </c>
      <c r="AJ63" s="438" t="str">
        <f t="shared" ca="1" si="19"/>
        <v>-</v>
      </c>
      <c r="AK63" s="439" t="str">
        <f ca="1">IFERROR(AE63*AD63*AL63/(IF(Cluster!AA82=Cluster!$W$8,Cluster!$W$10,IF(Cluster!AA82=Cluster!$X$8,Cluster!$X$10,IF(Cluster!AA82=Cluster!$Y$8,Cluster!$Y$10,0)))*10^3),"-")</f>
        <v>-</v>
      </c>
      <c r="AL63" s="440" t="str">
        <f ca="1">IFERROR(IF(OR(Calculation!T63&lt;(Calculation!$U$8+2),Calculation!AC63="Bypass"),IF((IF(Calculation!$O$6/((Calculation!AD63*10^-12)/(Calculation!T63*10^-9)*50)&lt;=1,1,ROUNDUP(Calculation!$O$6/((Calculation!AD63*10^-12)/(Calculation!T63*10^-9)*50),0))*50)&lt;Calculation!$AK$6,Calculation!$AK$6,IF(Calculation!$O$6/((Calculation!AD63*10^-12)/(Calculation!T63*10^-9)*50)&lt;=1,1,ROUNDUP(Calculation!$O$6/((Calculation!AD63*10^-12)/(Calculation!T63*10^-9)*50),0))*50),"-"),"-")</f>
        <v>-</v>
      </c>
      <c r="AM63" s="441" t="str">
        <f t="shared" ca="1" si="41"/>
        <v/>
      </c>
      <c r="AN63" s="442" t="str">
        <f t="shared" ca="1" si="41"/>
        <v/>
      </c>
      <c r="AO63" s="432">
        <f t="shared" ca="1" si="21"/>
        <v>384</v>
      </c>
      <c r="AP63" s="427" t="str">
        <f t="shared" ca="1" si="22"/>
        <v>-</v>
      </c>
      <c r="AQ63" s="443" t="str">
        <f t="shared" ca="1" si="23"/>
        <v>-</v>
      </c>
      <c r="AR63" s="444" t="str">
        <f t="shared" ca="1" si="24"/>
        <v>-</v>
      </c>
      <c r="AS63" s="430" t="str">
        <f t="shared" ca="1" si="25"/>
        <v>-</v>
      </c>
      <c r="AT63" s="431"/>
      <c r="AU63" s="431"/>
      <c r="AV63" s="432">
        <v>54</v>
      </c>
      <c r="AW63" s="433" t="e">
        <f>ListAndConversion!S56</f>
        <v>#DIV/0!</v>
      </c>
      <c r="AX63" s="432" t="e">
        <f>IF(AW63="-","-",IF(COUNTIF(ListAndConversion!$F$3:$M$386,Calculation!AW63)=0,"Missing Lane","OK"))</f>
        <v>#DIV/0!</v>
      </c>
      <c r="AY63" s="433" t="str">
        <f>IFERROR(VLOOKUP(AW63,ListAndConversion!$F$3:$O$386,9,0),"-")</f>
        <v>-</v>
      </c>
      <c r="AZ63" s="433" t="str">
        <f>IFERROR(VLOOKUP(AW63,ListAndConversion!$F$3:$O$386,10,0),"-")</f>
        <v>-</v>
      </c>
      <c r="BA63" s="433" t="e">
        <f t="shared" si="35"/>
        <v>#DIV/0!</v>
      </c>
      <c r="BB63" s="433" t="str">
        <f t="shared" si="36"/>
        <v>-</v>
      </c>
      <c r="BC63" s="433" t="str">
        <f t="shared" si="37"/>
        <v/>
      </c>
    </row>
    <row r="64" spans="1:55" ht="14.25" x14ac:dyDescent="0.65">
      <c r="A64" s="407">
        <v>56</v>
      </c>
      <c r="B64" s="408" t="str">
        <f t="shared" ca="1" si="2"/>
        <v/>
      </c>
      <c r="C64" s="408" t="str">
        <f ca="1">IFERROR(IF(G64="","",CONCATENATE(E64,"-",INDEX(Coordinate,MATCH(F64,ListAndConversion!$X$4:$X$99,0),2))),"")</f>
        <v/>
      </c>
      <c r="D64" s="408" t="str">
        <f t="shared" ca="1" si="38"/>
        <v/>
      </c>
      <c r="E64" s="408" t="str">
        <f t="shared" ca="1" si="38"/>
        <v/>
      </c>
      <c r="F64" s="408" t="str">
        <f t="shared" ca="1" si="38"/>
        <v/>
      </c>
      <c r="G64" s="408" t="str">
        <f ca="1">IFERROR(INDEX(ListAndConversion!A:B,MATCH(Calculation!E64,ListAndConversion!A:A,0),2),"")</f>
        <v/>
      </c>
      <c r="H64" s="408" t="str">
        <f>IF(TrackIT_Lines!AD56="","",TrackIT_Lines!AD56)</f>
        <v/>
      </c>
      <c r="I64" s="408" t="str">
        <f>IF(TrackIT_Lines!AD56="","",CONCATENATE(TrackIT_Lines!AD56,"-",TrackIT_Lines!AG56))</f>
        <v/>
      </c>
      <c r="J64" s="409" t="str">
        <f t="shared" ca="1" si="42"/>
        <v/>
      </c>
      <c r="K64" s="408" t="str">
        <f t="shared" ca="1" si="42"/>
        <v/>
      </c>
      <c r="L64" s="408" t="str">
        <f t="shared" ca="1" si="42"/>
        <v/>
      </c>
      <c r="M64" s="408" t="str">
        <f t="shared" ca="1" si="42"/>
        <v/>
      </c>
      <c r="N64" s="408" t="str">
        <f t="shared" ca="1" si="42"/>
        <v/>
      </c>
      <c r="O64" s="408" t="str">
        <f t="shared" ca="1" si="42"/>
        <v/>
      </c>
      <c r="P64" s="408" t="str">
        <f t="shared" ca="1" si="42"/>
        <v/>
      </c>
      <c r="Q64" s="408" t="str">
        <f t="shared" ca="1" si="42"/>
        <v/>
      </c>
      <c r="R64" s="410" t="str">
        <f ca="1">Cluster!J83</f>
        <v>Selection</v>
      </c>
      <c r="S64" s="411" t="str">
        <f t="shared" ca="1" si="5"/>
        <v>-</v>
      </c>
      <c r="T64" s="412" t="str">
        <f t="shared" ca="1" si="6"/>
        <v/>
      </c>
      <c r="U64" s="411" t="str">
        <f t="shared" ca="1" si="7"/>
        <v>-</v>
      </c>
      <c r="V64" s="411" t="str">
        <f t="shared" ca="1" si="8"/>
        <v>-</v>
      </c>
      <c r="W64" s="413">
        <f>Cluster!N83</f>
        <v>0</v>
      </c>
      <c r="X64" s="414" t="str">
        <f t="shared" ca="1" si="9"/>
        <v>-</v>
      </c>
      <c r="Y64" s="411" t="str">
        <f t="shared" ca="1" si="10"/>
        <v>-</v>
      </c>
      <c r="Z64" s="415" t="str">
        <f t="shared" ca="1" si="11"/>
        <v>-</v>
      </c>
      <c r="AA64" s="416" t="str">
        <f t="shared" ca="1" si="12"/>
        <v>-</v>
      </c>
      <c r="AB64" s="416" t="str">
        <f t="shared" ca="1" si="13"/>
        <v/>
      </c>
      <c r="AC64" s="434">
        <f>Cluster!Q83</f>
        <v>0</v>
      </c>
      <c r="AD64" s="435" t="str">
        <f t="shared" ca="1" si="40"/>
        <v/>
      </c>
      <c r="AE64" s="436" t="str">
        <f t="shared" ca="1" si="40"/>
        <v/>
      </c>
      <c r="AF64" s="437" t="str">
        <f t="shared" ca="1" si="15"/>
        <v>-</v>
      </c>
      <c r="AG64" s="438" t="str">
        <f t="shared" ca="1" si="16"/>
        <v>-</v>
      </c>
      <c r="AH64" s="437" t="str">
        <f t="shared" ca="1" si="17"/>
        <v>-</v>
      </c>
      <c r="AI64" s="438" t="str">
        <f t="shared" ca="1" si="18"/>
        <v>-</v>
      </c>
      <c r="AJ64" s="438" t="str">
        <f t="shared" ca="1" si="19"/>
        <v>-</v>
      </c>
      <c r="AK64" s="439" t="str">
        <f ca="1">IFERROR(AE64*AD64*AL64/(IF(Cluster!AA83=Cluster!$W$8,Cluster!$W$10,IF(Cluster!AA83=Cluster!$X$8,Cluster!$X$10,IF(Cluster!AA83=Cluster!$Y$8,Cluster!$Y$10,0)))*10^3),"-")</f>
        <v>-</v>
      </c>
      <c r="AL64" s="440" t="str">
        <f ca="1">IFERROR(IF(OR(Calculation!T64&lt;(Calculation!$U$8+2),Calculation!AC64="Bypass"),IF((IF(Calculation!$O$6/((Calculation!AD64*10^-12)/(Calculation!T64*10^-9)*50)&lt;=1,1,ROUNDUP(Calculation!$O$6/((Calculation!AD64*10^-12)/(Calculation!T64*10^-9)*50),0))*50)&lt;Calculation!$AK$6,Calculation!$AK$6,IF(Calculation!$O$6/((Calculation!AD64*10^-12)/(Calculation!T64*10^-9)*50)&lt;=1,1,ROUNDUP(Calculation!$O$6/((Calculation!AD64*10^-12)/(Calculation!T64*10^-9)*50),0))*50),"-"),"-")</f>
        <v>-</v>
      </c>
      <c r="AM64" s="441" t="str">
        <f t="shared" ca="1" si="41"/>
        <v/>
      </c>
      <c r="AN64" s="442" t="str">
        <f t="shared" ca="1" si="41"/>
        <v/>
      </c>
      <c r="AO64" s="432">
        <f t="shared" ca="1" si="21"/>
        <v>384</v>
      </c>
      <c r="AP64" s="427" t="str">
        <f t="shared" ca="1" si="22"/>
        <v>-</v>
      </c>
      <c r="AQ64" s="443" t="str">
        <f t="shared" ca="1" si="23"/>
        <v>-</v>
      </c>
      <c r="AR64" s="444" t="str">
        <f t="shared" ca="1" si="24"/>
        <v>-</v>
      </c>
      <c r="AS64" s="430" t="str">
        <f t="shared" ca="1" si="25"/>
        <v>-</v>
      </c>
      <c r="AT64" s="431"/>
      <c r="AU64" s="431"/>
      <c r="AV64" s="432">
        <v>55</v>
      </c>
      <c r="AW64" s="433" t="e">
        <f>ListAndConversion!S57</f>
        <v>#DIV/0!</v>
      </c>
      <c r="AX64" s="432" t="e">
        <f>IF(AW64="-","-",IF(COUNTIF(ListAndConversion!$F$3:$M$386,Calculation!AW64)=0,"Missing Lane","OK"))</f>
        <v>#DIV/0!</v>
      </c>
      <c r="AY64" s="433" t="str">
        <f>IFERROR(VLOOKUP(AW64,ListAndConversion!$F$3:$O$386,9,0),"-")</f>
        <v>-</v>
      </c>
      <c r="AZ64" s="433" t="str">
        <f>IFERROR(VLOOKUP(AW64,ListAndConversion!$F$3:$O$386,10,0),"-")</f>
        <v>-</v>
      </c>
      <c r="BA64" s="433" t="e">
        <f t="shared" si="35"/>
        <v>#DIV/0!</v>
      </c>
      <c r="BB64" s="433" t="str">
        <f t="shared" si="36"/>
        <v>-</v>
      </c>
      <c r="BC64" s="433" t="str">
        <f t="shared" si="37"/>
        <v/>
      </c>
    </row>
    <row r="65" spans="1:55" ht="14.25" x14ac:dyDescent="0.65">
      <c r="A65" s="407">
        <v>57</v>
      </c>
      <c r="B65" s="408" t="str">
        <f t="shared" ca="1" si="2"/>
        <v/>
      </c>
      <c r="C65" s="408" t="str">
        <f ca="1">IFERROR(IF(G65="","",CONCATENATE(E65,"-",INDEX(Coordinate,MATCH(F65,ListAndConversion!$X$4:$X$99,0),2))),"")</f>
        <v/>
      </c>
      <c r="D65" s="408" t="str">
        <f t="shared" ca="1" si="38"/>
        <v/>
      </c>
      <c r="E65" s="408" t="str">
        <f t="shared" ca="1" si="38"/>
        <v/>
      </c>
      <c r="F65" s="408" t="str">
        <f t="shared" ca="1" si="38"/>
        <v/>
      </c>
      <c r="G65" s="408" t="str">
        <f ca="1">IFERROR(INDEX(ListAndConversion!A:B,MATCH(Calculation!E65,ListAndConversion!A:A,0),2),"")</f>
        <v/>
      </c>
      <c r="H65" s="408" t="str">
        <f>IF(TrackIT_Lines!AD57="","",TrackIT_Lines!AD57)</f>
        <v/>
      </c>
      <c r="I65" s="408" t="str">
        <f>IF(TrackIT_Lines!AD57="","",CONCATENATE(TrackIT_Lines!AD57,"-",TrackIT_Lines!AG57))</f>
        <v/>
      </c>
      <c r="J65" s="409" t="str">
        <f t="shared" ca="1" si="42"/>
        <v/>
      </c>
      <c r="K65" s="408" t="str">
        <f t="shared" ca="1" si="42"/>
        <v/>
      </c>
      <c r="L65" s="408" t="str">
        <f t="shared" ca="1" si="42"/>
        <v/>
      </c>
      <c r="M65" s="408" t="str">
        <f t="shared" ca="1" si="42"/>
        <v/>
      </c>
      <c r="N65" s="408" t="str">
        <f t="shared" ca="1" si="42"/>
        <v/>
      </c>
      <c r="O65" s="408" t="str">
        <f t="shared" ca="1" si="42"/>
        <v/>
      </c>
      <c r="P65" s="408" t="str">
        <f t="shared" ca="1" si="42"/>
        <v/>
      </c>
      <c r="Q65" s="408" t="str">
        <f t="shared" ca="1" si="42"/>
        <v/>
      </c>
      <c r="R65" s="410" t="str">
        <f ca="1">Cluster!J84</f>
        <v>Selection</v>
      </c>
      <c r="S65" s="411" t="str">
        <f t="shared" ca="1" si="5"/>
        <v>-</v>
      </c>
      <c r="T65" s="412" t="str">
        <f t="shared" ca="1" si="6"/>
        <v/>
      </c>
      <c r="U65" s="411" t="str">
        <f t="shared" ca="1" si="7"/>
        <v>-</v>
      </c>
      <c r="V65" s="411" t="str">
        <f t="shared" ca="1" si="8"/>
        <v>-</v>
      </c>
      <c r="W65" s="413">
        <f>Cluster!N84</f>
        <v>0</v>
      </c>
      <c r="X65" s="414" t="str">
        <f t="shared" ca="1" si="9"/>
        <v>-</v>
      </c>
      <c r="Y65" s="411" t="str">
        <f t="shared" ca="1" si="10"/>
        <v>-</v>
      </c>
      <c r="Z65" s="415" t="str">
        <f t="shared" ca="1" si="11"/>
        <v>-</v>
      </c>
      <c r="AA65" s="416" t="str">
        <f t="shared" ca="1" si="12"/>
        <v>-</v>
      </c>
      <c r="AB65" s="416" t="str">
        <f t="shared" ca="1" si="13"/>
        <v/>
      </c>
      <c r="AC65" s="434">
        <f>Cluster!Q84</f>
        <v>0</v>
      </c>
      <c r="AD65" s="435" t="str">
        <f t="shared" ca="1" si="40"/>
        <v/>
      </c>
      <c r="AE65" s="436" t="str">
        <f t="shared" ca="1" si="40"/>
        <v/>
      </c>
      <c r="AF65" s="437" t="str">
        <f t="shared" ca="1" si="15"/>
        <v>-</v>
      </c>
      <c r="AG65" s="438" t="str">
        <f t="shared" ca="1" si="16"/>
        <v>-</v>
      </c>
      <c r="AH65" s="437" t="str">
        <f t="shared" ca="1" si="17"/>
        <v>-</v>
      </c>
      <c r="AI65" s="438" t="str">
        <f t="shared" ca="1" si="18"/>
        <v>-</v>
      </c>
      <c r="AJ65" s="438" t="str">
        <f t="shared" ca="1" si="19"/>
        <v>-</v>
      </c>
      <c r="AK65" s="439" t="str">
        <f ca="1">IFERROR(AE65*AD65*AL65/(IF(Cluster!AA84=Cluster!$W$8,Cluster!$W$10,IF(Cluster!AA84=Cluster!$X$8,Cluster!$X$10,IF(Cluster!AA84=Cluster!$Y$8,Cluster!$Y$10,0)))*10^3),"-")</f>
        <v>-</v>
      </c>
      <c r="AL65" s="440" t="str">
        <f ca="1">IFERROR(IF(OR(Calculation!T65&lt;(Calculation!$U$8+2),Calculation!AC65="Bypass"),IF((IF(Calculation!$O$6/((Calculation!AD65*10^-12)/(Calculation!T65*10^-9)*50)&lt;=1,1,ROUNDUP(Calculation!$O$6/((Calculation!AD65*10^-12)/(Calculation!T65*10^-9)*50),0))*50)&lt;Calculation!$AK$6,Calculation!$AK$6,IF(Calculation!$O$6/((Calculation!AD65*10^-12)/(Calculation!T65*10^-9)*50)&lt;=1,1,ROUNDUP(Calculation!$O$6/((Calculation!AD65*10^-12)/(Calculation!T65*10^-9)*50),0))*50),"-"),"-")</f>
        <v>-</v>
      </c>
      <c r="AM65" s="441" t="str">
        <f t="shared" ca="1" si="41"/>
        <v/>
      </c>
      <c r="AN65" s="442" t="str">
        <f t="shared" ca="1" si="41"/>
        <v/>
      </c>
      <c r="AO65" s="432">
        <f t="shared" ca="1" si="21"/>
        <v>384</v>
      </c>
      <c r="AP65" s="427" t="str">
        <f t="shared" ca="1" si="22"/>
        <v>-</v>
      </c>
      <c r="AQ65" s="443" t="str">
        <f t="shared" ca="1" si="23"/>
        <v>-</v>
      </c>
      <c r="AR65" s="444" t="str">
        <f t="shared" ca="1" si="24"/>
        <v>-</v>
      </c>
      <c r="AS65" s="430" t="str">
        <f t="shared" ca="1" si="25"/>
        <v>-</v>
      </c>
      <c r="AT65" s="431"/>
      <c r="AU65" s="431"/>
      <c r="AV65" s="432">
        <v>56</v>
      </c>
      <c r="AW65" s="433" t="e">
        <f>ListAndConversion!S58</f>
        <v>#DIV/0!</v>
      </c>
      <c r="AX65" s="432" t="e">
        <f>IF(AW65="-","-",IF(COUNTIF(ListAndConversion!$F$3:$M$386,Calculation!AW65)=0,"Missing Lane","OK"))</f>
        <v>#DIV/0!</v>
      </c>
      <c r="AY65" s="433" t="str">
        <f>IFERROR(VLOOKUP(AW65,ListAndConversion!$F$3:$O$386,9,0),"-")</f>
        <v>-</v>
      </c>
      <c r="AZ65" s="433" t="str">
        <f>IFERROR(VLOOKUP(AW65,ListAndConversion!$F$3:$O$386,10,0),"-")</f>
        <v>-</v>
      </c>
      <c r="BA65" s="433" t="e">
        <f t="shared" si="35"/>
        <v>#DIV/0!</v>
      </c>
      <c r="BB65" s="433" t="str">
        <f t="shared" si="36"/>
        <v>-</v>
      </c>
      <c r="BC65" s="433" t="str">
        <f t="shared" si="37"/>
        <v/>
      </c>
    </row>
    <row r="66" spans="1:55" ht="14.25" x14ac:dyDescent="0.65">
      <c r="A66" s="407">
        <v>58</v>
      </c>
      <c r="B66" s="408" t="str">
        <f t="shared" ca="1" si="2"/>
        <v/>
      </c>
      <c r="C66" s="408" t="str">
        <f ca="1">IFERROR(IF(G66="","",CONCATENATE(E66,"-",INDEX(Coordinate,MATCH(F66,ListAndConversion!$X$4:$X$99,0),2))),"")</f>
        <v/>
      </c>
      <c r="D66" s="408" t="str">
        <f t="shared" ca="1" si="38"/>
        <v/>
      </c>
      <c r="E66" s="408" t="str">
        <f t="shared" ca="1" si="38"/>
        <v/>
      </c>
      <c r="F66" s="408" t="str">
        <f t="shared" ca="1" si="38"/>
        <v/>
      </c>
      <c r="G66" s="408" t="str">
        <f ca="1">IFERROR(INDEX(ListAndConversion!A:B,MATCH(Calculation!E66,ListAndConversion!A:A,0),2),"")</f>
        <v/>
      </c>
      <c r="H66" s="408" t="str">
        <f>IF(TrackIT_Lines!AD58="","",TrackIT_Lines!AD58)</f>
        <v/>
      </c>
      <c r="I66" s="408" t="str">
        <f>IF(TrackIT_Lines!AD58="","",CONCATENATE(TrackIT_Lines!AD58,"-",TrackIT_Lines!AG58))</f>
        <v/>
      </c>
      <c r="J66" s="409" t="str">
        <f t="shared" ca="1" si="42"/>
        <v/>
      </c>
      <c r="K66" s="408" t="str">
        <f t="shared" ca="1" si="42"/>
        <v/>
      </c>
      <c r="L66" s="408" t="str">
        <f t="shared" ca="1" si="42"/>
        <v/>
      </c>
      <c r="M66" s="408" t="str">
        <f t="shared" ca="1" si="42"/>
        <v/>
      </c>
      <c r="N66" s="408" t="str">
        <f t="shared" ca="1" si="42"/>
        <v/>
      </c>
      <c r="O66" s="408" t="str">
        <f t="shared" ca="1" si="42"/>
        <v/>
      </c>
      <c r="P66" s="408" t="str">
        <f t="shared" ca="1" si="42"/>
        <v/>
      </c>
      <c r="Q66" s="408" t="str">
        <f t="shared" ca="1" si="42"/>
        <v/>
      </c>
      <c r="R66" s="410" t="str">
        <f ca="1">Cluster!J85</f>
        <v>Selection</v>
      </c>
      <c r="S66" s="411" t="str">
        <f t="shared" ca="1" si="5"/>
        <v>-</v>
      </c>
      <c r="T66" s="412" t="str">
        <f t="shared" ca="1" si="6"/>
        <v/>
      </c>
      <c r="U66" s="411" t="str">
        <f t="shared" ca="1" si="7"/>
        <v>-</v>
      </c>
      <c r="V66" s="411" t="str">
        <f t="shared" ca="1" si="8"/>
        <v>-</v>
      </c>
      <c r="W66" s="413">
        <f>Cluster!N85</f>
        <v>0</v>
      </c>
      <c r="X66" s="414" t="str">
        <f t="shared" ca="1" si="9"/>
        <v>-</v>
      </c>
      <c r="Y66" s="411" t="str">
        <f t="shared" ca="1" si="10"/>
        <v>-</v>
      </c>
      <c r="Z66" s="415" t="str">
        <f t="shared" ca="1" si="11"/>
        <v>-</v>
      </c>
      <c r="AA66" s="416" t="str">
        <f t="shared" ca="1" si="12"/>
        <v>-</v>
      </c>
      <c r="AB66" s="416" t="str">
        <f t="shared" ca="1" si="13"/>
        <v/>
      </c>
      <c r="AC66" s="434">
        <f>Cluster!Q85</f>
        <v>0</v>
      </c>
      <c r="AD66" s="435" t="str">
        <f t="shared" ca="1" si="40"/>
        <v/>
      </c>
      <c r="AE66" s="436" t="str">
        <f t="shared" ca="1" si="40"/>
        <v/>
      </c>
      <c r="AF66" s="437" t="str">
        <f t="shared" ca="1" si="15"/>
        <v>-</v>
      </c>
      <c r="AG66" s="438" t="str">
        <f t="shared" ca="1" si="16"/>
        <v>-</v>
      </c>
      <c r="AH66" s="437" t="str">
        <f t="shared" ca="1" si="17"/>
        <v>-</v>
      </c>
      <c r="AI66" s="438" t="str">
        <f t="shared" ca="1" si="18"/>
        <v>-</v>
      </c>
      <c r="AJ66" s="438" t="str">
        <f t="shared" ca="1" si="19"/>
        <v>-</v>
      </c>
      <c r="AK66" s="439" t="str">
        <f ca="1">IFERROR(AE66*AD66*AL66/(IF(Cluster!AA85=Cluster!$W$8,Cluster!$W$10,IF(Cluster!AA85=Cluster!$X$8,Cluster!$X$10,IF(Cluster!AA85=Cluster!$Y$8,Cluster!$Y$10,0)))*10^3),"-")</f>
        <v>-</v>
      </c>
      <c r="AL66" s="440" t="str">
        <f ca="1">IFERROR(IF(OR(Calculation!T66&lt;(Calculation!$U$8+2),Calculation!AC66="Bypass"),IF((IF(Calculation!$O$6/((Calculation!AD66*10^-12)/(Calculation!T66*10^-9)*50)&lt;=1,1,ROUNDUP(Calculation!$O$6/((Calculation!AD66*10^-12)/(Calculation!T66*10^-9)*50),0))*50)&lt;Calculation!$AK$6,Calculation!$AK$6,IF(Calculation!$O$6/((Calculation!AD66*10^-12)/(Calculation!T66*10^-9)*50)&lt;=1,1,ROUNDUP(Calculation!$O$6/((Calculation!AD66*10^-12)/(Calculation!T66*10^-9)*50),0))*50),"-"),"-")</f>
        <v>-</v>
      </c>
      <c r="AM66" s="441" t="str">
        <f t="shared" ca="1" si="41"/>
        <v/>
      </c>
      <c r="AN66" s="442" t="str">
        <f t="shared" ca="1" si="41"/>
        <v/>
      </c>
      <c r="AO66" s="432">
        <f t="shared" ca="1" si="21"/>
        <v>384</v>
      </c>
      <c r="AP66" s="427" t="str">
        <f t="shared" ca="1" si="22"/>
        <v>-</v>
      </c>
      <c r="AQ66" s="443" t="str">
        <f t="shared" ca="1" si="23"/>
        <v>-</v>
      </c>
      <c r="AR66" s="444" t="str">
        <f t="shared" ca="1" si="24"/>
        <v>-</v>
      </c>
      <c r="AS66" s="430" t="str">
        <f t="shared" ca="1" si="25"/>
        <v>-</v>
      </c>
      <c r="AT66" s="431"/>
      <c r="AU66" s="431"/>
      <c r="AV66" s="432">
        <v>57</v>
      </c>
      <c r="AW66" s="433" t="e">
        <f>ListAndConversion!S59</f>
        <v>#DIV/0!</v>
      </c>
      <c r="AX66" s="432" t="e">
        <f>IF(AW66="-","-",IF(COUNTIF(ListAndConversion!$F$3:$M$386,Calculation!AW66)=0,"Missing Lane","OK"))</f>
        <v>#DIV/0!</v>
      </c>
      <c r="AY66" s="433" t="str">
        <f>IFERROR(VLOOKUP(AW66,ListAndConversion!$F$3:$O$386,9,0),"-")</f>
        <v>-</v>
      </c>
      <c r="AZ66" s="433" t="str">
        <f>IFERROR(VLOOKUP(AW66,ListAndConversion!$F$3:$O$386,10,0),"-")</f>
        <v>-</v>
      </c>
      <c r="BA66" s="433" t="e">
        <f t="shared" si="35"/>
        <v>#DIV/0!</v>
      </c>
      <c r="BB66" s="433" t="str">
        <f t="shared" si="36"/>
        <v>-</v>
      </c>
      <c r="BC66" s="433" t="str">
        <f t="shared" si="37"/>
        <v/>
      </c>
    </row>
    <row r="67" spans="1:55" ht="14.25" x14ac:dyDescent="0.65">
      <c r="A67" s="407">
        <v>59</v>
      </c>
      <c r="B67" s="408" t="str">
        <f t="shared" ca="1" si="2"/>
        <v/>
      </c>
      <c r="C67" s="408" t="str">
        <f ca="1">IFERROR(IF(G67="","",CONCATENATE(E67,"-",INDEX(Coordinate,MATCH(F67,ListAndConversion!$X$4:$X$99,0),2))),"")</f>
        <v/>
      </c>
      <c r="D67" s="408" t="str">
        <f t="shared" ca="1" si="38"/>
        <v/>
      </c>
      <c r="E67" s="408" t="str">
        <f t="shared" ca="1" si="38"/>
        <v/>
      </c>
      <c r="F67" s="408" t="str">
        <f t="shared" ca="1" si="38"/>
        <v/>
      </c>
      <c r="G67" s="408" t="str">
        <f ca="1">IFERROR(INDEX(ListAndConversion!A:B,MATCH(Calculation!E67,ListAndConversion!A:A,0),2),"")</f>
        <v/>
      </c>
      <c r="H67" s="408" t="str">
        <f>IF(TrackIT_Lines!AD59="","",TrackIT_Lines!AD59)</f>
        <v/>
      </c>
      <c r="I67" s="408" t="str">
        <f>IF(TrackIT_Lines!AD59="","",CONCATENATE(TrackIT_Lines!AD59,"-",TrackIT_Lines!AG59))</f>
        <v/>
      </c>
      <c r="J67" s="409" t="str">
        <f t="shared" ca="1" si="42"/>
        <v/>
      </c>
      <c r="K67" s="408" t="str">
        <f t="shared" ca="1" si="42"/>
        <v/>
      </c>
      <c r="L67" s="408" t="str">
        <f t="shared" ca="1" si="42"/>
        <v/>
      </c>
      <c r="M67" s="408" t="str">
        <f t="shared" ca="1" si="42"/>
        <v/>
      </c>
      <c r="N67" s="408" t="str">
        <f t="shared" ca="1" si="42"/>
        <v/>
      </c>
      <c r="O67" s="408" t="str">
        <f t="shared" ca="1" si="42"/>
        <v/>
      </c>
      <c r="P67" s="408" t="str">
        <f t="shared" ca="1" si="42"/>
        <v/>
      </c>
      <c r="Q67" s="408" t="str">
        <f t="shared" ca="1" si="42"/>
        <v/>
      </c>
      <c r="R67" s="410" t="str">
        <f ca="1">Cluster!J86</f>
        <v>Selection</v>
      </c>
      <c r="S67" s="411" t="str">
        <f t="shared" ca="1" si="5"/>
        <v>-</v>
      </c>
      <c r="T67" s="412" t="str">
        <f t="shared" ca="1" si="6"/>
        <v/>
      </c>
      <c r="U67" s="411" t="str">
        <f t="shared" ca="1" si="7"/>
        <v>-</v>
      </c>
      <c r="V67" s="411" t="str">
        <f t="shared" ca="1" si="8"/>
        <v>-</v>
      </c>
      <c r="W67" s="413">
        <f>Cluster!N86</f>
        <v>0</v>
      </c>
      <c r="X67" s="414" t="str">
        <f t="shared" ca="1" si="9"/>
        <v>-</v>
      </c>
      <c r="Y67" s="411" t="str">
        <f t="shared" ca="1" si="10"/>
        <v>-</v>
      </c>
      <c r="Z67" s="415" t="str">
        <f t="shared" ca="1" si="11"/>
        <v>-</v>
      </c>
      <c r="AA67" s="416" t="str">
        <f t="shared" ca="1" si="12"/>
        <v>-</v>
      </c>
      <c r="AB67" s="416" t="str">
        <f t="shared" ca="1" si="13"/>
        <v/>
      </c>
      <c r="AC67" s="434">
        <f>Cluster!Q86</f>
        <v>0</v>
      </c>
      <c r="AD67" s="435" t="str">
        <f t="shared" ca="1" si="40"/>
        <v/>
      </c>
      <c r="AE67" s="436" t="str">
        <f t="shared" ca="1" si="40"/>
        <v/>
      </c>
      <c r="AF67" s="437" t="str">
        <f t="shared" ca="1" si="15"/>
        <v>-</v>
      </c>
      <c r="AG67" s="438" t="str">
        <f t="shared" ca="1" si="16"/>
        <v>-</v>
      </c>
      <c r="AH67" s="437" t="str">
        <f t="shared" ca="1" si="17"/>
        <v>-</v>
      </c>
      <c r="AI67" s="438" t="str">
        <f t="shared" ca="1" si="18"/>
        <v>-</v>
      </c>
      <c r="AJ67" s="438" t="str">
        <f t="shared" ca="1" si="19"/>
        <v>-</v>
      </c>
      <c r="AK67" s="439" t="str">
        <f ca="1">IFERROR(AE67*AD67*AL67/(IF(Cluster!AA86=Cluster!$W$8,Cluster!$W$10,IF(Cluster!AA86=Cluster!$X$8,Cluster!$X$10,IF(Cluster!AA86=Cluster!$Y$8,Cluster!$Y$10,0)))*10^3),"-")</f>
        <v>-</v>
      </c>
      <c r="AL67" s="440" t="str">
        <f ca="1">IFERROR(IF(OR(Calculation!T67&lt;(Calculation!$U$8+2),Calculation!AC67="Bypass"),IF((IF(Calculation!$O$6/((Calculation!AD67*10^-12)/(Calculation!T67*10^-9)*50)&lt;=1,1,ROUNDUP(Calculation!$O$6/((Calculation!AD67*10^-12)/(Calculation!T67*10^-9)*50),0))*50)&lt;Calculation!$AK$6,Calculation!$AK$6,IF(Calculation!$O$6/((Calculation!AD67*10^-12)/(Calculation!T67*10^-9)*50)&lt;=1,1,ROUNDUP(Calculation!$O$6/((Calculation!AD67*10^-12)/(Calculation!T67*10^-9)*50),0))*50),"-"),"-")</f>
        <v>-</v>
      </c>
      <c r="AM67" s="441" t="str">
        <f t="shared" ca="1" si="41"/>
        <v/>
      </c>
      <c r="AN67" s="442" t="str">
        <f t="shared" ca="1" si="41"/>
        <v/>
      </c>
      <c r="AO67" s="432">
        <f t="shared" ca="1" si="21"/>
        <v>384</v>
      </c>
      <c r="AP67" s="427" t="str">
        <f t="shared" ca="1" si="22"/>
        <v>-</v>
      </c>
      <c r="AQ67" s="443" t="str">
        <f t="shared" ca="1" si="23"/>
        <v>-</v>
      </c>
      <c r="AR67" s="444" t="str">
        <f t="shared" ca="1" si="24"/>
        <v>-</v>
      </c>
      <c r="AS67" s="430" t="str">
        <f t="shared" ca="1" si="25"/>
        <v>-</v>
      </c>
      <c r="AT67" s="431"/>
      <c r="AU67" s="431"/>
      <c r="AV67" s="432">
        <v>58</v>
      </c>
      <c r="AW67" s="433" t="e">
        <f>ListAndConversion!S60</f>
        <v>#DIV/0!</v>
      </c>
      <c r="AX67" s="432" t="e">
        <f>IF(AW67="-","-",IF(COUNTIF(ListAndConversion!$F$3:$M$386,Calculation!AW67)=0,"Missing Lane","OK"))</f>
        <v>#DIV/0!</v>
      </c>
      <c r="AY67" s="433" t="str">
        <f>IFERROR(VLOOKUP(AW67,ListAndConversion!$F$3:$O$386,9,0),"-")</f>
        <v>-</v>
      </c>
      <c r="AZ67" s="433" t="str">
        <f>IFERROR(VLOOKUP(AW67,ListAndConversion!$F$3:$O$386,10,0),"-")</f>
        <v>-</v>
      </c>
      <c r="BA67" s="433" t="e">
        <f t="shared" si="35"/>
        <v>#DIV/0!</v>
      </c>
      <c r="BB67" s="433" t="str">
        <f t="shared" si="36"/>
        <v>-</v>
      </c>
      <c r="BC67" s="433" t="str">
        <f t="shared" si="37"/>
        <v/>
      </c>
    </row>
    <row r="68" spans="1:55" ht="14.25" x14ac:dyDescent="0.65">
      <c r="A68" s="407">
        <v>60</v>
      </c>
      <c r="B68" s="408" t="str">
        <f t="shared" ca="1" si="2"/>
        <v/>
      </c>
      <c r="C68" s="408" t="str">
        <f ca="1">IFERROR(IF(G68="","",CONCATENATE(E68,"-",INDEX(Coordinate,MATCH(F68,ListAndConversion!$X$4:$X$99,0),2))),"")</f>
        <v/>
      </c>
      <c r="D68" s="408" t="str">
        <f t="shared" ca="1" si="38"/>
        <v/>
      </c>
      <c r="E68" s="408" t="str">
        <f t="shared" ca="1" si="38"/>
        <v/>
      </c>
      <c r="F68" s="408" t="str">
        <f t="shared" ca="1" si="38"/>
        <v/>
      </c>
      <c r="G68" s="408" t="str">
        <f ca="1">IFERROR(INDEX(ListAndConversion!A:B,MATCH(Calculation!E68,ListAndConversion!A:A,0),2),"")</f>
        <v/>
      </c>
      <c r="H68" s="408" t="str">
        <f>IF(TrackIT_Lines!AD60="","",TrackIT_Lines!AD60)</f>
        <v/>
      </c>
      <c r="I68" s="408" t="str">
        <f>IF(TrackIT_Lines!AD60="","",CONCATENATE(TrackIT_Lines!AD60,"-",TrackIT_Lines!AG60))</f>
        <v/>
      </c>
      <c r="J68" s="409" t="str">
        <f t="shared" ca="1" si="42"/>
        <v/>
      </c>
      <c r="K68" s="408" t="str">
        <f t="shared" ca="1" si="42"/>
        <v/>
      </c>
      <c r="L68" s="408" t="str">
        <f t="shared" ca="1" si="42"/>
        <v/>
      </c>
      <c r="M68" s="408" t="str">
        <f t="shared" ca="1" si="42"/>
        <v/>
      </c>
      <c r="N68" s="408" t="str">
        <f t="shared" ca="1" si="42"/>
        <v/>
      </c>
      <c r="O68" s="408" t="str">
        <f t="shared" ca="1" si="42"/>
        <v/>
      </c>
      <c r="P68" s="408" t="str">
        <f t="shared" ca="1" si="42"/>
        <v/>
      </c>
      <c r="Q68" s="408" t="str">
        <f t="shared" ca="1" si="42"/>
        <v/>
      </c>
      <c r="R68" s="410" t="str">
        <f ca="1">Cluster!J87</f>
        <v>Selection</v>
      </c>
      <c r="S68" s="411" t="str">
        <f t="shared" ca="1" si="5"/>
        <v>-</v>
      </c>
      <c r="T68" s="412" t="str">
        <f t="shared" ca="1" si="6"/>
        <v/>
      </c>
      <c r="U68" s="411" t="str">
        <f t="shared" ca="1" si="7"/>
        <v>-</v>
      </c>
      <c r="V68" s="411" t="str">
        <f t="shared" ca="1" si="8"/>
        <v>-</v>
      </c>
      <c r="W68" s="413">
        <f>Cluster!N87</f>
        <v>0</v>
      </c>
      <c r="X68" s="414" t="str">
        <f t="shared" ca="1" si="9"/>
        <v>-</v>
      </c>
      <c r="Y68" s="411" t="str">
        <f t="shared" ca="1" si="10"/>
        <v>-</v>
      </c>
      <c r="Z68" s="415" t="str">
        <f t="shared" ca="1" si="11"/>
        <v>-</v>
      </c>
      <c r="AA68" s="416" t="str">
        <f t="shared" ca="1" si="12"/>
        <v>-</v>
      </c>
      <c r="AB68" s="416" t="str">
        <f t="shared" ca="1" si="13"/>
        <v/>
      </c>
      <c r="AC68" s="434">
        <f>Cluster!Q87</f>
        <v>0</v>
      </c>
      <c r="AD68" s="435" t="str">
        <f t="shared" ca="1" si="40"/>
        <v/>
      </c>
      <c r="AE68" s="436" t="str">
        <f t="shared" ca="1" si="40"/>
        <v/>
      </c>
      <c r="AF68" s="437" t="str">
        <f t="shared" ca="1" si="15"/>
        <v>-</v>
      </c>
      <c r="AG68" s="438" t="str">
        <f t="shared" ca="1" si="16"/>
        <v>-</v>
      </c>
      <c r="AH68" s="437" t="str">
        <f t="shared" ca="1" si="17"/>
        <v>-</v>
      </c>
      <c r="AI68" s="438" t="str">
        <f t="shared" ca="1" si="18"/>
        <v>-</v>
      </c>
      <c r="AJ68" s="438" t="str">
        <f t="shared" ca="1" si="19"/>
        <v>-</v>
      </c>
      <c r="AK68" s="439" t="str">
        <f ca="1">IFERROR(AE68*AD68*AL68/(IF(Cluster!AA87=Cluster!$W$8,Cluster!$W$10,IF(Cluster!AA87=Cluster!$X$8,Cluster!$X$10,IF(Cluster!AA87=Cluster!$Y$8,Cluster!$Y$10,0)))*10^3),"-")</f>
        <v>-</v>
      </c>
      <c r="AL68" s="440" t="str">
        <f ca="1">IFERROR(IF(OR(Calculation!T68&lt;(Calculation!$U$8+2),Calculation!AC68="Bypass"),IF((IF(Calculation!$O$6/((Calculation!AD68*10^-12)/(Calculation!T68*10^-9)*50)&lt;=1,1,ROUNDUP(Calculation!$O$6/((Calculation!AD68*10^-12)/(Calculation!T68*10^-9)*50),0))*50)&lt;Calculation!$AK$6,Calculation!$AK$6,IF(Calculation!$O$6/((Calculation!AD68*10^-12)/(Calculation!T68*10^-9)*50)&lt;=1,1,ROUNDUP(Calculation!$O$6/((Calculation!AD68*10^-12)/(Calculation!T68*10^-9)*50),0))*50),"-"),"-")</f>
        <v>-</v>
      </c>
      <c r="AM68" s="441" t="str">
        <f t="shared" ca="1" si="41"/>
        <v/>
      </c>
      <c r="AN68" s="442" t="str">
        <f t="shared" ca="1" si="41"/>
        <v/>
      </c>
      <c r="AO68" s="432">
        <f t="shared" ca="1" si="21"/>
        <v>384</v>
      </c>
      <c r="AP68" s="427" t="str">
        <f t="shared" ca="1" si="22"/>
        <v>-</v>
      </c>
      <c r="AQ68" s="443" t="str">
        <f t="shared" ca="1" si="23"/>
        <v>-</v>
      </c>
      <c r="AR68" s="444" t="str">
        <f t="shared" ca="1" si="24"/>
        <v>-</v>
      </c>
      <c r="AS68" s="430" t="str">
        <f t="shared" ca="1" si="25"/>
        <v>-</v>
      </c>
      <c r="AT68" s="431"/>
      <c r="AU68" s="431"/>
      <c r="AV68" s="432">
        <v>59</v>
      </c>
      <c r="AW68" s="433" t="e">
        <f>ListAndConversion!S61</f>
        <v>#DIV/0!</v>
      </c>
      <c r="AX68" s="432" t="e">
        <f>IF(AW68="-","-",IF(COUNTIF(ListAndConversion!$F$3:$M$386,Calculation!AW68)=0,"Missing Lane","OK"))</f>
        <v>#DIV/0!</v>
      </c>
      <c r="AY68" s="433" t="str">
        <f>IFERROR(VLOOKUP(AW68,ListAndConversion!$F$3:$O$386,9,0),"-")</f>
        <v>-</v>
      </c>
      <c r="AZ68" s="433" t="str">
        <f>IFERROR(VLOOKUP(AW68,ListAndConversion!$F$3:$O$386,10,0),"-")</f>
        <v>-</v>
      </c>
      <c r="BA68" s="433" t="e">
        <f t="shared" si="35"/>
        <v>#DIV/0!</v>
      </c>
      <c r="BB68" s="433" t="str">
        <f t="shared" si="36"/>
        <v>-</v>
      </c>
      <c r="BC68" s="433" t="str">
        <f t="shared" si="37"/>
        <v/>
      </c>
    </row>
    <row r="69" spans="1:55" ht="14.25" x14ac:dyDescent="0.65">
      <c r="A69" s="407">
        <v>61</v>
      </c>
      <c r="B69" s="408" t="str">
        <f t="shared" ca="1" si="2"/>
        <v/>
      </c>
      <c r="C69" s="408" t="str">
        <f ca="1">IFERROR(IF(G69="","",CONCATENATE(E69,"-",INDEX(Coordinate,MATCH(F69,ListAndConversion!$X$4:$X$99,0),2))),"")</f>
        <v/>
      </c>
      <c r="D69" s="408" t="str">
        <f t="shared" ca="1" si="38"/>
        <v/>
      </c>
      <c r="E69" s="408" t="str">
        <f t="shared" ca="1" si="38"/>
        <v/>
      </c>
      <c r="F69" s="408" t="str">
        <f t="shared" ca="1" si="38"/>
        <v/>
      </c>
      <c r="G69" s="408" t="str">
        <f ca="1">IFERROR(INDEX(ListAndConversion!A:B,MATCH(Calculation!E69,ListAndConversion!A:A,0),2),"")</f>
        <v/>
      </c>
      <c r="H69" s="408" t="str">
        <f>IF(TrackIT_Lines!AD61="","",TrackIT_Lines!AD61)</f>
        <v/>
      </c>
      <c r="I69" s="408" t="str">
        <f>IF(TrackIT_Lines!AD61="","",CONCATENATE(TrackIT_Lines!AD61,"-",TrackIT_Lines!AG61))</f>
        <v/>
      </c>
      <c r="J69" s="409" t="str">
        <f t="shared" ca="1" si="42"/>
        <v/>
      </c>
      <c r="K69" s="408" t="str">
        <f t="shared" ca="1" si="42"/>
        <v/>
      </c>
      <c r="L69" s="408" t="str">
        <f t="shared" ca="1" si="42"/>
        <v/>
      </c>
      <c r="M69" s="408" t="str">
        <f t="shared" ca="1" si="42"/>
        <v/>
      </c>
      <c r="N69" s="408" t="str">
        <f t="shared" ca="1" si="42"/>
        <v/>
      </c>
      <c r="O69" s="408" t="str">
        <f t="shared" ca="1" si="42"/>
        <v/>
      </c>
      <c r="P69" s="408" t="str">
        <f t="shared" ca="1" si="42"/>
        <v/>
      </c>
      <c r="Q69" s="408" t="str">
        <f t="shared" ca="1" si="42"/>
        <v/>
      </c>
      <c r="R69" s="410" t="str">
        <f ca="1">Cluster!J88</f>
        <v>Selection</v>
      </c>
      <c r="S69" s="411" t="str">
        <f t="shared" ca="1" si="5"/>
        <v>-</v>
      </c>
      <c r="T69" s="412" t="str">
        <f t="shared" ca="1" si="6"/>
        <v/>
      </c>
      <c r="U69" s="411" t="str">
        <f t="shared" ca="1" si="7"/>
        <v>-</v>
      </c>
      <c r="V69" s="411" t="str">
        <f t="shared" ca="1" si="8"/>
        <v>-</v>
      </c>
      <c r="W69" s="413">
        <f>Cluster!N88</f>
        <v>0</v>
      </c>
      <c r="X69" s="414" t="str">
        <f t="shared" ca="1" si="9"/>
        <v>-</v>
      </c>
      <c r="Y69" s="411" t="str">
        <f t="shared" ca="1" si="10"/>
        <v>-</v>
      </c>
      <c r="Z69" s="415" t="str">
        <f t="shared" ca="1" si="11"/>
        <v>-</v>
      </c>
      <c r="AA69" s="416" t="str">
        <f t="shared" ca="1" si="12"/>
        <v>-</v>
      </c>
      <c r="AB69" s="416" t="str">
        <f t="shared" ca="1" si="13"/>
        <v/>
      </c>
      <c r="AC69" s="434">
        <f>Cluster!Q88</f>
        <v>0</v>
      </c>
      <c r="AD69" s="435" t="str">
        <f t="shared" ca="1" si="40"/>
        <v/>
      </c>
      <c r="AE69" s="436" t="str">
        <f t="shared" ca="1" si="40"/>
        <v/>
      </c>
      <c r="AF69" s="437" t="str">
        <f t="shared" ca="1" si="15"/>
        <v>-</v>
      </c>
      <c r="AG69" s="438" t="str">
        <f t="shared" ca="1" si="16"/>
        <v>-</v>
      </c>
      <c r="AH69" s="437" t="str">
        <f t="shared" ca="1" si="17"/>
        <v>-</v>
      </c>
      <c r="AI69" s="438" t="str">
        <f t="shared" ca="1" si="18"/>
        <v>-</v>
      </c>
      <c r="AJ69" s="438" t="str">
        <f t="shared" ca="1" si="19"/>
        <v>-</v>
      </c>
      <c r="AK69" s="439" t="str">
        <f ca="1">IFERROR(AE69*AD69*AL69/(IF(Cluster!AA88=Cluster!$W$8,Cluster!$W$10,IF(Cluster!AA88=Cluster!$X$8,Cluster!$X$10,IF(Cluster!AA88=Cluster!$Y$8,Cluster!$Y$10,0)))*10^3),"-")</f>
        <v>-</v>
      </c>
      <c r="AL69" s="440" t="str">
        <f ca="1">IFERROR(IF(OR(Calculation!T69&lt;(Calculation!$U$8+2),Calculation!AC69="Bypass"),IF((IF(Calculation!$O$6/((Calculation!AD69*10^-12)/(Calculation!T69*10^-9)*50)&lt;=1,1,ROUNDUP(Calculation!$O$6/((Calculation!AD69*10^-12)/(Calculation!T69*10^-9)*50),0))*50)&lt;Calculation!$AK$6,Calculation!$AK$6,IF(Calculation!$O$6/((Calculation!AD69*10^-12)/(Calculation!T69*10^-9)*50)&lt;=1,1,ROUNDUP(Calculation!$O$6/((Calculation!AD69*10^-12)/(Calculation!T69*10^-9)*50),0))*50),"-"),"-")</f>
        <v>-</v>
      </c>
      <c r="AM69" s="441" t="str">
        <f t="shared" ca="1" si="41"/>
        <v/>
      </c>
      <c r="AN69" s="442" t="str">
        <f t="shared" ca="1" si="41"/>
        <v/>
      </c>
      <c r="AO69" s="432">
        <f t="shared" ca="1" si="21"/>
        <v>384</v>
      </c>
      <c r="AP69" s="427" t="str">
        <f t="shared" ca="1" si="22"/>
        <v>-</v>
      </c>
      <c r="AQ69" s="443" t="str">
        <f t="shared" ca="1" si="23"/>
        <v>-</v>
      </c>
      <c r="AR69" s="444" t="str">
        <f t="shared" ca="1" si="24"/>
        <v>-</v>
      </c>
      <c r="AS69" s="430" t="str">
        <f t="shared" ca="1" si="25"/>
        <v>-</v>
      </c>
      <c r="AT69" s="431"/>
      <c r="AU69" s="431"/>
      <c r="AV69" s="432">
        <v>60</v>
      </c>
      <c r="AW69" s="433" t="e">
        <f>ListAndConversion!S62</f>
        <v>#DIV/0!</v>
      </c>
      <c r="AX69" s="432" t="e">
        <f>IF(AW69="-","-",IF(COUNTIF(ListAndConversion!$F$3:$M$386,Calculation!AW69)=0,"Missing Lane","OK"))</f>
        <v>#DIV/0!</v>
      </c>
      <c r="AY69" s="433" t="str">
        <f>IFERROR(VLOOKUP(AW69,ListAndConversion!$F$3:$O$386,9,0),"-")</f>
        <v>-</v>
      </c>
      <c r="AZ69" s="433" t="str">
        <f>IFERROR(VLOOKUP(AW69,ListAndConversion!$F$3:$O$386,10,0),"-")</f>
        <v>-</v>
      </c>
      <c r="BA69" s="433" t="e">
        <f t="shared" si="35"/>
        <v>#DIV/0!</v>
      </c>
      <c r="BB69" s="433" t="str">
        <f t="shared" si="36"/>
        <v>-</v>
      </c>
      <c r="BC69" s="433" t="str">
        <f t="shared" si="37"/>
        <v/>
      </c>
    </row>
    <row r="70" spans="1:55" ht="14.25" x14ac:dyDescent="0.65">
      <c r="A70" s="407">
        <v>62</v>
      </c>
      <c r="B70" s="408" t="str">
        <f t="shared" ca="1" si="2"/>
        <v/>
      </c>
      <c r="C70" s="408" t="str">
        <f ca="1">IFERROR(IF(G70="","",CONCATENATE(E70,"-",INDEX(Coordinate,MATCH(F70,ListAndConversion!$X$4:$X$99,0),2))),"")</f>
        <v/>
      </c>
      <c r="D70" s="408" t="str">
        <f t="shared" ref="D70:F89" ca="1" si="43">IF((INDIRECT("TrackIT_Lines!"&amp;D$2&amp;$A70))="","", (INDIRECT("TrackIT_Lines!"&amp;D$2&amp;$A70)))</f>
        <v/>
      </c>
      <c r="E70" s="408" t="str">
        <f t="shared" ca="1" si="43"/>
        <v/>
      </c>
      <c r="F70" s="408" t="str">
        <f t="shared" ca="1" si="43"/>
        <v/>
      </c>
      <c r="G70" s="408" t="str">
        <f ca="1">IFERROR(INDEX(ListAndConversion!A:B,MATCH(Calculation!E70,ListAndConversion!A:A,0),2),"")</f>
        <v/>
      </c>
      <c r="H70" s="408" t="str">
        <f>IF(TrackIT_Lines!AD62="","",TrackIT_Lines!AD62)</f>
        <v/>
      </c>
      <c r="I70" s="408" t="str">
        <f>IF(TrackIT_Lines!AD62="","",CONCATENATE(TrackIT_Lines!AD62,"-",TrackIT_Lines!AG62))</f>
        <v/>
      </c>
      <c r="J70" s="409" t="str">
        <f t="shared" ref="J70:Q79" ca="1" si="44">IF((INDIRECT("TrackIT_Lines!"&amp;J$2&amp;$A70))="","", (INDIRECT("TrackIT_Lines!"&amp;J$2&amp;$A70)))</f>
        <v/>
      </c>
      <c r="K70" s="408" t="str">
        <f t="shared" ca="1" si="44"/>
        <v/>
      </c>
      <c r="L70" s="408" t="str">
        <f t="shared" ca="1" si="44"/>
        <v/>
      </c>
      <c r="M70" s="408" t="str">
        <f t="shared" ca="1" si="44"/>
        <v/>
      </c>
      <c r="N70" s="408" t="str">
        <f t="shared" ca="1" si="44"/>
        <v/>
      </c>
      <c r="O70" s="408" t="str">
        <f t="shared" ca="1" si="44"/>
        <v/>
      </c>
      <c r="P70" s="408" t="str">
        <f t="shared" ca="1" si="44"/>
        <v/>
      </c>
      <c r="Q70" s="408" t="str">
        <f t="shared" ca="1" si="44"/>
        <v/>
      </c>
      <c r="R70" s="410" t="str">
        <f ca="1">Cluster!J89</f>
        <v>Selection</v>
      </c>
      <c r="S70" s="411" t="str">
        <f t="shared" ca="1" si="5"/>
        <v>-</v>
      </c>
      <c r="T70" s="412" t="str">
        <f t="shared" ca="1" si="6"/>
        <v/>
      </c>
      <c r="U70" s="411" t="str">
        <f t="shared" ca="1" si="7"/>
        <v>-</v>
      </c>
      <c r="V70" s="411" t="str">
        <f t="shared" ca="1" si="8"/>
        <v>-</v>
      </c>
      <c r="W70" s="413">
        <f>Cluster!N89</f>
        <v>0</v>
      </c>
      <c r="X70" s="414" t="str">
        <f t="shared" ca="1" si="9"/>
        <v>-</v>
      </c>
      <c r="Y70" s="411" t="str">
        <f t="shared" ca="1" si="10"/>
        <v>-</v>
      </c>
      <c r="Z70" s="415" t="str">
        <f t="shared" ca="1" si="11"/>
        <v>-</v>
      </c>
      <c r="AA70" s="416" t="str">
        <f t="shared" ca="1" si="12"/>
        <v>-</v>
      </c>
      <c r="AB70" s="416" t="str">
        <f t="shared" ca="1" si="13"/>
        <v/>
      </c>
      <c r="AC70" s="434">
        <f>Cluster!Q89</f>
        <v>0</v>
      </c>
      <c r="AD70" s="435" t="str">
        <f t="shared" ref="AD70:AE89" ca="1" si="45">IF((INDIRECT("TrackIT_Lines!"&amp;AD$2&amp;$A70))="","", (INDIRECT("TrackIT_Lines!"&amp;AD$2&amp;$A70)))</f>
        <v/>
      </c>
      <c r="AE70" s="436" t="str">
        <f t="shared" ca="1" si="45"/>
        <v/>
      </c>
      <c r="AF70" s="437" t="str">
        <f t="shared" ca="1" si="15"/>
        <v>-</v>
      </c>
      <c r="AG70" s="438" t="str">
        <f t="shared" ca="1" si="16"/>
        <v>-</v>
      </c>
      <c r="AH70" s="437" t="str">
        <f t="shared" ca="1" si="17"/>
        <v>-</v>
      </c>
      <c r="AI70" s="438" t="str">
        <f t="shared" ca="1" si="18"/>
        <v>-</v>
      </c>
      <c r="AJ70" s="438" t="str">
        <f t="shared" ca="1" si="19"/>
        <v>-</v>
      </c>
      <c r="AK70" s="439" t="str">
        <f ca="1">IFERROR(AE70*AD70*AL70/(IF(Cluster!AA89=Cluster!$W$8,Cluster!$W$10,IF(Cluster!AA89=Cluster!$X$8,Cluster!$X$10,IF(Cluster!AA89=Cluster!$Y$8,Cluster!$Y$10,0)))*10^3),"-")</f>
        <v>-</v>
      </c>
      <c r="AL70" s="440" t="str">
        <f ca="1">IFERROR(IF(OR(Calculation!T70&lt;(Calculation!$U$8+2),Calculation!AC70="Bypass"),IF((IF(Calculation!$O$6/((Calculation!AD70*10^-12)/(Calculation!T70*10^-9)*50)&lt;=1,1,ROUNDUP(Calculation!$O$6/((Calculation!AD70*10^-12)/(Calculation!T70*10^-9)*50),0))*50)&lt;Calculation!$AK$6,Calculation!$AK$6,IF(Calculation!$O$6/((Calculation!AD70*10^-12)/(Calculation!T70*10^-9)*50)&lt;=1,1,ROUNDUP(Calculation!$O$6/((Calculation!AD70*10^-12)/(Calculation!T70*10^-9)*50),0))*50),"-"),"-")</f>
        <v>-</v>
      </c>
      <c r="AM70" s="441" t="str">
        <f t="shared" ref="AM70:AN89" ca="1" si="46">IF((INDIRECT("TrackIT_Lines!"&amp;AM$2&amp;$A70))="","", (INDIRECT("TrackIT_Lines!"&amp;AM$2&amp;$A70)))</f>
        <v/>
      </c>
      <c r="AN70" s="442" t="str">
        <f t="shared" ca="1" si="46"/>
        <v/>
      </c>
      <c r="AO70" s="432">
        <f t="shared" ca="1" si="21"/>
        <v>384</v>
      </c>
      <c r="AP70" s="427" t="str">
        <f t="shared" ca="1" si="22"/>
        <v>-</v>
      </c>
      <c r="AQ70" s="443" t="str">
        <f t="shared" ca="1" si="23"/>
        <v>-</v>
      </c>
      <c r="AR70" s="444" t="str">
        <f t="shared" ca="1" si="24"/>
        <v>-</v>
      </c>
      <c r="AS70" s="430" t="str">
        <f t="shared" ca="1" si="25"/>
        <v>-</v>
      </c>
      <c r="AT70" s="431"/>
      <c r="AU70" s="431"/>
      <c r="AV70" s="432">
        <v>61</v>
      </c>
      <c r="AW70" s="433" t="e">
        <f>ListAndConversion!S63</f>
        <v>#DIV/0!</v>
      </c>
      <c r="AX70" s="432" t="e">
        <f>IF(AW70="-","-",IF(COUNTIF(ListAndConversion!$F$3:$M$386,Calculation!AW70)=0,"Missing Lane","OK"))</f>
        <v>#DIV/0!</v>
      </c>
      <c r="AY70" s="433" t="str">
        <f>IFERROR(VLOOKUP(AW70,ListAndConversion!$F$3:$O$386,9,0),"-")</f>
        <v>-</v>
      </c>
      <c r="AZ70" s="433" t="str">
        <f>IFERROR(VLOOKUP(AW70,ListAndConversion!$F$3:$O$386,10,0),"-")</f>
        <v>-</v>
      </c>
      <c r="BA70" s="433" t="e">
        <f t="shared" si="35"/>
        <v>#DIV/0!</v>
      </c>
      <c r="BB70" s="433" t="str">
        <f t="shared" si="36"/>
        <v>-</v>
      </c>
      <c r="BC70" s="433" t="str">
        <f t="shared" si="37"/>
        <v/>
      </c>
    </row>
    <row r="71" spans="1:55" ht="14.25" x14ac:dyDescent="0.65">
      <c r="A71" s="407">
        <v>63</v>
      </c>
      <c r="B71" s="408" t="str">
        <f t="shared" ca="1" si="2"/>
        <v/>
      </c>
      <c r="C71" s="408" t="str">
        <f ca="1">IFERROR(IF(G71="","",CONCATENATE(E71,"-",INDEX(Coordinate,MATCH(F71,ListAndConversion!$X$4:$X$99,0),2))),"")</f>
        <v/>
      </c>
      <c r="D71" s="408" t="str">
        <f t="shared" ca="1" si="43"/>
        <v/>
      </c>
      <c r="E71" s="408" t="str">
        <f t="shared" ca="1" si="43"/>
        <v/>
      </c>
      <c r="F71" s="408" t="str">
        <f t="shared" ca="1" si="43"/>
        <v/>
      </c>
      <c r="G71" s="408" t="str">
        <f ca="1">IFERROR(INDEX(ListAndConversion!A:B,MATCH(Calculation!E71,ListAndConversion!A:A,0),2),"")</f>
        <v/>
      </c>
      <c r="H71" s="408" t="str">
        <f>IF(TrackIT_Lines!AD63="","",TrackIT_Lines!AD63)</f>
        <v/>
      </c>
      <c r="I71" s="408" t="str">
        <f>IF(TrackIT_Lines!AD63="","",CONCATENATE(TrackIT_Lines!AD63,"-",TrackIT_Lines!AG63))</f>
        <v/>
      </c>
      <c r="J71" s="409" t="str">
        <f t="shared" ca="1" si="44"/>
        <v/>
      </c>
      <c r="K71" s="408" t="str">
        <f t="shared" ca="1" si="44"/>
        <v/>
      </c>
      <c r="L71" s="408" t="str">
        <f t="shared" ca="1" si="44"/>
        <v/>
      </c>
      <c r="M71" s="408" t="str">
        <f t="shared" ca="1" si="44"/>
        <v/>
      </c>
      <c r="N71" s="408" t="str">
        <f t="shared" ca="1" si="44"/>
        <v/>
      </c>
      <c r="O71" s="408" t="str">
        <f t="shared" ca="1" si="44"/>
        <v/>
      </c>
      <c r="P71" s="408" t="str">
        <f t="shared" ca="1" si="44"/>
        <v/>
      </c>
      <c r="Q71" s="408" t="str">
        <f t="shared" ca="1" si="44"/>
        <v/>
      </c>
      <c r="R71" s="410" t="str">
        <f ca="1">Cluster!J90</f>
        <v>Selection</v>
      </c>
      <c r="S71" s="411" t="str">
        <f t="shared" ca="1" si="5"/>
        <v>-</v>
      </c>
      <c r="T71" s="412" t="str">
        <f t="shared" ca="1" si="6"/>
        <v/>
      </c>
      <c r="U71" s="411" t="str">
        <f t="shared" ca="1" si="7"/>
        <v>-</v>
      </c>
      <c r="V71" s="411" t="str">
        <f t="shared" ca="1" si="8"/>
        <v>-</v>
      </c>
      <c r="W71" s="413">
        <f>Cluster!N90</f>
        <v>0</v>
      </c>
      <c r="X71" s="414" t="str">
        <f t="shared" ca="1" si="9"/>
        <v>-</v>
      </c>
      <c r="Y71" s="411" t="str">
        <f t="shared" ca="1" si="10"/>
        <v>-</v>
      </c>
      <c r="Z71" s="415" t="str">
        <f t="shared" ca="1" si="11"/>
        <v>-</v>
      </c>
      <c r="AA71" s="416" t="str">
        <f t="shared" ca="1" si="12"/>
        <v>-</v>
      </c>
      <c r="AB71" s="416" t="str">
        <f t="shared" ca="1" si="13"/>
        <v/>
      </c>
      <c r="AC71" s="434">
        <f>Cluster!Q90</f>
        <v>0</v>
      </c>
      <c r="AD71" s="435" t="str">
        <f t="shared" ca="1" si="45"/>
        <v/>
      </c>
      <c r="AE71" s="436" t="str">
        <f t="shared" ca="1" si="45"/>
        <v/>
      </c>
      <c r="AF71" s="437" t="str">
        <f t="shared" ca="1" si="15"/>
        <v>-</v>
      </c>
      <c r="AG71" s="438" t="str">
        <f t="shared" ca="1" si="16"/>
        <v>-</v>
      </c>
      <c r="AH71" s="437" t="str">
        <f t="shared" ca="1" si="17"/>
        <v>-</v>
      </c>
      <c r="AI71" s="438" t="str">
        <f t="shared" ca="1" si="18"/>
        <v>-</v>
      </c>
      <c r="AJ71" s="438" t="str">
        <f t="shared" ca="1" si="19"/>
        <v>-</v>
      </c>
      <c r="AK71" s="439" t="str">
        <f ca="1">IFERROR(AE71*AD71*AL71/(IF(Cluster!AA90=Cluster!$W$8,Cluster!$W$10,IF(Cluster!AA90=Cluster!$X$8,Cluster!$X$10,IF(Cluster!AA90=Cluster!$Y$8,Cluster!$Y$10,0)))*10^3),"-")</f>
        <v>-</v>
      </c>
      <c r="AL71" s="440" t="str">
        <f ca="1">IFERROR(IF(OR(Calculation!T71&lt;(Calculation!$U$8+2),Calculation!AC71="Bypass"),IF((IF(Calculation!$O$6/((Calculation!AD71*10^-12)/(Calculation!T71*10^-9)*50)&lt;=1,1,ROUNDUP(Calculation!$O$6/((Calculation!AD71*10^-12)/(Calculation!T71*10^-9)*50),0))*50)&lt;Calculation!$AK$6,Calculation!$AK$6,IF(Calculation!$O$6/((Calculation!AD71*10^-12)/(Calculation!T71*10^-9)*50)&lt;=1,1,ROUNDUP(Calculation!$O$6/((Calculation!AD71*10^-12)/(Calculation!T71*10^-9)*50),0))*50),"-"),"-")</f>
        <v>-</v>
      </c>
      <c r="AM71" s="441" t="str">
        <f t="shared" ca="1" si="46"/>
        <v/>
      </c>
      <c r="AN71" s="442" t="str">
        <f t="shared" ca="1" si="46"/>
        <v/>
      </c>
      <c r="AO71" s="432">
        <f t="shared" ca="1" si="21"/>
        <v>384</v>
      </c>
      <c r="AP71" s="427" t="str">
        <f t="shared" ca="1" si="22"/>
        <v>-</v>
      </c>
      <c r="AQ71" s="443" t="str">
        <f t="shared" ca="1" si="23"/>
        <v>-</v>
      </c>
      <c r="AR71" s="444" t="str">
        <f t="shared" ca="1" si="24"/>
        <v>-</v>
      </c>
      <c r="AS71" s="430" t="str">
        <f t="shared" ca="1" si="25"/>
        <v>-</v>
      </c>
      <c r="AT71" s="431"/>
      <c r="AU71" s="431"/>
      <c r="AV71" s="432">
        <v>62</v>
      </c>
      <c r="AW71" s="433" t="e">
        <f>ListAndConversion!S64</f>
        <v>#DIV/0!</v>
      </c>
      <c r="AX71" s="432" t="e">
        <f>IF(AW71="-","-",IF(COUNTIF(ListAndConversion!$F$3:$M$386,Calculation!AW71)=0,"Missing Lane","OK"))</f>
        <v>#DIV/0!</v>
      </c>
      <c r="AY71" s="433" t="str">
        <f>IFERROR(VLOOKUP(AW71,ListAndConversion!$F$3:$O$386,9,0),"-")</f>
        <v>-</v>
      </c>
      <c r="AZ71" s="433" t="str">
        <f>IFERROR(VLOOKUP(AW71,ListAndConversion!$F$3:$O$386,10,0),"-")</f>
        <v>-</v>
      </c>
      <c r="BA71" s="433" t="e">
        <f t="shared" si="35"/>
        <v>#DIV/0!</v>
      </c>
      <c r="BB71" s="433" t="str">
        <f t="shared" si="36"/>
        <v>-</v>
      </c>
      <c r="BC71" s="433" t="str">
        <f t="shared" si="37"/>
        <v/>
      </c>
    </row>
    <row r="72" spans="1:55" ht="14.25" x14ac:dyDescent="0.65">
      <c r="A72" s="407">
        <v>64</v>
      </c>
      <c r="B72" s="408" t="str">
        <f t="shared" ca="1" si="2"/>
        <v/>
      </c>
      <c r="C72" s="408" t="str">
        <f ca="1">IFERROR(IF(G72="","",CONCATENATE(E72,"-",INDEX(Coordinate,MATCH(F72,ListAndConversion!$X$4:$X$99,0),2))),"")</f>
        <v/>
      </c>
      <c r="D72" s="408" t="str">
        <f t="shared" ca="1" si="43"/>
        <v/>
      </c>
      <c r="E72" s="408" t="str">
        <f t="shared" ca="1" si="43"/>
        <v/>
      </c>
      <c r="F72" s="408" t="str">
        <f t="shared" ca="1" si="43"/>
        <v/>
      </c>
      <c r="G72" s="408" t="str">
        <f ca="1">IFERROR(INDEX(ListAndConversion!A:B,MATCH(Calculation!E72,ListAndConversion!A:A,0),2),"")</f>
        <v/>
      </c>
      <c r="H72" s="408" t="str">
        <f>IF(TrackIT_Lines!AD64="","",TrackIT_Lines!AD64)</f>
        <v/>
      </c>
      <c r="I72" s="408" t="str">
        <f>IF(TrackIT_Lines!AD64="","",CONCATENATE(TrackIT_Lines!AD64,"-",TrackIT_Lines!AG64))</f>
        <v/>
      </c>
      <c r="J72" s="409" t="str">
        <f t="shared" ca="1" si="44"/>
        <v/>
      </c>
      <c r="K72" s="408" t="str">
        <f t="shared" ca="1" si="44"/>
        <v/>
      </c>
      <c r="L72" s="408" t="str">
        <f t="shared" ca="1" si="44"/>
        <v/>
      </c>
      <c r="M72" s="408" t="str">
        <f t="shared" ca="1" si="44"/>
        <v/>
      </c>
      <c r="N72" s="408" t="str">
        <f t="shared" ca="1" si="44"/>
        <v/>
      </c>
      <c r="O72" s="408" t="str">
        <f t="shared" ca="1" si="44"/>
        <v/>
      </c>
      <c r="P72" s="408" t="str">
        <f t="shared" ca="1" si="44"/>
        <v/>
      </c>
      <c r="Q72" s="408" t="str">
        <f t="shared" ca="1" si="44"/>
        <v/>
      </c>
      <c r="R72" s="410" t="str">
        <f ca="1">Cluster!J91</f>
        <v>Selection</v>
      </c>
      <c r="S72" s="411" t="str">
        <f t="shared" ca="1" si="5"/>
        <v>-</v>
      </c>
      <c r="T72" s="412" t="str">
        <f t="shared" ca="1" si="6"/>
        <v/>
      </c>
      <c r="U72" s="411" t="str">
        <f t="shared" ca="1" si="7"/>
        <v>-</v>
      </c>
      <c r="V72" s="411" t="str">
        <f t="shared" ca="1" si="8"/>
        <v>-</v>
      </c>
      <c r="W72" s="413">
        <f>Cluster!N91</f>
        <v>0</v>
      </c>
      <c r="X72" s="414" t="str">
        <f t="shared" ca="1" si="9"/>
        <v>-</v>
      </c>
      <c r="Y72" s="411" t="str">
        <f t="shared" ca="1" si="10"/>
        <v>-</v>
      </c>
      <c r="Z72" s="415" t="str">
        <f t="shared" ca="1" si="11"/>
        <v>-</v>
      </c>
      <c r="AA72" s="416" t="str">
        <f t="shared" ca="1" si="12"/>
        <v>-</v>
      </c>
      <c r="AB72" s="416" t="str">
        <f t="shared" ca="1" si="13"/>
        <v/>
      </c>
      <c r="AC72" s="434">
        <f>Cluster!Q91</f>
        <v>0</v>
      </c>
      <c r="AD72" s="435" t="str">
        <f t="shared" ca="1" si="45"/>
        <v/>
      </c>
      <c r="AE72" s="436" t="str">
        <f t="shared" ca="1" si="45"/>
        <v/>
      </c>
      <c r="AF72" s="437" t="str">
        <f t="shared" ca="1" si="15"/>
        <v>-</v>
      </c>
      <c r="AG72" s="438" t="str">
        <f t="shared" ca="1" si="16"/>
        <v>-</v>
      </c>
      <c r="AH72" s="437" t="str">
        <f t="shared" ca="1" si="17"/>
        <v>-</v>
      </c>
      <c r="AI72" s="438" t="str">
        <f t="shared" ca="1" si="18"/>
        <v>-</v>
      </c>
      <c r="AJ72" s="438" t="str">
        <f t="shared" ca="1" si="19"/>
        <v>-</v>
      </c>
      <c r="AK72" s="439" t="str">
        <f ca="1">IFERROR(AE72*AD72*AL72/(IF(Cluster!AA91=Cluster!$W$8,Cluster!$W$10,IF(Cluster!AA91=Cluster!$X$8,Cluster!$X$10,IF(Cluster!AA91=Cluster!$Y$8,Cluster!$Y$10,0)))*10^3),"-")</f>
        <v>-</v>
      </c>
      <c r="AL72" s="440" t="str">
        <f ca="1">IFERROR(IF(OR(Calculation!T72&lt;(Calculation!$U$8+2),Calculation!AC72="Bypass"),IF((IF(Calculation!$O$6/((Calculation!AD72*10^-12)/(Calculation!T72*10^-9)*50)&lt;=1,1,ROUNDUP(Calculation!$O$6/((Calculation!AD72*10^-12)/(Calculation!T72*10^-9)*50),0))*50)&lt;Calculation!$AK$6,Calculation!$AK$6,IF(Calculation!$O$6/((Calculation!AD72*10^-12)/(Calculation!T72*10^-9)*50)&lt;=1,1,ROUNDUP(Calculation!$O$6/((Calculation!AD72*10^-12)/(Calculation!T72*10^-9)*50),0))*50),"-"),"-")</f>
        <v>-</v>
      </c>
      <c r="AM72" s="441" t="str">
        <f t="shared" ca="1" si="46"/>
        <v/>
      </c>
      <c r="AN72" s="442" t="str">
        <f t="shared" ca="1" si="46"/>
        <v/>
      </c>
      <c r="AO72" s="432">
        <f t="shared" ca="1" si="21"/>
        <v>384</v>
      </c>
      <c r="AP72" s="427" t="str">
        <f t="shared" ca="1" si="22"/>
        <v>-</v>
      </c>
      <c r="AQ72" s="443" t="str">
        <f t="shared" ca="1" si="23"/>
        <v>-</v>
      </c>
      <c r="AR72" s="444" t="str">
        <f t="shared" ca="1" si="24"/>
        <v>-</v>
      </c>
      <c r="AS72" s="430" t="str">
        <f t="shared" ca="1" si="25"/>
        <v>-</v>
      </c>
      <c r="AT72" s="431"/>
      <c r="AU72" s="431"/>
      <c r="AV72" s="432">
        <v>63</v>
      </c>
      <c r="AW72" s="433" t="e">
        <f>ListAndConversion!S65</f>
        <v>#DIV/0!</v>
      </c>
      <c r="AX72" s="432" t="e">
        <f>IF(AW72="-","-",IF(COUNTIF(ListAndConversion!$F$3:$M$386,Calculation!AW72)=0,"Missing Lane","OK"))</f>
        <v>#DIV/0!</v>
      </c>
      <c r="AY72" s="433" t="str">
        <f>IFERROR(VLOOKUP(AW72,ListAndConversion!$F$3:$O$386,9,0),"-")</f>
        <v>-</v>
      </c>
      <c r="AZ72" s="433" t="str">
        <f>IFERROR(VLOOKUP(AW72,ListAndConversion!$F$3:$O$386,10,0),"-")</f>
        <v>-</v>
      </c>
      <c r="BA72" s="433" t="e">
        <f t="shared" si="35"/>
        <v>#DIV/0!</v>
      </c>
      <c r="BB72" s="433" t="str">
        <f t="shared" si="36"/>
        <v>-</v>
      </c>
      <c r="BC72" s="433" t="str">
        <f t="shared" si="37"/>
        <v/>
      </c>
    </row>
    <row r="73" spans="1:55" ht="14.25" x14ac:dyDescent="0.65">
      <c r="A73" s="407">
        <v>65</v>
      </c>
      <c r="B73" s="408" t="str">
        <f t="shared" ca="1" si="2"/>
        <v/>
      </c>
      <c r="C73" s="408" t="str">
        <f ca="1">IFERROR(IF(G73="","",CONCATENATE(E73,"-",INDEX(Coordinate,MATCH(F73,ListAndConversion!$X$4:$X$99,0),2))),"")</f>
        <v/>
      </c>
      <c r="D73" s="408" t="str">
        <f t="shared" ca="1" si="43"/>
        <v/>
      </c>
      <c r="E73" s="408" t="str">
        <f t="shared" ca="1" si="43"/>
        <v/>
      </c>
      <c r="F73" s="408" t="str">
        <f t="shared" ca="1" si="43"/>
        <v/>
      </c>
      <c r="G73" s="408" t="str">
        <f ca="1">IFERROR(INDEX(ListAndConversion!A:B,MATCH(Calculation!E73,ListAndConversion!A:A,0),2),"")</f>
        <v/>
      </c>
      <c r="H73" s="408" t="str">
        <f>IF(TrackIT_Lines!AD65="","",TrackIT_Lines!AD65)</f>
        <v/>
      </c>
      <c r="I73" s="408" t="str">
        <f>IF(TrackIT_Lines!AD65="","",CONCATENATE(TrackIT_Lines!AD65,"-",TrackIT_Lines!AG65))</f>
        <v/>
      </c>
      <c r="J73" s="409" t="str">
        <f t="shared" ca="1" si="44"/>
        <v/>
      </c>
      <c r="K73" s="408" t="str">
        <f t="shared" ca="1" si="44"/>
        <v/>
      </c>
      <c r="L73" s="408" t="str">
        <f t="shared" ca="1" si="44"/>
        <v/>
      </c>
      <c r="M73" s="408" t="str">
        <f t="shared" ca="1" si="44"/>
        <v/>
      </c>
      <c r="N73" s="408" t="str">
        <f t="shared" ca="1" si="44"/>
        <v/>
      </c>
      <c r="O73" s="408" t="str">
        <f t="shared" ca="1" si="44"/>
        <v/>
      </c>
      <c r="P73" s="408" t="str">
        <f t="shared" ca="1" si="44"/>
        <v/>
      </c>
      <c r="Q73" s="408" t="str">
        <f t="shared" ca="1" si="44"/>
        <v/>
      </c>
      <c r="R73" s="410" t="str">
        <f ca="1">Cluster!J92</f>
        <v>Selection</v>
      </c>
      <c r="S73" s="411" t="str">
        <f t="shared" ca="1" si="5"/>
        <v>-</v>
      </c>
      <c r="T73" s="412" t="str">
        <f t="shared" ca="1" si="6"/>
        <v/>
      </c>
      <c r="U73" s="411" t="str">
        <f t="shared" ca="1" si="7"/>
        <v>-</v>
      </c>
      <c r="V73" s="411" t="str">
        <f t="shared" ca="1" si="8"/>
        <v>-</v>
      </c>
      <c r="W73" s="413">
        <f>Cluster!N92</f>
        <v>0</v>
      </c>
      <c r="X73" s="414" t="str">
        <f t="shared" ca="1" si="9"/>
        <v>-</v>
      </c>
      <c r="Y73" s="411" t="str">
        <f t="shared" ca="1" si="10"/>
        <v>-</v>
      </c>
      <c r="Z73" s="415" t="str">
        <f t="shared" ca="1" si="11"/>
        <v>-</v>
      </c>
      <c r="AA73" s="416" t="str">
        <f t="shared" ca="1" si="12"/>
        <v>-</v>
      </c>
      <c r="AB73" s="416" t="str">
        <f t="shared" ca="1" si="13"/>
        <v/>
      </c>
      <c r="AC73" s="434">
        <f>Cluster!Q92</f>
        <v>0</v>
      </c>
      <c r="AD73" s="435" t="str">
        <f t="shared" ca="1" si="45"/>
        <v/>
      </c>
      <c r="AE73" s="436" t="str">
        <f t="shared" ca="1" si="45"/>
        <v/>
      </c>
      <c r="AF73" s="437" t="str">
        <f t="shared" ca="1" si="15"/>
        <v>-</v>
      </c>
      <c r="AG73" s="438" t="str">
        <f t="shared" ca="1" si="16"/>
        <v>-</v>
      </c>
      <c r="AH73" s="437" t="str">
        <f t="shared" ca="1" si="17"/>
        <v>-</v>
      </c>
      <c r="AI73" s="438" t="str">
        <f t="shared" ca="1" si="18"/>
        <v>-</v>
      </c>
      <c r="AJ73" s="438" t="str">
        <f t="shared" ca="1" si="19"/>
        <v>-</v>
      </c>
      <c r="AK73" s="439" t="str">
        <f ca="1">IFERROR(AE73*AD73*AL73/(IF(Cluster!AA92=Cluster!$W$8,Cluster!$W$10,IF(Cluster!AA92=Cluster!$X$8,Cluster!$X$10,IF(Cluster!AA92=Cluster!$Y$8,Cluster!$Y$10,0)))*10^3),"-")</f>
        <v>-</v>
      </c>
      <c r="AL73" s="440" t="str">
        <f ca="1">IFERROR(IF(OR(Calculation!T73&lt;(Calculation!$U$8+2),Calculation!AC73="Bypass"),IF((IF(Calculation!$O$6/((Calculation!AD73*10^-12)/(Calculation!T73*10^-9)*50)&lt;=1,1,ROUNDUP(Calculation!$O$6/((Calculation!AD73*10^-12)/(Calculation!T73*10^-9)*50),0))*50)&lt;Calculation!$AK$6,Calculation!$AK$6,IF(Calculation!$O$6/((Calculation!AD73*10^-12)/(Calculation!T73*10^-9)*50)&lt;=1,1,ROUNDUP(Calculation!$O$6/((Calculation!AD73*10^-12)/(Calculation!T73*10^-9)*50),0))*50),"-"),"-")</f>
        <v>-</v>
      </c>
      <c r="AM73" s="441" t="str">
        <f t="shared" ca="1" si="46"/>
        <v/>
      </c>
      <c r="AN73" s="442" t="str">
        <f t="shared" ca="1" si="46"/>
        <v/>
      </c>
      <c r="AO73" s="432">
        <f t="shared" ca="1" si="21"/>
        <v>384</v>
      </c>
      <c r="AP73" s="427" t="str">
        <f t="shared" ca="1" si="22"/>
        <v>-</v>
      </c>
      <c r="AQ73" s="443" t="str">
        <f t="shared" ca="1" si="23"/>
        <v>-</v>
      </c>
      <c r="AR73" s="444" t="str">
        <f t="shared" ca="1" si="24"/>
        <v>-</v>
      </c>
      <c r="AS73" s="430" t="str">
        <f t="shared" ca="1" si="25"/>
        <v>-</v>
      </c>
      <c r="AT73" s="431"/>
      <c r="AU73" s="431"/>
      <c r="AV73" s="432">
        <v>64</v>
      </c>
      <c r="AW73" s="433" t="e">
        <f>ListAndConversion!S66</f>
        <v>#DIV/0!</v>
      </c>
      <c r="AX73" s="432" t="e">
        <f>IF(AW73="-","-",IF(COUNTIF(ListAndConversion!$F$3:$M$386,Calculation!AW73)=0,"Missing Lane","OK"))</f>
        <v>#DIV/0!</v>
      </c>
      <c r="AY73" s="433" t="str">
        <f>IFERROR(VLOOKUP(AW73,ListAndConversion!$F$3:$O$386,9,0),"-")</f>
        <v>-</v>
      </c>
      <c r="AZ73" s="433" t="str">
        <f>IFERROR(VLOOKUP(AW73,ListAndConversion!$F$3:$O$386,10,0),"-")</f>
        <v>-</v>
      </c>
      <c r="BA73" s="433" t="e">
        <f t="shared" si="35"/>
        <v>#DIV/0!</v>
      </c>
      <c r="BB73" s="433" t="str">
        <f t="shared" si="36"/>
        <v>-</v>
      </c>
      <c r="BC73" s="433" t="str">
        <f t="shared" si="37"/>
        <v/>
      </c>
    </row>
    <row r="74" spans="1:55" ht="14.25" x14ac:dyDescent="0.65">
      <c r="A74" s="407">
        <v>66</v>
      </c>
      <c r="B74" s="408" t="str">
        <f t="shared" ref="B74:B137" ca="1" si="47">IF((INDIRECT("TrackIT_Lines!"&amp;B$2&amp;$A74))="","", (INDIRECT("TrackIT_Lines!"&amp;B$2&amp;$A74)))</f>
        <v/>
      </c>
      <c r="C74" s="408" t="str">
        <f ca="1">IFERROR(IF(G74="","",CONCATENATE(E74,"-",INDEX(Coordinate,MATCH(F74,ListAndConversion!$X$4:$X$99,0),2))),"")</f>
        <v/>
      </c>
      <c r="D74" s="408" t="str">
        <f t="shared" ca="1" si="43"/>
        <v/>
      </c>
      <c r="E74" s="408" t="str">
        <f t="shared" ca="1" si="43"/>
        <v/>
      </c>
      <c r="F74" s="408" t="str">
        <f t="shared" ca="1" si="43"/>
        <v/>
      </c>
      <c r="G74" s="408" t="str">
        <f ca="1">IFERROR(INDEX(ListAndConversion!A:B,MATCH(Calculation!E74,ListAndConversion!A:A,0),2),"")</f>
        <v/>
      </c>
      <c r="H74" s="408" t="str">
        <f>IF(TrackIT_Lines!AD66="","",TrackIT_Lines!AD66)</f>
        <v/>
      </c>
      <c r="I74" s="408" t="str">
        <f>IF(TrackIT_Lines!AD66="","",CONCATENATE(TrackIT_Lines!AD66,"-",TrackIT_Lines!AG66))</f>
        <v/>
      </c>
      <c r="J74" s="409" t="str">
        <f t="shared" ca="1" si="44"/>
        <v/>
      </c>
      <c r="K74" s="408" t="str">
        <f t="shared" ca="1" si="44"/>
        <v/>
      </c>
      <c r="L74" s="408" t="str">
        <f t="shared" ca="1" si="44"/>
        <v/>
      </c>
      <c r="M74" s="408" t="str">
        <f t="shared" ca="1" si="44"/>
        <v/>
      </c>
      <c r="N74" s="408" t="str">
        <f t="shared" ca="1" si="44"/>
        <v/>
      </c>
      <c r="O74" s="408" t="str">
        <f t="shared" ca="1" si="44"/>
        <v/>
      </c>
      <c r="P74" s="408" t="str">
        <f t="shared" ca="1" si="44"/>
        <v/>
      </c>
      <c r="Q74" s="408" t="str">
        <f t="shared" ca="1" si="44"/>
        <v/>
      </c>
      <c r="R74" s="410" t="str">
        <f ca="1">Cluster!J93</f>
        <v>Selection</v>
      </c>
      <c r="S74" s="411" t="str">
        <f t="shared" ref="S74:S137" ca="1" si="48">IFERROR(HLOOKUP(R74,$L$9:$Q$393,$A74,0),"-")</f>
        <v>-</v>
      </c>
      <c r="T74" s="412" t="str">
        <f t="shared" ref="T74:T137" ca="1" si="49">IFERROR(IF(L74&lt;&gt;"",L74,IF(M74&lt;&gt;"",M74/(K74*660*0.000001),"")),"")</f>
        <v/>
      </c>
      <c r="U74" s="411" t="str">
        <f t="shared" ref="U74:U137" ca="1" si="50">IFERROR(IF(AND(T74&gt;($U$8+2),T74&lt;=($X$8+400),W74=0,AC74=0),ROUNDUP($O$6/($U$8*$U$6/T74),0)*($U$8*$U$6/T74),"-"),"-")</f>
        <v>-</v>
      </c>
      <c r="V74" s="411" t="str">
        <f t="shared" ref="V74:V137" ca="1" si="51">IFERROR(IF(AND(T74&gt;=($U$8+2),T74&lt;=($X$8+400), W74=0, AC74=0),ROUNDUP($O$6/($U$8*$U$6/T74),0)*($U$6-($U$8*$U$6/T74)),"-"),"-")</f>
        <v>-</v>
      </c>
      <c r="W74" s="413">
        <f>Cluster!N93</f>
        <v>0</v>
      </c>
      <c r="X74" s="414" t="str">
        <f t="shared" ref="X74:X137" ca="1" si="52">IFERROR(IF(AND(AC74=0,OR(W74="Bypass",OR(T74&gt;($X$8+400)))),ROUNDUP($O$6/($X$8*$X$6/T74),0)*($X$8*$X$6/T74),"-"),"-")</f>
        <v>-</v>
      </c>
      <c r="Y74" s="411" t="str">
        <f t="shared" ref="Y74:Y137" ca="1" si="53">IFERROR(IF(AND(AC74=0,OR(W74="Bypass",OR(T74&gt;($X$8+400)))),ROUNDUP($O$6/($X$8*$X$6/T74),0)*($X$6-($X$8*$X$6/T74)),"-"),"-")</f>
        <v>-</v>
      </c>
      <c r="Z74" s="415" t="str">
        <f t="shared" ref="Z74:Z137" ca="1" si="54">IFERROR(IF(X74&lt;&gt;"-",ROUNDUP($O$6/($U$8*$Z$6/$X$8),0)*($U$8*$Z$6/$X$8),"-"),"-")</f>
        <v>-</v>
      </c>
      <c r="AA74" s="416" t="str">
        <f t="shared" ref="AA74:AA137" ca="1" si="55">IFERROR(IF(X74&lt;&gt;"-",ROUNDUP($O$6/($U$8*$Z$6/$X$8),0)*($Z$6-($U$8*$Z$6/$X$8)),"-"),"-")</f>
        <v>-</v>
      </c>
      <c r="AB74" s="416" t="str">
        <f t="shared" ref="AB74:AB137" ca="1" si="56">IF(T74&lt;5,"No Dilution","")</f>
        <v/>
      </c>
      <c r="AC74" s="434">
        <f>Cluster!Q93</f>
        <v>0</v>
      </c>
      <c r="AD74" s="435" t="str">
        <f t="shared" ca="1" si="45"/>
        <v/>
      </c>
      <c r="AE74" s="436" t="str">
        <f t="shared" ca="1" si="45"/>
        <v/>
      </c>
      <c r="AF74" s="437" t="str">
        <f t="shared" ref="AF74:AF137" ca="1" si="57">IFERROR(AL74*((AD74*10^-12-AD74*10^-12*AE74)/(T74*10^-9)),"-")</f>
        <v>-</v>
      </c>
      <c r="AG74" s="438" t="str">
        <f t="shared" ref="AG74:AG137" ca="1" si="58">IFERROR((0.5/50)*AL74/$AG$6,"-")</f>
        <v>-</v>
      </c>
      <c r="AH74" s="437" t="str">
        <f t="shared" ref="AH74:AH137" ca="1" si="59">IFERROR(IF((AG74*$AG$6/0.05)-SUM(AF74:AG74,AK74)&gt;0,(AG74*$AG$6/0.05)-SUM(AF74:AG74,AK74),0),"-")</f>
        <v>-</v>
      </c>
      <c r="AI74" s="438" t="str">
        <f t="shared" ref="AI74:AI137" ca="1" si="60">IFERROR(5/50*AL74,"-")</f>
        <v>-</v>
      </c>
      <c r="AJ74" s="438" t="str">
        <f t="shared" ref="AJ74:AJ137" ca="1" si="61">IFERROR(AL74-SUM(AF74:AI74,AK74),"-")</f>
        <v>-</v>
      </c>
      <c r="AK74" s="439" t="str">
        <f ca="1">IFERROR(AE74*AD74*AL74/(IF(Cluster!AA93=Cluster!$W$8,Cluster!$W$10,IF(Cluster!AA93=Cluster!$X$8,Cluster!$X$10,IF(Cluster!AA93=Cluster!$Y$8,Cluster!$Y$10,0)))*10^3),"-")</f>
        <v>-</v>
      </c>
      <c r="AL74" s="440" t="str">
        <f ca="1">IFERROR(IF(OR(Calculation!T74&lt;(Calculation!$U$8+2),Calculation!AC74="Bypass"),IF((IF(Calculation!$O$6/((Calculation!AD74*10^-12)/(Calculation!T74*10^-9)*50)&lt;=1,1,ROUNDUP(Calculation!$O$6/((Calculation!AD74*10^-12)/(Calculation!T74*10^-9)*50),0))*50)&lt;Calculation!$AK$6,Calculation!$AK$6,IF(Calculation!$O$6/((Calculation!AD74*10^-12)/(Calculation!T74*10^-9)*50)&lt;=1,1,ROUNDUP(Calculation!$O$6/((Calculation!AD74*10^-12)/(Calculation!T74*10^-9)*50),0))*50),"-"),"-")</f>
        <v>-</v>
      </c>
      <c r="AM74" s="441" t="str">
        <f t="shared" ca="1" si="46"/>
        <v/>
      </c>
      <c r="AN74" s="442" t="str">
        <f t="shared" ca="1" si="46"/>
        <v/>
      </c>
      <c r="AO74" s="432">
        <f t="shared" ref="AO74:AO137" ca="1" si="62">COUNTIFS($I$10:$I$393,I74,$AN$10:$AN$393,AN74)</f>
        <v>384</v>
      </c>
      <c r="AP74" s="427" t="str">
        <f t="shared" ref="AP74:AP137" ca="1" si="63">IFERROR($AG$6*AG74/SUM(AF74:AH74,AK74),"-")</f>
        <v>-</v>
      </c>
      <c r="AQ74" s="443" t="str">
        <f t="shared" ref="AQ74:AQ137" ca="1" si="64">IFERROR(AP74*SUM(AF74:AH74)/AL74,"-")</f>
        <v>-</v>
      </c>
      <c r="AR74" s="444" t="str">
        <f t="shared" ref="AR74:AR137" ca="1" si="65">IFERROR(IF(J74&gt;0,J74/IF(LEN(AM74)&gt;1,LEN(AM74)-1,1),"-"),"-")</f>
        <v>-</v>
      </c>
      <c r="AS74" s="430" t="str">
        <f t="shared" ref="AS74:AS137" ca="1" si="66">IF(AND(AR74&lt;1,AL74="-",COUNTIFS($I$10:$I$393,I74,Direct_Denaturation,"-")&gt;1),C74,"-")</f>
        <v>-</v>
      </c>
      <c r="AT74" s="431"/>
      <c r="AU74" s="431"/>
      <c r="AV74" s="432">
        <v>65</v>
      </c>
      <c r="AW74" s="433" t="e">
        <f>ListAndConversion!S67</f>
        <v>#DIV/0!</v>
      </c>
      <c r="AX74" s="432" t="e">
        <f>IF(AW74="-","-",IF(COUNTIF(ListAndConversion!$F$3:$M$386,Calculation!AW74)=0,"Missing Lane","OK"))</f>
        <v>#DIV/0!</v>
      </c>
      <c r="AY74" s="433" t="str">
        <f>IFERROR(VLOOKUP(AW74,ListAndConversion!$F$3:$O$386,9,0),"-")</f>
        <v>-</v>
      </c>
      <c r="AZ74" s="433" t="str">
        <f>IFERROR(VLOOKUP(AW74,ListAndConversion!$F$3:$O$386,10,0),"-")</f>
        <v>-</v>
      </c>
      <c r="BA74" s="433" t="e">
        <f t="shared" ref="BA74:BA105" si="67">IF(AX74="-","-",COUNTIFS($I$10:$I$393,AW74,$AO$10:$AO$393,"&gt;1"))</f>
        <v>#DIV/0!</v>
      </c>
      <c r="BB74" s="433" t="str">
        <f t="shared" ref="BB74:BB105" si="68">IF(AY74="-","-",IF(BA74=0,"OK","Conflict"))</f>
        <v>-</v>
      </c>
      <c r="BC74" s="433" t="str">
        <f t="shared" ref="BC74:BC105" si="69">IF(AY74="-","",LEN(AY74))</f>
        <v/>
      </c>
    </row>
    <row r="75" spans="1:55" ht="14.25" x14ac:dyDescent="0.65">
      <c r="A75" s="407">
        <v>67</v>
      </c>
      <c r="B75" s="408" t="str">
        <f t="shared" ca="1" si="47"/>
        <v/>
      </c>
      <c r="C75" s="408" t="str">
        <f ca="1">IFERROR(IF(G75="","",CONCATENATE(E75,"-",INDEX(Coordinate,MATCH(F75,ListAndConversion!$X$4:$X$99,0),2))),"")</f>
        <v/>
      </c>
      <c r="D75" s="408" t="str">
        <f t="shared" ca="1" si="43"/>
        <v/>
      </c>
      <c r="E75" s="408" t="str">
        <f t="shared" ca="1" si="43"/>
        <v/>
      </c>
      <c r="F75" s="408" t="str">
        <f t="shared" ca="1" si="43"/>
        <v/>
      </c>
      <c r="G75" s="408" t="str">
        <f ca="1">IFERROR(INDEX(ListAndConversion!A:B,MATCH(Calculation!E75,ListAndConversion!A:A,0),2),"")</f>
        <v/>
      </c>
      <c r="H75" s="408" t="str">
        <f>IF(TrackIT_Lines!AD67="","",TrackIT_Lines!AD67)</f>
        <v/>
      </c>
      <c r="I75" s="408" t="str">
        <f>IF(TrackIT_Lines!AD67="","",CONCATENATE(TrackIT_Lines!AD67,"-",TrackIT_Lines!AG67))</f>
        <v/>
      </c>
      <c r="J75" s="409" t="str">
        <f t="shared" ca="1" si="44"/>
        <v/>
      </c>
      <c r="K75" s="408" t="str">
        <f t="shared" ca="1" si="44"/>
        <v/>
      </c>
      <c r="L75" s="408" t="str">
        <f t="shared" ca="1" si="44"/>
        <v/>
      </c>
      <c r="M75" s="408" t="str">
        <f t="shared" ca="1" si="44"/>
        <v/>
      </c>
      <c r="N75" s="408" t="str">
        <f t="shared" ca="1" si="44"/>
        <v/>
      </c>
      <c r="O75" s="408" t="str">
        <f t="shared" ca="1" si="44"/>
        <v/>
      </c>
      <c r="P75" s="408" t="str">
        <f t="shared" ca="1" si="44"/>
        <v/>
      </c>
      <c r="Q75" s="408" t="str">
        <f t="shared" ca="1" si="44"/>
        <v/>
      </c>
      <c r="R75" s="410" t="str">
        <f ca="1">Cluster!J94</f>
        <v>Selection</v>
      </c>
      <c r="S75" s="411" t="str">
        <f t="shared" ca="1" si="48"/>
        <v>-</v>
      </c>
      <c r="T75" s="412" t="str">
        <f t="shared" ca="1" si="49"/>
        <v/>
      </c>
      <c r="U75" s="411" t="str">
        <f t="shared" ca="1" si="50"/>
        <v>-</v>
      </c>
      <c r="V75" s="411" t="str">
        <f t="shared" ca="1" si="51"/>
        <v>-</v>
      </c>
      <c r="W75" s="413">
        <f>Cluster!N94</f>
        <v>0</v>
      </c>
      <c r="X75" s="414" t="str">
        <f t="shared" ca="1" si="52"/>
        <v>-</v>
      </c>
      <c r="Y75" s="411" t="str">
        <f t="shared" ca="1" si="53"/>
        <v>-</v>
      </c>
      <c r="Z75" s="415" t="str">
        <f t="shared" ca="1" si="54"/>
        <v>-</v>
      </c>
      <c r="AA75" s="416" t="str">
        <f t="shared" ca="1" si="55"/>
        <v>-</v>
      </c>
      <c r="AB75" s="416" t="str">
        <f t="shared" ca="1" si="56"/>
        <v/>
      </c>
      <c r="AC75" s="434">
        <f>Cluster!Q94</f>
        <v>0</v>
      </c>
      <c r="AD75" s="435" t="str">
        <f t="shared" ca="1" si="45"/>
        <v/>
      </c>
      <c r="AE75" s="436" t="str">
        <f t="shared" ca="1" si="45"/>
        <v/>
      </c>
      <c r="AF75" s="437" t="str">
        <f t="shared" ca="1" si="57"/>
        <v>-</v>
      </c>
      <c r="AG75" s="438" t="str">
        <f t="shared" ca="1" si="58"/>
        <v>-</v>
      </c>
      <c r="AH75" s="437" t="str">
        <f t="shared" ca="1" si="59"/>
        <v>-</v>
      </c>
      <c r="AI75" s="438" t="str">
        <f t="shared" ca="1" si="60"/>
        <v>-</v>
      </c>
      <c r="AJ75" s="438" t="str">
        <f t="shared" ca="1" si="61"/>
        <v>-</v>
      </c>
      <c r="AK75" s="439" t="str">
        <f ca="1">IFERROR(AE75*AD75*AL75/(IF(Cluster!AA94=Cluster!$W$8,Cluster!$W$10,IF(Cluster!AA94=Cluster!$X$8,Cluster!$X$10,IF(Cluster!AA94=Cluster!$Y$8,Cluster!$Y$10,0)))*10^3),"-")</f>
        <v>-</v>
      </c>
      <c r="AL75" s="440" t="str">
        <f ca="1">IFERROR(IF(OR(Calculation!T75&lt;(Calculation!$U$8+2),Calculation!AC75="Bypass"),IF((IF(Calculation!$O$6/((Calculation!AD75*10^-12)/(Calculation!T75*10^-9)*50)&lt;=1,1,ROUNDUP(Calculation!$O$6/((Calculation!AD75*10^-12)/(Calculation!T75*10^-9)*50),0))*50)&lt;Calculation!$AK$6,Calculation!$AK$6,IF(Calculation!$O$6/((Calculation!AD75*10^-12)/(Calculation!T75*10^-9)*50)&lt;=1,1,ROUNDUP(Calculation!$O$6/((Calculation!AD75*10^-12)/(Calculation!T75*10^-9)*50),0))*50),"-"),"-")</f>
        <v>-</v>
      </c>
      <c r="AM75" s="441" t="str">
        <f t="shared" ca="1" si="46"/>
        <v/>
      </c>
      <c r="AN75" s="442" t="str">
        <f t="shared" ca="1" si="46"/>
        <v/>
      </c>
      <c r="AO75" s="432">
        <f t="shared" ca="1" si="62"/>
        <v>384</v>
      </c>
      <c r="AP75" s="427" t="str">
        <f t="shared" ca="1" si="63"/>
        <v>-</v>
      </c>
      <c r="AQ75" s="443" t="str">
        <f t="shared" ca="1" si="64"/>
        <v>-</v>
      </c>
      <c r="AR75" s="444" t="str">
        <f t="shared" ca="1" si="65"/>
        <v>-</v>
      </c>
      <c r="AS75" s="430" t="str">
        <f t="shared" ca="1" si="66"/>
        <v>-</v>
      </c>
      <c r="AT75" s="431"/>
      <c r="AU75" s="431"/>
      <c r="AV75" s="432">
        <v>66</v>
      </c>
      <c r="AW75" s="433" t="e">
        <f>ListAndConversion!S68</f>
        <v>#DIV/0!</v>
      </c>
      <c r="AX75" s="432" t="e">
        <f>IF(AW75="-","-",IF(COUNTIF(ListAndConversion!$F$3:$M$386,Calculation!AW75)=0,"Missing Lane","OK"))</f>
        <v>#DIV/0!</v>
      </c>
      <c r="AY75" s="433" t="str">
        <f>IFERROR(VLOOKUP(AW75,ListAndConversion!$F$3:$O$386,9,0),"-")</f>
        <v>-</v>
      </c>
      <c r="AZ75" s="433" t="str">
        <f>IFERROR(VLOOKUP(AW75,ListAndConversion!$F$3:$O$386,10,0),"-")</f>
        <v>-</v>
      </c>
      <c r="BA75" s="433" t="e">
        <f t="shared" si="67"/>
        <v>#DIV/0!</v>
      </c>
      <c r="BB75" s="433" t="str">
        <f t="shared" si="68"/>
        <v>-</v>
      </c>
      <c r="BC75" s="433" t="str">
        <f t="shared" si="69"/>
        <v/>
      </c>
    </row>
    <row r="76" spans="1:55" ht="14.25" x14ac:dyDescent="0.65">
      <c r="A76" s="407">
        <v>68</v>
      </c>
      <c r="B76" s="408" t="str">
        <f t="shared" ca="1" si="47"/>
        <v/>
      </c>
      <c r="C76" s="408" t="str">
        <f ca="1">IFERROR(IF(G76="","",CONCATENATE(E76,"-",INDEX(Coordinate,MATCH(F76,ListAndConversion!$X$4:$X$99,0),2))),"")</f>
        <v/>
      </c>
      <c r="D76" s="408" t="str">
        <f t="shared" ca="1" si="43"/>
        <v/>
      </c>
      <c r="E76" s="408" t="str">
        <f t="shared" ca="1" si="43"/>
        <v/>
      </c>
      <c r="F76" s="408" t="str">
        <f t="shared" ca="1" si="43"/>
        <v/>
      </c>
      <c r="G76" s="408" t="str">
        <f ca="1">IFERROR(INDEX(ListAndConversion!A:B,MATCH(Calculation!E76,ListAndConversion!A:A,0),2),"")</f>
        <v/>
      </c>
      <c r="H76" s="408" t="str">
        <f>IF(TrackIT_Lines!AD68="","",TrackIT_Lines!AD68)</f>
        <v/>
      </c>
      <c r="I76" s="408" t="str">
        <f>IF(TrackIT_Lines!AD68="","",CONCATENATE(TrackIT_Lines!AD68,"-",TrackIT_Lines!AG68))</f>
        <v/>
      </c>
      <c r="J76" s="409" t="str">
        <f t="shared" ca="1" si="44"/>
        <v/>
      </c>
      <c r="K76" s="408" t="str">
        <f t="shared" ca="1" si="44"/>
        <v/>
      </c>
      <c r="L76" s="408" t="str">
        <f t="shared" ca="1" si="44"/>
        <v/>
      </c>
      <c r="M76" s="408" t="str">
        <f t="shared" ca="1" si="44"/>
        <v/>
      </c>
      <c r="N76" s="408" t="str">
        <f t="shared" ca="1" si="44"/>
        <v/>
      </c>
      <c r="O76" s="408" t="str">
        <f t="shared" ca="1" si="44"/>
        <v/>
      </c>
      <c r="P76" s="408" t="str">
        <f t="shared" ca="1" si="44"/>
        <v/>
      </c>
      <c r="Q76" s="408" t="str">
        <f t="shared" ca="1" si="44"/>
        <v/>
      </c>
      <c r="R76" s="410" t="str">
        <f ca="1">Cluster!J95</f>
        <v>Selection</v>
      </c>
      <c r="S76" s="411" t="str">
        <f t="shared" ca="1" si="48"/>
        <v>-</v>
      </c>
      <c r="T76" s="412" t="str">
        <f t="shared" ca="1" si="49"/>
        <v/>
      </c>
      <c r="U76" s="411" t="str">
        <f t="shared" ca="1" si="50"/>
        <v>-</v>
      </c>
      <c r="V76" s="411" t="str">
        <f t="shared" ca="1" si="51"/>
        <v>-</v>
      </c>
      <c r="W76" s="413">
        <f>Cluster!N95</f>
        <v>0</v>
      </c>
      <c r="X76" s="414" t="str">
        <f t="shared" ca="1" si="52"/>
        <v>-</v>
      </c>
      <c r="Y76" s="411" t="str">
        <f t="shared" ca="1" si="53"/>
        <v>-</v>
      </c>
      <c r="Z76" s="415" t="str">
        <f t="shared" ca="1" si="54"/>
        <v>-</v>
      </c>
      <c r="AA76" s="416" t="str">
        <f t="shared" ca="1" si="55"/>
        <v>-</v>
      </c>
      <c r="AB76" s="416" t="str">
        <f t="shared" ca="1" si="56"/>
        <v/>
      </c>
      <c r="AC76" s="434">
        <f>Cluster!Q95</f>
        <v>0</v>
      </c>
      <c r="AD76" s="435" t="str">
        <f t="shared" ca="1" si="45"/>
        <v/>
      </c>
      <c r="AE76" s="436" t="str">
        <f t="shared" ca="1" si="45"/>
        <v/>
      </c>
      <c r="AF76" s="437" t="str">
        <f t="shared" ca="1" si="57"/>
        <v>-</v>
      </c>
      <c r="AG76" s="438" t="str">
        <f t="shared" ca="1" si="58"/>
        <v>-</v>
      </c>
      <c r="AH76" s="437" t="str">
        <f t="shared" ca="1" si="59"/>
        <v>-</v>
      </c>
      <c r="AI76" s="438" t="str">
        <f t="shared" ca="1" si="60"/>
        <v>-</v>
      </c>
      <c r="AJ76" s="438" t="str">
        <f t="shared" ca="1" si="61"/>
        <v>-</v>
      </c>
      <c r="AK76" s="439" t="str">
        <f ca="1">IFERROR(AE76*AD76*AL76/(IF(Cluster!AA95=Cluster!$W$8,Cluster!$W$10,IF(Cluster!AA95=Cluster!$X$8,Cluster!$X$10,IF(Cluster!AA95=Cluster!$Y$8,Cluster!$Y$10,0)))*10^3),"-")</f>
        <v>-</v>
      </c>
      <c r="AL76" s="440" t="str">
        <f ca="1">IFERROR(IF(OR(Calculation!T76&lt;(Calculation!$U$8+2),Calculation!AC76="Bypass"),IF((IF(Calculation!$O$6/((Calculation!AD76*10^-12)/(Calculation!T76*10^-9)*50)&lt;=1,1,ROUNDUP(Calculation!$O$6/((Calculation!AD76*10^-12)/(Calculation!T76*10^-9)*50),0))*50)&lt;Calculation!$AK$6,Calculation!$AK$6,IF(Calculation!$O$6/((Calculation!AD76*10^-12)/(Calculation!T76*10^-9)*50)&lt;=1,1,ROUNDUP(Calculation!$O$6/((Calculation!AD76*10^-12)/(Calculation!T76*10^-9)*50),0))*50),"-"),"-")</f>
        <v>-</v>
      </c>
      <c r="AM76" s="441" t="str">
        <f t="shared" ca="1" si="46"/>
        <v/>
      </c>
      <c r="AN76" s="442" t="str">
        <f t="shared" ca="1" si="46"/>
        <v/>
      </c>
      <c r="AO76" s="432">
        <f t="shared" ca="1" si="62"/>
        <v>384</v>
      </c>
      <c r="AP76" s="427" t="str">
        <f t="shared" ca="1" si="63"/>
        <v>-</v>
      </c>
      <c r="AQ76" s="443" t="str">
        <f t="shared" ca="1" si="64"/>
        <v>-</v>
      </c>
      <c r="AR76" s="444" t="str">
        <f t="shared" ca="1" si="65"/>
        <v>-</v>
      </c>
      <c r="AS76" s="430" t="str">
        <f t="shared" ca="1" si="66"/>
        <v>-</v>
      </c>
      <c r="AT76" s="431"/>
      <c r="AU76" s="431"/>
      <c r="AV76" s="432">
        <v>67</v>
      </c>
      <c r="AW76" s="433" t="e">
        <f>ListAndConversion!S69</f>
        <v>#DIV/0!</v>
      </c>
      <c r="AX76" s="432" t="e">
        <f>IF(AW76="-","-",IF(COUNTIF(ListAndConversion!$F$3:$M$386,Calculation!AW76)=0,"Missing Lane","OK"))</f>
        <v>#DIV/0!</v>
      </c>
      <c r="AY76" s="433" t="str">
        <f>IFERROR(VLOOKUP(AW76,ListAndConversion!$F$3:$O$386,9,0),"-")</f>
        <v>-</v>
      </c>
      <c r="AZ76" s="433" t="str">
        <f>IFERROR(VLOOKUP(AW76,ListAndConversion!$F$3:$O$386,10,0),"-")</f>
        <v>-</v>
      </c>
      <c r="BA76" s="433" t="e">
        <f t="shared" si="67"/>
        <v>#DIV/0!</v>
      </c>
      <c r="BB76" s="433" t="str">
        <f t="shared" si="68"/>
        <v>-</v>
      </c>
      <c r="BC76" s="433" t="str">
        <f t="shared" si="69"/>
        <v/>
      </c>
    </row>
    <row r="77" spans="1:55" ht="14.25" x14ac:dyDescent="0.65">
      <c r="A77" s="407">
        <v>69</v>
      </c>
      <c r="B77" s="408" t="str">
        <f t="shared" ca="1" si="47"/>
        <v/>
      </c>
      <c r="C77" s="408" t="str">
        <f ca="1">IFERROR(IF(G77="","",CONCATENATE(E77,"-",INDEX(Coordinate,MATCH(F77,ListAndConversion!$X$4:$X$99,0),2))),"")</f>
        <v/>
      </c>
      <c r="D77" s="408" t="str">
        <f t="shared" ca="1" si="43"/>
        <v/>
      </c>
      <c r="E77" s="408" t="str">
        <f t="shared" ca="1" si="43"/>
        <v/>
      </c>
      <c r="F77" s="408" t="str">
        <f t="shared" ca="1" si="43"/>
        <v/>
      </c>
      <c r="G77" s="408" t="str">
        <f ca="1">IFERROR(INDEX(ListAndConversion!A:B,MATCH(Calculation!E77,ListAndConversion!A:A,0),2),"")</f>
        <v/>
      </c>
      <c r="H77" s="408" t="str">
        <f>IF(TrackIT_Lines!AD69="","",TrackIT_Lines!AD69)</f>
        <v/>
      </c>
      <c r="I77" s="408" t="str">
        <f>IF(TrackIT_Lines!AD69="","",CONCATENATE(TrackIT_Lines!AD69,"-",TrackIT_Lines!AG69))</f>
        <v/>
      </c>
      <c r="J77" s="409" t="str">
        <f t="shared" ca="1" si="44"/>
        <v/>
      </c>
      <c r="K77" s="408" t="str">
        <f t="shared" ca="1" si="44"/>
        <v/>
      </c>
      <c r="L77" s="408" t="str">
        <f t="shared" ca="1" si="44"/>
        <v/>
      </c>
      <c r="M77" s="408" t="str">
        <f t="shared" ca="1" si="44"/>
        <v/>
      </c>
      <c r="N77" s="408" t="str">
        <f t="shared" ca="1" si="44"/>
        <v/>
      </c>
      <c r="O77" s="408" t="str">
        <f t="shared" ca="1" si="44"/>
        <v/>
      </c>
      <c r="P77" s="408" t="str">
        <f t="shared" ca="1" si="44"/>
        <v/>
      </c>
      <c r="Q77" s="408" t="str">
        <f t="shared" ca="1" si="44"/>
        <v/>
      </c>
      <c r="R77" s="410" t="str">
        <f ca="1">Cluster!J96</f>
        <v>Selection</v>
      </c>
      <c r="S77" s="411" t="str">
        <f t="shared" ca="1" si="48"/>
        <v>-</v>
      </c>
      <c r="T77" s="412" t="str">
        <f t="shared" ca="1" si="49"/>
        <v/>
      </c>
      <c r="U77" s="411" t="str">
        <f t="shared" ca="1" si="50"/>
        <v>-</v>
      </c>
      <c r="V77" s="411" t="str">
        <f t="shared" ca="1" si="51"/>
        <v>-</v>
      </c>
      <c r="W77" s="413">
        <f>Cluster!N96</f>
        <v>0</v>
      </c>
      <c r="X77" s="414" t="str">
        <f t="shared" ca="1" si="52"/>
        <v>-</v>
      </c>
      <c r="Y77" s="411" t="str">
        <f t="shared" ca="1" si="53"/>
        <v>-</v>
      </c>
      <c r="Z77" s="415" t="str">
        <f t="shared" ca="1" si="54"/>
        <v>-</v>
      </c>
      <c r="AA77" s="416" t="str">
        <f t="shared" ca="1" si="55"/>
        <v>-</v>
      </c>
      <c r="AB77" s="416" t="str">
        <f t="shared" ca="1" si="56"/>
        <v/>
      </c>
      <c r="AC77" s="434">
        <f>Cluster!Q96</f>
        <v>0</v>
      </c>
      <c r="AD77" s="435" t="str">
        <f t="shared" ca="1" si="45"/>
        <v/>
      </c>
      <c r="AE77" s="436" t="str">
        <f t="shared" ca="1" si="45"/>
        <v/>
      </c>
      <c r="AF77" s="437" t="str">
        <f t="shared" ca="1" si="57"/>
        <v>-</v>
      </c>
      <c r="AG77" s="438" t="str">
        <f t="shared" ca="1" si="58"/>
        <v>-</v>
      </c>
      <c r="AH77" s="437" t="str">
        <f t="shared" ca="1" si="59"/>
        <v>-</v>
      </c>
      <c r="AI77" s="438" t="str">
        <f t="shared" ca="1" si="60"/>
        <v>-</v>
      </c>
      <c r="AJ77" s="438" t="str">
        <f t="shared" ca="1" si="61"/>
        <v>-</v>
      </c>
      <c r="AK77" s="439" t="str">
        <f ca="1">IFERROR(AE77*AD77*AL77/(IF(Cluster!AA96=Cluster!$W$8,Cluster!$W$10,IF(Cluster!AA96=Cluster!$X$8,Cluster!$X$10,IF(Cluster!AA96=Cluster!$Y$8,Cluster!$Y$10,0)))*10^3),"-")</f>
        <v>-</v>
      </c>
      <c r="AL77" s="440" t="str">
        <f ca="1">IFERROR(IF(OR(Calculation!T77&lt;(Calculation!$U$8+2),Calculation!AC77="Bypass"),IF((IF(Calculation!$O$6/((Calculation!AD77*10^-12)/(Calculation!T77*10^-9)*50)&lt;=1,1,ROUNDUP(Calculation!$O$6/((Calculation!AD77*10^-12)/(Calculation!T77*10^-9)*50),0))*50)&lt;Calculation!$AK$6,Calculation!$AK$6,IF(Calculation!$O$6/((Calculation!AD77*10^-12)/(Calculation!T77*10^-9)*50)&lt;=1,1,ROUNDUP(Calculation!$O$6/((Calculation!AD77*10^-12)/(Calculation!T77*10^-9)*50),0))*50),"-"),"-")</f>
        <v>-</v>
      </c>
      <c r="AM77" s="441" t="str">
        <f t="shared" ca="1" si="46"/>
        <v/>
      </c>
      <c r="AN77" s="442" t="str">
        <f t="shared" ca="1" si="46"/>
        <v/>
      </c>
      <c r="AO77" s="432">
        <f t="shared" ca="1" si="62"/>
        <v>384</v>
      </c>
      <c r="AP77" s="427" t="str">
        <f t="shared" ca="1" si="63"/>
        <v>-</v>
      </c>
      <c r="AQ77" s="443" t="str">
        <f t="shared" ca="1" si="64"/>
        <v>-</v>
      </c>
      <c r="AR77" s="444" t="str">
        <f t="shared" ca="1" si="65"/>
        <v>-</v>
      </c>
      <c r="AS77" s="430" t="str">
        <f t="shared" ca="1" si="66"/>
        <v>-</v>
      </c>
      <c r="AT77" s="431"/>
      <c r="AU77" s="431"/>
      <c r="AV77" s="432">
        <v>68</v>
      </c>
      <c r="AW77" s="433" t="e">
        <f>ListAndConversion!S70</f>
        <v>#DIV/0!</v>
      </c>
      <c r="AX77" s="432" t="e">
        <f>IF(AW77="-","-",IF(COUNTIF(ListAndConversion!$F$3:$M$386,Calculation!AW77)=0,"Missing Lane","OK"))</f>
        <v>#DIV/0!</v>
      </c>
      <c r="AY77" s="433" t="str">
        <f>IFERROR(VLOOKUP(AW77,ListAndConversion!$F$3:$O$386,9,0),"-")</f>
        <v>-</v>
      </c>
      <c r="AZ77" s="433" t="str">
        <f>IFERROR(VLOOKUP(AW77,ListAndConversion!$F$3:$O$386,10,0),"-")</f>
        <v>-</v>
      </c>
      <c r="BA77" s="433" t="e">
        <f t="shared" si="67"/>
        <v>#DIV/0!</v>
      </c>
      <c r="BB77" s="433" t="str">
        <f t="shared" si="68"/>
        <v>-</v>
      </c>
      <c r="BC77" s="433" t="str">
        <f t="shared" si="69"/>
        <v/>
      </c>
    </row>
    <row r="78" spans="1:55" ht="14.25" x14ac:dyDescent="0.65">
      <c r="A78" s="407">
        <v>70</v>
      </c>
      <c r="B78" s="408" t="str">
        <f t="shared" ca="1" si="47"/>
        <v/>
      </c>
      <c r="C78" s="408" t="str">
        <f ca="1">IFERROR(IF(G78="","",CONCATENATE(E78,"-",INDEX(Coordinate,MATCH(F78,ListAndConversion!$X$4:$X$99,0),2))),"")</f>
        <v/>
      </c>
      <c r="D78" s="408" t="str">
        <f t="shared" ca="1" si="43"/>
        <v/>
      </c>
      <c r="E78" s="408" t="str">
        <f t="shared" ca="1" si="43"/>
        <v/>
      </c>
      <c r="F78" s="408" t="str">
        <f t="shared" ca="1" si="43"/>
        <v/>
      </c>
      <c r="G78" s="408" t="str">
        <f ca="1">IFERROR(INDEX(ListAndConversion!A:B,MATCH(Calculation!E78,ListAndConversion!A:A,0),2),"")</f>
        <v/>
      </c>
      <c r="H78" s="408" t="str">
        <f>IF(TrackIT_Lines!AD70="","",TrackIT_Lines!AD70)</f>
        <v/>
      </c>
      <c r="I78" s="408" t="str">
        <f>IF(TrackIT_Lines!AD70="","",CONCATENATE(TrackIT_Lines!AD70,"-",TrackIT_Lines!AG70))</f>
        <v/>
      </c>
      <c r="J78" s="409" t="str">
        <f t="shared" ca="1" si="44"/>
        <v/>
      </c>
      <c r="K78" s="408" t="str">
        <f t="shared" ca="1" si="44"/>
        <v/>
      </c>
      <c r="L78" s="408" t="str">
        <f t="shared" ca="1" si="44"/>
        <v/>
      </c>
      <c r="M78" s="408" t="str">
        <f t="shared" ca="1" si="44"/>
        <v/>
      </c>
      <c r="N78" s="408" t="str">
        <f t="shared" ca="1" si="44"/>
        <v/>
      </c>
      <c r="O78" s="408" t="str">
        <f t="shared" ca="1" si="44"/>
        <v/>
      </c>
      <c r="P78" s="408" t="str">
        <f t="shared" ca="1" si="44"/>
        <v/>
      </c>
      <c r="Q78" s="408" t="str">
        <f t="shared" ca="1" si="44"/>
        <v/>
      </c>
      <c r="R78" s="410" t="str">
        <f ca="1">Cluster!J97</f>
        <v>Selection</v>
      </c>
      <c r="S78" s="411" t="str">
        <f t="shared" ca="1" si="48"/>
        <v>-</v>
      </c>
      <c r="T78" s="412" t="str">
        <f t="shared" ca="1" si="49"/>
        <v/>
      </c>
      <c r="U78" s="411" t="str">
        <f t="shared" ca="1" si="50"/>
        <v>-</v>
      </c>
      <c r="V78" s="411" t="str">
        <f t="shared" ca="1" si="51"/>
        <v>-</v>
      </c>
      <c r="W78" s="413">
        <f>Cluster!N97</f>
        <v>0</v>
      </c>
      <c r="X78" s="414" t="str">
        <f t="shared" ca="1" si="52"/>
        <v>-</v>
      </c>
      <c r="Y78" s="411" t="str">
        <f t="shared" ca="1" si="53"/>
        <v>-</v>
      </c>
      <c r="Z78" s="415" t="str">
        <f t="shared" ca="1" si="54"/>
        <v>-</v>
      </c>
      <c r="AA78" s="416" t="str">
        <f t="shared" ca="1" si="55"/>
        <v>-</v>
      </c>
      <c r="AB78" s="416" t="str">
        <f t="shared" ca="1" si="56"/>
        <v/>
      </c>
      <c r="AC78" s="434">
        <f>Cluster!Q97</f>
        <v>0</v>
      </c>
      <c r="AD78" s="435" t="str">
        <f t="shared" ca="1" si="45"/>
        <v/>
      </c>
      <c r="AE78" s="436" t="str">
        <f t="shared" ca="1" si="45"/>
        <v/>
      </c>
      <c r="AF78" s="437" t="str">
        <f t="shared" ca="1" si="57"/>
        <v>-</v>
      </c>
      <c r="AG78" s="438" t="str">
        <f t="shared" ca="1" si="58"/>
        <v>-</v>
      </c>
      <c r="AH78" s="437" t="str">
        <f t="shared" ca="1" si="59"/>
        <v>-</v>
      </c>
      <c r="AI78" s="438" t="str">
        <f t="shared" ca="1" si="60"/>
        <v>-</v>
      </c>
      <c r="AJ78" s="438" t="str">
        <f t="shared" ca="1" si="61"/>
        <v>-</v>
      </c>
      <c r="AK78" s="439" t="str">
        <f ca="1">IFERROR(AE78*AD78*AL78/(IF(Cluster!AA97=Cluster!$W$8,Cluster!$W$10,IF(Cluster!AA97=Cluster!$X$8,Cluster!$X$10,IF(Cluster!AA97=Cluster!$Y$8,Cluster!$Y$10,0)))*10^3),"-")</f>
        <v>-</v>
      </c>
      <c r="AL78" s="440" t="str">
        <f ca="1">IFERROR(IF(OR(Calculation!T78&lt;(Calculation!$U$8+2),Calculation!AC78="Bypass"),IF((IF(Calculation!$O$6/((Calculation!AD78*10^-12)/(Calculation!T78*10^-9)*50)&lt;=1,1,ROUNDUP(Calculation!$O$6/((Calculation!AD78*10^-12)/(Calculation!T78*10^-9)*50),0))*50)&lt;Calculation!$AK$6,Calculation!$AK$6,IF(Calculation!$O$6/((Calculation!AD78*10^-12)/(Calculation!T78*10^-9)*50)&lt;=1,1,ROUNDUP(Calculation!$O$6/((Calculation!AD78*10^-12)/(Calculation!T78*10^-9)*50),0))*50),"-"),"-")</f>
        <v>-</v>
      </c>
      <c r="AM78" s="441" t="str">
        <f t="shared" ca="1" si="46"/>
        <v/>
      </c>
      <c r="AN78" s="442" t="str">
        <f t="shared" ca="1" si="46"/>
        <v/>
      </c>
      <c r="AO78" s="432">
        <f t="shared" ca="1" si="62"/>
        <v>384</v>
      </c>
      <c r="AP78" s="427" t="str">
        <f t="shared" ca="1" si="63"/>
        <v>-</v>
      </c>
      <c r="AQ78" s="443" t="str">
        <f t="shared" ca="1" si="64"/>
        <v>-</v>
      </c>
      <c r="AR78" s="444" t="str">
        <f t="shared" ca="1" si="65"/>
        <v>-</v>
      </c>
      <c r="AS78" s="430" t="str">
        <f t="shared" ca="1" si="66"/>
        <v>-</v>
      </c>
      <c r="AT78" s="431"/>
      <c r="AU78" s="431"/>
      <c r="AV78" s="432">
        <v>69</v>
      </c>
      <c r="AW78" s="433" t="e">
        <f>ListAndConversion!S71</f>
        <v>#DIV/0!</v>
      </c>
      <c r="AX78" s="432" t="e">
        <f>IF(AW78="-","-",IF(COUNTIF(ListAndConversion!$F$3:$M$386,Calculation!AW78)=0,"Missing Lane","OK"))</f>
        <v>#DIV/0!</v>
      </c>
      <c r="AY78" s="433" t="str">
        <f>IFERROR(VLOOKUP(AW78,ListAndConversion!$F$3:$O$386,9,0),"-")</f>
        <v>-</v>
      </c>
      <c r="AZ78" s="433" t="str">
        <f>IFERROR(VLOOKUP(AW78,ListAndConversion!$F$3:$O$386,10,0),"-")</f>
        <v>-</v>
      </c>
      <c r="BA78" s="433" t="e">
        <f t="shared" si="67"/>
        <v>#DIV/0!</v>
      </c>
      <c r="BB78" s="433" t="str">
        <f t="shared" si="68"/>
        <v>-</v>
      </c>
      <c r="BC78" s="433" t="str">
        <f t="shared" si="69"/>
        <v/>
      </c>
    </row>
    <row r="79" spans="1:55" ht="14.25" x14ac:dyDescent="0.65">
      <c r="A79" s="407">
        <v>71</v>
      </c>
      <c r="B79" s="408" t="str">
        <f t="shared" ca="1" si="47"/>
        <v/>
      </c>
      <c r="C79" s="408" t="str">
        <f ca="1">IFERROR(IF(G79="","",CONCATENATE(E79,"-",INDEX(Coordinate,MATCH(F79,ListAndConversion!$X$4:$X$99,0),2))),"")</f>
        <v/>
      </c>
      <c r="D79" s="408" t="str">
        <f t="shared" ca="1" si="43"/>
        <v/>
      </c>
      <c r="E79" s="408" t="str">
        <f t="shared" ca="1" si="43"/>
        <v/>
      </c>
      <c r="F79" s="408" t="str">
        <f t="shared" ca="1" si="43"/>
        <v/>
      </c>
      <c r="G79" s="408" t="str">
        <f ca="1">IFERROR(INDEX(ListAndConversion!A:B,MATCH(Calculation!E79,ListAndConversion!A:A,0),2),"")</f>
        <v/>
      </c>
      <c r="H79" s="408" t="str">
        <f>IF(TrackIT_Lines!AD71="","",TrackIT_Lines!AD71)</f>
        <v/>
      </c>
      <c r="I79" s="408" t="str">
        <f>IF(TrackIT_Lines!AD71="","",CONCATENATE(TrackIT_Lines!AD71,"-",TrackIT_Lines!AG71))</f>
        <v/>
      </c>
      <c r="J79" s="409" t="str">
        <f t="shared" ca="1" si="44"/>
        <v/>
      </c>
      <c r="K79" s="408" t="str">
        <f t="shared" ca="1" si="44"/>
        <v/>
      </c>
      <c r="L79" s="408" t="str">
        <f t="shared" ca="1" si="44"/>
        <v/>
      </c>
      <c r="M79" s="408" t="str">
        <f t="shared" ca="1" si="44"/>
        <v/>
      </c>
      <c r="N79" s="408" t="str">
        <f t="shared" ca="1" si="44"/>
        <v/>
      </c>
      <c r="O79" s="408" t="str">
        <f t="shared" ca="1" si="44"/>
        <v/>
      </c>
      <c r="P79" s="408" t="str">
        <f t="shared" ca="1" si="44"/>
        <v/>
      </c>
      <c r="Q79" s="408" t="str">
        <f t="shared" ca="1" si="44"/>
        <v/>
      </c>
      <c r="R79" s="410" t="str">
        <f ca="1">Cluster!J98</f>
        <v>Selection</v>
      </c>
      <c r="S79" s="411" t="str">
        <f t="shared" ca="1" si="48"/>
        <v>-</v>
      </c>
      <c r="T79" s="412" t="str">
        <f t="shared" ca="1" si="49"/>
        <v/>
      </c>
      <c r="U79" s="411" t="str">
        <f t="shared" ca="1" si="50"/>
        <v>-</v>
      </c>
      <c r="V79" s="411" t="str">
        <f t="shared" ca="1" si="51"/>
        <v>-</v>
      </c>
      <c r="W79" s="413">
        <f>Cluster!N98</f>
        <v>0</v>
      </c>
      <c r="X79" s="414" t="str">
        <f t="shared" ca="1" si="52"/>
        <v>-</v>
      </c>
      <c r="Y79" s="411" t="str">
        <f t="shared" ca="1" si="53"/>
        <v>-</v>
      </c>
      <c r="Z79" s="415" t="str">
        <f t="shared" ca="1" si="54"/>
        <v>-</v>
      </c>
      <c r="AA79" s="416" t="str">
        <f t="shared" ca="1" si="55"/>
        <v>-</v>
      </c>
      <c r="AB79" s="416" t="str">
        <f t="shared" ca="1" si="56"/>
        <v/>
      </c>
      <c r="AC79" s="434">
        <f>Cluster!Q98</f>
        <v>0</v>
      </c>
      <c r="AD79" s="435" t="str">
        <f t="shared" ca="1" si="45"/>
        <v/>
      </c>
      <c r="AE79" s="436" t="str">
        <f t="shared" ca="1" si="45"/>
        <v/>
      </c>
      <c r="AF79" s="437" t="str">
        <f t="shared" ca="1" si="57"/>
        <v>-</v>
      </c>
      <c r="AG79" s="438" t="str">
        <f t="shared" ca="1" si="58"/>
        <v>-</v>
      </c>
      <c r="AH79" s="437" t="str">
        <f t="shared" ca="1" si="59"/>
        <v>-</v>
      </c>
      <c r="AI79" s="438" t="str">
        <f t="shared" ca="1" si="60"/>
        <v>-</v>
      </c>
      <c r="AJ79" s="438" t="str">
        <f t="shared" ca="1" si="61"/>
        <v>-</v>
      </c>
      <c r="AK79" s="439" t="str">
        <f ca="1">IFERROR(AE79*AD79*AL79/(IF(Cluster!AA98=Cluster!$W$8,Cluster!$W$10,IF(Cluster!AA98=Cluster!$X$8,Cluster!$X$10,IF(Cluster!AA98=Cluster!$Y$8,Cluster!$Y$10,0)))*10^3),"-")</f>
        <v>-</v>
      </c>
      <c r="AL79" s="440" t="str">
        <f ca="1">IFERROR(IF(OR(Calculation!T79&lt;(Calculation!$U$8+2),Calculation!AC79="Bypass"),IF((IF(Calculation!$O$6/((Calculation!AD79*10^-12)/(Calculation!T79*10^-9)*50)&lt;=1,1,ROUNDUP(Calculation!$O$6/((Calculation!AD79*10^-12)/(Calculation!T79*10^-9)*50),0))*50)&lt;Calculation!$AK$6,Calculation!$AK$6,IF(Calculation!$O$6/((Calculation!AD79*10^-12)/(Calculation!T79*10^-9)*50)&lt;=1,1,ROUNDUP(Calculation!$O$6/((Calculation!AD79*10^-12)/(Calculation!T79*10^-9)*50),0))*50),"-"),"-")</f>
        <v>-</v>
      </c>
      <c r="AM79" s="441" t="str">
        <f t="shared" ca="1" si="46"/>
        <v/>
      </c>
      <c r="AN79" s="442" t="str">
        <f t="shared" ca="1" si="46"/>
        <v/>
      </c>
      <c r="AO79" s="432">
        <f t="shared" ca="1" si="62"/>
        <v>384</v>
      </c>
      <c r="AP79" s="427" t="str">
        <f t="shared" ca="1" si="63"/>
        <v>-</v>
      </c>
      <c r="AQ79" s="443" t="str">
        <f t="shared" ca="1" si="64"/>
        <v>-</v>
      </c>
      <c r="AR79" s="444" t="str">
        <f t="shared" ca="1" si="65"/>
        <v>-</v>
      </c>
      <c r="AS79" s="430" t="str">
        <f t="shared" ca="1" si="66"/>
        <v>-</v>
      </c>
      <c r="AT79" s="431"/>
      <c r="AU79" s="431"/>
      <c r="AV79" s="432">
        <v>70</v>
      </c>
      <c r="AW79" s="433" t="e">
        <f>ListAndConversion!S72</f>
        <v>#DIV/0!</v>
      </c>
      <c r="AX79" s="432" t="e">
        <f>IF(AW79="-","-",IF(COUNTIF(ListAndConversion!$F$3:$M$386,Calculation!AW79)=0,"Missing Lane","OK"))</f>
        <v>#DIV/0!</v>
      </c>
      <c r="AY79" s="433" t="str">
        <f>IFERROR(VLOOKUP(AW79,ListAndConversion!$F$3:$O$386,9,0),"-")</f>
        <v>-</v>
      </c>
      <c r="AZ79" s="433" t="str">
        <f>IFERROR(VLOOKUP(AW79,ListAndConversion!$F$3:$O$386,10,0),"-")</f>
        <v>-</v>
      </c>
      <c r="BA79" s="433" t="e">
        <f t="shared" si="67"/>
        <v>#DIV/0!</v>
      </c>
      <c r="BB79" s="433" t="str">
        <f t="shared" si="68"/>
        <v>-</v>
      </c>
      <c r="BC79" s="433" t="str">
        <f t="shared" si="69"/>
        <v/>
      </c>
    </row>
    <row r="80" spans="1:55" ht="14.25" x14ac:dyDescent="0.65">
      <c r="A80" s="407">
        <v>72</v>
      </c>
      <c r="B80" s="408" t="str">
        <f t="shared" ca="1" si="47"/>
        <v/>
      </c>
      <c r="C80" s="408" t="str">
        <f ca="1">IFERROR(IF(G80="","",CONCATENATE(E80,"-",INDEX(Coordinate,MATCH(F80,ListAndConversion!$X$4:$X$99,0),2))),"")</f>
        <v/>
      </c>
      <c r="D80" s="408" t="str">
        <f t="shared" ca="1" si="43"/>
        <v/>
      </c>
      <c r="E80" s="408" t="str">
        <f t="shared" ca="1" si="43"/>
        <v/>
      </c>
      <c r="F80" s="408" t="str">
        <f t="shared" ca="1" si="43"/>
        <v/>
      </c>
      <c r="G80" s="408" t="str">
        <f ca="1">IFERROR(INDEX(ListAndConversion!A:B,MATCH(Calculation!E80,ListAndConversion!A:A,0),2),"")</f>
        <v/>
      </c>
      <c r="H80" s="408" t="str">
        <f>IF(TrackIT_Lines!AD72="","",TrackIT_Lines!AD72)</f>
        <v/>
      </c>
      <c r="I80" s="408" t="str">
        <f>IF(TrackIT_Lines!AD72="","",CONCATENATE(TrackIT_Lines!AD72,"-",TrackIT_Lines!AG72))</f>
        <v/>
      </c>
      <c r="J80" s="409" t="str">
        <f t="shared" ref="J80:Q89" ca="1" si="70">IF((INDIRECT("TrackIT_Lines!"&amp;J$2&amp;$A80))="","", (INDIRECT("TrackIT_Lines!"&amp;J$2&amp;$A80)))</f>
        <v/>
      </c>
      <c r="K80" s="408" t="str">
        <f t="shared" ca="1" si="70"/>
        <v/>
      </c>
      <c r="L80" s="408" t="str">
        <f t="shared" ca="1" si="70"/>
        <v/>
      </c>
      <c r="M80" s="408" t="str">
        <f t="shared" ca="1" si="70"/>
        <v/>
      </c>
      <c r="N80" s="408" t="str">
        <f t="shared" ca="1" si="70"/>
        <v/>
      </c>
      <c r="O80" s="408" t="str">
        <f t="shared" ca="1" si="70"/>
        <v/>
      </c>
      <c r="P80" s="408" t="str">
        <f t="shared" ca="1" si="70"/>
        <v/>
      </c>
      <c r="Q80" s="408" t="str">
        <f t="shared" ca="1" si="70"/>
        <v/>
      </c>
      <c r="R80" s="410" t="str">
        <f ca="1">Cluster!J99</f>
        <v>Selection</v>
      </c>
      <c r="S80" s="411" t="str">
        <f t="shared" ca="1" si="48"/>
        <v>-</v>
      </c>
      <c r="T80" s="412" t="str">
        <f t="shared" ca="1" si="49"/>
        <v/>
      </c>
      <c r="U80" s="411" t="str">
        <f t="shared" ca="1" si="50"/>
        <v>-</v>
      </c>
      <c r="V80" s="411" t="str">
        <f t="shared" ca="1" si="51"/>
        <v>-</v>
      </c>
      <c r="W80" s="413">
        <f>Cluster!N99</f>
        <v>0</v>
      </c>
      <c r="X80" s="414" t="str">
        <f t="shared" ca="1" si="52"/>
        <v>-</v>
      </c>
      <c r="Y80" s="411" t="str">
        <f t="shared" ca="1" si="53"/>
        <v>-</v>
      </c>
      <c r="Z80" s="415" t="str">
        <f t="shared" ca="1" si="54"/>
        <v>-</v>
      </c>
      <c r="AA80" s="416" t="str">
        <f t="shared" ca="1" si="55"/>
        <v>-</v>
      </c>
      <c r="AB80" s="416" t="str">
        <f t="shared" ca="1" si="56"/>
        <v/>
      </c>
      <c r="AC80" s="434">
        <f>Cluster!Q99</f>
        <v>0</v>
      </c>
      <c r="AD80" s="435" t="str">
        <f t="shared" ca="1" si="45"/>
        <v/>
      </c>
      <c r="AE80" s="436" t="str">
        <f t="shared" ca="1" si="45"/>
        <v/>
      </c>
      <c r="AF80" s="437" t="str">
        <f t="shared" ca="1" si="57"/>
        <v>-</v>
      </c>
      <c r="AG80" s="438" t="str">
        <f t="shared" ca="1" si="58"/>
        <v>-</v>
      </c>
      <c r="AH80" s="437" t="str">
        <f t="shared" ca="1" si="59"/>
        <v>-</v>
      </c>
      <c r="AI80" s="438" t="str">
        <f t="shared" ca="1" si="60"/>
        <v>-</v>
      </c>
      <c r="AJ80" s="438" t="str">
        <f t="shared" ca="1" si="61"/>
        <v>-</v>
      </c>
      <c r="AK80" s="439" t="str">
        <f ca="1">IFERROR(AE80*AD80*AL80/(IF(Cluster!AA99=Cluster!$W$8,Cluster!$W$10,IF(Cluster!AA99=Cluster!$X$8,Cluster!$X$10,IF(Cluster!AA99=Cluster!$Y$8,Cluster!$Y$10,0)))*10^3),"-")</f>
        <v>-</v>
      </c>
      <c r="AL80" s="440" t="str">
        <f ca="1">IFERROR(IF(OR(Calculation!T80&lt;(Calculation!$U$8+2),Calculation!AC80="Bypass"),IF((IF(Calculation!$O$6/((Calculation!AD80*10^-12)/(Calculation!T80*10^-9)*50)&lt;=1,1,ROUNDUP(Calculation!$O$6/((Calculation!AD80*10^-12)/(Calculation!T80*10^-9)*50),0))*50)&lt;Calculation!$AK$6,Calculation!$AK$6,IF(Calculation!$O$6/((Calculation!AD80*10^-12)/(Calculation!T80*10^-9)*50)&lt;=1,1,ROUNDUP(Calculation!$O$6/((Calculation!AD80*10^-12)/(Calculation!T80*10^-9)*50),0))*50),"-"),"-")</f>
        <v>-</v>
      </c>
      <c r="AM80" s="441" t="str">
        <f t="shared" ca="1" si="46"/>
        <v/>
      </c>
      <c r="AN80" s="442" t="str">
        <f t="shared" ca="1" si="46"/>
        <v/>
      </c>
      <c r="AO80" s="432">
        <f t="shared" ca="1" si="62"/>
        <v>384</v>
      </c>
      <c r="AP80" s="427" t="str">
        <f t="shared" ca="1" si="63"/>
        <v>-</v>
      </c>
      <c r="AQ80" s="443" t="str">
        <f t="shared" ca="1" si="64"/>
        <v>-</v>
      </c>
      <c r="AR80" s="444" t="str">
        <f t="shared" ca="1" si="65"/>
        <v>-</v>
      </c>
      <c r="AS80" s="430" t="str">
        <f t="shared" ca="1" si="66"/>
        <v>-</v>
      </c>
      <c r="AT80" s="431"/>
      <c r="AU80" s="431"/>
      <c r="AV80" s="432">
        <v>71</v>
      </c>
      <c r="AW80" s="433" t="e">
        <f>ListAndConversion!S73</f>
        <v>#DIV/0!</v>
      </c>
      <c r="AX80" s="432" t="e">
        <f>IF(AW80="-","-",IF(COUNTIF(ListAndConversion!$F$3:$M$386,Calculation!AW80)=0,"Missing Lane","OK"))</f>
        <v>#DIV/0!</v>
      </c>
      <c r="AY80" s="433" t="str">
        <f>IFERROR(VLOOKUP(AW80,ListAndConversion!$F$3:$O$386,9,0),"-")</f>
        <v>-</v>
      </c>
      <c r="AZ80" s="433" t="str">
        <f>IFERROR(VLOOKUP(AW80,ListAndConversion!$F$3:$O$386,10,0),"-")</f>
        <v>-</v>
      </c>
      <c r="BA80" s="433" t="e">
        <f t="shared" si="67"/>
        <v>#DIV/0!</v>
      </c>
      <c r="BB80" s="433" t="str">
        <f t="shared" si="68"/>
        <v>-</v>
      </c>
      <c r="BC80" s="433" t="str">
        <f t="shared" si="69"/>
        <v/>
      </c>
    </row>
    <row r="81" spans="1:55" ht="14.25" x14ac:dyDescent="0.65">
      <c r="A81" s="407">
        <v>73</v>
      </c>
      <c r="B81" s="408" t="str">
        <f t="shared" ca="1" si="47"/>
        <v/>
      </c>
      <c r="C81" s="408" t="str">
        <f ca="1">IFERROR(IF(G81="","",CONCATENATE(E81,"-",INDEX(Coordinate,MATCH(F81,ListAndConversion!$X$4:$X$99,0),2))),"")</f>
        <v/>
      </c>
      <c r="D81" s="408" t="str">
        <f t="shared" ca="1" si="43"/>
        <v/>
      </c>
      <c r="E81" s="408" t="str">
        <f t="shared" ca="1" si="43"/>
        <v/>
      </c>
      <c r="F81" s="408" t="str">
        <f t="shared" ca="1" si="43"/>
        <v/>
      </c>
      <c r="G81" s="408" t="str">
        <f ca="1">IFERROR(INDEX(ListAndConversion!A:B,MATCH(Calculation!E81,ListAndConversion!A:A,0),2),"")</f>
        <v/>
      </c>
      <c r="H81" s="408" t="str">
        <f>IF(TrackIT_Lines!AD73="","",TrackIT_Lines!AD73)</f>
        <v/>
      </c>
      <c r="I81" s="408" t="str">
        <f>IF(TrackIT_Lines!AD73="","",CONCATENATE(TrackIT_Lines!AD73,"-",TrackIT_Lines!AG73))</f>
        <v/>
      </c>
      <c r="J81" s="409" t="str">
        <f t="shared" ca="1" si="70"/>
        <v/>
      </c>
      <c r="K81" s="408" t="str">
        <f t="shared" ca="1" si="70"/>
        <v/>
      </c>
      <c r="L81" s="408" t="str">
        <f t="shared" ca="1" si="70"/>
        <v/>
      </c>
      <c r="M81" s="408" t="str">
        <f t="shared" ca="1" si="70"/>
        <v/>
      </c>
      <c r="N81" s="408" t="str">
        <f t="shared" ca="1" si="70"/>
        <v/>
      </c>
      <c r="O81" s="408" t="str">
        <f t="shared" ca="1" si="70"/>
        <v/>
      </c>
      <c r="P81" s="408" t="str">
        <f t="shared" ca="1" si="70"/>
        <v/>
      </c>
      <c r="Q81" s="408" t="str">
        <f t="shared" ca="1" si="70"/>
        <v/>
      </c>
      <c r="R81" s="410" t="str">
        <f ca="1">Cluster!J100</f>
        <v>Selection</v>
      </c>
      <c r="S81" s="411" t="str">
        <f t="shared" ca="1" si="48"/>
        <v>-</v>
      </c>
      <c r="T81" s="412" t="str">
        <f t="shared" ca="1" si="49"/>
        <v/>
      </c>
      <c r="U81" s="411" t="str">
        <f t="shared" ca="1" si="50"/>
        <v>-</v>
      </c>
      <c r="V81" s="411" t="str">
        <f t="shared" ca="1" si="51"/>
        <v>-</v>
      </c>
      <c r="W81" s="413">
        <f>Cluster!N100</f>
        <v>0</v>
      </c>
      <c r="X81" s="414" t="str">
        <f t="shared" ca="1" si="52"/>
        <v>-</v>
      </c>
      <c r="Y81" s="411" t="str">
        <f t="shared" ca="1" si="53"/>
        <v>-</v>
      </c>
      <c r="Z81" s="415" t="str">
        <f t="shared" ca="1" si="54"/>
        <v>-</v>
      </c>
      <c r="AA81" s="416" t="str">
        <f t="shared" ca="1" si="55"/>
        <v>-</v>
      </c>
      <c r="AB81" s="416" t="str">
        <f t="shared" ca="1" si="56"/>
        <v/>
      </c>
      <c r="AC81" s="434">
        <f>Cluster!Q100</f>
        <v>0</v>
      </c>
      <c r="AD81" s="435" t="str">
        <f t="shared" ca="1" si="45"/>
        <v/>
      </c>
      <c r="AE81" s="436" t="str">
        <f t="shared" ca="1" si="45"/>
        <v/>
      </c>
      <c r="AF81" s="437" t="str">
        <f t="shared" ca="1" si="57"/>
        <v>-</v>
      </c>
      <c r="AG81" s="438" t="str">
        <f t="shared" ca="1" si="58"/>
        <v>-</v>
      </c>
      <c r="AH81" s="437" t="str">
        <f t="shared" ca="1" si="59"/>
        <v>-</v>
      </c>
      <c r="AI81" s="438" t="str">
        <f t="shared" ca="1" si="60"/>
        <v>-</v>
      </c>
      <c r="AJ81" s="438" t="str">
        <f t="shared" ca="1" si="61"/>
        <v>-</v>
      </c>
      <c r="AK81" s="439" t="str">
        <f ca="1">IFERROR(AE81*AD81*AL81/(IF(Cluster!AA100=Cluster!$W$8,Cluster!$W$10,IF(Cluster!AA100=Cluster!$X$8,Cluster!$X$10,IF(Cluster!AA100=Cluster!$Y$8,Cluster!$Y$10,0)))*10^3),"-")</f>
        <v>-</v>
      </c>
      <c r="AL81" s="440" t="str">
        <f ca="1">IFERROR(IF(OR(Calculation!T81&lt;(Calculation!$U$8+2),Calculation!AC81="Bypass"),IF((IF(Calculation!$O$6/((Calculation!AD81*10^-12)/(Calculation!T81*10^-9)*50)&lt;=1,1,ROUNDUP(Calculation!$O$6/((Calculation!AD81*10^-12)/(Calculation!T81*10^-9)*50),0))*50)&lt;Calculation!$AK$6,Calculation!$AK$6,IF(Calculation!$O$6/((Calculation!AD81*10^-12)/(Calculation!T81*10^-9)*50)&lt;=1,1,ROUNDUP(Calculation!$O$6/((Calculation!AD81*10^-12)/(Calculation!T81*10^-9)*50),0))*50),"-"),"-")</f>
        <v>-</v>
      </c>
      <c r="AM81" s="441" t="str">
        <f t="shared" ca="1" si="46"/>
        <v/>
      </c>
      <c r="AN81" s="442" t="str">
        <f t="shared" ca="1" si="46"/>
        <v/>
      </c>
      <c r="AO81" s="432">
        <f t="shared" ca="1" si="62"/>
        <v>384</v>
      </c>
      <c r="AP81" s="427" t="str">
        <f t="shared" ca="1" si="63"/>
        <v>-</v>
      </c>
      <c r="AQ81" s="443" t="str">
        <f t="shared" ca="1" si="64"/>
        <v>-</v>
      </c>
      <c r="AR81" s="444" t="str">
        <f t="shared" ca="1" si="65"/>
        <v>-</v>
      </c>
      <c r="AS81" s="430" t="str">
        <f t="shared" ca="1" si="66"/>
        <v>-</v>
      </c>
      <c r="AT81" s="431"/>
      <c r="AU81" s="431"/>
      <c r="AV81" s="432">
        <v>72</v>
      </c>
      <c r="AW81" s="433" t="e">
        <f>ListAndConversion!S74</f>
        <v>#DIV/0!</v>
      </c>
      <c r="AX81" s="432" t="e">
        <f>IF(AW81="-","-",IF(COUNTIF(ListAndConversion!$F$3:$M$386,Calculation!AW81)=0,"Missing Lane","OK"))</f>
        <v>#DIV/0!</v>
      </c>
      <c r="AY81" s="433" t="str">
        <f>IFERROR(VLOOKUP(AW81,ListAndConversion!$F$3:$O$386,9,0),"-")</f>
        <v>-</v>
      </c>
      <c r="AZ81" s="433" t="str">
        <f>IFERROR(VLOOKUP(AW81,ListAndConversion!$F$3:$O$386,10,0),"-")</f>
        <v>-</v>
      </c>
      <c r="BA81" s="433" t="e">
        <f t="shared" si="67"/>
        <v>#DIV/0!</v>
      </c>
      <c r="BB81" s="433" t="str">
        <f t="shared" si="68"/>
        <v>-</v>
      </c>
      <c r="BC81" s="433" t="str">
        <f t="shared" si="69"/>
        <v/>
      </c>
    </row>
    <row r="82" spans="1:55" ht="14.25" x14ac:dyDescent="0.65">
      <c r="A82" s="407">
        <v>74</v>
      </c>
      <c r="B82" s="408" t="str">
        <f t="shared" ca="1" si="47"/>
        <v/>
      </c>
      <c r="C82" s="408" t="str">
        <f ca="1">IFERROR(IF(G82="","",CONCATENATE(E82,"-",INDEX(Coordinate,MATCH(F82,ListAndConversion!$X$4:$X$99,0),2))),"")</f>
        <v/>
      </c>
      <c r="D82" s="408" t="str">
        <f t="shared" ca="1" si="43"/>
        <v/>
      </c>
      <c r="E82" s="408" t="str">
        <f t="shared" ca="1" si="43"/>
        <v/>
      </c>
      <c r="F82" s="408" t="str">
        <f t="shared" ca="1" si="43"/>
        <v/>
      </c>
      <c r="G82" s="408" t="str">
        <f ca="1">IFERROR(INDEX(ListAndConversion!A:B,MATCH(Calculation!E82,ListAndConversion!A:A,0),2),"")</f>
        <v/>
      </c>
      <c r="H82" s="408" t="str">
        <f>IF(TrackIT_Lines!AD74="","",TrackIT_Lines!AD74)</f>
        <v/>
      </c>
      <c r="I82" s="408" t="str">
        <f>IF(TrackIT_Lines!AD74="","",CONCATENATE(TrackIT_Lines!AD74,"-",TrackIT_Lines!AG74))</f>
        <v/>
      </c>
      <c r="J82" s="409" t="str">
        <f t="shared" ca="1" si="70"/>
        <v/>
      </c>
      <c r="K82" s="408" t="str">
        <f t="shared" ca="1" si="70"/>
        <v/>
      </c>
      <c r="L82" s="408" t="str">
        <f t="shared" ca="1" si="70"/>
        <v/>
      </c>
      <c r="M82" s="408" t="str">
        <f t="shared" ca="1" si="70"/>
        <v/>
      </c>
      <c r="N82" s="408" t="str">
        <f t="shared" ca="1" si="70"/>
        <v/>
      </c>
      <c r="O82" s="408" t="str">
        <f t="shared" ca="1" si="70"/>
        <v/>
      </c>
      <c r="P82" s="408" t="str">
        <f t="shared" ca="1" si="70"/>
        <v/>
      </c>
      <c r="Q82" s="408" t="str">
        <f t="shared" ca="1" si="70"/>
        <v/>
      </c>
      <c r="R82" s="410" t="str">
        <f ca="1">Cluster!J101</f>
        <v>Selection</v>
      </c>
      <c r="S82" s="411" t="str">
        <f t="shared" ca="1" si="48"/>
        <v>-</v>
      </c>
      <c r="T82" s="412" t="str">
        <f t="shared" ca="1" si="49"/>
        <v/>
      </c>
      <c r="U82" s="411" t="str">
        <f t="shared" ca="1" si="50"/>
        <v>-</v>
      </c>
      <c r="V82" s="411" t="str">
        <f t="shared" ca="1" si="51"/>
        <v>-</v>
      </c>
      <c r="W82" s="413">
        <f>Cluster!N101</f>
        <v>0</v>
      </c>
      <c r="X82" s="414" t="str">
        <f t="shared" ca="1" si="52"/>
        <v>-</v>
      </c>
      <c r="Y82" s="411" t="str">
        <f t="shared" ca="1" si="53"/>
        <v>-</v>
      </c>
      <c r="Z82" s="415" t="str">
        <f t="shared" ca="1" si="54"/>
        <v>-</v>
      </c>
      <c r="AA82" s="416" t="str">
        <f t="shared" ca="1" si="55"/>
        <v>-</v>
      </c>
      <c r="AB82" s="416" t="str">
        <f t="shared" ca="1" si="56"/>
        <v/>
      </c>
      <c r="AC82" s="434">
        <f>Cluster!Q101</f>
        <v>0</v>
      </c>
      <c r="AD82" s="435" t="str">
        <f t="shared" ca="1" si="45"/>
        <v/>
      </c>
      <c r="AE82" s="436" t="str">
        <f t="shared" ca="1" si="45"/>
        <v/>
      </c>
      <c r="AF82" s="437" t="str">
        <f t="shared" ca="1" si="57"/>
        <v>-</v>
      </c>
      <c r="AG82" s="438" t="str">
        <f t="shared" ca="1" si="58"/>
        <v>-</v>
      </c>
      <c r="AH82" s="437" t="str">
        <f t="shared" ca="1" si="59"/>
        <v>-</v>
      </c>
      <c r="AI82" s="438" t="str">
        <f t="shared" ca="1" si="60"/>
        <v>-</v>
      </c>
      <c r="AJ82" s="438" t="str">
        <f t="shared" ca="1" si="61"/>
        <v>-</v>
      </c>
      <c r="AK82" s="439" t="str">
        <f ca="1">IFERROR(AE82*AD82*AL82/(IF(Cluster!AA101=Cluster!$W$8,Cluster!$W$10,IF(Cluster!AA101=Cluster!$X$8,Cluster!$X$10,IF(Cluster!AA101=Cluster!$Y$8,Cluster!$Y$10,0)))*10^3),"-")</f>
        <v>-</v>
      </c>
      <c r="AL82" s="440" t="str">
        <f ca="1">IFERROR(IF(OR(Calculation!T82&lt;(Calculation!$U$8+2),Calculation!AC82="Bypass"),IF((IF(Calculation!$O$6/((Calculation!AD82*10^-12)/(Calculation!T82*10^-9)*50)&lt;=1,1,ROUNDUP(Calculation!$O$6/((Calculation!AD82*10^-12)/(Calculation!T82*10^-9)*50),0))*50)&lt;Calculation!$AK$6,Calculation!$AK$6,IF(Calculation!$O$6/((Calculation!AD82*10^-12)/(Calculation!T82*10^-9)*50)&lt;=1,1,ROUNDUP(Calculation!$O$6/((Calculation!AD82*10^-12)/(Calculation!T82*10^-9)*50),0))*50),"-"),"-")</f>
        <v>-</v>
      </c>
      <c r="AM82" s="441" t="str">
        <f t="shared" ca="1" si="46"/>
        <v/>
      </c>
      <c r="AN82" s="442" t="str">
        <f t="shared" ca="1" si="46"/>
        <v/>
      </c>
      <c r="AO82" s="432">
        <f t="shared" ca="1" si="62"/>
        <v>384</v>
      </c>
      <c r="AP82" s="427" t="str">
        <f t="shared" ca="1" si="63"/>
        <v>-</v>
      </c>
      <c r="AQ82" s="443" t="str">
        <f t="shared" ca="1" si="64"/>
        <v>-</v>
      </c>
      <c r="AR82" s="444" t="str">
        <f t="shared" ca="1" si="65"/>
        <v>-</v>
      </c>
      <c r="AS82" s="430" t="str">
        <f t="shared" ca="1" si="66"/>
        <v>-</v>
      </c>
      <c r="AT82" s="431"/>
      <c r="AU82" s="431"/>
      <c r="AV82" s="432">
        <v>73</v>
      </c>
      <c r="AW82" s="433" t="e">
        <f>ListAndConversion!S75</f>
        <v>#DIV/0!</v>
      </c>
      <c r="AX82" s="432" t="e">
        <f>IF(AW82="-","-",IF(COUNTIF(ListAndConversion!$F$3:$M$386,Calculation!AW82)=0,"Missing Lane","OK"))</f>
        <v>#DIV/0!</v>
      </c>
      <c r="AY82" s="433" t="str">
        <f>IFERROR(VLOOKUP(AW82,ListAndConversion!$F$3:$O$386,9,0),"-")</f>
        <v>-</v>
      </c>
      <c r="AZ82" s="433" t="str">
        <f>IFERROR(VLOOKUP(AW82,ListAndConversion!$F$3:$O$386,10,0),"-")</f>
        <v>-</v>
      </c>
      <c r="BA82" s="433" t="e">
        <f t="shared" si="67"/>
        <v>#DIV/0!</v>
      </c>
      <c r="BB82" s="433" t="str">
        <f t="shared" si="68"/>
        <v>-</v>
      </c>
      <c r="BC82" s="433" t="str">
        <f t="shared" si="69"/>
        <v/>
      </c>
    </row>
    <row r="83" spans="1:55" ht="14.25" x14ac:dyDescent="0.65">
      <c r="A83" s="407">
        <v>75</v>
      </c>
      <c r="B83" s="408" t="str">
        <f t="shared" ca="1" si="47"/>
        <v/>
      </c>
      <c r="C83" s="408" t="str">
        <f ca="1">IFERROR(IF(G83="","",CONCATENATE(E83,"-",INDEX(Coordinate,MATCH(F83,ListAndConversion!$X$4:$X$99,0),2))),"")</f>
        <v/>
      </c>
      <c r="D83" s="408" t="str">
        <f t="shared" ca="1" si="43"/>
        <v/>
      </c>
      <c r="E83" s="408" t="str">
        <f t="shared" ca="1" si="43"/>
        <v/>
      </c>
      <c r="F83" s="408" t="str">
        <f t="shared" ca="1" si="43"/>
        <v/>
      </c>
      <c r="G83" s="408" t="str">
        <f ca="1">IFERROR(INDEX(ListAndConversion!A:B,MATCH(Calculation!E83,ListAndConversion!A:A,0),2),"")</f>
        <v/>
      </c>
      <c r="H83" s="408" t="str">
        <f>IF(TrackIT_Lines!AD75="","",TrackIT_Lines!AD75)</f>
        <v/>
      </c>
      <c r="I83" s="408" t="str">
        <f>IF(TrackIT_Lines!AD75="","",CONCATENATE(TrackIT_Lines!AD75,"-",TrackIT_Lines!AG75))</f>
        <v/>
      </c>
      <c r="J83" s="409" t="str">
        <f t="shared" ca="1" si="70"/>
        <v/>
      </c>
      <c r="K83" s="408" t="str">
        <f t="shared" ca="1" si="70"/>
        <v/>
      </c>
      <c r="L83" s="408" t="str">
        <f t="shared" ca="1" si="70"/>
        <v/>
      </c>
      <c r="M83" s="408" t="str">
        <f t="shared" ca="1" si="70"/>
        <v/>
      </c>
      <c r="N83" s="408" t="str">
        <f t="shared" ca="1" si="70"/>
        <v/>
      </c>
      <c r="O83" s="408" t="str">
        <f t="shared" ca="1" si="70"/>
        <v/>
      </c>
      <c r="P83" s="408" t="str">
        <f t="shared" ca="1" si="70"/>
        <v/>
      </c>
      <c r="Q83" s="408" t="str">
        <f t="shared" ca="1" si="70"/>
        <v/>
      </c>
      <c r="R83" s="410" t="str">
        <f ca="1">Cluster!J102</f>
        <v>Selection</v>
      </c>
      <c r="S83" s="411" t="str">
        <f t="shared" ca="1" si="48"/>
        <v>-</v>
      </c>
      <c r="T83" s="412" t="str">
        <f t="shared" ca="1" si="49"/>
        <v/>
      </c>
      <c r="U83" s="411" t="str">
        <f t="shared" ca="1" si="50"/>
        <v>-</v>
      </c>
      <c r="V83" s="411" t="str">
        <f t="shared" ca="1" si="51"/>
        <v>-</v>
      </c>
      <c r="W83" s="413">
        <f>Cluster!N102</f>
        <v>0</v>
      </c>
      <c r="X83" s="414" t="str">
        <f t="shared" ca="1" si="52"/>
        <v>-</v>
      </c>
      <c r="Y83" s="411" t="str">
        <f t="shared" ca="1" si="53"/>
        <v>-</v>
      </c>
      <c r="Z83" s="415" t="str">
        <f t="shared" ca="1" si="54"/>
        <v>-</v>
      </c>
      <c r="AA83" s="416" t="str">
        <f t="shared" ca="1" si="55"/>
        <v>-</v>
      </c>
      <c r="AB83" s="416" t="str">
        <f t="shared" ca="1" si="56"/>
        <v/>
      </c>
      <c r="AC83" s="434">
        <f>Cluster!Q102</f>
        <v>0</v>
      </c>
      <c r="AD83" s="435" t="str">
        <f t="shared" ca="1" si="45"/>
        <v/>
      </c>
      <c r="AE83" s="436" t="str">
        <f t="shared" ca="1" si="45"/>
        <v/>
      </c>
      <c r="AF83" s="437" t="str">
        <f t="shared" ca="1" si="57"/>
        <v>-</v>
      </c>
      <c r="AG83" s="438" t="str">
        <f t="shared" ca="1" si="58"/>
        <v>-</v>
      </c>
      <c r="AH83" s="437" t="str">
        <f t="shared" ca="1" si="59"/>
        <v>-</v>
      </c>
      <c r="AI83" s="438" t="str">
        <f t="shared" ca="1" si="60"/>
        <v>-</v>
      </c>
      <c r="AJ83" s="438" t="str">
        <f t="shared" ca="1" si="61"/>
        <v>-</v>
      </c>
      <c r="AK83" s="439" t="str">
        <f ca="1">IFERROR(AE83*AD83*AL83/(IF(Cluster!AA102=Cluster!$W$8,Cluster!$W$10,IF(Cluster!AA102=Cluster!$X$8,Cluster!$X$10,IF(Cluster!AA102=Cluster!$Y$8,Cluster!$Y$10,0)))*10^3),"-")</f>
        <v>-</v>
      </c>
      <c r="AL83" s="440" t="str">
        <f ca="1">IFERROR(IF(OR(Calculation!T83&lt;(Calculation!$U$8+2),Calculation!AC83="Bypass"),IF((IF(Calculation!$O$6/((Calculation!AD83*10^-12)/(Calculation!T83*10^-9)*50)&lt;=1,1,ROUNDUP(Calculation!$O$6/((Calculation!AD83*10^-12)/(Calculation!T83*10^-9)*50),0))*50)&lt;Calculation!$AK$6,Calculation!$AK$6,IF(Calculation!$O$6/((Calculation!AD83*10^-12)/(Calculation!T83*10^-9)*50)&lt;=1,1,ROUNDUP(Calculation!$O$6/((Calculation!AD83*10^-12)/(Calculation!T83*10^-9)*50),0))*50),"-"),"-")</f>
        <v>-</v>
      </c>
      <c r="AM83" s="441" t="str">
        <f t="shared" ca="1" si="46"/>
        <v/>
      </c>
      <c r="AN83" s="442" t="str">
        <f t="shared" ca="1" si="46"/>
        <v/>
      </c>
      <c r="AO83" s="432">
        <f t="shared" ca="1" si="62"/>
        <v>384</v>
      </c>
      <c r="AP83" s="427" t="str">
        <f t="shared" ca="1" si="63"/>
        <v>-</v>
      </c>
      <c r="AQ83" s="443" t="str">
        <f t="shared" ca="1" si="64"/>
        <v>-</v>
      </c>
      <c r="AR83" s="444" t="str">
        <f t="shared" ca="1" si="65"/>
        <v>-</v>
      </c>
      <c r="AS83" s="430" t="str">
        <f t="shared" ca="1" si="66"/>
        <v>-</v>
      </c>
      <c r="AT83" s="431"/>
      <c r="AU83" s="431"/>
      <c r="AV83" s="432">
        <v>74</v>
      </c>
      <c r="AW83" s="433" t="e">
        <f>ListAndConversion!S76</f>
        <v>#DIV/0!</v>
      </c>
      <c r="AX83" s="432" t="e">
        <f>IF(AW83="-","-",IF(COUNTIF(ListAndConversion!$F$3:$M$386,Calculation!AW83)=0,"Missing Lane","OK"))</f>
        <v>#DIV/0!</v>
      </c>
      <c r="AY83" s="433" t="str">
        <f>IFERROR(VLOOKUP(AW83,ListAndConversion!$F$3:$O$386,9,0),"-")</f>
        <v>-</v>
      </c>
      <c r="AZ83" s="433" t="str">
        <f>IFERROR(VLOOKUP(AW83,ListAndConversion!$F$3:$O$386,10,0),"-")</f>
        <v>-</v>
      </c>
      <c r="BA83" s="433" t="e">
        <f t="shared" si="67"/>
        <v>#DIV/0!</v>
      </c>
      <c r="BB83" s="433" t="str">
        <f t="shared" si="68"/>
        <v>-</v>
      </c>
      <c r="BC83" s="433" t="str">
        <f t="shared" si="69"/>
        <v/>
      </c>
    </row>
    <row r="84" spans="1:55" ht="14.25" x14ac:dyDescent="0.65">
      <c r="A84" s="407">
        <v>76</v>
      </c>
      <c r="B84" s="408" t="str">
        <f t="shared" ca="1" si="47"/>
        <v/>
      </c>
      <c r="C84" s="408" t="str">
        <f ca="1">IFERROR(IF(G84="","",CONCATENATE(E84,"-",INDEX(Coordinate,MATCH(F84,ListAndConversion!$X$4:$X$99,0),2))),"")</f>
        <v/>
      </c>
      <c r="D84" s="408" t="str">
        <f t="shared" ca="1" si="43"/>
        <v/>
      </c>
      <c r="E84" s="408" t="str">
        <f t="shared" ca="1" si="43"/>
        <v/>
      </c>
      <c r="F84" s="408" t="str">
        <f t="shared" ca="1" si="43"/>
        <v/>
      </c>
      <c r="G84" s="408" t="str">
        <f ca="1">IFERROR(INDEX(ListAndConversion!A:B,MATCH(Calculation!E84,ListAndConversion!A:A,0),2),"")</f>
        <v/>
      </c>
      <c r="H84" s="408" t="str">
        <f>IF(TrackIT_Lines!AD76="","",TrackIT_Lines!AD76)</f>
        <v/>
      </c>
      <c r="I84" s="408" t="str">
        <f>IF(TrackIT_Lines!AD76="","",CONCATENATE(TrackIT_Lines!AD76,"-",TrackIT_Lines!AG76))</f>
        <v/>
      </c>
      <c r="J84" s="409" t="str">
        <f t="shared" ca="1" si="70"/>
        <v/>
      </c>
      <c r="K84" s="408" t="str">
        <f t="shared" ca="1" si="70"/>
        <v/>
      </c>
      <c r="L84" s="408" t="str">
        <f t="shared" ca="1" si="70"/>
        <v/>
      </c>
      <c r="M84" s="408" t="str">
        <f t="shared" ca="1" si="70"/>
        <v/>
      </c>
      <c r="N84" s="408" t="str">
        <f t="shared" ca="1" si="70"/>
        <v/>
      </c>
      <c r="O84" s="408" t="str">
        <f t="shared" ca="1" si="70"/>
        <v/>
      </c>
      <c r="P84" s="408" t="str">
        <f t="shared" ca="1" si="70"/>
        <v/>
      </c>
      <c r="Q84" s="408" t="str">
        <f t="shared" ca="1" si="70"/>
        <v/>
      </c>
      <c r="R84" s="410" t="str">
        <f ca="1">Cluster!J103</f>
        <v>Selection</v>
      </c>
      <c r="S84" s="411" t="str">
        <f t="shared" ca="1" si="48"/>
        <v>-</v>
      </c>
      <c r="T84" s="412" t="str">
        <f t="shared" ca="1" si="49"/>
        <v/>
      </c>
      <c r="U84" s="411" t="str">
        <f t="shared" ca="1" si="50"/>
        <v>-</v>
      </c>
      <c r="V84" s="411" t="str">
        <f t="shared" ca="1" si="51"/>
        <v>-</v>
      </c>
      <c r="W84" s="413">
        <f>Cluster!N103</f>
        <v>0</v>
      </c>
      <c r="X84" s="414" t="str">
        <f t="shared" ca="1" si="52"/>
        <v>-</v>
      </c>
      <c r="Y84" s="411" t="str">
        <f t="shared" ca="1" si="53"/>
        <v>-</v>
      </c>
      <c r="Z84" s="415" t="str">
        <f t="shared" ca="1" si="54"/>
        <v>-</v>
      </c>
      <c r="AA84" s="416" t="str">
        <f t="shared" ca="1" si="55"/>
        <v>-</v>
      </c>
      <c r="AB84" s="416" t="str">
        <f t="shared" ca="1" si="56"/>
        <v/>
      </c>
      <c r="AC84" s="434">
        <f>Cluster!Q103</f>
        <v>0</v>
      </c>
      <c r="AD84" s="435" t="str">
        <f t="shared" ca="1" si="45"/>
        <v/>
      </c>
      <c r="AE84" s="436" t="str">
        <f t="shared" ca="1" si="45"/>
        <v/>
      </c>
      <c r="AF84" s="437" t="str">
        <f t="shared" ca="1" si="57"/>
        <v>-</v>
      </c>
      <c r="AG84" s="438" t="str">
        <f t="shared" ca="1" si="58"/>
        <v>-</v>
      </c>
      <c r="AH84" s="437" t="str">
        <f t="shared" ca="1" si="59"/>
        <v>-</v>
      </c>
      <c r="AI84" s="438" t="str">
        <f t="shared" ca="1" si="60"/>
        <v>-</v>
      </c>
      <c r="AJ84" s="438" t="str">
        <f t="shared" ca="1" si="61"/>
        <v>-</v>
      </c>
      <c r="AK84" s="439" t="str">
        <f ca="1">IFERROR(AE84*AD84*AL84/(IF(Cluster!AA103=Cluster!$W$8,Cluster!$W$10,IF(Cluster!AA103=Cluster!$X$8,Cluster!$X$10,IF(Cluster!AA103=Cluster!$Y$8,Cluster!$Y$10,0)))*10^3),"-")</f>
        <v>-</v>
      </c>
      <c r="AL84" s="440" t="str">
        <f ca="1">IFERROR(IF(OR(Calculation!T84&lt;(Calculation!$U$8+2),Calculation!AC84="Bypass"),IF((IF(Calculation!$O$6/((Calculation!AD84*10^-12)/(Calculation!T84*10^-9)*50)&lt;=1,1,ROUNDUP(Calculation!$O$6/((Calculation!AD84*10^-12)/(Calculation!T84*10^-9)*50),0))*50)&lt;Calculation!$AK$6,Calculation!$AK$6,IF(Calculation!$O$6/((Calculation!AD84*10^-12)/(Calculation!T84*10^-9)*50)&lt;=1,1,ROUNDUP(Calculation!$O$6/((Calculation!AD84*10^-12)/(Calculation!T84*10^-9)*50),0))*50),"-"),"-")</f>
        <v>-</v>
      </c>
      <c r="AM84" s="441" t="str">
        <f t="shared" ca="1" si="46"/>
        <v/>
      </c>
      <c r="AN84" s="442" t="str">
        <f t="shared" ca="1" si="46"/>
        <v/>
      </c>
      <c r="AO84" s="432">
        <f t="shared" ca="1" si="62"/>
        <v>384</v>
      </c>
      <c r="AP84" s="427" t="str">
        <f t="shared" ca="1" si="63"/>
        <v>-</v>
      </c>
      <c r="AQ84" s="443" t="str">
        <f t="shared" ca="1" si="64"/>
        <v>-</v>
      </c>
      <c r="AR84" s="444" t="str">
        <f t="shared" ca="1" si="65"/>
        <v>-</v>
      </c>
      <c r="AS84" s="430" t="str">
        <f t="shared" ca="1" si="66"/>
        <v>-</v>
      </c>
      <c r="AT84" s="431"/>
      <c r="AU84" s="431"/>
      <c r="AV84" s="432">
        <v>75</v>
      </c>
      <c r="AW84" s="433" t="e">
        <f>ListAndConversion!S77</f>
        <v>#DIV/0!</v>
      </c>
      <c r="AX84" s="432" t="e">
        <f>IF(AW84="-","-",IF(COUNTIF(ListAndConversion!$F$3:$M$386,Calculation!AW84)=0,"Missing Lane","OK"))</f>
        <v>#DIV/0!</v>
      </c>
      <c r="AY84" s="433" t="str">
        <f>IFERROR(VLOOKUP(AW84,ListAndConversion!$F$3:$O$386,9,0),"-")</f>
        <v>-</v>
      </c>
      <c r="AZ84" s="433" t="str">
        <f>IFERROR(VLOOKUP(AW84,ListAndConversion!$F$3:$O$386,10,0),"-")</f>
        <v>-</v>
      </c>
      <c r="BA84" s="433" t="e">
        <f t="shared" si="67"/>
        <v>#DIV/0!</v>
      </c>
      <c r="BB84" s="433" t="str">
        <f t="shared" si="68"/>
        <v>-</v>
      </c>
      <c r="BC84" s="433" t="str">
        <f t="shared" si="69"/>
        <v/>
      </c>
    </row>
    <row r="85" spans="1:55" ht="14.25" x14ac:dyDescent="0.65">
      <c r="A85" s="407">
        <v>77</v>
      </c>
      <c r="B85" s="408" t="str">
        <f t="shared" ca="1" si="47"/>
        <v/>
      </c>
      <c r="C85" s="408" t="str">
        <f ca="1">IFERROR(IF(G85="","",CONCATENATE(E85,"-",INDEX(Coordinate,MATCH(F85,ListAndConversion!$X$4:$X$99,0),2))),"")</f>
        <v/>
      </c>
      <c r="D85" s="408" t="str">
        <f t="shared" ca="1" si="43"/>
        <v/>
      </c>
      <c r="E85" s="408" t="str">
        <f t="shared" ca="1" si="43"/>
        <v/>
      </c>
      <c r="F85" s="408" t="str">
        <f t="shared" ca="1" si="43"/>
        <v/>
      </c>
      <c r="G85" s="408" t="str">
        <f ca="1">IFERROR(INDEX(ListAndConversion!A:B,MATCH(Calculation!E85,ListAndConversion!A:A,0),2),"")</f>
        <v/>
      </c>
      <c r="H85" s="408" t="str">
        <f>IF(TrackIT_Lines!AD77="","",TrackIT_Lines!AD77)</f>
        <v/>
      </c>
      <c r="I85" s="408" t="str">
        <f>IF(TrackIT_Lines!AD77="","",CONCATENATE(TrackIT_Lines!AD77,"-",TrackIT_Lines!AG77))</f>
        <v/>
      </c>
      <c r="J85" s="409" t="str">
        <f t="shared" ca="1" si="70"/>
        <v/>
      </c>
      <c r="K85" s="408" t="str">
        <f t="shared" ca="1" si="70"/>
        <v/>
      </c>
      <c r="L85" s="408" t="str">
        <f t="shared" ca="1" si="70"/>
        <v/>
      </c>
      <c r="M85" s="408" t="str">
        <f t="shared" ca="1" si="70"/>
        <v/>
      </c>
      <c r="N85" s="408" t="str">
        <f t="shared" ca="1" si="70"/>
        <v/>
      </c>
      <c r="O85" s="408" t="str">
        <f t="shared" ca="1" si="70"/>
        <v/>
      </c>
      <c r="P85" s="408" t="str">
        <f t="shared" ca="1" si="70"/>
        <v/>
      </c>
      <c r="Q85" s="408" t="str">
        <f t="shared" ca="1" si="70"/>
        <v/>
      </c>
      <c r="R85" s="410" t="str">
        <f ca="1">Cluster!J104</f>
        <v>Selection</v>
      </c>
      <c r="S85" s="411" t="str">
        <f t="shared" ca="1" si="48"/>
        <v>-</v>
      </c>
      <c r="T85" s="412" t="str">
        <f t="shared" ca="1" si="49"/>
        <v/>
      </c>
      <c r="U85" s="411" t="str">
        <f t="shared" ca="1" si="50"/>
        <v>-</v>
      </c>
      <c r="V85" s="411" t="str">
        <f t="shared" ca="1" si="51"/>
        <v>-</v>
      </c>
      <c r="W85" s="413">
        <f>Cluster!N104</f>
        <v>0</v>
      </c>
      <c r="X85" s="414" t="str">
        <f t="shared" ca="1" si="52"/>
        <v>-</v>
      </c>
      <c r="Y85" s="411" t="str">
        <f t="shared" ca="1" si="53"/>
        <v>-</v>
      </c>
      <c r="Z85" s="415" t="str">
        <f t="shared" ca="1" si="54"/>
        <v>-</v>
      </c>
      <c r="AA85" s="416" t="str">
        <f t="shared" ca="1" si="55"/>
        <v>-</v>
      </c>
      <c r="AB85" s="416" t="str">
        <f t="shared" ca="1" si="56"/>
        <v/>
      </c>
      <c r="AC85" s="434">
        <f>Cluster!Q104</f>
        <v>0</v>
      </c>
      <c r="AD85" s="435" t="str">
        <f t="shared" ca="1" si="45"/>
        <v/>
      </c>
      <c r="AE85" s="436" t="str">
        <f t="shared" ca="1" si="45"/>
        <v/>
      </c>
      <c r="AF85" s="437" t="str">
        <f t="shared" ca="1" si="57"/>
        <v>-</v>
      </c>
      <c r="AG85" s="438" t="str">
        <f t="shared" ca="1" si="58"/>
        <v>-</v>
      </c>
      <c r="AH85" s="437" t="str">
        <f t="shared" ca="1" si="59"/>
        <v>-</v>
      </c>
      <c r="AI85" s="438" t="str">
        <f t="shared" ca="1" si="60"/>
        <v>-</v>
      </c>
      <c r="AJ85" s="438" t="str">
        <f t="shared" ca="1" si="61"/>
        <v>-</v>
      </c>
      <c r="AK85" s="439" t="str">
        <f ca="1">IFERROR(AE85*AD85*AL85/(IF(Cluster!AA104=Cluster!$W$8,Cluster!$W$10,IF(Cluster!AA104=Cluster!$X$8,Cluster!$X$10,IF(Cluster!AA104=Cluster!$Y$8,Cluster!$Y$10,0)))*10^3),"-")</f>
        <v>-</v>
      </c>
      <c r="AL85" s="440" t="str">
        <f ca="1">IFERROR(IF(OR(Calculation!T85&lt;(Calculation!$U$8+2),Calculation!AC85="Bypass"),IF((IF(Calculation!$O$6/((Calculation!AD85*10^-12)/(Calculation!T85*10^-9)*50)&lt;=1,1,ROUNDUP(Calculation!$O$6/((Calculation!AD85*10^-12)/(Calculation!T85*10^-9)*50),0))*50)&lt;Calculation!$AK$6,Calculation!$AK$6,IF(Calculation!$O$6/((Calculation!AD85*10^-12)/(Calculation!T85*10^-9)*50)&lt;=1,1,ROUNDUP(Calculation!$O$6/((Calculation!AD85*10^-12)/(Calculation!T85*10^-9)*50),0))*50),"-"),"-")</f>
        <v>-</v>
      </c>
      <c r="AM85" s="441" t="str">
        <f t="shared" ca="1" si="46"/>
        <v/>
      </c>
      <c r="AN85" s="442" t="str">
        <f t="shared" ca="1" si="46"/>
        <v/>
      </c>
      <c r="AO85" s="432">
        <f t="shared" ca="1" si="62"/>
        <v>384</v>
      </c>
      <c r="AP85" s="427" t="str">
        <f t="shared" ca="1" si="63"/>
        <v>-</v>
      </c>
      <c r="AQ85" s="443" t="str">
        <f t="shared" ca="1" si="64"/>
        <v>-</v>
      </c>
      <c r="AR85" s="444" t="str">
        <f t="shared" ca="1" si="65"/>
        <v>-</v>
      </c>
      <c r="AS85" s="430" t="str">
        <f t="shared" ca="1" si="66"/>
        <v>-</v>
      </c>
      <c r="AT85" s="431"/>
      <c r="AU85" s="431"/>
      <c r="AV85" s="432">
        <v>76</v>
      </c>
      <c r="AW85" s="433" t="e">
        <f>ListAndConversion!S78</f>
        <v>#DIV/0!</v>
      </c>
      <c r="AX85" s="432" t="e">
        <f>IF(AW85="-","-",IF(COUNTIF(ListAndConversion!$F$3:$M$386,Calculation!AW85)=0,"Missing Lane","OK"))</f>
        <v>#DIV/0!</v>
      </c>
      <c r="AY85" s="433" t="str">
        <f>IFERROR(VLOOKUP(AW85,ListAndConversion!$F$3:$O$386,9,0),"-")</f>
        <v>-</v>
      </c>
      <c r="AZ85" s="433" t="str">
        <f>IFERROR(VLOOKUP(AW85,ListAndConversion!$F$3:$O$386,10,0),"-")</f>
        <v>-</v>
      </c>
      <c r="BA85" s="433" t="e">
        <f t="shared" si="67"/>
        <v>#DIV/0!</v>
      </c>
      <c r="BB85" s="433" t="str">
        <f t="shared" si="68"/>
        <v>-</v>
      </c>
      <c r="BC85" s="433" t="str">
        <f t="shared" si="69"/>
        <v/>
      </c>
    </row>
    <row r="86" spans="1:55" ht="14.25" x14ac:dyDescent="0.65">
      <c r="A86" s="407">
        <v>78</v>
      </c>
      <c r="B86" s="408" t="str">
        <f t="shared" ca="1" si="47"/>
        <v/>
      </c>
      <c r="C86" s="408" t="str">
        <f ca="1">IFERROR(IF(G86="","",CONCATENATE(E86,"-",INDEX(Coordinate,MATCH(F86,ListAndConversion!$X$4:$X$99,0),2))),"")</f>
        <v/>
      </c>
      <c r="D86" s="408" t="str">
        <f t="shared" ca="1" si="43"/>
        <v/>
      </c>
      <c r="E86" s="408" t="str">
        <f t="shared" ca="1" si="43"/>
        <v/>
      </c>
      <c r="F86" s="408" t="str">
        <f t="shared" ca="1" si="43"/>
        <v/>
      </c>
      <c r="G86" s="408" t="str">
        <f ca="1">IFERROR(INDEX(ListAndConversion!A:B,MATCH(Calculation!E86,ListAndConversion!A:A,0),2),"")</f>
        <v/>
      </c>
      <c r="H86" s="408" t="str">
        <f>IF(TrackIT_Lines!AD78="","",TrackIT_Lines!AD78)</f>
        <v/>
      </c>
      <c r="I86" s="408" t="str">
        <f>IF(TrackIT_Lines!AD78="","",CONCATENATE(TrackIT_Lines!AD78,"-",TrackIT_Lines!AG78))</f>
        <v/>
      </c>
      <c r="J86" s="409" t="str">
        <f t="shared" ca="1" si="70"/>
        <v/>
      </c>
      <c r="K86" s="408" t="str">
        <f t="shared" ca="1" si="70"/>
        <v/>
      </c>
      <c r="L86" s="408" t="str">
        <f t="shared" ca="1" si="70"/>
        <v/>
      </c>
      <c r="M86" s="408" t="str">
        <f t="shared" ca="1" si="70"/>
        <v/>
      </c>
      <c r="N86" s="408" t="str">
        <f t="shared" ca="1" si="70"/>
        <v/>
      </c>
      <c r="O86" s="408" t="str">
        <f t="shared" ca="1" si="70"/>
        <v/>
      </c>
      <c r="P86" s="408" t="str">
        <f t="shared" ca="1" si="70"/>
        <v/>
      </c>
      <c r="Q86" s="408" t="str">
        <f t="shared" ca="1" si="70"/>
        <v/>
      </c>
      <c r="R86" s="410" t="str">
        <f ca="1">Cluster!J105</f>
        <v>Selection</v>
      </c>
      <c r="S86" s="411" t="str">
        <f t="shared" ca="1" si="48"/>
        <v>-</v>
      </c>
      <c r="T86" s="412" t="str">
        <f t="shared" ca="1" si="49"/>
        <v/>
      </c>
      <c r="U86" s="411" t="str">
        <f t="shared" ca="1" si="50"/>
        <v>-</v>
      </c>
      <c r="V86" s="411" t="str">
        <f t="shared" ca="1" si="51"/>
        <v>-</v>
      </c>
      <c r="W86" s="413">
        <f>Cluster!N105</f>
        <v>0</v>
      </c>
      <c r="X86" s="414" t="str">
        <f t="shared" ca="1" si="52"/>
        <v>-</v>
      </c>
      <c r="Y86" s="411" t="str">
        <f t="shared" ca="1" si="53"/>
        <v>-</v>
      </c>
      <c r="Z86" s="415" t="str">
        <f t="shared" ca="1" si="54"/>
        <v>-</v>
      </c>
      <c r="AA86" s="416" t="str">
        <f t="shared" ca="1" si="55"/>
        <v>-</v>
      </c>
      <c r="AB86" s="416" t="str">
        <f t="shared" ca="1" si="56"/>
        <v/>
      </c>
      <c r="AC86" s="434">
        <f>Cluster!Q105</f>
        <v>0</v>
      </c>
      <c r="AD86" s="435" t="str">
        <f t="shared" ca="1" si="45"/>
        <v/>
      </c>
      <c r="AE86" s="436" t="str">
        <f t="shared" ca="1" si="45"/>
        <v/>
      </c>
      <c r="AF86" s="437" t="str">
        <f t="shared" ca="1" si="57"/>
        <v>-</v>
      </c>
      <c r="AG86" s="438" t="str">
        <f t="shared" ca="1" si="58"/>
        <v>-</v>
      </c>
      <c r="AH86" s="437" t="str">
        <f t="shared" ca="1" si="59"/>
        <v>-</v>
      </c>
      <c r="AI86" s="438" t="str">
        <f t="shared" ca="1" si="60"/>
        <v>-</v>
      </c>
      <c r="AJ86" s="438" t="str">
        <f t="shared" ca="1" si="61"/>
        <v>-</v>
      </c>
      <c r="AK86" s="439" t="str">
        <f ca="1">IFERROR(AE86*AD86*AL86/(IF(Cluster!AA105=Cluster!$W$8,Cluster!$W$10,IF(Cluster!AA105=Cluster!$X$8,Cluster!$X$10,IF(Cluster!AA105=Cluster!$Y$8,Cluster!$Y$10,0)))*10^3),"-")</f>
        <v>-</v>
      </c>
      <c r="AL86" s="440" t="str">
        <f ca="1">IFERROR(IF(OR(Calculation!T86&lt;(Calculation!$U$8+2),Calculation!AC86="Bypass"),IF((IF(Calculation!$O$6/((Calculation!AD86*10^-12)/(Calculation!T86*10^-9)*50)&lt;=1,1,ROUNDUP(Calculation!$O$6/((Calculation!AD86*10^-12)/(Calculation!T86*10^-9)*50),0))*50)&lt;Calculation!$AK$6,Calculation!$AK$6,IF(Calculation!$O$6/((Calculation!AD86*10^-12)/(Calculation!T86*10^-9)*50)&lt;=1,1,ROUNDUP(Calculation!$O$6/((Calculation!AD86*10^-12)/(Calculation!T86*10^-9)*50),0))*50),"-"),"-")</f>
        <v>-</v>
      </c>
      <c r="AM86" s="441" t="str">
        <f t="shared" ca="1" si="46"/>
        <v/>
      </c>
      <c r="AN86" s="442" t="str">
        <f t="shared" ca="1" si="46"/>
        <v/>
      </c>
      <c r="AO86" s="432">
        <f t="shared" ca="1" si="62"/>
        <v>384</v>
      </c>
      <c r="AP86" s="427" t="str">
        <f t="shared" ca="1" si="63"/>
        <v>-</v>
      </c>
      <c r="AQ86" s="443" t="str">
        <f t="shared" ca="1" si="64"/>
        <v>-</v>
      </c>
      <c r="AR86" s="444" t="str">
        <f t="shared" ca="1" si="65"/>
        <v>-</v>
      </c>
      <c r="AS86" s="430" t="str">
        <f t="shared" ca="1" si="66"/>
        <v>-</v>
      </c>
      <c r="AT86" s="431"/>
      <c r="AU86" s="431"/>
      <c r="AV86" s="432">
        <v>77</v>
      </c>
      <c r="AW86" s="433" t="e">
        <f>ListAndConversion!S79</f>
        <v>#DIV/0!</v>
      </c>
      <c r="AX86" s="432" t="e">
        <f>IF(AW86="-","-",IF(COUNTIF(ListAndConversion!$F$3:$M$386,Calculation!AW86)=0,"Missing Lane","OK"))</f>
        <v>#DIV/0!</v>
      </c>
      <c r="AY86" s="433" t="str">
        <f>IFERROR(VLOOKUP(AW86,ListAndConversion!$F$3:$O$386,9,0),"-")</f>
        <v>-</v>
      </c>
      <c r="AZ86" s="433" t="str">
        <f>IFERROR(VLOOKUP(AW86,ListAndConversion!$F$3:$O$386,10,0),"-")</f>
        <v>-</v>
      </c>
      <c r="BA86" s="433" t="e">
        <f t="shared" si="67"/>
        <v>#DIV/0!</v>
      </c>
      <c r="BB86" s="433" t="str">
        <f t="shared" si="68"/>
        <v>-</v>
      </c>
      <c r="BC86" s="433" t="str">
        <f t="shared" si="69"/>
        <v/>
      </c>
    </row>
    <row r="87" spans="1:55" ht="14.25" x14ac:dyDescent="0.65">
      <c r="A87" s="407">
        <v>79</v>
      </c>
      <c r="B87" s="408" t="str">
        <f t="shared" ca="1" si="47"/>
        <v/>
      </c>
      <c r="C87" s="408" t="str">
        <f ca="1">IFERROR(IF(G87="","",CONCATENATE(E87,"-",INDEX(Coordinate,MATCH(F87,ListAndConversion!$X$4:$X$99,0),2))),"")</f>
        <v/>
      </c>
      <c r="D87" s="408" t="str">
        <f t="shared" ca="1" si="43"/>
        <v/>
      </c>
      <c r="E87" s="408" t="str">
        <f t="shared" ca="1" si="43"/>
        <v/>
      </c>
      <c r="F87" s="408" t="str">
        <f t="shared" ca="1" si="43"/>
        <v/>
      </c>
      <c r="G87" s="408" t="str">
        <f ca="1">IFERROR(INDEX(ListAndConversion!A:B,MATCH(Calculation!E87,ListAndConversion!A:A,0),2),"")</f>
        <v/>
      </c>
      <c r="H87" s="408" t="str">
        <f>IF(TrackIT_Lines!AD79="","",TrackIT_Lines!AD79)</f>
        <v/>
      </c>
      <c r="I87" s="408" t="str">
        <f>IF(TrackIT_Lines!AD79="","",CONCATENATE(TrackIT_Lines!AD79,"-",TrackIT_Lines!AG79))</f>
        <v/>
      </c>
      <c r="J87" s="409" t="str">
        <f t="shared" ca="1" si="70"/>
        <v/>
      </c>
      <c r="K87" s="408" t="str">
        <f t="shared" ca="1" si="70"/>
        <v/>
      </c>
      <c r="L87" s="408" t="str">
        <f t="shared" ca="1" si="70"/>
        <v/>
      </c>
      <c r="M87" s="408" t="str">
        <f t="shared" ca="1" si="70"/>
        <v/>
      </c>
      <c r="N87" s="408" t="str">
        <f t="shared" ca="1" si="70"/>
        <v/>
      </c>
      <c r="O87" s="408" t="str">
        <f t="shared" ca="1" si="70"/>
        <v/>
      </c>
      <c r="P87" s="408" t="str">
        <f t="shared" ca="1" si="70"/>
        <v/>
      </c>
      <c r="Q87" s="408" t="str">
        <f t="shared" ca="1" si="70"/>
        <v/>
      </c>
      <c r="R87" s="410" t="str">
        <f ca="1">Cluster!J106</f>
        <v>Selection</v>
      </c>
      <c r="S87" s="411" t="str">
        <f t="shared" ca="1" si="48"/>
        <v>-</v>
      </c>
      <c r="T87" s="412" t="str">
        <f t="shared" ca="1" si="49"/>
        <v/>
      </c>
      <c r="U87" s="411" t="str">
        <f t="shared" ca="1" si="50"/>
        <v>-</v>
      </c>
      <c r="V87" s="411" t="str">
        <f t="shared" ca="1" si="51"/>
        <v>-</v>
      </c>
      <c r="W87" s="413">
        <f>Cluster!N106</f>
        <v>0</v>
      </c>
      <c r="X87" s="414" t="str">
        <f t="shared" ca="1" si="52"/>
        <v>-</v>
      </c>
      <c r="Y87" s="411" t="str">
        <f t="shared" ca="1" si="53"/>
        <v>-</v>
      </c>
      <c r="Z87" s="415" t="str">
        <f t="shared" ca="1" si="54"/>
        <v>-</v>
      </c>
      <c r="AA87" s="416" t="str">
        <f t="shared" ca="1" si="55"/>
        <v>-</v>
      </c>
      <c r="AB87" s="416" t="str">
        <f t="shared" ca="1" si="56"/>
        <v/>
      </c>
      <c r="AC87" s="434">
        <f>Cluster!Q106</f>
        <v>0</v>
      </c>
      <c r="AD87" s="435" t="str">
        <f t="shared" ca="1" si="45"/>
        <v/>
      </c>
      <c r="AE87" s="436" t="str">
        <f t="shared" ca="1" si="45"/>
        <v/>
      </c>
      <c r="AF87" s="437" t="str">
        <f t="shared" ca="1" si="57"/>
        <v>-</v>
      </c>
      <c r="AG87" s="438" t="str">
        <f t="shared" ca="1" si="58"/>
        <v>-</v>
      </c>
      <c r="AH87" s="437" t="str">
        <f t="shared" ca="1" si="59"/>
        <v>-</v>
      </c>
      <c r="AI87" s="438" t="str">
        <f t="shared" ca="1" si="60"/>
        <v>-</v>
      </c>
      <c r="AJ87" s="438" t="str">
        <f t="shared" ca="1" si="61"/>
        <v>-</v>
      </c>
      <c r="AK87" s="439" t="str">
        <f ca="1">IFERROR(AE87*AD87*AL87/(IF(Cluster!AA106=Cluster!$W$8,Cluster!$W$10,IF(Cluster!AA106=Cluster!$X$8,Cluster!$X$10,IF(Cluster!AA106=Cluster!$Y$8,Cluster!$Y$10,0)))*10^3),"-")</f>
        <v>-</v>
      </c>
      <c r="AL87" s="440" t="str">
        <f ca="1">IFERROR(IF(OR(Calculation!T87&lt;(Calculation!$U$8+2),Calculation!AC87="Bypass"),IF((IF(Calculation!$O$6/((Calculation!AD87*10^-12)/(Calculation!T87*10^-9)*50)&lt;=1,1,ROUNDUP(Calculation!$O$6/((Calculation!AD87*10^-12)/(Calculation!T87*10^-9)*50),0))*50)&lt;Calculation!$AK$6,Calculation!$AK$6,IF(Calculation!$O$6/((Calculation!AD87*10^-12)/(Calculation!T87*10^-9)*50)&lt;=1,1,ROUNDUP(Calculation!$O$6/((Calculation!AD87*10^-12)/(Calculation!T87*10^-9)*50),0))*50),"-"),"-")</f>
        <v>-</v>
      </c>
      <c r="AM87" s="441" t="str">
        <f t="shared" ca="1" si="46"/>
        <v/>
      </c>
      <c r="AN87" s="442" t="str">
        <f t="shared" ca="1" si="46"/>
        <v/>
      </c>
      <c r="AO87" s="432">
        <f t="shared" ca="1" si="62"/>
        <v>384</v>
      </c>
      <c r="AP87" s="427" t="str">
        <f t="shared" ca="1" si="63"/>
        <v>-</v>
      </c>
      <c r="AQ87" s="443" t="str">
        <f t="shared" ca="1" si="64"/>
        <v>-</v>
      </c>
      <c r="AR87" s="444" t="str">
        <f t="shared" ca="1" si="65"/>
        <v>-</v>
      </c>
      <c r="AS87" s="430" t="str">
        <f t="shared" ca="1" si="66"/>
        <v>-</v>
      </c>
      <c r="AT87" s="431"/>
      <c r="AU87" s="431"/>
      <c r="AV87" s="432">
        <v>78</v>
      </c>
      <c r="AW87" s="433" t="e">
        <f>ListAndConversion!S80</f>
        <v>#DIV/0!</v>
      </c>
      <c r="AX87" s="432" t="e">
        <f>IF(AW87="-","-",IF(COUNTIF(ListAndConversion!$F$3:$M$386,Calculation!AW87)=0,"Missing Lane","OK"))</f>
        <v>#DIV/0!</v>
      </c>
      <c r="AY87" s="433" t="str">
        <f>IFERROR(VLOOKUP(AW87,ListAndConversion!$F$3:$O$386,9,0),"-")</f>
        <v>-</v>
      </c>
      <c r="AZ87" s="433" t="str">
        <f>IFERROR(VLOOKUP(AW87,ListAndConversion!$F$3:$O$386,10,0),"-")</f>
        <v>-</v>
      </c>
      <c r="BA87" s="433" t="e">
        <f t="shared" si="67"/>
        <v>#DIV/0!</v>
      </c>
      <c r="BB87" s="433" t="str">
        <f t="shared" si="68"/>
        <v>-</v>
      </c>
      <c r="BC87" s="433" t="str">
        <f t="shared" si="69"/>
        <v/>
      </c>
    </row>
    <row r="88" spans="1:55" ht="14.25" x14ac:dyDescent="0.65">
      <c r="A88" s="407">
        <v>80</v>
      </c>
      <c r="B88" s="408" t="str">
        <f t="shared" ca="1" si="47"/>
        <v/>
      </c>
      <c r="C88" s="408" t="str">
        <f ca="1">IFERROR(IF(G88="","",CONCATENATE(E88,"-",INDEX(Coordinate,MATCH(F88,ListAndConversion!$X$4:$X$99,0),2))),"")</f>
        <v/>
      </c>
      <c r="D88" s="408" t="str">
        <f t="shared" ca="1" si="43"/>
        <v/>
      </c>
      <c r="E88" s="408" t="str">
        <f t="shared" ca="1" si="43"/>
        <v/>
      </c>
      <c r="F88" s="408" t="str">
        <f t="shared" ca="1" si="43"/>
        <v/>
      </c>
      <c r="G88" s="408" t="str">
        <f ca="1">IFERROR(INDEX(ListAndConversion!A:B,MATCH(Calculation!E88,ListAndConversion!A:A,0),2),"")</f>
        <v/>
      </c>
      <c r="H88" s="408" t="str">
        <f>IF(TrackIT_Lines!AD80="","",TrackIT_Lines!AD80)</f>
        <v/>
      </c>
      <c r="I88" s="408" t="str">
        <f>IF(TrackIT_Lines!AD80="","",CONCATENATE(TrackIT_Lines!AD80,"-",TrackIT_Lines!AG80))</f>
        <v/>
      </c>
      <c r="J88" s="409" t="str">
        <f t="shared" ca="1" si="70"/>
        <v/>
      </c>
      <c r="K88" s="408" t="str">
        <f t="shared" ca="1" si="70"/>
        <v/>
      </c>
      <c r="L88" s="408" t="str">
        <f t="shared" ca="1" si="70"/>
        <v/>
      </c>
      <c r="M88" s="408" t="str">
        <f t="shared" ca="1" si="70"/>
        <v/>
      </c>
      <c r="N88" s="408" t="str">
        <f t="shared" ca="1" si="70"/>
        <v/>
      </c>
      <c r="O88" s="408" t="str">
        <f t="shared" ca="1" si="70"/>
        <v/>
      </c>
      <c r="P88" s="408" t="str">
        <f t="shared" ca="1" si="70"/>
        <v/>
      </c>
      <c r="Q88" s="408" t="str">
        <f t="shared" ca="1" si="70"/>
        <v/>
      </c>
      <c r="R88" s="410" t="str">
        <f ca="1">Cluster!J107</f>
        <v>Selection</v>
      </c>
      <c r="S88" s="411" t="str">
        <f t="shared" ca="1" si="48"/>
        <v>-</v>
      </c>
      <c r="T88" s="412" t="str">
        <f t="shared" ca="1" si="49"/>
        <v/>
      </c>
      <c r="U88" s="411" t="str">
        <f t="shared" ca="1" si="50"/>
        <v>-</v>
      </c>
      <c r="V88" s="411" t="str">
        <f t="shared" ca="1" si="51"/>
        <v>-</v>
      </c>
      <c r="W88" s="413">
        <f>Cluster!N107</f>
        <v>0</v>
      </c>
      <c r="X88" s="414" t="str">
        <f t="shared" ca="1" si="52"/>
        <v>-</v>
      </c>
      <c r="Y88" s="411" t="str">
        <f t="shared" ca="1" si="53"/>
        <v>-</v>
      </c>
      <c r="Z88" s="415" t="str">
        <f t="shared" ca="1" si="54"/>
        <v>-</v>
      </c>
      <c r="AA88" s="416" t="str">
        <f t="shared" ca="1" si="55"/>
        <v>-</v>
      </c>
      <c r="AB88" s="416" t="str">
        <f t="shared" ca="1" si="56"/>
        <v/>
      </c>
      <c r="AC88" s="434">
        <f>Cluster!Q107</f>
        <v>0</v>
      </c>
      <c r="AD88" s="435" t="str">
        <f t="shared" ca="1" si="45"/>
        <v/>
      </c>
      <c r="AE88" s="436" t="str">
        <f t="shared" ca="1" si="45"/>
        <v/>
      </c>
      <c r="AF88" s="437" t="str">
        <f t="shared" ca="1" si="57"/>
        <v>-</v>
      </c>
      <c r="AG88" s="438" t="str">
        <f t="shared" ca="1" si="58"/>
        <v>-</v>
      </c>
      <c r="AH88" s="437" t="str">
        <f t="shared" ca="1" si="59"/>
        <v>-</v>
      </c>
      <c r="AI88" s="438" t="str">
        <f t="shared" ca="1" si="60"/>
        <v>-</v>
      </c>
      <c r="AJ88" s="438" t="str">
        <f t="shared" ca="1" si="61"/>
        <v>-</v>
      </c>
      <c r="AK88" s="439" t="str">
        <f ca="1">IFERROR(AE88*AD88*AL88/(IF(Cluster!AA107=Cluster!$W$8,Cluster!$W$10,IF(Cluster!AA107=Cluster!$X$8,Cluster!$X$10,IF(Cluster!AA107=Cluster!$Y$8,Cluster!$Y$10,0)))*10^3),"-")</f>
        <v>-</v>
      </c>
      <c r="AL88" s="440" t="str">
        <f ca="1">IFERROR(IF(OR(Calculation!T88&lt;(Calculation!$U$8+2),Calculation!AC88="Bypass"),IF((IF(Calculation!$O$6/((Calculation!AD88*10^-12)/(Calculation!T88*10^-9)*50)&lt;=1,1,ROUNDUP(Calculation!$O$6/((Calculation!AD88*10^-12)/(Calculation!T88*10^-9)*50),0))*50)&lt;Calculation!$AK$6,Calculation!$AK$6,IF(Calculation!$O$6/((Calculation!AD88*10^-12)/(Calculation!T88*10^-9)*50)&lt;=1,1,ROUNDUP(Calculation!$O$6/((Calculation!AD88*10^-12)/(Calculation!T88*10^-9)*50),0))*50),"-"),"-")</f>
        <v>-</v>
      </c>
      <c r="AM88" s="441" t="str">
        <f t="shared" ca="1" si="46"/>
        <v/>
      </c>
      <c r="AN88" s="442" t="str">
        <f t="shared" ca="1" si="46"/>
        <v/>
      </c>
      <c r="AO88" s="432">
        <f t="shared" ca="1" si="62"/>
        <v>384</v>
      </c>
      <c r="AP88" s="427" t="str">
        <f t="shared" ca="1" si="63"/>
        <v>-</v>
      </c>
      <c r="AQ88" s="443" t="str">
        <f t="shared" ca="1" si="64"/>
        <v>-</v>
      </c>
      <c r="AR88" s="444" t="str">
        <f t="shared" ca="1" si="65"/>
        <v>-</v>
      </c>
      <c r="AS88" s="430" t="str">
        <f t="shared" ca="1" si="66"/>
        <v>-</v>
      </c>
      <c r="AT88" s="431"/>
      <c r="AU88" s="431"/>
      <c r="AV88" s="432">
        <v>79</v>
      </c>
      <c r="AW88" s="433" t="e">
        <f>ListAndConversion!S81</f>
        <v>#DIV/0!</v>
      </c>
      <c r="AX88" s="432" t="e">
        <f>IF(AW88="-","-",IF(COUNTIF(ListAndConversion!$F$3:$M$386,Calculation!AW88)=0,"Missing Lane","OK"))</f>
        <v>#DIV/0!</v>
      </c>
      <c r="AY88" s="433" t="str">
        <f>IFERROR(VLOOKUP(AW88,ListAndConversion!$F$3:$O$386,9,0),"-")</f>
        <v>-</v>
      </c>
      <c r="AZ88" s="433" t="str">
        <f>IFERROR(VLOOKUP(AW88,ListAndConversion!$F$3:$O$386,10,0),"-")</f>
        <v>-</v>
      </c>
      <c r="BA88" s="433" t="e">
        <f t="shared" si="67"/>
        <v>#DIV/0!</v>
      </c>
      <c r="BB88" s="433" t="str">
        <f t="shared" si="68"/>
        <v>-</v>
      </c>
      <c r="BC88" s="433" t="str">
        <f t="shared" si="69"/>
        <v/>
      </c>
    </row>
    <row r="89" spans="1:55" ht="14.25" x14ac:dyDescent="0.65">
      <c r="A89" s="407">
        <v>81</v>
      </c>
      <c r="B89" s="408" t="str">
        <f t="shared" ca="1" si="47"/>
        <v/>
      </c>
      <c r="C89" s="408" t="str">
        <f ca="1">IFERROR(IF(G89="","",CONCATENATE(E89,"-",INDEX(Coordinate,MATCH(F89,ListAndConversion!$X$4:$X$99,0),2))),"")</f>
        <v/>
      </c>
      <c r="D89" s="408" t="str">
        <f t="shared" ca="1" si="43"/>
        <v/>
      </c>
      <c r="E89" s="408" t="str">
        <f t="shared" ca="1" si="43"/>
        <v/>
      </c>
      <c r="F89" s="408" t="str">
        <f t="shared" ca="1" si="43"/>
        <v/>
      </c>
      <c r="G89" s="408" t="str">
        <f ca="1">IFERROR(INDEX(ListAndConversion!A:B,MATCH(Calculation!E89,ListAndConversion!A:A,0),2),"")</f>
        <v/>
      </c>
      <c r="H89" s="408" t="str">
        <f>IF(TrackIT_Lines!AD81="","",TrackIT_Lines!AD81)</f>
        <v/>
      </c>
      <c r="I89" s="408" t="str">
        <f>IF(TrackIT_Lines!AD81="","",CONCATENATE(TrackIT_Lines!AD81,"-",TrackIT_Lines!AG81))</f>
        <v/>
      </c>
      <c r="J89" s="409" t="str">
        <f t="shared" ca="1" si="70"/>
        <v/>
      </c>
      <c r="K89" s="408" t="str">
        <f t="shared" ca="1" si="70"/>
        <v/>
      </c>
      <c r="L89" s="408" t="str">
        <f t="shared" ca="1" si="70"/>
        <v/>
      </c>
      <c r="M89" s="408" t="str">
        <f t="shared" ca="1" si="70"/>
        <v/>
      </c>
      <c r="N89" s="408" t="str">
        <f t="shared" ca="1" si="70"/>
        <v/>
      </c>
      <c r="O89" s="408" t="str">
        <f t="shared" ca="1" si="70"/>
        <v/>
      </c>
      <c r="P89" s="408" t="str">
        <f t="shared" ca="1" si="70"/>
        <v/>
      </c>
      <c r="Q89" s="408" t="str">
        <f t="shared" ca="1" si="70"/>
        <v/>
      </c>
      <c r="R89" s="410" t="str">
        <f ca="1">Cluster!J108</f>
        <v>Selection</v>
      </c>
      <c r="S89" s="411" t="str">
        <f t="shared" ca="1" si="48"/>
        <v>-</v>
      </c>
      <c r="T89" s="412" t="str">
        <f t="shared" ca="1" si="49"/>
        <v/>
      </c>
      <c r="U89" s="411" t="str">
        <f t="shared" ca="1" si="50"/>
        <v>-</v>
      </c>
      <c r="V89" s="411" t="str">
        <f t="shared" ca="1" si="51"/>
        <v>-</v>
      </c>
      <c r="W89" s="413">
        <f>Cluster!N108</f>
        <v>0</v>
      </c>
      <c r="X89" s="414" t="str">
        <f t="shared" ca="1" si="52"/>
        <v>-</v>
      </c>
      <c r="Y89" s="411" t="str">
        <f t="shared" ca="1" si="53"/>
        <v>-</v>
      </c>
      <c r="Z89" s="415" t="str">
        <f t="shared" ca="1" si="54"/>
        <v>-</v>
      </c>
      <c r="AA89" s="416" t="str">
        <f t="shared" ca="1" si="55"/>
        <v>-</v>
      </c>
      <c r="AB89" s="416" t="str">
        <f t="shared" ca="1" si="56"/>
        <v/>
      </c>
      <c r="AC89" s="434">
        <f>Cluster!Q108</f>
        <v>0</v>
      </c>
      <c r="AD89" s="435" t="str">
        <f t="shared" ca="1" si="45"/>
        <v/>
      </c>
      <c r="AE89" s="436" t="str">
        <f t="shared" ca="1" si="45"/>
        <v/>
      </c>
      <c r="AF89" s="437" t="str">
        <f t="shared" ca="1" si="57"/>
        <v>-</v>
      </c>
      <c r="AG89" s="438" t="str">
        <f t="shared" ca="1" si="58"/>
        <v>-</v>
      </c>
      <c r="AH89" s="437" t="str">
        <f t="shared" ca="1" si="59"/>
        <v>-</v>
      </c>
      <c r="AI89" s="438" t="str">
        <f t="shared" ca="1" si="60"/>
        <v>-</v>
      </c>
      <c r="AJ89" s="438" t="str">
        <f t="shared" ca="1" si="61"/>
        <v>-</v>
      </c>
      <c r="AK89" s="439" t="str">
        <f ca="1">IFERROR(AE89*AD89*AL89/(IF(Cluster!AA108=Cluster!$W$8,Cluster!$W$10,IF(Cluster!AA108=Cluster!$X$8,Cluster!$X$10,IF(Cluster!AA108=Cluster!$Y$8,Cluster!$Y$10,0)))*10^3),"-")</f>
        <v>-</v>
      </c>
      <c r="AL89" s="440" t="str">
        <f ca="1">IFERROR(IF(OR(Calculation!T89&lt;(Calculation!$U$8+2),Calculation!AC89="Bypass"),IF((IF(Calculation!$O$6/((Calculation!AD89*10^-12)/(Calculation!T89*10^-9)*50)&lt;=1,1,ROUNDUP(Calculation!$O$6/((Calculation!AD89*10^-12)/(Calculation!T89*10^-9)*50),0))*50)&lt;Calculation!$AK$6,Calculation!$AK$6,IF(Calculation!$O$6/((Calculation!AD89*10^-12)/(Calculation!T89*10^-9)*50)&lt;=1,1,ROUNDUP(Calculation!$O$6/((Calculation!AD89*10^-12)/(Calculation!T89*10^-9)*50),0))*50),"-"),"-")</f>
        <v>-</v>
      </c>
      <c r="AM89" s="441" t="str">
        <f t="shared" ca="1" si="46"/>
        <v/>
      </c>
      <c r="AN89" s="442" t="str">
        <f t="shared" ca="1" si="46"/>
        <v/>
      </c>
      <c r="AO89" s="432">
        <f t="shared" ca="1" si="62"/>
        <v>384</v>
      </c>
      <c r="AP89" s="427" t="str">
        <f t="shared" ca="1" si="63"/>
        <v>-</v>
      </c>
      <c r="AQ89" s="443" t="str">
        <f t="shared" ca="1" si="64"/>
        <v>-</v>
      </c>
      <c r="AR89" s="444" t="str">
        <f t="shared" ca="1" si="65"/>
        <v>-</v>
      </c>
      <c r="AS89" s="430" t="str">
        <f t="shared" ca="1" si="66"/>
        <v>-</v>
      </c>
      <c r="AT89" s="431"/>
      <c r="AU89" s="431"/>
      <c r="AV89" s="432">
        <v>80</v>
      </c>
      <c r="AW89" s="433" t="e">
        <f>ListAndConversion!S82</f>
        <v>#DIV/0!</v>
      </c>
      <c r="AX89" s="432" t="e">
        <f>IF(AW89="-","-",IF(COUNTIF(ListAndConversion!$F$3:$M$386,Calculation!AW89)=0,"Missing Lane","OK"))</f>
        <v>#DIV/0!</v>
      </c>
      <c r="AY89" s="433" t="str">
        <f>IFERROR(VLOOKUP(AW89,ListAndConversion!$F$3:$O$386,9,0),"-")</f>
        <v>-</v>
      </c>
      <c r="AZ89" s="433" t="str">
        <f>IFERROR(VLOOKUP(AW89,ListAndConversion!$F$3:$O$386,10,0),"-")</f>
        <v>-</v>
      </c>
      <c r="BA89" s="433" t="e">
        <f t="shared" si="67"/>
        <v>#DIV/0!</v>
      </c>
      <c r="BB89" s="433" t="str">
        <f t="shared" si="68"/>
        <v>-</v>
      </c>
      <c r="BC89" s="433" t="str">
        <f t="shared" si="69"/>
        <v/>
      </c>
    </row>
    <row r="90" spans="1:55" ht="14.25" x14ac:dyDescent="0.65">
      <c r="A90" s="407">
        <v>82</v>
      </c>
      <c r="B90" s="408" t="str">
        <f t="shared" ca="1" si="47"/>
        <v/>
      </c>
      <c r="C90" s="408" t="str">
        <f ca="1">IFERROR(IF(G90="","",CONCATENATE(E90,"-",INDEX(Coordinate,MATCH(F90,ListAndConversion!$X$4:$X$99,0),2))),"")</f>
        <v/>
      </c>
      <c r="D90" s="408" t="str">
        <f t="shared" ref="D90:F109" ca="1" si="71">IF((INDIRECT("TrackIT_Lines!"&amp;D$2&amp;$A90))="","", (INDIRECT("TrackIT_Lines!"&amp;D$2&amp;$A90)))</f>
        <v/>
      </c>
      <c r="E90" s="408" t="str">
        <f t="shared" ca="1" si="71"/>
        <v/>
      </c>
      <c r="F90" s="408" t="str">
        <f t="shared" ca="1" si="71"/>
        <v/>
      </c>
      <c r="G90" s="408" t="str">
        <f ca="1">IFERROR(INDEX(ListAndConversion!A:B,MATCH(Calculation!E90,ListAndConversion!A:A,0),2),"")</f>
        <v/>
      </c>
      <c r="H90" s="408" t="str">
        <f>IF(TrackIT_Lines!AD82="","",TrackIT_Lines!AD82)</f>
        <v/>
      </c>
      <c r="I90" s="408" t="str">
        <f>IF(TrackIT_Lines!AD82="","",CONCATENATE(TrackIT_Lines!AD82,"-",TrackIT_Lines!AG82))</f>
        <v/>
      </c>
      <c r="J90" s="409" t="str">
        <f t="shared" ref="J90:Q99" ca="1" si="72">IF((INDIRECT("TrackIT_Lines!"&amp;J$2&amp;$A90))="","", (INDIRECT("TrackIT_Lines!"&amp;J$2&amp;$A90)))</f>
        <v/>
      </c>
      <c r="K90" s="408" t="str">
        <f t="shared" ca="1" si="72"/>
        <v/>
      </c>
      <c r="L90" s="408" t="str">
        <f t="shared" ca="1" si="72"/>
        <v/>
      </c>
      <c r="M90" s="408" t="str">
        <f t="shared" ca="1" si="72"/>
        <v/>
      </c>
      <c r="N90" s="408" t="str">
        <f t="shared" ca="1" si="72"/>
        <v/>
      </c>
      <c r="O90" s="408" t="str">
        <f t="shared" ca="1" si="72"/>
        <v/>
      </c>
      <c r="P90" s="408" t="str">
        <f t="shared" ca="1" si="72"/>
        <v/>
      </c>
      <c r="Q90" s="408" t="str">
        <f t="shared" ca="1" si="72"/>
        <v/>
      </c>
      <c r="R90" s="410" t="str">
        <f ca="1">Cluster!J109</f>
        <v>Selection</v>
      </c>
      <c r="S90" s="411" t="str">
        <f t="shared" ca="1" si="48"/>
        <v>-</v>
      </c>
      <c r="T90" s="412" t="str">
        <f t="shared" ca="1" si="49"/>
        <v/>
      </c>
      <c r="U90" s="411" t="str">
        <f t="shared" ca="1" si="50"/>
        <v>-</v>
      </c>
      <c r="V90" s="411" t="str">
        <f t="shared" ca="1" si="51"/>
        <v>-</v>
      </c>
      <c r="W90" s="413">
        <f>Cluster!N109</f>
        <v>0</v>
      </c>
      <c r="X90" s="414" t="str">
        <f t="shared" ca="1" si="52"/>
        <v>-</v>
      </c>
      <c r="Y90" s="411" t="str">
        <f t="shared" ca="1" si="53"/>
        <v>-</v>
      </c>
      <c r="Z90" s="415" t="str">
        <f t="shared" ca="1" si="54"/>
        <v>-</v>
      </c>
      <c r="AA90" s="416" t="str">
        <f t="shared" ca="1" si="55"/>
        <v>-</v>
      </c>
      <c r="AB90" s="416" t="str">
        <f t="shared" ca="1" si="56"/>
        <v/>
      </c>
      <c r="AC90" s="434">
        <f>Cluster!Q109</f>
        <v>0</v>
      </c>
      <c r="AD90" s="435" t="str">
        <f t="shared" ref="AD90:AE109" ca="1" si="73">IF((INDIRECT("TrackIT_Lines!"&amp;AD$2&amp;$A90))="","", (INDIRECT("TrackIT_Lines!"&amp;AD$2&amp;$A90)))</f>
        <v/>
      </c>
      <c r="AE90" s="436" t="str">
        <f t="shared" ca="1" si="73"/>
        <v/>
      </c>
      <c r="AF90" s="437" t="str">
        <f t="shared" ca="1" si="57"/>
        <v>-</v>
      </c>
      <c r="AG90" s="438" t="str">
        <f t="shared" ca="1" si="58"/>
        <v>-</v>
      </c>
      <c r="AH90" s="437" t="str">
        <f t="shared" ca="1" si="59"/>
        <v>-</v>
      </c>
      <c r="AI90" s="438" t="str">
        <f t="shared" ca="1" si="60"/>
        <v>-</v>
      </c>
      <c r="AJ90" s="438" t="str">
        <f t="shared" ca="1" si="61"/>
        <v>-</v>
      </c>
      <c r="AK90" s="439" t="str">
        <f ca="1">IFERROR(AE90*AD90*AL90/(IF(Cluster!AA109=Cluster!$W$8,Cluster!$W$10,IF(Cluster!AA109=Cluster!$X$8,Cluster!$X$10,IF(Cluster!AA109=Cluster!$Y$8,Cluster!$Y$10,0)))*10^3),"-")</f>
        <v>-</v>
      </c>
      <c r="AL90" s="440" t="str">
        <f ca="1">IFERROR(IF(OR(Calculation!T90&lt;(Calculation!$U$8+2),Calculation!AC90="Bypass"),IF((IF(Calculation!$O$6/((Calculation!AD90*10^-12)/(Calculation!T90*10^-9)*50)&lt;=1,1,ROUNDUP(Calculation!$O$6/((Calculation!AD90*10^-12)/(Calculation!T90*10^-9)*50),0))*50)&lt;Calculation!$AK$6,Calculation!$AK$6,IF(Calculation!$O$6/((Calculation!AD90*10^-12)/(Calculation!T90*10^-9)*50)&lt;=1,1,ROUNDUP(Calculation!$O$6/((Calculation!AD90*10^-12)/(Calculation!T90*10^-9)*50),0))*50),"-"),"-")</f>
        <v>-</v>
      </c>
      <c r="AM90" s="441" t="str">
        <f t="shared" ref="AM90:AN109" ca="1" si="74">IF((INDIRECT("TrackIT_Lines!"&amp;AM$2&amp;$A90))="","", (INDIRECT("TrackIT_Lines!"&amp;AM$2&amp;$A90)))</f>
        <v/>
      </c>
      <c r="AN90" s="442" t="str">
        <f t="shared" ca="1" si="74"/>
        <v/>
      </c>
      <c r="AO90" s="432">
        <f t="shared" ca="1" si="62"/>
        <v>384</v>
      </c>
      <c r="AP90" s="427" t="str">
        <f t="shared" ca="1" si="63"/>
        <v>-</v>
      </c>
      <c r="AQ90" s="443" t="str">
        <f t="shared" ca="1" si="64"/>
        <v>-</v>
      </c>
      <c r="AR90" s="444" t="str">
        <f t="shared" ca="1" si="65"/>
        <v>-</v>
      </c>
      <c r="AS90" s="430" t="str">
        <f t="shared" ca="1" si="66"/>
        <v>-</v>
      </c>
      <c r="AT90" s="431"/>
      <c r="AU90" s="431"/>
      <c r="AV90" s="432">
        <v>81</v>
      </c>
      <c r="AW90" s="433" t="e">
        <f>ListAndConversion!S83</f>
        <v>#DIV/0!</v>
      </c>
      <c r="AX90" s="432" t="e">
        <f>IF(AW90="-","-",IF(COUNTIF(ListAndConversion!$F$3:$M$386,Calculation!AW90)=0,"Missing Lane","OK"))</f>
        <v>#DIV/0!</v>
      </c>
      <c r="AY90" s="433" t="str">
        <f>IFERROR(VLOOKUP(AW90,ListAndConversion!$F$3:$O$386,9,0),"-")</f>
        <v>-</v>
      </c>
      <c r="AZ90" s="433" t="str">
        <f>IFERROR(VLOOKUP(AW90,ListAndConversion!$F$3:$O$386,10,0),"-")</f>
        <v>-</v>
      </c>
      <c r="BA90" s="433" t="e">
        <f t="shared" si="67"/>
        <v>#DIV/0!</v>
      </c>
      <c r="BB90" s="433" t="str">
        <f t="shared" si="68"/>
        <v>-</v>
      </c>
      <c r="BC90" s="433" t="str">
        <f t="shared" si="69"/>
        <v/>
      </c>
    </row>
    <row r="91" spans="1:55" ht="14.25" x14ac:dyDescent="0.65">
      <c r="A91" s="407">
        <v>83</v>
      </c>
      <c r="B91" s="408" t="str">
        <f t="shared" ca="1" si="47"/>
        <v/>
      </c>
      <c r="C91" s="408" t="str">
        <f ca="1">IFERROR(IF(G91="","",CONCATENATE(E91,"-",INDEX(Coordinate,MATCH(F91,ListAndConversion!$X$4:$X$99,0),2))),"")</f>
        <v/>
      </c>
      <c r="D91" s="408" t="str">
        <f t="shared" ca="1" si="71"/>
        <v/>
      </c>
      <c r="E91" s="408" t="str">
        <f t="shared" ca="1" si="71"/>
        <v/>
      </c>
      <c r="F91" s="408" t="str">
        <f t="shared" ca="1" si="71"/>
        <v/>
      </c>
      <c r="G91" s="408" t="str">
        <f ca="1">IFERROR(INDEX(ListAndConversion!A:B,MATCH(Calculation!E91,ListAndConversion!A:A,0),2),"")</f>
        <v/>
      </c>
      <c r="H91" s="408" t="str">
        <f>IF(TrackIT_Lines!AD83="","",TrackIT_Lines!AD83)</f>
        <v/>
      </c>
      <c r="I91" s="408" t="str">
        <f>IF(TrackIT_Lines!AD83="","",CONCATENATE(TrackIT_Lines!AD83,"-",TrackIT_Lines!AG83))</f>
        <v/>
      </c>
      <c r="J91" s="409" t="str">
        <f t="shared" ca="1" si="72"/>
        <v/>
      </c>
      <c r="K91" s="408" t="str">
        <f t="shared" ca="1" si="72"/>
        <v/>
      </c>
      <c r="L91" s="408" t="str">
        <f t="shared" ca="1" si="72"/>
        <v/>
      </c>
      <c r="M91" s="408" t="str">
        <f t="shared" ca="1" si="72"/>
        <v/>
      </c>
      <c r="N91" s="408" t="str">
        <f t="shared" ca="1" si="72"/>
        <v/>
      </c>
      <c r="O91" s="408" t="str">
        <f t="shared" ca="1" si="72"/>
        <v/>
      </c>
      <c r="P91" s="408" t="str">
        <f t="shared" ca="1" si="72"/>
        <v/>
      </c>
      <c r="Q91" s="408" t="str">
        <f t="shared" ca="1" si="72"/>
        <v/>
      </c>
      <c r="R91" s="410" t="str">
        <f ca="1">Cluster!J110</f>
        <v>Selection</v>
      </c>
      <c r="S91" s="411" t="str">
        <f t="shared" ca="1" si="48"/>
        <v>-</v>
      </c>
      <c r="T91" s="412" t="str">
        <f t="shared" ca="1" si="49"/>
        <v/>
      </c>
      <c r="U91" s="411" t="str">
        <f t="shared" ca="1" si="50"/>
        <v>-</v>
      </c>
      <c r="V91" s="411" t="str">
        <f t="shared" ca="1" si="51"/>
        <v>-</v>
      </c>
      <c r="W91" s="413">
        <f>Cluster!N110</f>
        <v>0</v>
      </c>
      <c r="X91" s="414" t="str">
        <f t="shared" ca="1" si="52"/>
        <v>-</v>
      </c>
      <c r="Y91" s="411" t="str">
        <f t="shared" ca="1" si="53"/>
        <v>-</v>
      </c>
      <c r="Z91" s="415" t="str">
        <f t="shared" ca="1" si="54"/>
        <v>-</v>
      </c>
      <c r="AA91" s="416" t="str">
        <f t="shared" ca="1" si="55"/>
        <v>-</v>
      </c>
      <c r="AB91" s="416" t="str">
        <f t="shared" ca="1" si="56"/>
        <v/>
      </c>
      <c r="AC91" s="434">
        <f>Cluster!Q110</f>
        <v>0</v>
      </c>
      <c r="AD91" s="435" t="str">
        <f t="shared" ca="1" si="73"/>
        <v/>
      </c>
      <c r="AE91" s="436" t="str">
        <f t="shared" ca="1" si="73"/>
        <v/>
      </c>
      <c r="AF91" s="437" t="str">
        <f t="shared" ca="1" si="57"/>
        <v>-</v>
      </c>
      <c r="AG91" s="438" t="str">
        <f t="shared" ca="1" si="58"/>
        <v>-</v>
      </c>
      <c r="AH91" s="437" t="str">
        <f t="shared" ca="1" si="59"/>
        <v>-</v>
      </c>
      <c r="AI91" s="438" t="str">
        <f t="shared" ca="1" si="60"/>
        <v>-</v>
      </c>
      <c r="AJ91" s="438" t="str">
        <f t="shared" ca="1" si="61"/>
        <v>-</v>
      </c>
      <c r="AK91" s="439" t="str">
        <f ca="1">IFERROR(AE91*AD91*AL91/(IF(Cluster!AA110=Cluster!$W$8,Cluster!$W$10,IF(Cluster!AA110=Cluster!$X$8,Cluster!$X$10,IF(Cluster!AA110=Cluster!$Y$8,Cluster!$Y$10,0)))*10^3),"-")</f>
        <v>-</v>
      </c>
      <c r="AL91" s="440" t="str">
        <f ca="1">IFERROR(IF(OR(Calculation!T91&lt;(Calculation!$U$8+2),Calculation!AC91="Bypass"),IF((IF(Calculation!$O$6/((Calculation!AD91*10^-12)/(Calculation!T91*10^-9)*50)&lt;=1,1,ROUNDUP(Calculation!$O$6/((Calculation!AD91*10^-12)/(Calculation!T91*10^-9)*50),0))*50)&lt;Calculation!$AK$6,Calculation!$AK$6,IF(Calculation!$O$6/((Calculation!AD91*10^-12)/(Calculation!T91*10^-9)*50)&lt;=1,1,ROUNDUP(Calculation!$O$6/((Calculation!AD91*10^-12)/(Calculation!T91*10^-9)*50),0))*50),"-"),"-")</f>
        <v>-</v>
      </c>
      <c r="AM91" s="441" t="str">
        <f t="shared" ca="1" si="74"/>
        <v/>
      </c>
      <c r="AN91" s="442" t="str">
        <f t="shared" ca="1" si="74"/>
        <v/>
      </c>
      <c r="AO91" s="432">
        <f t="shared" ca="1" si="62"/>
        <v>384</v>
      </c>
      <c r="AP91" s="427" t="str">
        <f t="shared" ca="1" si="63"/>
        <v>-</v>
      </c>
      <c r="AQ91" s="443" t="str">
        <f t="shared" ca="1" si="64"/>
        <v>-</v>
      </c>
      <c r="AR91" s="444" t="str">
        <f t="shared" ca="1" si="65"/>
        <v>-</v>
      </c>
      <c r="AS91" s="430" t="str">
        <f t="shared" ca="1" si="66"/>
        <v>-</v>
      </c>
      <c r="AT91" s="431"/>
      <c r="AU91" s="431"/>
      <c r="AV91" s="432">
        <v>82</v>
      </c>
      <c r="AW91" s="433" t="e">
        <f>ListAndConversion!S84</f>
        <v>#DIV/0!</v>
      </c>
      <c r="AX91" s="432" t="e">
        <f>IF(AW91="-","-",IF(COUNTIF(ListAndConversion!$F$3:$M$386,Calculation!AW91)=0,"Missing Lane","OK"))</f>
        <v>#DIV/0!</v>
      </c>
      <c r="AY91" s="433" t="str">
        <f>IFERROR(VLOOKUP(AW91,ListAndConversion!$F$3:$O$386,9,0),"-")</f>
        <v>-</v>
      </c>
      <c r="AZ91" s="433" t="str">
        <f>IFERROR(VLOOKUP(AW91,ListAndConversion!$F$3:$O$386,10,0),"-")</f>
        <v>-</v>
      </c>
      <c r="BA91" s="433" t="e">
        <f t="shared" si="67"/>
        <v>#DIV/0!</v>
      </c>
      <c r="BB91" s="433" t="str">
        <f t="shared" si="68"/>
        <v>-</v>
      </c>
      <c r="BC91" s="433" t="str">
        <f t="shared" si="69"/>
        <v/>
      </c>
    </row>
    <row r="92" spans="1:55" ht="14.25" x14ac:dyDescent="0.65">
      <c r="A92" s="407">
        <v>84</v>
      </c>
      <c r="B92" s="408" t="str">
        <f t="shared" ca="1" si="47"/>
        <v/>
      </c>
      <c r="C92" s="408" t="str">
        <f ca="1">IFERROR(IF(G92="","",CONCATENATE(E92,"-",INDEX(Coordinate,MATCH(F92,ListAndConversion!$X$4:$X$99,0),2))),"")</f>
        <v/>
      </c>
      <c r="D92" s="408" t="str">
        <f t="shared" ca="1" si="71"/>
        <v/>
      </c>
      <c r="E92" s="408" t="str">
        <f t="shared" ca="1" si="71"/>
        <v/>
      </c>
      <c r="F92" s="408" t="str">
        <f t="shared" ca="1" si="71"/>
        <v/>
      </c>
      <c r="G92" s="408" t="str">
        <f ca="1">IFERROR(INDEX(ListAndConversion!A:B,MATCH(Calculation!E92,ListAndConversion!A:A,0),2),"")</f>
        <v/>
      </c>
      <c r="H92" s="408" t="str">
        <f>IF(TrackIT_Lines!AD84="","",TrackIT_Lines!AD84)</f>
        <v/>
      </c>
      <c r="I92" s="408" t="str">
        <f>IF(TrackIT_Lines!AD84="","",CONCATENATE(TrackIT_Lines!AD84,"-",TrackIT_Lines!AG84))</f>
        <v/>
      </c>
      <c r="J92" s="409" t="str">
        <f t="shared" ca="1" si="72"/>
        <v/>
      </c>
      <c r="K92" s="408" t="str">
        <f t="shared" ca="1" si="72"/>
        <v/>
      </c>
      <c r="L92" s="408" t="str">
        <f t="shared" ca="1" si="72"/>
        <v/>
      </c>
      <c r="M92" s="408" t="str">
        <f t="shared" ca="1" si="72"/>
        <v/>
      </c>
      <c r="N92" s="408" t="str">
        <f t="shared" ca="1" si="72"/>
        <v/>
      </c>
      <c r="O92" s="408" t="str">
        <f t="shared" ca="1" si="72"/>
        <v/>
      </c>
      <c r="P92" s="408" t="str">
        <f t="shared" ca="1" si="72"/>
        <v/>
      </c>
      <c r="Q92" s="408" t="str">
        <f t="shared" ca="1" si="72"/>
        <v/>
      </c>
      <c r="R92" s="410" t="str">
        <f ca="1">Cluster!J111</f>
        <v>Selection</v>
      </c>
      <c r="S92" s="411" t="str">
        <f t="shared" ca="1" si="48"/>
        <v>-</v>
      </c>
      <c r="T92" s="412" t="str">
        <f t="shared" ca="1" si="49"/>
        <v/>
      </c>
      <c r="U92" s="411" t="str">
        <f t="shared" ca="1" si="50"/>
        <v>-</v>
      </c>
      <c r="V92" s="411" t="str">
        <f t="shared" ca="1" si="51"/>
        <v>-</v>
      </c>
      <c r="W92" s="413">
        <f>Cluster!N111</f>
        <v>0</v>
      </c>
      <c r="X92" s="414" t="str">
        <f t="shared" ca="1" si="52"/>
        <v>-</v>
      </c>
      <c r="Y92" s="411" t="str">
        <f t="shared" ca="1" si="53"/>
        <v>-</v>
      </c>
      <c r="Z92" s="415" t="str">
        <f t="shared" ca="1" si="54"/>
        <v>-</v>
      </c>
      <c r="AA92" s="416" t="str">
        <f t="shared" ca="1" si="55"/>
        <v>-</v>
      </c>
      <c r="AB92" s="416" t="str">
        <f t="shared" ca="1" si="56"/>
        <v/>
      </c>
      <c r="AC92" s="434">
        <f>Cluster!Q111</f>
        <v>0</v>
      </c>
      <c r="AD92" s="435" t="str">
        <f t="shared" ca="1" si="73"/>
        <v/>
      </c>
      <c r="AE92" s="436" t="str">
        <f t="shared" ca="1" si="73"/>
        <v/>
      </c>
      <c r="AF92" s="437" t="str">
        <f t="shared" ca="1" si="57"/>
        <v>-</v>
      </c>
      <c r="AG92" s="438" t="str">
        <f t="shared" ca="1" si="58"/>
        <v>-</v>
      </c>
      <c r="AH92" s="437" t="str">
        <f t="shared" ca="1" si="59"/>
        <v>-</v>
      </c>
      <c r="AI92" s="438" t="str">
        <f t="shared" ca="1" si="60"/>
        <v>-</v>
      </c>
      <c r="AJ92" s="438" t="str">
        <f t="shared" ca="1" si="61"/>
        <v>-</v>
      </c>
      <c r="AK92" s="439" t="str">
        <f ca="1">IFERROR(AE92*AD92*AL92/(IF(Cluster!AA111=Cluster!$W$8,Cluster!$W$10,IF(Cluster!AA111=Cluster!$X$8,Cluster!$X$10,IF(Cluster!AA111=Cluster!$Y$8,Cluster!$Y$10,0)))*10^3),"-")</f>
        <v>-</v>
      </c>
      <c r="AL92" s="440" t="str">
        <f ca="1">IFERROR(IF(OR(Calculation!T92&lt;(Calculation!$U$8+2),Calculation!AC92="Bypass"),IF((IF(Calculation!$O$6/((Calculation!AD92*10^-12)/(Calculation!T92*10^-9)*50)&lt;=1,1,ROUNDUP(Calculation!$O$6/((Calculation!AD92*10^-12)/(Calculation!T92*10^-9)*50),0))*50)&lt;Calculation!$AK$6,Calculation!$AK$6,IF(Calculation!$O$6/((Calculation!AD92*10^-12)/(Calculation!T92*10^-9)*50)&lt;=1,1,ROUNDUP(Calculation!$O$6/((Calculation!AD92*10^-12)/(Calculation!T92*10^-9)*50),0))*50),"-"),"-")</f>
        <v>-</v>
      </c>
      <c r="AM92" s="441" t="str">
        <f t="shared" ca="1" si="74"/>
        <v/>
      </c>
      <c r="AN92" s="442" t="str">
        <f t="shared" ca="1" si="74"/>
        <v/>
      </c>
      <c r="AO92" s="432">
        <f t="shared" ca="1" si="62"/>
        <v>384</v>
      </c>
      <c r="AP92" s="427" t="str">
        <f t="shared" ca="1" si="63"/>
        <v>-</v>
      </c>
      <c r="AQ92" s="443" t="str">
        <f t="shared" ca="1" si="64"/>
        <v>-</v>
      </c>
      <c r="AR92" s="444" t="str">
        <f t="shared" ca="1" si="65"/>
        <v>-</v>
      </c>
      <c r="AS92" s="430" t="str">
        <f t="shared" ca="1" si="66"/>
        <v>-</v>
      </c>
      <c r="AT92" s="431"/>
      <c r="AU92" s="431"/>
      <c r="AV92" s="432">
        <v>83</v>
      </c>
      <c r="AW92" s="433" t="e">
        <f>ListAndConversion!S85</f>
        <v>#DIV/0!</v>
      </c>
      <c r="AX92" s="432" t="e">
        <f>IF(AW92="-","-",IF(COUNTIF(ListAndConversion!$F$3:$M$386,Calculation!AW92)=0,"Missing Lane","OK"))</f>
        <v>#DIV/0!</v>
      </c>
      <c r="AY92" s="433" t="str">
        <f>IFERROR(VLOOKUP(AW92,ListAndConversion!$F$3:$O$386,9,0),"-")</f>
        <v>-</v>
      </c>
      <c r="AZ92" s="433" t="str">
        <f>IFERROR(VLOOKUP(AW92,ListAndConversion!$F$3:$O$386,10,0),"-")</f>
        <v>-</v>
      </c>
      <c r="BA92" s="433" t="e">
        <f t="shared" si="67"/>
        <v>#DIV/0!</v>
      </c>
      <c r="BB92" s="433" t="str">
        <f t="shared" si="68"/>
        <v>-</v>
      </c>
      <c r="BC92" s="433" t="str">
        <f t="shared" si="69"/>
        <v/>
      </c>
    </row>
    <row r="93" spans="1:55" ht="14.25" x14ac:dyDescent="0.65">
      <c r="A93" s="407">
        <v>85</v>
      </c>
      <c r="B93" s="408" t="str">
        <f t="shared" ca="1" si="47"/>
        <v/>
      </c>
      <c r="C93" s="408" t="str">
        <f ca="1">IFERROR(IF(G93="","",CONCATENATE(E93,"-",INDEX(Coordinate,MATCH(F93,ListAndConversion!$X$4:$X$99,0),2))),"")</f>
        <v/>
      </c>
      <c r="D93" s="408" t="str">
        <f t="shared" ca="1" si="71"/>
        <v/>
      </c>
      <c r="E93" s="408" t="str">
        <f t="shared" ca="1" si="71"/>
        <v/>
      </c>
      <c r="F93" s="408" t="str">
        <f t="shared" ca="1" si="71"/>
        <v/>
      </c>
      <c r="G93" s="408" t="str">
        <f ca="1">IFERROR(INDEX(ListAndConversion!A:B,MATCH(Calculation!E93,ListAndConversion!A:A,0),2),"")</f>
        <v/>
      </c>
      <c r="H93" s="408" t="str">
        <f>IF(TrackIT_Lines!AD85="","",TrackIT_Lines!AD85)</f>
        <v/>
      </c>
      <c r="I93" s="408" t="str">
        <f>IF(TrackIT_Lines!AD85="","",CONCATENATE(TrackIT_Lines!AD85,"-",TrackIT_Lines!AG85))</f>
        <v/>
      </c>
      <c r="J93" s="409" t="str">
        <f t="shared" ca="1" si="72"/>
        <v/>
      </c>
      <c r="K93" s="408" t="str">
        <f t="shared" ca="1" si="72"/>
        <v/>
      </c>
      <c r="L93" s="408" t="str">
        <f t="shared" ca="1" si="72"/>
        <v/>
      </c>
      <c r="M93" s="408" t="str">
        <f t="shared" ca="1" si="72"/>
        <v/>
      </c>
      <c r="N93" s="408" t="str">
        <f t="shared" ca="1" si="72"/>
        <v/>
      </c>
      <c r="O93" s="408" t="str">
        <f t="shared" ca="1" si="72"/>
        <v/>
      </c>
      <c r="P93" s="408" t="str">
        <f t="shared" ca="1" si="72"/>
        <v/>
      </c>
      <c r="Q93" s="408" t="str">
        <f t="shared" ca="1" si="72"/>
        <v/>
      </c>
      <c r="R93" s="410" t="str">
        <f ca="1">Cluster!J112</f>
        <v>Selection</v>
      </c>
      <c r="S93" s="411" t="str">
        <f t="shared" ca="1" si="48"/>
        <v>-</v>
      </c>
      <c r="T93" s="412" t="str">
        <f t="shared" ca="1" si="49"/>
        <v/>
      </c>
      <c r="U93" s="411" t="str">
        <f t="shared" ca="1" si="50"/>
        <v>-</v>
      </c>
      <c r="V93" s="411" t="str">
        <f t="shared" ca="1" si="51"/>
        <v>-</v>
      </c>
      <c r="W93" s="413">
        <f>Cluster!N112</f>
        <v>0</v>
      </c>
      <c r="X93" s="414" t="str">
        <f t="shared" ca="1" si="52"/>
        <v>-</v>
      </c>
      <c r="Y93" s="411" t="str">
        <f t="shared" ca="1" si="53"/>
        <v>-</v>
      </c>
      <c r="Z93" s="415" t="str">
        <f t="shared" ca="1" si="54"/>
        <v>-</v>
      </c>
      <c r="AA93" s="416" t="str">
        <f t="shared" ca="1" si="55"/>
        <v>-</v>
      </c>
      <c r="AB93" s="416" t="str">
        <f t="shared" ca="1" si="56"/>
        <v/>
      </c>
      <c r="AC93" s="434">
        <f>Cluster!Q112</f>
        <v>0</v>
      </c>
      <c r="AD93" s="435" t="str">
        <f t="shared" ca="1" si="73"/>
        <v/>
      </c>
      <c r="AE93" s="436" t="str">
        <f t="shared" ca="1" si="73"/>
        <v/>
      </c>
      <c r="AF93" s="437" t="str">
        <f t="shared" ca="1" si="57"/>
        <v>-</v>
      </c>
      <c r="AG93" s="438" t="str">
        <f t="shared" ca="1" si="58"/>
        <v>-</v>
      </c>
      <c r="AH93" s="437" t="str">
        <f t="shared" ca="1" si="59"/>
        <v>-</v>
      </c>
      <c r="AI93" s="438" t="str">
        <f t="shared" ca="1" si="60"/>
        <v>-</v>
      </c>
      <c r="AJ93" s="438" t="str">
        <f t="shared" ca="1" si="61"/>
        <v>-</v>
      </c>
      <c r="AK93" s="439" t="str">
        <f ca="1">IFERROR(AE93*AD93*AL93/(IF(Cluster!AA112=Cluster!$W$8,Cluster!$W$10,IF(Cluster!AA112=Cluster!$X$8,Cluster!$X$10,IF(Cluster!AA112=Cluster!$Y$8,Cluster!$Y$10,0)))*10^3),"-")</f>
        <v>-</v>
      </c>
      <c r="AL93" s="440" t="str">
        <f ca="1">IFERROR(IF(OR(Calculation!T93&lt;(Calculation!$U$8+2),Calculation!AC93="Bypass"),IF((IF(Calculation!$O$6/((Calculation!AD93*10^-12)/(Calculation!T93*10^-9)*50)&lt;=1,1,ROUNDUP(Calculation!$O$6/((Calculation!AD93*10^-12)/(Calculation!T93*10^-9)*50),0))*50)&lt;Calculation!$AK$6,Calculation!$AK$6,IF(Calculation!$O$6/((Calculation!AD93*10^-12)/(Calculation!T93*10^-9)*50)&lt;=1,1,ROUNDUP(Calculation!$O$6/((Calculation!AD93*10^-12)/(Calculation!T93*10^-9)*50),0))*50),"-"),"-")</f>
        <v>-</v>
      </c>
      <c r="AM93" s="441" t="str">
        <f t="shared" ca="1" si="74"/>
        <v/>
      </c>
      <c r="AN93" s="442" t="str">
        <f t="shared" ca="1" si="74"/>
        <v/>
      </c>
      <c r="AO93" s="432">
        <f t="shared" ca="1" si="62"/>
        <v>384</v>
      </c>
      <c r="AP93" s="427" t="str">
        <f t="shared" ca="1" si="63"/>
        <v>-</v>
      </c>
      <c r="AQ93" s="443" t="str">
        <f t="shared" ca="1" si="64"/>
        <v>-</v>
      </c>
      <c r="AR93" s="444" t="str">
        <f t="shared" ca="1" si="65"/>
        <v>-</v>
      </c>
      <c r="AS93" s="430" t="str">
        <f t="shared" ca="1" si="66"/>
        <v>-</v>
      </c>
      <c r="AT93" s="431"/>
      <c r="AU93" s="431"/>
      <c r="AV93" s="432">
        <v>84</v>
      </c>
      <c r="AW93" s="433" t="e">
        <f>ListAndConversion!S86</f>
        <v>#DIV/0!</v>
      </c>
      <c r="AX93" s="432" t="e">
        <f>IF(AW93="-","-",IF(COUNTIF(ListAndConversion!$F$3:$M$386,Calculation!AW93)=0,"Missing Lane","OK"))</f>
        <v>#DIV/0!</v>
      </c>
      <c r="AY93" s="433" t="str">
        <f>IFERROR(VLOOKUP(AW93,ListAndConversion!$F$3:$O$386,9,0),"-")</f>
        <v>-</v>
      </c>
      <c r="AZ93" s="433" t="str">
        <f>IFERROR(VLOOKUP(AW93,ListAndConversion!$F$3:$O$386,10,0),"-")</f>
        <v>-</v>
      </c>
      <c r="BA93" s="433" t="e">
        <f t="shared" si="67"/>
        <v>#DIV/0!</v>
      </c>
      <c r="BB93" s="433" t="str">
        <f t="shared" si="68"/>
        <v>-</v>
      </c>
      <c r="BC93" s="433" t="str">
        <f t="shared" si="69"/>
        <v/>
      </c>
    </row>
    <row r="94" spans="1:55" ht="14.25" x14ac:dyDescent="0.65">
      <c r="A94" s="407">
        <v>86</v>
      </c>
      <c r="B94" s="408" t="str">
        <f t="shared" ca="1" si="47"/>
        <v/>
      </c>
      <c r="C94" s="408" t="str">
        <f ca="1">IFERROR(IF(G94="","",CONCATENATE(E94,"-",INDEX(Coordinate,MATCH(F94,ListAndConversion!$X$4:$X$99,0),2))),"")</f>
        <v/>
      </c>
      <c r="D94" s="408" t="str">
        <f t="shared" ca="1" si="71"/>
        <v/>
      </c>
      <c r="E94" s="408" t="str">
        <f t="shared" ca="1" si="71"/>
        <v/>
      </c>
      <c r="F94" s="408" t="str">
        <f t="shared" ca="1" si="71"/>
        <v/>
      </c>
      <c r="G94" s="408" t="str">
        <f ca="1">IFERROR(INDEX(ListAndConversion!A:B,MATCH(Calculation!E94,ListAndConversion!A:A,0),2),"")</f>
        <v/>
      </c>
      <c r="H94" s="408" t="str">
        <f>IF(TrackIT_Lines!AD86="","",TrackIT_Lines!AD86)</f>
        <v/>
      </c>
      <c r="I94" s="408" t="str">
        <f>IF(TrackIT_Lines!AD86="","",CONCATENATE(TrackIT_Lines!AD86,"-",TrackIT_Lines!AG86))</f>
        <v/>
      </c>
      <c r="J94" s="409" t="str">
        <f t="shared" ca="1" si="72"/>
        <v/>
      </c>
      <c r="K94" s="408" t="str">
        <f t="shared" ca="1" si="72"/>
        <v/>
      </c>
      <c r="L94" s="408" t="str">
        <f t="shared" ca="1" si="72"/>
        <v/>
      </c>
      <c r="M94" s="408" t="str">
        <f t="shared" ca="1" si="72"/>
        <v/>
      </c>
      <c r="N94" s="408" t="str">
        <f t="shared" ca="1" si="72"/>
        <v/>
      </c>
      <c r="O94" s="408" t="str">
        <f t="shared" ca="1" si="72"/>
        <v/>
      </c>
      <c r="P94" s="408" t="str">
        <f t="shared" ca="1" si="72"/>
        <v/>
      </c>
      <c r="Q94" s="408" t="str">
        <f t="shared" ca="1" si="72"/>
        <v/>
      </c>
      <c r="R94" s="410" t="str">
        <f ca="1">Cluster!J113</f>
        <v>Selection</v>
      </c>
      <c r="S94" s="411" t="str">
        <f t="shared" ca="1" si="48"/>
        <v>-</v>
      </c>
      <c r="T94" s="412" t="str">
        <f t="shared" ca="1" si="49"/>
        <v/>
      </c>
      <c r="U94" s="411" t="str">
        <f t="shared" ca="1" si="50"/>
        <v>-</v>
      </c>
      <c r="V94" s="411" t="str">
        <f t="shared" ca="1" si="51"/>
        <v>-</v>
      </c>
      <c r="W94" s="413">
        <f>Cluster!N113</f>
        <v>0</v>
      </c>
      <c r="X94" s="414" t="str">
        <f t="shared" ca="1" si="52"/>
        <v>-</v>
      </c>
      <c r="Y94" s="411" t="str">
        <f t="shared" ca="1" si="53"/>
        <v>-</v>
      </c>
      <c r="Z94" s="415" t="str">
        <f t="shared" ca="1" si="54"/>
        <v>-</v>
      </c>
      <c r="AA94" s="416" t="str">
        <f t="shared" ca="1" si="55"/>
        <v>-</v>
      </c>
      <c r="AB94" s="416" t="str">
        <f t="shared" ca="1" si="56"/>
        <v/>
      </c>
      <c r="AC94" s="434">
        <f>Cluster!Q113</f>
        <v>0</v>
      </c>
      <c r="AD94" s="435" t="str">
        <f t="shared" ca="1" si="73"/>
        <v/>
      </c>
      <c r="AE94" s="436" t="str">
        <f t="shared" ca="1" si="73"/>
        <v/>
      </c>
      <c r="AF94" s="437" t="str">
        <f t="shared" ca="1" si="57"/>
        <v>-</v>
      </c>
      <c r="AG94" s="438" t="str">
        <f t="shared" ca="1" si="58"/>
        <v>-</v>
      </c>
      <c r="AH94" s="437" t="str">
        <f t="shared" ca="1" si="59"/>
        <v>-</v>
      </c>
      <c r="AI94" s="438" t="str">
        <f t="shared" ca="1" si="60"/>
        <v>-</v>
      </c>
      <c r="AJ94" s="438" t="str">
        <f t="shared" ca="1" si="61"/>
        <v>-</v>
      </c>
      <c r="AK94" s="439" t="str">
        <f ca="1">IFERROR(AE94*AD94*AL94/(IF(Cluster!AA113=Cluster!$W$8,Cluster!$W$10,IF(Cluster!AA113=Cluster!$X$8,Cluster!$X$10,IF(Cluster!AA113=Cluster!$Y$8,Cluster!$Y$10,0)))*10^3),"-")</f>
        <v>-</v>
      </c>
      <c r="AL94" s="440" t="str">
        <f ca="1">IFERROR(IF(OR(Calculation!T94&lt;(Calculation!$U$8+2),Calculation!AC94="Bypass"),IF((IF(Calculation!$O$6/((Calculation!AD94*10^-12)/(Calculation!T94*10^-9)*50)&lt;=1,1,ROUNDUP(Calculation!$O$6/((Calculation!AD94*10^-12)/(Calculation!T94*10^-9)*50),0))*50)&lt;Calculation!$AK$6,Calculation!$AK$6,IF(Calculation!$O$6/((Calculation!AD94*10^-12)/(Calculation!T94*10^-9)*50)&lt;=1,1,ROUNDUP(Calculation!$O$6/((Calculation!AD94*10^-12)/(Calculation!T94*10^-9)*50),0))*50),"-"),"-")</f>
        <v>-</v>
      </c>
      <c r="AM94" s="441" t="str">
        <f t="shared" ca="1" si="74"/>
        <v/>
      </c>
      <c r="AN94" s="442" t="str">
        <f t="shared" ca="1" si="74"/>
        <v/>
      </c>
      <c r="AO94" s="432">
        <f t="shared" ca="1" si="62"/>
        <v>384</v>
      </c>
      <c r="AP94" s="427" t="str">
        <f t="shared" ca="1" si="63"/>
        <v>-</v>
      </c>
      <c r="AQ94" s="443" t="str">
        <f t="shared" ca="1" si="64"/>
        <v>-</v>
      </c>
      <c r="AR94" s="444" t="str">
        <f t="shared" ca="1" si="65"/>
        <v>-</v>
      </c>
      <c r="AS94" s="430" t="str">
        <f t="shared" ca="1" si="66"/>
        <v>-</v>
      </c>
      <c r="AT94" s="431"/>
      <c r="AU94" s="431"/>
      <c r="AV94" s="432">
        <v>85</v>
      </c>
      <c r="AW94" s="433" t="e">
        <f>ListAndConversion!S87</f>
        <v>#DIV/0!</v>
      </c>
      <c r="AX94" s="432" t="e">
        <f>IF(AW94="-","-",IF(COUNTIF(ListAndConversion!$F$3:$M$386,Calculation!AW94)=0,"Missing Lane","OK"))</f>
        <v>#DIV/0!</v>
      </c>
      <c r="AY94" s="433" t="str">
        <f>IFERROR(VLOOKUP(AW94,ListAndConversion!$F$3:$O$386,9,0),"-")</f>
        <v>-</v>
      </c>
      <c r="AZ94" s="433" t="str">
        <f>IFERROR(VLOOKUP(AW94,ListAndConversion!$F$3:$O$386,10,0),"-")</f>
        <v>-</v>
      </c>
      <c r="BA94" s="433" t="e">
        <f t="shared" si="67"/>
        <v>#DIV/0!</v>
      </c>
      <c r="BB94" s="433" t="str">
        <f t="shared" si="68"/>
        <v>-</v>
      </c>
      <c r="BC94" s="433" t="str">
        <f t="shared" si="69"/>
        <v/>
      </c>
    </row>
    <row r="95" spans="1:55" ht="14.25" x14ac:dyDescent="0.65">
      <c r="A95" s="407">
        <v>87</v>
      </c>
      <c r="B95" s="408" t="str">
        <f t="shared" ca="1" si="47"/>
        <v/>
      </c>
      <c r="C95" s="408" t="str">
        <f ca="1">IFERROR(IF(G95="","",CONCATENATE(E95,"-",INDEX(Coordinate,MATCH(F95,ListAndConversion!$X$4:$X$99,0),2))),"")</f>
        <v/>
      </c>
      <c r="D95" s="408" t="str">
        <f t="shared" ca="1" si="71"/>
        <v/>
      </c>
      <c r="E95" s="408" t="str">
        <f t="shared" ca="1" si="71"/>
        <v/>
      </c>
      <c r="F95" s="408" t="str">
        <f t="shared" ca="1" si="71"/>
        <v/>
      </c>
      <c r="G95" s="408" t="str">
        <f ca="1">IFERROR(INDEX(ListAndConversion!A:B,MATCH(Calculation!E95,ListAndConversion!A:A,0),2),"")</f>
        <v/>
      </c>
      <c r="H95" s="408" t="str">
        <f>IF(TrackIT_Lines!AD87="","",TrackIT_Lines!AD87)</f>
        <v/>
      </c>
      <c r="I95" s="408" t="str">
        <f>IF(TrackIT_Lines!AD87="","",CONCATENATE(TrackIT_Lines!AD87,"-",TrackIT_Lines!AG87))</f>
        <v/>
      </c>
      <c r="J95" s="409" t="str">
        <f t="shared" ca="1" si="72"/>
        <v/>
      </c>
      <c r="K95" s="408" t="str">
        <f t="shared" ca="1" si="72"/>
        <v/>
      </c>
      <c r="L95" s="408" t="str">
        <f t="shared" ca="1" si="72"/>
        <v/>
      </c>
      <c r="M95" s="408" t="str">
        <f t="shared" ca="1" si="72"/>
        <v/>
      </c>
      <c r="N95" s="408" t="str">
        <f t="shared" ca="1" si="72"/>
        <v/>
      </c>
      <c r="O95" s="408" t="str">
        <f t="shared" ca="1" si="72"/>
        <v/>
      </c>
      <c r="P95" s="408" t="str">
        <f t="shared" ca="1" si="72"/>
        <v/>
      </c>
      <c r="Q95" s="408" t="str">
        <f t="shared" ca="1" si="72"/>
        <v/>
      </c>
      <c r="R95" s="410" t="str">
        <f ca="1">Cluster!J114</f>
        <v>Selection</v>
      </c>
      <c r="S95" s="411" t="str">
        <f t="shared" ca="1" si="48"/>
        <v>-</v>
      </c>
      <c r="T95" s="412" t="str">
        <f t="shared" ca="1" si="49"/>
        <v/>
      </c>
      <c r="U95" s="411" t="str">
        <f t="shared" ca="1" si="50"/>
        <v>-</v>
      </c>
      <c r="V95" s="411" t="str">
        <f t="shared" ca="1" si="51"/>
        <v>-</v>
      </c>
      <c r="W95" s="413">
        <f>Cluster!N114</f>
        <v>0</v>
      </c>
      <c r="X95" s="414" t="str">
        <f t="shared" ca="1" si="52"/>
        <v>-</v>
      </c>
      <c r="Y95" s="411" t="str">
        <f t="shared" ca="1" si="53"/>
        <v>-</v>
      </c>
      <c r="Z95" s="415" t="str">
        <f t="shared" ca="1" si="54"/>
        <v>-</v>
      </c>
      <c r="AA95" s="416" t="str">
        <f t="shared" ca="1" si="55"/>
        <v>-</v>
      </c>
      <c r="AB95" s="416" t="str">
        <f t="shared" ca="1" si="56"/>
        <v/>
      </c>
      <c r="AC95" s="434">
        <f>Cluster!Q114</f>
        <v>0</v>
      </c>
      <c r="AD95" s="435" t="str">
        <f t="shared" ca="1" si="73"/>
        <v/>
      </c>
      <c r="AE95" s="436" t="str">
        <f t="shared" ca="1" si="73"/>
        <v/>
      </c>
      <c r="AF95" s="437" t="str">
        <f t="shared" ca="1" si="57"/>
        <v>-</v>
      </c>
      <c r="AG95" s="438" t="str">
        <f t="shared" ca="1" si="58"/>
        <v>-</v>
      </c>
      <c r="AH95" s="437" t="str">
        <f t="shared" ca="1" si="59"/>
        <v>-</v>
      </c>
      <c r="AI95" s="438" t="str">
        <f t="shared" ca="1" si="60"/>
        <v>-</v>
      </c>
      <c r="AJ95" s="438" t="str">
        <f t="shared" ca="1" si="61"/>
        <v>-</v>
      </c>
      <c r="AK95" s="439" t="str">
        <f ca="1">IFERROR(AE95*AD95*AL95/(IF(Cluster!AA114=Cluster!$W$8,Cluster!$W$10,IF(Cluster!AA114=Cluster!$X$8,Cluster!$X$10,IF(Cluster!AA114=Cluster!$Y$8,Cluster!$Y$10,0)))*10^3),"-")</f>
        <v>-</v>
      </c>
      <c r="AL95" s="440" t="str">
        <f ca="1">IFERROR(IF(OR(Calculation!T95&lt;(Calculation!$U$8+2),Calculation!AC95="Bypass"),IF((IF(Calculation!$O$6/((Calculation!AD95*10^-12)/(Calculation!T95*10^-9)*50)&lt;=1,1,ROUNDUP(Calculation!$O$6/((Calculation!AD95*10^-12)/(Calculation!T95*10^-9)*50),0))*50)&lt;Calculation!$AK$6,Calculation!$AK$6,IF(Calculation!$O$6/((Calculation!AD95*10^-12)/(Calculation!T95*10^-9)*50)&lt;=1,1,ROUNDUP(Calculation!$O$6/((Calculation!AD95*10^-12)/(Calculation!T95*10^-9)*50),0))*50),"-"),"-")</f>
        <v>-</v>
      </c>
      <c r="AM95" s="441" t="str">
        <f t="shared" ca="1" si="74"/>
        <v/>
      </c>
      <c r="AN95" s="442" t="str">
        <f t="shared" ca="1" si="74"/>
        <v/>
      </c>
      <c r="AO95" s="432">
        <f t="shared" ca="1" si="62"/>
        <v>384</v>
      </c>
      <c r="AP95" s="427" t="str">
        <f t="shared" ca="1" si="63"/>
        <v>-</v>
      </c>
      <c r="AQ95" s="443" t="str">
        <f t="shared" ca="1" si="64"/>
        <v>-</v>
      </c>
      <c r="AR95" s="444" t="str">
        <f t="shared" ca="1" si="65"/>
        <v>-</v>
      </c>
      <c r="AS95" s="430" t="str">
        <f t="shared" ca="1" si="66"/>
        <v>-</v>
      </c>
      <c r="AT95" s="431"/>
      <c r="AU95" s="431"/>
      <c r="AV95" s="432">
        <v>86</v>
      </c>
      <c r="AW95" s="433" t="e">
        <f>ListAndConversion!S88</f>
        <v>#DIV/0!</v>
      </c>
      <c r="AX95" s="432" t="e">
        <f>IF(AW95="-","-",IF(COUNTIF(ListAndConversion!$F$3:$M$386,Calculation!AW95)=0,"Missing Lane","OK"))</f>
        <v>#DIV/0!</v>
      </c>
      <c r="AY95" s="433" t="str">
        <f>IFERROR(VLOOKUP(AW95,ListAndConversion!$F$3:$O$386,9,0),"-")</f>
        <v>-</v>
      </c>
      <c r="AZ95" s="433" t="str">
        <f>IFERROR(VLOOKUP(AW95,ListAndConversion!$F$3:$O$386,10,0),"-")</f>
        <v>-</v>
      </c>
      <c r="BA95" s="433" t="e">
        <f t="shared" si="67"/>
        <v>#DIV/0!</v>
      </c>
      <c r="BB95" s="433" t="str">
        <f t="shared" si="68"/>
        <v>-</v>
      </c>
      <c r="BC95" s="433" t="str">
        <f t="shared" si="69"/>
        <v/>
      </c>
    </row>
    <row r="96" spans="1:55" ht="14.25" x14ac:dyDescent="0.65">
      <c r="A96" s="407">
        <v>88</v>
      </c>
      <c r="B96" s="408" t="str">
        <f t="shared" ca="1" si="47"/>
        <v/>
      </c>
      <c r="C96" s="408" t="str">
        <f ca="1">IFERROR(IF(G96="","",CONCATENATE(E96,"-",INDEX(Coordinate,MATCH(F96,ListAndConversion!$X$4:$X$99,0),2))),"")</f>
        <v/>
      </c>
      <c r="D96" s="408" t="str">
        <f t="shared" ca="1" si="71"/>
        <v/>
      </c>
      <c r="E96" s="408" t="str">
        <f t="shared" ca="1" si="71"/>
        <v/>
      </c>
      <c r="F96" s="408" t="str">
        <f t="shared" ca="1" si="71"/>
        <v/>
      </c>
      <c r="G96" s="408" t="str">
        <f ca="1">IFERROR(INDEX(ListAndConversion!A:B,MATCH(Calculation!E96,ListAndConversion!A:A,0),2),"")</f>
        <v/>
      </c>
      <c r="H96" s="408" t="str">
        <f>IF(TrackIT_Lines!AD88="","",TrackIT_Lines!AD88)</f>
        <v/>
      </c>
      <c r="I96" s="408" t="str">
        <f>IF(TrackIT_Lines!AD88="","",CONCATENATE(TrackIT_Lines!AD88,"-",TrackIT_Lines!AG88))</f>
        <v/>
      </c>
      <c r="J96" s="409" t="str">
        <f t="shared" ca="1" si="72"/>
        <v/>
      </c>
      <c r="K96" s="408" t="str">
        <f t="shared" ca="1" si="72"/>
        <v/>
      </c>
      <c r="L96" s="408" t="str">
        <f t="shared" ca="1" si="72"/>
        <v/>
      </c>
      <c r="M96" s="408" t="str">
        <f t="shared" ca="1" si="72"/>
        <v/>
      </c>
      <c r="N96" s="408" t="str">
        <f t="shared" ca="1" si="72"/>
        <v/>
      </c>
      <c r="O96" s="408" t="str">
        <f t="shared" ca="1" si="72"/>
        <v/>
      </c>
      <c r="P96" s="408" t="str">
        <f t="shared" ca="1" si="72"/>
        <v/>
      </c>
      <c r="Q96" s="408" t="str">
        <f t="shared" ca="1" si="72"/>
        <v/>
      </c>
      <c r="R96" s="410" t="str">
        <f ca="1">Cluster!J115</f>
        <v>Selection</v>
      </c>
      <c r="S96" s="411" t="str">
        <f t="shared" ca="1" si="48"/>
        <v>-</v>
      </c>
      <c r="T96" s="412" t="str">
        <f t="shared" ca="1" si="49"/>
        <v/>
      </c>
      <c r="U96" s="411" t="str">
        <f t="shared" ca="1" si="50"/>
        <v>-</v>
      </c>
      <c r="V96" s="411" t="str">
        <f t="shared" ca="1" si="51"/>
        <v>-</v>
      </c>
      <c r="W96" s="413">
        <f>Cluster!N115</f>
        <v>0</v>
      </c>
      <c r="X96" s="414" t="str">
        <f t="shared" ca="1" si="52"/>
        <v>-</v>
      </c>
      <c r="Y96" s="411" t="str">
        <f t="shared" ca="1" si="53"/>
        <v>-</v>
      </c>
      <c r="Z96" s="415" t="str">
        <f t="shared" ca="1" si="54"/>
        <v>-</v>
      </c>
      <c r="AA96" s="416" t="str">
        <f t="shared" ca="1" si="55"/>
        <v>-</v>
      </c>
      <c r="AB96" s="416" t="str">
        <f t="shared" ca="1" si="56"/>
        <v/>
      </c>
      <c r="AC96" s="434">
        <f>Cluster!Q115</f>
        <v>0</v>
      </c>
      <c r="AD96" s="435" t="str">
        <f t="shared" ca="1" si="73"/>
        <v/>
      </c>
      <c r="AE96" s="436" t="str">
        <f t="shared" ca="1" si="73"/>
        <v/>
      </c>
      <c r="AF96" s="437" t="str">
        <f t="shared" ca="1" si="57"/>
        <v>-</v>
      </c>
      <c r="AG96" s="438" t="str">
        <f t="shared" ca="1" si="58"/>
        <v>-</v>
      </c>
      <c r="AH96" s="437" t="str">
        <f t="shared" ca="1" si="59"/>
        <v>-</v>
      </c>
      <c r="AI96" s="438" t="str">
        <f t="shared" ca="1" si="60"/>
        <v>-</v>
      </c>
      <c r="AJ96" s="438" t="str">
        <f t="shared" ca="1" si="61"/>
        <v>-</v>
      </c>
      <c r="AK96" s="439" t="str">
        <f ca="1">IFERROR(AE96*AD96*AL96/(IF(Cluster!AA115=Cluster!$W$8,Cluster!$W$10,IF(Cluster!AA115=Cluster!$X$8,Cluster!$X$10,IF(Cluster!AA115=Cluster!$Y$8,Cluster!$Y$10,0)))*10^3),"-")</f>
        <v>-</v>
      </c>
      <c r="AL96" s="440" t="str">
        <f ca="1">IFERROR(IF(OR(Calculation!T96&lt;(Calculation!$U$8+2),Calculation!AC96="Bypass"),IF((IF(Calculation!$O$6/((Calculation!AD96*10^-12)/(Calculation!T96*10^-9)*50)&lt;=1,1,ROUNDUP(Calculation!$O$6/((Calculation!AD96*10^-12)/(Calculation!T96*10^-9)*50),0))*50)&lt;Calculation!$AK$6,Calculation!$AK$6,IF(Calculation!$O$6/((Calculation!AD96*10^-12)/(Calculation!T96*10^-9)*50)&lt;=1,1,ROUNDUP(Calculation!$O$6/((Calculation!AD96*10^-12)/(Calculation!T96*10^-9)*50),0))*50),"-"),"-")</f>
        <v>-</v>
      </c>
      <c r="AM96" s="441" t="str">
        <f t="shared" ca="1" si="74"/>
        <v/>
      </c>
      <c r="AN96" s="442" t="str">
        <f t="shared" ca="1" si="74"/>
        <v/>
      </c>
      <c r="AO96" s="432">
        <f t="shared" ca="1" si="62"/>
        <v>384</v>
      </c>
      <c r="AP96" s="427" t="str">
        <f t="shared" ca="1" si="63"/>
        <v>-</v>
      </c>
      <c r="AQ96" s="443" t="str">
        <f t="shared" ca="1" si="64"/>
        <v>-</v>
      </c>
      <c r="AR96" s="444" t="str">
        <f t="shared" ca="1" si="65"/>
        <v>-</v>
      </c>
      <c r="AS96" s="430" t="str">
        <f t="shared" ca="1" si="66"/>
        <v>-</v>
      </c>
      <c r="AT96" s="431"/>
      <c r="AU96" s="431"/>
      <c r="AV96" s="432">
        <v>87</v>
      </c>
      <c r="AW96" s="433" t="e">
        <f>ListAndConversion!S89</f>
        <v>#DIV/0!</v>
      </c>
      <c r="AX96" s="432" t="e">
        <f>IF(AW96="-","-",IF(COUNTIF(ListAndConversion!$F$3:$M$386,Calculation!AW96)=0,"Missing Lane","OK"))</f>
        <v>#DIV/0!</v>
      </c>
      <c r="AY96" s="433" t="str">
        <f>IFERROR(VLOOKUP(AW96,ListAndConversion!$F$3:$O$386,9,0),"-")</f>
        <v>-</v>
      </c>
      <c r="AZ96" s="433" t="str">
        <f>IFERROR(VLOOKUP(AW96,ListAndConversion!$F$3:$O$386,10,0),"-")</f>
        <v>-</v>
      </c>
      <c r="BA96" s="433" t="e">
        <f t="shared" si="67"/>
        <v>#DIV/0!</v>
      </c>
      <c r="BB96" s="433" t="str">
        <f t="shared" si="68"/>
        <v>-</v>
      </c>
      <c r="BC96" s="433" t="str">
        <f t="shared" si="69"/>
        <v/>
      </c>
    </row>
    <row r="97" spans="1:55" ht="14.25" x14ac:dyDescent="0.65">
      <c r="A97" s="407">
        <v>89</v>
      </c>
      <c r="B97" s="408" t="str">
        <f t="shared" ca="1" si="47"/>
        <v/>
      </c>
      <c r="C97" s="408" t="str">
        <f ca="1">IFERROR(IF(G97="","",CONCATENATE(E97,"-",INDEX(Coordinate,MATCH(F97,ListAndConversion!$X$4:$X$99,0),2))),"")</f>
        <v/>
      </c>
      <c r="D97" s="408" t="str">
        <f t="shared" ca="1" si="71"/>
        <v/>
      </c>
      <c r="E97" s="408" t="str">
        <f t="shared" ca="1" si="71"/>
        <v/>
      </c>
      <c r="F97" s="408" t="str">
        <f t="shared" ca="1" si="71"/>
        <v/>
      </c>
      <c r="G97" s="408" t="str">
        <f ca="1">IFERROR(INDEX(ListAndConversion!A:B,MATCH(Calculation!E97,ListAndConversion!A:A,0),2),"")</f>
        <v/>
      </c>
      <c r="H97" s="408" t="str">
        <f>IF(TrackIT_Lines!AD89="","",TrackIT_Lines!AD89)</f>
        <v/>
      </c>
      <c r="I97" s="408" t="str">
        <f>IF(TrackIT_Lines!AD89="","",CONCATENATE(TrackIT_Lines!AD89,"-",TrackIT_Lines!AG89))</f>
        <v/>
      </c>
      <c r="J97" s="409" t="str">
        <f t="shared" ca="1" si="72"/>
        <v/>
      </c>
      <c r="K97" s="408" t="str">
        <f t="shared" ca="1" si="72"/>
        <v/>
      </c>
      <c r="L97" s="408" t="str">
        <f t="shared" ca="1" si="72"/>
        <v/>
      </c>
      <c r="M97" s="408" t="str">
        <f t="shared" ca="1" si="72"/>
        <v/>
      </c>
      <c r="N97" s="408" t="str">
        <f t="shared" ca="1" si="72"/>
        <v/>
      </c>
      <c r="O97" s="408" t="str">
        <f t="shared" ca="1" si="72"/>
        <v/>
      </c>
      <c r="P97" s="408" t="str">
        <f t="shared" ca="1" si="72"/>
        <v/>
      </c>
      <c r="Q97" s="408" t="str">
        <f t="shared" ca="1" si="72"/>
        <v/>
      </c>
      <c r="R97" s="410" t="str">
        <f ca="1">Cluster!J116</f>
        <v>Selection</v>
      </c>
      <c r="S97" s="411" t="str">
        <f t="shared" ca="1" si="48"/>
        <v>-</v>
      </c>
      <c r="T97" s="412" t="str">
        <f t="shared" ca="1" si="49"/>
        <v/>
      </c>
      <c r="U97" s="411" t="str">
        <f t="shared" ca="1" si="50"/>
        <v>-</v>
      </c>
      <c r="V97" s="411" t="str">
        <f t="shared" ca="1" si="51"/>
        <v>-</v>
      </c>
      <c r="W97" s="413">
        <f>Cluster!N116</f>
        <v>0</v>
      </c>
      <c r="X97" s="414" t="str">
        <f t="shared" ca="1" si="52"/>
        <v>-</v>
      </c>
      <c r="Y97" s="411" t="str">
        <f t="shared" ca="1" si="53"/>
        <v>-</v>
      </c>
      <c r="Z97" s="415" t="str">
        <f t="shared" ca="1" si="54"/>
        <v>-</v>
      </c>
      <c r="AA97" s="416" t="str">
        <f t="shared" ca="1" si="55"/>
        <v>-</v>
      </c>
      <c r="AB97" s="416" t="str">
        <f t="shared" ca="1" si="56"/>
        <v/>
      </c>
      <c r="AC97" s="434">
        <f>Cluster!Q116</f>
        <v>0</v>
      </c>
      <c r="AD97" s="435" t="str">
        <f t="shared" ca="1" si="73"/>
        <v/>
      </c>
      <c r="AE97" s="436" t="str">
        <f t="shared" ca="1" si="73"/>
        <v/>
      </c>
      <c r="AF97" s="437" t="str">
        <f t="shared" ca="1" si="57"/>
        <v>-</v>
      </c>
      <c r="AG97" s="438" t="str">
        <f t="shared" ca="1" si="58"/>
        <v>-</v>
      </c>
      <c r="AH97" s="437" t="str">
        <f t="shared" ca="1" si="59"/>
        <v>-</v>
      </c>
      <c r="AI97" s="438" t="str">
        <f t="shared" ca="1" si="60"/>
        <v>-</v>
      </c>
      <c r="AJ97" s="438" t="str">
        <f t="shared" ca="1" si="61"/>
        <v>-</v>
      </c>
      <c r="AK97" s="439" t="str">
        <f ca="1">IFERROR(AE97*AD97*AL97/(IF(Cluster!AA116=Cluster!$W$8,Cluster!$W$10,IF(Cluster!AA116=Cluster!$X$8,Cluster!$X$10,IF(Cluster!AA116=Cluster!$Y$8,Cluster!$Y$10,0)))*10^3),"-")</f>
        <v>-</v>
      </c>
      <c r="AL97" s="440" t="str">
        <f ca="1">IFERROR(IF(OR(Calculation!T97&lt;(Calculation!$U$8+2),Calculation!AC97="Bypass"),IF((IF(Calculation!$O$6/((Calculation!AD97*10^-12)/(Calculation!T97*10^-9)*50)&lt;=1,1,ROUNDUP(Calculation!$O$6/((Calculation!AD97*10^-12)/(Calculation!T97*10^-9)*50),0))*50)&lt;Calculation!$AK$6,Calculation!$AK$6,IF(Calculation!$O$6/((Calculation!AD97*10^-12)/(Calculation!T97*10^-9)*50)&lt;=1,1,ROUNDUP(Calculation!$O$6/((Calculation!AD97*10^-12)/(Calculation!T97*10^-9)*50),0))*50),"-"),"-")</f>
        <v>-</v>
      </c>
      <c r="AM97" s="441" t="str">
        <f t="shared" ca="1" si="74"/>
        <v/>
      </c>
      <c r="AN97" s="442" t="str">
        <f t="shared" ca="1" si="74"/>
        <v/>
      </c>
      <c r="AO97" s="432">
        <f t="shared" ca="1" si="62"/>
        <v>384</v>
      </c>
      <c r="AP97" s="427" t="str">
        <f t="shared" ca="1" si="63"/>
        <v>-</v>
      </c>
      <c r="AQ97" s="443" t="str">
        <f t="shared" ca="1" si="64"/>
        <v>-</v>
      </c>
      <c r="AR97" s="444" t="str">
        <f t="shared" ca="1" si="65"/>
        <v>-</v>
      </c>
      <c r="AS97" s="430" t="str">
        <f t="shared" ca="1" si="66"/>
        <v>-</v>
      </c>
      <c r="AT97" s="431"/>
      <c r="AU97" s="431"/>
      <c r="AV97" s="432">
        <v>88</v>
      </c>
      <c r="AW97" s="433" t="e">
        <f>ListAndConversion!S90</f>
        <v>#DIV/0!</v>
      </c>
      <c r="AX97" s="432" t="e">
        <f>IF(AW97="-","-",IF(COUNTIF(ListAndConversion!$F$3:$M$386,Calculation!AW97)=0,"Missing Lane","OK"))</f>
        <v>#DIV/0!</v>
      </c>
      <c r="AY97" s="433" t="str">
        <f>IFERROR(VLOOKUP(AW97,ListAndConversion!$F$3:$O$386,9,0),"-")</f>
        <v>-</v>
      </c>
      <c r="AZ97" s="433" t="str">
        <f>IFERROR(VLOOKUP(AW97,ListAndConversion!$F$3:$O$386,10,0),"-")</f>
        <v>-</v>
      </c>
      <c r="BA97" s="433" t="e">
        <f t="shared" si="67"/>
        <v>#DIV/0!</v>
      </c>
      <c r="BB97" s="433" t="str">
        <f t="shared" si="68"/>
        <v>-</v>
      </c>
      <c r="BC97" s="433" t="str">
        <f t="shared" si="69"/>
        <v/>
      </c>
    </row>
    <row r="98" spans="1:55" ht="14.25" x14ac:dyDescent="0.65">
      <c r="A98" s="407">
        <v>90</v>
      </c>
      <c r="B98" s="408" t="str">
        <f t="shared" ca="1" si="47"/>
        <v/>
      </c>
      <c r="C98" s="408" t="str">
        <f ca="1">IFERROR(IF(G98="","",CONCATENATE(E98,"-",INDEX(Coordinate,MATCH(F98,ListAndConversion!$X$4:$X$99,0),2))),"")</f>
        <v/>
      </c>
      <c r="D98" s="408" t="str">
        <f t="shared" ca="1" si="71"/>
        <v/>
      </c>
      <c r="E98" s="408" t="str">
        <f t="shared" ca="1" si="71"/>
        <v/>
      </c>
      <c r="F98" s="408" t="str">
        <f t="shared" ca="1" si="71"/>
        <v/>
      </c>
      <c r="G98" s="408" t="str">
        <f ca="1">IFERROR(INDEX(ListAndConversion!A:B,MATCH(Calculation!E98,ListAndConversion!A:A,0),2),"")</f>
        <v/>
      </c>
      <c r="H98" s="408" t="str">
        <f>IF(TrackIT_Lines!AD90="","",TrackIT_Lines!AD90)</f>
        <v/>
      </c>
      <c r="I98" s="408" t="str">
        <f>IF(TrackIT_Lines!AD90="","",CONCATENATE(TrackIT_Lines!AD90,"-",TrackIT_Lines!AG90))</f>
        <v/>
      </c>
      <c r="J98" s="409" t="str">
        <f t="shared" ca="1" si="72"/>
        <v/>
      </c>
      <c r="K98" s="408" t="str">
        <f t="shared" ca="1" si="72"/>
        <v/>
      </c>
      <c r="L98" s="408" t="str">
        <f t="shared" ca="1" si="72"/>
        <v/>
      </c>
      <c r="M98" s="408" t="str">
        <f t="shared" ca="1" si="72"/>
        <v/>
      </c>
      <c r="N98" s="408" t="str">
        <f t="shared" ca="1" si="72"/>
        <v/>
      </c>
      <c r="O98" s="408" t="str">
        <f t="shared" ca="1" si="72"/>
        <v/>
      </c>
      <c r="P98" s="408" t="str">
        <f t="shared" ca="1" si="72"/>
        <v/>
      </c>
      <c r="Q98" s="408" t="str">
        <f t="shared" ca="1" si="72"/>
        <v/>
      </c>
      <c r="R98" s="410" t="str">
        <f ca="1">Cluster!J117</f>
        <v>Selection</v>
      </c>
      <c r="S98" s="411" t="str">
        <f t="shared" ca="1" si="48"/>
        <v>-</v>
      </c>
      <c r="T98" s="412" t="str">
        <f t="shared" ca="1" si="49"/>
        <v/>
      </c>
      <c r="U98" s="411" t="str">
        <f t="shared" ca="1" si="50"/>
        <v>-</v>
      </c>
      <c r="V98" s="411" t="str">
        <f t="shared" ca="1" si="51"/>
        <v>-</v>
      </c>
      <c r="W98" s="413">
        <f>Cluster!N117</f>
        <v>0</v>
      </c>
      <c r="X98" s="414" t="str">
        <f t="shared" ca="1" si="52"/>
        <v>-</v>
      </c>
      <c r="Y98" s="411" t="str">
        <f t="shared" ca="1" si="53"/>
        <v>-</v>
      </c>
      <c r="Z98" s="415" t="str">
        <f t="shared" ca="1" si="54"/>
        <v>-</v>
      </c>
      <c r="AA98" s="416" t="str">
        <f t="shared" ca="1" si="55"/>
        <v>-</v>
      </c>
      <c r="AB98" s="416" t="str">
        <f t="shared" ca="1" si="56"/>
        <v/>
      </c>
      <c r="AC98" s="434">
        <f>Cluster!Q117</f>
        <v>0</v>
      </c>
      <c r="AD98" s="435" t="str">
        <f t="shared" ca="1" si="73"/>
        <v/>
      </c>
      <c r="AE98" s="436" t="str">
        <f t="shared" ca="1" si="73"/>
        <v/>
      </c>
      <c r="AF98" s="437" t="str">
        <f t="shared" ca="1" si="57"/>
        <v>-</v>
      </c>
      <c r="AG98" s="438" t="str">
        <f t="shared" ca="1" si="58"/>
        <v>-</v>
      </c>
      <c r="AH98" s="437" t="str">
        <f t="shared" ca="1" si="59"/>
        <v>-</v>
      </c>
      <c r="AI98" s="438" t="str">
        <f t="shared" ca="1" si="60"/>
        <v>-</v>
      </c>
      <c r="AJ98" s="438" t="str">
        <f t="shared" ca="1" si="61"/>
        <v>-</v>
      </c>
      <c r="AK98" s="439" t="str">
        <f ca="1">IFERROR(AE98*AD98*AL98/(IF(Cluster!AA117=Cluster!$W$8,Cluster!$W$10,IF(Cluster!AA117=Cluster!$X$8,Cluster!$X$10,IF(Cluster!AA117=Cluster!$Y$8,Cluster!$Y$10,0)))*10^3),"-")</f>
        <v>-</v>
      </c>
      <c r="AL98" s="440" t="str">
        <f ca="1">IFERROR(IF(OR(Calculation!T98&lt;(Calculation!$U$8+2),Calculation!AC98="Bypass"),IF((IF(Calculation!$O$6/((Calculation!AD98*10^-12)/(Calculation!T98*10^-9)*50)&lt;=1,1,ROUNDUP(Calculation!$O$6/((Calculation!AD98*10^-12)/(Calculation!T98*10^-9)*50),0))*50)&lt;Calculation!$AK$6,Calculation!$AK$6,IF(Calculation!$O$6/((Calculation!AD98*10^-12)/(Calculation!T98*10^-9)*50)&lt;=1,1,ROUNDUP(Calculation!$O$6/((Calculation!AD98*10^-12)/(Calculation!T98*10^-9)*50),0))*50),"-"),"-")</f>
        <v>-</v>
      </c>
      <c r="AM98" s="441" t="str">
        <f t="shared" ca="1" si="74"/>
        <v/>
      </c>
      <c r="AN98" s="442" t="str">
        <f t="shared" ca="1" si="74"/>
        <v/>
      </c>
      <c r="AO98" s="432">
        <f t="shared" ca="1" si="62"/>
        <v>384</v>
      </c>
      <c r="AP98" s="427" t="str">
        <f t="shared" ca="1" si="63"/>
        <v>-</v>
      </c>
      <c r="AQ98" s="443" t="str">
        <f t="shared" ca="1" si="64"/>
        <v>-</v>
      </c>
      <c r="AR98" s="444" t="str">
        <f t="shared" ca="1" si="65"/>
        <v>-</v>
      </c>
      <c r="AS98" s="430" t="str">
        <f t="shared" ca="1" si="66"/>
        <v>-</v>
      </c>
      <c r="AT98" s="431"/>
      <c r="AU98" s="431"/>
      <c r="AV98" s="432">
        <v>89</v>
      </c>
      <c r="AW98" s="433" t="e">
        <f>ListAndConversion!S91</f>
        <v>#DIV/0!</v>
      </c>
      <c r="AX98" s="432" t="e">
        <f>IF(AW98="-","-",IF(COUNTIF(ListAndConversion!$F$3:$M$386,Calculation!AW98)=0,"Missing Lane","OK"))</f>
        <v>#DIV/0!</v>
      </c>
      <c r="AY98" s="433" t="str">
        <f>IFERROR(VLOOKUP(AW98,ListAndConversion!$F$3:$O$386,9,0),"-")</f>
        <v>-</v>
      </c>
      <c r="AZ98" s="433" t="str">
        <f>IFERROR(VLOOKUP(AW98,ListAndConversion!$F$3:$O$386,10,0),"-")</f>
        <v>-</v>
      </c>
      <c r="BA98" s="433" t="e">
        <f t="shared" si="67"/>
        <v>#DIV/0!</v>
      </c>
      <c r="BB98" s="433" t="str">
        <f t="shared" si="68"/>
        <v>-</v>
      </c>
      <c r="BC98" s="433" t="str">
        <f t="shared" si="69"/>
        <v/>
      </c>
    </row>
    <row r="99" spans="1:55" ht="14.25" x14ac:dyDescent="0.65">
      <c r="A99" s="407">
        <v>91</v>
      </c>
      <c r="B99" s="408" t="str">
        <f t="shared" ca="1" si="47"/>
        <v/>
      </c>
      <c r="C99" s="408" t="str">
        <f ca="1">IFERROR(IF(G99="","",CONCATENATE(E99,"-",INDEX(Coordinate,MATCH(F99,ListAndConversion!$X$4:$X$99,0),2))),"")</f>
        <v/>
      </c>
      <c r="D99" s="408" t="str">
        <f t="shared" ca="1" si="71"/>
        <v/>
      </c>
      <c r="E99" s="408" t="str">
        <f t="shared" ca="1" si="71"/>
        <v/>
      </c>
      <c r="F99" s="408" t="str">
        <f t="shared" ca="1" si="71"/>
        <v/>
      </c>
      <c r="G99" s="408" t="str">
        <f ca="1">IFERROR(INDEX(ListAndConversion!A:B,MATCH(Calculation!E99,ListAndConversion!A:A,0),2),"")</f>
        <v/>
      </c>
      <c r="H99" s="408" t="str">
        <f>IF(TrackIT_Lines!AD91="","",TrackIT_Lines!AD91)</f>
        <v/>
      </c>
      <c r="I99" s="408" t="str">
        <f>IF(TrackIT_Lines!AD91="","",CONCATENATE(TrackIT_Lines!AD91,"-",TrackIT_Lines!AG91))</f>
        <v/>
      </c>
      <c r="J99" s="409" t="str">
        <f t="shared" ca="1" si="72"/>
        <v/>
      </c>
      <c r="K99" s="408" t="str">
        <f t="shared" ca="1" si="72"/>
        <v/>
      </c>
      <c r="L99" s="408" t="str">
        <f t="shared" ca="1" si="72"/>
        <v/>
      </c>
      <c r="M99" s="408" t="str">
        <f t="shared" ca="1" si="72"/>
        <v/>
      </c>
      <c r="N99" s="408" t="str">
        <f t="shared" ca="1" si="72"/>
        <v/>
      </c>
      <c r="O99" s="408" t="str">
        <f t="shared" ca="1" si="72"/>
        <v/>
      </c>
      <c r="P99" s="408" t="str">
        <f t="shared" ca="1" si="72"/>
        <v/>
      </c>
      <c r="Q99" s="408" t="str">
        <f t="shared" ca="1" si="72"/>
        <v/>
      </c>
      <c r="R99" s="410" t="str">
        <f ca="1">Cluster!J118</f>
        <v>Selection</v>
      </c>
      <c r="S99" s="411" t="str">
        <f t="shared" ca="1" si="48"/>
        <v>-</v>
      </c>
      <c r="T99" s="412" t="str">
        <f t="shared" ca="1" si="49"/>
        <v/>
      </c>
      <c r="U99" s="411" t="str">
        <f t="shared" ca="1" si="50"/>
        <v>-</v>
      </c>
      <c r="V99" s="411" t="str">
        <f t="shared" ca="1" si="51"/>
        <v>-</v>
      </c>
      <c r="W99" s="413">
        <f>Cluster!N118</f>
        <v>0</v>
      </c>
      <c r="X99" s="414" t="str">
        <f t="shared" ca="1" si="52"/>
        <v>-</v>
      </c>
      <c r="Y99" s="411" t="str">
        <f t="shared" ca="1" si="53"/>
        <v>-</v>
      </c>
      <c r="Z99" s="415" t="str">
        <f t="shared" ca="1" si="54"/>
        <v>-</v>
      </c>
      <c r="AA99" s="416" t="str">
        <f t="shared" ca="1" si="55"/>
        <v>-</v>
      </c>
      <c r="AB99" s="416" t="str">
        <f t="shared" ca="1" si="56"/>
        <v/>
      </c>
      <c r="AC99" s="434">
        <f>Cluster!Q118</f>
        <v>0</v>
      </c>
      <c r="AD99" s="435" t="str">
        <f t="shared" ca="1" si="73"/>
        <v/>
      </c>
      <c r="AE99" s="436" t="str">
        <f t="shared" ca="1" si="73"/>
        <v/>
      </c>
      <c r="AF99" s="437" t="str">
        <f t="shared" ca="1" si="57"/>
        <v>-</v>
      </c>
      <c r="AG99" s="438" t="str">
        <f t="shared" ca="1" si="58"/>
        <v>-</v>
      </c>
      <c r="AH99" s="437" t="str">
        <f t="shared" ca="1" si="59"/>
        <v>-</v>
      </c>
      <c r="AI99" s="438" t="str">
        <f t="shared" ca="1" si="60"/>
        <v>-</v>
      </c>
      <c r="AJ99" s="438" t="str">
        <f t="shared" ca="1" si="61"/>
        <v>-</v>
      </c>
      <c r="AK99" s="439" t="str">
        <f ca="1">IFERROR(AE99*AD99*AL99/(IF(Cluster!AA118=Cluster!$W$8,Cluster!$W$10,IF(Cluster!AA118=Cluster!$X$8,Cluster!$X$10,IF(Cluster!AA118=Cluster!$Y$8,Cluster!$Y$10,0)))*10^3),"-")</f>
        <v>-</v>
      </c>
      <c r="AL99" s="440" t="str">
        <f ca="1">IFERROR(IF(OR(Calculation!T99&lt;(Calculation!$U$8+2),Calculation!AC99="Bypass"),IF((IF(Calculation!$O$6/((Calculation!AD99*10^-12)/(Calculation!T99*10^-9)*50)&lt;=1,1,ROUNDUP(Calculation!$O$6/((Calculation!AD99*10^-12)/(Calculation!T99*10^-9)*50),0))*50)&lt;Calculation!$AK$6,Calculation!$AK$6,IF(Calculation!$O$6/((Calculation!AD99*10^-12)/(Calculation!T99*10^-9)*50)&lt;=1,1,ROUNDUP(Calculation!$O$6/((Calculation!AD99*10^-12)/(Calculation!T99*10^-9)*50),0))*50),"-"),"-")</f>
        <v>-</v>
      </c>
      <c r="AM99" s="441" t="str">
        <f t="shared" ca="1" si="74"/>
        <v/>
      </c>
      <c r="AN99" s="442" t="str">
        <f t="shared" ca="1" si="74"/>
        <v/>
      </c>
      <c r="AO99" s="432">
        <f t="shared" ca="1" si="62"/>
        <v>384</v>
      </c>
      <c r="AP99" s="427" t="str">
        <f t="shared" ca="1" si="63"/>
        <v>-</v>
      </c>
      <c r="AQ99" s="443" t="str">
        <f t="shared" ca="1" si="64"/>
        <v>-</v>
      </c>
      <c r="AR99" s="444" t="str">
        <f t="shared" ca="1" si="65"/>
        <v>-</v>
      </c>
      <c r="AS99" s="430" t="str">
        <f t="shared" ca="1" si="66"/>
        <v>-</v>
      </c>
      <c r="AT99" s="431"/>
      <c r="AU99" s="431"/>
      <c r="AV99" s="432">
        <v>90</v>
      </c>
      <c r="AW99" s="433" t="e">
        <f>ListAndConversion!S92</f>
        <v>#DIV/0!</v>
      </c>
      <c r="AX99" s="432" t="e">
        <f>IF(AW99="-","-",IF(COUNTIF(ListAndConversion!$F$3:$M$386,Calculation!AW99)=0,"Missing Lane","OK"))</f>
        <v>#DIV/0!</v>
      </c>
      <c r="AY99" s="433" t="str">
        <f>IFERROR(VLOOKUP(AW99,ListAndConversion!$F$3:$O$386,9,0),"-")</f>
        <v>-</v>
      </c>
      <c r="AZ99" s="433" t="str">
        <f>IFERROR(VLOOKUP(AW99,ListAndConversion!$F$3:$O$386,10,0),"-")</f>
        <v>-</v>
      </c>
      <c r="BA99" s="433" t="e">
        <f t="shared" si="67"/>
        <v>#DIV/0!</v>
      </c>
      <c r="BB99" s="433" t="str">
        <f t="shared" si="68"/>
        <v>-</v>
      </c>
      <c r="BC99" s="433" t="str">
        <f t="shared" si="69"/>
        <v/>
      </c>
    </row>
    <row r="100" spans="1:55" ht="14.25" x14ac:dyDescent="0.65">
      <c r="A100" s="407">
        <v>92</v>
      </c>
      <c r="B100" s="408" t="str">
        <f t="shared" ca="1" si="47"/>
        <v/>
      </c>
      <c r="C100" s="408" t="str">
        <f ca="1">IFERROR(IF(G100="","",CONCATENATE(E100,"-",INDEX(Coordinate,MATCH(F100,ListAndConversion!$X$4:$X$99,0),2))),"")</f>
        <v/>
      </c>
      <c r="D100" s="408" t="str">
        <f t="shared" ca="1" si="71"/>
        <v/>
      </c>
      <c r="E100" s="408" t="str">
        <f t="shared" ca="1" si="71"/>
        <v/>
      </c>
      <c r="F100" s="408" t="str">
        <f t="shared" ca="1" si="71"/>
        <v/>
      </c>
      <c r="G100" s="408" t="str">
        <f ca="1">IFERROR(INDEX(ListAndConversion!A:B,MATCH(Calculation!E100,ListAndConversion!A:A,0),2),"")</f>
        <v/>
      </c>
      <c r="H100" s="408" t="str">
        <f>IF(TrackIT_Lines!AD92="","",TrackIT_Lines!AD92)</f>
        <v/>
      </c>
      <c r="I100" s="408" t="str">
        <f>IF(TrackIT_Lines!AD92="","",CONCATENATE(TrackIT_Lines!AD92,"-",TrackIT_Lines!AG92))</f>
        <v/>
      </c>
      <c r="J100" s="409" t="str">
        <f t="shared" ref="J100:Q109" ca="1" si="75">IF((INDIRECT("TrackIT_Lines!"&amp;J$2&amp;$A100))="","", (INDIRECT("TrackIT_Lines!"&amp;J$2&amp;$A100)))</f>
        <v/>
      </c>
      <c r="K100" s="408" t="str">
        <f t="shared" ca="1" si="75"/>
        <v/>
      </c>
      <c r="L100" s="408" t="str">
        <f t="shared" ca="1" si="75"/>
        <v/>
      </c>
      <c r="M100" s="408" t="str">
        <f t="shared" ca="1" si="75"/>
        <v/>
      </c>
      <c r="N100" s="408" t="str">
        <f t="shared" ca="1" si="75"/>
        <v/>
      </c>
      <c r="O100" s="408" t="str">
        <f t="shared" ca="1" si="75"/>
        <v/>
      </c>
      <c r="P100" s="408" t="str">
        <f t="shared" ca="1" si="75"/>
        <v/>
      </c>
      <c r="Q100" s="408" t="str">
        <f t="shared" ca="1" si="75"/>
        <v/>
      </c>
      <c r="R100" s="410" t="str">
        <f ca="1">Cluster!J119</f>
        <v>Selection</v>
      </c>
      <c r="S100" s="411" t="str">
        <f t="shared" ca="1" si="48"/>
        <v>-</v>
      </c>
      <c r="T100" s="412" t="str">
        <f t="shared" ca="1" si="49"/>
        <v/>
      </c>
      <c r="U100" s="411" t="str">
        <f t="shared" ca="1" si="50"/>
        <v>-</v>
      </c>
      <c r="V100" s="411" t="str">
        <f t="shared" ca="1" si="51"/>
        <v>-</v>
      </c>
      <c r="W100" s="413">
        <f>Cluster!N119</f>
        <v>0</v>
      </c>
      <c r="X100" s="414" t="str">
        <f t="shared" ca="1" si="52"/>
        <v>-</v>
      </c>
      <c r="Y100" s="411" t="str">
        <f t="shared" ca="1" si="53"/>
        <v>-</v>
      </c>
      <c r="Z100" s="415" t="str">
        <f t="shared" ca="1" si="54"/>
        <v>-</v>
      </c>
      <c r="AA100" s="416" t="str">
        <f t="shared" ca="1" si="55"/>
        <v>-</v>
      </c>
      <c r="AB100" s="416" t="str">
        <f t="shared" ca="1" si="56"/>
        <v/>
      </c>
      <c r="AC100" s="434">
        <f>Cluster!Q119</f>
        <v>0</v>
      </c>
      <c r="AD100" s="435" t="str">
        <f t="shared" ca="1" si="73"/>
        <v/>
      </c>
      <c r="AE100" s="436" t="str">
        <f t="shared" ca="1" si="73"/>
        <v/>
      </c>
      <c r="AF100" s="437" t="str">
        <f t="shared" ca="1" si="57"/>
        <v>-</v>
      </c>
      <c r="AG100" s="438" t="str">
        <f t="shared" ca="1" si="58"/>
        <v>-</v>
      </c>
      <c r="AH100" s="437" t="str">
        <f t="shared" ca="1" si="59"/>
        <v>-</v>
      </c>
      <c r="AI100" s="438" t="str">
        <f t="shared" ca="1" si="60"/>
        <v>-</v>
      </c>
      <c r="AJ100" s="438" t="str">
        <f t="shared" ca="1" si="61"/>
        <v>-</v>
      </c>
      <c r="AK100" s="439" t="str">
        <f ca="1">IFERROR(AE100*AD100*AL100/(IF(Cluster!AA119=Cluster!$W$8,Cluster!$W$10,IF(Cluster!AA119=Cluster!$X$8,Cluster!$X$10,IF(Cluster!AA119=Cluster!$Y$8,Cluster!$Y$10,0)))*10^3),"-")</f>
        <v>-</v>
      </c>
      <c r="AL100" s="440" t="str">
        <f ca="1">IFERROR(IF(OR(Calculation!T100&lt;(Calculation!$U$8+2),Calculation!AC100="Bypass"),IF((IF(Calculation!$O$6/((Calculation!AD100*10^-12)/(Calculation!T100*10^-9)*50)&lt;=1,1,ROUNDUP(Calculation!$O$6/((Calculation!AD100*10^-12)/(Calculation!T100*10^-9)*50),0))*50)&lt;Calculation!$AK$6,Calculation!$AK$6,IF(Calculation!$O$6/((Calculation!AD100*10^-12)/(Calculation!T100*10^-9)*50)&lt;=1,1,ROUNDUP(Calculation!$O$6/((Calculation!AD100*10^-12)/(Calculation!T100*10^-9)*50),0))*50),"-"),"-")</f>
        <v>-</v>
      </c>
      <c r="AM100" s="441" t="str">
        <f t="shared" ca="1" si="74"/>
        <v/>
      </c>
      <c r="AN100" s="442" t="str">
        <f t="shared" ca="1" si="74"/>
        <v/>
      </c>
      <c r="AO100" s="432">
        <f t="shared" ca="1" si="62"/>
        <v>384</v>
      </c>
      <c r="AP100" s="427" t="str">
        <f t="shared" ca="1" si="63"/>
        <v>-</v>
      </c>
      <c r="AQ100" s="443" t="str">
        <f t="shared" ca="1" si="64"/>
        <v>-</v>
      </c>
      <c r="AR100" s="444" t="str">
        <f t="shared" ca="1" si="65"/>
        <v>-</v>
      </c>
      <c r="AS100" s="430" t="str">
        <f t="shared" ca="1" si="66"/>
        <v>-</v>
      </c>
      <c r="AT100" s="431"/>
      <c r="AU100" s="431"/>
      <c r="AV100" s="432">
        <v>91</v>
      </c>
      <c r="AW100" s="433" t="e">
        <f>ListAndConversion!S93</f>
        <v>#DIV/0!</v>
      </c>
      <c r="AX100" s="432" t="e">
        <f>IF(AW100="-","-",IF(COUNTIF(ListAndConversion!$F$3:$M$386,Calculation!AW100)=0,"Missing Lane","OK"))</f>
        <v>#DIV/0!</v>
      </c>
      <c r="AY100" s="433" t="str">
        <f>IFERROR(VLOOKUP(AW100,ListAndConversion!$F$3:$O$386,9,0),"-")</f>
        <v>-</v>
      </c>
      <c r="AZ100" s="433" t="str">
        <f>IFERROR(VLOOKUP(AW100,ListAndConversion!$F$3:$O$386,10,0),"-")</f>
        <v>-</v>
      </c>
      <c r="BA100" s="433" t="e">
        <f t="shared" si="67"/>
        <v>#DIV/0!</v>
      </c>
      <c r="BB100" s="433" t="str">
        <f t="shared" si="68"/>
        <v>-</v>
      </c>
      <c r="BC100" s="433" t="str">
        <f t="shared" si="69"/>
        <v/>
      </c>
    </row>
    <row r="101" spans="1:55" ht="14.25" x14ac:dyDescent="0.65">
      <c r="A101" s="407">
        <v>93</v>
      </c>
      <c r="B101" s="408" t="str">
        <f t="shared" ca="1" si="47"/>
        <v/>
      </c>
      <c r="C101" s="408" t="str">
        <f ca="1">IFERROR(IF(G101="","",CONCATENATE(E101,"-",INDEX(Coordinate,MATCH(F101,ListAndConversion!$X$4:$X$99,0),2))),"")</f>
        <v/>
      </c>
      <c r="D101" s="408" t="str">
        <f t="shared" ca="1" si="71"/>
        <v/>
      </c>
      <c r="E101" s="408" t="str">
        <f t="shared" ca="1" si="71"/>
        <v/>
      </c>
      <c r="F101" s="408" t="str">
        <f t="shared" ca="1" si="71"/>
        <v/>
      </c>
      <c r="G101" s="408" t="str">
        <f ca="1">IFERROR(INDEX(ListAndConversion!A:B,MATCH(Calculation!E101,ListAndConversion!A:A,0),2),"")</f>
        <v/>
      </c>
      <c r="H101" s="408" t="str">
        <f>IF(TrackIT_Lines!AD93="","",TrackIT_Lines!AD93)</f>
        <v/>
      </c>
      <c r="I101" s="408" t="str">
        <f>IF(TrackIT_Lines!AD93="","",CONCATENATE(TrackIT_Lines!AD93,"-",TrackIT_Lines!AG93))</f>
        <v/>
      </c>
      <c r="J101" s="409" t="str">
        <f t="shared" ca="1" si="75"/>
        <v/>
      </c>
      <c r="K101" s="408" t="str">
        <f t="shared" ca="1" si="75"/>
        <v/>
      </c>
      <c r="L101" s="408" t="str">
        <f t="shared" ca="1" si="75"/>
        <v/>
      </c>
      <c r="M101" s="408" t="str">
        <f t="shared" ca="1" si="75"/>
        <v/>
      </c>
      <c r="N101" s="408" t="str">
        <f t="shared" ca="1" si="75"/>
        <v/>
      </c>
      <c r="O101" s="408" t="str">
        <f t="shared" ca="1" si="75"/>
        <v/>
      </c>
      <c r="P101" s="408" t="str">
        <f t="shared" ca="1" si="75"/>
        <v/>
      </c>
      <c r="Q101" s="408" t="str">
        <f t="shared" ca="1" si="75"/>
        <v/>
      </c>
      <c r="R101" s="410" t="str">
        <f ca="1">Cluster!J120</f>
        <v>Selection</v>
      </c>
      <c r="S101" s="411" t="str">
        <f t="shared" ca="1" si="48"/>
        <v>-</v>
      </c>
      <c r="T101" s="412" t="str">
        <f t="shared" ca="1" si="49"/>
        <v/>
      </c>
      <c r="U101" s="411" t="str">
        <f t="shared" ca="1" si="50"/>
        <v>-</v>
      </c>
      <c r="V101" s="411" t="str">
        <f t="shared" ca="1" si="51"/>
        <v>-</v>
      </c>
      <c r="W101" s="413">
        <f>Cluster!N120</f>
        <v>0</v>
      </c>
      <c r="X101" s="414" t="str">
        <f t="shared" ca="1" si="52"/>
        <v>-</v>
      </c>
      <c r="Y101" s="411" t="str">
        <f t="shared" ca="1" si="53"/>
        <v>-</v>
      </c>
      <c r="Z101" s="415" t="str">
        <f t="shared" ca="1" si="54"/>
        <v>-</v>
      </c>
      <c r="AA101" s="416" t="str">
        <f t="shared" ca="1" si="55"/>
        <v>-</v>
      </c>
      <c r="AB101" s="416" t="str">
        <f t="shared" ca="1" si="56"/>
        <v/>
      </c>
      <c r="AC101" s="434">
        <f>Cluster!Q120</f>
        <v>0</v>
      </c>
      <c r="AD101" s="435" t="str">
        <f t="shared" ca="1" si="73"/>
        <v/>
      </c>
      <c r="AE101" s="436" t="str">
        <f t="shared" ca="1" si="73"/>
        <v/>
      </c>
      <c r="AF101" s="437" t="str">
        <f t="shared" ca="1" si="57"/>
        <v>-</v>
      </c>
      <c r="AG101" s="438" t="str">
        <f t="shared" ca="1" si="58"/>
        <v>-</v>
      </c>
      <c r="AH101" s="437" t="str">
        <f t="shared" ca="1" si="59"/>
        <v>-</v>
      </c>
      <c r="AI101" s="438" t="str">
        <f t="shared" ca="1" si="60"/>
        <v>-</v>
      </c>
      <c r="AJ101" s="438" t="str">
        <f t="shared" ca="1" si="61"/>
        <v>-</v>
      </c>
      <c r="AK101" s="439" t="str">
        <f ca="1">IFERROR(AE101*AD101*AL101/(IF(Cluster!AA120=Cluster!$W$8,Cluster!$W$10,IF(Cluster!AA120=Cluster!$X$8,Cluster!$X$10,IF(Cluster!AA120=Cluster!$Y$8,Cluster!$Y$10,0)))*10^3),"-")</f>
        <v>-</v>
      </c>
      <c r="AL101" s="440" t="str">
        <f ca="1">IFERROR(IF(OR(Calculation!T101&lt;(Calculation!$U$8+2),Calculation!AC101="Bypass"),IF((IF(Calculation!$O$6/((Calculation!AD101*10^-12)/(Calculation!T101*10^-9)*50)&lt;=1,1,ROUNDUP(Calculation!$O$6/((Calculation!AD101*10^-12)/(Calculation!T101*10^-9)*50),0))*50)&lt;Calculation!$AK$6,Calculation!$AK$6,IF(Calculation!$O$6/((Calculation!AD101*10^-12)/(Calculation!T101*10^-9)*50)&lt;=1,1,ROUNDUP(Calculation!$O$6/((Calculation!AD101*10^-12)/(Calculation!T101*10^-9)*50),0))*50),"-"),"-")</f>
        <v>-</v>
      </c>
      <c r="AM101" s="441" t="str">
        <f t="shared" ca="1" si="74"/>
        <v/>
      </c>
      <c r="AN101" s="442" t="str">
        <f t="shared" ca="1" si="74"/>
        <v/>
      </c>
      <c r="AO101" s="432">
        <f t="shared" ca="1" si="62"/>
        <v>384</v>
      </c>
      <c r="AP101" s="427" t="str">
        <f t="shared" ca="1" si="63"/>
        <v>-</v>
      </c>
      <c r="AQ101" s="443" t="str">
        <f t="shared" ca="1" si="64"/>
        <v>-</v>
      </c>
      <c r="AR101" s="444" t="str">
        <f t="shared" ca="1" si="65"/>
        <v>-</v>
      </c>
      <c r="AS101" s="430" t="str">
        <f t="shared" ca="1" si="66"/>
        <v>-</v>
      </c>
      <c r="AT101" s="431"/>
      <c r="AU101" s="431"/>
      <c r="AV101" s="432">
        <v>92</v>
      </c>
      <c r="AW101" s="433" t="e">
        <f>ListAndConversion!S94</f>
        <v>#DIV/0!</v>
      </c>
      <c r="AX101" s="432" t="e">
        <f>IF(AW101="-","-",IF(COUNTIF(ListAndConversion!$F$3:$M$386,Calculation!AW101)=0,"Missing Lane","OK"))</f>
        <v>#DIV/0!</v>
      </c>
      <c r="AY101" s="433" t="str">
        <f>IFERROR(VLOOKUP(AW101,ListAndConversion!$F$3:$O$386,9,0),"-")</f>
        <v>-</v>
      </c>
      <c r="AZ101" s="433" t="str">
        <f>IFERROR(VLOOKUP(AW101,ListAndConversion!$F$3:$O$386,10,0),"-")</f>
        <v>-</v>
      </c>
      <c r="BA101" s="433" t="e">
        <f t="shared" si="67"/>
        <v>#DIV/0!</v>
      </c>
      <c r="BB101" s="433" t="str">
        <f t="shared" si="68"/>
        <v>-</v>
      </c>
      <c r="BC101" s="433" t="str">
        <f t="shared" si="69"/>
        <v/>
      </c>
    </row>
    <row r="102" spans="1:55" ht="14.25" x14ac:dyDescent="0.65">
      <c r="A102" s="407">
        <v>94</v>
      </c>
      <c r="B102" s="408" t="str">
        <f t="shared" ca="1" si="47"/>
        <v/>
      </c>
      <c r="C102" s="408" t="str">
        <f ca="1">IFERROR(IF(G102="","",CONCATENATE(E102,"-",INDEX(Coordinate,MATCH(F102,ListAndConversion!$X$4:$X$99,0),2))),"")</f>
        <v/>
      </c>
      <c r="D102" s="408" t="str">
        <f t="shared" ca="1" si="71"/>
        <v/>
      </c>
      <c r="E102" s="408" t="str">
        <f t="shared" ca="1" si="71"/>
        <v/>
      </c>
      <c r="F102" s="408" t="str">
        <f t="shared" ca="1" si="71"/>
        <v/>
      </c>
      <c r="G102" s="408" t="str">
        <f ca="1">IFERROR(INDEX(ListAndConversion!A:B,MATCH(Calculation!E102,ListAndConversion!A:A,0),2),"")</f>
        <v/>
      </c>
      <c r="H102" s="408" t="str">
        <f>IF(TrackIT_Lines!AD94="","",TrackIT_Lines!AD94)</f>
        <v/>
      </c>
      <c r="I102" s="408" t="str">
        <f>IF(TrackIT_Lines!AD94="","",CONCATENATE(TrackIT_Lines!AD94,"-",TrackIT_Lines!AG94))</f>
        <v/>
      </c>
      <c r="J102" s="409" t="str">
        <f t="shared" ca="1" si="75"/>
        <v/>
      </c>
      <c r="K102" s="408" t="str">
        <f t="shared" ca="1" si="75"/>
        <v/>
      </c>
      <c r="L102" s="408" t="str">
        <f t="shared" ca="1" si="75"/>
        <v/>
      </c>
      <c r="M102" s="408" t="str">
        <f t="shared" ca="1" si="75"/>
        <v/>
      </c>
      <c r="N102" s="408" t="str">
        <f t="shared" ca="1" si="75"/>
        <v/>
      </c>
      <c r="O102" s="408" t="str">
        <f t="shared" ca="1" si="75"/>
        <v/>
      </c>
      <c r="P102" s="408" t="str">
        <f t="shared" ca="1" si="75"/>
        <v/>
      </c>
      <c r="Q102" s="408" t="str">
        <f t="shared" ca="1" si="75"/>
        <v/>
      </c>
      <c r="R102" s="410" t="str">
        <f ca="1">Cluster!J121</f>
        <v>Selection</v>
      </c>
      <c r="S102" s="411" t="str">
        <f t="shared" ca="1" si="48"/>
        <v>-</v>
      </c>
      <c r="T102" s="412" t="str">
        <f t="shared" ca="1" si="49"/>
        <v/>
      </c>
      <c r="U102" s="411" t="str">
        <f t="shared" ca="1" si="50"/>
        <v>-</v>
      </c>
      <c r="V102" s="411" t="str">
        <f t="shared" ca="1" si="51"/>
        <v>-</v>
      </c>
      <c r="W102" s="413">
        <f>Cluster!N121</f>
        <v>0</v>
      </c>
      <c r="X102" s="414" t="str">
        <f t="shared" ca="1" si="52"/>
        <v>-</v>
      </c>
      <c r="Y102" s="411" t="str">
        <f t="shared" ca="1" si="53"/>
        <v>-</v>
      </c>
      <c r="Z102" s="415" t="str">
        <f t="shared" ca="1" si="54"/>
        <v>-</v>
      </c>
      <c r="AA102" s="416" t="str">
        <f t="shared" ca="1" si="55"/>
        <v>-</v>
      </c>
      <c r="AB102" s="416" t="str">
        <f t="shared" ca="1" si="56"/>
        <v/>
      </c>
      <c r="AC102" s="434">
        <f>Cluster!Q121</f>
        <v>0</v>
      </c>
      <c r="AD102" s="435" t="str">
        <f t="shared" ca="1" si="73"/>
        <v/>
      </c>
      <c r="AE102" s="436" t="str">
        <f t="shared" ca="1" si="73"/>
        <v/>
      </c>
      <c r="AF102" s="437" t="str">
        <f t="shared" ca="1" si="57"/>
        <v>-</v>
      </c>
      <c r="AG102" s="438" t="str">
        <f t="shared" ca="1" si="58"/>
        <v>-</v>
      </c>
      <c r="AH102" s="437" t="str">
        <f t="shared" ca="1" si="59"/>
        <v>-</v>
      </c>
      <c r="AI102" s="438" t="str">
        <f t="shared" ca="1" si="60"/>
        <v>-</v>
      </c>
      <c r="AJ102" s="438" t="str">
        <f t="shared" ca="1" si="61"/>
        <v>-</v>
      </c>
      <c r="AK102" s="439" t="str">
        <f ca="1">IFERROR(AE102*AD102*AL102/(IF(Cluster!AA121=Cluster!$W$8,Cluster!$W$10,IF(Cluster!AA121=Cluster!$X$8,Cluster!$X$10,IF(Cluster!AA121=Cluster!$Y$8,Cluster!$Y$10,0)))*10^3),"-")</f>
        <v>-</v>
      </c>
      <c r="AL102" s="440" t="str">
        <f ca="1">IFERROR(IF(OR(Calculation!T102&lt;(Calculation!$U$8+2),Calculation!AC102="Bypass"),IF((IF(Calculation!$O$6/((Calculation!AD102*10^-12)/(Calculation!T102*10^-9)*50)&lt;=1,1,ROUNDUP(Calculation!$O$6/((Calculation!AD102*10^-12)/(Calculation!T102*10^-9)*50),0))*50)&lt;Calculation!$AK$6,Calculation!$AK$6,IF(Calculation!$O$6/((Calculation!AD102*10^-12)/(Calculation!T102*10^-9)*50)&lt;=1,1,ROUNDUP(Calculation!$O$6/((Calculation!AD102*10^-12)/(Calculation!T102*10^-9)*50),0))*50),"-"),"-")</f>
        <v>-</v>
      </c>
      <c r="AM102" s="441" t="str">
        <f t="shared" ca="1" si="74"/>
        <v/>
      </c>
      <c r="AN102" s="442" t="str">
        <f t="shared" ca="1" si="74"/>
        <v/>
      </c>
      <c r="AO102" s="432">
        <f t="shared" ca="1" si="62"/>
        <v>384</v>
      </c>
      <c r="AP102" s="427" t="str">
        <f t="shared" ca="1" si="63"/>
        <v>-</v>
      </c>
      <c r="AQ102" s="443" t="str">
        <f t="shared" ca="1" si="64"/>
        <v>-</v>
      </c>
      <c r="AR102" s="444" t="str">
        <f t="shared" ca="1" si="65"/>
        <v>-</v>
      </c>
      <c r="AS102" s="430" t="str">
        <f t="shared" ca="1" si="66"/>
        <v>-</v>
      </c>
      <c r="AT102" s="431"/>
      <c r="AU102" s="431"/>
      <c r="AV102" s="432">
        <v>93</v>
      </c>
      <c r="AW102" s="433" t="e">
        <f>ListAndConversion!S95</f>
        <v>#DIV/0!</v>
      </c>
      <c r="AX102" s="432" t="e">
        <f>IF(AW102="-","-",IF(COUNTIF(ListAndConversion!$F$3:$M$386,Calculation!AW102)=0,"Missing Lane","OK"))</f>
        <v>#DIV/0!</v>
      </c>
      <c r="AY102" s="433" t="str">
        <f>IFERROR(VLOOKUP(AW102,ListAndConversion!$F$3:$O$386,9,0),"-")</f>
        <v>-</v>
      </c>
      <c r="AZ102" s="433" t="str">
        <f>IFERROR(VLOOKUP(AW102,ListAndConversion!$F$3:$O$386,10,0),"-")</f>
        <v>-</v>
      </c>
      <c r="BA102" s="433" t="e">
        <f t="shared" si="67"/>
        <v>#DIV/0!</v>
      </c>
      <c r="BB102" s="433" t="str">
        <f t="shared" si="68"/>
        <v>-</v>
      </c>
      <c r="BC102" s="433" t="str">
        <f t="shared" si="69"/>
        <v/>
      </c>
    </row>
    <row r="103" spans="1:55" ht="14.25" x14ac:dyDescent="0.65">
      <c r="A103" s="407">
        <v>95</v>
      </c>
      <c r="B103" s="408" t="str">
        <f t="shared" ca="1" si="47"/>
        <v/>
      </c>
      <c r="C103" s="408" t="str">
        <f ca="1">IFERROR(IF(G103="","",CONCATENATE(E103,"-",INDEX(Coordinate,MATCH(F103,ListAndConversion!$X$4:$X$99,0),2))),"")</f>
        <v/>
      </c>
      <c r="D103" s="408" t="str">
        <f t="shared" ca="1" si="71"/>
        <v/>
      </c>
      <c r="E103" s="408" t="str">
        <f t="shared" ca="1" si="71"/>
        <v/>
      </c>
      <c r="F103" s="408" t="str">
        <f t="shared" ca="1" si="71"/>
        <v/>
      </c>
      <c r="G103" s="408" t="str">
        <f ca="1">IFERROR(INDEX(ListAndConversion!A:B,MATCH(Calculation!E103,ListAndConversion!A:A,0),2),"")</f>
        <v/>
      </c>
      <c r="H103" s="408" t="str">
        <f>IF(TrackIT_Lines!AD95="","",TrackIT_Lines!AD95)</f>
        <v/>
      </c>
      <c r="I103" s="408" t="str">
        <f>IF(TrackIT_Lines!AD95="","",CONCATENATE(TrackIT_Lines!AD95,"-",TrackIT_Lines!AG95))</f>
        <v/>
      </c>
      <c r="J103" s="409" t="str">
        <f t="shared" ca="1" si="75"/>
        <v/>
      </c>
      <c r="K103" s="408" t="str">
        <f t="shared" ca="1" si="75"/>
        <v/>
      </c>
      <c r="L103" s="408" t="str">
        <f t="shared" ca="1" si="75"/>
        <v/>
      </c>
      <c r="M103" s="408" t="str">
        <f t="shared" ca="1" si="75"/>
        <v/>
      </c>
      <c r="N103" s="408" t="str">
        <f t="shared" ca="1" si="75"/>
        <v/>
      </c>
      <c r="O103" s="408" t="str">
        <f t="shared" ca="1" si="75"/>
        <v/>
      </c>
      <c r="P103" s="408" t="str">
        <f t="shared" ca="1" si="75"/>
        <v/>
      </c>
      <c r="Q103" s="408" t="str">
        <f t="shared" ca="1" si="75"/>
        <v/>
      </c>
      <c r="R103" s="410" t="str">
        <f ca="1">Cluster!J122</f>
        <v>Selection</v>
      </c>
      <c r="S103" s="411" t="str">
        <f t="shared" ca="1" si="48"/>
        <v>-</v>
      </c>
      <c r="T103" s="412" t="str">
        <f t="shared" ca="1" si="49"/>
        <v/>
      </c>
      <c r="U103" s="411" t="str">
        <f t="shared" ca="1" si="50"/>
        <v>-</v>
      </c>
      <c r="V103" s="411" t="str">
        <f t="shared" ca="1" si="51"/>
        <v>-</v>
      </c>
      <c r="W103" s="413">
        <f>Cluster!N122</f>
        <v>0</v>
      </c>
      <c r="X103" s="414" t="str">
        <f t="shared" ca="1" si="52"/>
        <v>-</v>
      </c>
      <c r="Y103" s="411" t="str">
        <f t="shared" ca="1" si="53"/>
        <v>-</v>
      </c>
      <c r="Z103" s="415" t="str">
        <f t="shared" ca="1" si="54"/>
        <v>-</v>
      </c>
      <c r="AA103" s="416" t="str">
        <f t="shared" ca="1" si="55"/>
        <v>-</v>
      </c>
      <c r="AB103" s="416" t="str">
        <f t="shared" ca="1" si="56"/>
        <v/>
      </c>
      <c r="AC103" s="434">
        <f>Cluster!Q122</f>
        <v>0</v>
      </c>
      <c r="AD103" s="435" t="str">
        <f t="shared" ca="1" si="73"/>
        <v/>
      </c>
      <c r="AE103" s="436" t="str">
        <f t="shared" ca="1" si="73"/>
        <v/>
      </c>
      <c r="AF103" s="437" t="str">
        <f t="shared" ca="1" si="57"/>
        <v>-</v>
      </c>
      <c r="AG103" s="438" t="str">
        <f t="shared" ca="1" si="58"/>
        <v>-</v>
      </c>
      <c r="AH103" s="437" t="str">
        <f t="shared" ca="1" si="59"/>
        <v>-</v>
      </c>
      <c r="AI103" s="438" t="str">
        <f t="shared" ca="1" si="60"/>
        <v>-</v>
      </c>
      <c r="AJ103" s="438" t="str">
        <f t="shared" ca="1" si="61"/>
        <v>-</v>
      </c>
      <c r="AK103" s="439" t="str">
        <f ca="1">IFERROR(AE103*AD103*AL103/(IF(Cluster!AA122=Cluster!$W$8,Cluster!$W$10,IF(Cluster!AA122=Cluster!$X$8,Cluster!$X$10,IF(Cluster!AA122=Cluster!$Y$8,Cluster!$Y$10,0)))*10^3),"-")</f>
        <v>-</v>
      </c>
      <c r="AL103" s="440" t="str">
        <f ca="1">IFERROR(IF(OR(Calculation!T103&lt;(Calculation!$U$8+2),Calculation!AC103="Bypass"),IF((IF(Calculation!$O$6/((Calculation!AD103*10^-12)/(Calculation!T103*10^-9)*50)&lt;=1,1,ROUNDUP(Calculation!$O$6/((Calculation!AD103*10^-12)/(Calculation!T103*10^-9)*50),0))*50)&lt;Calculation!$AK$6,Calculation!$AK$6,IF(Calculation!$O$6/((Calculation!AD103*10^-12)/(Calculation!T103*10^-9)*50)&lt;=1,1,ROUNDUP(Calculation!$O$6/((Calculation!AD103*10^-12)/(Calculation!T103*10^-9)*50),0))*50),"-"),"-")</f>
        <v>-</v>
      </c>
      <c r="AM103" s="441" t="str">
        <f t="shared" ca="1" si="74"/>
        <v/>
      </c>
      <c r="AN103" s="442" t="str">
        <f t="shared" ca="1" si="74"/>
        <v/>
      </c>
      <c r="AO103" s="432">
        <f t="shared" ca="1" si="62"/>
        <v>384</v>
      </c>
      <c r="AP103" s="427" t="str">
        <f t="shared" ca="1" si="63"/>
        <v>-</v>
      </c>
      <c r="AQ103" s="443" t="str">
        <f t="shared" ca="1" si="64"/>
        <v>-</v>
      </c>
      <c r="AR103" s="444" t="str">
        <f t="shared" ca="1" si="65"/>
        <v>-</v>
      </c>
      <c r="AS103" s="430" t="str">
        <f t="shared" ca="1" si="66"/>
        <v>-</v>
      </c>
      <c r="AT103" s="431"/>
      <c r="AU103" s="431"/>
      <c r="AV103" s="432">
        <v>94</v>
      </c>
      <c r="AW103" s="433" t="e">
        <f>ListAndConversion!S96</f>
        <v>#DIV/0!</v>
      </c>
      <c r="AX103" s="432" t="e">
        <f>IF(AW103="-","-",IF(COUNTIF(ListAndConversion!$F$3:$M$386,Calculation!AW103)=0,"Missing Lane","OK"))</f>
        <v>#DIV/0!</v>
      </c>
      <c r="AY103" s="433" t="str">
        <f>IFERROR(VLOOKUP(AW103,ListAndConversion!$F$3:$O$386,9,0),"-")</f>
        <v>-</v>
      </c>
      <c r="AZ103" s="433" t="str">
        <f>IFERROR(VLOOKUP(AW103,ListAndConversion!$F$3:$O$386,10,0),"-")</f>
        <v>-</v>
      </c>
      <c r="BA103" s="433" t="e">
        <f t="shared" si="67"/>
        <v>#DIV/0!</v>
      </c>
      <c r="BB103" s="433" t="str">
        <f t="shared" si="68"/>
        <v>-</v>
      </c>
      <c r="BC103" s="433" t="str">
        <f t="shared" si="69"/>
        <v/>
      </c>
    </row>
    <row r="104" spans="1:55" ht="14.25" x14ac:dyDescent="0.65">
      <c r="A104" s="407">
        <v>96</v>
      </c>
      <c r="B104" s="408" t="str">
        <f t="shared" ca="1" si="47"/>
        <v/>
      </c>
      <c r="C104" s="408" t="str">
        <f ca="1">IFERROR(IF(G104="","",CONCATENATE(E104,"-",INDEX(Coordinate,MATCH(F104,ListAndConversion!$X$4:$X$99,0),2))),"")</f>
        <v/>
      </c>
      <c r="D104" s="408" t="str">
        <f t="shared" ca="1" si="71"/>
        <v/>
      </c>
      <c r="E104" s="408" t="str">
        <f t="shared" ca="1" si="71"/>
        <v/>
      </c>
      <c r="F104" s="408" t="str">
        <f t="shared" ca="1" si="71"/>
        <v/>
      </c>
      <c r="G104" s="408" t="str">
        <f ca="1">IFERROR(INDEX(ListAndConversion!A:B,MATCH(Calculation!E104,ListAndConversion!A:A,0),2),"")</f>
        <v/>
      </c>
      <c r="H104" s="408" t="str">
        <f>IF(TrackIT_Lines!AD96="","",TrackIT_Lines!AD96)</f>
        <v/>
      </c>
      <c r="I104" s="408" t="str">
        <f>IF(TrackIT_Lines!AD96="","",CONCATENATE(TrackIT_Lines!AD96,"-",TrackIT_Lines!AG96))</f>
        <v/>
      </c>
      <c r="J104" s="409" t="str">
        <f t="shared" ca="1" si="75"/>
        <v/>
      </c>
      <c r="K104" s="408" t="str">
        <f t="shared" ca="1" si="75"/>
        <v/>
      </c>
      <c r="L104" s="408" t="str">
        <f t="shared" ca="1" si="75"/>
        <v/>
      </c>
      <c r="M104" s="408" t="str">
        <f t="shared" ca="1" si="75"/>
        <v/>
      </c>
      <c r="N104" s="408" t="str">
        <f t="shared" ca="1" si="75"/>
        <v/>
      </c>
      <c r="O104" s="408" t="str">
        <f t="shared" ca="1" si="75"/>
        <v/>
      </c>
      <c r="P104" s="408" t="str">
        <f t="shared" ca="1" si="75"/>
        <v/>
      </c>
      <c r="Q104" s="408" t="str">
        <f t="shared" ca="1" si="75"/>
        <v/>
      </c>
      <c r="R104" s="410" t="str">
        <f ca="1">Cluster!J123</f>
        <v>Selection</v>
      </c>
      <c r="S104" s="411" t="str">
        <f t="shared" ca="1" si="48"/>
        <v>-</v>
      </c>
      <c r="T104" s="412" t="str">
        <f t="shared" ca="1" si="49"/>
        <v/>
      </c>
      <c r="U104" s="411" t="str">
        <f t="shared" ca="1" si="50"/>
        <v>-</v>
      </c>
      <c r="V104" s="411" t="str">
        <f t="shared" ca="1" si="51"/>
        <v>-</v>
      </c>
      <c r="W104" s="413">
        <f>Cluster!N123</f>
        <v>0</v>
      </c>
      <c r="X104" s="414" t="str">
        <f t="shared" ca="1" si="52"/>
        <v>-</v>
      </c>
      <c r="Y104" s="411" t="str">
        <f t="shared" ca="1" si="53"/>
        <v>-</v>
      </c>
      <c r="Z104" s="415" t="str">
        <f t="shared" ca="1" si="54"/>
        <v>-</v>
      </c>
      <c r="AA104" s="416" t="str">
        <f t="shared" ca="1" si="55"/>
        <v>-</v>
      </c>
      <c r="AB104" s="416" t="str">
        <f t="shared" ca="1" si="56"/>
        <v/>
      </c>
      <c r="AC104" s="434">
        <f>Cluster!Q123</f>
        <v>0</v>
      </c>
      <c r="AD104" s="435" t="str">
        <f t="shared" ca="1" si="73"/>
        <v/>
      </c>
      <c r="AE104" s="436" t="str">
        <f t="shared" ca="1" si="73"/>
        <v/>
      </c>
      <c r="AF104" s="437" t="str">
        <f t="shared" ca="1" si="57"/>
        <v>-</v>
      </c>
      <c r="AG104" s="438" t="str">
        <f t="shared" ca="1" si="58"/>
        <v>-</v>
      </c>
      <c r="AH104" s="437" t="str">
        <f t="shared" ca="1" si="59"/>
        <v>-</v>
      </c>
      <c r="AI104" s="438" t="str">
        <f t="shared" ca="1" si="60"/>
        <v>-</v>
      </c>
      <c r="AJ104" s="438" t="str">
        <f t="shared" ca="1" si="61"/>
        <v>-</v>
      </c>
      <c r="AK104" s="439" t="str">
        <f ca="1">IFERROR(AE104*AD104*AL104/(IF(Cluster!AA123=Cluster!$W$8,Cluster!$W$10,IF(Cluster!AA123=Cluster!$X$8,Cluster!$X$10,IF(Cluster!AA123=Cluster!$Y$8,Cluster!$Y$10,0)))*10^3),"-")</f>
        <v>-</v>
      </c>
      <c r="AL104" s="440" t="str">
        <f ca="1">IFERROR(IF(OR(Calculation!T104&lt;(Calculation!$U$8+2),Calculation!AC104="Bypass"),IF((IF(Calculation!$O$6/((Calculation!AD104*10^-12)/(Calculation!T104*10^-9)*50)&lt;=1,1,ROUNDUP(Calculation!$O$6/((Calculation!AD104*10^-12)/(Calculation!T104*10^-9)*50),0))*50)&lt;Calculation!$AK$6,Calculation!$AK$6,IF(Calculation!$O$6/((Calculation!AD104*10^-12)/(Calculation!T104*10^-9)*50)&lt;=1,1,ROUNDUP(Calculation!$O$6/((Calculation!AD104*10^-12)/(Calculation!T104*10^-9)*50),0))*50),"-"),"-")</f>
        <v>-</v>
      </c>
      <c r="AM104" s="441" t="str">
        <f t="shared" ca="1" si="74"/>
        <v/>
      </c>
      <c r="AN104" s="442" t="str">
        <f t="shared" ca="1" si="74"/>
        <v/>
      </c>
      <c r="AO104" s="432">
        <f t="shared" ca="1" si="62"/>
        <v>384</v>
      </c>
      <c r="AP104" s="427" t="str">
        <f t="shared" ca="1" si="63"/>
        <v>-</v>
      </c>
      <c r="AQ104" s="443" t="str">
        <f t="shared" ca="1" si="64"/>
        <v>-</v>
      </c>
      <c r="AR104" s="444" t="str">
        <f t="shared" ca="1" si="65"/>
        <v>-</v>
      </c>
      <c r="AS104" s="430" t="str">
        <f t="shared" ca="1" si="66"/>
        <v>-</v>
      </c>
      <c r="AT104" s="431"/>
      <c r="AU104" s="431"/>
      <c r="AV104" s="432">
        <v>95</v>
      </c>
      <c r="AW104" s="433" t="e">
        <f>ListAndConversion!S97</f>
        <v>#DIV/0!</v>
      </c>
      <c r="AX104" s="432" t="e">
        <f>IF(AW104="-","-",IF(COUNTIF(ListAndConversion!$F$3:$M$386,Calculation!AW104)=0,"Missing Lane","OK"))</f>
        <v>#DIV/0!</v>
      </c>
      <c r="AY104" s="433" t="str">
        <f>IFERROR(VLOOKUP(AW104,ListAndConversion!$F$3:$O$386,9,0),"-")</f>
        <v>-</v>
      </c>
      <c r="AZ104" s="433" t="str">
        <f>IFERROR(VLOOKUP(AW104,ListAndConversion!$F$3:$O$386,10,0),"-")</f>
        <v>-</v>
      </c>
      <c r="BA104" s="433" t="e">
        <f t="shared" si="67"/>
        <v>#DIV/0!</v>
      </c>
      <c r="BB104" s="433" t="str">
        <f t="shared" si="68"/>
        <v>-</v>
      </c>
      <c r="BC104" s="433" t="str">
        <f t="shared" si="69"/>
        <v/>
      </c>
    </row>
    <row r="105" spans="1:55" ht="14.25" x14ac:dyDescent="0.65">
      <c r="A105" s="407">
        <v>97</v>
      </c>
      <c r="B105" s="408" t="str">
        <f t="shared" ca="1" si="47"/>
        <v/>
      </c>
      <c r="C105" s="408" t="str">
        <f ca="1">IFERROR(IF(G105="","",CONCATENATE(E105,"-",INDEX(Coordinate,MATCH(F105,ListAndConversion!$X$4:$X$99,0),2))),"")</f>
        <v/>
      </c>
      <c r="D105" s="408" t="str">
        <f t="shared" ca="1" si="71"/>
        <v/>
      </c>
      <c r="E105" s="408" t="str">
        <f t="shared" ca="1" si="71"/>
        <v/>
      </c>
      <c r="F105" s="408" t="str">
        <f t="shared" ca="1" si="71"/>
        <v/>
      </c>
      <c r="G105" s="408" t="str">
        <f ca="1">IFERROR(INDEX(ListAndConversion!A:B,MATCH(Calculation!E105,ListAndConversion!A:A,0),2),"")</f>
        <v/>
      </c>
      <c r="H105" s="408" t="str">
        <f>IF(TrackIT_Lines!AD97="","",TrackIT_Lines!AD97)</f>
        <v/>
      </c>
      <c r="I105" s="408" t="str">
        <f>IF(TrackIT_Lines!AD97="","",CONCATENATE(TrackIT_Lines!AD97,"-",TrackIT_Lines!AG97))</f>
        <v/>
      </c>
      <c r="J105" s="409" t="str">
        <f t="shared" ca="1" si="75"/>
        <v/>
      </c>
      <c r="K105" s="408" t="str">
        <f t="shared" ca="1" si="75"/>
        <v/>
      </c>
      <c r="L105" s="408" t="str">
        <f t="shared" ca="1" si="75"/>
        <v/>
      </c>
      <c r="M105" s="408" t="str">
        <f t="shared" ca="1" si="75"/>
        <v/>
      </c>
      <c r="N105" s="408" t="str">
        <f t="shared" ca="1" si="75"/>
        <v/>
      </c>
      <c r="O105" s="408" t="str">
        <f t="shared" ca="1" si="75"/>
        <v/>
      </c>
      <c r="P105" s="408" t="str">
        <f t="shared" ca="1" si="75"/>
        <v/>
      </c>
      <c r="Q105" s="408" t="str">
        <f t="shared" ca="1" si="75"/>
        <v/>
      </c>
      <c r="R105" s="410" t="str">
        <f ca="1">Cluster!J124</f>
        <v>Selection</v>
      </c>
      <c r="S105" s="411" t="str">
        <f t="shared" ca="1" si="48"/>
        <v>-</v>
      </c>
      <c r="T105" s="412" t="str">
        <f t="shared" ca="1" si="49"/>
        <v/>
      </c>
      <c r="U105" s="411" t="str">
        <f t="shared" ca="1" si="50"/>
        <v>-</v>
      </c>
      <c r="V105" s="411" t="str">
        <f t="shared" ca="1" si="51"/>
        <v>-</v>
      </c>
      <c r="W105" s="413">
        <f>Cluster!N124</f>
        <v>0</v>
      </c>
      <c r="X105" s="414" t="str">
        <f t="shared" ca="1" si="52"/>
        <v>-</v>
      </c>
      <c r="Y105" s="411" t="str">
        <f t="shared" ca="1" si="53"/>
        <v>-</v>
      </c>
      <c r="Z105" s="415" t="str">
        <f t="shared" ca="1" si="54"/>
        <v>-</v>
      </c>
      <c r="AA105" s="416" t="str">
        <f t="shared" ca="1" si="55"/>
        <v>-</v>
      </c>
      <c r="AB105" s="416" t="str">
        <f t="shared" ca="1" si="56"/>
        <v/>
      </c>
      <c r="AC105" s="434">
        <f>Cluster!Q124</f>
        <v>0</v>
      </c>
      <c r="AD105" s="435" t="str">
        <f t="shared" ca="1" si="73"/>
        <v/>
      </c>
      <c r="AE105" s="436" t="str">
        <f t="shared" ca="1" si="73"/>
        <v/>
      </c>
      <c r="AF105" s="437" t="str">
        <f t="shared" ca="1" si="57"/>
        <v>-</v>
      </c>
      <c r="AG105" s="438" t="str">
        <f t="shared" ca="1" si="58"/>
        <v>-</v>
      </c>
      <c r="AH105" s="437" t="str">
        <f t="shared" ca="1" si="59"/>
        <v>-</v>
      </c>
      <c r="AI105" s="438" t="str">
        <f t="shared" ca="1" si="60"/>
        <v>-</v>
      </c>
      <c r="AJ105" s="438" t="str">
        <f t="shared" ca="1" si="61"/>
        <v>-</v>
      </c>
      <c r="AK105" s="439" t="str">
        <f ca="1">IFERROR(AE105*AD105*AL105/(IF(Cluster!AA124=Cluster!$W$8,Cluster!$W$10,IF(Cluster!AA124=Cluster!$X$8,Cluster!$X$10,IF(Cluster!AA124=Cluster!$Y$8,Cluster!$Y$10,0)))*10^3),"-")</f>
        <v>-</v>
      </c>
      <c r="AL105" s="440" t="str">
        <f ca="1">IFERROR(IF(OR(Calculation!T105&lt;(Calculation!$U$8+2),Calculation!AC105="Bypass"),IF((IF(Calculation!$O$6/((Calculation!AD105*10^-12)/(Calculation!T105*10^-9)*50)&lt;=1,1,ROUNDUP(Calculation!$O$6/((Calculation!AD105*10^-12)/(Calculation!T105*10^-9)*50),0))*50)&lt;Calculation!$AK$6,Calculation!$AK$6,IF(Calculation!$O$6/((Calculation!AD105*10^-12)/(Calculation!T105*10^-9)*50)&lt;=1,1,ROUNDUP(Calculation!$O$6/((Calculation!AD105*10^-12)/(Calculation!T105*10^-9)*50),0))*50),"-"),"-")</f>
        <v>-</v>
      </c>
      <c r="AM105" s="441" t="str">
        <f t="shared" ca="1" si="74"/>
        <v/>
      </c>
      <c r="AN105" s="442" t="str">
        <f t="shared" ca="1" si="74"/>
        <v/>
      </c>
      <c r="AO105" s="432">
        <f t="shared" ca="1" si="62"/>
        <v>384</v>
      </c>
      <c r="AP105" s="427" t="str">
        <f t="shared" ca="1" si="63"/>
        <v>-</v>
      </c>
      <c r="AQ105" s="443" t="str">
        <f t="shared" ca="1" si="64"/>
        <v>-</v>
      </c>
      <c r="AR105" s="444" t="str">
        <f t="shared" ca="1" si="65"/>
        <v>-</v>
      </c>
      <c r="AS105" s="430" t="str">
        <f t="shared" ca="1" si="66"/>
        <v>-</v>
      </c>
      <c r="AT105" s="431"/>
      <c r="AU105" s="431"/>
      <c r="AV105" s="432">
        <v>96</v>
      </c>
      <c r="AW105" s="433" t="e">
        <f>ListAndConversion!S98</f>
        <v>#DIV/0!</v>
      </c>
      <c r="AX105" s="432" t="e">
        <f>IF(AW105="-","-",IF(COUNTIF(ListAndConversion!$F$3:$M$386,Calculation!AW105)=0,"Missing Lane","OK"))</f>
        <v>#DIV/0!</v>
      </c>
      <c r="AY105" s="433" t="str">
        <f>IFERROR(VLOOKUP(AW105,ListAndConversion!$F$3:$O$386,9,0),"-")</f>
        <v>-</v>
      </c>
      <c r="AZ105" s="433" t="str">
        <f>IFERROR(VLOOKUP(AW105,ListAndConversion!$F$3:$O$386,10,0),"-")</f>
        <v>-</v>
      </c>
      <c r="BA105" s="433" t="e">
        <f t="shared" si="67"/>
        <v>#DIV/0!</v>
      </c>
      <c r="BB105" s="433" t="str">
        <f t="shared" si="68"/>
        <v>-</v>
      </c>
      <c r="BC105" s="433" t="str">
        <f t="shared" si="69"/>
        <v/>
      </c>
    </row>
    <row r="106" spans="1:55" ht="14.25" x14ac:dyDescent="0.65">
      <c r="A106" s="407">
        <v>98</v>
      </c>
      <c r="B106" s="408" t="str">
        <f t="shared" ca="1" si="47"/>
        <v/>
      </c>
      <c r="C106" s="408" t="str">
        <f ca="1">IFERROR(IF(G106="","",CONCATENATE(E106,"-",INDEX(Coordinate,MATCH(F106,ListAndConversion!$X$4:$X$99,0),2))),"")</f>
        <v/>
      </c>
      <c r="D106" s="408" t="str">
        <f t="shared" ca="1" si="71"/>
        <v/>
      </c>
      <c r="E106" s="408" t="str">
        <f t="shared" ca="1" si="71"/>
        <v/>
      </c>
      <c r="F106" s="408" t="str">
        <f t="shared" ca="1" si="71"/>
        <v/>
      </c>
      <c r="G106" s="408" t="str">
        <f ca="1">IFERROR(INDEX(ListAndConversion!A:B,MATCH(Calculation!E106,ListAndConversion!A:A,0),2),"")</f>
        <v/>
      </c>
      <c r="H106" s="408" t="str">
        <f>IF(TrackIT_Lines!AD98="","",TrackIT_Lines!AD98)</f>
        <v/>
      </c>
      <c r="I106" s="408" t="str">
        <f>IF(TrackIT_Lines!AD98="","",CONCATENATE(TrackIT_Lines!AD98,"-",TrackIT_Lines!AG98))</f>
        <v/>
      </c>
      <c r="J106" s="409" t="str">
        <f t="shared" ca="1" si="75"/>
        <v/>
      </c>
      <c r="K106" s="408" t="str">
        <f t="shared" ca="1" si="75"/>
        <v/>
      </c>
      <c r="L106" s="408" t="str">
        <f t="shared" ca="1" si="75"/>
        <v/>
      </c>
      <c r="M106" s="408" t="str">
        <f t="shared" ca="1" si="75"/>
        <v/>
      </c>
      <c r="N106" s="408" t="str">
        <f t="shared" ca="1" si="75"/>
        <v/>
      </c>
      <c r="O106" s="408" t="str">
        <f t="shared" ca="1" si="75"/>
        <v/>
      </c>
      <c r="P106" s="408" t="str">
        <f t="shared" ca="1" si="75"/>
        <v/>
      </c>
      <c r="Q106" s="408" t="str">
        <f t="shared" ca="1" si="75"/>
        <v/>
      </c>
      <c r="R106" s="410" t="str">
        <f ca="1">Cluster!J125</f>
        <v>Selection</v>
      </c>
      <c r="S106" s="411" t="str">
        <f t="shared" ca="1" si="48"/>
        <v>-</v>
      </c>
      <c r="T106" s="412" t="str">
        <f t="shared" ca="1" si="49"/>
        <v/>
      </c>
      <c r="U106" s="411" t="str">
        <f t="shared" ca="1" si="50"/>
        <v>-</v>
      </c>
      <c r="V106" s="411" t="str">
        <f t="shared" ca="1" si="51"/>
        <v>-</v>
      </c>
      <c r="W106" s="413">
        <f>Cluster!N125</f>
        <v>0</v>
      </c>
      <c r="X106" s="414" t="str">
        <f t="shared" ca="1" si="52"/>
        <v>-</v>
      </c>
      <c r="Y106" s="411" t="str">
        <f t="shared" ca="1" si="53"/>
        <v>-</v>
      </c>
      <c r="Z106" s="415" t="str">
        <f t="shared" ca="1" si="54"/>
        <v>-</v>
      </c>
      <c r="AA106" s="416" t="str">
        <f t="shared" ca="1" si="55"/>
        <v>-</v>
      </c>
      <c r="AB106" s="416" t="str">
        <f t="shared" ca="1" si="56"/>
        <v/>
      </c>
      <c r="AC106" s="434">
        <f>Cluster!Q125</f>
        <v>0</v>
      </c>
      <c r="AD106" s="435" t="str">
        <f t="shared" ca="1" si="73"/>
        <v/>
      </c>
      <c r="AE106" s="436" t="str">
        <f t="shared" ca="1" si="73"/>
        <v/>
      </c>
      <c r="AF106" s="437" t="str">
        <f t="shared" ca="1" si="57"/>
        <v>-</v>
      </c>
      <c r="AG106" s="438" t="str">
        <f t="shared" ca="1" si="58"/>
        <v>-</v>
      </c>
      <c r="AH106" s="437" t="str">
        <f t="shared" ca="1" si="59"/>
        <v>-</v>
      </c>
      <c r="AI106" s="438" t="str">
        <f t="shared" ca="1" si="60"/>
        <v>-</v>
      </c>
      <c r="AJ106" s="438" t="str">
        <f t="shared" ca="1" si="61"/>
        <v>-</v>
      </c>
      <c r="AK106" s="439" t="str">
        <f ca="1">IFERROR(AE106*AD106*AL106/(IF(Cluster!AA125=Cluster!$W$8,Cluster!$W$10,IF(Cluster!AA125=Cluster!$X$8,Cluster!$X$10,IF(Cluster!AA125=Cluster!$Y$8,Cluster!$Y$10,0)))*10^3),"-")</f>
        <v>-</v>
      </c>
      <c r="AL106" s="440" t="str">
        <f ca="1">IFERROR(IF(OR(Calculation!T106&lt;(Calculation!$U$8+2),Calculation!AC106="Bypass"),IF((IF(Calculation!$O$6/((Calculation!AD106*10^-12)/(Calculation!T106*10^-9)*50)&lt;=1,1,ROUNDUP(Calculation!$O$6/((Calculation!AD106*10^-12)/(Calculation!T106*10^-9)*50),0))*50)&lt;Calculation!$AK$6,Calculation!$AK$6,IF(Calculation!$O$6/((Calculation!AD106*10^-12)/(Calculation!T106*10^-9)*50)&lt;=1,1,ROUNDUP(Calculation!$O$6/((Calculation!AD106*10^-12)/(Calculation!T106*10^-9)*50),0))*50),"-"),"-")</f>
        <v>-</v>
      </c>
      <c r="AM106" s="441" t="str">
        <f t="shared" ca="1" si="74"/>
        <v/>
      </c>
      <c r="AN106" s="442" t="str">
        <f t="shared" ca="1" si="74"/>
        <v/>
      </c>
      <c r="AO106" s="432">
        <f t="shared" ca="1" si="62"/>
        <v>384</v>
      </c>
      <c r="AP106" s="427" t="str">
        <f t="shared" ca="1" si="63"/>
        <v>-</v>
      </c>
      <c r="AQ106" s="443" t="str">
        <f t="shared" ca="1" si="64"/>
        <v>-</v>
      </c>
      <c r="AR106" s="444" t="str">
        <f t="shared" ca="1" si="65"/>
        <v>-</v>
      </c>
      <c r="AS106" s="430" t="str">
        <f t="shared" ca="1" si="66"/>
        <v>-</v>
      </c>
      <c r="AT106" s="365"/>
      <c r="AU106" s="365"/>
    </row>
    <row r="107" spans="1:55" ht="14.25" x14ac:dyDescent="0.65">
      <c r="A107" s="407">
        <v>99</v>
      </c>
      <c r="B107" s="408" t="str">
        <f t="shared" ca="1" si="47"/>
        <v/>
      </c>
      <c r="C107" s="408" t="str">
        <f ca="1">IFERROR(IF(G107="","",CONCATENATE(E107,"-",INDEX(Coordinate,MATCH(F107,ListAndConversion!$X$4:$X$99,0),2))),"")</f>
        <v/>
      </c>
      <c r="D107" s="408" t="str">
        <f t="shared" ca="1" si="71"/>
        <v/>
      </c>
      <c r="E107" s="408" t="str">
        <f t="shared" ca="1" si="71"/>
        <v/>
      </c>
      <c r="F107" s="408" t="str">
        <f t="shared" ca="1" si="71"/>
        <v/>
      </c>
      <c r="G107" s="408" t="str">
        <f ca="1">IFERROR(INDEX(ListAndConversion!A:B,MATCH(Calculation!E107,ListAndConversion!A:A,0),2),"")</f>
        <v/>
      </c>
      <c r="H107" s="408" t="str">
        <f>IF(TrackIT_Lines!AD99="","",TrackIT_Lines!AD99)</f>
        <v/>
      </c>
      <c r="I107" s="408" t="str">
        <f>IF(TrackIT_Lines!AD99="","",CONCATENATE(TrackIT_Lines!AD99,"-",TrackIT_Lines!AG99))</f>
        <v/>
      </c>
      <c r="J107" s="409" t="str">
        <f t="shared" ca="1" si="75"/>
        <v/>
      </c>
      <c r="K107" s="408" t="str">
        <f t="shared" ca="1" si="75"/>
        <v/>
      </c>
      <c r="L107" s="408" t="str">
        <f t="shared" ca="1" si="75"/>
        <v/>
      </c>
      <c r="M107" s="408" t="str">
        <f t="shared" ca="1" si="75"/>
        <v/>
      </c>
      <c r="N107" s="408" t="str">
        <f t="shared" ca="1" si="75"/>
        <v/>
      </c>
      <c r="O107" s="408" t="str">
        <f t="shared" ca="1" si="75"/>
        <v/>
      </c>
      <c r="P107" s="408" t="str">
        <f t="shared" ca="1" si="75"/>
        <v/>
      </c>
      <c r="Q107" s="408" t="str">
        <f t="shared" ca="1" si="75"/>
        <v/>
      </c>
      <c r="R107" s="410" t="str">
        <f ca="1">Cluster!J126</f>
        <v>Selection</v>
      </c>
      <c r="S107" s="411" t="str">
        <f t="shared" ca="1" si="48"/>
        <v>-</v>
      </c>
      <c r="T107" s="412" t="str">
        <f t="shared" ca="1" si="49"/>
        <v/>
      </c>
      <c r="U107" s="411" t="str">
        <f t="shared" ca="1" si="50"/>
        <v>-</v>
      </c>
      <c r="V107" s="411" t="str">
        <f t="shared" ca="1" si="51"/>
        <v>-</v>
      </c>
      <c r="W107" s="413">
        <f>Cluster!N126</f>
        <v>0</v>
      </c>
      <c r="X107" s="414" t="str">
        <f t="shared" ca="1" si="52"/>
        <v>-</v>
      </c>
      <c r="Y107" s="411" t="str">
        <f t="shared" ca="1" si="53"/>
        <v>-</v>
      </c>
      <c r="Z107" s="415" t="str">
        <f t="shared" ca="1" si="54"/>
        <v>-</v>
      </c>
      <c r="AA107" s="416" t="str">
        <f t="shared" ca="1" si="55"/>
        <v>-</v>
      </c>
      <c r="AB107" s="416" t="str">
        <f t="shared" ca="1" si="56"/>
        <v/>
      </c>
      <c r="AC107" s="434">
        <f>Cluster!Q126</f>
        <v>0</v>
      </c>
      <c r="AD107" s="435" t="str">
        <f t="shared" ca="1" si="73"/>
        <v/>
      </c>
      <c r="AE107" s="436" t="str">
        <f t="shared" ca="1" si="73"/>
        <v/>
      </c>
      <c r="AF107" s="437" t="str">
        <f t="shared" ca="1" si="57"/>
        <v>-</v>
      </c>
      <c r="AG107" s="438" t="str">
        <f t="shared" ca="1" si="58"/>
        <v>-</v>
      </c>
      <c r="AH107" s="437" t="str">
        <f t="shared" ca="1" si="59"/>
        <v>-</v>
      </c>
      <c r="AI107" s="438" t="str">
        <f t="shared" ca="1" si="60"/>
        <v>-</v>
      </c>
      <c r="AJ107" s="438" t="str">
        <f t="shared" ca="1" si="61"/>
        <v>-</v>
      </c>
      <c r="AK107" s="439" t="str">
        <f ca="1">IFERROR(AE107*AD107*AL107/(IF(Cluster!AA126=Cluster!$W$8,Cluster!$W$10,IF(Cluster!AA126=Cluster!$X$8,Cluster!$X$10,IF(Cluster!AA126=Cluster!$Y$8,Cluster!$Y$10,0)))*10^3),"-")</f>
        <v>-</v>
      </c>
      <c r="AL107" s="440" t="str">
        <f ca="1">IFERROR(IF(OR(Calculation!T107&lt;(Calculation!$U$8+2),Calculation!AC107="Bypass"),IF((IF(Calculation!$O$6/((Calculation!AD107*10^-12)/(Calculation!T107*10^-9)*50)&lt;=1,1,ROUNDUP(Calculation!$O$6/((Calculation!AD107*10^-12)/(Calculation!T107*10^-9)*50),0))*50)&lt;Calculation!$AK$6,Calculation!$AK$6,IF(Calculation!$O$6/((Calculation!AD107*10^-12)/(Calculation!T107*10^-9)*50)&lt;=1,1,ROUNDUP(Calculation!$O$6/((Calculation!AD107*10^-12)/(Calculation!T107*10^-9)*50),0))*50),"-"),"-")</f>
        <v>-</v>
      </c>
      <c r="AM107" s="441" t="str">
        <f t="shared" ca="1" si="74"/>
        <v/>
      </c>
      <c r="AN107" s="442" t="str">
        <f t="shared" ca="1" si="74"/>
        <v/>
      </c>
      <c r="AO107" s="432">
        <f t="shared" ca="1" si="62"/>
        <v>384</v>
      </c>
      <c r="AP107" s="427" t="str">
        <f t="shared" ca="1" si="63"/>
        <v>-</v>
      </c>
      <c r="AQ107" s="443" t="str">
        <f t="shared" ca="1" si="64"/>
        <v>-</v>
      </c>
      <c r="AR107" s="444" t="str">
        <f t="shared" ca="1" si="65"/>
        <v>-</v>
      </c>
      <c r="AS107" s="430" t="str">
        <f t="shared" ca="1" si="66"/>
        <v>-</v>
      </c>
    </row>
    <row r="108" spans="1:55" ht="14.25" x14ac:dyDescent="0.65">
      <c r="A108" s="407">
        <v>100</v>
      </c>
      <c r="B108" s="408" t="str">
        <f t="shared" ca="1" si="47"/>
        <v/>
      </c>
      <c r="C108" s="408" t="str">
        <f ca="1">IFERROR(IF(G108="","",CONCATENATE(E108,"-",INDEX(Coordinate,MATCH(F108,ListAndConversion!$X$4:$X$99,0),2))),"")</f>
        <v/>
      </c>
      <c r="D108" s="408" t="str">
        <f t="shared" ca="1" si="71"/>
        <v/>
      </c>
      <c r="E108" s="408" t="str">
        <f t="shared" ca="1" si="71"/>
        <v/>
      </c>
      <c r="F108" s="408" t="str">
        <f t="shared" ca="1" si="71"/>
        <v/>
      </c>
      <c r="G108" s="408" t="str">
        <f ca="1">IFERROR(INDEX(ListAndConversion!A:B,MATCH(Calculation!E108,ListAndConversion!A:A,0),2),"")</f>
        <v/>
      </c>
      <c r="H108" s="408" t="str">
        <f>IF(TrackIT_Lines!AD100="","",TrackIT_Lines!AD100)</f>
        <v/>
      </c>
      <c r="I108" s="408" t="str">
        <f>IF(TrackIT_Lines!AD100="","",CONCATENATE(TrackIT_Lines!AD100,"-",TrackIT_Lines!AG100))</f>
        <v/>
      </c>
      <c r="J108" s="409" t="str">
        <f t="shared" ca="1" si="75"/>
        <v/>
      </c>
      <c r="K108" s="408" t="str">
        <f t="shared" ca="1" si="75"/>
        <v/>
      </c>
      <c r="L108" s="408" t="str">
        <f t="shared" ca="1" si="75"/>
        <v/>
      </c>
      <c r="M108" s="408" t="str">
        <f t="shared" ca="1" si="75"/>
        <v/>
      </c>
      <c r="N108" s="408" t="str">
        <f t="shared" ca="1" si="75"/>
        <v/>
      </c>
      <c r="O108" s="408" t="str">
        <f t="shared" ca="1" si="75"/>
        <v/>
      </c>
      <c r="P108" s="408" t="str">
        <f t="shared" ca="1" si="75"/>
        <v/>
      </c>
      <c r="Q108" s="408" t="str">
        <f t="shared" ca="1" si="75"/>
        <v/>
      </c>
      <c r="R108" s="410" t="str">
        <f ca="1">Cluster!J127</f>
        <v>Selection</v>
      </c>
      <c r="S108" s="411" t="str">
        <f t="shared" ca="1" si="48"/>
        <v>-</v>
      </c>
      <c r="T108" s="412" t="str">
        <f t="shared" ca="1" si="49"/>
        <v/>
      </c>
      <c r="U108" s="411" t="str">
        <f t="shared" ca="1" si="50"/>
        <v>-</v>
      </c>
      <c r="V108" s="411" t="str">
        <f t="shared" ca="1" si="51"/>
        <v>-</v>
      </c>
      <c r="W108" s="413">
        <f>Cluster!N127</f>
        <v>0</v>
      </c>
      <c r="X108" s="414" t="str">
        <f t="shared" ca="1" si="52"/>
        <v>-</v>
      </c>
      <c r="Y108" s="411" t="str">
        <f t="shared" ca="1" si="53"/>
        <v>-</v>
      </c>
      <c r="Z108" s="415" t="str">
        <f t="shared" ca="1" si="54"/>
        <v>-</v>
      </c>
      <c r="AA108" s="416" t="str">
        <f t="shared" ca="1" si="55"/>
        <v>-</v>
      </c>
      <c r="AB108" s="416" t="str">
        <f t="shared" ca="1" si="56"/>
        <v/>
      </c>
      <c r="AC108" s="434">
        <f>Cluster!Q127</f>
        <v>0</v>
      </c>
      <c r="AD108" s="435" t="str">
        <f t="shared" ca="1" si="73"/>
        <v/>
      </c>
      <c r="AE108" s="436" t="str">
        <f t="shared" ca="1" si="73"/>
        <v/>
      </c>
      <c r="AF108" s="437" t="str">
        <f t="shared" ca="1" si="57"/>
        <v>-</v>
      </c>
      <c r="AG108" s="438" t="str">
        <f t="shared" ca="1" si="58"/>
        <v>-</v>
      </c>
      <c r="AH108" s="437" t="str">
        <f t="shared" ca="1" si="59"/>
        <v>-</v>
      </c>
      <c r="AI108" s="438" t="str">
        <f t="shared" ca="1" si="60"/>
        <v>-</v>
      </c>
      <c r="AJ108" s="438" t="str">
        <f t="shared" ca="1" si="61"/>
        <v>-</v>
      </c>
      <c r="AK108" s="439" t="str">
        <f ca="1">IFERROR(AE108*AD108*AL108/(IF(Cluster!AA127=Cluster!$W$8,Cluster!$W$10,IF(Cluster!AA127=Cluster!$X$8,Cluster!$X$10,IF(Cluster!AA127=Cluster!$Y$8,Cluster!$Y$10,0)))*10^3),"-")</f>
        <v>-</v>
      </c>
      <c r="AL108" s="440" t="str">
        <f ca="1">IFERROR(IF(OR(Calculation!T108&lt;(Calculation!$U$8+2),Calculation!AC108="Bypass"),IF((IF(Calculation!$O$6/((Calculation!AD108*10^-12)/(Calculation!T108*10^-9)*50)&lt;=1,1,ROUNDUP(Calculation!$O$6/((Calculation!AD108*10^-12)/(Calculation!T108*10^-9)*50),0))*50)&lt;Calculation!$AK$6,Calculation!$AK$6,IF(Calculation!$O$6/((Calculation!AD108*10^-12)/(Calculation!T108*10^-9)*50)&lt;=1,1,ROUNDUP(Calculation!$O$6/((Calculation!AD108*10^-12)/(Calculation!T108*10^-9)*50),0))*50),"-"),"-")</f>
        <v>-</v>
      </c>
      <c r="AM108" s="441" t="str">
        <f t="shared" ca="1" si="74"/>
        <v/>
      </c>
      <c r="AN108" s="442" t="str">
        <f t="shared" ca="1" si="74"/>
        <v/>
      </c>
      <c r="AO108" s="432">
        <f t="shared" ca="1" si="62"/>
        <v>384</v>
      </c>
      <c r="AP108" s="427" t="str">
        <f t="shared" ca="1" si="63"/>
        <v>-</v>
      </c>
      <c r="AQ108" s="443" t="str">
        <f t="shared" ca="1" si="64"/>
        <v>-</v>
      </c>
      <c r="AR108" s="444" t="str">
        <f t="shared" ca="1" si="65"/>
        <v>-</v>
      </c>
      <c r="AS108" s="430" t="str">
        <f t="shared" ca="1" si="66"/>
        <v>-</v>
      </c>
    </row>
    <row r="109" spans="1:55" ht="14.25" x14ac:dyDescent="0.65">
      <c r="A109" s="407">
        <v>101</v>
      </c>
      <c r="B109" s="408" t="str">
        <f t="shared" ca="1" si="47"/>
        <v/>
      </c>
      <c r="C109" s="408" t="str">
        <f ca="1">IFERROR(IF(G109="","",CONCATENATE(E109,"-",INDEX(Coordinate,MATCH(F109,ListAndConversion!$X$4:$X$99,0),2))),"")</f>
        <v/>
      </c>
      <c r="D109" s="408" t="str">
        <f t="shared" ca="1" si="71"/>
        <v/>
      </c>
      <c r="E109" s="408" t="str">
        <f t="shared" ca="1" si="71"/>
        <v/>
      </c>
      <c r="F109" s="408" t="str">
        <f t="shared" ca="1" si="71"/>
        <v/>
      </c>
      <c r="G109" s="408" t="str">
        <f ca="1">IFERROR(INDEX(ListAndConversion!A:B,MATCH(Calculation!E109,ListAndConversion!A:A,0),2),"")</f>
        <v/>
      </c>
      <c r="H109" s="408" t="str">
        <f>IF(TrackIT_Lines!AD101="","",TrackIT_Lines!AD101)</f>
        <v/>
      </c>
      <c r="I109" s="408" t="str">
        <f>IF(TrackIT_Lines!AD101="","",CONCATENATE(TrackIT_Lines!AD101,"-",TrackIT_Lines!AG101))</f>
        <v/>
      </c>
      <c r="J109" s="409" t="str">
        <f t="shared" ca="1" si="75"/>
        <v/>
      </c>
      <c r="K109" s="408" t="str">
        <f t="shared" ca="1" si="75"/>
        <v/>
      </c>
      <c r="L109" s="408" t="str">
        <f t="shared" ca="1" si="75"/>
        <v/>
      </c>
      <c r="M109" s="408" t="str">
        <f t="shared" ca="1" si="75"/>
        <v/>
      </c>
      <c r="N109" s="408" t="str">
        <f t="shared" ca="1" si="75"/>
        <v/>
      </c>
      <c r="O109" s="408" t="str">
        <f t="shared" ca="1" si="75"/>
        <v/>
      </c>
      <c r="P109" s="408" t="str">
        <f t="shared" ca="1" si="75"/>
        <v/>
      </c>
      <c r="Q109" s="408" t="str">
        <f t="shared" ca="1" si="75"/>
        <v/>
      </c>
      <c r="R109" s="410" t="str">
        <f ca="1">Cluster!J128</f>
        <v>Selection</v>
      </c>
      <c r="S109" s="411" t="str">
        <f t="shared" ca="1" si="48"/>
        <v>-</v>
      </c>
      <c r="T109" s="412" t="str">
        <f t="shared" ca="1" si="49"/>
        <v/>
      </c>
      <c r="U109" s="411" t="str">
        <f t="shared" ca="1" si="50"/>
        <v>-</v>
      </c>
      <c r="V109" s="411" t="str">
        <f t="shared" ca="1" si="51"/>
        <v>-</v>
      </c>
      <c r="W109" s="413">
        <f>Cluster!N128</f>
        <v>0</v>
      </c>
      <c r="X109" s="414" t="str">
        <f t="shared" ca="1" si="52"/>
        <v>-</v>
      </c>
      <c r="Y109" s="411" t="str">
        <f t="shared" ca="1" si="53"/>
        <v>-</v>
      </c>
      <c r="Z109" s="415" t="str">
        <f t="shared" ca="1" si="54"/>
        <v>-</v>
      </c>
      <c r="AA109" s="416" t="str">
        <f t="shared" ca="1" si="55"/>
        <v>-</v>
      </c>
      <c r="AB109" s="416" t="str">
        <f t="shared" ca="1" si="56"/>
        <v/>
      </c>
      <c r="AC109" s="434">
        <f>Cluster!Q128</f>
        <v>0</v>
      </c>
      <c r="AD109" s="435" t="str">
        <f t="shared" ca="1" si="73"/>
        <v/>
      </c>
      <c r="AE109" s="436" t="str">
        <f t="shared" ca="1" si="73"/>
        <v/>
      </c>
      <c r="AF109" s="437" t="str">
        <f t="shared" ca="1" si="57"/>
        <v>-</v>
      </c>
      <c r="AG109" s="438" t="str">
        <f t="shared" ca="1" si="58"/>
        <v>-</v>
      </c>
      <c r="AH109" s="437" t="str">
        <f t="shared" ca="1" si="59"/>
        <v>-</v>
      </c>
      <c r="AI109" s="438" t="str">
        <f t="shared" ca="1" si="60"/>
        <v>-</v>
      </c>
      <c r="AJ109" s="438" t="str">
        <f t="shared" ca="1" si="61"/>
        <v>-</v>
      </c>
      <c r="AK109" s="439" t="str">
        <f ca="1">IFERROR(AE109*AD109*AL109/(IF(Cluster!AA128=Cluster!$W$8,Cluster!$W$10,IF(Cluster!AA128=Cluster!$X$8,Cluster!$X$10,IF(Cluster!AA128=Cluster!$Y$8,Cluster!$Y$10,0)))*10^3),"-")</f>
        <v>-</v>
      </c>
      <c r="AL109" s="440" t="str">
        <f ca="1">IFERROR(IF(OR(Calculation!T109&lt;(Calculation!$U$8+2),Calculation!AC109="Bypass"),IF((IF(Calculation!$O$6/((Calculation!AD109*10^-12)/(Calculation!T109*10^-9)*50)&lt;=1,1,ROUNDUP(Calculation!$O$6/((Calculation!AD109*10^-12)/(Calculation!T109*10^-9)*50),0))*50)&lt;Calculation!$AK$6,Calculation!$AK$6,IF(Calculation!$O$6/((Calculation!AD109*10^-12)/(Calculation!T109*10^-9)*50)&lt;=1,1,ROUNDUP(Calculation!$O$6/((Calculation!AD109*10^-12)/(Calculation!T109*10^-9)*50),0))*50),"-"),"-")</f>
        <v>-</v>
      </c>
      <c r="AM109" s="441" t="str">
        <f t="shared" ca="1" si="74"/>
        <v/>
      </c>
      <c r="AN109" s="442" t="str">
        <f t="shared" ca="1" si="74"/>
        <v/>
      </c>
      <c r="AO109" s="432">
        <f t="shared" ca="1" si="62"/>
        <v>384</v>
      </c>
      <c r="AP109" s="427" t="str">
        <f t="shared" ca="1" si="63"/>
        <v>-</v>
      </c>
      <c r="AQ109" s="443" t="str">
        <f t="shared" ca="1" si="64"/>
        <v>-</v>
      </c>
      <c r="AR109" s="444" t="str">
        <f t="shared" ca="1" si="65"/>
        <v>-</v>
      </c>
      <c r="AS109" s="430" t="str">
        <f t="shared" ca="1" si="66"/>
        <v>-</v>
      </c>
    </row>
    <row r="110" spans="1:55" ht="14.25" x14ac:dyDescent="0.65">
      <c r="A110" s="407">
        <v>102</v>
      </c>
      <c r="B110" s="408" t="str">
        <f t="shared" ca="1" si="47"/>
        <v/>
      </c>
      <c r="C110" s="408" t="str">
        <f ca="1">IFERROR(IF(G110="","",CONCATENATE(E110,"-",INDEX(Coordinate,MATCH(F110,ListAndConversion!$X$4:$X$99,0),2))),"")</f>
        <v/>
      </c>
      <c r="D110" s="408" t="str">
        <f t="shared" ref="D110:F129" ca="1" si="76">IF((INDIRECT("TrackIT_Lines!"&amp;D$2&amp;$A110))="","", (INDIRECT("TrackIT_Lines!"&amp;D$2&amp;$A110)))</f>
        <v/>
      </c>
      <c r="E110" s="408" t="str">
        <f t="shared" ca="1" si="76"/>
        <v/>
      </c>
      <c r="F110" s="408" t="str">
        <f t="shared" ca="1" si="76"/>
        <v/>
      </c>
      <c r="G110" s="408" t="str">
        <f ca="1">IFERROR(INDEX(ListAndConversion!A:B,MATCH(Calculation!E110,ListAndConversion!A:A,0),2),"")</f>
        <v/>
      </c>
      <c r="H110" s="408" t="str">
        <f>IF(TrackIT_Lines!AD102="","",TrackIT_Lines!AD102)</f>
        <v/>
      </c>
      <c r="I110" s="408" t="str">
        <f>IF(TrackIT_Lines!AD102="","",CONCATENATE(TrackIT_Lines!AD102,"-",TrackIT_Lines!AG102))</f>
        <v/>
      </c>
      <c r="J110" s="409" t="str">
        <f t="shared" ref="J110:Q119" ca="1" si="77">IF((INDIRECT("TrackIT_Lines!"&amp;J$2&amp;$A110))="","", (INDIRECT("TrackIT_Lines!"&amp;J$2&amp;$A110)))</f>
        <v/>
      </c>
      <c r="K110" s="408" t="str">
        <f t="shared" ca="1" si="77"/>
        <v/>
      </c>
      <c r="L110" s="408" t="str">
        <f t="shared" ca="1" si="77"/>
        <v/>
      </c>
      <c r="M110" s="408" t="str">
        <f t="shared" ca="1" si="77"/>
        <v/>
      </c>
      <c r="N110" s="408" t="str">
        <f t="shared" ca="1" si="77"/>
        <v/>
      </c>
      <c r="O110" s="408" t="str">
        <f t="shared" ca="1" si="77"/>
        <v/>
      </c>
      <c r="P110" s="408" t="str">
        <f t="shared" ca="1" si="77"/>
        <v/>
      </c>
      <c r="Q110" s="408" t="str">
        <f t="shared" ca="1" si="77"/>
        <v/>
      </c>
      <c r="R110" s="410" t="str">
        <f ca="1">Cluster!J129</f>
        <v>Selection</v>
      </c>
      <c r="S110" s="411" t="str">
        <f t="shared" ca="1" si="48"/>
        <v>-</v>
      </c>
      <c r="T110" s="412" t="str">
        <f t="shared" ca="1" si="49"/>
        <v/>
      </c>
      <c r="U110" s="411" t="str">
        <f t="shared" ca="1" si="50"/>
        <v>-</v>
      </c>
      <c r="V110" s="411" t="str">
        <f t="shared" ca="1" si="51"/>
        <v>-</v>
      </c>
      <c r="W110" s="413">
        <f>Cluster!N129</f>
        <v>0</v>
      </c>
      <c r="X110" s="414" t="str">
        <f t="shared" ca="1" si="52"/>
        <v>-</v>
      </c>
      <c r="Y110" s="411" t="str">
        <f t="shared" ca="1" si="53"/>
        <v>-</v>
      </c>
      <c r="Z110" s="415" t="str">
        <f t="shared" ca="1" si="54"/>
        <v>-</v>
      </c>
      <c r="AA110" s="416" t="str">
        <f t="shared" ca="1" si="55"/>
        <v>-</v>
      </c>
      <c r="AB110" s="416" t="str">
        <f t="shared" ca="1" si="56"/>
        <v/>
      </c>
      <c r="AC110" s="434">
        <f>Cluster!Q129</f>
        <v>0</v>
      </c>
      <c r="AD110" s="435" t="str">
        <f t="shared" ref="AD110:AE129" ca="1" si="78">IF((INDIRECT("TrackIT_Lines!"&amp;AD$2&amp;$A110))="","", (INDIRECT("TrackIT_Lines!"&amp;AD$2&amp;$A110)))</f>
        <v/>
      </c>
      <c r="AE110" s="436" t="str">
        <f t="shared" ca="1" si="78"/>
        <v/>
      </c>
      <c r="AF110" s="437" t="str">
        <f t="shared" ca="1" si="57"/>
        <v>-</v>
      </c>
      <c r="AG110" s="438" t="str">
        <f t="shared" ca="1" si="58"/>
        <v>-</v>
      </c>
      <c r="AH110" s="437" t="str">
        <f t="shared" ca="1" si="59"/>
        <v>-</v>
      </c>
      <c r="AI110" s="438" t="str">
        <f t="shared" ca="1" si="60"/>
        <v>-</v>
      </c>
      <c r="AJ110" s="438" t="str">
        <f t="shared" ca="1" si="61"/>
        <v>-</v>
      </c>
      <c r="AK110" s="439" t="str">
        <f ca="1">IFERROR(AE110*AD110*AL110/(IF(Cluster!AA129=Cluster!$W$8,Cluster!$W$10,IF(Cluster!AA129=Cluster!$X$8,Cluster!$X$10,IF(Cluster!AA129=Cluster!$Y$8,Cluster!$Y$10,0)))*10^3),"-")</f>
        <v>-</v>
      </c>
      <c r="AL110" s="440" t="str">
        <f ca="1">IFERROR(IF(OR(Calculation!T110&lt;(Calculation!$U$8+2),Calculation!AC110="Bypass"),IF((IF(Calculation!$O$6/((Calculation!AD110*10^-12)/(Calculation!T110*10^-9)*50)&lt;=1,1,ROUNDUP(Calculation!$O$6/((Calculation!AD110*10^-12)/(Calculation!T110*10^-9)*50),0))*50)&lt;Calculation!$AK$6,Calculation!$AK$6,IF(Calculation!$O$6/((Calculation!AD110*10^-12)/(Calculation!T110*10^-9)*50)&lt;=1,1,ROUNDUP(Calculation!$O$6/((Calculation!AD110*10^-12)/(Calculation!T110*10^-9)*50),0))*50),"-"),"-")</f>
        <v>-</v>
      </c>
      <c r="AM110" s="441" t="str">
        <f t="shared" ref="AM110:AN129" ca="1" si="79">IF((INDIRECT("TrackIT_Lines!"&amp;AM$2&amp;$A110))="","", (INDIRECT("TrackIT_Lines!"&amp;AM$2&amp;$A110)))</f>
        <v/>
      </c>
      <c r="AN110" s="442" t="str">
        <f t="shared" ca="1" si="79"/>
        <v/>
      </c>
      <c r="AO110" s="432">
        <f t="shared" ca="1" si="62"/>
        <v>384</v>
      </c>
      <c r="AP110" s="427" t="str">
        <f t="shared" ca="1" si="63"/>
        <v>-</v>
      </c>
      <c r="AQ110" s="443" t="str">
        <f t="shared" ca="1" si="64"/>
        <v>-</v>
      </c>
      <c r="AR110" s="444" t="str">
        <f t="shared" ca="1" si="65"/>
        <v>-</v>
      </c>
      <c r="AS110" s="430" t="str">
        <f t="shared" ca="1" si="66"/>
        <v>-</v>
      </c>
    </row>
    <row r="111" spans="1:55" ht="14.25" x14ac:dyDescent="0.65">
      <c r="A111" s="407">
        <v>103</v>
      </c>
      <c r="B111" s="408" t="str">
        <f t="shared" ca="1" si="47"/>
        <v/>
      </c>
      <c r="C111" s="408" t="str">
        <f ca="1">IFERROR(IF(G111="","",CONCATENATE(E111,"-",INDEX(Coordinate,MATCH(F111,ListAndConversion!$X$4:$X$99,0),2))),"")</f>
        <v/>
      </c>
      <c r="D111" s="408" t="str">
        <f t="shared" ca="1" si="76"/>
        <v/>
      </c>
      <c r="E111" s="408" t="str">
        <f t="shared" ca="1" si="76"/>
        <v/>
      </c>
      <c r="F111" s="408" t="str">
        <f t="shared" ca="1" si="76"/>
        <v/>
      </c>
      <c r="G111" s="408" t="str">
        <f ca="1">IFERROR(INDEX(ListAndConversion!A:B,MATCH(Calculation!E111,ListAndConversion!A:A,0),2),"")</f>
        <v/>
      </c>
      <c r="H111" s="408" t="str">
        <f>IF(TrackIT_Lines!AD103="","",TrackIT_Lines!AD103)</f>
        <v/>
      </c>
      <c r="I111" s="408" t="str">
        <f>IF(TrackIT_Lines!AD103="","",CONCATENATE(TrackIT_Lines!AD103,"-",TrackIT_Lines!AG103))</f>
        <v/>
      </c>
      <c r="J111" s="409" t="str">
        <f t="shared" ca="1" si="77"/>
        <v/>
      </c>
      <c r="K111" s="408" t="str">
        <f t="shared" ca="1" si="77"/>
        <v/>
      </c>
      <c r="L111" s="408" t="str">
        <f t="shared" ca="1" si="77"/>
        <v/>
      </c>
      <c r="M111" s="408" t="str">
        <f t="shared" ca="1" si="77"/>
        <v/>
      </c>
      <c r="N111" s="408" t="str">
        <f t="shared" ca="1" si="77"/>
        <v/>
      </c>
      <c r="O111" s="408" t="str">
        <f t="shared" ca="1" si="77"/>
        <v/>
      </c>
      <c r="P111" s="408" t="str">
        <f t="shared" ca="1" si="77"/>
        <v/>
      </c>
      <c r="Q111" s="408" t="str">
        <f t="shared" ca="1" si="77"/>
        <v/>
      </c>
      <c r="R111" s="410" t="str">
        <f ca="1">Cluster!J130</f>
        <v>Selection</v>
      </c>
      <c r="S111" s="411" t="str">
        <f t="shared" ca="1" si="48"/>
        <v>-</v>
      </c>
      <c r="T111" s="412" t="str">
        <f t="shared" ca="1" si="49"/>
        <v/>
      </c>
      <c r="U111" s="411" t="str">
        <f t="shared" ca="1" si="50"/>
        <v>-</v>
      </c>
      <c r="V111" s="411" t="str">
        <f t="shared" ca="1" si="51"/>
        <v>-</v>
      </c>
      <c r="W111" s="413">
        <f>Cluster!N130</f>
        <v>0</v>
      </c>
      <c r="X111" s="414" t="str">
        <f t="shared" ca="1" si="52"/>
        <v>-</v>
      </c>
      <c r="Y111" s="411" t="str">
        <f t="shared" ca="1" si="53"/>
        <v>-</v>
      </c>
      <c r="Z111" s="415" t="str">
        <f t="shared" ca="1" si="54"/>
        <v>-</v>
      </c>
      <c r="AA111" s="416" t="str">
        <f t="shared" ca="1" si="55"/>
        <v>-</v>
      </c>
      <c r="AB111" s="416" t="str">
        <f t="shared" ca="1" si="56"/>
        <v/>
      </c>
      <c r="AC111" s="434">
        <f>Cluster!Q130</f>
        <v>0</v>
      </c>
      <c r="AD111" s="435" t="str">
        <f t="shared" ca="1" si="78"/>
        <v/>
      </c>
      <c r="AE111" s="436" t="str">
        <f t="shared" ca="1" si="78"/>
        <v/>
      </c>
      <c r="AF111" s="437" t="str">
        <f t="shared" ca="1" si="57"/>
        <v>-</v>
      </c>
      <c r="AG111" s="438" t="str">
        <f t="shared" ca="1" si="58"/>
        <v>-</v>
      </c>
      <c r="AH111" s="437" t="str">
        <f t="shared" ca="1" si="59"/>
        <v>-</v>
      </c>
      <c r="AI111" s="438" t="str">
        <f t="shared" ca="1" si="60"/>
        <v>-</v>
      </c>
      <c r="AJ111" s="438" t="str">
        <f t="shared" ca="1" si="61"/>
        <v>-</v>
      </c>
      <c r="AK111" s="439" t="str">
        <f ca="1">IFERROR(AE111*AD111*AL111/(IF(Cluster!AA130=Cluster!$W$8,Cluster!$W$10,IF(Cluster!AA130=Cluster!$X$8,Cluster!$X$10,IF(Cluster!AA130=Cluster!$Y$8,Cluster!$Y$10,0)))*10^3),"-")</f>
        <v>-</v>
      </c>
      <c r="AL111" s="440" t="str">
        <f ca="1">IFERROR(IF(OR(Calculation!T111&lt;(Calculation!$U$8+2),Calculation!AC111="Bypass"),IF((IF(Calculation!$O$6/((Calculation!AD111*10^-12)/(Calculation!T111*10^-9)*50)&lt;=1,1,ROUNDUP(Calculation!$O$6/((Calculation!AD111*10^-12)/(Calculation!T111*10^-9)*50),0))*50)&lt;Calculation!$AK$6,Calculation!$AK$6,IF(Calculation!$O$6/((Calculation!AD111*10^-12)/(Calculation!T111*10^-9)*50)&lt;=1,1,ROUNDUP(Calculation!$O$6/((Calculation!AD111*10^-12)/(Calculation!T111*10^-9)*50),0))*50),"-"),"-")</f>
        <v>-</v>
      </c>
      <c r="AM111" s="441" t="str">
        <f t="shared" ca="1" si="79"/>
        <v/>
      </c>
      <c r="AN111" s="442" t="str">
        <f t="shared" ca="1" si="79"/>
        <v/>
      </c>
      <c r="AO111" s="432">
        <f t="shared" ca="1" si="62"/>
        <v>384</v>
      </c>
      <c r="AP111" s="427" t="str">
        <f t="shared" ca="1" si="63"/>
        <v>-</v>
      </c>
      <c r="AQ111" s="443" t="str">
        <f t="shared" ca="1" si="64"/>
        <v>-</v>
      </c>
      <c r="AR111" s="444" t="str">
        <f t="shared" ca="1" si="65"/>
        <v>-</v>
      </c>
      <c r="AS111" s="430" t="str">
        <f t="shared" ca="1" si="66"/>
        <v>-</v>
      </c>
    </row>
    <row r="112" spans="1:55" ht="14.25" x14ac:dyDescent="0.65">
      <c r="A112" s="407">
        <v>104</v>
      </c>
      <c r="B112" s="408" t="str">
        <f t="shared" ca="1" si="47"/>
        <v/>
      </c>
      <c r="C112" s="408" t="str">
        <f ca="1">IFERROR(IF(G112="","",CONCATENATE(E112,"-",INDEX(Coordinate,MATCH(F112,ListAndConversion!$X$4:$X$99,0),2))),"")</f>
        <v/>
      </c>
      <c r="D112" s="408" t="str">
        <f t="shared" ca="1" si="76"/>
        <v/>
      </c>
      <c r="E112" s="408" t="str">
        <f t="shared" ca="1" si="76"/>
        <v/>
      </c>
      <c r="F112" s="408" t="str">
        <f t="shared" ca="1" si="76"/>
        <v/>
      </c>
      <c r="G112" s="408" t="str">
        <f ca="1">IFERROR(INDEX(ListAndConversion!A:B,MATCH(Calculation!E112,ListAndConversion!A:A,0),2),"")</f>
        <v/>
      </c>
      <c r="H112" s="408" t="str">
        <f>IF(TrackIT_Lines!AD104="","",TrackIT_Lines!AD104)</f>
        <v/>
      </c>
      <c r="I112" s="408" t="str">
        <f>IF(TrackIT_Lines!AD104="","",CONCATENATE(TrackIT_Lines!AD104,"-",TrackIT_Lines!AG104))</f>
        <v/>
      </c>
      <c r="J112" s="409" t="str">
        <f t="shared" ca="1" si="77"/>
        <v/>
      </c>
      <c r="K112" s="408" t="str">
        <f t="shared" ca="1" si="77"/>
        <v/>
      </c>
      <c r="L112" s="408" t="str">
        <f t="shared" ca="1" si="77"/>
        <v/>
      </c>
      <c r="M112" s="408" t="str">
        <f t="shared" ca="1" si="77"/>
        <v/>
      </c>
      <c r="N112" s="408" t="str">
        <f t="shared" ca="1" si="77"/>
        <v/>
      </c>
      <c r="O112" s="408" t="str">
        <f t="shared" ca="1" si="77"/>
        <v/>
      </c>
      <c r="P112" s="408" t="str">
        <f t="shared" ca="1" si="77"/>
        <v/>
      </c>
      <c r="Q112" s="408" t="str">
        <f t="shared" ca="1" si="77"/>
        <v/>
      </c>
      <c r="R112" s="410" t="str">
        <f ca="1">Cluster!J131</f>
        <v>Selection</v>
      </c>
      <c r="S112" s="411" t="str">
        <f t="shared" ca="1" si="48"/>
        <v>-</v>
      </c>
      <c r="T112" s="412" t="str">
        <f t="shared" ca="1" si="49"/>
        <v/>
      </c>
      <c r="U112" s="411" t="str">
        <f t="shared" ca="1" si="50"/>
        <v>-</v>
      </c>
      <c r="V112" s="411" t="str">
        <f t="shared" ca="1" si="51"/>
        <v>-</v>
      </c>
      <c r="W112" s="413">
        <f>Cluster!N131</f>
        <v>0</v>
      </c>
      <c r="X112" s="414" t="str">
        <f t="shared" ca="1" si="52"/>
        <v>-</v>
      </c>
      <c r="Y112" s="411" t="str">
        <f t="shared" ca="1" si="53"/>
        <v>-</v>
      </c>
      <c r="Z112" s="415" t="str">
        <f t="shared" ca="1" si="54"/>
        <v>-</v>
      </c>
      <c r="AA112" s="416" t="str">
        <f t="shared" ca="1" si="55"/>
        <v>-</v>
      </c>
      <c r="AB112" s="416" t="str">
        <f t="shared" ca="1" si="56"/>
        <v/>
      </c>
      <c r="AC112" s="434">
        <f>Cluster!Q131</f>
        <v>0</v>
      </c>
      <c r="AD112" s="435" t="str">
        <f t="shared" ca="1" si="78"/>
        <v/>
      </c>
      <c r="AE112" s="436" t="str">
        <f t="shared" ca="1" si="78"/>
        <v/>
      </c>
      <c r="AF112" s="437" t="str">
        <f t="shared" ca="1" si="57"/>
        <v>-</v>
      </c>
      <c r="AG112" s="438" t="str">
        <f t="shared" ca="1" si="58"/>
        <v>-</v>
      </c>
      <c r="AH112" s="437" t="str">
        <f t="shared" ca="1" si="59"/>
        <v>-</v>
      </c>
      <c r="AI112" s="438" t="str">
        <f t="shared" ca="1" si="60"/>
        <v>-</v>
      </c>
      <c r="AJ112" s="438" t="str">
        <f t="shared" ca="1" si="61"/>
        <v>-</v>
      </c>
      <c r="AK112" s="439" t="str">
        <f ca="1">IFERROR(AE112*AD112*AL112/(IF(Cluster!AA131=Cluster!$W$8,Cluster!$W$10,IF(Cluster!AA131=Cluster!$X$8,Cluster!$X$10,IF(Cluster!AA131=Cluster!$Y$8,Cluster!$Y$10,0)))*10^3),"-")</f>
        <v>-</v>
      </c>
      <c r="AL112" s="440" t="str">
        <f ca="1">IFERROR(IF(OR(Calculation!T112&lt;(Calculation!$U$8+2),Calculation!AC112="Bypass"),IF((IF(Calculation!$O$6/((Calculation!AD112*10^-12)/(Calculation!T112*10^-9)*50)&lt;=1,1,ROUNDUP(Calculation!$O$6/((Calculation!AD112*10^-12)/(Calculation!T112*10^-9)*50),0))*50)&lt;Calculation!$AK$6,Calculation!$AK$6,IF(Calculation!$O$6/((Calculation!AD112*10^-12)/(Calculation!T112*10^-9)*50)&lt;=1,1,ROUNDUP(Calculation!$O$6/((Calculation!AD112*10^-12)/(Calculation!T112*10^-9)*50),0))*50),"-"),"-")</f>
        <v>-</v>
      </c>
      <c r="AM112" s="441" t="str">
        <f t="shared" ca="1" si="79"/>
        <v/>
      </c>
      <c r="AN112" s="442" t="str">
        <f t="shared" ca="1" si="79"/>
        <v/>
      </c>
      <c r="AO112" s="432">
        <f t="shared" ca="1" si="62"/>
        <v>384</v>
      </c>
      <c r="AP112" s="427" t="str">
        <f t="shared" ca="1" si="63"/>
        <v>-</v>
      </c>
      <c r="AQ112" s="443" t="str">
        <f t="shared" ca="1" si="64"/>
        <v>-</v>
      </c>
      <c r="AR112" s="444" t="str">
        <f t="shared" ca="1" si="65"/>
        <v>-</v>
      </c>
      <c r="AS112" s="430" t="str">
        <f t="shared" ca="1" si="66"/>
        <v>-</v>
      </c>
    </row>
    <row r="113" spans="1:45" ht="14.25" x14ac:dyDescent="0.65">
      <c r="A113" s="407">
        <v>105</v>
      </c>
      <c r="B113" s="408" t="str">
        <f t="shared" ca="1" si="47"/>
        <v/>
      </c>
      <c r="C113" s="408" t="str">
        <f ca="1">IFERROR(IF(G113="","",CONCATENATE(E113,"-",INDEX(Coordinate,MATCH(F113,ListAndConversion!$X$4:$X$99,0),2))),"")</f>
        <v/>
      </c>
      <c r="D113" s="408" t="str">
        <f t="shared" ca="1" si="76"/>
        <v/>
      </c>
      <c r="E113" s="408" t="str">
        <f t="shared" ca="1" si="76"/>
        <v/>
      </c>
      <c r="F113" s="408" t="str">
        <f t="shared" ca="1" si="76"/>
        <v/>
      </c>
      <c r="G113" s="408" t="str">
        <f ca="1">IFERROR(INDEX(ListAndConversion!A:B,MATCH(Calculation!E113,ListAndConversion!A:A,0),2),"")</f>
        <v/>
      </c>
      <c r="H113" s="408" t="str">
        <f>IF(TrackIT_Lines!AD105="","",TrackIT_Lines!AD105)</f>
        <v/>
      </c>
      <c r="I113" s="408" t="str">
        <f>IF(TrackIT_Lines!AD105="","",CONCATENATE(TrackIT_Lines!AD105,"-",TrackIT_Lines!AG105))</f>
        <v/>
      </c>
      <c r="J113" s="409" t="str">
        <f t="shared" ca="1" si="77"/>
        <v/>
      </c>
      <c r="K113" s="408" t="str">
        <f t="shared" ca="1" si="77"/>
        <v/>
      </c>
      <c r="L113" s="408" t="str">
        <f t="shared" ca="1" si="77"/>
        <v/>
      </c>
      <c r="M113" s="408" t="str">
        <f t="shared" ca="1" si="77"/>
        <v/>
      </c>
      <c r="N113" s="408" t="str">
        <f t="shared" ca="1" si="77"/>
        <v/>
      </c>
      <c r="O113" s="408" t="str">
        <f t="shared" ca="1" si="77"/>
        <v/>
      </c>
      <c r="P113" s="408" t="str">
        <f t="shared" ca="1" si="77"/>
        <v/>
      </c>
      <c r="Q113" s="408" t="str">
        <f t="shared" ca="1" si="77"/>
        <v/>
      </c>
      <c r="R113" s="410" t="str">
        <f ca="1">Cluster!J132</f>
        <v>Selection</v>
      </c>
      <c r="S113" s="411" t="str">
        <f t="shared" ca="1" si="48"/>
        <v>-</v>
      </c>
      <c r="T113" s="412" t="str">
        <f t="shared" ca="1" si="49"/>
        <v/>
      </c>
      <c r="U113" s="411" t="str">
        <f t="shared" ca="1" si="50"/>
        <v>-</v>
      </c>
      <c r="V113" s="411" t="str">
        <f t="shared" ca="1" si="51"/>
        <v>-</v>
      </c>
      <c r="W113" s="413">
        <f>Cluster!N132</f>
        <v>0</v>
      </c>
      <c r="X113" s="414" t="str">
        <f t="shared" ca="1" si="52"/>
        <v>-</v>
      </c>
      <c r="Y113" s="411" t="str">
        <f t="shared" ca="1" si="53"/>
        <v>-</v>
      </c>
      <c r="Z113" s="415" t="str">
        <f t="shared" ca="1" si="54"/>
        <v>-</v>
      </c>
      <c r="AA113" s="416" t="str">
        <f t="shared" ca="1" si="55"/>
        <v>-</v>
      </c>
      <c r="AB113" s="416" t="str">
        <f t="shared" ca="1" si="56"/>
        <v/>
      </c>
      <c r="AC113" s="434">
        <f>Cluster!Q132</f>
        <v>0</v>
      </c>
      <c r="AD113" s="435" t="str">
        <f t="shared" ca="1" si="78"/>
        <v/>
      </c>
      <c r="AE113" s="436" t="str">
        <f t="shared" ca="1" si="78"/>
        <v/>
      </c>
      <c r="AF113" s="437" t="str">
        <f t="shared" ca="1" si="57"/>
        <v>-</v>
      </c>
      <c r="AG113" s="438" t="str">
        <f t="shared" ca="1" si="58"/>
        <v>-</v>
      </c>
      <c r="AH113" s="437" t="str">
        <f t="shared" ca="1" si="59"/>
        <v>-</v>
      </c>
      <c r="AI113" s="438" t="str">
        <f t="shared" ca="1" si="60"/>
        <v>-</v>
      </c>
      <c r="AJ113" s="438" t="str">
        <f t="shared" ca="1" si="61"/>
        <v>-</v>
      </c>
      <c r="AK113" s="439" t="str">
        <f ca="1">IFERROR(AE113*AD113*AL113/(IF(Cluster!AA132=Cluster!$W$8,Cluster!$W$10,IF(Cluster!AA132=Cluster!$X$8,Cluster!$X$10,IF(Cluster!AA132=Cluster!$Y$8,Cluster!$Y$10,0)))*10^3),"-")</f>
        <v>-</v>
      </c>
      <c r="AL113" s="440" t="str">
        <f ca="1">IFERROR(IF(OR(Calculation!T113&lt;(Calculation!$U$8+2),Calculation!AC113="Bypass"),IF((IF(Calculation!$O$6/((Calculation!AD113*10^-12)/(Calculation!T113*10^-9)*50)&lt;=1,1,ROUNDUP(Calculation!$O$6/((Calculation!AD113*10^-12)/(Calculation!T113*10^-9)*50),0))*50)&lt;Calculation!$AK$6,Calculation!$AK$6,IF(Calculation!$O$6/((Calculation!AD113*10^-12)/(Calculation!T113*10^-9)*50)&lt;=1,1,ROUNDUP(Calculation!$O$6/((Calculation!AD113*10^-12)/(Calculation!T113*10^-9)*50),0))*50),"-"),"-")</f>
        <v>-</v>
      </c>
      <c r="AM113" s="441" t="str">
        <f t="shared" ca="1" si="79"/>
        <v/>
      </c>
      <c r="AN113" s="442" t="str">
        <f t="shared" ca="1" si="79"/>
        <v/>
      </c>
      <c r="AO113" s="432">
        <f t="shared" ca="1" si="62"/>
        <v>384</v>
      </c>
      <c r="AP113" s="427" t="str">
        <f t="shared" ca="1" si="63"/>
        <v>-</v>
      </c>
      <c r="AQ113" s="443" t="str">
        <f t="shared" ca="1" si="64"/>
        <v>-</v>
      </c>
      <c r="AR113" s="444" t="str">
        <f t="shared" ca="1" si="65"/>
        <v>-</v>
      </c>
      <c r="AS113" s="430" t="str">
        <f t="shared" ca="1" si="66"/>
        <v>-</v>
      </c>
    </row>
    <row r="114" spans="1:45" ht="14.25" x14ac:dyDescent="0.65">
      <c r="A114" s="407">
        <v>106</v>
      </c>
      <c r="B114" s="408" t="str">
        <f t="shared" ca="1" si="47"/>
        <v/>
      </c>
      <c r="C114" s="408" t="str">
        <f ca="1">IFERROR(IF(G114="","",CONCATENATE(E114,"-",INDEX(Coordinate,MATCH(F114,ListAndConversion!$X$4:$X$99,0),2))),"")</f>
        <v/>
      </c>
      <c r="D114" s="408" t="str">
        <f t="shared" ca="1" si="76"/>
        <v/>
      </c>
      <c r="E114" s="408" t="str">
        <f t="shared" ca="1" si="76"/>
        <v/>
      </c>
      <c r="F114" s="408" t="str">
        <f t="shared" ca="1" si="76"/>
        <v/>
      </c>
      <c r="G114" s="408" t="str">
        <f ca="1">IFERROR(INDEX(ListAndConversion!A:B,MATCH(Calculation!E114,ListAndConversion!A:A,0),2),"")</f>
        <v/>
      </c>
      <c r="H114" s="408" t="str">
        <f>IF(TrackIT_Lines!AD106="","",TrackIT_Lines!AD106)</f>
        <v/>
      </c>
      <c r="I114" s="408" t="str">
        <f>IF(TrackIT_Lines!AD106="","",CONCATENATE(TrackIT_Lines!AD106,"-",TrackIT_Lines!AG106))</f>
        <v/>
      </c>
      <c r="J114" s="409" t="str">
        <f t="shared" ca="1" si="77"/>
        <v/>
      </c>
      <c r="K114" s="408" t="str">
        <f t="shared" ca="1" si="77"/>
        <v/>
      </c>
      <c r="L114" s="408" t="str">
        <f t="shared" ca="1" si="77"/>
        <v/>
      </c>
      <c r="M114" s="408" t="str">
        <f t="shared" ca="1" si="77"/>
        <v/>
      </c>
      <c r="N114" s="408" t="str">
        <f t="shared" ca="1" si="77"/>
        <v/>
      </c>
      <c r="O114" s="408" t="str">
        <f t="shared" ca="1" si="77"/>
        <v/>
      </c>
      <c r="P114" s="408" t="str">
        <f t="shared" ca="1" si="77"/>
        <v/>
      </c>
      <c r="Q114" s="408" t="str">
        <f t="shared" ca="1" si="77"/>
        <v/>
      </c>
      <c r="R114" s="410" t="str">
        <f ca="1">Cluster!J133</f>
        <v>Selection</v>
      </c>
      <c r="S114" s="411" t="str">
        <f t="shared" ca="1" si="48"/>
        <v>-</v>
      </c>
      <c r="T114" s="412" t="str">
        <f t="shared" ca="1" si="49"/>
        <v/>
      </c>
      <c r="U114" s="411" t="str">
        <f t="shared" ca="1" si="50"/>
        <v>-</v>
      </c>
      <c r="V114" s="411" t="str">
        <f t="shared" ca="1" si="51"/>
        <v>-</v>
      </c>
      <c r="W114" s="413">
        <f>Cluster!N133</f>
        <v>0</v>
      </c>
      <c r="X114" s="414" t="str">
        <f t="shared" ca="1" si="52"/>
        <v>-</v>
      </c>
      <c r="Y114" s="411" t="str">
        <f t="shared" ca="1" si="53"/>
        <v>-</v>
      </c>
      <c r="Z114" s="415" t="str">
        <f t="shared" ca="1" si="54"/>
        <v>-</v>
      </c>
      <c r="AA114" s="416" t="str">
        <f t="shared" ca="1" si="55"/>
        <v>-</v>
      </c>
      <c r="AB114" s="416" t="str">
        <f t="shared" ca="1" si="56"/>
        <v/>
      </c>
      <c r="AC114" s="434">
        <f>Cluster!Q133</f>
        <v>0</v>
      </c>
      <c r="AD114" s="435" t="str">
        <f t="shared" ca="1" si="78"/>
        <v/>
      </c>
      <c r="AE114" s="436" t="str">
        <f t="shared" ca="1" si="78"/>
        <v/>
      </c>
      <c r="AF114" s="437" t="str">
        <f t="shared" ca="1" si="57"/>
        <v>-</v>
      </c>
      <c r="AG114" s="438" t="str">
        <f t="shared" ca="1" si="58"/>
        <v>-</v>
      </c>
      <c r="AH114" s="437" t="str">
        <f t="shared" ca="1" si="59"/>
        <v>-</v>
      </c>
      <c r="AI114" s="438" t="str">
        <f t="shared" ca="1" si="60"/>
        <v>-</v>
      </c>
      <c r="AJ114" s="438" t="str">
        <f t="shared" ca="1" si="61"/>
        <v>-</v>
      </c>
      <c r="AK114" s="439" t="str">
        <f ca="1">IFERROR(AE114*AD114*AL114/(IF(Cluster!AA133=Cluster!$W$8,Cluster!$W$10,IF(Cluster!AA133=Cluster!$X$8,Cluster!$X$10,IF(Cluster!AA133=Cluster!$Y$8,Cluster!$Y$10,0)))*10^3),"-")</f>
        <v>-</v>
      </c>
      <c r="AL114" s="440" t="str">
        <f ca="1">IFERROR(IF(OR(Calculation!T114&lt;(Calculation!$U$8+2),Calculation!AC114="Bypass"),IF((IF(Calculation!$O$6/((Calculation!AD114*10^-12)/(Calculation!T114*10^-9)*50)&lt;=1,1,ROUNDUP(Calculation!$O$6/((Calculation!AD114*10^-12)/(Calculation!T114*10^-9)*50),0))*50)&lt;Calculation!$AK$6,Calculation!$AK$6,IF(Calculation!$O$6/((Calculation!AD114*10^-12)/(Calculation!T114*10^-9)*50)&lt;=1,1,ROUNDUP(Calculation!$O$6/((Calculation!AD114*10^-12)/(Calculation!T114*10^-9)*50),0))*50),"-"),"-")</f>
        <v>-</v>
      </c>
      <c r="AM114" s="441" t="str">
        <f t="shared" ca="1" si="79"/>
        <v/>
      </c>
      <c r="AN114" s="442" t="str">
        <f t="shared" ca="1" si="79"/>
        <v/>
      </c>
      <c r="AO114" s="432">
        <f t="shared" ca="1" si="62"/>
        <v>384</v>
      </c>
      <c r="AP114" s="427" t="str">
        <f t="shared" ca="1" si="63"/>
        <v>-</v>
      </c>
      <c r="AQ114" s="443" t="str">
        <f t="shared" ca="1" si="64"/>
        <v>-</v>
      </c>
      <c r="AR114" s="444" t="str">
        <f t="shared" ca="1" si="65"/>
        <v>-</v>
      </c>
      <c r="AS114" s="430" t="str">
        <f t="shared" ca="1" si="66"/>
        <v>-</v>
      </c>
    </row>
    <row r="115" spans="1:45" ht="14.25" x14ac:dyDescent="0.65">
      <c r="A115" s="407">
        <v>107</v>
      </c>
      <c r="B115" s="408" t="str">
        <f t="shared" ca="1" si="47"/>
        <v/>
      </c>
      <c r="C115" s="408" t="str">
        <f ca="1">IFERROR(IF(G115="","",CONCATENATE(E115,"-",INDEX(Coordinate,MATCH(F115,ListAndConversion!$X$4:$X$99,0),2))),"")</f>
        <v/>
      </c>
      <c r="D115" s="408" t="str">
        <f t="shared" ca="1" si="76"/>
        <v/>
      </c>
      <c r="E115" s="408" t="str">
        <f t="shared" ca="1" si="76"/>
        <v/>
      </c>
      <c r="F115" s="408" t="str">
        <f t="shared" ca="1" si="76"/>
        <v/>
      </c>
      <c r="G115" s="408" t="str">
        <f ca="1">IFERROR(INDEX(ListAndConversion!A:B,MATCH(Calculation!E115,ListAndConversion!A:A,0),2),"")</f>
        <v/>
      </c>
      <c r="H115" s="408" t="str">
        <f>IF(TrackIT_Lines!AD107="","",TrackIT_Lines!AD107)</f>
        <v/>
      </c>
      <c r="I115" s="408" t="str">
        <f>IF(TrackIT_Lines!AD107="","",CONCATENATE(TrackIT_Lines!AD107,"-",TrackIT_Lines!AG107))</f>
        <v/>
      </c>
      <c r="J115" s="409" t="str">
        <f t="shared" ca="1" si="77"/>
        <v/>
      </c>
      <c r="K115" s="408" t="str">
        <f t="shared" ca="1" si="77"/>
        <v/>
      </c>
      <c r="L115" s="408" t="str">
        <f t="shared" ca="1" si="77"/>
        <v/>
      </c>
      <c r="M115" s="408" t="str">
        <f t="shared" ca="1" si="77"/>
        <v/>
      </c>
      <c r="N115" s="408" t="str">
        <f t="shared" ca="1" si="77"/>
        <v/>
      </c>
      <c r="O115" s="408" t="str">
        <f t="shared" ca="1" si="77"/>
        <v/>
      </c>
      <c r="P115" s="408" t="str">
        <f t="shared" ca="1" si="77"/>
        <v/>
      </c>
      <c r="Q115" s="408" t="str">
        <f t="shared" ca="1" si="77"/>
        <v/>
      </c>
      <c r="R115" s="410" t="str">
        <f ca="1">Cluster!J134</f>
        <v>Selection</v>
      </c>
      <c r="S115" s="411" t="str">
        <f t="shared" ca="1" si="48"/>
        <v>-</v>
      </c>
      <c r="T115" s="412" t="str">
        <f t="shared" ca="1" si="49"/>
        <v/>
      </c>
      <c r="U115" s="411" t="str">
        <f t="shared" ca="1" si="50"/>
        <v>-</v>
      </c>
      <c r="V115" s="411" t="str">
        <f t="shared" ca="1" si="51"/>
        <v>-</v>
      </c>
      <c r="W115" s="413">
        <f>Cluster!N134</f>
        <v>0</v>
      </c>
      <c r="X115" s="414" t="str">
        <f t="shared" ca="1" si="52"/>
        <v>-</v>
      </c>
      <c r="Y115" s="411" t="str">
        <f t="shared" ca="1" si="53"/>
        <v>-</v>
      </c>
      <c r="Z115" s="415" t="str">
        <f t="shared" ca="1" si="54"/>
        <v>-</v>
      </c>
      <c r="AA115" s="416" t="str">
        <f t="shared" ca="1" si="55"/>
        <v>-</v>
      </c>
      <c r="AB115" s="416" t="str">
        <f t="shared" ca="1" si="56"/>
        <v/>
      </c>
      <c r="AC115" s="434">
        <f>Cluster!Q134</f>
        <v>0</v>
      </c>
      <c r="AD115" s="435" t="str">
        <f t="shared" ca="1" si="78"/>
        <v/>
      </c>
      <c r="AE115" s="436" t="str">
        <f t="shared" ca="1" si="78"/>
        <v/>
      </c>
      <c r="AF115" s="437" t="str">
        <f t="shared" ca="1" si="57"/>
        <v>-</v>
      </c>
      <c r="AG115" s="438" t="str">
        <f t="shared" ca="1" si="58"/>
        <v>-</v>
      </c>
      <c r="AH115" s="437" t="str">
        <f t="shared" ca="1" si="59"/>
        <v>-</v>
      </c>
      <c r="AI115" s="438" t="str">
        <f t="shared" ca="1" si="60"/>
        <v>-</v>
      </c>
      <c r="AJ115" s="438" t="str">
        <f t="shared" ca="1" si="61"/>
        <v>-</v>
      </c>
      <c r="AK115" s="439" t="str">
        <f ca="1">IFERROR(AE115*AD115*AL115/(IF(Cluster!AA134=Cluster!$W$8,Cluster!$W$10,IF(Cluster!AA134=Cluster!$X$8,Cluster!$X$10,IF(Cluster!AA134=Cluster!$Y$8,Cluster!$Y$10,0)))*10^3),"-")</f>
        <v>-</v>
      </c>
      <c r="AL115" s="440" t="str">
        <f ca="1">IFERROR(IF(OR(Calculation!T115&lt;(Calculation!$U$8+2),Calculation!AC115="Bypass"),IF((IF(Calculation!$O$6/((Calculation!AD115*10^-12)/(Calculation!T115*10^-9)*50)&lt;=1,1,ROUNDUP(Calculation!$O$6/((Calculation!AD115*10^-12)/(Calculation!T115*10^-9)*50),0))*50)&lt;Calculation!$AK$6,Calculation!$AK$6,IF(Calculation!$O$6/((Calculation!AD115*10^-12)/(Calculation!T115*10^-9)*50)&lt;=1,1,ROUNDUP(Calculation!$O$6/((Calculation!AD115*10^-12)/(Calculation!T115*10^-9)*50),0))*50),"-"),"-")</f>
        <v>-</v>
      </c>
      <c r="AM115" s="441" t="str">
        <f t="shared" ca="1" si="79"/>
        <v/>
      </c>
      <c r="AN115" s="442" t="str">
        <f t="shared" ca="1" si="79"/>
        <v/>
      </c>
      <c r="AO115" s="432">
        <f t="shared" ca="1" si="62"/>
        <v>384</v>
      </c>
      <c r="AP115" s="427" t="str">
        <f t="shared" ca="1" si="63"/>
        <v>-</v>
      </c>
      <c r="AQ115" s="443" t="str">
        <f t="shared" ca="1" si="64"/>
        <v>-</v>
      </c>
      <c r="AR115" s="444" t="str">
        <f t="shared" ca="1" si="65"/>
        <v>-</v>
      </c>
      <c r="AS115" s="430" t="str">
        <f t="shared" ca="1" si="66"/>
        <v>-</v>
      </c>
    </row>
    <row r="116" spans="1:45" ht="14.25" x14ac:dyDescent="0.65">
      <c r="A116" s="407">
        <v>108</v>
      </c>
      <c r="B116" s="408" t="str">
        <f t="shared" ca="1" si="47"/>
        <v/>
      </c>
      <c r="C116" s="408" t="str">
        <f ca="1">IFERROR(IF(G116="","",CONCATENATE(E116,"-",INDEX(Coordinate,MATCH(F116,ListAndConversion!$X$4:$X$99,0),2))),"")</f>
        <v/>
      </c>
      <c r="D116" s="408" t="str">
        <f t="shared" ca="1" si="76"/>
        <v/>
      </c>
      <c r="E116" s="408" t="str">
        <f t="shared" ca="1" si="76"/>
        <v/>
      </c>
      <c r="F116" s="408" t="str">
        <f t="shared" ca="1" si="76"/>
        <v/>
      </c>
      <c r="G116" s="408" t="str">
        <f ca="1">IFERROR(INDEX(ListAndConversion!A:B,MATCH(Calculation!E116,ListAndConversion!A:A,0),2),"")</f>
        <v/>
      </c>
      <c r="H116" s="408" t="str">
        <f>IF(TrackIT_Lines!AD108="","",TrackIT_Lines!AD108)</f>
        <v/>
      </c>
      <c r="I116" s="408" t="str">
        <f>IF(TrackIT_Lines!AD108="","",CONCATENATE(TrackIT_Lines!AD108,"-",TrackIT_Lines!AG108))</f>
        <v/>
      </c>
      <c r="J116" s="409" t="str">
        <f t="shared" ca="1" si="77"/>
        <v/>
      </c>
      <c r="K116" s="408" t="str">
        <f t="shared" ca="1" si="77"/>
        <v/>
      </c>
      <c r="L116" s="408" t="str">
        <f t="shared" ca="1" si="77"/>
        <v/>
      </c>
      <c r="M116" s="408" t="str">
        <f t="shared" ca="1" si="77"/>
        <v/>
      </c>
      <c r="N116" s="408" t="str">
        <f t="shared" ca="1" si="77"/>
        <v/>
      </c>
      <c r="O116" s="408" t="str">
        <f t="shared" ca="1" si="77"/>
        <v/>
      </c>
      <c r="P116" s="408" t="str">
        <f t="shared" ca="1" si="77"/>
        <v/>
      </c>
      <c r="Q116" s="408" t="str">
        <f t="shared" ca="1" si="77"/>
        <v/>
      </c>
      <c r="R116" s="410" t="str">
        <f ca="1">Cluster!J135</f>
        <v>Selection</v>
      </c>
      <c r="S116" s="411" t="str">
        <f t="shared" ca="1" si="48"/>
        <v>-</v>
      </c>
      <c r="T116" s="412" t="str">
        <f t="shared" ca="1" si="49"/>
        <v/>
      </c>
      <c r="U116" s="411" t="str">
        <f t="shared" ca="1" si="50"/>
        <v>-</v>
      </c>
      <c r="V116" s="411" t="str">
        <f t="shared" ca="1" si="51"/>
        <v>-</v>
      </c>
      <c r="W116" s="413">
        <f>Cluster!N135</f>
        <v>0</v>
      </c>
      <c r="X116" s="414" t="str">
        <f t="shared" ca="1" si="52"/>
        <v>-</v>
      </c>
      <c r="Y116" s="411" t="str">
        <f t="shared" ca="1" si="53"/>
        <v>-</v>
      </c>
      <c r="Z116" s="415" t="str">
        <f t="shared" ca="1" si="54"/>
        <v>-</v>
      </c>
      <c r="AA116" s="416" t="str">
        <f t="shared" ca="1" si="55"/>
        <v>-</v>
      </c>
      <c r="AB116" s="416" t="str">
        <f t="shared" ca="1" si="56"/>
        <v/>
      </c>
      <c r="AC116" s="434">
        <f>Cluster!Q135</f>
        <v>0</v>
      </c>
      <c r="AD116" s="435" t="str">
        <f t="shared" ca="1" si="78"/>
        <v/>
      </c>
      <c r="AE116" s="436" t="str">
        <f t="shared" ca="1" si="78"/>
        <v/>
      </c>
      <c r="AF116" s="437" t="str">
        <f t="shared" ca="1" si="57"/>
        <v>-</v>
      </c>
      <c r="AG116" s="438" t="str">
        <f t="shared" ca="1" si="58"/>
        <v>-</v>
      </c>
      <c r="AH116" s="437" t="str">
        <f t="shared" ca="1" si="59"/>
        <v>-</v>
      </c>
      <c r="AI116" s="438" t="str">
        <f t="shared" ca="1" si="60"/>
        <v>-</v>
      </c>
      <c r="AJ116" s="438" t="str">
        <f t="shared" ca="1" si="61"/>
        <v>-</v>
      </c>
      <c r="AK116" s="439" t="str">
        <f ca="1">IFERROR(AE116*AD116*AL116/(IF(Cluster!AA135=Cluster!$W$8,Cluster!$W$10,IF(Cluster!AA135=Cluster!$X$8,Cluster!$X$10,IF(Cluster!AA135=Cluster!$Y$8,Cluster!$Y$10,0)))*10^3),"-")</f>
        <v>-</v>
      </c>
      <c r="AL116" s="440" t="str">
        <f ca="1">IFERROR(IF(OR(Calculation!T116&lt;(Calculation!$U$8+2),Calculation!AC116="Bypass"),IF((IF(Calculation!$O$6/((Calculation!AD116*10^-12)/(Calculation!T116*10^-9)*50)&lt;=1,1,ROUNDUP(Calculation!$O$6/((Calculation!AD116*10^-12)/(Calculation!T116*10^-9)*50),0))*50)&lt;Calculation!$AK$6,Calculation!$AK$6,IF(Calculation!$O$6/((Calculation!AD116*10^-12)/(Calculation!T116*10^-9)*50)&lt;=1,1,ROUNDUP(Calculation!$O$6/((Calculation!AD116*10^-12)/(Calculation!T116*10^-9)*50),0))*50),"-"),"-")</f>
        <v>-</v>
      </c>
      <c r="AM116" s="441" t="str">
        <f t="shared" ca="1" si="79"/>
        <v/>
      </c>
      <c r="AN116" s="442" t="str">
        <f t="shared" ca="1" si="79"/>
        <v/>
      </c>
      <c r="AO116" s="432">
        <f t="shared" ca="1" si="62"/>
        <v>384</v>
      </c>
      <c r="AP116" s="427" t="str">
        <f t="shared" ca="1" si="63"/>
        <v>-</v>
      </c>
      <c r="AQ116" s="443" t="str">
        <f t="shared" ca="1" si="64"/>
        <v>-</v>
      </c>
      <c r="AR116" s="444" t="str">
        <f t="shared" ca="1" si="65"/>
        <v>-</v>
      </c>
      <c r="AS116" s="430" t="str">
        <f t="shared" ca="1" si="66"/>
        <v>-</v>
      </c>
    </row>
    <row r="117" spans="1:45" ht="14.25" x14ac:dyDescent="0.65">
      <c r="A117" s="407">
        <v>109</v>
      </c>
      <c r="B117" s="408" t="str">
        <f t="shared" ca="1" si="47"/>
        <v/>
      </c>
      <c r="C117" s="408" t="str">
        <f ca="1">IFERROR(IF(G117="","",CONCATENATE(E117,"-",INDEX(Coordinate,MATCH(F117,ListAndConversion!$X$4:$X$99,0),2))),"")</f>
        <v/>
      </c>
      <c r="D117" s="408" t="str">
        <f t="shared" ca="1" si="76"/>
        <v/>
      </c>
      <c r="E117" s="408" t="str">
        <f t="shared" ca="1" si="76"/>
        <v/>
      </c>
      <c r="F117" s="408" t="str">
        <f t="shared" ca="1" si="76"/>
        <v/>
      </c>
      <c r="G117" s="408" t="str">
        <f ca="1">IFERROR(INDEX(ListAndConversion!A:B,MATCH(Calculation!E117,ListAndConversion!A:A,0),2),"")</f>
        <v/>
      </c>
      <c r="H117" s="408" t="str">
        <f>IF(TrackIT_Lines!AD109="","",TrackIT_Lines!AD109)</f>
        <v/>
      </c>
      <c r="I117" s="408" t="str">
        <f>IF(TrackIT_Lines!AD109="","",CONCATENATE(TrackIT_Lines!AD109,"-",TrackIT_Lines!AG109))</f>
        <v/>
      </c>
      <c r="J117" s="409" t="str">
        <f t="shared" ca="1" si="77"/>
        <v/>
      </c>
      <c r="K117" s="408" t="str">
        <f t="shared" ca="1" si="77"/>
        <v/>
      </c>
      <c r="L117" s="408" t="str">
        <f t="shared" ca="1" si="77"/>
        <v/>
      </c>
      <c r="M117" s="408" t="str">
        <f t="shared" ca="1" si="77"/>
        <v/>
      </c>
      <c r="N117" s="408" t="str">
        <f t="shared" ca="1" si="77"/>
        <v/>
      </c>
      <c r="O117" s="408" t="str">
        <f t="shared" ca="1" si="77"/>
        <v/>
      </c>
      <c r="P117" s="408" t="str">
        <f t="shared" ca="1" si="77"/>
        <v/>
      </c>
      <c r="Q117" s="408" t="str">
        <f t="shared" ca="1" si="77"/>
        <v/>
      </c>
      <c r="R117" s="410" t="str">
        <f ca="1">Cluster!J136</f>
        <v>Selection</v>
      </c>
      <c r="S117" s="411" t="str">
        <f t="shared" ca="1" si="48"/>
        <v>-</v>
      </c>
      <c r="T117" s="412" t="str">
        <f t="shared" ca="1" si="49"/>
        <v/>
      </c>
      <c r="U117" s="411" t="str">
        <f t="shared" ca="1" si="50"/>
        <v>-</v>
      </c>
      <c r="V117" s="411" t="str">
        <f t="shared" ca="1" si="51"/>
        <v>-</v>
      </c>
      <c r="W117" s="413">
        <f>Cluster!N136</f>
        <v>0</v>
      </c>
      <c r="X117" s="414" t="str">
        <f t="shared" ca="1" si="52"/>
        <v>-</v>
      </c>
      <c r="Y117" s="411" t="str">
        <f t="shared" ca="1" si="53"/>
        <v>-</v>
      </c>
      <c r="Z117" s="415" t="str">
        <f t="shared" ca="1" si="54"/>
        <v>-</v>
      </c>
      <c r="AA117" s="416" t="str">
        <f t="shared" ca="1" si="55"/>
        <v>-</v>
      </c>
      <c r="AB117" s="416" t="str">
        <f t="shared" ca="1" si="56"/>
        <v/>
      </c>
      <c r="AC117" s="434">
        <f>Cluster!Q136</f>
        <v>0</v>
      </c>
      <c r="AD117" s="435" t="str">
        <f t="shared" ca="1" si="78"/>
        <v/>
      </c>
      <c r="AE117" s="436" t="str">
        <f t="shared" ca="1" si="78"/>
        <v/>
      </c>
      <c r="AF117" s="437" t="str">
        <f t="shared" ca="1" si="57"/>
        <v>-</v>
      </c>
      <c r="AG117" s="438" t="str">
        <f t="shared" ca="1" si="58"/>
        <v>-</v>
      </c>
      <c r="AH117" s="437" t="str">
        <f t="shared" ca="1" si="59"/>
        <v>-</v>
      </c>
      <c r="AI117" s="438" t="str">
        <f t="shared" ca="1" si="60"/>
        <v>-</v>
      </c>
      <c r="AJ117" s="438" t="str">
        <f t="shared" ca="1" si="61"/>
        <v>-</v>
      </c>
      <c r="AK117" s="439" t="str">
        <f ca="1">IFERROR(AE117*AD117*AL117/(IF(Cluster!AA136=Cluster!$W$8,Cluster!$W$10,IF(Cluster!AA136=Cluster!$X$8,Cluster!$X$10,IF(Cluster!AA136=Cluster!$Y$8,Cluster!$Y$10,0)))*10^3),"-")</f>
        <v>-</v>
      </c>
      <c r="AL117" s="440" t="str">
        <f ca="1">IFERROR(IF(OR(Calculation!T117&lt;(Calculation!$U$8+2),Calculation!AC117="Bypass"),IF((IF(Calculation!$O$6/((Calculation!AD117*10^-12)/(Calculation!T117*10^-9)*50)&lt;=1,1,ROUNDUP(Calculation!$O$6/((Calculation!AD117*10^-12)/(Calculation!T117*10^-9)*50),0))*50)&lt;Calculation!$AK$6,Calculation!$AK$6,IF(Calculation!$O$6/((Calculation!AD117*10^-12)/(Calculation!T117*10^-9)*50)&lt;=1,1,ROUNDUP(Calculation!$O$6/((Calculation!AD117*10^-12)/(Calculation!T117*10^-9)*50),0))*50),"-"),"-")</f>
        <v>-</v>
      </c>
      <c r="AM117" s="441" t="str">
        <f t="shared" ca="1" si="79"/>
        <v/>
      </c>
      <c r="AN117" s="442" t="str">
        <f t="shared" ca="1" si="79"/>
        <v/>
      </c>
      <c r="AO117" s="432">
        <f t="shared" ca="1" si="62"/>
        <v>384</v>
      </c>
      <c r="AP117" s="427" t="str">
        <f t="shared" ca="1" si="63"/>
        <v>-</v>
      </c>
      <c r="AQ117" s="443" t="str">
        <f t="shared" ca="1" si="64"/>
        <v>-</v>
      </c>
      <c r="AR117" s="444" t="str">
        <f t="shared" ca="1" si="65"/>
        <v>-</v>
      </c>
      <c r="AS117" s="430" t="str">
        <f t="shared" ca="1" si="66"/>
        <v>-</v>
      </c>
    </row>
    <row r="118" spans="1:45" ht="14.25" x14ac:dyDescent="0.65">
      <c r="A118" s="407">
        <v>110</v>
      </c>
      <c r="B118" s="408" t="str">
        <f t="shared" ca="1" si="47"/>
        <v/>
      </c>
      <c r="C118" s="408" t="str">
        <f ca="1">IFERROR(IF(G118="","",CONCATENATE(E118,"-",INDEX(Coordinate,MATCH(F118,ListAndConversion!$X$4:$X$99,0),2))),"")</f>
        <v/>
      </c>
      <c r="D118" s="408" t="str">
        <f t="shared" ca="1" si="76"/>
        <v/>
      </c>
      <c r="E118" s="408" t="str">
        <f t="shared" ca="1" si="76"/>
        <v/>
      </c>
      <c r="F118" s="408" t="str">
        <f t="shared" ca="1" si="76"/>
        <v/>
      </c>
      <c r="G118" s="408" t="str">
        <f ca="1">IFERROR(INDEX(ListAndConversion!A:B,MATCH(Calculation!E118,ListAndConversion!A:A,0),2),"")</f>
        <v/>
      </c>
      <c r="H118" s="408" t="str">
        <f>IF(TrackIT_Lines!AD110="","",TrackIT_Lines!AD110)</f>
        <v/>
      </c>
      <c r="I118" s="408" t="str">
        <f>IF(TrackIT_Lines!AD110="","",CONCATENATE(TrackIT_Lines!AD110,"-",TrackIT_Lines!AG110))</f>
        <v/>
      </c>
      <c r="J118" s="409" t="str">
        <f t="shared" ca="1" si="77"/>
        <v/>
      </c>
      <c r="K118" s="408" t="str">
        <f t="shared" ca="1" si="77"/>
        <v/>
      </c>
      <c r="L118" s="408" t="str">
        <f t="shared" ca="1" si="77"/>
        <v/>
      </c>
      <c r="M118" s="408" t="str">
        <f t="shared" ca="1" si="77"/>
        <v/>
      </c>
      <c r="N118" s="408" t="str">
        <f t="shared" ca="1" si="77"/>
        <v/>
      </c>
      <c r="O118" s="408" t="str">
        <f t="shared" ca="1" si="77"/>
        <v/>
      </c>
      <c r="P118" s="408" t="str">
        <f t="shared" ca="1" si="77"/>
        <v/>
      </c>
      <c r="Q118" s="408" t="str">
        <f t="shared" ca="1" si="77"/>
        <v/>
      </c>
      <c r="R118" s="410" t="str">
        <f ca="1">Cluster!J137</f>
        <v>Selection</v>
      </c>
      <c r="S118" s="411" t="str">
        <f t="shared" ca="1" si="48"/>
        <v>-</v>
      </c>
      <c r="T118" s="412" t="str">
        <f t="shared" ca="1" si="49"/>
        <v/>
      </c>
      <c r="U118" s="411" t="str">
        <f t="shared" ca="1" si="50"/>
        <v>-</v>
      </c>
      <c r="V118" s="411" t="str">
        <f t="shared" ca="1" si="51"/>
        <v>-</v>
      </c>
      <c r="W118" s="413">
        <f>Cluster!N137</f>
        <v>0</v>
      </c>
      <c r="X118" s="414" t="str">
        <f t="shared" ca="1" si="52"/>
        <v>-</v>
      </c>
      <c r="Y118" s="411" t="str">
        <f t="shared" ca="1" si="53"/>
        <v>-</v>
      </c>
      <c r="Z118" s="415" t="str">
        <f t="shared" ca="1" si="54"/>
        <v>-</v>
      </c>
      <c r="AA118" s="416" t="str">
        <f t="shared" ca="1" si="55"/>
        <v>-</v>
      </c>
      <c r="AB118" s="416" t="str">
        <f t="shared" ca="1" si="56"/>
        <v/>
      </c>
      <c r="AC118" s="434">
        <f>Cluster!Q137</f>
        <v>0</v>
      </c>
      <c r="AD118" s="435" t="str">
        <f t="shared" ca="1" si="78"/>
        <v/>
      </c>
      <c r="AE118" s="436" t="str">
        <f t="shared" ca="1" si="78"/>
        <v/>
      </c>
      <c r="AF118" s="437" t="str">
        <f t="shared" ca="1" si="57"/>
        <v>-</v>
      </c>
      <c r="AG118" s="438" t="str">
        <f t="shared" ca="1" si="58"/>
        <v>-</v>
      </c>
      <c r="AH118" s="437" t="str">
        <f t="shared" ca="1" si="59"/>
        <v>-</v>
      </c>
      <c r="AI118" s="438" t="str">
        <f t="shared" ca="1" si="60"/>
        <v>-</v>
      </c>
      <c r="AJ118" s="438" t="str">
        <f t="shared" ca="1" si="61"/>
        <v>-</v>
      </c>
      <c r="AK118" s="439" t="str">
        <f ca="1">IFERROR(AE118*AD118*AL118/(IF(Cluster!AA137=Cluster!$W$8,Cluster!$W$10,IF(Cluster!AA137=Cluster!$X$8,Cluster!$X$10,IF(Cluster!AA137=Cluster!$Y$8,Cluster!$Y$10,0)))*10^3),"-")</f>
        <v>-</v>
      </c>
      <c r="AL118" s="440" t="str">
        <f ca="1">IFERROR(IF(OR(Calculation!T118&lt;(Calculation!$U$8+2),Calculation!AC118="Bypass"),IF((IF(Calculation!$O$6/((Calculation!AD118*10^-12)/(Calculation!T118*10^-9)*50)&lt;=1,1,ROUNDUP(Calculation!$O$6/((Calculation!AD118*10^-12)/(Calculation!T118*10^-9)*50),0))*50)&lt;Calculation!$AK$6,Calculation!$AK$6,IF(Calculation!$O$6/((Calculation!AD118*10^-12)/(Calculation!T118*10^-9)*50)&lt;=1,1,ROUNDUP(Calculation!$O$6/((Calculation!AD118*10^-12)/(Calculation!T118*10^-9)*50),0))*50),"-"),"-")</f>
        <v>-</v>
      </c>
      <c r="AM118" s="441" t="str">
        <f t="shared" ca="1" si="79"/>
        <v/>
      </c>
      <c r="AN118" s="442" t="str">
        <f t="shared" ca="1" si="79"/>
        <v/>
      </c>
      <c r="AO118" s="432">
        <f t="shared" ca="1" si="62"/>
        <v>384</v>
      </c>
      <c r="AP118" s="427" t="str">
        <f t="shared" ca="1" si="63"/>
        <v>-</v>
      </c>
      <c r="AQ118" s="443" t="str">
        <f t="shared" ca="1" si="64"/>
        <v>-</v>
      </c>
      <c r="AR118" s="444" t="str">
        <f t="shared" ca="1" si="65"/>
        <v>-</v>
      </c>
      <c r="AS118" s="430" t="str">
        <f t="shared" ca="1" si="66"/>
        <v>-</v>
      </c>
    </row>
    <row r="119" spans="1:45" ht="14.25" x14ac:dyDescent="0.65">
      <c r="A119" s="407">
        <v>111</v>
      </c>
      <c r="B119" s="408" t="str">
        <f t="shared" ca="1" si="47"/>
        <v/>
      </c>
      <c r="C119" s="408" t="str">
        <f ca="1">IFERROR(IF(G119="","",CONCATENATE(E119,"-",INDEX(Coordinate,MATCH(F119,ListAndConversion!$X$4:$X$99,0),2))),"")</f>
        <v/>
      </c>
      <c r="D119" s="408" t="str">
        <f t="shared" ca="1" si="76"/>
        <v/>
      </c>
      <c r="E119" s="408" t="str">
        <f t="shared" ca="1" si="76"/>
        <v/>
      </c>
      <c r="F119" s="408" t="str">
        <f t="shared" ca="1" si="76"/>
        <v/>
      </c>
      <c r="G119" s="408" t="str">
        <f ca="1">IFERROR(INDEX(ListAndConversion!A:B,MATCH(Calculation!E119,ListAndConversion!A:A,0),2),"")</f>
        <v/>
      </c>
      <c r="H119" s="408" t="str">
        <f>IF(TrackIT_Lines!AD111="","",TrackIT_Lines!AD111)</f>
        <v/>
      </c>
      <c r="I119" s="408" t="str">
        <f>IF(TrackIT_Lines!AD111="","",CONCATENATE(TrackIT_Lines!AD111,"-",TrackIT_Lines!AG111))</f>
        <v/>
      </c>
      <c r="J119" s="409" t="str">
        <f t="shared" ca="1" si="77"/>
        <v/>
      </c>
      <c r="K119" s="408" t="str">
        <f t="shared" ca="1" si="77"/>
        <v/>
      </c>
      <c r="L119" s="408" t="str">
        <f t="shared" ca="1" si="77"/>
        <v/>
      </c>
      <c r="M119" s="408" t="str">
        <f t="shared" ca="1" si="77"/>
        <v/>
      </c>
      <c r="N119" s="408" t="str">
        <f t="shared" ca="1" si="77"/>
        <v/>
      </c>
      <c r="O119" s="408" t="str">
        <f t="shared" ca="1" si="77"/>
        <v/>
      </c>
      <c r="P119" s="408" t="str">
        <f t="shared" ca="1" si="77"/>
        <v/>
      </c>
      <c r="Q119" s="408" t="str">
        <f t="shared" ca="1" si="77"/>
        <v/>
      </c>
      <c r="R119" s="410" t="str">
        <f ca="1">Cluster!J138</f>
        <v>Selection</v>
      </c>
      <c r="S119" s="411" t="str">
        <f t="shared" ca="1" si="48"/>
        <v>-</v>
      </c>
      <c r="T119" s="412" t="str">
        <f t="shared" ca="1" si="49"/>
        <v/>
      </c>
      <c r="U119" s="411" t="str">
        <f t="shared" ca="1" si="50"/>
        <v>-</v>
      </c>
      <c r="V119" s="411" t="str">
        <f t="shared" ca="1" si="51"/>
        <v>-</v>
      </c>
      <c r="W119" s="413">
        <f>Cluster!N138</f>
        <v>0</v>
      </c>
      <c r="X119" s="414" t="str">
        <f t="shared" ca="1" si="52"/>
        <v>-</v>
      </c>
      <c r="Y119" s="411" t="str">
        <f t="shared" ca="1" si="53"/>
        <v>-</v>
      </c>
      <c r="Z119" s="415" t="str">
        <f t="shared" ca="1" si="54"/>
        <v>-</v>
      </c>
      <c r="AA119" s="416" t="str">
        <f t="shared" ca="1" si="55"/>
        <v>-</v>
      </c>
      <c r="AB119" s="416" t="str">
        <f t="shared" ca="1" si="56"/>
        <v/>
      </c>
      <c r="AC119" s="434">
        <f>Cluster!Q138</f>
        <v>0</v>
      </c>
      <c r="AD119" s="435" t="str">
        <f t="shared" ca="1" si="78"/>
        <v/>
      </c>
      <c r="AE119" s="436" t="str">
        <f t="shared" ca="1" si="78"/>
        <v/>
      </c>
      <c r="AF119" s="437" t="str">
        <f t="shared" ca="1" si="57"/>
        <v>-</v>
      </c>
      <c r="AG119" s="438" t="str">
        <f t="shared" ca="1" si="58"/>
        <v>-</v>
      </c>
      <c r="AH119" s="437" t="str">
        <f t="shared" ca="1" si="59"/>
        <v>-</v>
      </c>
      <c r="AI119" s="438" t="str">
        <f t="shared" ca="1" si="60"/>
        <v>-</v>
      </c>
      <c r="AJ119" s="438" t="str">
        <f t="shared" ca="1" si="61"/>
        <v>-</v>
      </c>
      <c r="AK119" s="439" t="str">
        <f ca="1">IFERROR(AE119*AD119*AL119/(IF(Cluster!AA138=Cluster!$W$8,Cluster!$W$10,IF(Cluster!AA138=Cluster!$X$8,Cluster!$X$10,IF(Cluster!AA138=Cluster!$Y$8,Cluster!$Y$10,0)))*10^3),"-")</f>
        <v>-</v>
      </c>
      <c r="AL119" s="440" t="str">
        <f ca="1">IFERROR(IF(OR(Calculation!T119&lt;(Calculation!$U$8+2),Calculation!AC119="Bypass"),IF((IF(Calculation!$O$6/((Calculation!AD119*10^-12)/(Calculation!T119*10^-9)*50)&lt;=1,1,ROUNDUP(Calculation!$O$6/((Calculation!AD119*10^-12)/(Calculation!T119*10^-9)*50),0))*50)&lt;Calculation!$AK$6,Calculation!$AK$6,IF(Calculation!$O$6/((Calculation!AD119*10^-12)/(Calculation!T119*10^-9)*50)&lt;=1,1,ROUNDUP(Calculation!$O$6/((Calculation!AD119*10^-12)/(Calculation!T119*10^-9)*50),0))*50),"-"),"-")</f>
        <v>-</v>
      </c>
      <c r="AM119" s="441" t="str">
        <f t="shared" ca="1" si="79"/>
        <v/>
      </c>
      <c r="AN119" s="442" t="str">
        <f t="shared" ca="1" si="79"/>
        <v/>
      </c>
      <c r="AO119" s="432">
        <f t="shared" ca="1" si="62"/>
        <v>384</v>
      </c>
      <c r="AP119" s="427" t="str">
        <f t="shared" ca="1" si="63"/>
        <v>-</v>
      </c>
      <c r="AQ119" s="443" t="str">
        <f t="shared" ca="1" si="64"/>
        <v>-</v>
      </c>
      <c r="AR119" s="444" t="str">
        <f t="shared" ca="1" si="65"/>
        <v>-</v>
      </c>
      <c r="AS119" s="430" t="str">
        <f t="shared" ca="1" si="66"/>
        <v>-</v>
      </c>
    </row>
    <row r="120" spans="1:45" ht="14.25" x14ac:dyDescent="0.65">
      <c r="A120" s="407">
        <v>112</v>
      </c>
      <c r="B120" s="408" t="str">
        <f t="shared" ca="1" si="47"/>
        <v/>
      </c>
      <c r="C120" s="408" t="str">
        <f ca="1">IFERROR(IF(G120="","",CONCATENATE(E120,"-",INDEX(Coordinate,MATCH(F120,ListAndConversion!$X$4:$X$99,0),2))),"")</f>
        <v/>
      </c>
      <c r="D120" s="408" t="str">
        <f t="shared" ca="1" si="76"/>
        <v/>
      </c>
      <c r="E120" s="408" t="str">
        <f t="shared" ca="1" si="76"/>
        <v/>
      </c>
      <c r="F120" s="408" t="str">
        <f t="shared" ca="1" si="76"/>
        <v/>
      </c>
      <c r="G120" s="408" t="str">
        <f ca="1">IFERROR(INDEX(ListAndConversion!A:B,MATCH(Calculation!E120,ListAndConversion!A:A,0),2),"")</f>
        <v/>
      </c>
      <c r="H120" s="408" t="str">
        <f>IF(TrackIT_Lines!AD112="","",TrackIT_Lines!AD112)</f>
        <v/>
      </c>
      <c r="I120" s="408" t="str">
        <f>IF(TrackIT_Lines!AD112="","",CONCATENATE(TrackIT_Lines!AD112,"-",TrackIT_Lines!AG112))</f>
        <v/>
      </c>
      <c r="J120" s="409" t="str">
        <f t="shared" ref="J120:Q129" ca="1" si="80">IF((INDIRECT("TrackIT_Lines!"&amp;J$2&amp;$A120))="","", (INDIRECT("TrackIT_Lines!"&amp;J$2&amp;$A120)))</f>
        <v/>
      </c>
      <c r="K120" s="408" t="str">
        <f t="shared" ca="1" si="80"/>
        <v/>
      </c>
      <c r="L120" s="408" t="str">
        <f t="shared" ca="1" si="80"/>
        <v/>
      </c>
      <c r="M120" s="408" t="str">
        <f t="shared" ca="1" si="80"/>
        <v/>
      </c>
      <c r="N120" s="408" t="str">
        <f t="shared" ca="1" si="80"/>
        <v/>
      </c>
      <c r="O120" s="408" t="str">
        <f t="shared" ca="1" si="80"/>
        <v/>
      </c>
      <c r="P120" s="408" t="str">
        <f t="shared" ca="1" si="80"/>
        <v/>
      </c>
      <c r="Q120" s="408" t="str">
        <f t="shared" ca="1" si="80"/>
        <v/>
      </c>
      <c r="R120" s="410" t="str">
        <f ca="1">Cluster!J139</f>
        <v>Selection</v>
      </c>
      <c r="S120" s="411" t="str">
        <f t="shared" ca="1" si="48"/>
        <v>-</v>
      </c>
      <c r="T120" s="412" t="str">
        <f t="shared" ca="1" si="49"/>
        <v/>
      </c>
      <c r="U120" s="411" t="str">
        <f t="shared" ca="1" si="50"/>
        <v>-</v>
      </c>
      <c r="V120" s="411" t="str">
        <f t="shared" ca="1" si="51"/>
        <v>-</v>
      </c>
      <c r="W120" s="413">
        <f>Cluster!N139</f>
        <v>0</v>
      </c>
      <c r="X120" s="414" t="str">
        <f t="shared" ca="1" si="52"/>
        <v>-</v>
      </c>
      <c r="Y120" s="411" t="str">
        <f t="shared" ca="1" si="53"/>
        <v>-</v>
      </c>
      <c r="Z120" s="415" t="str">
        <f t="shared" ca="1" si="54"/>
        <v>-</v>
      </c>
      <c r="AA120" s="416" t="str">
        <f t="shared" ca="1" si="55"/>
        <v>-</v>
      </c>
      <c r="AB120" s="416" t="str">
        <f t="shared" ca="1" si="56"/>
        <v/>
      </c>
      <c r="AC120" s="434">
        <f>Cluster!Q139</f>
        <v>0</v>
      </c>
      <c r="AD120" s="435" t="str">
        <f t="shared" ca="1" si="78"/>
        <v/>
      </c>
      <c r="AE120" s="436" t="str">
        <f t="shared" ca="1" si="78"/>
        <v/>
      </c>
      <c r="AF120" s="437" t="str">
        <f t="shared" ca="1" si="57"/>
        <v>-</v>
      </c>
      <c r="AG120" s="438" t="str">
        <f t="shared" ca="1" si="58"/>
        <v>-</v>
      </c>
      <c r="AH120" s="437" t="str">
        <f t="shared" ca="1" si="59"/>
        <v>-</v>
      </c>
      <c r="AI120" s="438" t="str">
        <f t="shared" ca="1" si="60"/>
        <v>-</v>
      </c>
      <c r="AJ120" s="438" t="str">
        <f t="shared" ca="1" si="61"/>
        <v>-</v>
      </c>
      <c r="AK120" s="439" t="str">
        <f ca="1">IFERROR(AE120*AD120*AL120/(IF(Cluster!AA139=Cluster!$W$8,Cluster!$W$10,IF(Cluster!AA139=Cluster!$X$8,Cluster!$X$10,IF(Cluster!AA139=Cluster!$Y$8,Cluster!$Y$10,0)))*10^3),"-")</f>
        <v>-</v>
      </c>
      <c r="AL120" s="440" t="str">
        <f ca="1">IFERROR(IF(OR(Calculation!T120&lt;(Calculation!$U$8+2),Calculation!AC120="Bypass"),IF((IF(Calculation!$O$6/((Calculation!AD120*10^-12)/(Calculation!T120*10^-9)*50)&lt;=1,1,ROUNDUP(Calculation!$O$6/((Calculation!AD120*10^-12)/(Calculation!T120*10^-9)*50),0))*50)&lt;Calculation!$AK$6,Calculation!$AK$6,IF(Calculation!$O$6/((Calculation!AD120*10^-12)/(Calculation!T120*10^-9)*50)&lt;=1,1,ROUNDUP(Calculation!$O$6/((Calculation!AD120*10^-12)/(Calculation!T120*10^-9)*50),0))*50),"-"),"-")</f>
        <v>-</v>
      </c>
      <c r="AM120" s="441" t="str">
        <f t="shared" ca="1" si="79"/>
        <v/>
      </c>
      <c r="AN120" s="442" t="str">
        <f t="shared" ca="1" si="79"/>
        <v/>
      </c>
      <c r="AO120" s="432">
        <f t="shared" ca="1" si="62"/>
        <v>384</v>
      </c>
      <c r="AP120" s="427" t="str">
        <f t="shared" ca="1" si="63"/>
        <v>-</v>
      </c>
      <c r="AQ120" s="443" t="str">
        <f t="shared" ca="1" si="64"/>
        <v>-</v>
      </c>
      <c r="AR120" s="444" t="str">
        <f t="shared" ca="1" si="65"/>
        <v>-</v>
      </c>
      <c r="AS120" s="430" t="str">
        <f t="shared" ca="1" si="66"/>
        <v>-</v>
      </c>
    </row>
    <row r="121" spans="1:45" ht="14.25" x14ac:dyDescent="0.65">
      <c r="A121" s="407">
        <v>113</v>
      </c>
      <c r="B121" s="408" t="str">
        <f t="shared" ca="1" si="47"/>
        <v/>
      </c>
      <c r="C121" s="408" t="str">
        <f ca="1">IFERROR(IF(G121="","",CONCATENATE(E121,"-",INDEX(Coordinate,MATCH(F121,ListAndConversion!$X$4:$X$99,0),2))),"")</f>
        <v/>
      </c>
      <c r="D121" s="408" t="str">
        <f t="shared" ca="1" si="76"/>
        <v/>
      </c>
      <c r="E121" s="408" t="str">
        <f t="shared" ca="1" si="76"/>
        <v/>
      </c>
      <c r="F121" s="408" t="str">
        <f t="shared" ca="1" si="76"/>
        <v/>
      </c>
      <c r="G121" s="408" t="str">
        <f ca="1">IFERROR(INDEX(ListAndConversion!A:B,MATCH(Calculation!E121,ListAndConversion!A:A,0),2),"")</f>
        <v/>
      </c>
      <c r="H121" s="408" t="str">
        <f>IF(TrackIT_Lines!AD113="","",TrackIT_Lines!AD113)</f>
        <v/>
      </c>
      <c r="I121" s="408" t="str">
        <f>IF(TrackIT_Lines!AD113="","",CONCATENATE(TrackIT_Lines!AD113,"-",TrackIT_Lines!AG113))</f>
        <v/>
      </c>
      <c r="J121" s="409" t="str">
        <f t="shared" ca="1" si="80"/>
        <v/>
      </c>
      <c r="K121" s="408" t="str">
        <f t="shared" ca="1" si="80"/>
        <v/>
      </c>
      <c r="L121" s="408" t="str">
        <f t="shared" ca="1" si="80"/>
        <v/>
      </c>
      <c r="M121" s="408" t="str">
        <f t="shared" ca="1" si="80"/>
        <v/>
      </c>
      <c r="N121" s="408" t="str">
        <f t="shared" ca="1" si="80"/>
        <v/>
      </c>
      <c r="O121" s="408" t="str">
        <f t="shared" ca="1" si="80"/>
        <v/>
      </c>
      <c r="P121" s="408" t="str">
        <f t="shared" ca="1" si="80"/>
        <v/>
      </c>
      <c r="Q121" s="408" t="str">
        <f t="shared" ca="1" si="80"/>
        <v/>
      </c>
      <c r="R121" s="410" t="str">
        <f ca="1">Cluster!J140</f>
        <v>Selection</v>
      </c>
      <c r="S121" s="411" t="str">
        <f t="shared" ca="1" si="48"/>
        <v>-</v>
      </c>
      <c r="T121" s="412" t="str">
        <f t="shared" ca="1" si="49"/>
        <v/>
      </c>
      <c r="U121" s="411" t="str">
        <f t="shared" ca="1" si="50"/>
        <v>-</v>
      </c>
      <c r="V121" s="411" t="str">
        <f t="shared" ca="1" si="51"/>
        <v>-</v>
      </c>
      <c r="W121" s="413">
        <f>Cluster!N140</f>
        <v>0</v>
      </c>
      <c r="X121" s="414" t="str">
        <f t="shared" ca="1" si="52"/>
        <v>-</v>
      </c>
      <c r="Y121" s="411" t="str">
        <f t="shared" ca="1" si="53"/>
        <v>-</v>
      </c>
      <c r="Z121" s="415" t="str">
        <f t="shared" ca="1" si="54"/>
        <v>-</v>
      </c>
      <c r="AA121" s="416" t="str">
        <f t="shared" ca="1" si="55"/>
        <v>-</v>
      </c>
      <c r="AB121" s="416" t="str">
        <f t="shared" ca="1" si="56"/>
        <v/>
      </c>
      <c r="AC121" s="434">
        <f>Cluster!Q140</f>
        <v>0</v>
      </c>
      <c r="AD121" s="435" t="str">
        <f t="shared" ca="1" si="78"/>
        <v/>
      </c>
      <c r="AE121" s="436" t="str">
        <f t="shared" ca="1" si="78"/>
        <v/>
      </c>
      <c r="AF121" s="437" t="str">
        <f t="shared" ca="1" si="57"/>
        <v>-</v>
      </c>
      <c r="AG121" s="438" t="str">
        <f t="shared" ca="1" si="58"/>
        <v>-</v>
      </c>
      <c r="AH121" s="437" t="str">
        <f t="shared" ca="1" si="59"/>
        <v>-</v>
      </c>
      <c r="AI121" s="438" t="str">
        <f t="shared" ca="1" si="60"/>
        <v>-</v>
      </c>
      <c r="AJ121" s="438" t="str">
        <f t="shared" ca="1" si="61"/>
        <v>-</v>
      </c>
      <c r="AK121" s="439" t="str">
        <f ca="1">IFERROR(AE121*AD121*AL121/(IF(Cluster!AA140=Cluster!$W$8,Cluster!$W$10,IF(Cluster!AA140=Cluster!$X$8,Cluster!$X$10,IF(Cluster!AA140=Cluster!$Y$8,Cluster!$Y$10,0)))*10^3),"-")</f>
        <v>-</v>
      </c>
      <c r="AL121" s="440" t="str">
        <f ca="1">IFERROR(IF(OR(Calculation!T121&lt;(Calculation!$U$8+2),Calculation!AC121="Bypass"),IF((IF(Calculation!$O$6/((Calculation!AD121*10^-12)/(Calculation!T121*10^-9)*50)&lt;=1,1,ROUNDUP(Calculation!$O$6/((Calculation!AD121*10^-12)/(Calculation!T121*10^-9)*50),0))*50)&lt;Calculation!$AK$6,Calculation!$AK$6,IF(Calculation!$O$6/((Calculation!AD121*10^-12)/(Calculation!T121*10^-9)*50)&lt;=1,1,ROUNDUP(Calculation!$O$6/((Calculation!AD121*10^-12)/(Calculation!T121*10^-9)*50),0))*50),"-"),"-")</f>
        <v>-</v>
      </c>
      <c r="AM121" s="441" t="str">
        <f t="shared" ca="1" si="79"/>
        <v/>
      </c>
      <c r="AN121" s="442" t="str">
        <f t="shared" ca="1" si="79"/>
        <v/>
      </c>
      <c r="AO121" s="432">
        <f t="shared" ca="1" si="62"/>
        <v>384</v>
      </c>
      <c r="AP121" s="427" t="str">
        <f t="shared" ca="1" si="63"/>
        <v>-</v>
      </c>
      <c r="AQ121" s="443" t="str">
        <f t="shared" ca="1" si="64"/>
        <v>-</v>
      </c>
      <c r="AR121" s="444" t="str">
        <f t="shared" ca="1" si="65"/>
        <v>-</v>
      </c>
      <c r="AS121" s="430" t="str">
        <f t="shared" ca="1" si="66"/>
        <v>-</v>
      </c>
    </row>
    <row r="122" spans="1:45" ht="14.25" x14ac:dyDescent="0.65">
      <c r="A122" s="407">
        <v>114</v>
      </c>
      <c r="B122" s="408" t="str">
        <f t="shared" ca="1" si="47"/>
        <v/>
      </c>
      <c r="C122" s="408" t="str">
        <f ca="1">IFERROR(IF(G122="","",CONCATENATE(E122,"-",INDEX(Coordinate,MATCH(F122,ListAndConversion!$X$4:$X$99,0),2))),"")</f>
        <v/>
      </c>
      <c r="D122" s="408" t="str">
        <f t="shared" ca="1" si="76"/>
        <v/>
      </c>
      <c r="E122" s="408" t="str">
        <f t="shared" ca="1" si="76"/>
        <v/>
      </c>
      <c r="F122" s="408" t="str">
        <f t="shared" ca="1" si="76"/>
        <v/>
      </c>
      <c r="G122" s="408" t="str">
        <f ca="1">IFERROR(INDEX(ListAndConversion!A:B,MATCH(Calculation!E122,ListAndConversion!A:A,0),2),"")</f>
        <v/>
      </c>
      <c r="H122" s="408" t="str">
        <f>IF(TrackIT_Lines!AD114="","",TrackIT_Lines!AD114)</f>
        <v/>
      </c>
      <c r="I122" s="408" t="str">
        <f>IF(TrackIT_Lines!AD114="","",CONCATENATE(TrackIT_Lines!AD114,"-",TrackIT_Lines!AG114))</f>
        <v/>
      </c>
      <c r="J122" s="409" t="str">
        <f t="shared" ca="1" si="80"/>
        <v/>
      </c>
      <c r="K122" s="408" t="str">
        <f t="shared" ca="1" si="80"/>
        <v/>
      </c>
      <c r="L122" s="408" t="str">
        <f t="shared" ca="1" si="80"/>
        <v/>
      </c>
      <c r="M122" s="408" t="str">
        <f t="shared" ca="1" si="80"/>
        <v/>
      </c>
      <c r="N122" s="408" t="str">
        <f t="shared" ca="1" si="80"/>
        <v/>
      </c>
      <c r="O122" s="408" t="str">
        <f t="shared" ca="1" si="80"/>
        <v/>
      </c>
      <c r="P122" s="408" t="str">
        <f t="shared" ca="1" si="80"/>
        <v/>
      </c>
      <c r="Q122" s="408" t="str">
        <f t="shared" ca="1" si="80"/>
        <v/>
      </c>
      <c r="R122" s="410" t="str">
        <f ca="1">Cluster!J141</f>
        <v>Selection</v>
      </c>
      <c r="S122" s="411" t="str">
        <f t="shared" ca="1" si="48"/>
        <v>-</v>
      </c>
      <c r="T122" s="412" t="str">
        <f t="shared" ca="1" si="49"/>
        <v/>
      </c>
      <c r="U122" s="411" t="str">
        <f t="shared" ca="1" si="50"/>
        <v>-</v>
      </c>
      <c r="V122" s="411" t="str">
        <f t="shared" ca="1" si="51"/>
        <v>-</v>
      </c>
      <c r="W122" s="413">
        <f>Cluster!N141</f>
        <v>0</v>
      </c>
      <c r="X122" s="414" t="str">
        <f t="shared" ca="1" si="52"/>
        <v>-</v>
      </c>
      <c r="Y122" s="411" t="str">
        <f t="shared" ca="1" si="53"/>
        <v>-</v>
      </c>
      <c r="Z122" s="415" t="str">
        <f t="shared" ca="1" si="54"/>
        <v>-</v>
      </c>
      <c r="AA122" s="416" t="str">
        <f t="shared" ca="1" si="55"/>
        <v>-</v>
      </c>
      <c r="AB122" s="416" t="str">
        <f t="shared" ca="1" si="56"/>
        <v/>
      </c>
      <c r="AC122" s="434">
        <f>Cluster!Q141</f>
        <v>0</v>
      </c>
      <c r="AD122" s="435" t="str">
        <f t="shared" ca="1" si="78"/>
        <v/>
      </c>
      <c r="AE122" s="436" t="str">
        <f t="shared" ca="1" si="78"/>
        <v/>
      </c>
      <c r="AF122" s="437" t="str">
        <f t="shared" ca="1" si="57"/>
        <v>-</v>
      </c>
      <c r="AG122" s="438" t="str">
        <f t="shared" ca="1" si="58"/>
        <v>-</v>
      </c>
      <c r="AH122" s="437" t="str">
        <f t="shared" ca="1" si="59"/>
        <v>-</v>
      </c>
      <c r="AI122" s="438" t="str">
        <f t="shared" ca="1" si="60"/>
        <v>-</v>
      </c>
      <c r="AJ122" s="438" t="str">
        <f t="shared" ca="1" si="61"/>
        <v>-</v>
      </c>
      <c r="AK122" s="439" t="str">
        <f ca="1">IFERROR(AE122*AD122*AL122/(IF(Cluster!AA141=Cluster!$W$8,Cluster!$W$10,IF(Cluster!AA141=Cluster!$X$8,Cluster!$X$10,IF(Cluster!AA141=Cluster!$Y$8,Cluster!$Y$10,0)))*10^3),"-")</f>
        <v>-</v>
      </c>
      <c r="AL122" s="440" t="str">
        <f ca="1">IFERROR(IF(OR(Calculation!T122&lt;(Calculation!$U$8+2),Calculation!AC122="Bypass"),IF((IF(Calculation!$O$6/((Calculation!AD122*10^-12)/(Calculation!T122*10^-9)*50)&lt;=1,1,ROUNDUP(Calculation!$O$6/((Calculation!AD122*10^-12)/(Calculation!T122*10^-9)*50),0))*50)&lt;Calculation!$AK$6,Calculation!$AK$6,IF(Calculation!$O$6/((Calculation!AD122*10^-12)/(Calculation!T122*10^-9)*50)&lt;=1,1,ROUNDUP(Calculation!$O$6/((Calculation!AD122*10^-12)/(Calculation!T122*10^-9)*50),0))*50),"-"),"-")</f>
        <v>-</v>
      </c>
      <c r="AM122" s="441" t="str">
        <f t="shared" ca="1" si="79"/>
        <v/>
      </c>
      <c r="AN122" s="442" t="str">
        <f t="shared" ca="1" si="79"/>
        <v/>
      </c>
      <c r="AO122" s="432">
        <f t="shared" ca="1" si="62"/>
        <v>384</v>
      </c>
      <c r="AP122" s="427" t="str">
        <f t="shared" ca="1" si="63"/>
        <v>-</v>
      </c>
      <c r="AQ122" s="443" t="str">
        <f t="shared" ca="1" si="64"/>
        <v>-</v>
      </c>
      <c r="AR122" s="444" t="str">
        <f t="shared" ca="1" si="65"/>
        <v>-</v>
      </c>
      <c r="AS122" s="430" t="str">
        <f t="shared" ca="1" si="66"/>
        <v>-</v>
      </c>
    </row>
    <row r="123" spans="1:45" ht="14.25" x14ac:dyDescent="0.65">
      <c r="A123" s="407">
        <v>115</v>
      </c>
      <c r="B123" s="408" t="str">
        <f t="shared" ca="1" si="47"/>
        <v/>
      </c>
      <c r="C123" s="408" t="str">
        <f ca="1">IFERROR(IF(G123="","",CONCATENATE(E123,"-",INDEX(Coordinate,MATCH(F123,ListAndConversion!$X$4:$X$99,0),2))),"")</f>
        <v/>
      </c>
      <c r="D123" s="408" t="str">
        <f t="shared" ca="1" si="76"/>
        <v/>
      </c>
      <c r="E123" s="408" t="str">
        <f t="shared" ca="1" si="76"/>
        <v/>
      </c>
      <c r="F123" s="408" t="str">
        <f t="shared" ca="1" si="76"/>
        <v/>
      </c>
      <c r="G123" s="408" t="str">
        <f ca="1">IFERROR(INDEX(ListAndConversion!A:B,MATCH(Calculation!E123,ListAndConversion!A:A,0),2),"")</f>
        <v/>
      </c>
      <c r="H123" s="408" t="str">
        <f>IF(TrackIT_Lines!AD115="","",TrackIT_Lines!AD115)</f>
        <v/>
      </c>
      <c r="I123" s="408" t="str">
        <f>IF(TrackIT_Lines!AD115="","",CONCATENATE(TrackIT_Lines!AD115,"-",TrackIT_Lines!AG115))</f>
        <v/>
      </c>
      <c r="J123" s="409" t="str">
        <f t="shared" ca="1" si="80"/>
        <v/>
      </c>
      <c r="K123" s="408" t="str">
        <f t="shared" ca="1" si="80"/>
        <v/>
      </c>
      <c r="L123" s="408" t="str">
        <f t="shared" ca="1" si="80"/>
        <v/>
      </c>
      <c r="M123" s="408" t="str">
        <f t="shared" ca="1" si="80"/>
        <v/>
      </c>
      <c r="N123" s="408" t="str">
        <f t="shared" ca="1" si="80"/>
        <v/>
      </c>
      <c r="O123" s="408" t="str">
        <f t="shared" ca="1" si="80"/>
        <v/>
      </c>
      <c r="P123" s="408" t="str">
        <f t="shared" ca="1" si="80"/>
        <v/>
      </c>
      <c r="Q123" s="408" t="str">
        <f t="shared" ca="1" si="80"/>
        <v/>
      </c>
      <c r="R123" s="410" t="str">
        <f ca="1">Cluster!J142</f>
        <v>Selection</v>
      </c>
      <c r="S123" s="411" t="str">
        <f t="shared" ca="1" si="48"/>
        <v>-</v>
      </c>
      <c r="T123" s="412" t="str">
        <f t="shared" ca="1" si="49"/>
        <v/>
      </c>
      <c r="U123" s="411" t="str">
        <f t="shared" ca="1" si="50"/>
        <v>-</v>
      </c>
      <c r="V123" s="411" t="str">
        <f t="shared" ca="1" si="51"/>
        <v>-</v>
      </c>
      <c r="W123" s="413">
        <f>Cluster!N142</f>
        <v>0</v>
      </c>
      <c r="X123" s="414" t="str">
        <f t="shared" ca="1" si="52"/>
        <v>-</v>
      </c>
      <c r="Y123" s="411" t="str">
        <f t="shared" ca="1" si="53"/>
        <v>-</v>
      </c>
      <c r="Z123" s="415" t="str">
        <f t="shared" ca="1" si="54"/>
        <v>-</v>
      </c>
      <c r="AA123" s="416" t="str">
        <f t="shared" ca="1" si="55"/>
        <v>-</v>
      </c>
      <c r="AB123" s="416" t="str">
        <f t="shared" ca="1" si="56"/>
        <v/>
      </c>
      <c r="AC123" s="434">
        <f>Cluster!Q142</f>
        <v>0</v>
      </c>
      <c r="AD123" s="435" t="str">
        <f t="shared" ca="1" si="78"/>
        <v/>
      </c>
      <c r="AE123" s="436" t="str">
        <f t="shared" ca="1" si="78"/>
        <v/>
      </c>
      <c r="AF123" s="437" t="str">
        <f t="shared" ca="1" si="57"/>
        <v>-</v>
      </c>
      <c r="AG123" s="438" t="str">
        <f t="shared" ca="1" si="58"/>
        <v>-</v>
      </c>
      <c r="AH123" s="437" t="str">
        <f t="shared" ca="1" si="59"/>
        <v>-</v>
      </c>
      <c r="AI123" s="438" t="str">
        <f t="shared" ca="1" si="60"/>
        <v>-</v>
      </c>
      <c r="AJ123" s="438" t="str">
        <f t="shared" ca="1" si="61"/>
        <v>-</v>
      </c>
      <c r="AK123" s="439" t="str">
        <f ca="1">IFERROR(AE123*AD123*AL123/(IF(Cluster!AA142=Cluster!$W$8,Cluster!$W$10,IF(Cluster!AA142=Cluster!$X$8,Cluster!$X$10,IF(Cluster!AA142=Cluster!$Y$8,Cluster!$Y$10,0)))*10^3),"-")</f>
        <v>-</v>
      </c>
      <c r="AL123" s="440" t="str">
        <f ca="1">IFERROR(IF(OR(Calculation!T123&lt;(Calculation!$U$8+2),Calculation!AC123="Bypass"),IF((IF(Calculation!$O$6/((Calculation!AD123*10^-12)/(Calculation!T123*10^-9)*50)&lt;=1,1,ROUNDUP(Calculation!$O$6/((Calculation!AD123*10^-12)/(Calculation!T123*10^-9)*50),0))*50)&lt;Calculation!$AK$6,Calculation!$AK$6,IF(Calculation!$O$6/((Calculation!AD123*10^-12)/(Calculation!T123*10^-9)*50)&lt;=1,1,ROUNDUP(Calculation!$O$6/((Calculation!AD123*10^-12)/(Calculation!T123*10^-9)*50),0))*50),"-"),"-")</f>
        <v>-</v>
      </c>
      <c r="AM123" s="441" t="str">
        <f t="shared" ca="1" si="79"/>
        <v/>
      </c>
      <c r="AN123" s="442" t="str">
        <f t="shared" ca="1" si="79"/>
        <v/>
      </c>
      <c r="AO123" s="432">
        <f t="shared" ca="1" si="62"/>
        <v>384</v>
      </c>
      <c r="AP123" s="427" t="str">
        <f t="shared" ca="1" si="63"/>
        <v>-</v>
      </c>
      <c r="AQ123" s="443" t="str">
        <f t="shared" ca="1" si="64"/>
        <v>-</v>
      </c>
      <c r="AR123" s="444" t="str">
        <f t="shared" ca="1" si="65"/>
        <v>-</v>
      </c>
      <c r="AS123" s="430" t="str">
        <f t="shared" ca="1" si="66"/>
        <v>-</v>
      </c>
    </row>
    <row r="124" spans="1:45" ht="14.25" x14ac:dyDescent="0.65">
      <c r="A124" s="407">
        <v>116</v>
      </c>
      <c r="B124" s="408" t="str">
        <f t="shared" ca="1" si="47"/>
        <v/>
      </c>
      <c r="C124" s="408" t="str">
        <f ca="1">IFERROR(IF(G124="","",CONCATENATE(E124,"-",INDEX(Coordinate,MATCH(F124,ListAndConversion!$X$4:$X$99,0),2))),"")</f>
        <v/>
      </c>
      <c r="D124" s="408" t="str">
        <f t="shared" ca="1" si="76"/>
        <v/>
      </c>
      <c r="E124" s="408" t="str">
        <f t="shared" ca="1" si="76"/>
        <v/>
      </c>
      <c r="F124" s="408" t="str">
        <f t="shared" ca="1" si="76"/>
        <v/>
      </c>
      <c r="G124" s="408" t="str">
        <f ca="1">IFERROR(INDEX(ListAndConversion!A:B,MATCH(Calculation!E124,ListAndConversion!A:A,0),2),"")</f>
        <v/>
      </c>
      <c r="H124" s="408" t="str">
        <f>IF(TrackIT_Lines!AD116="","",TrackIT_Lines!AD116)</f>
        <v/>
      </c>
      <c r="I124" s="408" t="str">
        <f>IF(TrackIT_Lines!AD116="","",CONCATENATE(TrackIT_Lines!AD116,"-",TrackIT_Lines!AG116))</f>
        <v/>
      </c>
      <c r="J124" s="409" t="str">
        <f t="shared" ca="1" si="80"/>
        <v/>
      </c>
      <c r="K124" s="408" t="str">
        <f t="shared" ca="1" si="80"/>
        <v/>
      </c>
      <c r="L124" s="408" t="str">
        <f t="shared" ca="1" si="80"/>
        <v/>
      </c>
      <c r="M124" s="408" t="str">
        <f t="shared" ca="1" si="80"/>
        <v/>
      </c>
      <c r="N124" s="408" t="str">
        <f t="shared" ca="1" si="80"/>
        <v/>
      </c>
      <c r="O124" s="408" t="str">
        <f t="shared" ca="1" si="80"/>
        <v/>
      </c>
      <c r="P124" s="408" t="str">
        <f t="shared" ca="1" si="80"/>
        <v/>
      </c>
      <c r="Q124" s="408" t="str">
        <f t="shared" ca="1" si="80"/>
        <v/>
      </c>
      <c r="R124" s="410" t="str">
        <f ca="1">Cluster!J143</f>
        <v>Selection</v>
      </c>
      <c r="S124" s="411" t="str">
        <f t="shared" ca="1" si="48"/>
        <v>-</v>
      </c>
      <c r="T124" s="412" t="str">
        <f t="shared" ca="1" si="49"/>
        <v/>
      </c>
      <c r="U124" s="411" t="str">
        <f t="shared" ca="1" si="50"/>
        <v>-</v>
      </c>
      <c r="V124" s="411" t="str">
        <f t="shared" ca="1" si="51"/>
        <v>-</v>
      </c>
      <c r="W124" s="413">
        <f>Cluster!N143</f>
        <v>0</v>
      </c>
      <c r="X124" s="414" t="str">
        <f t="shared" ca="1" si="52"/>
        <v>-</v>
      </c>
      <c r="Y124" s="411" t="str">
        <f t="shared" ca="1" si="53"/>
        <v>-</v>
      </c>
      <c r="Z124" s="415" t="str">
        <f t="shared" ca="1" si="54"/>
        <v>-</v>
      </c>
      <c r="AA124" s="416" t="str">
        <f t="shared" ca="1" si="55"/>
        <v>-</v>
      </c>
      <c r="AB124" s="416" t="str">
        <f t="shared" ca="1" si="56"/>
        <v/>
      </c>
      <c r="AC124" s="434">
        <f>Cluster!Q143</f>
        <v>0</v>
      </c>
      <c r="AD124" s="435" t="str">
        <f t="shared" ca="1" si="78"/>
        <v/>
      </c>
      <c r="AE124" s="436" t="str">
        <f t="shared" ca="1" si="78"/>
        <v/>
      </c>
      <c r="AF124" s="437" t="str">
        <f t="shared" ca="1" si="57"/>
        <v>-</v>
      </c>
      <c r="AG124" s="438" t="str">
        <f t="shared" ca="1" si="58"/>
        <v>-</v>
      </c>
      <c r="AH124" s="437" t="str">
        <f t="shared" ca="1" si="59"/>
        <v>-</v>
      </c>
      <c r="AI124" s="438" t="str">
        <f t="shared" ca="1" si="60"/>
        <v>-</v>
      </c>
      <c r="AJ124" s="438" t="str">
        <f t="shared" ca="1" si="61"/>
        <v>-</v>
      </c>
      <c r="AK124" s="439" t="str">
        <f ca="1">IFERROR(AE124*AD124*AL124/(IF(Cluster!AA143=Cluster!$W$8,Cluster!$W$10,IF(Cluster!AA143=Cluster!$X$8,Cluster!$X$10,IF(Cluster!AA143=Cluster!$Y$8,Cluster!$Y$10,0)))*10^3),"-")</f>
        <v>-</v>
      </c>
      <c r="AL124" s="440" t="str">
        <f ca="1">IFERROR(IF(OR(Calculation!T124&lt;(Calculation!$U$8+2),Calculation!AC124="Bypass"),IF((IF(Calculation!$O$6/((Calculation!AD124*10^-12)/(Calculation!T124*10^-9)*50)&lt;=1,1,ROUNDUP(Calculation!$O$6/((Calculation!AD124*10^-12)/(Calculation!T124*10^-9)*50),0))*50)&lt;Calculation!$AK$6,Calculation!$AK$6,IF(Calculation!$O$6/((Calculation!AD124*10^-12)/(Calculation!T124*10^-9)*50)&lt;=1,1,ROUNDUP(Calculation!$O$6/((Calculation!AD124*10^-12)/(Calculation!T124*10^-9)*50),0))*50),"-"),"-")</f>
        <v>-</v>
      </c>
      <c r="AM124" s="441" t="str">
        <f t="shared" ca="1" si="79"/>
        <v/>
      </c>
      <c r="AN124" s="442" t="str">
        <f t="shared" ca="1" si="79"/>
        <v/>
      </c>
      <c r="AO124" s="432">
        <f t="shared" ca="1" si="62"/>
        <v>384</v>
      </c>
      <c r="AP124" s="427" t="str">
        <f t="shared" ca="1" si="63"/>
        <v>-</v>
      </c>
      <c r="AQ124" s="443" t="str">
        <f t="shared" ca="1" si="64"/>
        <v>-</v>
      </c>
      <c r="AR124" s="444" t="str">
        <f t="shared" ca="1" si="65"/>
        <v>-</v>
      </c>
      <c r="AS124" s="430" t="str">
        <f t="shared" ca="1" si="66"/>
        <v>-</v>
      </c>
    </row>
    <row r="125" spans="1:45" ht="14.25" x14ac:dyDescent="0.65">
      <c r="A125" s="407">
        <v>117</v>
      </c>
      <c r="B125" s="408" t="str">
        <f t="shared" ca="1" si="47"/>
        <v/>
      </c>
      <c r="C125" s="408" t="str">
        <f ca="1">IFERROR(IF(G125="","",CONCATENATE(E125,"-",INDEX(Coordinate,MATCH(F125,ListAndConversion!$X$4:$X$99,0),2))),"")</f>
        <v/>
      </c>
      <c r="D125" s="408" t="str">
        <f t="shared" ca="1" si="76"/>
        <v/>
      </c>
      <c r="E125" s="408" t="str">
        <f t="shared" ca="1" si="76"/>
        <v/>
      </c>
      <c r="F125" s="408" t="str">
        <f t="shared" ca="1" si="76"/>
        <v/>
      </c>
      <c r="G125" s="408" t="str">
        <f ca="1">IFERROR(INDEX(ListAndConversion!A:B,MATCH(Calculation!E125,ListAndConversion!A:A,0),2),"")</f>
        <v/>
      </c>
      <c r="H125" s="408" t="str">
        <f>IF(TrackIT_Lines!AD117="","",TrackIT_Lines!AD117)</f>
        <v/>
      </c>
      <c r="I125" s="408" t="str">
        <f>IF(TrackIT_Lines!AD117="","",CONCATENATE(TrackIT_Lines!AD117,"-",TrackIT_Lines!AG117))</f>
        <v/>
      </c>
      <c r="J125" s="409" t="str">
        <f t="shared" ca="1" si="80"/>
        <v/>
      </c>
      <c r="K125" s="408" t="str">
        <f t="shared" ca="1" si="80"/>
        <v/>
      </c>
      <c r="L125" s="408" t="str">
        <f t="shared" ca="1" si="80"/>
        <v/>
      </c>
      <c r="M125" s="408" t="str">
        <f t="shared" ca="1" si="80"/>
        <v/>
      </c>
      <c r="N125" s="408" t="str">
        <f t="shared" ca="1" si="80"/>
        <v/>
      </c>
      <c r="O125" s="408" t="str">
        <f t="shared" ca="1" si="80"/>
        <v/>
      </c>
      <c r="P125" s="408" t="str">
        <f t="shared" ca="1" si="80"/>
        <v/>
      </c>
      <c r="Q125" s="408" t="str">
        <f t="shared" ca="1" si="80"/>
        <v/>
      </c>
      <c r="R125" s="410" t="str">
        <f ca="1">Cluster!J144</f>
        <v>Selection</v>
      </c>
      <c r="S125" s="411" t="str">
        <f t="shared" ca="1" si="48"/>
        <v>-</v>
      </c>
      <c r="T125" s="412" t="str">
        <f t="shared" ca="1" si="49"/>
        <v/>
      </c>
      <c r="U125" s="411" t="str">
        <f t="shared" ca="1" si="50"/>
        <v>-</v>
      </c>
      <c r="V125" s="411" t="str">
        <f t="shared" ca="1" si="51"/>
        <v>-</v>
      </c>
      <c r="W125" s="413">
        <f>Cluster!N144</f>
        <v>0</v>
      </c>
      <c r="X125" s="414" t="str">
        <f t="shared" ca="1" si="52"/>
        <v>-</v>
      </c>
      <c r="Y125" s="411" t="str">
        <f t="shared" ca="1" si="53"/>
        <v>-</v>
      </c>
      <c r="Z125" s="415" t="str">
        <f t="shared" ca="1" si="54"/>
        <v>-</v>
      </c>
      <c r="AA125" s="416" t="str">
        <f t="shared" ca="1" si="55"/>
        <v>-</v>
      </c>
      <c r="AB125" s="416" t="str">
        <f t="shared" ca="1" si="56"/>
        <v/>
      </c>
      <c r="AC125" s="434">
        <f>Cluster!Q144</f>
        <v>0</v>
      </c>
      <c r="AD125" s="435" t="str">
        <f t="shared" ca="1" si="78"/>
        <v/>
      </c>
      <c r="AE125" s="436" t="str">
        <f t="shared" ca="1" si="78"/>
        <v/>
      </c>
      <c r="AF125" s="437" t="str">
        <f t="shared" ca="1" si="57"/>
        <v>-</v>
      </c>
      <c r="AG125" s="438" t="str">
        <f t="shared" ca="1" si="58"/>
        <v>-</v>
      </c>
      <c r="AH125" s="437" t="str">
        <f t="shared" ca="1" si="59"/>
        <v>-</v>
      </c>
      <c r="AI125" s="438" t="str">
        <f t="shared" ca="1" si="60"/>
        <v>-</v>
      </c>
      <c r="AJ125" s="438" t="str">
        <f t="shared" ca="1" si="61"/>
        <v>-</v>
      </c>
      <c r="AK125" s="439" t="str">
        <f ca="1">IFERROR(AE125*AD125*AL125/(IF(Cluster!AA144=Cluster!$W$8,Cluster!$W$10,IF(Cluster!AA144=Cluster!$X$8,Cluster!$X$10,IF(Cluster!AA144=Cluster!$Y$8,Cluster!$Y$10,0)))*10^3),"-")</f>
        <v>-</v>
      </c>
      <c r="AL125" s="440" t="str">
        <f ca="1">IFERROR(IF(OR(Calculation!T125&lt;(Calculation!$U$8+2),Calculation!AC125="Bypass"),IF((IF(Calculation!$O$6/((Calculation!AD125*10^-12)/(Calculation!T125*10^-9)*50)&lt;=1,1,ROUNDUP(Calculation!$O$6/((Calculation!AD125*10^-12)/(Calculation!T125*10^-9)*50),0))*50)&lt;Calculation!$AK$6,Calculation!$AK$6,IF(Calculation!$O$6/((Calculation!AD125*10^-12)/(Calculation!T125*10^-9)*50)&lt;=1,1,ROUNDUP(Calculation!$O$6/((Calculation!AD125*10^-12)/(Calculation!T125*10^-9)*50),0))*50),"-"),"-")</f>
        <v>-</v>
      </c>
      <c r="AM125" s="441" t="str">
        <f t="shared" ca="1" si="79"/>
        <v/>
      </c>
      <c r="AN125" s="442" t="str">
        <f t="shared" ca="1" si="79"/>
        <v/>
      </c>
      <c r="AO125" s="432">
        <f t="shared" ca="1" si="62"/>
        <v>384</v>
      </c>
      <c r="AP125" s="427" t="str">
        <f t="shared" ca="1" si="63"/>
        <v>-</v>
      </c>
      <c r="AQ125" s="443" t="str">
        <f t="shared" ca="1" si="64"/>
        <v>-</v>
      </c>
      <c r="AR125" s="444" t="str">
        <f t="shared" ca="1" si="65"/>
        <v>-</v>
      </c>
      <c r="AS125" s="430" t="str">
        <f t="shared" ca="1" si="66"/>
        <v>-</v>
      </c>
    </row>
    <row r="126" spans="1:45" ht="14.25" x14ac:dyDescent="0.65">
      <c r="A126" s="407">
        <v>118</v>
      </c>
      <c r="B126" s="408" t="str">
        <f t="shared" ca="1" si="47"/>
        <v/>
      </c>
      <c r="C126" s="408" t="str">
        <f ca="1">IFERROR(IF(G126="","",CONCATENATE(E126,"-",INDEX(Coordinate,MATCH(F126,ListAndConversion!$X$4:$X$99,0),2))),"")</f>
        <v/>
      </c>
      <c r="D126" s="408" t="str">
        <f t="shared" ca="1" si="76"/>
        <v/>
      </c>
      <c r="E126" s="408" t="str">
        <f t="shared" ca="1" si="76"/>
        <v/>
      </c>
      <c r="F126" s="408" t="str">
        <f t="shared" ca="1" si="76"/>
        <v/>
      </c>
      <c r="G126" s="408" t="str">
        <f ca="1">IFERROR(INDEX(ListAndConversion!A:B,MATCH(Calculation!E126,ListAndConversion!A:A,0),2),"")</f>
        <v/>
      </c>
      <c r="H126" s="408" t="str">
        <f>IF(TrackIT_Lines!AD118="","",TrackIT_Lines!AD118)</f>
        <v/>
      </c>
      <c r="I126" s="408" t="str">
        <f>IF(TrackIT_Lines!AD118="","",CONCATENATE(TrackIT_Lines!AD118,"-",TrackIT_Lines!AG118))</f>
        <v/>
      </c>
      <c r="J126" s="409" t="str">
        <f t="shared" ca="1" si="80"/>
        <v/>
      </c>
      <c r="K126" s="408" t="str">
        <f t="shared" ca="1" si="80"/>
        <v/>
      </c>
      <c r="L126" s="408" t="str">
        <f t="shared" ca="1" si="80"/>
        <v/>
      </c>
      <c r="M126" s="408" t="str">
        <f t="shared" ca="1" si="80"/>
        <v/>
      </c>
      <c r="N126" s="408" t="str">
        <f t="shared" ca="1" si="80"/>
        <v/>
      </c>
      <c r="O126" s="408" t="str">
        <f t="shared" ca="1" si="80"/>
        <v/>
      </c>
      <c r="P126" s="408" t="str">
        <f t="shared" ca="1" si="80"/>
        <v/>
      </c>
      <c r="Q126" s="408" t="str">
        <f t="shared" ca="1" si="80"/>
        <v/>
      </c>
      <c r="R126" s="410" t="str">
        <f ca="1">Cluster!J145</f>
        <v>Selection</v>
      </c>
      <c r="S126" s="411" t="str">
        <f t="shared" ca="1" si="48"/>
        <v>-</v>
      </c>
      <c r="T126" s="412" t="str">
        <f t="shared" ca="1" si="49"/>
        <v/>
      </c>
      <c r="U126" s="411" t="str">
        <f t="shared" ca="1" si="50"/>
        <v>-</v>
      </c>
      <c r="V126" s="411" t="str">
        <f t="shared" ca="1" si="51"/>
        <v>-</v>
      </c>
      <c r="W126" s="413">
        <f>Cluster!N145</f>
        <v>0</v>
      </c>
      <c r="X126" s="414" t="str">
        <f t="shared" ca="1" si="52"/>
        <v>-</v>
      </c>
      <c r="Y126" s="411" t="str">
        <f t="shared" ca="1" si="53"/>
        <v>-</v>
      </c>
      <c r="Z126" s="415" t="str">
        <f t="shared" ca="1" si="54"/>
        <v>-</v>
      </c>
      <c r="AA126" s="416" t="str">
        <f t="shared" ca="1" si="55"/>
        <v>-</v>
      </c>
      <c r="AB126" s="416" t="str">
        <f t="shared" ca="1" si="56"/>
        <v/>
      </c>
      <c r="AC126" s="434">
        <f>Cluster!Q145</f>
        <v>0</v>
      </c>
      <c r="AD126" s="435" t="str">
        <f t="shared" ca="1" si="78"/>
        <v/>
      </c>
      <c r="AE126" s="436" t="str">
        <f t="shared" ca="1" si="78"/>
        <v/>
      </c>
      <c r="AF126" s="437" t="str">
        <f t="shared" ca="1" si="57"/>
        <v>-</v>
      </c>
      <c r="AG126" s="438" t="str">
        <f t="shared" ca="1" si="58"/>
        <v>-</v>
      </c>
      <c r="AH126" s="437" t="str">
        <f t="shared" ca="1" si="59"/>
        <v>-</v>
      </c>
      <c r="AI126" s="438" t="str">
        <f t="shared" ca="1" si="60"/>
        <v>-</v>
      </c>
      <c r="AJ126" s="438" t="str">
        <f t="shared" ca="1" si="61"/>
        <v>-</v>
      </c>
      <c r="AK126" s="439" t="str">
        <f ca="1">IFERROR(AE126*AD126*AL126/(IF(Cluster!AA145=Cluster!$W$8,Cluster!$W$10,IF(Cluster!AA145=Cluster!$X$8,Cluster!$X$10,IF(Cluster!AA145=Cluster!$Y$8,Cluster!$Y$10,0)))*10^3),"-")</f>
        <v>-</v>
      </c>
      <c r="AL126" s="440" t="str">
        <f ca="1">IFERROR(IF(OR(Calculation!T126&lt;(Calculation!$U$8+2),Calculation!AC126="Bypass"),IF((IF(Calculation!$O$6/((Calculation!AD126*10^-12)/(Calculation!T126*10^-9)*50)&lt;=1,1,ROUNDUP(Calculation!$O$6/((Calculation!AD126*10^-12)/(Calculation!T126*10^-9)*50),0))*50)&lt;Calculation!$AK$6,Calculation!$AK$6,IF(Calculation!$O$6/((Calculation!AD126*10^-12)/(Calculation!T126*10^-9)*50)&lt;=1,1,ROUNDUP(Calculation!$O$6/((Calculation!AD126*10^-12)/(Calculation!T126*10^-9)*50),0))*50),"-"),"-")</f>
        <v>-</v>
      </c>
      <c r="AM126" s="441" t="str">
        <f t="shared" ca="1" si="79"/>
        <v/>
      </c>
      <c r="AN126" s="442" t="str">
        <f t="shared" ca="1" si="79"/>
        <v/>
      </c>
      <c r="AO126" s="432">
        <f t="shared" ca="1" si="62"/>
        <v>384</v>
      </c>
      <c r="AP126" s="427" t="str">
        <f t="shared" ca="1" si="63"/>
        <v>-</v>
      </c>
      <c r="AQ126" s="443" t="str">
        <f t="shared" ca="1" si="64"/>
        <v>-</v>
      </c>
      <c r="AR126" s="444" t="str">
        <f t="shared" ca="1" si="65"/>
        <v>-</v>
      </c>
      <c r="AS126" s="430" t="str">
        <f t="shared" ca="1" si="66"/>
        <v>-</v>
      </c>
    </row>
    <row r="127" spans="1:45" ht="14.25" x14ac:dyDescent="0.65">
      <c r="A127" s="407">
        <v>119</v>
      </c>
      <c r="B127" s="408" t="str">
        <f t="shared" ca="1" si="47"/>
        <v/>
      </c>
      <c r="C127" s="408" t="str">
        <f ca="1">IFERROR(IF(G127="","",CONCATENATE(E127,"-",INDEX(Coordinate,MATCH(F127,ListAndConversion!$X$4:$X$99,0),2))),"")</f>
        <v/>
      </c>
      <c r="D127" s="408" t="str">
        <f t="shared" ca="1" si="76"/>
        <v/>
      </c>
      <c r="E127" s="408" t="str">
        <f t="shared" ca="1" si="76"/>
        <v/>
      </c>
      <c r="F127" s="408" t="str">
        <f t="shared" ca="1" si="76"/>
        <v/>
      </c>
      <c r="G127" s="408" t="str">
        <f ca="1">IFERROR(INDEX(ListAndConversion!A:B,MATCH(Calculation!E127,ListAndConversion!A:A,0),2),"")</f>
        <v/>
      </c>
      <c r="H127" s="408" t="str">
        <f>IF(TrackIT_Lines!AD119="","",TrackIT_Lines!AD119)</f>
        <v/>
      </c>
      <c r="I127" s="408" t="str">
        <f>IF(TrackIT_Lines!AD119="","",CONCATENATE(TrackIT_Lines!AD119,"-",TrackIT_Lines!AG119))</f>
        <v/>
      </c>
      <c r="J127" s="409" t="str">
        <f t="shared" ca="1" si="80"/>
        <v/>
      </c>
      <c r="K127" s="408" t="str">
        <f t="shared" ca="1" si="80"/>
        <v/>
      </c>
      <c r="L127" s="408" t="str">
        <f t="shared" ca="1" si="80"/>
        <v/>
      </c>
      <c r="M127" s="408" t="str">
        <f t="shared" ca="1" si="80"/>
        <v/>
      </c>
      <c r="N127" s="408" t="str">
        <f t="shared" ca="1" si="80"/>
        <v/>
      </c>
      <c r="O127" s="408" t="str">
        <f t="shared" ca="1" si="80"/>
        <v/>
      </c>
      <c r="P127" s="408" t="str">
        <f t="shared" ca="1" si="80"/>
        <v/>
      </c>
      <c r="Q127" s="408" t="str">
        <f t="shared" ca="1" si="80"/>
        <v/>
      </c>
      <c r="R127" s="410" t="str">
        <f ca="1">Cluster!J146</f>
        <v>Selection</v>
      </c>
      <c r="S127" s="411" t="str">
        <f t="shared" ca="1" si="48"/>
        <v>-</v>
      </c>
      <c r="T127" s="412" t="str">
        <f t="shared" ca="1" si="49"/>
        <v/>
      </c>
      <c r="U127" s="411" t="str">
        <f t="shared" ca="1" si="50"/>
        <v>-</v>
      </c>
      <c r="V127" s="411" t="str">
        <f t="shared" ca="1" si="51"/>
        <v>-</v>
      </c>
      <c r="W127" s="413">
        <f>Cluster!N146</f>
        <v>0</v>
      </c>
      <c r="X127" s="414" t="str">
        <f t="shared" ca="1" si="52"/>
        <v>-</v>
      </c>
      <c r="Y127" s="411" t="str">
        <f t="shared" ca="1" si="53"/>
        <v>-</v>
      </c>
      <c r="Z127" s="415" t="str">
        <f t="shared" ca="1" si="54"/>
        <v>-</v>
      </c>
      <c r="AA127" s="416" t="str">
        <f t="shared" ca="1" si="55"/>
        <v>-</v>
      </c>
      <c r="AB127" s="416" t="str">
        <f t="shared" ca="1" si="56"/>
        <v/>
      </c>
      <c r="AC127" s="434">
        <f>Cluster!Q146</f>
        <v>0</v>
      </c>
      <c r="AD127" s="435" t="str">
        <f t="shared" ca="1" si="78"/>
        <v/>
      </c>
      <c r="AE127" s="436" t="str">
        <f t="shared" ca="1" si="78"/>
        <v/>
      </c>
      <c r="AF127" s="437" t="str">
        <f t="shared" ca="1" si="57"/>
        <v>-</v>
      </c>
      <c r="AG127" s="438" t="str">
        <f t="shared" ca="1" si="58"/>
        <v>-</v>
      </c>
      <c r="AH127" s="437" t="str">
        <f t="shared" ca="1" si="59"/>
        <v>-</v>
      </c>
      <c r="AI127" s="438" t="str">
        <f t="shared" ca="1" si="60"/>
        <v>-</v>
      </c>
      <c r="AJ127" s="438" t="str">
        <f t="shared" ca="1" si="61"/>
        <v>-</v>
      </c>
      <c r="AK127" s="439" t="str">
        <f ca="1">IFERROR(AE127*AD127*AL127/(IF(Cluster!AA146=Cluster!$W$8,Cluster!$W$10,IF(Cluster!AA146=Cluster!$X$8,Cluster!$X$10,IF(Cluster!AA146=Cluster!$Y$8,Cluster!$Y$10,0)))*10^3),"-")</f>
        <v>-</v>
      </c>
      <c r="AL127" s="440" t="str">
        <f ca="1">IFERROR(IF(OR(Calculation!T127&lt;(Calculation!$U$8+2),Calculation!AC127="Bypass"),IF((IF(Calculation!$O$6/((Calculation!AD127*10^-12)/(Calculation!T127*10^-9)*50)&lt;=1,1,ROUNDUP(Calculation!$O$6/((Calculation!AD127*10^-12)/(Calculation!T127*10^-9)*50),0))*50)&lt;Calculation!$AK$6,Calculation!$AK$6,IF(Calculation!$O$6/((Calculation!AD127*10^-12)/(Calculation!T127*10^-9)*50)&lt;=1,1,ROUNDUP(Calculation!$O$6/((Calculation!AD127*10^-12)/(Calculation!T127*10^-9)*50),0))*50),"-"),"-")</f>
        <v>-</v>
      </c>
      <c r="AM127" s="441" t="str">
        <f t="shared" ca="1" si="79"/>
        <v/>
      </c>
      <c r="AN127" s="442" t="str">
        <f t="shared" ca="1" si="79"/>
        <v/>
      </c>
      <c r="AO127" s="432">
        <f t="shared" ca="1" si="62"/>
        <v>384</v>
      </c>
      <c r="AP127" s="427" t="str">
        <f t="shared" ca="1" si="63"/>
        <v>-</v>
      </c>
      <c r="AQ127" s="443" t="str">
        <f t="shared" ca="1" si="64"/>
        <v>-</v>
      </c>
      <c r="AR127" s="444" t="str">
        <f t="shared" ca="1" si="65"/>
        <v>-</v>
      </c>
      <c r="AS127" s="430" t="str">
        <f t="shared" ca="1" si="66"/>
        <v>-</v>
      </c>
    </row>
    <row r="128" spans="1:45" ht="14.25" x14ac:dyDescent="0.65">
      <c r="A128" s="407">
        <v>120</v>
      </c>
      <c r="B128" s="408" t="str">
        <f t="shared" ca="1" si="47"/>
        <v/>
      </c>
      <c r="C128" s="408" t="str">
        <f ca="1">IFERROR(IF(G128="","",CONCATENATE(E128,"-",INDEX(Coordinate,MATCH(F128,ListAndConversion!$X$4:$X$99,0),2))),"")</f>
        <v/>
      </c>
      <c r="D128" s="408" t="str">
        <f t="shared" ca="1" si="76"/>
        <v/>
      </c>
      <c r="E128" s="408" t="str">
        <f t="shared" ca="1" si="76"/>
        <v/>
      </c>
      <c r="F128" s="408" t="str">
        <f t="shared" ca="1" si="76"/>
        <v/>
      </c>
      <c r="G128" s="408" t="str">
        <f ca="1">IFERROR(INDEX(ListAndConversion!A:B,MATCH(Calculation!E128,ListAndConversion!A:A,0),2),"")</f>
        <v/>
      </c>
      <c r="H128" s="408" t="str">
        <f>IF(TrackIT_Lines!AD120="","",TrackIT_Lines!AD120)</f>
        <v/>
      </c>
      <c r="I128" s="408" t="str">
        <f>IF(TrackIT_Lines!AD120="","",CONCATENATE(TrackIT_Lines!AD120,"-",TrackIT_Lines!AG120))</f>
        <v/>
      </c>
      <c r="J128" s="409" t="str">
        <f t="shared" ca="1" si="80"/>
        <v/>
      </c>
      <c r="K128" s="408" t="str">
        <f t="shared" ca="1" si="80"/>
        <v/>
      </c>
      <c r="L128" s="408" t="str">
        <f t="shared" ca="1" si="80"/>
        <v/>
      </c>
      <c r="M128" s="408" t="str">
        <f t="shared" ca="1" si="80"/>
        <v/>
      </c>
      <c r="N128" s="408" t="str">
        <f t="shared" ca="1" si="80"/>
        <v/>
      </c>
      <c r="O128" s="408" t="str">
        <f t="shared" ca="1" si="80"/>
        <v/>
      </c>
      <c r="P128" s="408" t="str">
        <f t="shared" ca="1" si="80"/>
        <v/>
      </c>
      <c r="Q128" s="408" t="str">
        <f t="shared" ca="1" si="80"/>
        <v/>
      </c>
      <c r="R128" s="410" t="str">
        <f ca="1">Cluster!J147</f>
        <v>Selection</v>
      </c>
      <c r="S128" s="411" t="str">
        <f t="shared" ca="1" si="48"/>
        <v>-</v>
      </c>
      <c r="T128" s="412" t="str">
        <f t="shared" ca="1" si="49"/>
        <v/>
      </c>
      <c r="U128" s="411" t="str">
        <f t="shared" ca="1" si="50"/>
        <v>-</v>
      </c>
      <c r="V128" s="411" t="str">
        <f t="shared" ca="1" si="51"/>
        <v>-</v>
      </c>
      <c r="W128" s="413">
        <f>Cluster!N147</f>
        <v>0</v>
      </c>
      <c r="X128" s="414" t="str">
        <f t="shared" ca="1" si="52"/>
        <v>-</v>
      </c>
      <c r="Y128" s="411" t="str">
        <f t="shared" ca="1" si="53"/>
        <v>-</v>
      </c>
      <c r="Z128" s="415" t="str">
        <f t="shared" ca="1" si="54"/>
        <v>-</v>
      </c>
      <c r="AA128" s="416" t="str">
        <f t="shared" ca="1" si="55"/>
        <v>-</v>
      </c>
      <c r="AB128" s="416" t="str">
        <f t="shared" ca="1" si="56"/>
        <v/>
      </c>
      <c r="AC128" s="434">
        <f>Cluster!Q147</f>
        <v>0</v>
      </c>
      <c r="AD128" s="435" t="str">
        <f t="shared" ca="1" si="78"/>
        <v/>
      </c>
      <c r="AE128" s="436" t="str">
        <f t="shared" ca="1" si="78"/>
        <v/>
      </c>
      <c r="AF128" s="437" t="str">
        <f t="shared" ca="1" si="57"/>
        <v>-</v>
      </c>
      <c r="AG128" s="438" t="str">
        <f t="shared" ca="1" si="58"/>
        <v>-</v>
      </c>
      <c r="AH128" s="437" t="str">
        <f t="shared" ca="1" si="59"/>
        <v>-</v>
      </c>
      <c r="AI128" s="438" t="str">
        <f t="shared" ca="1" si="60"/>
        <v>-</v>
      </c>
      <c r="AJ128" s="438" t="str">
        <f t="shared" ca="1" si="61"/>
        <v>-</v>
      </c>
      <c r="AK128" s="439" t="str">
        <f ca="1">IFERROR(AE128*AD128*AL128/(IF(Cluster!AA147=Cluster!$W$8,Cluster!$W$10,IF(Cluster!AA147=Cluster!$X$8,Cluster!$X$10,IF(Cluster!AA147=Cluster!$Y$8,Cluster!$Y$10,0)))*10^3),"-")</f>
        <v>-</v>
      </c>
      <c r="AL128" s="440" t="str">
        <f ca="1">IFERROR(IF(OR(Calculation!T128&lt;(Calculation!$U$8+2),Calculation!AC128="Bypass"),IF((IF(Calculation!$O$6/((Calculation!AD128*10^-12)/(Calculation!T128*10^-9)*50)&lt;=1,1,ROUNDUP(Calculation!$O$6/((Calculation!AD128*10^-12)/(Calculation!T128*10^-9)*50),0))*50)&lt;Calculation!$AK$6,Calculation!$AK$6,IF(Calculation!$O$6/((Calculation!AD128*10^-12)/(Calculation!T128*10^-9)*50)&lt;=1,1,ROUNDUP(Calculation!$O$6/((Calculation!AD128*10^-12)/(Calculation!T128*10^-9)*50),0))*50),"-"),"-")</f>
        <v>-</v>
      </c>
      <c r="AM128" s="441" t="str">
        <f t="shared" ca="1" si="79"/>
        <v/>
      </c>
      <c r="AN128" s="442" t="str">
        <f t="shared" ca="1" si="79"/>
        <v/>
      </c>
      <c r="AO128" s="432">
        <f t="shared" ca="1" si="62"/>
        <v>384</v>
      </c>
      <c r="AP128" s="427" t="str">
        <f t="shared" ca="1" si="63"/>
        <v>-</v>
      </c>
      <c r="AQ128" s="443" t="str">
        <f t="shared" ca="1" si="64"/>
        <v>-</v>
      </c>
      <c r="AR128" s="444" t="str">
        <f t="shared" ca="1" si="65"/>
        <v>-</v>
      </c>
      <c r="AS128" s="430" t="str">
        <f t="shared" ca="1" si="66"/>
        <v>-</v>
      </c>
    </row>
    <row r="129" spans="1:45" ht="14.25" x14ac:dyDescent="0.65">
      <c r="A129" s="407">
        <v>121</v>
      </c>
      <c r="B129" s="408" t="str">
        <f t="shared" ca="1" si="47"/>
        <v/>
      </c>
      <c r="C129" s="408" t="str">
        <f ca="1">IFERROR(IF(G129="","",CONCATENATE(E129,"-",INDEX(Coordinate,MATCH(F129,ListAndConversion!$X$4:$X$99,0),2))),"")</f>
        <v/>
      </c>
      <c r="D129" s="408" t="str">
        <f t="shared" ca="1" si="76"/>
        <v/>
      </c>
      <c r="E129" s="408" t="str">
        <f t="shared" ca="1" si="76"/>
        <v/>
      </c>
      <c r="F129" s="408" t="str">
        <f t="shared" ca="1" si="76"/>
        <v/>
      </c>
      <c r="G129" s="408" t="str">
        <f ca="1">IFERROR(INDEX(ListAndConversion!A:B,MATCH(Calculation!E129,ListAndConversion!A:A,0),2),"")</f>
        <v/>
      </c>
      <c r="H129" s="408" t="str">
        <f>IF(TrackIT_Lines!AD121="","",TrackIT_Lines!AD121)</f>
        <v/>
      </c>
      <c r="I129" s="408" t="str">
        <f>IF(TrackIT_Lines!AD121="","",CONCATENATE(TrackIT_Lines!AD121,"-",TrackIT_Lines!AG121))</f>
        <v/>
      </c>
      <c r="J129" s="409" t="str">
        <f t="shared" ca="1" si="80"/>
        <v/>
      </c>
      <c r="K129" s="408" t="str">
        <f t="shared" ca="1" si="80"/>
        <v/>
      </c>
      <c r="L129" s="408" t="str">
        <f t="shared" ca="1" si="80"/>
        <v/>
      </c>
      <c r="M129" s="408" t="str">
        <f t="shared" ca="1" si="80"/>
        <v/>
      </c>
      <c r="N129" s="408" t="str">
        <f t="shared" ca="1" si="80"/>
        <v/>
      </c>
      <c r="O129" s="408" t="str">
        <f t="shared" ca="1" si="80"/>
        <v/>
      </c>
      <c r="P129" s="408" t="str">
        <f t="shared" ca="1" si="80"/>
        <v/>
      </c>
      <c r="Q129" s="408" t="str">
        <f t="shared" ca="1" si="80"/>
        <v/>
      </c>
      <c r="R129" s="410" t="str">
        <f ca="1">Cluster!J148</f>
        <v>Selection</v>
      </c>
      <c r="S129" s="411" t="str">
        <f t="shared" ca="1" si="48"/>
        <v>-</v>
      </c>
      <c r="T129" s="412" t="str">
        <f t="shared" ca="1" si="49"/>
        <v/>
      </c>
      <c r="U129" s="411" t="str">
        <f t="shared" ca="1" si="50"/>
        <v>-</v>
      </c>
      <c r="V129" s="411" t="str">
        <f t="shared" ca="1" si="51"/>
        <v>-</v>
      </c>
      <c r="W129" s="413">
        <f>Cluster!N148</f>
        <v>0</v>
      </c>
      <c r="X129" s="414" t="str">
        <f t="shared" ca="1" si="52"/>
        <v>-</v>
      </c>
      <c r="Y129" s="411" t="str">
        <f t="shared" ca="1" si="53"/>
        <v>-</v>
      </c>
      <c r="Z129" s="415" t="str">
        <f t="shared" ca="1" si="54"/>
        <v>-</v>
      </c>
      <c r="AA129" s="416" t="str">
        <f t="shared" ca="1" si="55"/>
        <v>-</v>
      </c>
      <c r="AB129" s="416" t="str">
        <f t="shared" ca="1" si="56"/>
        <v/>
      </c>
      <c r="AC129" s="434">
        <f>Cluster!Q148</f>
        <v>0</v>
      </c>
      <c r="AD129" s="435" t="str">
        <f t="shared" ca="1" si="78"/>
        <v/>
      </c>
      <c r="AE129" s="436" t="str">
        <f t="shared" ca="1" si="78"/>
        <v/>
      </c>
      <c r="AF129" s="437" t="str">
        <f t="shared" ca="1" si="57"/>
        <v>-</v>
      </c>
      <c r="AG129" s="438" t="str">
        <f t="shared" ca="1" si="58"/>
        <v>-</v>
      </c>
      <c r="AH129" s="437" t="str">
        <f t="shared" ca="1" si="59"/>
        <v>-</v>
      </c>
      <c r="AI129" s="438" t="str">
        <f t="shared" ca="1" si="60"/>
        <v>-</v>
      </c>
      <c r="AJ129" s="438" t="str">
        <f t="shared" ca="1" si="61"/>
        <v>-</v>
      </c>
      <c r="AK129" s="439" t="str">
        <f ca="1">IFERROR(AE129*AD129*AL129/(IF(Cluster!AA148=Cluster!$W$8,Cluster!$W$10,IF(Cluster!AA148=Cluster!$X$8,Cluster!$X$10,IF(Cluster!AA148=Cluster!$Y$8,Cluster!$Y$10,0)))*10^3),"-")</f>
        <v>-</v>
      </c>
      <c r="AL129" s="440" t="str">
        <f ca="1">IFERROR(IF(OR(Calculation!T129&lt;(Calculation!$U$8+2),Calculation!AC129="Bypass"),IF((IF(Calculation!$O$6/((Calculation!AD129*10^-12)/(Calculation!T129*10^-9)*50)&lt;=1,1,ROUNDUP(Calculation!$O$6/((Calculation!AD129*10^-12)/(Calculation!T129*10^-9)*50),0))*50)&lt;Calculation!$AK$6,Calculation!$AK$6,IF(Calculation!$O$6/((Calculation!AD129*10^-12)/(Calculation!T129*10^-9)*50)&lt;=1,1,ROUNDUP(Calculation!$O$6/((Calculation!AD129*10^-12)/(Calculation!T129*10^-9)*50),0))*50),"-"),"-")</f>
        <v>-</v>
      </c>
      <c r="AM129" s="441" t="str">
        <f t="shared" ca="1" si="79"/>
        <v/>
      </c>
      <c r="AN129" s="442" t="str">
        <f t="shared" ca="1" si="79"/>
        <v/>
      </c>
      <c r="AO129" s="432">
        <f t="shared" ca="1" si="62"/>
        <v>384</v>
      </c>
      <c r="AP129" s="427" t="str">
        <f t="shared" ca="1" si="63"/>
        <v>-</v>
      </c>
      <c r="AQ129" s="443" t="str">
        <f t="shared" ca="1" si="64"/>
        <v>-</v>
      </c>
      <c r="AR129" s="444" t="str">
        <f t="shared" ca="1" si="65"/>
        <v>-</v>
      </c>
      <c r="AS129" s="430" t="str">
        <f t="shared" ca="1" si="66"/>
        <v>-</v>
      </c>
    </row>
    <row r="130" spans="1:45" ht="14.25" x14ac:dyDescent="0.65">
      <c r="A130" s="407">
        <v>122</v>
      </c>
      <c r="B130" s="408" t="str">
        <f t="shared" ca="1" si="47"/>
        <v/>
      </c>
      <c r="C130" s="408" t="str">
        <f ca="1">IFERROR(IF(G130="","",CONCATENATE(E130,"-",INDEX(Coordinate,MATCH(F130,ListAndConversion!$X$4:$X$99,0),2))),"")</f>
        <v/>
      </c>
      <c r="D130" s="408" t="str">
        <f t="shared" ref="D130:F149" ca="1" si="81">IF((INDIRECT("TrackIT_Lines!"&amp;D$2&amp;$A130))="","", (INDIRECT("TrackIT_Lines!"&amp;D$2&amp;$A130)))</f>
        <v/>
      </c>
      <c r="E130" s="408" t="str">
        <f t="shared" ca="1" si="81"/>
        <v/>
      </c>
      <c r="F130" s="408" t="str">
        <f t="shared" ca="1" si="81"/>
        <v/>
      </c>
      <c r="G130" s="408" t="str">
        <f ca="1">IFERROR(INDEX(ListAndConversion!A:B,MATCH(Calculation!E130,ListAndConversion!A:A,0),2),"")</f>
        <v/>
      </c>
      <c r="H130" s="408" t="str">
        <f>IF(TrackIT_Lines!AD122="","",TrackIT_Lines!AD122)</f>
        <v/>
      </c>
      <c r="I130" s="408" t="str">
        <f>IF(TrackIT_Lines!AD122="","",CONCATENATE(TrackIT_Lines!AD122,"-",TrackIT_Lines!AG122))</f>
        <v/>
      </c>
      <c r="J130" s="409" t="str">
        <f t="shared" ref="J130:Q139" ca="1" si="82">IF((INDIRECT("TrackIT_Lines!"&amp;J$2&amp;$A130))="","", (INDIRECT("TrackIT_Lines!"&amp;J$2&amp;$A130)))</f>
        <v/>
      </c>
      <c r="K130" s="408" t="str">
        <f t="shared" ca="1" si="82"/>
        <v/>
      </c>
      <c r="L130" s="408" t="str">
        <f t="shared" ca="1" si="82"/>
        <v/>
      </c>
      <c r="M130" s="408" t="str">
        <f t="shared" ca="1" si="82"/>
        <v/>
      </c>
      <c r="N130" s="408" t="str">
        <f t="shared" ca="1" si="82"/>
        <v/>
      </c>
      <c r="O130" s="408" t="str">
        <f t="shared" ca="1" si="82"/>
        <v/>
      </c>
      <c r="P130" s="408" t="str">
        <f t="shared" ca="1" si="82"/>
        <v/>
      </c>
      <c r="Q130" s="408" t="str">
        <f t="shared" ca="1" si="82"/>
        <v/>
      </c>
      <c r="R130" s="410" t="str">
        <f ca="1">Cluster!J149</f>
        <v>Selection</v>
      </c>
      <c r="S130" s="411" t="str">
        <f t="shared" ca="1" si="48"/>
        <v>-</v>
      </c>
      <c r="T130" s="412" t="str">
        <f t="shared" ca="1" si="49"/>
        <v/>
      </c>
      <c r="U130" s="411" t="str">
        <f t="shared" ca="1" si="50"/>
        <v>-</v>
      </c>
      <c r="V130" s="411" t="str">
        <f t="shared" ca="1" si="51"/>
        <v>-</v>
      </c>
      <c r="W130" s="413">
        <f>Cluster!N149</f>
        <v>0</v>
      </c>
      <c r="X130" s="414" t="str">
        <f t="shared" ca="1" si="52"/>
        <v>-</v>
      </c>
      <c r="Y130" s="411" t="str">
        <f t="shared" ca="1" si="53"/>
        <v>-</v>
      </c>
      <c r="Z130" s="415" t="str">
        <f t="shared" ca="1" si="54"/>
        <v>-</v>
      </c>
      <c r="AA130" s="416" t="str">
        <f t="shared" ca="1" si="55"/>
        <v>-</v>
      </c>
      <c r="AB130" s="416" t="str">
        <f t="shared" ca="1" si="56"/>
        <v/>
      </c>
      <c r="AC130" s="434">
        <f>Cluster!Q149</f>
        <v>0</v>
      </c>
      <c r="AD130" s="435" t="str">
        <f t="shared" ref="AD130:AE149" ca="1" si="83">IF((INDIRECT("TrackIT_Lines!"&amp;AD$2&amp;$A130))="","", (INDIRECT("TrackIT_Lines!"&amp;AD$2&amp;$A130)))</f>
        <v/>
      </c>
      <c r="AE130" s="436" t="str">
        <f t="shared" ca="1" si="83"/>
        <v/>
      </c>
      <c r="AF130" s="437" t="str">
        <f t="shared" ca="1" si="57"/>
        <v>-</v>
      </c>
      <c r="AG130" s="438" t="str">
        <f t="shared" ca="1" si="58"/>
        <v>-</v>
      </c>
      <c r="AH130" s="437" t="str">
        <f t="shared" ca="1" si="59"/>
        <v>-</v>
      </c>
      <c r="AI130" s="438" t="str">
        <f t="shared" ca="1" si="60"/>
        <v>-</v>
      </c>
      <c r="AJ130" s="438" t="str">
        <f t="shared" ca="1" si="61"/>
        <v>-</v>
      </c>
      <c r="AK130" s="439" t="str">
        <f ca="1">IFERROR(AE130*AD130*AL130/(IF(Cluster!AA149=Cluster!$W$8,Cluster!$W$10,IF(Cluster!AA149=Cluster!$X$8,Cluster!$X$10,IF(Cluster!AA149=Cluster!$Y$8,Cluster!$Y$10,0)))*10^3),"-")</f>
        <v>-</v>
      </c>
      <c r="AL130" s="440" t="str">
        <f ca="1">IFERROR(IF(OR(Calculation!T130&lt;(Calculation!$U$8+2),Calculation!AC130="Bypass"),IF((IF(Calculation!$O$6/((Calculation!AD130*10^-12)/(Calculation!T130*10^-9)*50)&lt;=1,1,ROUNDUP(Calculation!$O$6/((Calculation!AD130*10^-12)/(Calculation!T130*10^-9)*50),0))*50)&lt;Calculation!$AK$6,Calculation!$AK$6,IF(Calculation!$O$6/((Calculation!AD130*10^-12)/(Calculation!T130*10^-9)*50)&lt;=1,1,ROUNDUP(Calculation!$O$6/((Calculation!AD130*10^-12)/(Calculation!T130*10^-9)*50),0))*50),"-"),"-")</f>
        <v>-</v>
      </c>
      <c r="AM130" s="441" t="str">
        <f t="shared" ref="AM130:AN149" ca="1" si="84">IF((INDIRECT("TrackIT_Lines!"&amp;AM$2&amp;$A130))="","", (INDIRECT("TrackIT_Lines!"&amp;AM$2&amp;$A130)))</f>
        <v/>
      </c>
      <c r="AN130" s="442" t="str">
        <f t="shared" ca="1" si="84"/>
        <v/>
      </c>
      <c r="AO130" s="432">
        <f t="shared" ca="1" si="62"/>
        <v>384</v>
      </c>
      <c r="AP130" s="427" t="str">
        <f t="shared" ca="1" si="63"/>
        <v>-</v>
      </c>
      <c r="AQ130" s="443" t="str">
        <f t="shared" ca="1" si="64"/>
        <v>-</v>
      </c>
      <c r="AR130" s="444" t="str">
        <f t="shared" ca="1" si="65"/>
        <v>-</v>
      </c>
      <c r="AS130" s="430" t="str">
        <f t="shared" ca="1" si="66"/>
        <v>-</v>
      </c>
    </row>
    <row r="131" spans="1:45" ht="14.25" x14ac:dyDescent="0.65">
      <c r="A131" s="407">
        <v>123</v>
      </c>
      <c r="B131" s="408" t="str">
        <f t="shared" ca="1" si="47"/>
        <v/>
      </c>
      <c r="C131" s="408" t="str">
        <f ca="1">IFERROR(IF(G131="","",CONCATENATE(E131,"-",INDEX(Coordinate,MATCH(F131,ListAndConversion!$X$4:$X$99,0),2))),"")</f>
        <v/>
      </c>
      <c r="D131" s="408" t="str">
        <f t="shared" ca="1" si="81"/>
        <v/>
      </c>
      <c r="E131" s="408" t="str">
        <f t="shared" ca="1" si="81"/>
        <v/>
      </c>
      <c r="F131" s="408" t="str">
        <f t="shared" ca="1" si="81"/>
        <v/>
      </c>
      <c r="G131" s="408" t="str">
        <f ca="1">IFERROR(INDEX(ListAndConversion!A:B,MATCH(Calculation!E131,ListAndConversion!A:A,0),2),"")</f>
        <v/>
      </c>
      <c r="H131" s="408" t="str">
        <f>IF(TrackIT_Lines!AD123="","",TrackIT_Lines!AD123)</f>
        <v/>
      </c>
      <c r="I131" s="408" t="str">
        <f>IF(TrackIT_Lines!AD123="","",CONCATENATE(TrackIT_Lines!AD123,"-",TrackIT_Lines!AG123))</f>
        <v/>
      </c>
      <c r="J131" s="409" t="str">
        <f t="shared" ca="1" si="82"/>
        <v/>
      </c>
      <c r="K131" s="408" t="str">
        <f t="shared" ca="1" si="82"/>
        <v/>
      </c>
      <c r="L131" s="408" t="str">
        <f t="shared" ca="1" si="82"/>
        <v/>
      </c>
      <c r="M131" s="408" t="str">
        <f t="shared" ca="1" si="82"/>
        <v/>
      </c>
      <c r="N131" s="408" t="str">
        <f t="shared" ca="1" si="82"/>
        <v/>
      </c>
      <c r="O131" s="408" t="str">
        <f t="shared" ca="1" si="82"/>
        <v/>
      </c>
      <c r="P131" s="408" t="str">
        <f t="shared" ca="1" si="82"/>
        <v/>
      </c>
      <c r="Q131" s="408" t="str">
        <f t="shared" ca="1" si="82"/>
        <v/>
      </c>
      <c r="R131" s="410" t="str">
        <f ca="1">Cluster!J150</f>
        <v>Selection</v>
      </c>
      <c r="S131" s="411" t="str">
        <f t="shared" ca="1" si="48"/>
        <v>-</v>
      </c>
      <c r="T131" s="412" t="str">
        <f t="shared" ca="1" si="49"/>
        <v/>
      </c>
      <c r="U131" s="411" t="str">
        <f t="shared" ca="1" si="50"/>
        <v>-</v>
      </c>
      <c r="V131" s="411" t="str">
        <f t="shared" ca="1" si="51"/>
        <v>-</v>
      </c>
      <c r="W131" s="413">
        <f>Cluster!N150</f>
        <v>0</v>
      </c>
      <c r="X131" s="414" t="str">
        <f t="shared" ca="1" si="52"/>
        <v>-</v>
      </c>
      <c r="Y131" s="411" t="str">
        <f t="shared" ca="1" si="53"/>
        <v>-</v>
      </c>
      <c r="Z131" s="415" t="str">
        <f t="shared" ca="1" si="54"/>
        <v>-</v>
      </c>
      <c r="AA131" s="416" t="str">
        <f t="shared" ca="1" si="55"/>
        <v>-</v>
      </c>
      <c r="AB131" s="416" t="str">
        <f t="shared" ca="1" si="56"/>
        <v/>
      </c>
      <c r="AC131" s="434">
        <f>Cluster!Q150</f>
        <v>0</v>
      </c>
      <c r="AD131" s="435" t="str">
        <f t="shared" ca="1" si="83"/>
        <v/>
      </c>
      <c r="AE131" s="436" t="str">
        <f t="shared" ca="1" si="83"/>
        <v/>
      </c>
      <c r="AF131" s="437" t="str">
        <f t="shared" ca="1" si="57"/>
        <v>-</v>
      </c>
      <c r="AG131" s="438" t="str">
        <f t="shared" ca="1" si="58"/>
        <v>-</v>
      </c>
      <c r="AH131" s="437" t="str">
        <f t="shared" ca="1" si="59"/>
        <v>-</v>
      </c>
      <c r="AI131" s="438" t="str">
        <f t="shared" ca="1" si="60"/>
        <v>-</v>
      </c>
      <c r="AJ131" s="438" t="str">
        <f t="shared" ca="1" si="61"/>
        <v>-</v>
      </c>
      <c r="AK131" s="439" t="str">
        <f ca="1">IFERROR(AE131*AD131*AL131/(IF(Cluster!AA150=Cluster!$W$8,Cluster!$W$10,IF(Cluster!AA150=Cluster!$X$8,Cluster!$X$10,IF(Cluster!AA150=Cluster!$Y$8,Cluster!$Y$10,0)))*10^3),"-")</f>
        <v>-</v>
      </c>
      <c r="AL131" s="440" t="str">
        <f ca="1">IFERROR(IF(OR(Calculation!T131&lt;(Calculation!$U$8+2),Calculation!AC131="Bypass"),IF((IF(Calculation!$O$6/((Calculation!AD131*10^-12)/(Calculation!T131*10^-9)*50)&lt;=1,1,ROUNDUP(Calculation!$O$6/((Calculation!AD131*10^-12)/(Calculation!T131*10^-9)*50),0))*50)&lt;Calculation!$AK$6,Calculation!$AK$6,IF(Calculation!$O$6/((Calculation!AD131*10^-12)/(Calculation!T131*10^-9)*50)&lt;=1,1,ROUNDUP(Calculation!$O$6/((Calculation!AD131*10^-12)/(Calculation!T131*10^-9)*50),0))*50),"-"),"-")</f>
        <v>-</v>
      </c>
      <c r="AM131" s="441" t="str">
        <f t="shared" ca="1" si="84"/>
        <v/>
      </c>
      <c r="AN131" s="442" t="str">
        <f t="shared" ca="1" si="84"/>
        <v/>
      </c>
      <c r="AO131" s="432">
        <f t="shared" ca="1" si="62"/>
        <v>384</v>
      </c>
      <c r="AP131" s="427" t="str">
        <f t="shared" ca="1" si="63"/>
        <v>-</v>
      </c>
      <c r="AQ131" s="443" t="str">
        <f t="shared" ca="1" si="64"/>
        <v>-</v>
      </c>
      <c r="AR131" s="444" t="str">
        <f t="shared" ca="1" si="65"/>
        <v>-</v>
      </c>
      <c r="AS131" s="430" t="str">
        <f t="shared" ca="1" si="66"/>
        <v>-</v>
      </c>
    </row>
    <row r="132" spans="1:45" ht="14.25" x14ac:dyDescent="0.65">
      <c r="A132" s="407">
        <v>124</v>
      </c>
      <c r="B132" s="408" t="str">
        <f t="shared" ca="1" si="47"/>
        <v/>
      </c>
      <c r="C132" s="408" t="str">
        <f ca="1">IFERROR(IF(G132="","",CONCATENATE(E132,"-",INDEX(Coordinate,MATCH(F132,ListAndConversion!$X$4:$X$99,0),2))),"")</f>
        <v/>
      </c>
      <c r="D132" s="408" t="str">
        <f t="shared" ca="1" si="81"/>
        <v/>
      </c>
      <c r="E132" s="408" t="str">
        <f t="shared" ca="1" si="81"/>
        <v/>
      </c>
      <c r="F132" s="408" t="str">
        <f t="shared" ca="1" si="81"/>
        <v/>
      </c>
      <c r="G132" s="408" t="str">
        <f ca="1">IFERROR(INDEX(ListAndConversion!A:B,MATCH(Calculation!E132,ListAndConversion!A:A,0),2),"")</f>
        <v/>
      </c>
      <c r="H132" s="408" t="str">
        <f>IF(TrackIT_Lines!AD124="","",TrackIT_Lines!AD124)</f>
        <v/>
      </c>
      <c r="I132" s="408" t="str">
        <f>IF(TrackIT_Lines!AD124="","",CONCATENATE(TrackIT_Lines!AD124,"-",TrackIT_Lines!AG124))</f>
        <v/>
      </c>
      <c r="J132" s="409" t="str">
        <f t="shared" ca="1" si="82"/>
        <v/>
      </c>
      <c r="K132" s="408" t="str">
        <f t="shared" ca="1" si="82"/>
        <v/>
      </c>
      <c r="L132" s="408" t="str">
        <f t="shared" ca="1" si="82"/>
        <v/>
      </c>
      <c r="M132" s="408" t="str">
        <f t="shared" ca="1" si="82"/>
        <v/>
      </c>
      <c r="N132" s="408" t="str">
        <f t="shared" ca="1" si="82"/>
        <v/>
      </c>
      <c r="O132" s="408" t="str">
        <f t="shared" ca="1" si="82"/>
        <v/>
      </c>
      <c r="P132" s="408" t="str">
        <f t="shared" ca="1" si="82"/>
        <v/>
      </c>
      <c r="Q132" s="408" t="str">
        <f t="shared" ca="1" si="82"/>
        <v/>
      </c>
      <c r="R132" s="410" t="str">
        <f ca="1">Cluster!J151</f>
        <v>Selection</v>
      </c>
      <c r="S132" s="411" t="str">
        <f t="shared" ca="1" si="48"/>
        <v>-</v>
      </c>
      <c r="T132" s="412" t="str">
        <f t="shared" ca="1" si="49"/>
        <v/>
      </c>
      <c r="U132" s="411" t="str">
        <f t="shared" ca="1" si="50"/>
        <v>-</v>
      </c>
      <c r="V132" s="411" t="str">
        <f t="shared" ca="1" si="51"/>
        <v>-</v>
      </c>
      <c r="W132" s="413">
        <f>Cluster!N151</f>
        <v>0</v>
      </c>
      <c r="X132" s="414" t="str">
        <f t="shared" ca="1" si="52"/>
        <v>-</v>
      </c>
      <c r="Y132" s="411" t="str">
        <f t="shared" ca="1" si="53"/>
        <v>-</v>
      </c>
      <c r="Z132" s="415" t="str">
        <f t="shared" ca="1" si="54"/>
        <v>-</v>
      </c>
      <c r="AA132" s="416" t="str">
        <f t="shared" ca="1" si="55"/>
        <v>-</v>
      </c>
      <c r="AB132" s="416" t="str">
        <f t="shared" ca="1" si="56"/>
        <v/>
      </c>
      <c r="AC132" s="434">
        <f>Cluster!Q151</f>
        <v>0</v>
      </c>
      <c r="AD132" s="435" t="str">
        <f t="shared" ca="1" si="83"/>
        <v/>
      </c>
      <c r="AE132" s="436" t="str">
        <f t="shared" ca="1" si="83"/>
        <v/>
      </c>
      <c r="AF132" s="437" t="str">
        <f t="shared" ca="1" si="57"/>
        <v>-</v>
      </c>
      <c r="AG132" s="438" t="str">
        <f t="shared" ca="1" si="58"/>
        <v>-</v>
      </c>
      <c r="AH132" s="437" t="str">
        <f t="shared" ca="1" si="59"/>
        <v>-</v>
      </c>
      <c r="AI132" s="438" t="str">
        <f t="shared" ca="1" si="60"/>
        <v>-</v>
      </c>
      <c r="AJ132" s="438" t="str">
        <f t="shared" ca="1" si="61"/>
        <v>-</v>
      </c>
      <c r="AK132" s="439" t="str">
        <f ca="1">IFERROR(AE132*AD132*AL132/(IF(Cluster!AA151=Cluster!$W$8,Cluster!$W$10,IF(Cluster!AA151=Cluster!$X$8,Cluster!$X$10,IF(Cluster!AA151=Cluster!$Y$8,Cluster!$Y$10,0)))*10^3),"-")</f>
        <v>-</v>
      </c>
      <c r="AL132" s="440" t="str">
        <f ca="1">IFERROR(IF(OR(Calculation!T132&lt;(Calculation!$U$8+2),Calculation!AC132="Bypass"),IF((IF(Calculation!$O$6/((Calculation!AD132*10^-12)/(Calculation!T132*10^-9)*50)&lt;=1,1,ROUNDUP(Calculation!$O$6/((Calculation!AD132*10^-12)/(Calculation!T132*10^-9)*50),0))*50)&lt;Calculation!$AK$6,Calculation!$AK$6,IF(Calculation!$O$6/((Calculation!AD132*10^-12)/(Calculation!T132*10^-9)*50)&lt;=1,1,ROUNDUP(Calculation!$O$6/((Calculation!AD132*10^-12)/(Calculation!T132*10^-9)*50),0))*50),"-"),"-")</f>
        <v>-</v>
      </c>
      <c r="AM132" s="441" t="str">
        <f t="shared" ca="1" si="84"/>
        <v/>
      </c>
      <c r="AN132" s="442" t="str">
        <f t="shared" ca="1" si="84"/>
        <v/>
      </c>
      <c r="AO132" s="432">
        <f t="shared" ca="1" si="62"/>
        <v>384</v>
      </c>
      <c r="AP132" s="427" t="str">
        <f t="shared" ca="1" si="63"/>
        <v>-</v>
      </c>
      <c r="AQ132" s="443" t="str">
        <f t="shared" ca="1" si="64"/>
        <v>-</v>
      </c>
      <c r="AR132" s="444" t="str">
        <f t="shared" ca="1" si="65"/>
        <v>-</v>
      </c>
      <c r="AS132" s="430" t="str">
        <f t="shared" ca="1" si="66"/>
        <v>-</v>
      </c>
    </row>
    <row r="133" spans="1:45" ht="14.25" x14ac:dyDescent="0.65">
      <c r="A133" s="407">
        <v>125</v>
      </c>
      <c r="B133" s="408" t="str">
        <f t="shared" ca="1" si="47"/>
        <v/>
      </c>
      <c r="C133" s="408" t="str">
        <f ca="1">IFERROR(IF(G133="","",CONCATENATE(E133,"-",INDEX(Coordinate,MATCH(F133,ListAndConversion!$X$4:$X$99,0),2))),"")</f>
        <v/>
      </c>
      <c r="D133" s="408" t="str">
        <f t="shared" ca="1" si="81"/>
        <v/>
      </c>
      <c r="E133" s="408" t="str">
        <f t="shared" ca="1" si="81"/>
        <v/>
      </c>
      <c r="F133" s="408" t="str">
        <f t="shared" ca="1" si="81"/>
        <v/>
      </c>
      <c r="G133" s="408" t="str">
        <f ca="1">IFERROR(INDEX(ListAndConversion!A:B,MATCH(Calculation!E133,ListAndConversion!A:A,0),2),"")</f>
        <v/>
      </c>
      <c r="H133" s="408" t="str">
        <f>IF(TrackIT_Lines!AD125="","",TrackIT_Lines!AD125)</f>
        <v/>
      </c>
      <c r="I133" s="408" t="str">
        <f>IF(TrackIT_Lines!AD125="","",CONCATENATE(TrackIT_Lines!AD125,"-",TrackIT_Lines!AG125))</f>
        <v/>
      </c>
      <c r="J133" s="409" t="str">
        <f t="shared" ca="1" si="82"/>
        <v/>
      </c>
      <c r="K133" s="408" t="str">
        <f t="shared" ca="1" si="82"/>
        <v/>
      </c>
      <c r="L133" s="408" t="str">
        <f t="shared" ca="1" si="82"/>
        <v/>
      </c>
      <c r="M133" s="408" t="str">
        <f t="shared" ca="1" si="82"/>
        <v/>
      </c>
      <c r="N133" s="408" t="str">
        <f t="shared" ca="1" si="82"/>
        <v/>
      </c>
      <c r="O133" s="408" t="str">
        <f t="shared" ca="1" si="82"/>
        <v/>
      </c>
      <c r="P133" s="408" t="str">
        <f t="shared" ca="1" si="82"/>
        <v/>
      </c>
      <c r="Q133" s="408" t="str">
        <f t="shared" ca="1" si="82"/>
        <v/>
      </c>
      <c r="R133" s="410" t="str">
        <f ca="1">Cluster!J152</f>
        <v>Selection</v>
      </c>
      <c r="S133" s="411" t="str">
        <f t="shared" ca="1" si="48"/>
        <v>-</v>
      </c>
      <c r="T133" s="412" t="str">
        <f t="shared" ca="1" si="49"/>
        <v/>
      </c>
      <c r="U133" s="411" t="str">
        <f t="shared" ca="1" si="50"/>
        <v>-</v>
      </c>
      <c r="V133" s="411" t="str">
        <f t="shared" ca="1" si="51"/>
        <v>-</v>
      </c>
      <c r="W133" s="413">
        <f>Cluster!N152</f>
        <v>0</v>
      </c>
      <c r="X133" s="414" t="str">
        <f t="shared" ca="1" si="52"/>
        <v>-</v>
      </c>
      <c r="Y133" s="411" t="str">
        <f t="shared" ca="1" si="53"/>
        <v>-</v>
      </c>
      <c r="Z133" s="415" t="str">
        <f t="shared" ca="1" si="54"/>
        <v>-</v>
      </c>
      <c r="AA133" s="416" t="str">
        <f t="shared" ca="1" si="55"/>
        <v>-</v>
      </c>
      <c r="AB133" s="416" t="str">
        <f t="shared" ca="1" si="56"/>
        <v/>
      </c>
      <c r="AC133" s="434">
        <f>Cluster!Q152</f>
        <v>0</v>
      </c>
      <c r="AD133" s="435" t="str">
        <f t="shared" ca="1" si="83"/>
        <v/>
      </c>
      <c r="AE133" s="436" t="str">
        <f t="shared" ca="1" si="83"/>
        <v/>
      </c>
      <c r="AF133" s="437" t="str">
        <f t="shared" ca="1" si="57"/>
        <v>-</v>
      </c>
      <c r="AG133" s="438" t="str">
        <f t="shared" ca="1" si="58"/>
        <v>-</v>
      </c>
      <c r="AH133" s="437" t="str">
        <f t="shared" ca="1" si="59"/>
        <v>-</v>
      </c>
      <c r="AI133" s="438" t="str">
        <f t="shared" ca="1" si="60"/>
        <v>-</v>
      </c>
      <c r="AJ133" s="438" t="str">
        <f t="shared" ca="1" si="61"/>
        <v>-</v>
      </c>
      <c r="AK133" s="439" t="str">
        <f ca="1">IFERROR(AE133*AD133*AL133/(IF(Cluster!AA152=Cluster!$W$8,Cluster!$W$10,IF(Cluster!AA152=Cluster!$X$8,Cluster!$X$10,IF(Cluster!AA152=Cluster!$Y$8,Cluster!$Y$10,0)))*10^3),"-")</f>
        <v>-</v>
      </c>
      <c r="AL133" s="440" t="str">
        <f ca="1">IFERROR(IF(OR(Calculation!T133&lt;(Calculation!$U$8+2),Calculation!AC133="Bypass"),IF((IF(Calculation!$O$6/((Calculation!AD133*10^-12)/(Calculation!T133*10^-9)*50)&lt;=1,1,ROUNDUP(Calculation!$O$6/((Calculation!AD133*10^-12)/(Calculation!T133*10^-9)*50),0))*50)&lt;Calculation!$AK$6,Calculation!$AK$6,IF(Calculation!$O$6/((Calculation!AD133*10^-12)/(Calculation!T133*10^-9)*50)&lt;=1,1,ROUNDUP(Calculation!$O$6/((Calculation!AD133*10^-12)/(Calculation!T133*10^-9)*50),0))*50),"-"),"-")</f>
        <v>-</v>
      </c>
      <c r="AM133" s="441" t="str">
        <f t="shared" ca="1" si="84"/>
        <v/>
      </c>
      <c r="AN133" s="442" t="str">
        <f t="shared" ca="1" si="84"/>
        <v/>
      </c>
      <c r="AO133" s="432">
        <f t="shared" ca="1" si="62"/>
        <v>384</v>
      </c>
      <c r="AP133" s="427" t="str">
        <f t="shared" ca="1" si="63"/>
        <v>-</v>
      </c>
      <c r="AQ133" s="443" t="str">
        <f t="shared" ca="1" si="64"/>
        <v>-</v>
      </c>
      <c r="AR133" s="444" t="str">
        <f t="shared" ca="1" si="65"/>
        <v>-</v>
      </c>
      <c r="AS133" s="430" t="str">
        <f t="shared" ca="1" si="66"/>
        <v>-</v>
      </c>
    </row>
    <row r="134" spans="1:45" ht="14.25" x14ac:dyDescent="0.65">
      <c r="A134" s="407">
        <v>126</v>
      </c>
      <c r="B134" s="408" t="str">
        <f t="shared" ca="1" si="47"/>
        <v/>
      </c>
      <c r="C134" s="408" t="str">
        <f ca="1">IFERROR(IF(G134="","",CONCATENATE(E134,"-",INDEX(Coordinate,MATCH(F134,ListAndConversion!$X$4:$X$99,0),2))),"")</f>
        <v/>
      </c>
      <c r="D134" s="408" t="str">
        <f t="shared" ca="1" si="81"/>
        <v/>
      </c>
      <c r="E134" s="408" t="str">
        <f t="shared" ca="1" si="81"/>
        <v/>
      </c>
      <c r="F134" s="408" t="str">
        <f t="shared" ca="1" si="81"/>
        <v/>
      </c>
      <c r="G134" s="408" t="str">
        <f ca="1">IFERROR(INDEX(ListAndConversion!A:B,MATCH(Calculation!E134,ListAndConversion!A:A,0),2),"")</f>
        <v/>
      </c>
      <c r="H134" s="408" t="str">
        <f>IF(TrackIT_Lines!AD126="","",TrackIT_Lines!AD126)</f>
        <v/>
      </c>
      <c r="I134" s="408" t="str">
        <f>IF(TrackIT_Lines!AD126="","",CONCATENATE(TrackIT_Lines!AD126,"-",TrackIT_Lines!AG126))</f>
        <v/>
      </c>
      <c r="J134" s="409" t="str">
        <f t="shared" ca="1" si="82"/>
        <v/>
      </c>
      <c r="K134" s="408" t="str">
        <f t="shared" ca="1" si="82"/>
        <v/>
      </c>
      <c r="L134" s="408" t="str">
        <f t="shared" ca="1" si="82"/>
        <v/>
      </c>
      <c r="M134" s="408" t="str">
        <f t="shared" ca="1" si="82"/>
        <v/>
      </c>
      <c r="N134" s="408" t="str">
        <f t="shared" ca="1" si="82"/>
        <v/>
      </c>
      <c r="O134" s="408" t="str">
        <f t="shared" ca="1" si="82"/>
        <v/>
      </c>
      <c r="P134" s="408" t="str">
        <f t="shared" ca="1" si="82"/>
        <v/>
      </c>
      <c r="Q134" s="408" t="str">
        <f t="shared" ca="1" si="82"/>
        <v/>
      </c>
      <c r="R134" s="410" t="str">
        <f ca="1">Cluster!J153</f>
        <v>Selection</v>
      </c>
      <c r="S134" s="411" t="str">
        <f t="shared" ca="1" si="48"/>
        <v>-</v>
      </c>
      <c r="T134" s="412" t="str">
        <f t="shared" ca="1" si="49"/>
        <v/>
      </c>
      <c r="U134" s="411" t="str">
        <f t="shared" ca="1" si="50"/>
        <v>-</v>
      </c>
      <c r="V134" s="411" t="str">
        <f t="shared" ca="1" si="51"/>
        <v>-</v>
      </c>
      <c r="W134" s="413">
        <f>Cluster!N153</f>
        <v>0</v>
      </c>
      <c r="X134" s="414" t="str">
        <f t="shared" ca="1" si="52"/>
        <v>-</v>
      </c>
      <c r="Y134" s="411" t="str">
        <f t="shared" ca="1" si="53"/>
        <v>-</v>
      </c>
      <c r="Z134" s="415" t="str">
        <f t="shared" ca="1" si="54"/>
        <v>-</v>
      </c>
      <c r="AA134" s="416" t="str">
        <f t="shared" ca="1" si="55"/>
        <v>-</v>
      </c>
      <c r="AB134" s="416" t="str">
        <f t="shared" ca="1" si="56"/>
        <v/>
      </c>
      <c r="AC134" s="434">
        <f>Cluster!Q153</f>
        <v>0</v>
      </c>
      <c r="AD134" s="435" t="str">
        <f t="shared" ca="1" si="83"/>
        <v/>
      </c>
      <c r="AE134" s="436" t="str">
        <f t="shared" ca="1" si="83"/>
        <v/>
      </c>
      <c r="AF134" s="437" t="str">
        <f t="shared" ca="1" si="57"/>
        <v>-</v>
      </c>
      <c r="AG134" s="438" t="str">
        <f t="shared" ca="1" si="58"/>
        <v>-</v>
      </c>
      <c r="AH134" s="437" t="str">
        <f t="shared" ca="1" si="59"/>
        <v>-</v>
      </c>
      <c r="AI134" s="438" t="str">
        <f t="shared" ca="1" si="60"/>
        <v>-</v>
      </c>
      <c r="AJ134" s="438" t="str">
        <f t="shared" ca="1" si="61"/>
        <v>-</v>
      </c>
      <c r="AK134" s="439" t="str">
        <f ca="1">IFERROR(AE134*AD134*AL134/(IF(Cluster!AA153=Cluster!$W$8,Cluster!$W$10,IF(Cluster!AA153=Cluster!$X$8,Cluster!$X$10,IF(Cluster!AA153=Cluster!$Y$8,Cluster!$Y$10,0)))*10^3),"-")</f>
        <v>-</v>
      </c>
      <c r="AL134" s="440" t="str">
        <f ca="1">IFERROR(IF(OR(Calculation!T134&lt;(Calculation!$U$8+2),Calculation!AC134="Bypass"),IF((IF(Calculation!$O$6/((Calculation!AD134*10^-12)/(Calculation!T134*10^-9)*50)&lt;=1,1,ROUNDUP(Calculation!$O$6/((Calculation!AD134*10^-12)/(Calculation!T134*10^-9)*50),0))*50)&lt;Calculation!$AK$6,Calculation!$AK$6,IF(Calculation!$O$6/((Calculation!AD134*10^-12)/(Calculation!T134*10^-9)*50)&lt;=1,1,ROUNDUP(Calculation!$O$6/((Calculation!AD134*10^-12)/(Calculation!T134*10^-9)*50),0))*50),"-"),"-")</f>
        <v>-</v>
      </c>
      <c r="AM134" s="441" t="str">
        <f t="shared" ca="1" si="84"/>
        <v/>
      </c>
      <c r="AN134" s="442" t="str">
        <f t="shared" ca="1" si="84"/>
        <v/>
      </c>
      <c r="AO134" s="432">
        <f t="shared" ca="1" si="62"/>
        <v>384</v>
      </c>
      <c r="AP134" s="427" t="str">
        <f t="shared" ca="1" si="63"/>
        <v>-</v>
      </c>
      <c r="AQ134" s="443" t="str">
        <f t="shared" ca="1" si="64"/>
        <v>-</v>
      </c>
      <c r="AR134" s="444" t="str">
        <f t="shared" ca="1" si="65"/>
        <v>-</v>
      </c>
      <c r="AS134" s="430" t="str">
        <f t="shared" ca="1" si="66"/>
        <v>-</v>
      </c>
    </row>
    <row r="135" spans="1:45" ht="14.25" x14ac:dyDescent="0.65">
      <c r="A135" s="407">
        <v>127</v>
      </c>
      <c r="B135" s="408" t="str">
        <f t="shared" ca="1" si="47"/>
        <v/>
      </c>
      <c r="C135" s="408" t="str">
        <f ca="1">IFERROR(IF(G135="","",CONCATENATE(E135,"-",INDEX(Coordinate,MATCH(F135,ListAndConversion!$X$4:$X$99,0),2))),"")</f>
        <v/>
      </c>
      <c r="D135" s="408" t="str">
        <f t="shared" ca="1" si="81"/>
        <v/>
      </c>
      <c r="E135" s="408" t="str">
        <f t="shared" ca="1" si="81"/>
        <v/>
      </c>
      <c r="F135" s="408" t="str">
        <f t="shared" ca="1" si="81"/>
        <v/>
      </c>
      <c r="G135" s="408" t="str">
        <f ca="1">IFERROR(INDEX(ListAndConversion!A:B,MATCH(Calculation!E135,ListAndConversion!A:A,0),2),"")</f>
        <v/>
      </c>
      <c r="H135" s="408" t="str">
        <f>IF(TrackIT_Lines!AD127="","",TrackIT_Lines!AD127)</f>
        <v/>
      </c>
      <c r="I135" s="408" t="str">
        <f>IF(TrackIT_Lines!AD127="","",CONCATENATE(TrackIT_Lines!AD127,"-",TrackIT_Lines!AG127))</f>
        <v/>
      </c>
      <c r="J135" s="409" t="str">
        <f t="shared" ca="1" si="82"/>
        <v/>
      </c>
      <c r="K135" s="408" t="str">
        <f t="shared" ca="1" si="82"/>
        <v/>
      </c>
      <c r="L135" s="408" t="str">
        <f t="shared" ca="1" si="82"/>
        <v/>
      </c>
      <c r="M135" s="408" t="str">
        <f t="shared" ca="1" si="82"/>
        <v/>
      </c>
      <c r="N135" s="408" t="str">
        <f t="shared" ca="1" si="82"/>
        <v/>
      </c>
      <c r="O135" s="408" t="str">
        <f t="shared" ca="1" si="82"/>
        <v/>
      </c>
      <c r="P135" s="408" t="str">
        <f t="shared" ca="1" si="82"/>
        <v/>
      </c>
      <c r="Q135" s="408" t="str">
        <f t="shared" ca="1" si="82"/>
        <v/>
      </c>
      <c r="R135" s="410" t="str">
        <f ca="1">Cluster!J154</f>
        <v>Selection</v>
      </c>
      <c r="S135" s="411" t="str">
        <f t="shared" ca="1" si="48"/>
        <v>-</v>
      </c>
      <c r="T135" s="412" t="str">
        <f t="shared" ca="1" si="49"/>
        <v/>
      </c>
      <c r="U135" s="411" t="str">
        <f t="shared" ca="1" si="50"/>
        <v>-</v>
      </c>
      <c r="V135" s="411" t="str">
        <f t="shared" ca="1" si="51"/>
        <v>-</v>
      </c>
      <c r="W135" s="413">
        <f>Cluster!N154</f>
        <v>0</v>
      </c>
      <c r="X135" s="414" t="str">
        <f t="shared" ca="1" si="52"/>
        <v>-</v>
      </c>
      <c r="Y135" s="411" t="str">
        <f t="shared" ca="1" si="53"/>
        <v>-</v>
      </c>
      <c r="Z135" s="415" t="str">
        <f t="shared" ca="1" si="54"/>
        <v>-</v>
      </c>
      <c r="AA135" s="416" t="str">
        <f t="shared" ca="1" si="55"/>
        <v>-</v>
      </c>
      <c r="AB135" s="416" t="str">
        <f t="shared" ca="1" si="56"/>
        <v/>
      </c>
      <c r="AC135" s="434">
        <f>Cluster!Q154</f>
        <v>0</v>
      </c>
      <c r="AD135" s="435" t="str">
        <f t="shared" ca="1" si="83"/>
        <v/>
      </c>
      <c r="AE135" s="436" t="str">
        <f t="shared" ca="1" si="83"/>
        <v/>
      </c>
      <c r="AF135" s="437" t="str">
        <f t="shared" ca="1" si="57"/>
        <v>-</v>
      </c>
      <c r="AG135" s="438" t="str">
        <f t="shared" ca="1" si="58"/>
        <v>-</v>
      </c>
      <c r="AH135" s="437" t="str">
        <f t="shared" ca="1" si="59"/>
        <v>-</v>
      </c>
      <c r="AI135" s="438" t="str">
        <f t="shared" ca="1" si="60"/>
        <v>-</v>
      </c>
      <c r="AJ135" s="438" t="str">
        <f t="shared" ca="1" si="61"/>
        <v>-</v>
      </c>
      <c r="AK135" s="439" t="str">
        <f ca="1">IFERROR(AE135*AD135*AL135/(IF(Cluster!AA154=Cluster!$W$8,Cluster!$W$10,IF(Cluster!AA154=Cluster!$X$8,Cluster!$X$10,IF(Cluster!AA154=Cluster!$Y$8,Cluster!$Y$10,0)))*10^3),"-")</f>
        <v>-</v>
      </c>
      <c r="AL135" s="440" t="str">
        <f ca="1">IFERROR(IF(OR(Calculation!T135&lt;(Calculation!$U$8+2),Calculation!AC135="Bypass"),IF((IF(Calculation!$O$6/((Calculation!AD135*10^-12)/(Calculation!T135*10^-9)*50)&lt;=1,1,ROUNDUP(Calculation!$O$6/((Calculation!AD135*10^-12)/(Calculation!T135*10^-9)*50),0))*50)&lt;Calculation!$AK$6,Calculation!$AK$6,IF(Calculation!$O$6/((Calculation!AD135*10^-12)/(Calculation!T135*10^-9)*50)&lt;=1,1,ROUNDUP(Calculation!$O$6/((Calculation!AD135*10^-12)/(Calculation!T135*10^-9)*50),0))*50),"-"),"-")</f>
        <v>-</v>
      </c>
      <c r="AM135" s="441" t="str">
        <f t="shared" ca="1" si="84"/>
        <v/>
      </c>
      <c r="AN135" s="442" t="str">
        <f t="shared" ca="1" si="84"/>
        <v/>
      </c>
      <c r="AO135" s="432">
        <f t="shared" ca="1" si="62"/>
        <v>384</v>
      </c>
      <c r="AP135" s="427" t="str">
        <f t="shared" ca="1" si="63"/>
        <v>-</v>
      </c>
      <c r="AQ135" s="443" t="str">
        <f t="shared" ca="1" si="64"/>
        <v>-</v>
      </c>
      <c r="AR135" s="444" t="str">
        <f t="shared" ca="1" si="65"/>
        <v>-</v>
      </c>
      <c r="AS135" s="430" t="str">
        <f t="shared" ca="1" si="66"/>
        <v>-</v>
      </c>
    </row>
    <row r="136" spans="1:45" ht="14.25" x14ac:dyDescent="0.65">
      <c r="A136" s="407">
        <v>128</v>
      </c>
      <c r="B136" s="408" t="str">
        <f t="shared" ca="1" si="47"/>
        <v/>
      </c>
      <c r="C136" s="408" t="str">
        <f ca="1">IFERROR(IF(G136="","",CONCATENATE(E136,"-",INDEX(Coordinate,MATCH(F136,ListAndConversion!$X$4:$X$99,0),2))),"")</f>
        <v/>
      </c>
      <c r="D136" s="408" t="str">
        <f t="shared" ca="1" si="81"/>
        <v/>
      </c>
      <c r="E136" s="408" t="str">
        <f t="shared" ca="1" si="81"/>
        <v/>
      </c>
      <c r="F136" s="408" t="str">
        <f t="shared" ca="1" si="81"/>
        <v/>
      </c>
      <c r="G136" s="408" t="str">
        <f ca="1">IFERROR(INDEX(ListAndConversion!A:B,MATCH(Calculation!E136,ListAndConversion!A:A,0),2),"")</f>
        <v/>
      </c>
      <c r="H136" s="408" t="str">
        <f>IF(TrackIT_Lines!AD128="","",TrackIT_Lines!AD128)</f>
        <v/>
      </c>
      <c r="I136" s="408" t="str">
        <f>IF(TrackIT_Lines!AD128="","",CONCATENATE(TrackIT_Lines!AD128,"-",TrackIT_Lines!AG128))</f>
        <v/>
      </c>
      <c r="J136" s="409" t="str">
        <f t="shared" ca="1" si="82"/>
        <v/>
      </c>
      <c r="K136" s="408" t="str">
        <f t="shared" ca="1" si="82"/>
        <v/>
      </c>
      <c r="L136" s="408" t="str">
        <f t="shared" ca="1" si="82"/>
        <v/>
      </c>
      <c r="M136" s="408" t="str">
        <f t="shared" ca="1" si="82"/>
        <v/>
      </c>
      <c r="N136" s="408" t="str">
        <f t="shared" ca="1" si="82"/>
        <v/>
      </c>
      <c r="O136" s="408" t="str">
        <f t="shared" ca="1" si="82"/>
        <v/>
      </c>
      <c r="P136" s="408" t="str">
        <f t="shared" ca="1" si="82"/>
        <v/>
      </c>
      <c r="Q136" s="408" t="str">
        <f t="shared" ca="1" si="82"/>
        <v/>
      </c>
      <c r="R136" s="410" t="str">
        <f ca="1">Cluster!J155</f>
        <v>Selection</v>
      </c>
      <c r="S136" s="411" t="str">
        <f t="shared" ca="1" si="48"/>
        <v>-</v>
      </c>
      <c r="T136" s="412" t="str">
        <f t="shared" ca="1" si="49"/>
        <v/>
      </c>
      <c r="U136" s="411" t="str">
        <f t="shared" ca="1" si="50"/>
        <v>-</v>
      </c>
      <c r="V136" s="411" t="str">
        <f t="shared" ca="1" si="51"/>
        <v>-</v>
      </c>
      <c r="W136" s="413">
        <f>Cluster!N155</f>
        <v>0</v>
      </c>
      <c r="X136" s="414" t="str">
        <f t="shared" ca="1" si="52"/>
        <v>-</v>
      </c>
      <c r="Y136" s="411" t="str">
        <f t="shared" ca="1" si="53"/>
        <v>-</v>
      </c>
      <c r="Z136" s="415" t="str">
        <f t="shared" ca="1" si="54"/>
        <v>-</v>
      </c>
      <c r="AA136" s="416" t="str">
        <f t="shared" ca="1" si="55"/>
        <v>-</v>
      </c>
      <c r="AB136" s="416" t="str">
        <f t="shared" ca="1" si="56"/>
        <v/>
      </c>
      <c r="AC136" s="434">
        <f>Cluster!Q155</f>
        <v>0</v>
      </c>
      <c r="AD136" s="435" t="str">
        <f t="shared" ca="1" si="83"/>
        <v/>
      </c>
      <c r="AE136" s="436" t="str">
        <f t="shared" ca="1" si="83"/>
        <v/>
      </c>
      <c r="AF136" s="437" t="str">
        <f t="shared" ca="1" si="57"/>
        <v>-</v>
      </c>
      <c r="AG136" s="438" t="str">
        <f t="shared" ca="1" si="58"/>
        <v>-</v>
      </c>
      <c r="AH136" s="437" t="str">
        <f t="shared" ca="1" si="59"/>
        <v>-</v>
      </c>
      <c r="AI136" s="438" t="str">
        <f t="shared" ca="1" si="60"/>
        <v>-</v>
      </c>
      <c r="AJ136" s="438" t="str">
        <f t="shared" ca="1" si="61"/>
        <v>-</v>
      </c>
      <c r="AK136" s="439" t="str">
        <f ca="1">IFERROR(AE136*AD136*AL136/(IF(Cluster!AA155=Cluster!$W$8,Cluster!$W$10,IF(Cluster!AA155=Cluster!$X$8,Cluster!$X$10,IF(Cluster!AA155=Cluster!$Y$8,Cluster!$Y$10,0)))*10^3),"-")</f>
        <v>-</v>
      </c>
      <c r="AL136" s="440" t="str">
        <f ca="1">IFERROR(IF(OR(Calculation!T136&lt;(Calculation!$U$8+2),Calculation!AC136="Bypass"),IF((IF(Calculation!$O$6/((Calculation!AD136*10^-12)/(Calculation!T136*10^-9)*50)&lt;=1,1,ROUNDUP(Calculation!$O$6/((Calculation!AD136*10^-12)/(Calculation!T136*10^-9)*50),0))*50)&lt;Calculation!$AK$6,Calculation!$AK$6,IF(Calculation!$O$6/((Calculation!AD136*10^-12)/(Calculation!T136*10^-9)*50)&lt;=1,1,ROUNDUP(Calculation!$O$6/((Calculation!AD136*10^-12)/(Calculation!T136*10^-9)*50),0))*50),"-"),"-")</f>
        <v>-</v>
      </c>
      <c r="AM136" s="441" t="str">
        <f t="shared" ca="1" si="84"/>
        <v/>
      </c>
      <c r="AN136" s="442" t="str">
        <f t="shared" ca="1" si="84"/>
        <v/>
      </c>
      <c r="AO136" s="432">
        <f t="shared" ca="1" si="62"/>
        <v>384</v>
      </c>
      <c r="AP136" s="427" t="str">
        <f t="shared" ca="1" si="63"/>
        <v>-</v>
      </c>
      <c r="AQ136" s="443" t="str">
        <f t="shared" ca="1" si="64"/>
        <v>-</v>
      </c>
      <c r="AR136" s="444" t="str">
        <f t="shared" ca="1" si="65"/>
        <v>-</v>
      </c>
      <c r="AS136" s="430" t="str">
        <f t="shared" ca="1" si="66"/>
        <v>-</v>
      </c>
    </row>
    <row r="137" spans="1:45" ht="14.25" x14ac:dyDescent="0.65">
      <c r="A137" s="407">
        <v>129</v>
      </c>
      <c r="B137" s="408" t="str">
        <f t="shared" ca="1" si="47"/>
        <v/>
      </c>
      <c r="C137" s="408" t="str">
        <f ca="1">IFERROR(IF(G137="","",CONCATENATE(E137,"-",INDEX(Coordinate,MATCH(F137,ListAndConversion!$X$4:$X$99,0),2))),"")</f>
        <v/>
      </c>
      <c r="D137" s="408" t="str">
        <f t="shared" ca="1" si="81"/>
        <v/>
      </c>
      <c r="E137" s="408" t="str">
        <f t="shared" ca="1" si="81"/>
        <v/>
      </c>
      <c r="F137" s="408" t="str">
        <f t="shared" ca="1" si="81"/>
        <v/>
      </c>
      <c r="G137" s="408" t="str">
        <f ca="1">IFERROR(INDEX(ListAndConversion!A:B,MATCH(Calculation!E137,ListAndConversion!A:A,0),2),"")</f>
        <v/>
      </c>
      <c r="H137" s="408" t="str">
        <f>IF(TrackIT_Lines!AD129="","",TrackIT_Lines!AD129)</f>
        <v/>
      </c>
      <c r="I137" s="408" t="str">
        <f>IF(TrackIT_Lines!AD129="","",CONCATENATE(TrackIT_Lines!AD129,"-",TrackIT_Lines!AG129))</f>
        <v/>
      </c>
      <c r="J137" s="409" t="str">
        <f t="shared" ca="1" si="82"/>
        <v/>
      </c>
      <c r="K137" s="408" t="str">
        <f t="shared" ca="1" si="82"/>
        <v/>
      </c>
      <c r="L137" s="408" t="str">
        <f t="shared" ca="1" si="82"/>
        <v/>
      </c>
      <c r="M137" s="408" t="str">
        <f t="shared" ca="1" si="82"/>
        <v/>
      </c>
      <c r="N137" s="408" t="str">
        <f t="shared" ca="1" si="82"/>
        <v/>
      </c>
      <c r="O137" s="408" t="str">
        <f t="shared" ca="1" si="82"/>
        <v/>
      </c>
      <c r="P137" s="408" t="str">
        <f t="shared" ca="1" si="82"/>
        <v/>
      </c>
      <c r="Q137" s="408" t="str">
        <f t="shared" ca="1" si="82"/>
        <v/>
      </c>
      <c r="R137" s="410" t="str">
        <f ca="1">Cluster!J156</f>
        <v>Selection</v>
      </c>
      <c r="S137" s="411" t="str">
        <f t="shared" ca="1" si="48"/>
        <v>-</v>
      </c>
      <c r="T137" s="412" t="str">
        <f t="shared" ca="1" si="49"/>
        <v/>
      </c>
      <c r="U137" s="411" t="str">
        <f t="shared" ca="1" si="50"/>
        <v>-</v>
      </c>
      <c r="V137" s="411" t="str">
        <f t="shared" ca="1" si="51"/>
        <v>-</v>
      </c>
      <c r="W137" s="413">
        <f>Cluster!N156</f>
        <v>0</v>
      </c>
      <c r="X137" s="414" t="str">
        <f t="shared" ca="1" si="52"/>
        <v>-</v>
      </c>
      <c r="Y137" s="411" t="str">
        <f t="shared" ca="1" si="53"/>
        <v>-</v>
      </c>
      <c r="Z137" s="415" t="str">
        <f t="shared" ca="1" si="54"/>
        <v>-</v>
      </c>
      <c r="AA137" s="416" t="str">
        <f t="shared" ca="1" si="55"/>
        <v>-</v>
      </c>
      <c r="AB137" s="416" t="str">
        <f t="shared" ca="1" si="56"/>
        <v/>
      </c>
      <c r="AC137" s="434">
        <f>Cluster!Q156</f>
        <v>0</v>
      </c>
      <c r="AD137" s="435" t="str">
        <f t="shared" ca="1" si="83"/>
        <v/>
      </c>
      <c r="AE137" s="436" t="str">
        <f t="shared" ca="1" si="83"/>
        <v/>
      </c>
      <c r="AF137" s="437" t="str">
        <f t="shared" ca="1" si="57"/>
        <v>-</v>
      </c>
      <c r="AG137" s="438" t="str">
        <f t="shared" ca="1" si="58"/>
        <v>-</v>
      </c>
      <c r="AH137" s="437" t="str">
        <f t="shared" ca="1" si="59"/>
        <v>-</v>
      </c>
      <c r="AI137" s="438" t="str">
        <f t="shared" ca="1" si="60"/>
        <v>-</v>
      </c>
      <c r="AJ137" s="438" t="str">
        <f t="shared" ca="1" si="61"/>
        <v>-</v>
      </c>
      <c r="AK137" s="439" t="str">
        <f ca="1">IFERROR(AE137*AD137*AL137/(IF(Cluster!AA156=Cluster!$W$8,Cluster!$W$10,IF(Cluster!AA156=Cluster!$X$8,Cluster!$X$10,IF(Cluster!AA156=Cluster!$Y$8,Cluster!$Y$10,0)))*10^3),"-")</f>
        <v>-</v>
      </c>
      <c r="AL137" s="440" t="str">
        <f ca="1">IFERROR(IF(OR(Calculation!T137&lt;(Calculation!$U$8+2),Calculation!AC137="Bypass"),IF((IF(Calculation!$O$6/((Calculation!AD137*10^-12)/(Calculation!T137*10^-9)*50)&lt;=1,1,ROUNDUP(Calculation!$O$6/((Calculation!AD137*10^-12)/(Calculation!T137*10^-9)*50),0))*50)&lt;Calculation!$AK$6,Calculation!$AK$6,IF(Calculation!$O$6/((Calculation!AD137*10^-12)/(Calculation!T137*10^-9)*50)&lt;=1,1,ROUNDUP(Calculation!$O$6/((Calculation!AD137*10^-12)/(Calculation!T137*10^-9)*50),0))*50),"-"),"-")</f>
        <v>-</v>
      </c>
      <c r="AM137" s="441" t="str">
        <f t="shared" ca="1" si="84"/>
        <v/>
      </c>
      <c r="AN137" s="442" t="str">
        <f t="shared" ca="1" si="84"/>
        <v/>
      </c>
      <c r="AO137" s="432">
        <f t="shared" ca="1" si="62"/>
        <v>384</v>
      </c>
      <c r="AP137" s="427" t="str">
        <f t="shared" ca="1" si="63"/>
        <v>-</v>
      </c>
      <c r="AQ137" s="443" t="str">
        <f t="shared" ca="1" si="64"/>
        <v>-</v>
      </c>
      <c r="AR137" s="444" t="str">
        <f t="shared" ca="1" si="65"/>
        <v>-</v>
      </c>
      <c r="AS137" s="430" t="str">
        <f t="shared" ca="1" si="66"/>
        <v>-</v>
      </c>
    </row>
    <row r="138" spans="1:45" ht="14.25" x14ac:dyDescent="0.65">
      <c r="A138" s="407">
        <v>130</v>
      </c>
      <c r="B138" s="408" t="str">
        <f t="shared" ref="B138:B201" ca="1" si="85">IF((INDIRECT("TrackIT_Lines!"&amp;B$2&amp;$A138))="","", (INDIRECT("TrackIT_Lines!"&amp;B$2&amp;$A138)))</f>
        <v/>
      </c>
      <c r="C138" s="408" t="str">
        <f ca="1">IFERROR(IF(G138="","",CONCATENATE(E138,"-",INDEX(Coordinate,MATCH(F138,ListAndConversion!$X$4:$X$99,0),2))),"")</f>
        <v/>
      </c>
      <c r="D138" s="408" t="str">
        <f t="shared" ca="1" si="81"/>
        <v/>
      </c>
      <c r="E138" s="408" t="str">
        <f t="shared" ca="1" si="81"/>
        <v/>
      </c>
      <c r="F138" s="408" t="str">
        <f t="shared" ca="1" si="81"/>
        <v/>
      </c>
      <c r="G138" s="408" t="str">
        <f ca="1">IFERROR(INDEX(ListAndConversion!A:B,MATCH(Calculation!E138,ListAndConversion!A:A,0),2),"")</f>
        <v/>
      </c>
      <c r="H138" s="408" t="str">
        <f>IF(TrackIT_Lines!AD130="","",TrackIT_Lines!AD130)</f>
        <v/>
      </c>
      <c r="I138" s="408" t="str">
        <f>IF(TrackIT_Lines!AD130="","",CONCATENATE(TrackIT_Lines!AD130,"-",TrackIT_Lines!AG130))</f>
        <v/>
      </c>
      <c r="J138" s="409" t="str">
        <f t="shared" ca="1" si="82"/>
        <v/>
      </c>
      <c r="K138" s="408" t="str">
        <f t="shared" ca="1" si="82"/>
        <v/>
      </c>
      <c r="L138" s="408" t="str">
        <f t="shared" ca="1" si="82"/>
        <v/>
      </c>
      <c r="M138" s="408" t="str">
        <f t="shared" ca="1" si="82"/>
        <v/>
      </c>
      <c r="N138" s="408" t="str">
        <f t="shared" ca="1" si="82"/>
        <v/>
      </c>
      <c r="O138" s="408" t="str">
        <f t="shared" ca="1" si="82"/>
        <v/>
      </c>
      <c r="P138" s="408" t="str">
        <f t="shared" ca="1" si="82"/>
        <v/>
      </c>
      <c r="Q138" s="408" t="str">
        <f t="shared" ca="1" si="82"/>
        <v/>
      </c>
      <c r="R138" s="410" t="str">
        <f ca="1">Cluster!J157</f>
        <v>Selection</v>
      </c>
      <c r="S138" s="411" t="str">
        <f t="shared" ref="S138:S201" ca="1" si="86">IFERROR(HLOOKUP(R138,$L$9:$Q$393,$A138,0),"-")</f>
        <v>-</v>
      </c>
      <c r="T138" s="412" t="str">
        <f t="shared" ref="T138:T201" ca="1" si="87">IFERROR(IF(L138&lt;&gt;"",L138,IF(M138&lt;&gt;"",M138/(K138*660*0.000001),"")),"")</f>
        <v/>
      </c>
      <c r="U138" s="411" t="str">
        <f t="shared" ref="U138:U201" ca="1" si="88">IFERROR(IF(AND(T138&gt;($U$8+2),T138&lt;=($X$8+400),W138=0,AC138=0),ROUNDUP($O$6/($U$8*$U$6/T138),0)*($U$8*$U$6/T138),"-"),"-")</f>
        <v>-</v>
      </c>
      <c r="V138" s="411" t="str">
        <f t="shared" ref="V138:V201" ca="1" si="89">IFERROR(IF(AND(T138&gt;=($U$8+2),T138&lt;=($X$8+400), W138=0, AC138=0),ROUNDUP($O$6/($U$8*$U$6/T138),0)*($U$6-($U$8*$U$6/T138)),"-"),"-")</f>
        <v>-</v>
      </c>
      <c r="W138" s="413">
        <f>Cluster!N157</f>
        <v>0</v>
      </c>
      <c r="X138" s="414" t="str">
        <f t="shared" ref="X138:X201" ca="1" si="90">IFERROR(IF(AND(AC138=0,OR(W138="Bypass",OR(T138&gt;($X$8+400)))),ROUNDUP($O$6/($X$8*$X$6/T138),0)*($X$8*$X$6/T138),"-"),"-")</f>
        <v>-</v>
      </c>
      <c r="Y138" s="411" t="str">
        <f t="shared" ref="Y138:Y201" ca="1" si="91">IFERROR(IF(AND(AC138=0,OR(W138="Bypass",OR(T138&gt;($X$8+400)))),ROUNDUP($O$6/($X$8*$X$6/T138),0)*($X$6-($X$8*$X$6/T138)),"-"),"-")</f>
        <v>-</v>
      </c>
      <c r="Z138" s="415" t="str">
        <f t="shared" ref="Z138:Z201" ca="1" si="92">IFERROR(IF(X138&lt;&gt;"-",ROUNDUP($O$6/($U$8*$Z$6/$X$8),0)*($U$8*$Z$6/$X$8),"-"),"-")</f>
        <v>-</v>
      </c>
      <c r="AA138" s="416" t="str">
        <f t="shared" ref="AA138:AA201" ca="1" si="93">IFERROR(IF(X138&lt;&gt;"-",ROUNDUP($O$6/($U$8*$Z$6/$X$8),0)*($Z$6-($U$8*$Z$6/$X$8)),"-"),"-")</f>
        <v>-</v>
      </c>
      <c r="AB138" s="416" t="str">
        <f t="shared" ref="AB138:AB201" ca="1" si="94">IF(T138&lt;5,"No Dilution","")</f>
        <v/>
      </c>
      <c r="AC138" s="434">
        <f>Cluster!Q157</f>
        <v>0</v>
      </c>
      <c r="AD138" s="435" t="str">
        <f t="shared" ca="1" si="83"/>
        <v/>
      </c>
      <c r="AE138" s="436" t="str">
        <f t="shared" ca="1" si="83"/>
        <v/>
      </c>
      <c r="AF138" s="437" t="str">
        <f t="shared" ref="AF138:AF201" ca="1" si="95">IFERROR(AL138*((AD138*10^-12-AD138*10^-12*AE138)/(T138*10^-9)),"-")</f>
        <v>-</v>
      </c>
      <c r="AG138" s="438" t="str">
        <f t="shared" ref="AG138:AG201" ca="1" si="96">IFERROR((0.5/50)*AL138/$AG$6,"-")</f>
        <v>-</v>
      </c>
      <c r="AH138" s="437" t="str">
        <f t="shared" ref="AH138:AH201" ca="1" si="97">IFERROR(IF((AG138*$AG$6/0.05)-SUM(AF138:AG138,AK138)&gt;0,(AG138*$AG$6/0.05)-SUM(AF138:AG138,AK138),0),"-")</f>
        <v>-</v>
      </c>
      <c r="AI138" s="438" t="str">
        <f t="shared" ref="AI138:AI201" ca="1" si="98">IFERROR(5/50*AL138,"-")</f>
        <v>-</v>
      </c>
      <c r="AJ138" s="438" t="str">
        <f t="shared" ref="AJ138:AJ201" ca="1" si="99">IFERROR(AL138-SUM(AF138:AI138,AK138),"-")</f>
        <v>-</v>
      </c>
      <c r="AK138" s="439" t="str">
        <f ca="1">IFERROR(AE138*AD138*AL138/(IF(Cluster!AA157=Cluster!$W$8,Cluster!$W$10,IF(Cluster!AA157=Cluster!$X$8,Cluster!$X$10,IF(Cluster!AA157=Cluster!$Y$8,Cluster!$Y$10,0)))*10^3),"-")</f>
        <v>-</v>
      </c>
      <c r="AL138" s="440" t="str">
        <f ca="1">IFERROR(IF(OR(Calculation!T138&lt;(Calculation!$U$8+2),Calculation!AC138="Bypass"),IF((IF(Calculation!$O$6/((Calculation!AD138*10^-12)/(Calculation!T138*10^-9)*50)&lt;=1,1,ROUNDUP(Calculation!$O$6/((Calculation!AD138*10^-12)/(Calculation!T138*10^-9)*50),0))*50)&lt;Calculation!$AK$6,Calculation!$AK$6,IF(Calculation!$O$6/((Calculation!AD138*10^-12)/(Calculation!T138*10^-9)*50)&lt;=1,1,ROUNDUP(Calculation!$O$6/((Calculation!AD138*10^-12)/(Calculation!T138*10^-9)*50),0))*50),"-"),"-")</f>
        <v>-</v>
      </c>
      <c r="AM138" s="441" t="str">
        <f t="shared" ca="1" si="84"/>
        <v/>
      </c>
      <c r="AN138" s="442" t="str">
        <f t="shared" ca="1" si="84"/>
        <v/>
      </c>
      <c r="AO138" s="432">
        <f t="shared" ref="AO138:AO201" ca="1" si="100">COUNTIFS($I$10:$I$393,I138,$AN$10:$AN$393,AN138)</f>
        <v>384</v>
      </c>
      <c r="AP138" s="427" t="str">
        <f t="shared" ref="AP138:AP201" ca="1" si="101">IFERROR($AG$6*AG138/SUM(AF138:AH138,AK138),"-")</f>
        <v>-</v>
      </c>
      <c r="AQ138" s="443" t="str">
        <f t="shared" ref="AQ138:AQ201" ca="1" si="102">IFERROR(AP138*SUM(AF138:AH138)/AL138,"-")</f>
        <v>-</v>
      </c>
      <c r="AR138" s="444" t="str">
        <f t="shared" ref="AR138:AR201" ca="1" si="103">IFERROR(IF(J138&gt;0,J138/IF(LEN(AM138)&gt;1,LEN(AM138)-1,1),"-"),"-")</f>
        <v>-</v>
      </c>
      <c r="AS138" s="430" t="str">
        <f t="shared" ref="AS138:AS201" ca="1" si="104">IF(AND(AR138&lt;1,AL138="-",COUNTIFS($I$10:$I$393,I138,Direct_Denaturation,"-")&gt;1),C138,"-")</f>
        <v>-</v>
      </c>
    </row>
    <row r="139" spans="1:45" ht="14.25" x14ac:dyDescent="0.65">
      <c r="A139" s="407">
        <v>131</v>
      </c>
      <c r="B139" s="408" t="str">
        <f t="shared" ca="1" si="85"/>
        <v/>
      </c>
      <c r="C139" s="408" t="str">
        <f ca="1">IFERROR(IF(G139="","",CONCATENATE(E139,"-",INDEX(Coordinate,MATCH(F139,ListAndConversion!$X$4:$X$99,0),2))),"")</f>
        <v/>
      </c>
      <c r="D139" s="408" t="str">
        <f t="shared" ca="1" si="81"/>
        <v/>
      </c>
      <c r="E139" s="408" t="str">
        <f t="shared" ca="1" si="81"/>
        <v/>
      </c>
      <c r="F139" s="408" t="str">
        <f t="shared" ca="1" si="81"/>
        <v/>
      </c>
      <c r="G139" s="408" t="str">
        <f ca="1">IFERROR(INDEX(ListAndConversion!A:B,MATCH(Calculation!E139,ListAndConversion!A:A,0),2),"")</f>
        <v/>
      </c>
      <c r="H139" s="408" t="str">
        <f>IF(TrackIT_Lines!AD131="","",TrackIT_Lines!AD131)</f>
        <v/>
      </c>
      <c r="I139" s="408" t="str">
        <f>IF(TrackIT_Lines!AD131="","",CONCATENATE(TrackIT_Lines!AD131,"-",TrackIT_Lines!AG131))</f>
        <v/>
      </c>
      <c r="J139" s="409" t="str">
        <f t="shared" ca="1" si="82"/>
        <v/>
      </c>
      <c r="K139" s="408" t="str">
        <f t="shared" ca="1" si="82"/>
        <v/>
      </c>
      <c r="L139" s="408" t="str">
        <f t="shared" ca="1" si="82"/>
        <v/>
      </c>
      <c r="M139" s="408" t="str">
        <f t="shared" ca="1" si="82"/>
        <v/>
      </c>
      <c r="N139" s="408" t="str">
        <f t="shared" ca="1" si="82"/>
        <v/>
      </c>
      <c r="O139" s="408" t="str">
        <f t="shared" ca="1" si="82"/>
        <v/>
      </c>
      <c r="P139" s="408" t="str">
        <f t="shared" ca="1" si="82"/>
        <v/>
      </c>
      <c r="Q139" s="408" t="str">
        <f t="shared" ca="1" si="82"/>
        <v/>
      </c>
      <c r="R139" s="410" t="str">
        <f ca="1">Cluster!J158</f>
        <v>Selection</v>
      </c>
      <c r="S139" s="411" t="str">
        <f t="shared" ca="1" si="86"/>
        <v>-</v>
      </c>
      <c r="T139" s="412" t="str">
        <f t="shared" ca="1" si="87"/>
        <v/>
      </c>
      <c r="U139" s="411" t="str">
        <f t="shared" ca="1" si="88"/>
        <v>-</v>
      </c>
      <c r="V139" s="411" t="str">
        <f t="shared" ca="1" si="89"/>
        <v>-</v>
      </c>
      <c r="W139" s="413">
        <f>Cluster!N158</f>
        <v>0</v>
      </c>
      <c r="X139" s="414" t="str">
        <f t="shared" ca="1" si="90"/>
        <v>-</v>
      </c>
      <c r="Y139" s="411" t="str">
        <f t="shared" ca="1" si="91"/>
        <v>-</v>
      </c>
      <c r="Z139" s="415" t="str">
        <f t="shared" ca="1" si="92"/>
        <v>-</v>
      </c>
      <c r="AA139" s="416" t="str">
        <f t="shared" ca="1" si="93"/>
        <v>-</v>
      </c>
      <c r="AB139" s="416" t="str">
        <f t="shared" ca="1" si="94"/>
        <v/>
      </c>
      <c r="AC139" s="434">
        <f>Cluster!Q158</f>
        <v>0</v>
      </c>
      <c r="AD139" s="435" t="str">
        <f t="shared" ca="1" si="83"/>
        <v/>
      </c>
      <c r="AE139" s="436" t="str">
        <f t="shared" ca="1" si="83"/>
        <v/>
      </c>
      <c r="AF139" s="437" t="str">
        <f t="shared" ca="1" si="95"/>
        <v>-</v>
      </c>
      <c r="AG139" s="438" t="str">
        <f t="shared" ca="1" si="96"/>
        <v>-</v>
      </c>
      <c r="AH139" s="437" t="str">
        <f t="shared" ca="1" si="97"/>
        <v>-</v>
      </c>
      <c r="AI139" s="438" t="str">
        <f t="shared" ca="1" si="98"/>
        <v>-</v>
      </c>
      <c r="AJ139" s="438" t="str">
        <f t="shared" ca="1" si="99"/>
        <v>-</v>
      </c>
      <c r="AK139" s="439" t="str">
        <f ca="1">IFERROR(AE139*AD139*AL139/(IF(Cluster!AA158=Cluster!$W$8,Cluster!$W$10,IF(Cluster!AA158=Cluster!$X$8,Cluster!$X$10,IF(Cluster!AA158=Cluster!$Y$8,Cluster!$Y$10,0)))*10^3),"-")</f>
        <v>-</v>
      </c>
      <c r="AL139" s="440" t="str">
        <f ca="1">IFERROR(IF(OR(Calculation!T139&lt;(Calculation!$U$8+2),Calculation!AC139="Bypass"),IF((IF(Calculation!$O$6/((Calculation!AD139*10^-12)/(Calculation!T139*10^-9)*50)&lt;=1,1,ROUNDUP(Calculation!$O$6/((Calculation!AD139*10^-12)/(Calculation!T139*10^-9)*50),0))*50)&lt;Calculation!$AK$6,Calculation!$AK$6,IF(Calculation!$O$6/((Calculation!AD139*10^-12)/(Calculation!T139*10^-9)*50)&lt;=1,1,ROUNDUP(Calculation!$O$6/((Calculation!AD139*10^-12)/(Calculation!T139*10^-9)*50),0))*50),"-"),"-")</f>
        <v>-</v>
      </c>
      <c r="AM139" s="441" t="str">
        <f t="shared" ca="1" si="84"/>
        <v/>
      </c>
      <c r="AN139" s="442" t="str">
        <f t="shared" ca="1" si="84"/>
        <v/>
      </c>
      <c r="AO139" s="432">
        <f t="shared" ca="1" si="100"/>
        <v>384</v>
      </c>
      <c r="AP139" s="427" t="str">
        <f t="shared" ca="1" si="101"/>
        <v>-</v>
      </c>
      <c r="AQ139" s="443" t="str">
        <f t="shared" ca="1" si="102"/>
        <v>-</v>
      </c>
      <c r="AR139" s="444" t="str">
        <f t="shared" ca="1" si="103"/>
        <v>-</v>
      </c>
      <c r="AS139" s="430" t="str">
        <f t="shared" ca="1" si="104"/>
        <v>-</v>
      </c>
    </row>
    <row r="140" spans="1:45" ht="14.25" x14ac:dyDescent="0.65">
      <c r="A140" s="407">
        <v>132</v>
      </c>
      <c r="B140" s="408" t="str">
        <f t="shared" ca="1" si="85"/>
        <v/>
      </c>
      <c r="C140" s="408" t="str">
        <f ca="1">IFERROR(IF(G140="","",CONCATENATE(E140,"-",INDEX(Coordinate,MATCH(F140,ListAndConversion!$X$4:$X$99,0),2))),"")</f>
        <v/>
      </c>
      <c r="D140" s="408" t="str">
        <f t="shared" ca="1" si="81"/>
        <v/>
      </c>
      <c r="E140" s="408" t="str">
        <f t="shared" ca="1" si="81"/>
        <v/>
      </c>
      <c r="F140" s="408" t="str">
        <f t="shared" ca="1" si="81"/>
        <v/>
      </c>
      <c r="G140" s="408" t="str">
        <f ca="1">IFERROR(INDEX(ListAndConversion!A:B,MATCH(Calculation!E140,ListAndConversion!A:A,0),2),"")</f>
        <v/>
      </c>
      <c r="H140" s="408" t="str">
        <f>IF(TrackIT_Lines!AD132="","",TrackIT_Lines!AD132)</f>
        <v/>
      </c>
      <c r="I140" s="408" t="str">
        <f>IF(TrackIT_Lines!AD132="","",CONCATENATE(TrackIT_Lines!AD132,"-",TrackIT_Lines!AG132))</f>
        <v/>
      </c>
      <c r="J140" s="409" t="str">
        <f t="shared" ref="J140:Q149" ca="1" si="105">IF((INDIRECT("TrackIT_Lines!"&amp;J$2&amp;$A140))="","", (INDIRECT("TrackIT_Lines!"&amp;J$2&amp;$A140)))</f>
        <v/>
      </c>
      <c r="K140" s="408" t="str">
        <f t="shared" ca="1" si="105"/>
        <v/>
      </c>
      <c r="L140" s="408" t="str">
        <f t="shared" ca="1" si="105"/>
        <v/>
      </c>
      <c r="M140" s="408" t="str">
        <f t="shared" ca="1" si="105"/>
        <v/>
      </c>
      <c r="N140" s="408" t="str">
        <f t="shared" ca="1" si="105"/>
        <v/>
      </c>
      <c r="O140" s="408" t="str">
        <f t="shared" ca="1" si="105"/>
        <v/>
      </c>
      <c r="P140" s="408" t="str">
        <f t="shared" ca="1" si="105"/>
        <v/>
      </c>
      <c r="Q140" s="408" t="str">
        <f t="shared" ca="1" si="105"/>
        <v/>
      </c>
      <c r="R140" s="410" t="str">
        <f ca="1">Cluster!J159</f>
        <v>Selection</v>
      </c>
      <c r="S140" s="411" t="str">
        <f t="shared" ca="1" si="86"/>
        <v>-</v>
      </c>
      <c r="T140" s="412" t="str">
        <f t="shared" ca="1" si="87"/>
        <v/>
      </c>
      <c r="U140" s="411" t="str">
        <f t="shared" ca="1" si="88"/>
        <v>-</v>
      </c>
      <c r="V140" s="411" t="str">
        <f t="shared" ca="1" si="89"/>
        <v>-</v>
      </c>
      <c r="W140" s="413">
        <f>Cluster!N159</f>
        <v>0</v>
      </c>
      <c r="X140" s="414" t="str">
        <f t="shared" ca="1" si="90"/>
        <v>-</v>
      </c>
      <c r="Y140" s="411" t="str">
        <f t="shared" ca="1" si="91"/>
        <v>-</v>
      </c>
      <c r="Z140" s="415" t="str">
        <f t="shared" ca="1" si="92"/>
        <v>-</v>
      </c>
      <c r="AA140" s="416" t="str">
        <f t="shared" ca="1" si="93"/>
        <v>-</v>
      </c>
      <c r="AB140" s="416" t="str">
        <f t="shared" ca="1" si="94"/>
        <v/>
      </c>
      <c r="AC140" s="434">
        <f>Cluster!Q159</f>
        <v>0</v>
      </c>
      <c r="AD140" s="435" t="str">
        <f t="shared" ca="1" si="83"/>
        <v/>
      </c>
      <c r="AE140" s="436" t="str">
        <f t="shared" ca="1" si="83"/>
        <v/>
      </c>
      <c r="AF140" s="437" t="str">
        <f t="shared" ca="1" si="95"/>
        <v>-</v>
      </c>
      <c r="AG140" s="438" t="str">
        <f t="shared" ca="1" si="96"/>
        <v>-</v>
      </c>
      <c r="AH140" s="437" t="str">
        <f t="shared" ca="1" si="97"/>
        <v>-</v>
      </c>
      <c r="AI140" s="438" t="str">
        <f t="shared" ca="1" si="98"/>
        <v>-</v>
      </c>
      <c r="AJ140" s="438" t="str">
        <f t="shared" ca="1" si="99"/>
        <v>-</v>
      </c>
      <c r="AK140" s="439" t="str">
        <f ca="1">IFERROR(AE140*AD140*AL140/(IF(Cluster!AA159=Cluster!$W$8,Cluster!$W$10,IF(Cluster!AA159=Cluster!$X$8,Cluster!$X$10,IF(Cluster!AA159=Cluster!$Y$8,Cluster!$Y$10,0)))*10^3),"-")</f>
        <v>-</v>
      </c>
      <c r="AL140" s="440" t="str">
        <f ca="1">IFERROR(IF(OR(Calculation!T140&lt;(Calculation!$U$8+2),Calculation!AC140="Bypass"),IF((IF(Calculation!$O$6/((Calculation!AD140*10^-12)/(Calculation!T140*10^-9)*50)&lt;=1,1,ROUNDUP(Calculation!$O$6/((Calculation!AD140*10^-12)/(Calculation!T140*10^-9)*50),0))*50)&lt;Calculation!$AK$6,Calculation!$AK$6,IF(Calculation!$O$6/((Calculation!AD140*10^-12)/(Calculation!T140*10^-9)*50)&lt;=1,1,ROUNDUP(Calculation!$O$6/((Calculation!AD140*10^-12)/(Calculation!T140*10^-9)*50),0))*50),"-"),"-")</f>
        <v>-</v>
      </c>
      <c r="AM140" s="441" t="str">
        <f t="shared" ca="1" si="84"/>
        <v/>
      </c>
      <c r="AN140" s="442" t="str">
        <f t="shared" ca="1" si="84"/>
        <v/>
      </c>
      <c r="AO140" s="432">
        <f t="shared" ca="1" si="100"/>
        <v>384</v>
      </c>
      <c r="AP140" s="427" t="str">
        <f t="shared" ca="1" si="101"/>
        <v>-</v>
      </c>
      <c r="AQ140" s="443" t="str">
        <f t="shared" ca="1" si="102"/>
        <v>-</v>
      </c>
      <c r="AR140" s="444" t="str">
        <f t="shared" ca="1" si="103"/>
        <v>-</v>
      </c>
      <c r="AS140" s="430" t="str">
        <f t="shared" ca="1" si="104"/>
        <v>-</v>
      </c>
    </row>
    <row r="141" spans="1:45" ht="14.25" x14ac:dyDescent="0.65">
      <c r="A141" s="407">
        <v>133</v>
      </c>
      <c r="B141" s="408" t="str">
        <f t="shared" ca="1" si="85"/>
        <v/>
      </c>
      <c r="C141" s="408" t="str">
        <f ca="1">IFERROR(IF(G141="","",CONCATENATE(E141,"-",INDEX(Coordinate,MATCH(F141,ListAndConversion!$X$4:$X$99,0),2))),"")</f>
        <v/>
      </c>
      <c r="D141" s="408" t="str">
        <f t="shared" ca="1" si="81"/>
        <v/>
      </c>
      <c r="E141" s="408" t="str">
        <f t="shared" ca="1" si="81"/>
        <v/>
      </c>
      <c r="F141" s="408" t="str">
        <f t="shared" ca="1" si="81"/>
        <v/>
      </c>
      <c r="G141" s="408" t="str">
        <f ca="1">IFERROR(INDEX(ListAndConversion!A:B,MATCH(Calculation!E141,ListAndConversion!A:A,0),2),"")</f>
        <v/>
      </c>
      <c r="H141" s="408" t="str">
        <f>IF(TrackIT_Lines!AD133="","",TrackIT_Lines!AD133)</f>
        <v/>
      </c>
      <c r="I141" s="408" t="str">
        <f>IF(TrackIT_Lines!AD133="","",CONCATENATE(TrackIT_Lines!AD133,"-",TrackIT_Lines!AG133))</f>
        <v/>
      </c>
      <c r="J141" s="409" t="str">
        <f t="shared" ca="1" si="105"/>
        <v/>
      </c>
      <c r="K141" s="408" t="str">
        <f t="shared" ca="1" si="105"/>
        <v/>
      </c>
      <c r="L141" s="408" t="str">
        <f t="shared" ca="1" si="105"/>
        <v/>
      </c>
      <c r="M141" s="408" t="str">
        <f t="shared" ca="1" si="105"/>
        <v/>
      </c>
      <c r="N141" s="408" t="str">
        <f t="shared" ca="1" si="105"/>
        <v/>
      </c>
      <c r="O141" s="408" t="str">
        <f t="shared" ca="1" si="105"/>
        <v/>
      </c>
      <c r="P141" s="408" t="str">
        <f t="shared" ca="1" si="105"/>
        <v/>
      </c>
      <c r="Q141" s="408" t="str">
        <f t="shared" ca="1" si="105"/>
        <v/>
      </c>
      <c r="R141" s="410" t="str">
        <f ca="1">Cluster!J160</f>
        <v>Selection</v>
      </c>
      <c r="S141" s="411" t="str">
        <f t="shared" ca="1" si="86"/>
        <v>-</v>
      </c>
      <c r="T141" s="412" t="str">
        <f t="shared" ca="1" si="87"/>
        <v/>
      </c>
      <c r="U141" s="411" t="str">
        <f t="shared" ca="1" si="88"/>
        <v>-</v>
      </c>
      <c r="V141" s="411" t="str">
        <f t="shared" ca="1" si="89"/>
        <v>-</v>
      </c>
      <c r="W141" s="413">
        <f>Cluster!N160</f>
        <v>0</v>
      </c>
      <c r="X141" s="414" t="str">
        <f t="shared" ca="1" si="90"/>
        <v>-</v>
      </c>
      <c r="Y141" s="411" t="str">
        <f t="shared" ca="1" si="91"/>
        <v>-</v>
      </c>
      <c r="Z141" s="415" t="str">
        <f t="shared" ca="1" si="92"/>
        <v>-</v>
      </c>
      <c r="AA141" s="416" t="str">
        <f t="shared" ca="1" si="93"/>
        <v>-</v>
      </c>
      <c r="AB141" s="416" t="str">
        <f t="shared" ca="1" si="94"/>
        <v/>
      </c>
      <c r="AC141" s="434">
        <f>Cluster!Q160</f>
        <v>0</v>
      </c>
      <c r="AD141" s="435" t="str">
        <f t="shared" ca="1" si="83"/>
        <v/>
      </c>
      <c r="AE141" s="436" t="str">
        <f t="shared" ca="1" si="83"/>
        <v/>
      </c>
      <c r="AF141" s="437" t="str">
        <f t="shared" ca="1" si="95"/>
        <v>-</v>
      </c>
      <c r="AG141" s="438" t="str">
        <f t="shared" ca="1" si="96"/>
        <v>-</v>
      </c>
      <c r="AH141" s="437" t="str">
        <f t="shared" ca="1" si="97"/>
        <v>-</v>
      </c>
      <c r="AI141" s="438" t="str">
        <f t="shared" ca="1" si="98"/>
        <v>-</v>
      </c>
      <c r="AJ141" s="438" t="str">
        <f t="shared" ca="1" si="99"/>
        <v>-</v>
      </c>
      <c r="AK141" s="439" t="str">
        <f ca="1">IFERROR(AE141*AD141*AL141/(IF(Cluster!AA160=Cluster!$W$8,Cluster!$W$10,IF(Cluster!AA160=Cluster!$X$8,Cluster!$X$10,IF(Cluster!AA160=Cluster!$Y$8,Cluster!$Y$10,0)))*10^3),"-")</f>
        <v>-</v>
      </c>
      <c r="AL141" s="440" t="str">
        <f ca="1">IFERROR(IF(OR(Calculation!T141&lt;(Calculation!$U$8+2),Calculation!AC141="Bypass"),IF((IF(Calculation!$O$6/((Calculation!AD141*10^-12)/(Calculation!T141*10^-9)*50)&lt;=1,1,ROUNDUP(Calculation!$O$6/((Calculation!AD141*10^-12)/(Calculation!T141*10^-9)*50),0))*50)&lt;Calculation!$AK$6,Calculation!$AK$6,IF(Calculation!$O$6/((Calculation!AD141*10^-12)/(Calculation!T141*10^-9)*50)&lt;=1,1,ROUNDUP(Calculation!$O$6/((Calculation!AD141*10^-12)/(Calculation!T141*10^-9)*50),0))*50),"-"),"-")</f>
        <v>-</v>
      </c>
      <c r="AM141" s="441" t="str">
        <f t="shared" ca="1" si="84"/>
        <v/>
      </c>
      <c r="AN141" s="442" t="str">
        <f t="shared" ca="1" si="84"/>
        <v/>
      </c>
      <c r="AO141" s="432">
        <f t="shared" ca="1" si="100"/>
        <v>384</v>
      </c>
      <c r="AP141" s="427" t="str">
        <f t="shared" ca="1" si="101"/>
        <v>-</v>
      </c>
      <c r="AQ141" s="443" t="str">
        <f t="shared" ca="1" si="102"/>
        <v>-</v>
      </c>
      <c r="AR141" s="444" t="str">
        <f t="shared" ca="1" si="103"/>
        <v>-</v>
      </c>
      <c r="AS141" s="430" t="str">
        <f t="shared" ca="1" si="104"/>
        <v>-</v>
      </c>
    </row>
    <row r="142" spans="1:45" ht="14.25" x14ac:dyDescent="0.65">
      <c r="A142" s="407">
        <v>134</v>
      </c>
      <c r="B142" s="408" t="str">
        <f t="shared" ca="1" si="85"/>
        <v/>
      </c>
      <c r="C142" s="408" t="str">
        <f ca="1">IFERROR(IF(G142="","",CONCATENATE(E142,"-",INDEX(Coordinate,MATCH(F142,ListAndConversion!$X$4:$X$99,0),2))),"")</f>
        <v/>
      </c>
      <c r="D142" s="408" t="str">
        <f t="shared" ca="1" si="81"/>
        <v/>
      </c>
      <c r="E142" s="408" t="str">
        <f t="shared" ca="1" si="81"/>
        <v/>
      </c>
      <c r="F142" s="408" t="str">
        <f t="shared" ca="1" si="81"/>
        <v/>
      </c>
      <c r="G142" s="408" t="str">
        <f ca="1">IFERROR(INDEX(ListAndConversion!A:B,MATCH(Calculation!E142,ListAndConversion!A:A,0),2),"")</f>
        <v/>
      </c>
      <c r="H142" s="408" t="str">
        <f>IF(TrackIT_Lines!AD134="","",TrackIT_Lines!AD134)</f>
        <v/>
      </c>
      <c r="I142" s="408" t="str">
        <f>IF(TrackIT_Lines!AD134="","",CONCATENATE(TrackIT_Lines!AD134,"-",TrackIT_Lines!AG134))</f>
        <v/>
      </c>
      <c r="J142" s="409" t="str">
        <f t="shared" ca="1" si="105"/>
        <v/>
      </c>
      <c r="K142" s="408" t="str">
        <f t="shared" ca="1" si="105"/>
        <v/>
      </c>
      <c r="L142" s="408" t="str">
        <f t="shared" ca="1" si="105"/>
        <v/>
      </c>
      <c r="M142" s="408" t="str">
        <f t="shared" ca="1" si="105"/>
        <v/>
      </c>
      <c r="N142" s="408" t="str">
        <f t="shared" ca="1" si="105"/>
        <v/>
      </c>
      <c r="O142" s="408" t="str">
        <f t="shared" ca="1" si="105"/>
        <v/>
      </c>
      <c r="P142" s="408" t="str">
        <f t="shared" ca="1" si="105"/>
        <v/>
      </c>
      <c r="Q142" s="408" t="str">
        <f t="shared" ca="1" si="105"/>
        <v/>
      </c>
      <c r="R142" s="410" t="str">
        <f ca="1">Cluster!J161</f>
        <v>Selection</v>
      </c>
      <c r="S142" s="411" t="str">
        <f t="shared" ca="1" si="86"/>
        <v>-</v>
      </c>
      <c r="T142" s="412" t="str">
        <f t="shared" ca="1" si="87"/>
        <v/>
      </c>
      <c r="U142" s="411" t="str">
        <f t="shared" ca="1" si="88"/>
        <v>-</v>
      </c>
      <c r="V142" s="411" t="str">
        <f t="shared" ca="1" si="89"/>
        <v>-</v>
      </c>
      <c r="W142" s="413">
        <f>Cluster!N161</f>
        <v>0</v>
      </c>
      <c r="X142" s="414" t="str">
        <f t="shared" ca="1" si="90"/>
        <v>-</v>
      </c>
      <c r="Y142" s="411" t="str">
        <f t="shared" ca="1" si="91"/>
        <v>-</v>
      </c>
      <c r="Z142" s="415" t="str">
        <f t="shared" ca="1" si="92"/>
        <v>-</v>
      </c>
      <c r="AA142" s="416" t="str">
        <f t="shared" ca="1" si="93"/>
        <v>-</v>
      </c>
      <c r="AB142" s="416" t="str">
        <f t="shared" ca="1" si="94"/>
        <v/>
      </c>
      <c r="AC142" s="434">
        <f>Cluster!Q161</f>
        <v>0</v>
      </c>
      <c r="AD142" s="435" t="str">
        <f t="shared" ca="1" si="83"/>
        <v/>
      </c>
      <c r="AE142" s="436" t="str">
        <f t="shared" ca="1" si="83"/>
        <v/>
      </c>
      <c r="AF142" s="437" t="str">
        <f t="shared" ca="1" si="95"/>
        <v>-</v>
      </c>
      <c r="AG142" s="438" t="str">
        <f t="shared" ca="1" si="96"/>
        <v>-</v>
      </c>
      <c r="AH142" s="437" t="str">
        <f t="shared" ca="1" si="97"/>
        <v>-</v>
      </c>
      <c r="AI142" s="438" t="str">
        <f t="shared" ca="1" si="98"/>
        <v>-</v>
      </c>
      <c r="AJ142" s="438" t="str">
        <f t="shared" ca="1" si="99"/>
        <v>-</v>
      </c>
      <c r="AK142" s="439" t="str">
        <f ca="1">IFERROR(AE142*AD142*AL142/(IF(Cluster!AA161=Cluster!$W$8,Cluster!$W$10,IF(Cluster!AA161=Cluster!$X$8,Cluster!$X$10,IF(Cluster!AA161=Cluster!$Y$8,Cluster!$Y$10,0)))*10^3),"-")</f>
        <v>-</v>
      </c>
      <c r="AL142" s="440" t="str">
        <f ca="1">IFERROR(IF(OR(Calculation!T142&lt;(Calculation!$U$8+2),Calculation!AC142="Bypass"),IF((IF(Calculation!$O$6/((Calculation!AD142*10^-12)/(Calculation!T142*10^-9)*50)&lt;=1,1,ROUNDUP(Calculation!$O$6/((Calculation!AD142*10^-12)/(Calculation!T142*10^-9)*50),0))*50)&lt;Calculation!$AK$6,Calculation!$AK$6,IF(Calculation!$O$6/((Calculation!AD142*10^-12)/(Calculation!T142*10^-9)*50)&lt;=1,1,ROUNDUP(Calculation!$O$6/((Calculation!AD142*10^-12)/(Calculation!T142*10^-9)*50),0))*50),"-"),"-")</f>
        <v>-</v>
      </c>
      <c r="AM142" s="441" t="str">
        <f t="shared" ca="1" si="84"/>
        <v/>
      </c>
      <c r="AN142" s="442" t="str">
        <f t="shared" ca="1" si="84"/>
        <v/>
      </c>
      <c r="AO142" s="432">
        <f t="shared" ca="1" si="100"/>
        <v>384</v>
      </c>
      <c r="AP142" s="427" t="str">
        <f t="shared" ca="1" si="101"/>
        <v>-</v>
      </c>
      <c r="AQ142" s="443" t="str">
        <f t="shared" ca="1" si="102"/>
        <v>-</v>
      </c>
      <c r="AR142" s="444" t="str">
        <f t="shared" ca="1" si="103"/>
        <v>-</v>
      </c>
      <c r="AS142" s="430" t="str">
        <f t="shared" ca="1" si="104"/>
        <v>-</v>
      </c>
    </row>
    <row r="143" spans="1:45" ht="14.25" x14ac:dyDescent="0.65">
      <c r="A143" s="407">
        <v>135</v>
      </c>
      <c r="B143" s="408" t="str">
        <f t="shared" ca="1" si="85"/>
        <v/>
      </c>
      <c r="C143" s="408" t="str">
        <f ca="1">IFERROR(IF(G143="","",CONCATENATE(E143,"-",INDEX(Coordinate,MATCH(F143,ListAndConversion!$X$4:$X$99,0),2))),"")</f>
        <v/>
      </c>
      <c r="D143" s="408" t="str">
        <f t="shared" ca="1" si="81"/>
        <v/>
      </c>
      <c r="E143" s="408" t="str">
        <f t="shared" ca="1" si="81"/>
        <v/>
      </c>
      <c r="F143" s="408" t="str">
        <f t="shared" ca="1" si="81"/>
        <v/>
      </c>
      <c r="G143" s="408" t="str">
        <f ca="1">IFERROR(INDEX(ListAndConversion!A:B,MATCH(Calculation!E143,ListAndConversion!A:A,0),2),"")</f>
        <v/>
      </c>
      <c r="H143" s="408" t="str">
        <f>IF(TrackIT_Lines!AD135="","",TrackIT_Lines!AD135)</f>
        <v/>
      </c>
      <c r="I143" s="408" t="str">
        <f>IF(TrackIT_Lines!AD135="","",CONCATENATE(TrackIT_Lines!AD135,"-",TrackIT_Lines!AG135))</f>
        <v/>
      </c>
      <c r="J143" s="409" t="str">
        <f t="shared" ca="1" si="105"/>
        <v/>
      </c>
      <c r="K143" s="408" t="str">
        <f t="shared" ca="1" si="105"/>
        <v/>
      </c>
      <c r="L143" s="408" t="str">
        <f t="shared" ca="1" si="105"/>
        <v/>
      </c>
      <c r="M143" s="408" t="str">
        <f t="shared" ca="1" si="105"/>
        <v/>
      </c>
      <c r="N143" s="408" t="str">
        <f t="shared" ca="1" si="105"/>
        <v/>
      </c>
      <c r="O143" s="408" t="str">
        <f t="shared" ca="1" si="105"/>
        <v/>
      </c>
      <c r="P143" s="408" t="str">
        <f t="shared" ca="1" si="105"/>
        <v/>
      </c>
      <c r="Q143" s="408" t="str">
        <f t="shared" ca="1" si="105"/>
        <v/>
      </c>
      <c r="R143" s="410" t="str">
        <f ca="1">Cluster!J162</f>
        <v>Selection</v>
      </c>
      <c r="S143" s="411" t="str">
        <f t="shared" ca="1" si="86"/>
        <v>-</v>
      </c>
      <c r="T143" s="412" t="str">
        <f t="shared" ca="1" si="87"/>
        <v/>
      </c>
      <c r="U143" s="411" t="str">
        <f t="shared" ca="1" si="88"/>
        <v>-</v>
      </c>
      <c r="V143" s="411" t="str">
        <f t="shared" ca="1" si="89"/>
        <v>-</v>
      </c>
      <c r="W143" s="413">
        <f>Cluster!N162</f>
        <v>0</v>
      </c>
      <c r="X143" s="414" t="str">
        <f t="shared" ca="1" si="90"/>
        <v>-</v>
      </c>
      <c r="Y143" s="411" t="str">
        <f t="shared" ca="1" si="91"/>
        <v>-</v>
      </c>
      <c r="Z143" s="415" t="str">
        <f t="shared" ca="1" si="92"/>
        <v>-</v>
      </c>
      <c r="AA143" s="416" t="str">
        <f t="shared" ca="1" si="93"/>
        <v>-</v>
      </c>
      <c r="AB143" s="416" t="str">
        <f t="shared" ca="1" si="94"/>
        <v/>
      </c>
      <c r="AC143" s="434">
        <f>Cluster!Q162</f>
        <v>0</v>
      </c>
      <c r="AD143" s="435" t="str">
        <f t="shared" ca="1" si="83"/>
        <v/>
      </c>
      <c r="AE143" s="436" t="str">
        <f t="shared" ca="1" si="83"/>
        <v/>
      </c>
      <c r="AF143" s="437" t="str">
        <f t="shared" ca="1" si="95"/>
        <v>-</v>
      </c>
      <c r="AG143" s="438" t="str">
        <f t="shared" ca="1" si="96"/>
        <v>-</v>
      </c>
      <c r="AH143" s="437" t="str">
        <f t="shared" ca="1" si="97"/>
        <v>-</v>
      </c>
      <c r="AI143" s="438" t="str">
        <f t="shared" ca="1" si="98"/>
        <v>-</v>
      </c>
      <c r="AJ143" s="438" t="str">
        <f t="shared" ca="1" si="99"/>
        <v>-</v>
      </c>
      <c r="AK143" s="439" t="str">
        <f ca="1">IFERROR(AE143*AD143*AL143/(IF(Cluster!AA162=Cluster!$W$8,Cluster!$W$10,IF(Cluster!AA162=Cluster!$X$8,Cluster!$X$10,IF(Cluster!AA162=Cluster!$Y$8,Cluster!$Y$10,0)))*10^3),"-")</f>
        <v>-</v>
      </c>
      <c r="AL143" s="440" t="str">
        <f ca="1">IFERROR(IF(OR(Calculation!T143&lt;(Calculation!$U$8+2),Calculation!AC143="Bypass"),IF((IF(Calculation!$O$6/((Calculation!AD143*10^-12)/(Calculation!T143*10^-9)*50)&lt;=1,1,ROUNDUP(Calculation!$O$6/((Calculation!AD143*10^-12)/(Calculation!T143*10^-9)*50),0))*50)&lt;Calculation!$AK$6,Calculation!$AK$6,IF(Calculation!$O$6/((Calculation!AD143*10^-12)/(Calculation!T143*10^-9)*50)&lt;=1,1,ROUNDUP(Calculation!$O$6/((Calculation!AD143*10^-12)/(Calculation!T143*10^-9)*50),0))*50),"-"),"-")</f>
        <v>-</v>
      </c>
      <c r="AM143" s="441" t="str">
        <f t="shared" ca="1" si="84"/>
        <v/>
      </c>
      <c r="AN143" s="442" t="str">
        <f t="shared" ca="1" si="84"/>
        <v/>
      </c>
      <c r="AO143" s="432">
        <f t="shared" ca="1" si="100"/>
        <v>384</v>
      </c>
      <c r="AP143" s="427" t="str">
        <f t="shared" ca="1" si="101"/>
        <v>-</v>
      </c>
      <c r="AQ143" s="443" t="str">
        <f t="shared" ca="1" si="102"/>
        <v>-</v>
      </c>
      <c r="AR143" s="444" t="str">
        <f t="shared" ca="1" si="103"/>
        <v>-</v>
      </c>
      <c r="AS143" s="430" t="str">
        <f t="shared" ca="1" si="104"/>
        <v>-</v>
      </c>
    </row>
    <row r="144" spans="1:45" ht="14.25" x14ac:dyDescent="0.65">
      <c r="A144" s="407">
        <v>136</v>
      </c>
      <c r="B144" s="408" t="str">
        <f t="shared" ca="1" si="85"/>
        <v/>
      </c>
      <c r="C144" s="408" t="str">
        <f ca="1">IFERROR(IF(G144="","",CONCATENATE(E144,"-",INDEX(Coordinate,MATCH(F144,ListAndConversion!$X$4:$X$99,0),2))),"")</f>
        <v/>
      </c>
      <c r="D144" s="408" t="str">
        <f t="shared" ca="1" si="81"/>
        <v/>
      </c>
      <c r="E144" s="408" t="str">
        <f t="shared" ca="1" si="81"/>
        <v/>
      </c>
      <c r="F144" s="408" t="str">
        <f t="shared" ca="1" si="81"/>
        <v/>
      </c>
      <c r="G144" s="408" t="str">
        <f ca="1">IFERROR(INDEX(ListAndConversion!A:B,MATCH(Calculation!E144,ListAndConversion!A:A,0),2),"")</f>
        <v/>
      </c>
      <c r="H144" s="408" t="str">
        <f>IF(TrackIT_Lines!AD136="","",TrackIT_Lines!AD136)</f>
        <v/>
      </c>
      <c r="I144" s="408" t="str">
        <f>IF(TrackIT_Lines!AD136="","",CONCATENATE(TrackIT_Lines!AD136,"-",TrackIT_Lines!AG136))</f>
        <v/>
      </c>
      <c r="J144" s="409" t="str">
        <f t="shared" ca="1" si="105"/>
        <v/>
      </c>
      <c r="K144" s="408" t="str">
        <f t="shared" ca="1" si="105"/>
        <v/>
      </c>
      <c r="L144" s="408" t="str">
        <f t="shared" ca="1" si="105"/>
        <v/>
      </c>
      <c r="M144" s="408" t="str">
        <f t="shared" ca="1" si="105"/>
        <v/>
      </c>
      <c r="N144" s="408" t="str">
        <f t="shared" ca="1" si="105"/>
        <v/>
      </c>
      <c r="O144" s="408" t="str">
        <f t="shared" ca="1" si="105"/>
        <v/>
      </c>
      <c r="P144" s="408" t="str">
        <f t="shared" ca="1" si="105"/>
        <v/>
      </c>
      <c r="Q144" s="408" t="str">
        <f t="shared" ca="1" si="105"/>
        <v/>
      </c>
      <c r="R144" s="410" t="str">
        <f ca="1">Cluster!J163</f>
        <v>Selection</v>
      </c>
      <c r="S144" s="411" t="str">
        <f t="shared" ca="1" si="86"/>
        <v>-</v>
      </c>
      <c r="T144" s="412" t="str">
        <f t="shared" ca="1" si="87"/>
        <v/>
      </c>
      <c r="U144" s="411" t="str">
        <f t="shared" ca="1" si="88"/>
        <v>-</v>
      </c>
      <c r="V144" s="411" t="str">
        <f t="shared" ca="1" si="89"/>
        <v>-</v>
      </c>
      <c r="W144" s="413">
        <f>Cluster!N163</f>
        <v>0</v>
      </c>
      <c r="X144" s="414" t="str">
        <f t="shared" ca="1" si="90"/>
        <v>-</v>
      </c>
      <c r="Y144" s="411" t="str">
        <f t="shared" ca="1" si="91"/>
        <v>-</v>
      </c>
      <c r="Z144" s="415" t="str">
        <f t="shared" ca="1" si="92"/>
        <v>-</v>
      </c>
      <c r="AA144" s="416" t="str">
        <f t="shared" ca="1" si="93"/>
        <v>-</v>
      </c>
      <c r="AB144" s="416" t="str">
        <f t="shared" ca="1" si="94"/>
        <v/>
      </c>
      <c r="AC144" s="434">
        <f>Cluster!Q163</f>
        <v>0</v>
      </c>
      <c r="AD144" s="435" t="str">
        <f t="shared" ca="1" si="83"/>
        <v/>
      </c>
      <c r="AE144" s="436" t="str">
        <f t="shared" ca="1" si="83"/>
        <v/>
      </c>
      <c r="AF144" s="437" t="str">
        <f t="shared" ca="1" si="95"/>
        <v>-</v>
      </c>
      <c r="AG144" s="438" t="str">
        <f t="shared" ca="1" si="96"/>
        <v>-</v>
      </c>
      <c r="AH144" s="437" t="str">
        <f t="shared" ca="1" si="97"/>
        <v>-</v>
      </c>
      <c r="AI144" s="438" t="str">
        <f t="shared" ca="1" si="98"/>
        <v>-</v>
      </c>
      <c r="AJ144" s="438" t="str">
        <f t="shared" ca="1" si="99"/>
        <v>-</v>
      </c>
      <c r="AK144" s="439" t="str">
        <f ca="1">IFERROR(AE144*AD144*AL144/(IF(Cluster!AA163=Cluster!$W$8,Cluster!$W$10,IF(Cluster!AA163=Cluster!$X$8,Cluster!$X$10,IF(Cluster!AA163=Cluster!$Y$8,Cluster!$Y$10,0)))*10^3),"-")</f>
        <v>-</v>
      </c>
      <c r="AL144" s="440" t="str">
        <f ca="1">IFERROR(IF(OR(Calculation!T144&lt;(Calculation!$U$8+2),Calculation!AC144="Bypass"),IF((IF(Calculation!$O$6/((Calculation!AD144*10^-12)/(Calculation!T144*10^-9)*50)&lt;=1,1,ROUNDUP(Calculation!$O$6/((Calculation!AD144*10^-12)/(Calculation!T144*10^-9)*50),0))*50)&lt;Calculation!$AK$6,Calculation!$AK$6,IF(Calculation!$O$6/((Calculation!AD144*10^-12)/(Calculation!T144*10^-9)*50)&lt;=1,1,ROUNDUP(Calculation!$O$6/((Calculation!AD144*10^-12)/(Calculation!T144*10^-9)*50),0))*50),"-"),"-")</f>
        <v>-</v>
      </c>
      <c r="AM144" s="441" t="str">
        <f t="shared" ca="1" si="84"/>
        <v/>
      </c>
      <c r="AN144" s="442" t="str">
        <f t="shared" ca="1" si="84"/>
        <v/>
      </c>
      <c r="AO144" s="432">
        <f t="shared" ca="1" si="100"/>
        <v>384</v>
      </c>
      <c r="AP144" s="427" t="str">
        <f t="shared" ca="1" si="101"/>
        <v>-</v>
      </c>
      <c r="AQ144" s="443" t="str">
        <f t="shared" ca="1" si="102"/>
        <v>-</v>
      </c>
      <c r="AR144" s="444" t="str">
        <f t="shared" ca="1" si="103"/>
        <v>-</v>
      </c>
      <c r="AS144" s="430" t="str">
        <f t="shared" ca="1" si="104"/>
        <v>-</v>
      </c>
    </row>
    <row r="145" spans="1:45" ht="14.25" x14ac:dyDescent="0.65">
      <c r="A145" s="407">
        <v>137</v>
      </c>
      <c r="B145" s="408" t="str">
        <f t="shared" ca="1" si="85"/>
        <v/>
      </c>
      <c r="C145" s="408" t="str">
        <f ca="1">IFERROR(IF(G145="","",CONCATENATE(E145,"-",INDEX(Coordinate,MATCH(F145,ListAndConversion!$X$4:$X$99,0),2))),"")</f>
        <v/>
      </c>
      <c r="D145" s="408" t="str">
        <f t="shared" ca="1" si="81"/>
        <v/>
      </c>
      <c r="E145" s="408" t="str">
        <f t="shared" ca="1" si="81"/>
        <v/>
      </c>
      <c r="F145" s="408" t="str">
        <f t="shared" ca="1" si="81"/>
        <v/>
      </c>
      <c r="G145" s="408" t="str">
        <f ca="1">IFERROR(INDEX(ListAndConversion!A:B,MATCH(Calculation!E145,ListAndConversion!A:A,0),2),"")</f>
        <v/>
      </c>
      <c r="H145" s="408" t="str">
        <f>IF(TrackIT_Lines!AD137="","",TrackIT_Lines!AD137)</f>
        <v/>
      </c>
      <c r="I145" s="408" t="str">
        <f>IF(TrackIT_Lines!AD137="","",CONCATENATE(TrackIT_Lines!AD137,"-",TrackIT_Lines!AG137))</f>
        <v/>
      </c>
      <c r="J145" s="409" t="str">
        <f t="shared" ca="1" si="105"/>
        <v/>
      </c>
      <c r="K145" s="408" t="str">
        <f t="shared" ca="1" si="105"/>
        <v/>
      </c>
      <c r="L145" s="408" t="str">
        <f t="shared" ca="1" si="105"/>
        <v/>
      </c>
      <c r="M145" s="408" t="str">
        <f t="shared" ca="1" si="105"/>
        <v/>
      </c>
      <c r="N145" s="408" t="str">
        <f t="shared" ca="1" si="105"/>
        <v/>
      </c>
      <c r="O145" s="408" t="str">
        <f t="shared" ca="1" si="105"/>
        <v/>
      </c>
      <c r="P145" s="408" t="str">
        <f t="shared" ca="1" si="105"/>
        <v/>
      </c>
      <c r="Q145" s="408" t="str">
        <f t="shared" ca="1" si="105"/>
        <v/>
      </c>
      <c r="R145" s="410" t="str">
        <f ca="1">Cluster!J164</f>
        <v>Selection</v>
      </c>
      <c r="S145" s="411" t="str">
        <f t="shared" ca="1" si="86"/>
        <v>-</v>
      </c>
      <c r="T145" s="412" t="str">
        <f t="shared" ca="1" si="87"/>
        <v/>
      </c>
      <c r="U145" s="411" t="str">
        <f t="shared" ca="1" si="88"/>
        <v>-</v>
      </c>
      <c r="V145" s="411" t="str">
        <f t="shared" ca="1" si="89"/>
        <v>-</v>
      </c>
      <c r="W145" s="413">
        <f>Cluster!N164</f>
        <v>0</v>
      </c>
      <c r="X145" s="414" t="str">
        <f t="shared" ca="1" si="90"/>
        <v>-</v>
      </c>
      <c r="Y145" s="411" t="str">
        <f t="shared" ca="1" si="91"/>
        <v>-</v>
      </c>
      <c r="Z145" s="415" t="str">
        <f t="shared" ca="1" si="92"/>
        <v>-</v>
      </c>
      <c r="AA145" s="416" t="str">
        <f t="shared" ca="1" si="93"/>
        <v>-</v>
      </c>
      <c r="AB145" s="416" t="str">
        <f t="shared" ca="1" si="94"/>
        <v/>
      </c>
      <c r="AC145" s="434">
        <f>Cluster!Q164</f>
        <v>0</v>
      </c>
      <c r="AD145" s="435" t="str">
        <f t="shared" ca="1" si="83"/>
        <v/>
      </c>
      <c r="AE145" s="436" t="str">
        <f t="shared" ca="1" si="83"/>
        <v/>
      </c>
      <c r="AF145" s="437" t="str">
        <f t="shared" ca="1" si="95"/>
        <v>-</v>
      </c>
      <c r="AG145" s="438" t="str">
        <f t="shared" ca="1" si="96"/>
        <v>-</v>
      </c>
      <c r="AH145" s="437" t="str">
        <f t="shared" ca="1" si="97"/>
        <v>-</v>
      </c>
      <c r="AI145" s="438" t="str">
        <f t="shared" ca="1" si="98"/>
        <v>-</v>
      </c>
      <c r="AJ145" s="438" t="str">
        <f t="shared" ca="1" si="99"/>
        <v>-</v>
      </c>
      <c r="AK145" s="439" t="str">
        <f ca="1">IFERROR(AE145*AD145*AL145/(IF(Cluster!AA164=Cluster!$W$8,Cluster!$W$10,IF(Cluster!AA164=Cluster!$X$8,Cluster!$X$10,IF(Cluster!AA164=Cluster!$Y$8,Cluster!$Y$10,0)))*10^3),"-")</f>
        <v>-</v>
      </c>
      <c r="AL145" s="440" t="str">
        <f ca="1">IFERROR(IF(OR(Calculation!T145&lt;(Calculation!$U$8+2),Calculation!AC145="Bypass"),IF((IF(Calculation!$O$6/((Calculation!AD145*10^-12)/(Calculation!T145*10^-9)*50)&lt;=1,1,ROUNDUP(Calculation!$O$6/((Calculation!AD145*10^-12)/(Calculation!T145*10^-9)*50),0))*50)&lt;Calculation!$AK$6,Calculation!$AK$6,IF(Calculation!$O$6/((Calculation!AD145*10^-12)/(Calculation!T145*10^-9)*50)&lt;=1,1,ROUNDUP(Calculation!$O$6/((Calculation!AD145*10^-12)/(Calculation!T145*10^-9)*50),0))*50),"-"),"-")</f>
        <v>-</v>
      </c>
      <c r="AM145" s="441" t="str">
        <f t="shared" ca="1" si="84"/>
        <v/>
      </c>
      <c r="AN145" s="442" t="str">
        <f t="shared" ca="1" si="84"/>
        <v/>
      </c>
      <c r="AO145" s="432">
        <f t="shared" ca="1" si="100"/>
        <v>384</v>
      </c>
      <c r="AP145" s="427" t="str">
        <f t="shared" ca="1" si="101"/>
        <v>-</v>
      </c>
      <c r="AQ145" s="443" t="str">
        <f t="shared" ca="1" si="102"/>
        <v>-</v>
      </c>
      <c r="AR145" s="444" t="str">
        <f t="shared" ca="1" si="103"/>
        <v>-</v>
      </c>
      <c r="AS145" s="430" t="str">
        <f t="shared" ca="1" si="104"/>
        <v>-</v>
      </c>
    </row>
    <row r="146" spans="1:45" ht="14.25" x14ac:dyDescent="0.65">
      <c r="A146" s="407">
        <v>138</v>
      </c>
      <c r="B146" s="408" t="str">
        <f t="shared" ca="1" si="85"/>
        <v/>
      </c>
      <c r="C146" s="408" t="str">
        <f ca="1">IFERROR(IF(G146="","",CONCATENATE(E146,"-",INDEX(Coordinate,MATCH(F146,ListAndConversion!$X$4:$X$99,0),2))),"")</f>
        <v/>
      </c>
      <c r="D146" s="408" t="str">
        <f t="shared" ca="1" si="81"/>
        <v/>
      </c>
      <c r="E146" s="408" t="str">
        <f t="shared" ca="1" si="81"/>
        <v/>
      </c>
      <c r="F146" s="408" t="str">
        <f t="shared" ca="1" si="81"/>
        <v/>
      </c>
      <c r="G146" s="408" t="str">
        <f ca="1">IFERROR(INDEX(ListAndConversion!A:B,MATCH(Calculation!E146,ListAndConversion!A:A,0),2),"")</f>
        <v/>
      </c>
      <c r="H146" s="408" t="str">
        <f>IF(TrackIT_Lines!AD138="","",TrackIT_Lines!AD138)</f>
        <v/>
      </c>
      <c r="I146" s="408" t="str">
        <f>IF(TrackIT_Lines!AD138="","",CONCATENATE(TrackIT_Lines!AD138,"-",TrackIT_Lines!AG138))</f>
        <v/>
      </c>
      <c r="J146" s="409" t="str">
        <f t="shared" ca="1" si="105"/>
        <v/>
      </c>
      <c r="K146" s="408" t="str">
        <f t="shared" ca="1" si="105"/>
        <v/>
      </c>
      <c r="L146" s="408" t="str">
        <f t="shared" ca="1" si="105"/>
        <v/>
      </c>
      <c r="M146" s="408" t="str">
        <f t="shared" ca="1" si="105"/>
        <v/>
      </c>
      <c r="N146" s="408" t="str">
        <f t="shared" ca="1" si="105"/>
        <v/>
      </c>
      <c r="O146" s="408" t="str">
        <f t="shared" ca="1" si="105"/>
        <v/>
      </c>
      <c r="P146" s="408" t="str">
        <f t="shared" ca="1" si="105"/>
        <v/>
      </c>
      <c r="Q146" s="408" t="str">
        <f t="shared" ca="1" si="105"/>
        <v/>
      </c>
      <c r="R146" s="410" t="str">
        <f ca="1">Cluster!J165</f>
        <v>Selection</v>
      </c>
      <c r="S146" s="411" t="str">
        <f t="shared" ca="1" si="86"/>
        <v>-</v>
      </c>
      <c r="T146" s="412" t="str">
        <f t="shared" ca="1" si="87"/>
        <v/>
      </c>
      <c r="U146" s="411" t="str">
        <f t="shared" ca="1" si="88"/>
        <v>-</v>
      </c>
      <c r="V146" s="411" t="str">
        <f t="shared" ca="1" si="89"/>
        <v>-</v>
      </c>
      <c r="W146" s="413">
        <f>Cluster!N165</f>
        <v>0</v>
      </c>
      <c r="X146" s="414" t="str">
        <f t="shared" ca="1" si="90"/>
        <v>-</v>
      </c>
      <c r="Y146" s="411" t="str">
        <f t="shared" ca="1" si="91"/>
        <v>-</v>
      </c>
      <c r="Z146" s="415" t="str">
        <f t="shared" ca="1" si="92"/>
        <v>-</v>
      </c>
      <c r="AA146" s="416" t="str">
        <f t="shared" ca="1" si="93"/>
        <v>-</v>
      </c>
      <c r="AB146" s="416" t="str">
        <f t="shared" ca="1" si="94"/>
        <v/>
      </c>
      <c r="AC146" s="434">
        <f>Cluster!Q165</f>
        <v>0</v>
      </c>
      <c r="AD146" s="435" t="str">
        <f t="shared" ca="1" si="83"/>
        <v/>
      </c>
      <c r="AE146" s="436" t="str">
        <f t="shared" ca="1" si="83"/>
        <v/>
      </c>
      <c r="AF146" s="437" t="str">
        <f t="shared" ca="1" si="95"/>
        <v>-</v>
      </c>
      <c r="AG146" s="438" t="str">
        <f t="shared" ca="1" si="96"/>
        <v>-</v>
      </c>
      <c r="AH146" s="437" t="str">
        <f t="shared" ca="1" si="97"/>
        <v>-</v>
      </c>
      <c r="AI146" s="438" t="str">
        <f t="shared" ca="1" si="98"/>
        <v>-</v>
      </c>
      <c r="AJ146" s="438" t="str">
        <f t="shared" ca="1" si="99"/>
        <v>-</v>
      </c>
      <c r="AK146" s="439" t="str">
        <f ca="1">IFERROR(AE146*AD146*AL146/(IF(Cluster!AA165=Cluster!$W$8,Cluster!$W$10,IF(Cluster!AA165=Cluster!$X$8,Cluster!$X$10,IF(Cluster!AA165=Cluster!$Y$8,Cluster!$Y$10,0)))*10^3),"-")</f>
        <v>-</v>
      </c>
      <c r="AL146" s="440" t="str">
        <f ca="1">IFERROR(IF(OR(Calculation!T146&lt;(Calculation!$U$8+2),Calculation!AC146="Bypass"),IF((IF(Calculation!$O$6/((Calculation!AD146*10^-12)/(Calculation!T146*10^-9)*50)&lt;=1,1,ROUNDUP(Calculation!$O$6/((Calculation!AD146*10^-12)/(Calculation!T146*10^-9)*50),0))*50)&lt;Calculation!$AK$6,Calculation!$AK$6,IF(Calculation!$O$6/((Calculation!AD146*10^-12)/(Calculation!T146*10^-9)*50)&lt;=1,1,ROUNDUP(Calculation!$O$6/((Calculation!AD146*10^-12)/(Calculation!T146*10^-9)*50),0))*50),"-"),"-")</f>
        <v>-</v>
      </c>
      <c r="AM146" s="441" t="str">
        <f t="shared" ca="1" si="84"/>
        <v/>
      </c>
      <c r="AN146" s="442" t="str">
        <f t="shared" ca="1" si="84"/>
        <v/>
      </c>
      <c r="AO146" s="432">
        <f t="shared" ca="1" si="100"/>
        <v>384</v>
      </c>
      <c r="AP146" s="427" t="str">
        <f t="shared" ca="1" si="101"/>
        <v>-</v>
      </c>
      <c r="AQ146" s="443" t="str">
        <f t="shared" ca="1" si="102"/>
        <v>-</v>
      </c>
      <c r="AR146" s="444" t="str">
        <f t="shared" ca="1" si="103"/>
        <v>-</v>
      </c>
      <c r="AS146" s="430" t="str">
        <f t="shared" ca="1" si="104"/>
        <v>-</v>
      </c>
    </row>
    <row r="147" spans="1:45" ht="14.25" x14ac:dyDescent="0.65">
      <c r="A147" s="407">
        <v>139</v>
      </c>
      <c r="B147" s="408" t="str">
        <f t="shared" ca="1" si="85"/>
        <v/>
      </c>
      <c r="C147" s="408" t="str">
        <f ca="1">IFERROR(IF(G147="","",CONCATENATE(E147,"-",INDEX(Coordinate,MATCH(F147,ListAndConversion!$X$4:$X$99,0),2))),"")</f>
        <v/>
      </c>
      <c r="D147" s="408" t="str">
        <f t="shared" ca="1" si="81"/>
        <v/>
      </c>
      <c r="E147" s="408" t="str">
        <f t="shared" ca="1" si="81"/>
        <v/>
      </c>
      <c r="F147" s="408" t="str">
        <f t="shared" ca="1" si="81"/>
        <v/>
      </c>
      <c r="G147" s="408" t="str">
        <f ca="1">IFERROR(INDEX(ListAndConversion!A:B,MATCH(Calculation!E147,ListAndConversion!A:A,0),2),"")</f>
        <v/>
      </c>
      <c r="H147" s="408" t="str">
        <f>IF(TrackIT_Lines!AD139="","",TrackIT_Lines!AD139)</f>
        <v/>
      </c>
      <c r="I147" s="408" t="str">
        <f>IF(TrackIT_Lines!AD139="","",CONCATENATE(TrackIT_Lines!AD139,"-",TrackIT_Lines!AG139))</f>
        <v/>
      </c>
      <c r="J147" s="409" t="str">
        <f t="shared" ca="1" si="105"/>
        <v/>
      </c>
      <c r="K147" s="408" t="str">
        <f t="shared" ca="1" si="105"/>
        <v/>
      </c>
      <c r="L147" s="408" t="str">
        <f t="shared" ca="1" si="105"/>
        <v/>
      </c>
      <c r="M147" s="408" t="str">
        <f t="shared" ca="1" si="105"/>
        <v/>
      </c>
      <c r="N147" s="408" t="str">
        <f t="shared" ca="1" si="105"/>
        <v/>
      </c>
      <c r="O147" s="408" t="str">
        <f t="shared" ca="1" si="105"/>
        <v/>
      </c>
      <c r="P147" s="408" t="str">
        <f t="shared" ca="1" si="105"/>
        <v/>
      </c>
      <c r="Q147" s="408" t="str">
        <f t="shared" ca="1" si="105"/>
        <v/>
      </c>
      <c r="R147" s="410" t="str">
        <f ca="1">Cluster!J166</f>
        <v>Selection</v>
      </c>
      <c r="S147" s="411" t="str">
        <f t="shared" ca="1" si="86"/>
        <v>-</v>
      </c>
      <c r="T147" s="412" t="str">
        <f t="shared" ca="1" si="87"/>
        <v/>
      </c>
      <c r="U147" s="411" t="str">
        <f t="shared" ca="1" si="88"/>
        <v>-</v>
      </c>
      <c r="V147" s="411" t="str">
        <f t="shared" ca="1" si="89"/>
        <v>-</v>
      </c>
      <c r="W147" s="413">
        <f>Cluster!N166</f>
        <v>0</v>
      </c>
      <c r="X147" s="414" t="str">
        <f t="shared" ca="1" si="90"/>
        <v>-</v>
      </c>
      <c r="Y147" s="411" t="str">
        <f t="shared" ca="1" si="91"/>
        <v>-</v>
      </c>
      <c r="Z147" s="415" t="str">
        <f t="shared" ca="1" si="92"/>
        <v>-</v>
      </c>
      <c r="AA147" s="416" t="str">
        <f t="shared" ca="1" si="93"/>
        <v>-</v>
      </c>
      <c r="AB147" s="416" t="str">
        <f t="shared" ca="1" si="94"/>
        <v/>
      </c>
      <c r="AC147" s="434">
        <f>Cluster!Q166</f>
        <v>0</v>
      </c>
      <c r="AD147" s="435" t="str">
        <f t="shared" ca="1" si="83"/>
        <v/>
      </c>
      <c r="AE147" s="436" t="str">
        <f t="shared" ca="1" si="83"/>
        <v/>
      </c>
      <c r="AF147" s="437" t="str">
        <f t="shared" ca="1" si="95"/>
        <v>-</v>
      </c>
      <c r="AG147" s="438" t="str">
        <f t="shared" ca="1" si="96"/>
        <v>-</v>
      </c>
      <c r="AH147" s="437" t="str">
        <f t="shared" ca="1" si="97"/>
        <v>-</v>
      </c>
      <c r="AI147" s="438" t="str">
        <f t="shared" ca="1" si="98"/>
        <v>-</v>
      </c>
      <c r="AJ147" s="438" t="str">
        <f t="shared" ca="1" si="99"/>
        <v>-</v>
      </c>
      <c r="AK147" s="439" t="str">
        <f ca="1">IFERROR(AE147*AD147*AL147/(IF(Cluster!AA166=Cluster!$W$8,Cluster!$W$10,IF(Cluster!AA166=Cluster!$X$8,Cluster!$X$10,IF(Cluster!AA166=Cluster!$Y$8,Cluster!$Y$10,0)))*10^3),"-")</f>
        <v>-</v>
      </c>
      <c r="AL147" s="440" t="str">
        <f ca="1">IFERROR(IF(OR(Calculation!T147&lt;(Calculation!$U$8+2),Calculation!AC147="Bypass"),IF((IF(Calculation!$O$6/((Calculation!AD147*10^-12)/(Calculation!T147*10^-9)*50)&lt;=1,1,ROUNDUP(Calculation!$O$6/((Calculation!AD147*10^-12)/(Calculation!T147*10^-9)*50),0))*50)&lt;Calculation!$AK$6,Calculation!$AK$6,IF(Calculation!$O$6/((Calculation!AD147*10^-12)/(Calculation!T147*10^-9)*50)&lt;=1,1,ROUNDUP(Calculation!$O$6/((Calculation!AD147*10^-12)/(Calculation!T147*10^-9)*50),0))*50),"-"),"-")</f>
        <v>-</v>
      </c>
      <c r="AM147" s="441" t="str">
        <f t="shared" ca="1" si="84"/>
        <v/>
      </c>
      <c r="AN147" s="442" t="str">
        <f t="shared" ca="1" si="84"/>
        <v/>
      </c>
      <c r="AO147" s="432">
        <f t="shared" ca="1" si="100"/>
        <v>384</v>
      </c>
      <c r="AP147" s="427" t="str">
        <f t="shared" ca="1" si="101"/>
        <v>-</v>
      </c>
      <c r="AQ147" s="443" t="str">
        <f t="shared" ca="1" si="102"/>
        <v>-</v>
      </c>
      <c r="AR147" s="444" t="str">
        <f t="shared" ca="1" si="103"/>
        <v>-</v>
      </c>
      <c r="AS147" s="430" t="str">
        <f t="shared" ca="1" si="104"/>
        <v>-</v>
      </c>
    </row>
    <row r="148" spans="1:45" ht="14.25" x14ac:dyDescent="0.65">
      <c r="A148" s="407">
        <v>140</v>
      </c>
      <c r="B148" s="408" t="str">
        <f t="shared" ca="1" si="85"/>
        <v/>
      </c>
      <c r="C148" s="408" t="str">
        <f ca="1">IFERROR(IF(G148="","",CONCATENATE(E148,"-",INDEX(Coordinate,MATCH(F148,ListAndConversion!$X$4:$X$99,0),2))),"")</f>
        <v/>
      </c>
      <c r="D148" s="408" t="str">
        <f t="shared" ca="1" si="81"/>
        <v/>
      </c>
      <c r="E148" s="408" t="str">
        <f t="shared" ca="1" si="81"/>
        <v/>
      </c>
      <c r="F148" s="408" t="str">
        <f t="shared" ca="1" si="81"/>
        <v/>
      </c>
      <c r="G148" s="408" t="str">
        <f ca="1">IFERROR(INDEX(ListAndConversion!A:B,MATCH(Calculation!E148,ListAndConversion!A:A,0),2),"")</f>
        <v/>
      </c>
      <c r="H148" s="408" t="str">
        <f>IF(TrackIT_Lines!AD140="","",TrackIT_Lines!AD140)</f>
        <v/>
      </c>
      <c r="I148" s="408" t="str">
        <f>IF(TrackIT_Lines!AD140="","",CONCATENATE(TrackIT_Lines!AD140,"-",TrackIT_Lines!AG140))</f>
        <v/>
      </c>
      <c r="J148" s="409" t="str">
        <f t="shared" ca="1" si="105"/>
        <v/>
      </c>
      <c r="K148" s="408" t="str">
        <f t="shared" ca="1" si="105"/>
        <v/>
      </c>
      <c r="L148" s="408" t="str">
        <f t="shared" ca="1" si="105"/>
        <v/>
      </c>
      <c r="M148" s="408" t="str">
        <f t="shared" ca="1" si="105"/>
        <v/>
      </c>
      <c r="N148" s="408" t="str">
        <f t="shared" ca="1" si="105"/>
        <v/>
      </c>
      <c r="O148" s="408" t="str">
        <f t="shared" ca="1" si="105"/>
        <v/>
      </c>
      <c r="P148" s="408" t="str">
        <f t="shared" ca="1" si="105"/>
        <v/>
      </c>
      <c r="Q148" s="408" t="str">
        <f t="shared" ca="1" si="105"/>
        <v/>
      </c>
      <c r="R148" s="410" t="str">
        <f ca="1">Cluster!J167</f>
        <v>Selection</v>
      </c>
      <c r="S148" s="411" t="str">
        <f t="shared" ca="1" si="86"/>
        <v>-</v>
      </c>
      <c r="T148" s="412" t="str">
        <f t="shared" ca="1" si="87"/>
        <v/>
      </c>
      <c r="U148" s="411" t="str">
        <f t="shared" ca="1" si="88"/>
        <v>-</v>
      </c>
      <c r="V148" s="411" t="str">
        <f t="shared" ca="1" si="89"/>
        <v>-</v>
      </c>
      <c r="W148" s="413">
        <f>Cluster!N167</f>
        <v>0</v>
      </c>
      <c r="X148" s="414" t="str">
        <f t="shared" ca="1" si="90"/>
        <v>-</v>
      </c>
      <c r="Y148" s="411" t="str">
        <f t="shared" ca="1" si="91"/>
        <v>-</v>
      </c>
      <c r="Z148" s="415" t="str">
        <f t="shared" ca="1" si="92"/>
        <v>-</v>
      </c>
      <c r="AA148" s="416" t="str">
        <f t="shared" ca="1" si="93"/>
        <v>-</v>
      </c>
      <c r="AB148" s="416" t="str">
        <f t="shared" ca="1" si="94"/>
        <v/>
      </c>
      <c r="AC148" s="434">
        <f>Cluster!Q167</f>
        <v>0</v>
      </c>
      <c r="AD148" s="435" t="str">
        <f t="shared" ca="1" si="83"/>
        <v/>
      </c>
      <c r="AE148" s="436" t="str">
        <f t="shared" ca="1" si="83"/>
        <v/>
      </c>
      <c r="AF148" s="437" t="str">
        <f t="shared" ca="1" si="95"/>
        <v>-</v>
      </c>
      <c r="AG148" s="438" t="str">
        <f t="shared" ca="1" si="96"/>
        <v>-</v>
      </c>
      <c r="AH148" s="437" t="str">
        <f t="shared" ca="1" si="97"/>
        <v>-</v>
      </c>
      <c r="AI148" s="438" t="str">
        <f t="shared" ca="1" si="98"/>
        <v>-</v>
      </c>
      <c r="AJ148" s="438" t="str">
        <f t="shared" ca="1" si="99"/>
        <v>-</v>
      </c>
      <c r="AK148" s="439" t="str">
        <f ca="1">IFERROR(AE148*AD148*AL148/(IF(Cluster!AA167=Cluster!$W$8,Cluster!$W$10,IF(Cluster!AA167=Cluster!$X$8,Cluster!$X$10,IF(Cluster!AA167=Cluster!$Y$8,Cluster!$Y$10,0)))*10^3),"-")</f>
        <v>-</v>
      </c>
      <c r="AL148" s="440" t="str">
        <f ca="1">IFERROR(IF(OR(Calculation!T148&lt;(Calculation!$U$8+2),Calculation!AC148="Bypass"),IF((IF(Calculation!$O$6/((Calculation!AD148*10^-12)/(Calculation!T148*10^-9)*50)&lt;=1,1,ROUNDUP(Calculation!$O$6/((Calculation!AD148*10^-12)/(Calculation!T148*10^-9)*50),0))*50)&lt;Calculation!$AK$6,Calculation!$AK$6,IF(Calculation!$O$6/((Calculation!AD148*10^-12)/(Calculation!T148*10^-9)*50)&lt;=1,1,ROUNDUP(Calculation!$O$6/((Calculation!AD148*10^-12)/(Calculation!T148*10^-9)*50),0))*50),"-"),"-")</f>
        <v>-</v>
      </c>
      <c r="AM148" s="441" t="str">
        <f t="shared" ca="1" si="84"/>
        <v/>
      </c>
      <c r="AN148" s="442" t="str">
        <f t="shared" ca="1" si="84"/>
        <v/>
      </c>
      <c r="AO148" s="432">
        <f t="shared" ca="1" si="100"/>
        <v>384</v>
      </c>
      <c r="AP148" s="427" t="str">
        <f t="shared" ca="1" si="101"/>
        <v>-</v>
      </c>
      <c r="AQ148" s="443" t="str">
        <f t="shared" ca="1" si="102"/>
        <v>-</v>
      </c>
      <c r="AR148" s="444" t="str">
        <f t="shared" ca="1" si="103"/>
        <v>-</v>
      </c>
      <c r="AS148" s="430" t="str">
        <f t="shared" ca="1" si="104"/>
        <v>-</v>
      </c>
    </row>
    <row r="149" spans="1:45" ht="14.25" x14ac:dyDescent="0.65">
      <c r="A149" s="407">
        <v>141</v>
      </c>
      <c r="B149" s="408" t="str">
        <f t="shared" ca="1" si="85"/>
        <v/>
      </c>
      <c r="C149" s="408" t="str">
        <f ca="1">IFERROR(IF(G149="","",CONCATENATE(E149,"-",INDEX(Coordinate,MATCH(F149,ListAndConversion!$X$4:$X$99,0),2))),"")</f>
        <v/>
      </c>
      <c r="D149" s="408" t="str">
        <f t="shared" ca="1" si="81"/>
        <v/>
      </c>
      <c r="E149" s="408" t="str">
        <f t="shared" ca="1" si="81"/>
        <v/>
      </c>
      <c r="F149" s="408" t="str">
        <f t="shared" ca="1" si="81"/>
        <v/>
      </c>
      <c r="G149" s="408" t="str">
        <f ca="1">IFERROR(INDEX(ListAndConversion!A:B,MATCH(Calculation!E149,ListAndConversion!A:A,0),2),"")</f>
        <v/>
      </c>
      <c r="H149" s="408" t="str">
        <f>IF(TrackIT_Lines!AD141="","",TrackIT_Lines!AD141)</f>
        <v/>
      </c>
      <c r="I149" s="408" t="str">
        <f>IF(TrackIT_Lines!AD141="","",CONCATENATE(TrackIT_Lines!AD141,"-",TrackIT_Lines!AG141))</f>
        <v/>
      </c>
      <c r="J149" s="409" t="str">
        <f t="shared" ca="1" si="105"/>
        <v/>
      </c>
      <c r="K149" s="408" t="str">
        <f t="shared" ca="1" si="105"/>
        <v/>
      </c>
      <c r="L149" s="408" t="str">
        <f t="shared" ca="1" si="105"/>
        <v/>
      </c>
      <c r="M149" s="408" t="str">
        <f t="shared" ca="1" si="105"/>
        <v/>
      </c>
      <c r="N149" s="408" t="str">
        <f t="shared" ca="1" si="105"/>
        <v/>
      </c>
      <c r="O149" s="408" t="str">
        <f t="shared" ca="1" si="105"/>
        <v/>
      </c>
      <c r="P149" s="408" t="str">
        <f t="shared" ca="1" si="105"/>
        <v/>
      </c>
      <c r="Q149" s="408" t="str">
        <f t="shared" ca="1" si="105"/>
        <v/>
      </c>
      <c r="R149" s="410" t="str">
        <f ca="1">Cluster!J168</f>
        <v>Selection</v>
      </c>
      <c r="S149" s="411" t="str">
        <f t="shared" ca="1" si="86"/>
        <v>-</v>
      </c>
      <c r="T149" s="412" t="str">
        <f t="shared" ca="1" si="87"/>
        <v/>
      </c>
      <c r="U149" s="411" t="str">
        <f t="shared" ca="1" si="88"/>
        <v>-</v>
      </c>
      <c r="V149" s="411" t="str">
        <f t="shared" ca="1" si="89"/>
        <v>-</v>
      </c>
      <c r="W149" s="413">
        <f>Cluster!N168</f>
        <v>0</v>
      </c>
      <c r="X149" s="414" t="str">
        <f t="shared" ca="1" si="90"/>
        <v>-</v>
      </c>
      <c r="Y149" s="411" t="str">
        <f t="shared" ca="1" si="91"/>
        <v>-</v>
      </c>
      <c r="Z149" s="415" t="str">
        <f t="shared" ca="1" si="92"/>
        <v>-</v>
      </c>
      <c r="AA149" s="416" t="str">
        <f t="shared" ca="1" si="93"/>
        <v>-</v>
      </c>
      <c r="AB149" s="416" t="str">
        <f t="shared" ca="1" si="94"/>
        <v/>
      </c>
      <c r="AC149" s="434">
        <f>Cluster!Q168</f>
        <v>0</v>
      </c>
      <c r="AD149" s="435" t="str">
        <f t="shared" ca="1" si="83"/>
        <v/>
      </c>
      <c r="AE149" s="436" t="str">
        <f t="shared" ca="1" si="83"/>
        <v/>
      </c>
      <c r="AF149" s="437" t="str">
        <f t="shared" ca="1" si="95"/>
        <v>-</v>
      </c>
      <c r="AG149" s="438" t="str">
        <f t="shared" ca="1" si="96"/>
        <v>-</v>
      </c>
      <c r="AH149" s="437" t="str">
        <f t="shared" ca="1" si="97"/>
        <v>-</v>
      </c>
      <c r="AI149" s="438" t="str">
        <f t="shared" ca="1" si="98"/>
        <v>-</v>
      </c>
      <c r="AJ149" s="438" t="str">
        <f t="shared" ca="1" si="99"/>
        <v>-</v>
      </c>
      <c r="AK149" s="439" t="str">
        <f ca="1">IFERROR(AE149*AD149*AL149/(IF(Cluster!AA168=Cluster!$W$8,Cluster!$W$10,IF(Cluster!AA168=Cluster!$X$8,Cluster!$X$10,IF(Cluster!AA168=Cluster!$Y$8,Cluster!$Y$10,0)))*10^3),"-")</f>
        <v>-</v>
      </c>
      <c r="AL149" s="440" t="str">
        <f ca="1">IFERROR(IF(OR(Calculation!T149&lt;(Calculation!$U$8+2),Calculation!AC149="Bypass"),IF((IF(Calculation!$O$6/((Calculation!AD149*10^-12)/(Calculation!T149*10^-9)*50)&lt;=1,1,ROUNDUP(Calculation!$O$6/((Calculation!AD149*10^-12)/(Calculation!T149*10^-9)*50),0))*50)&lt;Calculation!$AK$6,Calculation!$AK$6,IF(Calculation!$O$6/((Calculation!AD149*10^-12)/(Calculation!T149*10^-9)*50)&lt;=1,1,ROUNDUP(Calculation!$O$6/((Calculation!AD149*10^-12)/(Calculation!T149*10^-9)*50),0))*50),"-"),"-")</f>
        <v>-</v>
      </c>
      <c r="AM149" s="441" t="str">
        <f t="shared" ca="1" si="84"/>
        <v/>
      </c>
      <c r="AN149" s="442" t="str">
        <f t="shared" ca="1" si="84"/>
        <v/>
      </c>
      <c r="AO149" s="432">
        <f t="shared" ca="1" si="100"/>
        <v>384</v>
      </c>
      <c r="AP149" s="427" t="str">
        <f t="shared" ca="1" si="101"/>
        <v>-</v>
      </c>
      <c r="AQ149" s="443" t="str">
        <f t="shared" ca="1" si="102"/>
        <v>-</v>
      </c>
      <c r="AR149" s="444" t="str">
        <f t="shared" ca="1" si="103"/>
        <v>-</v>
      </c>
      <c r="AS149" s="430" t="str">
        <f t="shared" ca="1" si="104"/>
        <v>-</v>
      </c>
    </row>
    <row r="150" spans="1:45" ht="14.25" x14ac:dyDescent="0.65">
      <c r="A150" s="407">
        <v>142</v>
      </c>
      <c r="B150" s="408" t="str">
        <f t="shared" ca="1" si="85"/>
        <v/>
      </c>
      <c r="C150" s="408" t="str">
        <f ca="1">IFERROR(IF(G150="","",CONCATENATE(E150,"-",INDEX(Coordinate,MATCH(F150,ListAndConversion!$X$4:$X$99,0),2))),"")</f>
        <v/>
      </c>
      <c r="D150" s="408" t="str">
        <f t="shared" ref="D150:F169" ca="1" si="106">IF((INDIRECT("TrackIT_Lines!"&amp;D$2&amp;$A150))="","", (INDIRECT("TrackIT_Lines!"&amp;D$2&amp;$A150)))</f>
        <v/>
      </c>
      <c r="E150" s="408" t="str">
        <f t="shared" ca="1" si="106"/>
        <v/>
      </c>
      <c r="F150" s="408" t="str">
        <f t="shared" ca="1" si="106"/>
        <v/>
      </c>
      <c r="G150" s="408" t="str">
        <f ca="1">IFERROR(INDEX(ListAndConversion!A:B,MATCH(Calculation!E150,ListAndConversion!A:A,0),2),"")</f>
        <v/>
      </c>
      <c r="H150" s="408" t="str">
        <f>IF(TrackIT_Lines!AD142="","",TrackIT_Lines!AD142)</f>
        <v/>
      </c>
      <c r="I150" s="408" t="str">
        <f>IF(TrackIT_Lines!AD142="","",CONCATENATE(TrackIT_Lines!AD142,"-",TrackIT_Lines!AG142))</f>
        <v/>
      </c>
      <c r="J150" s="409" t="str">
        <f t="shared" ref="J150:Q159" ca="1" si="107">IF((INDIRECT("TrackIT_Lines!"&amp;J$2&amp;$A150))="","", (INDIRECT("TrackIT_Lines!"&amp;J$2&amp;$A150)))</f>
        <v/>
      </c>
      <c r="K150" s="408" t="str">
        <f t="shared" ca="1" si="107"/>
        <v/>
      </c>
      <c r="L150" s="408" t="str">
        <f t="shared" ca="1" si="107"/>
        <v/>
      </c>
      <c r="M150" s="408" t="str">
        <f t="shared" ca="1" si="107"/>
        <v/>
      </c>
      <c r="N150" s="408" t="str">
        <f t="shared" ca="1" si="107"/>
        <v/>
      </c>
      <c r="O150" s="408" t="str">
        <f t="shared" ca="1" si="107"/>
        <v/>
      </c>
      <c r="P150" s="408" t="str">
        <f t="shared" ca="1" si="107"/>
        <v/>
      </c>
      <c r="Q150" s="408" t="str">
        <f t="shared" ca="1" si="107"/>
        <v/>
      </c>
      <c r="R150" s="410" t="str">
        <f ca="1">Cluster!J169</f>
        <v>Selection</v>
      </c>
      <c r="S150" s="411" t="str">
        <f t="shared" ca="1" si="86"/>
        <v>-</v>
      </c>
      <c r="T150" s="412" t="str">
        <f t="shared" ca="1" si="87"/>
        <v/>
      </c>
      <c r="U150" s="411" t="str">
        <f t="shared" ca="1" si="88"/>
        <v>-</v>
      </c>
      <c r="V150" s="411" t="str">
        <f t="shared" ca="1" si="89"/>
        <v>-</v>
      </c>
      <c r="W150" s="413">
        <f>Cluster!N169</f>
        <v>0</v>
      </c>
      <c r="X150" s="414" t="str">
        <f t="shared" ca="1" si="90"/>
        <v>-</v>
      </c>
      <c r="Y150" s="411" t="str">
        <f t="shared" ca="1" si="91"/>
        <v>-</v>
      </c>
      <c r="Z150" s="415" t="str">
        <f t="shared" ca="1" si="92"/>
        <v>-</v>
      </c>
      <c r="AA150" s="416" t="str">
        <f t="shared" ca="1" si="93"/>
        <v>-</v>
      </c>
      <c r="AB150" s="416" t="str">
        <f t="shared" ca="1" si="94"/>
        <v/>
      </c>
      <c r="AC150" s="434">
        <f>Cluster!Q169</f>
        <v>0</v>
      </c>
      <c r="AD150" s="435" t="str">
        <f t="shared" ref="AD150:AE169" ca="1" si="108">IF((INDIRECT("TrackIT_Lines!"&amp;AD$2&amp;$A150))="","", (INDIRECT("TrackIT_Lines!"&amp;AD$2&amp;$A150)))</f>
        <v/>
      </c>
      <c r="AE150" s="436" t="str">
        <f t="shared" ca="1" si="108"/>
        <v/>
      </c>
      <c r="AF150" s="437" t="str">
        <f t="shared" ca="1" si="95"/>
        <v>-</v>
      </c>
      <c r="AG150" s="438" t="str">
        <f t="shared" ca="1" si="96"/>
        <v>-</v>
      </c>
      <c r="AH150" s="437" t="str">
        <f t="shared" ca="1" si="97"/>
        <v>-</v>
      </c>
      <c r="AI150" s="438" t="str">
        <f t="shared" ca="1" si="98"/>
        <v>-</v>
      </c>
      <c r="AJ150" s="438" t="str">
        <f t="shared" ca="1" si="99"/>
        <v>-</v>
      </c>
      <c r="AK150" s="439" t="str">
        <f ca="1">IFERROR(AE150*AD150*AL150/(IF(Cluster!AA169=Cluster!$W$8,Cluster!$W$10,IF(Cluster!AA169=Cluster!$X$8,Cluster!$X$10,IF(Cluster!AA169=Cluster!$Y$8,Cluster!$Y$10,0)))*10^3),"-")</f>
        <v>-</v>
      </c>
      <c r="AL150" s="440" t="str">
        <f ca="1">IFERROR(IF(OR(Calculation!T150&lt;(Calculation!$U$8+2),Calculation!AC150="Bypass"),IF((IF(Calculation!$O$6/((Calculation!AD150*10^-12)/(Calculation!T150*10^-9)*50)&lt;=1,1,ROUNDUP(Calculation!$O$6/((Calculation!AD150*10^-12)/(Calculation!T150*10^-9)*50),0))*50)&lt;Calculation!$AK$6,Calculation!$AK$6,IF(Calculation!$O$6/((Calculation!AD150*10^-12)/(Calculation!T150*10^-9)*50)&lt;=1,1,ROUNDUP(Calculation!$O$6/((Calculation!AD150*10^-12)/(Calculation!T150*10^-9)*50),0))*50),"-"),"-")</f>
        <v>-</v>
      </c>
      <c r="AM150" s="441" t="str">
        <f t="shared" ref="AM150:AN169" ca="1" si="109">IF((INDIRECT("TrackIT_Lines!"&amp;AM$2&amp;$A150))="","", (INDIRECT("TrackIT_Lines!"&amp;AM$2&amp;$A150)))</f>
        <v/>
      </c>
      <c r="AN150" s="442" t="str">
        <f t="shared" ca="1" si="109"/>
        <v/>
      </c>
      <c r="AO150" s="432">
        <f t="shared" ca="1" si="100"/>
        <v>384</v>
      </c>
      <c r="AP150" s="427" t="str">
        <f t="shared" ca="1" si="101"/>
        <v>-</v>
      </c>
      <c r="AQ150" s="443" t="str">
        <f t="shared" ca="1" si="102"/>
        <v>-</v>
      </c>
      <c r="AR150" s="444" t="str">
        <f t="shared" ca="1" si="103"/>
        <v>-</v>
      </c>
      <c r="AS150" s="430" t="str">
        <f t="shared" ca="1" si="104"/>
        <v>-</v>
      </c>
    </row>
    <row r="151" spans="1:45" ht="14.25" x14ac:dyDescent="0.65">
      <c r="A151" s="407">
        <v>143</v>
      </c>
      <c r="B151" s="408" t="str">
        <f t="shared" ca="1" si="85"/>
        <v/>
      </c>
      <c r="C151" s="408" t="str">
        <f ca="1">IFERROR(IF(G151="","",CONCATENATE(E151,"-",INDEX(Coordinate,MATCH(F151,ListAndConversion!$X$4:$X$99,0),2))),"")</f>
        <v/>
      </c>
      <c r="D151" s="408" t="str">
        <f t="shared" ca="1" si="106"/>
        <v/>
      </c>
      <c r="E151" s="408" t="str">
        <f t="shared" ca="1" si="106"/>
        <v/>
      </c>
      <c r="F151" s="408" t="str">
        <f t="shared" ca="1" si="106"/>
        <v/>
      </c>
      <c r="G151" s="408" t="str">
        <f ca="1">IFERROR(INDEX(ListAndConversion!A:B,MATCH(Calculation!E151,ListAndConversion!A:A,0),2),"")</f>
        <v/>
      </c>
      <c r="H151" s="408" t="str">
        <f>IF(TrackIT_Lines!AD143="","",TrackIT_Lines!AD143)</f>
        <v/>
      </c>
      <c r="I151" s="408" t="str">
        <f>IF(TrackIT_Lines!AD143="","",CONCATENATE(TrackIT_Lines!AD143,"-",TrackIT_Lines!AG143))</f>
        <v/>
      </c>
      <c r="J151" s="409" t="str">
        <f t="shared" ca="1" si="107"/>
        <v/>
      </c>
      <c r="K151" s="408" t="str">
        <f t="shared" ca="1" si="107"/>
        <v/>
      </c>
      <c r="L151" s="408" t="str">
        <f t="shared" ca="1" si="107"/>
        <v/>
      </c>
      <c r="M151" s="408" t="str">
        <f t="shared" ca="1" si="107"/>
        <v/>
      </c>
      <c r="N151" s="408" t="str">
        <f t="shared" ca="1" si="107"/>
        <v/>
      </c>
      <c r="O151" s="408" t="str">
        <f t="shared" ca="1" si="107"/>
        <v/>
      </c>
      <c r="P151" s="408" t="str">
        <f t="shared" ca="1" si="107"/>
        <v/>
      </c>
      <c r="Q151" s="408" t="str">
        <f t="shared" ca="1" si="107"/>
        <v/>
      </c>
      <c r="R151" s="410" t="str">
        <f ca="1">Cluster!J170</f>
        <v>Selection</v>
      </c>
      <c r="S151" s="411" t="str">
        <f t="shared" ca="1" si="86"/>
        <v>-</v>
      </c>
      <c r="T151" s="412" t="str">
        <f t="shared" ca="1" si="87"/>
        <v/>
      </c>
      <c r="U151" s="411" t="str">
        <f t="shared" ca="1" si="88"/>
        <v>-</v>
      </c>
      <c r="V151" s="411" t="str">
        <f t="shared" ca="1" si="89"/>
        <v>-</v>
      </c>
      <c r="W151" s="413">
        <f>Cluster!N170</f>
        <v>0</v>
      </c>
      <c r="X151" s="414" t="str">
        <f t="shared" ca="1" si="90"/>
        <v>-</v>
      </c>
      <c r="Y151" s="411" t="str">
        <f t="shared" ca="1" si="91"/>
        <v>-</v>
      </c>
      <c r="Z151" s="415" t="str">
        <f t="shared" ca="1" si="92"/>
        <v>-</v>
      </c>
      <c r="AA151" s="416" t="str">
        <f t="shared" ca="1" si="93"/>
        <v>-</v>
      </c>
      <c r="AB151" s="416" t="str">
        <f t="shared" ca="1" si="94"/>
        <v/>
      </c>
      <c r="AC151" s="434">
        <f>Cluster!Q170</f>
        <v>0</v>
      </c>
      <c r="AD151" s="435" t="str">
        <f t="shared" ca="1" si="108"/>
        <v/>
      </c>
      <c r="AE151" s="436" t="str">
        <f t="shared" ca="1" si="108"/>
        <v/>
      </c>
      <c r="AF151" s="437" t="str">
        <f t="shared" ca="1" si="95"/>
        <v>-</v>
      </c>
      <c r="AG151" s="438" t="str">
        <f t="shared" ca="1" si="96"/>
        <v>-</v>
      </c>
      <c r="AH151" s="437" t="str">
        <f t="shared" ca="1" si="97"/>
        <v>-</v>
      </c>
      <c r="AI151" s="438" t="str">
        <f t="shared" ca="1" si="98"/>
        <v>-</v>
      </c>
      <c r="AJ151" s="438" t="str">
        <f t="shared" ca="1" si="99"/>
        <v>-</v>
      </c>
      <c r="AK151" s="439" t="str">
        <f ca="1">IFERROR(AE151*AD151*AL151/(IF(Cluster!AA170=Cluster!$W$8,Cluster!$W$10,IF(Cluster!AA170=Cluster!$X$8,Cluster!$X$10,IF(Cluster!AA170=Cluster!$Y$8,Cluster!$Y$10,0)))*10^3),"-")</f>
        <v>-</v>
      </c>
      <c r="AL151" s="440" t="str">
        <f ca="1">IFERROR(IF(OR(Calculation!T151&lt;(Calculation!$U$8+2),Calculation!AC151="Bypass"),IF((IF(Calculation!$O$6/((Calculation!AD151*10^-12)/(Calculation!T151*10^-9)*50)&lt;=1,1,ROUNDUP(Calculation!$O$6/((Calculation!AD151*10^-12)/(Calculation!T151*10^-9)*50),0))*50)&lt;Calculation!$AK$6,Calculation!$AK$6,IF(Calculation!$O$6/((Calculation!AD151*10^-12)/(Calculation!T151*10^-9)*50)&lt;=1,1,ROUNDUP(Calculation!$O$6/((Calculation!AD151*10^-12)/(Calculation!T151*10^-9)*50),0))*50),"-"),"-")</f>
        <v>-</v>
      </c>
      <c r="AM151" s="441" t="str">
        <f t="shared" ca="1" si="109"/>
        <v/>
      </c>
      <c r="AN151" s="442" t="str">
        <f t="shared" ca="1" si="109"/>
        <v/>
      </c>
      <c r="AO151" s="432">
        <f t="shared" ca="1" si="100"/>
        <v>384</v>
      </c>
      <c r="AP151" s="427" t="str">
        <f t="shared" ca="1" si="101"/>
        <v>-</v>
      </c>
      <c r="AQ151" s="443" t="str">
        <f t="shared" ca="1" si="102"/>
        <v>-</v>
      </c>
      <c r="AR151" s="444" t="str">
        <f t="shared" ca="1" si="103"/>
        <v>-</v>
      </c>
      <c r="AS151" s="430" t="str">
        <f t="shared" ca="1" si="104"/>
        <v>-</v>
      </c>
    </row>
    <row r="152" spans="1:45" ht="14.25" x14ac:dyDescent="0.65">
      <c r="A152" s="407">
        <v>144</v>
      </c>
      <c r="B152" s="408" t="str">
        <f t="shared" ca="1" si="85"/>
        <v/>
      </c>
      <c r="C152" s="408" t="str">
        <f ca="1">IFERROR(IF(G152="","",CONCATENATE(E152,"-",INDEX(Coordinate,MATCH(F152,ListAndConversion!$X$4:$X$99,0),2))),"")</f>
        <v/>
      </c>
      <c r="D152" s="408" t="str">
        <f t="shared" ca="1" si="106"/>
        <v/>
      </c>
      <c r="E152" s="408" t="str">
        <f t="shared" ca="1" si="106"/>
        <v/>
      </c>
      <c r="F152" s="408" t="str">
        <f t="shared" ca="1" si="106"/>
        <v/>
      </c>
      <c r="G152" s="408" t="str">
        <f ca="1">IFERROR(INDEX(ListAndConversion!A:B,MATCH(Calculation!E152,ListAndConversion!A:A,0),2),"")</f>
        <v/>
      </c>
      <c r="H152" s="408" t="str">
        <f>IF(TrackIT_Lines!AD144="","",TrackIT_Lines!AD144)</f>
        <v/>
      </c>
      <c r="I152" s="408" t="str">
        <f>IF(TrackIT_Lines!AD144="","",CONCATENATE(TrackIT_Lines!AD144,"-",TrackIT_Lines!AG144))</f>
        <v/>
      </c>
      <c r="J152" s="409" t="str">
        <f t="shared" ca="1" si="107"/>
        <v/>
      </c>
      <c r="K152" s="408" t="str">
        <f t="shared" ca="1" si="107"/>
        <v/>
      </c>
      <c r="L152" s="408" t="str">
        <f t="shared" ca="1" si="107"/>
        <v/>
      </c>
      <c r="M152" s="408" t="str">
        <f t="shared" ca="1" si="107"/>
        <v/>
      </c>
      <c r="N152" s="408" t="str">
        <f t="shared" ca="1" si="107"/>
        <v/>
      </c>
      <c r="O152" s="408" t="str">
        <f t="shared" ca="1" si="107"/>
        <v/>
      </c>
      <c r="P152" s="408" t="str">
        <f t="shared" ca="1" si="107"/>
        <v/>
      </c>
      <c r="Q152" s="408" t="str">
        <f t="shared" ca="1" si="107"/>
        <v/>
      </c>
      <c r="R152" s="410" t="str">
        <f ca="1">Cluster!J171</f>
        <v>Selection</v>
      </c>
      <c r="S152" s="411" t="str">
        <f t="shared" ca="1" si="86"/>
        <v>-</v>
      </c>
      <c r="T152" s="412" t="str">
        <f t="shared" ca="1" si="87"/>
        <v/>
      </c>
      <c r="U152" s="411" t="str">
        <f t="shared" ca="1" si="88"/>
        <v>-</v>
      </c>
      <c r="V152" s="411" t="str">
        <f t="shared" ca="1" si="89"/>
        <v>-</v>
      </c>
      <c r="W152" s="413">
        <f>Cluster!N171</f>
        <v>0</v>
      </c>
      <c r="X152" s="414" t="str">
        <f t="shared" ca="1" si="90"/>
        <v>-</v>
      </c>
      <c r="Y152" s="411" t="str">
        <f t="shared" ca="1" si="91"/>
        <v>-</v>
      </c>
      <c r="Z152" s="415" t="str">
        <f t="shared" ca="1" si="92"/>
        <v>-</v>
      </c>
      <c r="AA152" s="416" t="str">
        <f t="shared" ca="1" si="93"/>
        <v>-</v>
      </c>
      <c r="AB152" s="416" t="str">
        <f t="shared" ca="1" si="94"/>
        <v/>
      </c>
      <c r="AC152" s="434">
        <f>Cluster!Q171</f>
        <v>0</v>
      </c>
      <c r="AD152" s="435" t="str">
        <f t="shared" ca="1" si="108"/>
        <v/>
      </c>
      <c r="AE152" s="436" t="str">
        <f t="shared" ca="1" si="108"/>
        <v/>
      </c>
      <c r="AF152" s="437" t="str">
        <f t="shared" ca="1" si="95"/>
        <v>-</v>
      </c>
      <c r="AG152" s="438" t="str">
        <f t="shared" ca="1" si="96"/>
        <v>-</v>
      </c>
      <c r="AH152" s="437" t="str">
        <f t="shared" ca="1" si="97"/>
        <v>-</v>
      </c>
      <c r="AI152" s="438" t="str">
        <f t="shared" ca="1" si="98"/>
        <v>-</v>
      </c>
      <c r="AJ152" s="438" t="str">
        <f t="shared" ca="1" si="99"/>
        <v>-</v>
      </c>
      <c r="AK152" s="439" t="str">
        <f ca="1">IFERROR(AE152*AD152*AL152/(IF(Cluster!AA171=Cluster!$W$8,Cluster!$W$10,IF(Cluster!AA171=Cluster!$X$8,Cluster!$X$10,IF(Cluster!AA171=Cluster!$Y$8,Cluster!$Y$10,0)))*10^3),"-")</f>
        <v>-</v>
      </c>
      <c r="AL152" s="440" t="str">
        <f ca="1">IFERROR(IF(OR(Calculation!T152&lt;(Calculation!$U$8+2),Calculation!AC152="Bypass"),IF((IF(Calculation!$O$6/((Calculation!AD152*10^-12)/(Calculation!T152*10^-9)*50)&lt;=1,1,ROUNDUP(Calculation!$O$6/((Calculation!AD152*10^-12)/(Calculation!T152*10^-9)*50),0))*50)&lt;Calculation!$AK$6,Calculation!$AK$6,IF(Calculation!$O$6/((Calculation!AD152*10^-12)/(Calculation!T152*10^-9)*50)&lt;=1,1,ROUNDUP(Calculation!$O$6/((Calculation!AD152*10^-12)/(Calculation!T152*10^-9)*50),0))*50),"-"),"-")</f>
        <v>-</v>
      </c>
      <c r="AM152" s="441" t="str">
        <f t="shared" ca="1" si="109"/>
        <v/>
      </c>
      <c r="AN152" s="442" t="str">
        <f t="shared" ca="1" si="109"/>
        <v/>
      </c>
      <c r="AO152" s="432">
        <f t="shared" ca="1" si="100"/>
        <v>384</v>
      </c>
      <c r="AP152" s="427" t="str">
        <f t="shared" ca="1" si="101"/>
        <v>-</v>
      </c>
      <c r="AQ152" s="443" t="str">
        <f t="shared" ca="1" si="102"/>
        <v>-</v>
      </c>
      <c r="AR152" s="444" t="str">
        <f t="shared" ca="1" si="103"/>
        <v>-</v>
      </c>
      <c r="AS152" s="430" t="str">
        <f t="shared" ca="1" si="104"/>
        <v>-</v>
      </c>
    </row>
    <row r="153" spans="1:45" ht="14.25" x14ac:dyDescent="0.65">
      <c r="A153" s="407">
        <v>145</v>
      </c>
      <c r="B153" s="408" t="str">
        <f t="shared" ca="1" si="85"/>
        <v/>
      </c>
      <c r="C153" s="408" t="str">
        <f ca="1">IFERROR(IF(G153="","",CONCATENATE(E153,"-",INDEX(Coordinate,MATCH(F153,ListAndConversion!$X$4:$X$99,0),2))),"")</f>
        <v/>
      </c>
      <c r="D153" s="408" t="str">
        <f t="shared" ca="1" si="106"/>
        <v/>
      </c>
      <c r="E153" s="408" t="str">
        <f t="shared" ca="1" si="106"/>
        <v/>
      </c>
      <c r="F153" s="408" t="str">
        <f t="shared" ca="1" si="106"/>
        <v/>
      </c>
      <c r="G153" s="408" t="str">
        <f ca="1">IFERROR(INDEX(ListAndConversion!A:B,MATCH(Calculation!E153,ListAndConversion!A:A,0),2),"")</f>
        <v/>
      </c>
      <c r="H153" s="408" t="str">
        <f>IF(TrackIT_Lines!AD145="","",TrackIT_Lines!AD145)</f>
        <v/>
      </c>
      <c r="I153" s="408" t="str">
        <f>IF(TrackIT_Lines!AD145="","",CONCATENATE(TrackIT_Lines!AD145,"-",TrackIT_Lines!AG145))</f>
        <v/>
      </c>
      <c r="J153" s="409" t="str">
        <f t="shared" ca="1" si="107"/>
        <v/>
      </c>
      <c r="K153" s="408" t="str">
        <f t="shared" ca="1" si="107"/>
        <v/>
      </c>
      <c r="L153" s="408" t="str">
        <f t="shared" ca="1" si="107"/>
        <v/>
      </c>
      <c r="M153" s="408" t="str">
        <f t="shared" ca="1" si="107"/>
        <v/>
      </c>
      <c r="N153" s="408" t="str">
        <f t="shared" ca="1" si="107"/>
        <v/>
      </c>
      <c r="O153" s="408" t="str">
        <f t="shared" ca="1" si="107"/>
        <v/>
      </c>
      <c r="P153" s="408" t="str">
        <f t="shared" ca="1" si="107"/>
        <v/>
      </c>
      <c r="Q153" s="408" t="str">
        <f t="shared" ca="1" si="107"/>
        <v/>
      </c>
      <c r="R153" s="410" t="str">
        <f ca="1">Cluster!J172</f>
        <v>Selection</v>
      </c>
      <c r="S153" s="411" t="str">
        <f t="shared" ca="1" si="86"/>
        <v>-</v>
      </c>
      <c r="T153" s="412" t="str">
        <f t="shared" ca="1" si="87"/>
        <v/>
      </c>
      <c r="U153" s="411" t="str">
        <f t="shared" ca="1" si="88"/>
        <v>-</v>
      </c>
      <c r="V153" s="411" t="str">
        <f t="shared" ca="1" si="89"/>
        <v>-</v>
      </c>
      <c r="W153" s="413">
        <f>Cluster!N172</f>
        <v>0</v>
      </c>
      <c r="X153" s="414" t="str">
        <f t="shared" ca="1" si="90"/>
        <v>-</v>
      </c>
      <c r="Y153" s="411" t="str">
        <f t="shared" ca="1" si="91"/>
        <v>-</v>
      </c>
      <c r="Z153" s="415" t="str">
        <f t="shared" ca="1" si="92"/>
        <v>-</v>
      </c>
      <c r="AA153" s="416" t="str">
        <f t="shared" ca="1" si="93"/>
        <v>-</v>
      </c>
      <c r="AB153" s="416" t="str">
        <f t="shared" ca="1" si="94"/>
        <v/>
      </c>
      <c r="AC153" s="434">
        <f>Cluster!Q172</f>
        <v>0</v>
      </c>
      <c r="AD153" s="435" t="str">
        <f t="shared" ca="1" si="108"/>
        <v/>
      </c>
      <c r="AE153" s="436" t="str">
        <f t="shared" ca="1" si="108"/>
        <v/>
      </c>
      <c r="AF153" s="437" t="str">
        <f t="shared" ca="1" si="95"/>
        <v>-</v>
      </c>
      <c r="AG153" s="438" t="str">
        <f t="shared" ca="1" si="96"/>
        <v>-</v>
      </c>
      <c r="AH153" s="437" t="str">
        <f t="shared" ca="1" si="97"/>
        <v>-</v>
      </c>
      <c r="AI153" s="438" t="str">
        <f t="shared" ca="1" si="98"/>
        <v>-</v>
      </c>
      <c r="AJ153" s="438" t="str">
        <f t="shared" ca="1" si="99"/>
        <v>-</v>
      </c>
      <c r="AK153" s="439" t="str">
        <f ca="1">IFERROR(AE153*AD153*AL153/(IF(Cluster!AA172=Cluster!$W$8,Cluster!$W$10,IF(Cluster!AA172=Cluster!$X$8,Cluster!$X$10,IF(Cluster!AA172=Cluster!$Y$8,Cluster!$Y$10,0)))*10^3),"-")</f>
        <v>-</v>
      </c>
      <c r="AL153" s="440" t="str">
        <f ca="1">IFERROR(IF(OR(Calculation!T153&lt;(Calculation!$U$8+2),Calculation!AC153="Bypass"),IF((IF(Calculation!$O$6/((Calculation!AD153*10^-12)/(Calculation!T153*10^-9)*50)&lt;=1,1,ROUNDUP(Calculation!$O$6/((Calculation!AD153*10^-12)/(Calculation!T153*10^-9)*50),0))*50)&lt;Calculation!$AK$6,Calculation!$AK$6,IF(Calculation!$O$6/((Calculation!AD153*10^-12)/(Calculation!T153*10^-9)*50)&lt;=1,1,ROUNDUP(Calculation!$O$6/((Calculation!AD153*10^-12)/(Calculation!T153*10^-9)*50),0))*50),"-"),"-")</f>
        <v>-</v>
      </c>
      <c r="AM153" s="441" t="str">
        <f t="shared" ca="1" si="109"/>
        <v/>
      </c>
      <c r="AN153" s="442" t="str">
        <f t="shared" ca="1" si="109"/>
        <v/>
      </c>
      <c r="AO153" s="432">
        <f t="shared" ca="1" si="100"/>
        <v>384</v>
      </c>
      <c r="AP153" s="427" t="str">
        <f t="shared" ca="1" si="101"/>
        <v>-</v>
      </c>
      <c r="AQ153" s="443" t="str">
        <f t="shared" ca="1" si="102"/>
        <v>-</v>
      </c>
      <c r="AR153" s="444" t="str">
        <f t="shared" ca="1" si="103"/>
        <v>-</v>
      </c>
      <c r="AS153" s="430" t="str">
        <f t="shared" ca="1" si="104"/>
        <v>-</v>
      </c>
    </row>
    <row r="154" spans="1:45" ht="14.25" x14ac:dyDescent="0.65">
      <c r="A154" s="407">
        <v>146</v>
      </c>
      <c r="B154" s="408" t="str">
        <f t="shared" ca="1" si="85"/>
        <v/>
      </c>
      <c r="C154" s="408" t="str">
        <f ca="1">IFERROR(IF(G154="","",CONCATENATE(E154,"-",INDEX(Coordinate,MATCH(F154,ListAndConversion!$X$4:$X$99,0),2))),"")</f>
        <v/>
      </c>
      <c r="D154" s="408" t="str">
        <f t="shared" ca="1" si="106"/>
        <v/>
      </c>
      <c r="E154" s="408" t="str">
        <f t="shared" ca="1" si="106"/>
        <v/>
      </c>
      <c r="F154" s="408" t="str">
        <f t="shared" ca="1" si="106"/>
        <v/>
      </c>
      <c r="G154" s="408" t="str">
        <f ca="1">IFERROR(INDEX(ListAndConversion!A:B,MATCH(Calculation!E154,ListAndConversion!A:A,0),2),"")</f>
        <v/>
      </c>
      <c r="H154" s="408" t="str">
        <f>IF(TrackIT_Lines!AD146="","",TrackIT_Lines!AD146)</f>
        <v/>
      </c>
      <c r="I154" s="408" t="str">
        <f>IF(TrackIT_Lines!AD146="","",CONCATENATE(TrackIT_Lines!AD146,"-",TrackIT_Lines!AG146))</f>
        <v/>
      </c>
      <c r="J154" s="409" t="str">
        <f t="shared" ca="1" si="107"/>
        <v/>
      </c>
      <c r="K154" s="408" t="str">
        <f t="shared" ca="1" si="107"/>
        <v/>
      </c>
      <c r="L154" s="408" t="str">
        <f t="shared" ca="1" si="107"/>
        <v/>
      </c>
      <c r="M154" s="408" t="str">
        <f t="shared" ca="1" si="107"/>
        <v/>
      </c>
      <c r="N154" s="408" t="str">
        <f t="shared" ca="1" si="107"/>
        <v/>
      </c>
      <c r="O154" s="408" t="str">
        <f t="shared" ca="1" si="107"/>
        <v/>
      </c>
      <c r="P154" s="408" t="str">
        <f t="shared" ca="1" si="107"/>
        <v/>
      </c>
      <c r="Q154" s="408" t="str">
        <f t="shared" ca="1" si="107"/>
        <v/>
      </c>
      <c r="R154" s="410" t="str">
        <f ca="1">Cluster!J173</f>
        <v>Selection</v>
      </c>
      <c r="S154" s="411" t="str">
        <f t="shared" ca="1" si="86"/>
        <v>-</v>
      </c>
      <c r="T154" s="412" t="str">
        <f t="shared" ca="1" si="87"/>
        <v/>
      </c>
      <c r="U154" s="411" t="str">
        <f t="shared" ca="1" si="88"/>
        <v>-</v>
      </c>
      <c r="V154" s="411" t="str">
        <f t="shared" ca="1" si="89"/>
        <v>-</v>
      </c>
      <c r="W154" s="413">
        <f>Cluster!N173</f>
        <v>0</v>
      </c>
      <c r="X154" s="414" t="str">
        <f t="shared" ca="1" si="90"/>
        <v>-</v>
      </c>
      <c r="Y154" s="411" t="str">
        <f t="shared" ca="1" si="91"/>
        <v>-</v>
      </c>
      <c r="Z154" s="415" t="str">
        <f t="shared" ca="1" si="92"/>
        <v>-</v>
      </c>
      <c r="AA154" s="416" t="str">
        <f t="shared" ca="1" si="93"/>
        <v>-</v>
      </c>
      <c r="AB154" s="416" t="str">
        <f t="shared" ca="1" si="94"/>
        <v/>
      </c>
      <c r="AC154" s="434">
        <f>Cluster!Q173</f>
        <v>0</v>
      </c>
      <c r="AD154" s="435" t="str">
        <f t="shared" ca="1" si="108"/>
        <v/>
      </c>
      <c r="AE154" s="436" t="str">
        <f t="shared" ca="1" si="108"/>
        <v/>
      </c>
      <c r="AF154" s="437" t="str">
        <f t="shared" ca="1" si="95"/>
        <v>-</v>
      </c>
      <c r="AG154" s="438" t="str">
        <f t="shared" ca="1" si="96"/>
        <v>-</v>
      </c>
      <c r="AH154" s="437" t="str">
        <f t="shared" ca="1" si="97"/>
        <v>-</v>
      </c>
      <c r="AI154" s="438" t="str">
        <f t="shared" ca="1" si="98"/>
        <v>-</v>
      </c>
      <c r="AJ154" s="438" t="str">
        <f t="shared" ca="1" si="99"/>
        <v>-</v>
      </c>
      <c r="AK154" s="439" t="str">
        <f ca="1">IFERROR(AE154*AD154*AL154/(IF(Cluster!AA173=Cluster!$W$8,Cluster!$W$10,IF(Cluster!AA173=Cluster!$X$8,Cluster!$X$10,IF(Cluster!AA173=Cluster!$Y$8,Cluster!$Y$10,0)))*10^3),"-")</f>
        <v>-</v>
      </c>
      <c r="AL154" s="440" t="str">
        <f ca="1">IFERROR(IF(OR(Calculation!T154&lt;(Calculation!$U$8+2),Calculation!AC154="Bypass"),IF((IF(Calculation!$O$6/((Calculation!AD154*10^-12)/(Calculation!T154*10^-9)*50)&lt;=1,1,ROUNDUP(Calculation!$O$6/((Calculation!AD154*10^-12)/(Calculation!T154*10^-9)*50),0))*50)&lt;Calculation!$AK$6,Calculation!$AK$6,IF(Calculation!$O$6/((Calculation!AD154*10^-12)/(Calculation!T154*10^-9)*50)&lt;=1,1,ROUNDUP(Calculation!$O$6/((Calculation!AD154*10^-12)/(Calculation!T154*10^-9)*50),0))*50),"-"),"-")</f>
        <v>-</v>
      </c>
      <c r="AM154" s="441" t="str">
        <f t="shared" ca="1" si="109"/>
        <v/>
      </c>
      <c r="AN154" s="442" t="str">
        <f t="shared" ca="1" si="109"/>
        <v/>
      </c>
      <c r="AO154" s="432">
        <f t="shared" ca="1" si="100"/>
        <v>384</v>
      </c>
      <c r="AP154" s="427" t="str">
        <f t="shared" ca="1" si="101"/>
        <v>-</v>
      </c>
      <c r="AQ154" s="443" t="str">
        <f t="shared" ca="1" si="102"/>
        <v>-</v>
      </c>
      <c r="AR154" s="444" t="str">
        <f t="shared" ca="1" si="103"/>
        <v>-</v>
      </c>
      <c r="AS154" s="430" t="str">
        <f t="shared" ca="1" si="104"/>
        <v>-</v>
      </c>
    </row>
    <row r="155" spans="1:45" ht="14.25" x14ac:dyDescent="0.65">
      <c r="A155" s="407">
        <v>147</v>
      </c>
      <c r="B155" s="408" t="str">
        <f t="shared" ca="1" si="85"/>
        <v/>
      </c>
      <c r="C155" s="408" t="str">
        <f ca="1">IFERROR(IF(G155="","",CONCATENATE(E155,"-",INDEX(Coordinate,MATCH(F155,ListAndConversion!$X$4:$X$99,0),2))),"")</f>
        <v/>
      </c>
      <c r="D155" s="408" t="str">
        <f t="shared" ca="1" si="106"/>
        <v/>
      </c>
      <c r="E155" s="408" t="str">
        <f t="shared" ca="1" si="106"/>
        <v/>
      </c>
      <c r="F155" s="408" t="str">
        <f t="shared" ca="1" si="106"/>
        <v/>
      </c>
      <c r="G155" s="408" t="str">
        <f ca="1">IFERROR(INDEX(ListAndConversion!A:B,MATCH(Calculation!E155,ListAndConversion!A:A,0),2),"")</f>
        <v/>
      </c>
      <c r="H155" s="408" t="str">
        <f>IF(TrackIT_Lines!AD147="","",TrackIT_Lines!AD147)</f>
        <v/>
      </c>
      <c r="I155" s="408" t="str">
        <f>IF(TrackIT_Lines!AD147="","",CONCATENATE(TrackIT_Lines!AD147,"-",TrackIT_Lines!AG147))</f>
        <v/>
      </c>
      <c r="J155" s="409" t="str">
        <f t="shared" ca="1" si="107"/>
        <v/>
      </c>
      <c r="K155" s="408" t="str">
        <f t="shared" ca="1" si="107"/>
        <v/>
      </c>
      <c r="L155" s="408" t="str">
        <f t="shared" ca="1" si="107"/>
        <v/>
      </c>
      <c r="M155" s="408" t="str">
        <f t="shared" ca="1" si="107"/>
        <v/>
      </c>
      <c r="N155" s="408" t="str">
        <f t="shared" ca="1" si="107"/>
        <v/>
      </c>
      <c r="O155" s="408" t="str">
        <f t="shared" ca="1" si="107"/>
        <v/>
      </c>
      <c r="P155" s="408" t="str">
        <f t="shared" ca="1" si="107"/>
        <v/>
      </c>
      <c r="Q155" s="408" t="str">
        <f t="shared" ca="1" si="107"/>
        <v/>
      </c>
      <c r="R155" s="410" t="str">
        <f ca="1">Cluster!J174</f>
        <v>Selection</v>
      </c>
      <c r="S155" s="411" t="str">
        <f t="shared" ca="1" si="86"/>
        <v>-</v>
      </c>
      <c r="T155" s="412" t="str">
        <f t="shared" ca="1" si="87"/>
        <v/>
      </c>
      <c r="U155" s="411" t="str">
        <f t="shared" ca="1" si="88"/>
        <v>-</v>
      </c>
      <c r="V155" s="411" t="str">
        <f t="shared" ca="1" si="89"/>
        <v>-</v>
      </c>
      <c r="W155" s="413">
        <f>Cluster!N174</f>
        <v>0</v>
      </c>
      <c r="X155" s="414" t="str">
        <f t="shared" ca="1" si="90"/>
        <v>-</v>
      </c>
      <c r="Y155" s="411" t="str">
        <f t="shared" ca="1" si="91"/>
        <v>-</v>
      </c>
      <c r="Z155" s="415" t="str">
        <f t="shared" ca="1" si="92"/>
        <v>-</v>
      </c>
      <c r="AA155" s="416" t="str">
        <f t="shared" ca="1" si="93"/>
        <v>-</v>
      </c>
      <c r="AB155" s="416" t="str">
        <f t="shared" ca="1" si="94"/>
        <v/>
      </c>
      <c r="AC155" s="434">
        <f>Cluster!Q174</f>
        <v>0</v>
      </c>
      <c r="AD155" s="435" t="str">
        <f t="shared" ca="1" si="108"/>
        <v/>
      </c>
      <c r="AE155" s="436" t="str">
        <f t="shared" ca="1" si="108"/>
        <v/>
      </c>
      <c r="AF155" s="437" t="str">
        <f t="shared" ca="1" si="95"/>
        <v>-</v>
      </c>
      <c r="AG155" s="438" t="str">
        <f t="shared" ca="1" si="96"/>
        <v>-</v>
      </c>
      <c r="AH155" s="437" t="str">
        <f t="shared" ca="1" si="97"/>
        <v>-</v>
      </c>
      <c r="AI155" s="438" t="str">
        <f t="shared" ca="1" si="98"/>
        <v>-</v>
      </c>
      <c r="AJ155" s="438" t="str">
        <f t="shared" ca="1" si="99"/>
        <v>-</v>
      </c>
      <c r="AK155" s="439" t="str">
        <f ca="1">IFERROR(AE155*AD155*AL155/(IF(Cluster!AA174=Cluster!$W$8,Cluster!$W$10,IF(Cluster!AA174=Cluster!$X$8,Cluster!$X$10,IF(Cluster!AA174=Cluster!$Y$8,Cluster!$Y$10,0)))*10^3),"-")</f>
        <v>-</v>
      </c>
      <c r="AL155" s="440" t="str">
        <f ca="1">IFERROR(IF(OR(Calculation!T155&lt;(Calculation!$U$8+2),Calculation!AC155="Bypass"),IF((IF(Calculation!$O$6/((Calculation!AD155*10^-12)/(Calculation!T155*10^-9)*50)&lt;=1,1,ROUNDUP(Calculation!$O$6/((Calculation!AD155*10^-12)/(Calculation!T155*10^-9)*50),0))*50)&lt;Calculation!$AK$6,Calculation!$AK$6,IF(Calculation!$O$6/((Calculation!AD155*10^-12)/(Calculation!T155*10^-9)*50)&lt;=1,1,ROUNDUP(Calculation!$O$6/((Calculation!AD155*10^-12)/(Calculation!T155*10^-9)*50),0))*50),"-"),"-")</f>
        <v>-</v>
      </c>
      <c r="AM155" s="441" t="str">
        <f t="shared" ca="1" si="109"/>
        <v/>
      </c>
      <c r="AN155" s="442" t="str">
        <f t="shared" ca="1" si="109"/>
        <v/>
      </c>
      <c r="AO155" s="432">
        <f t="shared" ca="1" si="100"/>
        <v>384</v>
      </c>
      <c r="AP155" s="427" t="str">
        <f t="shared" ca="1" si="101"/>
        <v>-</v>
      </c>
      <c r="AQ155" s="443" t="str">
        <f t="shared" ca="1" si="102"/>
        <v>-</v>
      </c>
      <c r="AR155" s="444" t="str">
        <f t="shared" ca="1" si="103"/>
        <v>-</v>
      </c>
      <c r="AS155" s="430" t="str">
        <f t="shared" ca="1" si="104"/>
        <v>-</v>
      </c>
    </row>
    <row r="156" spans="1:45" ht="14.25" x14ac:dyDescent="0.65">
      <c r="A156" s="407">
        <v>148</v>
      </c>
      <c r="B156" s="408" t="str">
        <f t="shared" ca="1" si="85"/>
        <v/>
      </c>
      <c r="C156" s="408" t="str">
        <f ca="1">IFERROR(IF(G156="","",CONCATENATE(E156,"-",INDEX(Coordinate,MATCH(F156,ListAndConversion!$X$4:$X$99,0),2))),"")</f>
        <v/>
      </c>
      <c r="D156" s="408" t="str">
        <f t="shared" ca="1" si="106"/>
        <v/>
      </c>
      <c r="E156" s="408" t="str">
        <f t="shared" ca="1" si="106"/>
        <v/>
      </c>
      <c r="F156" s="408" t="str">
        <f t="shared" ca="1" si="106"/>
        <v/>
      </c>
      <c r="G156" s="408" t="str">
        <f ca="1">IFERROR(INDEX(ListAndConversion!A:B,MATCH(Calculation!E156,ListAndConversion!A:A,0),2),"")</f>
        <v/>
      </c>
      <c r="H156" s="408" t="str">
        <f>IF(TrackIT_Lines!AD148="","",TrackIT_Lines!AD148)</f>
        <v/>
      </c>
      <c r="I156" s="408" t="str">
        <f>IF(TrackIT_Lines!AD148="","",CONCATENATE(TrackIT_Lines!AD148,"-",TrackIT_Lines!AG148))</f>
        <v/>
      </c>
      <c r="J156" s="409" t="str">
        <f t="shared" ca="1" si="107"/>
        <v/>
      </c>
      <c r="K156" s="408" t="str">
        <f t="shared" ca="1" si="107"/>
        <v/>
      </c>
      <c r="L156" s="408" t="str">
        <f t="shared" ca="1" si="107"/>
        <v/>
      </c>
      <c r="M156" s="408" t="str">
        <f t="shared" ca="1" si="107"/>
        <v/>
      </c>
      <c r="N156" s="408" t="str">
        <f t="shared" ca="1" si="107"/>
        <v/>
      </c>
      <c r="O156" s="408" t="str">
        <f t="shared" ca="1" si="107"/>
        <v/>
      </c>
      <c r="P156" s="408" t="str">
        <f t="shared" ca="1" si="107"/>
        <v/>
      </c>
      <c r="Q156" s="408" t="str">
        <f t="shared" ca="1" si="107"/>
        <v/>
      </c>
      <c r="R156" s="410" t="str">
        <f ca="1">Cluster!J175</f>
        <v>Selection</v>
      </c>
      <c r="S156" s="411" t="str">
        <f t="shared" ca="1" si="86"/>
        <v>-</v>
      </c>
      <c r="T156" s="412" t="str">
        <f t="shared" ca="1" si="87"/>
        <v/>
      </c>
      <c r="U156" s="411" t="str">
        <f t="shared" ca="1" si="88"/>
        <v>-</v>
      </c>
      <c r="V156" s="411" t="str">
        <f t="shared" ca="1" si="89"/>
        <v>-</v>
      </c>
      <c r="W156" s="413">
        <f>Cluster!N175</f>
        <v>0</v>
      </c>
      <c r="X156" s="414" t="str">
        <f t="shared" ca="1" si="90"/>
        <v>-</v>
      </c>
      <c r="Y156" s="411" t="str">
        <f t="shared" ca="1" si="91"/>
        <v>-</v>
      </c>
      <c r="Z156" s="415" t="str">
        <f t="shared" ca="1" si="92"/>
        <v>-</v>
      </c>
      <c r="AA156" s="416" t="str">
        <f t="shared" ca="1" si="93"/>
        <v>-</v>
      </c>
      <c r="AB156" s="416" t="str">
        <f t="shared" ca="1" si="94"/>
        <v/>
      </c>
      <c r="AC156" s="434">
        <f>Cluster!Q175</f>
        <v>0</v>
      </c>
      <c r="AD156" s="435" t="str">
        <f t="shared" ca="1" si="108"/>
        <v/>
      </c>
      <c r="AE156" s="436" t="str">
        <f t="shared" ca="1" si="108"/>
        <v/>
      </c>
      <c r="AF156" s="437" t="str">
        <f t="shared" ca="1" si="95"/>
        <v>-</v>
      </c>
      <c r="AG156" s="438" t="str">
        <f t="shared" ca="1" si="96"/>
        <v>-</v>
      </c>
      <c r="AH156" s="437" t="str">
        <f t="shared" ca="1" si="97"/>
        <v>-</v>
      </c>
      <c r="AI156" s="438" t="str">
        <f t="shared" ca="1" si="98"/>
        <v>-</v>
      </c>
      <c r="AJ156" s="438" t="str">
        <f t="shared" ca="1" si="99"/>
        <v>-</v>
      </c>
      <c r="AK156" s="439" t="str">
        <f ca="1">IFERROR(AE156*AD156*AL156/(IF(Cluster!AA175=Cluster!$W$8,Cluster!$W$10,IF(Cluster!AA175=Cluster!$X$8,Cluster!$X$10,IF(Cluster!AA175=Cluster!$Y$8,Cluster!$Y$10,0)))*10^3),"-")</f>
        <v>-</v>
      </c>
      <c r="AL156" s="440" t="str">
        <f ca="1">IFERROR(IF(OR(Calculation!T156&lt;(Calculation!$U$8+2),Calculation!AC156="Bypass"),IF((IF(Calculation!$O$6/((Calculation!AD156*10^-12)/(Calculation!T156*10^-9)*50)&lt;=1,1,ROUNDUP(Calculation!$O$6/((Calculation!AD156*10^-12)/(Calculation!T156*10^-9)*50),0))*50)&lt;Calculation!$AK$6,Calculation!$AK$6,IF(Calculation!$O$6/((Calculation!AD156*10^-12)/(Calculation!T156*10^-9)*50)&lt;=1,1,ROUNDUP(Calculation!$O$6/((Calculation!AD156*10^-12)/(Calculation!T156*10^-9)*50),0))*50),"-"),"-")</f>
        <v>-</v>
      </c>
      <c r="AM156" s="441" t="str">
        <f t="shared" ca="1" si="109"/>
        <v/>
      </c>
      <c r="AN156" s="442" t="str">
        <f t="shared" ca="1" si="109"/>
        <v/>
      </c>
      <c r="AO156" s="432">
        <f t="shared" ca="1" si="100"/>
        <v>384</v>
      </c>
      <c r="AP156" s="427" t="str">
        <f t="shared" ca="1" si="101"/>
        <v>-</v>
      </c>
      <c r="AQ156" s="443" t="str">
        <f t="shared" ca="1" si="102"/>
        <v>-</v>
      </c>
      <c r="AR156" s="444" t="str">
        <f t="shared" ca="1" si="103"/>
        <v>-</v>
      </c>
      <c r="AS156" s="430" t="str">
        <f t="shared" ca="1" si="104"/>
        <v>-</v>
      </c>
    </row>
    <row r="157" spans="1:45" ht="14.25" x14ac:dyDescent="0.65">
      <c r="A157" s="407">
        <v>149</v>
      </c>
      <c r="B157" s="408" t="str">
        <f t="shared" ca="1" si="85"/>
        <v/>
      </c>
      <c r="C157" s="408" t="str">
        <f ca="1">IFERROR(IF(G157="","",CONCATENATE(E157,"-",INDEX(Coordinate,MATCH(F157,ListAndConversion!$X$4:$X$99,0),2))),"")</f>
        <v/>
      </c>
      <c r="D157" s="408" t="str">
        <f t="shared" ca="1" si="106"/>
        <v/>
      </c>
      <c r="E157" s="408" t="str">
        <f t="shared" ca="1" si="106"/>
        <v/>
      </c>
      <c r="F157" s="408" t="str">
        <f t="shared" ca="1" si="106"/>
        <v/>
      </c>
      <c r="G157" s="408" t="str">
        <f ca="1">IFERROR(INDEX(ListAndConversion!A:B,MATCH(Calculation!E157,ListAndConversion!A:A,0),2),"")</f>
        <v/>
      </c>
      <c r="H157" s="408" t="str">
        <f>IF(TrackIT_Lines!AD149="","",TrackIT_Lines!AD149)</f>
        <v/>
      </c>
      <c r="I157" s="408" t="str">
        <f>IF(TrackIT_Lines!AD149="","",CONCATENATE(TrackIT_Lines!AD149,"-",TrackIT_Lines!AG149))</f>
        <v/>
      </c>
      <c r="J157" s="409" t="str">
        <f t="shared" ca="1" si="107"/>
        <v/>
      </c>
      <c r="K157" s="408" t="str">
        <f t="shared" ca="1" si="107"/>
        <v/>
      </c>
      <c r="L157" s="408" t="str">
        <f t="shared" ca="1" si="107"/>
        <v/>
      </c>
      <c r="M157" s="408" t="str">
        <f t="shared" ca="1" si="107"/>
        <v/>
      </c>
      <c r="N157" s="408" t="str">
        <f t="shared" ca="1" si="107"/>
        <v/>
      </c>
      <c r="O157" s="408" t="str">
        <f t="shared" ca="1" si="107"/>
        <v/>
      </c>
      <c r="P157" s="408" t="str">
        <f t="shared" ca="1" si="107"/>
        <v/>
      </c>
      <c r="Q157" s="408" t="str">
        <f t="shared" ca="1" si="107"/>
        <v/>
      </c>
      <c r="R157" s="410" t="str">
        <f ca="1">Cluster!J176</f>
        <v>Selection</v>
      </c>
      <c r="S157" s="411" t="str">
        <f t="shared" ca="1" si="86"/>
        <v>-</v>
      </c>
      <c r="T157" s="412" t="str">
        <f t="shared" ca="1" si="87"/>
        <v/>
      </c>
      <c r="U157" s="411" t="str">
        <f t="shared" ca="1" si="88"/>
        <v>-</v>
      </c>
      <c r="V157" s="411" t="str">
        <f t="shared" ca="1" si="89"/>
        <v>-</v>
      </c>
      <c r="W157" s="413">
        <f>Cluster!N176</f>
        <v>0</v>
      </c>
      <c r="X157" s="414" t="str">
        <f t="shared" ca="1" si="90"/>
        <v>-</v>
      </c>
      <c r="Y157" s="411" t="str">
        <f t="shared" ca="1" si="91"/>
        <v>-</v>
      </c>
      <c r="Z157" s="415" t="str">
        <f t="shared" ca="1" si="92"/>
        <v>-</v>
      </c>
      <c r="AA157" s="416" t="str">
        <f t="shared" ca="1" si="93"/>
        <v>-</v>
      </c>
      <c r="AB157" s="416" t="str">
        <f t="shared" ca="1" si="94"/>
        <v/>
      </c>
      <c r="AC157" s="434">
        <f>Cluster!Q176</f>
        <v>0</v>
      </c>
      <c r="AD157" s="435" t="str">
        <f t="shared" ca="1" si="108"/>
        <v/>
      </c>
      <c r="AE157" s="436" t="str">
        <f t="shared" ca="1" si="108"/>
        <v/>
      </c>
      <c r="AF157" s="437" t="str">
        <f t="shared" ca="1" si="95"/>
        <v>-</v>
      </c>
      <c r="AG157" s="438" t="str">
        <f t="shared" ca="1" si="96"/>
        <v>-</v>
      </c>
      <c r="AH157" s="437" t="str">
        <f t="shared" ca="1" si="97"/>
        <v>-</v>
      </c>
      <c r="AI157" s="438" t="str">
        <f t="shared" ca="1" si="98"/>
        <v>-</v>
      </c>
      <c r="AJ157" s="438" t="str">
        <f t="shared" ca="1" si="99"/>
        <v>-</v>
      </c>
      <c r="AK157" s="439" t="str">
        <f ca="1">IFERROR(AE157*AD157*AL157/(IF(Cluster!AA176=Cluster!$W$8,Cluster!$W$10,IF(Cluster!AA176=Cluster!$X$8,Cluster!$X$10,IF(Cluster!AA176=Cluster!$Y$8,Cluster!$Y$10,0)))*10^3),"-")</f>
        <v>-</v>
      </c>
      <c r="AL157" s="440" t="str">
        <f ca="1">IFERROR(IF(OR(Calculation!T157&lt;(Calculation!$U$8+2),Calculation!AC157="Bypass"),IF((IF(Calculation!$O$6/((Calculation!AD157*10^-12)/(Calculation!T157*10^-9)*50)&lt;=1,1,ROUNDUP(Calculation!$O$6/((Calculation!AD157*10^-12)/(Calculation!T157*10^-9)*50),0))*50)&lt;Calculation!$AK$6,Calculation!$AK$6,IF(Calculation!$O$6/((Calculation!AD157*10^-12)/(Calculation!T157*10^-9)*50)&lt;=1,1,ROUNDUP(Calculation!$O$6/((Calculation!AD157*10^-12)/(Calculation!T157*10^-9)*50),0))*50),"-"),"-")</f>
        <v>-</v>
      </c>
      <c r="AM157" s="441" t="str">
        <f t="shared" ca="1" si="109"/>
        <v/>
      </c>
      <c r="AN157" s="442" t="str">
        <f t="shared" ca="1" si="109"/>
        <v/>
      </c>
      <c r="AO157" s="432">
        <f t="shared" ca="1" si="100"/>
        <v>384</v>
      </c>
      <c r="AP157" s="427" t="str">
        <f t="shared" ca="1" si="101"/>
        <v>-</v>
      </c>
      <c r="AQ157" s="443" t="str">
        <f t="shared" ca="1" si="102"/>
        <v>-</v>
      </c>
      <c r="AR157" s="444" t="str">
        <f t="shared" ca="1" si="103"/>
        <v>-</v>
      </c>
      <c r="AS157" s="430" t="str">
        <f t="shared" ca="1" si="104"/>
        <v>-</v>
      </c>
    </row>
    <row r="158" spans="1:45" ht="14.25" x14ac:dyDescent="0.65">
      <c r="A158" s="407">
        <v>150</v>
      </c>
      <c r="B158" s="408" t="str">
        <f t="shared" ca="1" si="85"/>
        <v/>
      </c>
      <c r="C158" s="408" t="str">
        <f ca="1">IFERROR(IF(G158="","",CONCATENATE(E158,"-",INDEX(Coordinate,MATCH(F158,ListAndConversion!$X$4:$X$99,0),2))),"")</f>
        <v/>
      </c>
      <c r="D158" s="408" t="str">
        <f t="shared" ca="1" si="106"/>
        <v/>
      </c>
      <c r="E158" s="408" t="str">
        <f t="shared" ca="1" si="106"/>
        <v/>
      </c>
      <c r="F158" s="408" t="str">
        <f t="shared" ca="1" si="106"/>
        <v/>
      </c>
      <c r="G158" s="408" t="str">
        <f ca="1">IFERROR(INDEX(ListAndConversion!A:B,MATCH(Calculation!E158,ListAndConversion!A:A,0),2),"")</f>
        <v/>
      </c>
      <c r="H158" s="408" t="str">
        <f>IF(TrackIT_Lines!AD150="","",TrackIT_Lines!AD150)</f>
        <v/>
      </c>
      <c r="I158" s="408" t="str">
        <f>IF(TrackIT_Lines!AD150="","",CONCATENATE(TrackIT_Lines!AD150,"-",TrackIT_Lines!AG150))</f>
        <v/>
      </c>
      <c r="J158" s="409" t="str">
        <f t="shared" ca="1" si="107"/>
        <v/>
      </c>
      <c r="K158" s="408" t="str">
        <f t="shared" ca="1" si="107"/>
        <v/>
      </c>
      <c r="L158" s="408" t="str">
        <f t="shared" ca="1" si="107"/>
        <v/>
      </c>
      <c r="M158" s="408" t="str">
        <f t="shared" ca="1" si="107"/>
        <v/>
      </c>
      <c r="N158" s="408" t="str">
        <f t="shared" ca="1" si="107"/>
        <v/>
      </c>
      <c r="O158" s="408" t="str">
        <f t="shared" ca="1" si="107"/>
        <v/>
      </c>
      <c r="P158" s="408" t="str">
        <f t="shared" ca="1" si="107"/>
        <v/>
      </c>
      <c r="Q158" s="408" t="str">
        <f t="shared" ca="1" si="107"/>
        <v/>
      </c>
      <c r="R158" s="410" t="str">
        <f ca="1">Cluster!J177</f>
        <v>Selection</v>
      </c>
      <c r="S158" s="411" t="str">
        <f t="shared" ca="1" si="86"/>
        <v>-</v>
      </c>
      <c r="T158" s="412" t="str">
        <f t="shared" ca="1" si="87"/>
        <v/>
      </c>
      <c r="U158" s="411" t="str">
        <f t="shared" ca="1" si="88"/>
        <v>-</v>
      </c>
      <c r="V158" s="411" t="str">
        <f t="shared" ca="1" si="89"/>
        <v>-</v>
      </c>
      <c r="W158" s="413">
        <f>Cluster!N177</f>
        <v>0</v>
      </c>
      <c r="X158" s="414" t="str">
        <f t="shared" ca="1" si="90"/>
        <v>-</v>
      </c>
      <c r="Y158" s="411" t="str">
        <f t="shared" ca="1" si="91"/>
        <v>-</v>
      </c>
      <c r="Z158" s="415" t="str">
        <f t="shared" ca="1" si="92"/>
        <v>-</v>
      </c>
      <c r="AA158" s="416" t="str">
        <f t="shared" ca="1" si="93"/>
        <v>-</v>
      </c>
      <c r="AB158" s="416" t="str">
        <f t="shared" ca="1" si="94"/>
        <v/>
      </c>
      <c r="AC158" s="434">
        <f>Cluster!Q177</f>
        <v>0</v>
      </c>
      <c r="AD158" s="435" t="str">
        <f t="shared" ca="1" si="108"/>
        <v/>
      </c>
      <c r="AE158" s="436" t="str">
        <f t="shared" ca="1" si="108"/>
        <v/>
      </c>
      <c r="AF158" s="437" t="str">
        <f t="shared" ca="1" si="95"/>
        <v>-</v>
      </c>
      <c r="AG158" s="438" t="str">
        <f t="shared" ca="1" si="96"/>
        <v>-</v>
      </c>
      <c r="AH158" s="437" t="str">
        <f t="shared" ca="1" si="97"/>
        <v>-</v>
      </c>
      <c r="AI158" s="438" t="str">
        <f t="shared" ca="1" si="98"/>
        <v>-</v>
      </c>
      <c r="AJ158" s="438" t="str">
        <f t="shared" ca="1" si="99"/>
        <v>-</v>
      </c>
      <c r="AK158" s="439" t="str">
        <f ca="1">IFERROR(AE158*AD158*AL158/(IF(Cluster!AA177=Cluster!$W$8,Cluster!$W$10,IF(Cluster!AA177=Cluster!$X$8,Cluster!$X$10,IF(Cluster!AA177=Cluster!$Y$8,Cluster!$Y$10,0)))*10^3),"-")</f>
        <v>-</v>
      </c>
      <c r="AL158" s="440" t="str">
        <f ca="1">IFERROR(IF(OR(Calculation!T158&lt;(Calculation!$U$8+2),Calculation!AC158="Bypass"),IF((IF(Calculation!$O$6/((Calculation!AD158*10^-12)/(Calculation!T158*10^-9)*50)&lt;=1,1,ROUNDUP(Calculation!$O$6/((Calculation!AD158*10^-12)/(Calculation!T158*10^-9)*50),0))*50)&lt;Calculation!$AK$6,Calculation!$AK$6,IF(Calculation!$O$6/((Calculation!AD158*10^-12)/(Calculation!T158*10^-9)*50)&lt;=1,1,ROUNDUP(Calculation!$O$6/((Calculation!AD158*10^-12)/(Calculation!T158*10^-9)*50),0))*50),"-"),"-")</f>
        <v>-</v>
      </c>
      <c r="AM158" s="441" t="str">
        <f t="shared" ca="1" si="109"/>
        <v/>
      </c>
      <c r="AN158" s="442" t="str">
        <f t="shared" ca="1" si="109"/>
        <v/>
      </c>
      <c r="AO158" s="432">
        <f t="shared" ca="1" si="100"/>
        <v>384</v>
      </c>
      <c r="AP158" s="427" t="str">
        <f t="shared" ca="1" si="101"/>
        <v>-</v>
      </c>
      <c r="AQ158" s="443" t="str">
        <f t="shared" ca="1" si="102"/>
        <v>-</v>
      </c>
      <c r="AR158" s="444" t="str">
        <f t="shared" ca="1" si="103"/>
        <v>-</v>
      </c>
      <c r="AS158" s="430" t="str">
        <f t="shared" ca="1" si="104"/>
        <v>-</v>
      </c>
    </row>
    <row r="159" spans="1:45" ht="14.25" x14ac:dyDescent="0.65">
      <c r="A159" s="407">
        <v>151</v>
      </c>
      <c r="B159" s="408" t="str">
        <f t="shared" ca="1" si="85"/>
        <v/>
      </c>
      <c r="C159" s="408" t="str">
        <f ca="1">IFERROR(IF(G159="","",CONCATENATE(E159,"-",INDEX(Coordinate,MATCH(F159,ListAndConversion!$X$4:$X$99,0),2))),"")</f>
        <v/>
      </c>
      <c r="D159" s="408" t="str">
        <f t="shared" ca="1" si="106"/>
        <v/>
      </c>
      <c r="E159" s="408" t="str">
        <f t="shared" ca="1" si="106"/>
        <v/>
      </c>
      <c r="F159" s="408" t="str">
        <f t="shared" ca="1" si="106"/>
        <v/>
      </c>
      <c r="G159" s="408" t="str">
        <f ca="1">IFERROR(INDEX(ListAndConversion!A:B,MATCH(Calculation!E159,ListAndConversion!A:A,0),2),"")</f>
        <v/>
      </c>
      <c r="H159" s="408" t="str">
        <f>IF(TrackIT_Lines!AD151="","",TrackIT_Lines!AD151)</f>
        <v/>
      </c>
      <c r="I159" s="408" t="str">
        <f>IF(TrackIT_Lines!AD151="","",CONCATENATE(TrackIT_Lines!AD151,"-",TrackIT_Lines!AG151))</f>
        <v/>
      </c>
      <c r="J159" s="409" t="str">
        <f t="shared" ca="1" si="107"/>
        <v/>
      </c>
      <c r="K159" s="408" t="str">
        <f t="shared" ca="1" si="107"/>
        <v/>
      </c>
      <c r="L159" s="408" t="str">
        <f t="shared" ca="1" si="107"/>
        <v/>
      </c>
      <c r="M159" s="408" t="str">
        <f t="shared" ca="1" si="107"/>
        <v/>
      </c>
      <c r="N159" s="408" t="str">
        <f t="shared" ca="1" si="107"/>
        <v/>
      </c>
      <c r="O159" s="408" t="str">
        <f t="shared" ca="1" si="107"/>
        <v/>
      </c>
      <c r="P159" s="408" t="str">
        <f t="shared" ca="1" si="107"/>
        <v/>
      </c>
      <c r="Q159" s="408" t="str">
        <f t="shared" ca="1" si="107"/>
        <v/>
      </c>
      <c r="R159" s="410" t="str">
        <f ca="1">Cluster!J178</f>
        <v>Selection</v>
      </c>
      <c r="S159" s="411" t="str">
        <f t="shared" ca="1" si="86"/>
        <v>-</v>
      </c>
      <c r="T159" s="412" t="str">
        <f t="shared" ca="1" si="87"/>
        <v/>
      </c>
      <c r="U159" s="411" t="str">
        <f t="shared" ca="1" si="88"/>
        <v>-</v>
      </c>
      <c r="V159" s="411" t="str">
        <f t="shared" ca="1" si="89"/>
        <v>-</v>
      </c>
      <c r="W159" s="413">
        <f>Cluster!N178</f>
        <v>0</v>
      </c>
      <c r="X159" s="414" t="str">
        <f t="shared" ca="1" si="90"/>
        <v>-</v>
      </c>
      <c r="Y159" s="411" t="str">
        <f t="shared" ca="1" si="91"/>
        <v>-</v>
      </c>
      <c r="Z159" s="415" t="str">
        <f t="shared" ca="1" si="92"/>
        <v>-</v>
      </c>
      <c r="AA159" s="416" t="str">
        <f t="shared" ca="1" si="93"/>
        <v>-</v>
      </c>
      <c r="AB159" s="416" t="str">
        <f t="shared" ca="1" si="94"/>
        <v/>
      </c>
      <c r="AC159" s="434">
        <f>Cluster!Q178</f>
        <v>0</v>
      </c>
      <c r="AD159" s="435" t="str">
        <f t="shared" ca="1" si="108"/>
        <v/>
      </c>
      <c r="AE159" s="436" t="str">
        <f t="shared" ca="1" si="108"/>
        <v/>
      </c>
      <c r="AF159" s="437" t="str">
        <f t="shared" ca="1" si="95"/>
        <v>-</v>
      </c>
      <c r="AG159" s="438" t="str">
        <f t="shared" ca="1" si="96"/>
        <v>-</v>
      </c>
      <c r="AH159" s="437" t="str">
        <f t="shared" ca="1" si="97"/>
        <v>-</v>
      </c>
      <c r="AI159" s="438" t="str">
        <f t="shared" ca="1" si="98"/>
        <v>-</v>
      </c>
      <c r="AJ159" s="438" t="str">
        <f t="shared" ca="1" si="99"/>
        <v>-</v>
      </c>
      <c r="AK159" s="439" t="str">
        <f ca="1">IFERROR(AE159*AD159*AL159/(IF(Cluster!AA178=Cluster!$W$8,Cluster!$W$10,IF(Cluster!AA178=Cluster!$X$8,Cluster!$X$10,IF(Cluster!AA178=Cluster!$Y$8,Cluster!$Y$10,0)))*10^3),"-")</f>
        <v>-</v>
      </c>
      <c r="AL159" s="440" t="str">
        <f ca="1">IFERROR(IF(OR(Calculation!T159&lt;(Calculation!$U$8+2),Calculation!AC159="Bypass"),IF((IF(Calculation!$O$6/((Calculation!AD159*10^-12)/(Calculation!T159*10^-9)*50)&lt;=1,1,ROUNDUP(Calculation!$O$6/((Calculation!AD159*10^-12)/(Calculation!T159*10^-9)*50),0))*50)&lt;Calculation!$AK$6,Calculation!$AK$6,IF(Calculation!$O$6/((Calculation!AD159*10^-12)/(Calculation!T159*10^-9)*50)&lt;=1,1,ROUNDUP(Calculation!$O$6/((Calculation!AD159*10^-12)/(Calculation!T159*10^-9)*50),0))*50),"-"),"-")</f>
        <v>-</v>
      </c>
      <c r="AM159" s="441" t="str">
        <f t="shared" ca="1" si="109"/>
        <v/>
      </c>
      <c r="AN159" s="442" t="str">
        <f t="shared" ca="1" si="109"/>
        <v/>
      </c>
      <c r="AO159" s="432">
        <f t="shared" ca="1" si="100"/>
        <v>384</v>
      </c>
      <c r="AP159" s="427" t="str">
        <f t="shared" ca="1" si="101"/>
        <v>-</v>
      </c>
      <c r="AQ159" s="443" t="str">
        <f t="shared" ca="1" si="102"/>
        <v>-</v>
      </c>
      <c r="AR159" s="444" t="str">
        <f t="shared" ca="1" si="103"/>
        <v>-</v>
      </c>
      <c r="AS159" s="430" t="str">
        <f t="shared" ca="1" si="104"/>
        <v>-</v>
      </c>
    </row>
    <row r="160" spans="1:45" ht="14.25" x14ac:dyDescent="0.65">
      <c r="A160" s="407">
        <v>152</v>
      </c>
      <c r="B160" s="408" t="str">
        <f t="shared" ca="1" si="85"/>
        <v/>
      </c>
      <c r="C160" s="408" t="str">
        <f ca="1">IFERROR(IF(G160="","",CONCATENATE(E160,"-",INDEX(Coordinate,MATCH(F160,ListAndConversion!$X$4:$X$99,0),2))),"")</f>
        <v/>
      </c>
      <c r="D160" s="408" t="str">
        <f t="shared" ca="1" si="106"/>
        <v/>
      </c>
      <c r="E160" s="408" t="str">
        <f t="shared" ca="1" si="106"/>
        <v/>
      </c>
      <c r="F160" s="408" t="str">
        <f t="shared" ca="1" si="106"/>
        <v/>
      </c>
      <c r="G160" s="408" t="str">
        <f ca="1">IFERROR(INDEX(ListAndConversion!A:B,MATCH(Calculation!E160,ListAndConversion!A:A,0),2),"")</f>
        <v/>
      </c>
      <c r="H160" s="408" t="str">
        <f>IF(TrackIT_Lines!AD152="","",TrackIT_Lines!AD152)</f>
        <v/>
      </c>
      <c r="I160" s="408" t="str">
        <f>IF(TrackIT_Lines!AD152="","",CONCATENATE(TrackIT_Lines!AD152,"-",TrackIT_Lines!AG152))</f>
        <v/>
      </c>
      <c r="J160" s="409" t="str">
        <f t="shared" ref="J160:Q169" ca="1" si="110">IF((INDIRECT("TrackIT_Lines!"&amp;J$2&amp;$A160))="","", (INDIRECT("TrackIT_Lines!"&amp;J$2&amp;$A160)))</f>
        <v/>
      </c>
      <c r="K160" s="408" t="str">
        <f t="shared" ca="1" si="110"/>
        <v/>
      </c>
      <c r="L160" s="408" t="str">
        <f t="shared" ca="1" si="110"/>
        <v/>
      </c>
      <c r="M160" s="408" t="str">
        <f t="shared" ca="1" si="110"/>
        <v/>
      </c>
      <c r="N160" s="408" t="str">
        <f t="shared" ca="1" si="110"/>
        <v/>
      </c>
      <c r="O160" s="408" t="str">
        <f t="shared" ca="1" si="110"/>
        <v/>
      </c>
      <c r="P160" s="408" t="str">
        <f t="shared" ca="1" si="110"/>
        <v/>
      </c>
      <c r="Q160" s="408" t="str">
        <f t="shared" ca="1" si="110"/>
        <v/>
      </c>
      <c r="R160" s="410" t="str">
        <f ca="1">Cluster!J179</f>
        <v>Selection</v>
      </c>
      <c r="S160" s="411" t="str">
        <f t="shared" ca="1" si="86"/>
        <v>-</v>
      </c>
      <c r="T160" s="412" t="str">
        <f t="shared" ca="1" si="87"/>
        <v/>
      </c>
      <c r="U160" s="411" t="str">
        <f t="shared" ca="1" si="88"/>
        <v>-</v>
      </c>
      <c r="V160" s="411" t="str">
        <f t="shared" ca="1" si="89"/>
        <v>-</v>
      </c>
      <c r="W160" s="413">
        <f>Cluster!N179</f>
        <v>0</v>
      </c>
      <c r="X160" s="414" t="str">
        <f t="shared" ca="1" si="90"/>
        <v>-</v>
      </c>
      <c r="Y160" s="411" t="str">
        <f t="shared" ca="1" si="91"/>
        <v>-</v>
      </c>
      <c r="Z160" s="415" t="str">
        <f t="shared" ca="1" si="92"/>
        <v>-</v>
      </c>
      <c r="AA160" s="416" t="str">
        <f t="shared" ca="1" si="93"/>
        <v>-</v>
      </c>
      <c r="AB160" s="416" t="str">
        <f t="shared" ca="1" si="94"/>
        <v/>
      </c>
      <c r="AC160" s="434">
        <f>Cluster!Q179</f>
        <v>0</v>
      </c>
      <c r="AD160" s="435" t="str">
        <f t="shared" ca="1" si="108"/>
        <v/>
      </c>
      <c r="AE160" s="436" t="str">
        <f t="shared" ca="1" si="108"/>
        <v/>
      </c>
      <c r="AF160" s="437" t="str">
        <f t="shared" ca="1" si="95"/>
        <v>-</v>
      </c>
      <c r="AG160" s="438" t="str">
        <f t="shared" ca="1" si="96"/>
        <v>-</v>
      </c>
      <c r="AH160" s="437" t="str">
        <f t="shared" ca="1" si="97"/>
        <v>-</v>
      </c>
      <c r="AI160" s="438" t="str">
        <f t="shared" ca="1" si="98"/>
        <v>-</v>
      </c>
      <c r="AJ160" s="438" t="str">
        <f t="shared" ca="1" si="99"/>
        <v>-</v>
      </c>
      <c r="AK160" s="439" t="str">
        <f ca="1">IFERROR(AE160*AD160*AL160/(IF(Cluster!AA179=Cluster!$W$8,Cluster!$W$10,IF(Cluster!AA179=Cluster!$X$8,Cluster!$X$10,IF(Cluster!AA179=Cluster!$Y$8,Cluster!$Y$10,0)))*10^3),"-")</f>
        <v>-</v>
      </c>
      <c r="AL160" s="440" t="str">
        <f ca="1">IFERROR(IF(OR(Calculation!T160&lt;(Calculation!$U$8+2),Calculation!AC160="Bypass"),IF((IF(Calculation!$O$6/((Calculation!AD160*10^-12)/(Calculation!T160*10^-9)*50)&lt;=1,1,ROUNDUP(Calculation!$O$6/((Calculation!AD160*10^-12)/(Calculation!T160*10^-9)*50),0))*50)&lt;Calculation!$AK$6,Calculation!$AK$6,IF(Calculation!$O$6/((Calculation!AD160*10^-12)/(Calculation!T160*10^-9)*50)&lt;=1,1,ROUNDUP(Calculation!$O$6/((Calculation!AD160*10^-12)/(Calculation!T160*10^-9)*50),0))*50),"-"),"-")</f>
        <v>-</v>
      </c>
      <c r="AM160" s="441" t="str">
        <f t="shared" ca="1" si="109"/>
        <v/>
      </c>
      <c r="AN160" s="442" t="str">
        <f t="shared" ca="1" si="109"/>
        <v/>
      </c>
      <c r="AO160" s="432">
        <f t="shared" ca="1" si="100"/>
        <v>384</v>
      </c>
      <c r="AP160" s="427" t="str">
        <f t="shared" ca="1" si="101"/>
        <v>-</v>
      </c>
      <c r="AQ160" s="443" t="str">
        <f t="shared" ca="1" si="102"/>
        <v>-</v>
      </c>
      <c r="AR160" s="444" t="str">
        <f t="shared" ca="1" si="103"/>
        <v>-</v>
      </c>
      <c r="AS160" s="430" t="str">
        <f t="shared" ca="1" si="104"/>
        <v>-</v>
      </c>
    </row>
    <row r="161" spans="1:45" ht="14.25" x14ac:dyDescent="0.65">
      <c r="A161" s="407">
        <v>153</v>
      </c>
      <c r="B161" s="408" t="str">
        <f t="shared" ca="1" si="85"/>
        <v/>
      </c>
      <c r="C161" s="408" t="str">
        <f ca="1">IFERROR(IF(G161="","",CONCATENATE(E161,"-",INDEX(Coordinate,MATCH(F161,ListAndConversion!$X$4:$X$99,0),2))),"")</f>
        <v/>
      </c>
      <c r="D161" s="408" t="str">
        <f t="shared" ca="1" si="106"/>
        <v/>
      </c>
      <c r="E161" s="408" t="str">
        <f t="shared" ca="1" si="106"/>
        <v/>
      </c>
      <c r="F161" s="408" t="str">
        <f t="shared" ca="1" si="106"/>
        <v/>
      </c>
      <c r="G161" s="408" t="str">
        <f ca="1">IFERROR(INDEX(ListAndConversion!A:B,MATCH(Calculation!E161,ListAndConversion!A:A,0),2),"")</f>
        <v/>
      </c>
      <c r="H161" s="408" t="str">
        <f>IF(TrackIT_Lines!AD153="","",TrackIT_Lines!AD153)</f>
        <v/>
      </c>
      <c r="I161" s="408" t="str">
        <f>IF(TrackIT_Lines!AD153="","",CONCATENATE(TrackIT_Lines!AD153,"-",TrackIT_Lines!AG153))</f>
        <v/>
      </c>
      <c r="J161" s="409" t="str">
        <f t="shared" ca="1" si="110"/>
        <v/>
      </c>
      <c r="K161" s="408" t="str">
        <f t="shared" ca="1" si="110"/>
        <v/>
      </c>
      <c r="L161" s="408" t="str">
        <f t="shared" ca="1" si="110"/>
        <v/>
      </c>
      <c r="M161" s="408" t="str">
        <f t="shared" ca="1" si="110"/>
        <v/>
      </c>
      <c r="N161" s="408" t="str">
        <f t="shared" ca="1" si="110"/>
        <v/>
      </c>
      <c r="O161" s="408" t="str">
        <f t="shared" ca="1" si="110"/>
        <v/>
      </c>
      <c r="P161" s="408" t="str">
        <f t="shared" ca="1" si="110"/>
        <v/>
      </c>
      <c r="Q161" s="408" t="str">
        <f t="shared" ca="1" si="110"/>
        <v/>
      </c>
      <c r="R161" s="410" t="str">
        <f ca="1">Cluster!J180</f>
        <v>Selection</v>
      </c>
      <c r="S161" s="411" t="str">
        <f t="shared" ca="1" si="86"/>
        <v>-</v>
      </c>
      <c r="T161" s="412" t="str">
        <f t="shared" ca="1" si="87"/>
        <v/>
      </c>
      <c r="U161" s="411" t="str">
        <f t="shared" ca="1" si="88"/>
        <v>-</v>
      </c>
      <c r="V161" s="411" t="str">
        <f t="shared" ca="1" si="89"/>
        <v>-</v>
      </c>
      <c r="W161" s="413">
        <f>Cluster!N180</f>
        <v>0</v>
      </c>
      <c r="X161" s="414" t="str">
        <f t="shared" ca="1" si="90"/>
        <v>-</v>
      </c>
      <c r="Y161" s="411" t="str">
        <f t="shared" ca="1" si="91"/>
        <v>-</v>
      </c>
      <c r="Z161" s="415" t="str">
        <f t="shared" ca="1" si="92"/>
        <v>-</v>
      </c>
      <c r="AA161" s="416" t="str">
        <f t="shared" ca="1" si="93"/>
        <v>-</v>
      </c>
      <c r="AB161" s="416" t="str">
        <f t="shared" ca="1" si="94"/>
        <v/>
      </c>
      <c r="AC161" s="434">
        <f>Cluster!Q180</f>
        <v>0</v>
      </c>
      <c r="AD161" s="435" t="str">
        <f t="shared" ca="1" si="108"/>
        <v/>
      </c>
      <c r="AE161" s="436" t="str">
        <f t="shared" ca="1" si="108"/>
        <v/>
      </c>
      <c r="AF161" s="437" t="str">
        <f t="shared" ca="1" si="95"/>
        <v>-</v>
      </c>
      <c r="AG161" s="438" t="str">
        <f t="shared" ca="1" si="96"/>
        <v>-</v>
      </c>
      <c r="AH161" s="437" t="str">
        <f t="shared" ca="1" si="97"/>
        <v>-</v>
      </c>
      <c r="AI161" s="438" t="str">
        <f t="shared" ca="1" si="98"/>
        <v>-</v>
      </c>
      <c r="AJ161" s="438" t="str">
        <f t="shared" ca="1" si="99"/>
        <v>-</v>
      </c>
      <c r="AK161" s="439" t="str">
        <f ca="1">IFERROR(AE161*AD161*AL161/(IF(Cluster!AA180=Cluster!$W$8,Cluster!$W$10,IF(Cluster!AA180=Cluster!$X$8,Cluster!$X$10,IF(Cluster!AA180=Cluster!$Y$8,Cluster!$Y$10,0)))*10^3),"-")</f>
        <v>-</v>
      </c>
      <c r="AL161" s="440" t="str">
        <f ca="1">IFERROR(IF(OR(Calculation!T161&lt;(Calculation!$U$8+2),Calculation!AC161="Bypass"),IF((IF(Calculation!$O$6/((Calculation!AD161*10^-12)/(Calculation!T161*10^-9)*50)&lt;=1,1,ROUNDUP(Calculation!$O$6/((Calculation!AD161*10^-12)/(Calculation!T161*10^-9)*50),0))*50)&lt;Calculation!$AK$6,Calculation!$AK$6,IF(Calculation!$O$6/((Calculation!AD161*10^-12)/(Calculation!T161*10^-9)*50)&lt;=1,1,ROUNDUP(Calculation!$O$6/((Calculation!AD161*10^-12)/(Calculation!T161*10^-9)*50),0))*50),"-"),"-")</f>
        <v>-</v>
      </c>
      <c r="AM161" s="441" t="str">
        <f t="shared" ca="1" si="109"/>
        <v/>
      </c>
      <c r="AN161" s="442" t="str">
        <f t="shared" ca="1" si="109"/>
        <v/>
      </c>
      <c r="AO161" s="432">
        <f t="shared" ca="1" si="100"/>
        <v>384</v>
      </c>
      <c r="AP161" s="427" t="str">
        <f t="shared" ca="1" si="101"/>
        <v>-</v>
      </c>
      <c r="AQ161" s="443" t="str">
        <f t="shared" ca="1" si="102"/>
        <v>-</v>
      </c>
      <c r="AR161" s="444" t="str">
        <f t="shared" ca="1" si="103"/>
        <v>-</v>
      </c>
      <c r="AS161" s="430" t="str">
        <f t="shared" ca="1" si="104"/>
        <v>-</v>
      </c>
    </row>
    <row r="162" spans="1:45" ht="14.25" x14ac:dyDescent="0.65">
      <c r="A162" s="407">
        <v>154</v>
      </c>
      <c r="B162" s="408" t="str">
        <f t="shared" ca="1" si="85"/>
        <v/>
      </c>
      <c r="C162" s="408" t="str">
        <f ca="1">IFERROR(IF(G162="","",CONCATENATE(E162,"-",INDEX(Coordinate,MATCH(F162,ListAndConversion!$X$4:$X$99,0),2))),"")</f>
        <v/>
      </c>
      <c r="D162" s="408" t="str">
        <f t="shared" ca="1" si="106"/>
        <v/>
      </c>
      <c r="E162" s="408" t="str">
        <f t="shared" ca="1" si="106"/>
        <v/>
      </c>
      <c r="F162" s="408" t="str">
        <f t="shared" ca="1" si="106"/>
        <v/>
      </c>
      <c r="G162" s="408" t="str">
        <f ca="1">IFERROR(INDEX(ListAndConversion!A:B,MATCH(Calculation!E162,ListAndConversion!A:A,0),2),"")</f>
        <v/>
      </c>
      <c r="H162" s="408" t="str">
        <f>IF(TrackIT_Lines!AD154="","",TrackIT_Lines!AD154)</f>
        <v/>
      </c>
      <c r="I162" s="408" t="str">
        <f>IF(TrackIT_Lines!AD154="","",CONCATENATE(TrackIT_Lines!AD154,"-",TrackIT_Lines!AG154))</f>
        <v/>
      </c>
      <c r="J162" s="409" t="str">
        <f t="shared" ca="1" si="110"/>
        <v/>
      </c>
      <c r="K162" s="408" t="str">
        <f t="shared" ca="1" si="110"/>
        <v/>
      </c>
      <c r="L162" s="408" t="str">
        <f t="shared" ca="1" si="110"/>
        <v/>
      </c>
      <c r="M162" s="408" t="str">
        <f t="shared" ca="1" si="110"/>
        <v/>
      </c>
      <c r="N162" s="408" t="str">
        <f t="shared" ca="1" si="110"/>
        <v/>
      </c>
      <c r="O162" s="408" t="str">
        <f t="shared" ca="1" si="110"/>
        <v/>
      </c>
      <c r="P162" s="408" t="str">
        <f t="shared" ca="1" si="110"/>
        <v/>
      </c>
      <c r="Q162" s="408" t="str">
        <f t="shared" ca="1" si="110"/>
        <v/>
      </c>
      <c r="R162" s="410" t="str">
        <f ca="1">Cluster!J181</f>
        <v>Selection</v>
      </c>
      <c r="S162" s="411" t="str">
        <f t="shared" ca="1" si="86"/>
        <v>-</v>
      </c>
      <c r="T162" s="412" t="str">
        <f t="shared" ca="1" si="87"/>
        <v/>
      </c>
      <c r="U162" s="411" t="str">
        <f t="shared" ca="1" si="88"/>
        <v>-</v>
      </c>
      <c r="V162" s="411" t="str">
        <f t="shared" ca="1" si="89"/>
        <v>-</v>
      </c>
      <c r="W162" s="413">
        <f>Cluster!N181</f>
        <v>0</v>
      </c>
      <c r="X162" s="414" t="str">
        <f t="shared" ca="1" si="90"/>
        <v>-</v>
      </c>
      <c r="Y162" s="411" t="str">
        <f t="shared" ca="1" si="91"/>
        <v>-</v>
      </c>
      <c r="Z162" s="415" t="str">
        <f t="shared" ca="1" si="92"/>
        <v>-</v>
      </c>
      <c r="AA162" s="416" t="str">
        <f t="shared" ca="1" si="93"/>
        <v>-</v>
      </c>
      <c r="AB162" s="416" t="str">
        <f t="shared" ca="1" si="94"/>
        <v/>
      </c>
      <c r="AC162" s="434">
        <f>Cluster!Q181</f>
        <v>0</v>
      </c>
      <c r="AD162" s="435" t="str">
        <f t="shared" ca="1" si="108"/>
        <v/>
      </c>
      <c r="AE162" s="436" t="str">
        <f t="shared" ca="1" si="108"/>
        <v/>
      </c>
      <c r="AF162" s="437" t="str">
        <f t="shared" ca="1" si="95"/>
        <v>-</v>
      </c>
      <c r="AG162" s="438" t="str">
        <f t="shared" ca="1" si="96"/>
        <v>-</v>
      </c>
      <c r="AH162" s="437" t="str">
        <f t="shared" ca="1" si="97"/>
        <v>-</v>
      </c>
      <c r="AI162" s="438" t="str">
        <f t="shared" ca="1" si="98"/>
        <v>-</v>
      </c>
      <c r="AJ162" s="438" t="str">
        <f t="shared" ca="1" si="99"/>
        <v>-</v>
      </c>
      <c r="AK162" s="439" t="str">
        <f ca="1">IFERROR(AE162*AD162*AL162/(IF(Cluster!AA181=Cluster!$W$8,Cluster!$W$10,IF(Cluster!AA181=Cluster!$X$8,Cluster!$X$10,IF(Cluster!AA181=Cluster!$Y$8,Cluster!$Y$10,0)))*10^3),"-")</f>
        <v>-</v>
      </c>
      <c r="AL162" s="440" t="str">
        <f ca="1">IFERROR(IF(OR(Calculation!T162&lt;(Calculation!$U$8+2),Calculation!AC162="Bypass"),IF((IF(Calculation!$O$6/((Calculation!AD162*10^-12)/(Calculation!T162*10^-9)*50)&lt;=1,1,ROUNDUP(Calculation!$O$6/((Calculation!AD162*10^-12)/(Calculation!T162*10^-9)*50),0))*50)&lt;Calculation!$AK$6,Calculation!$AK$6,IF(Calculation!$O$6/((Calculation!AD162*10^-12)/(Calculation!T162*10^-9)*50)&lt;=1,1,ROUNDUP(Calculation!$O$6/((Calculation!AD162*10^-12)/(Calculation!T162*10^-9)*50),0))*50),"-"),"-")</f>
        <v>-</v>
      </c>
      <c r="AM162" s="441" t="str">
        <f t="shared" ca="1" si="109"/>
        <v/>
      </c>
      <c r="AN162" s="442" t="str">
        <f t="shared" ca="1" si="109"/>
        <v/>
      </c>
      <c r="AO162" s="432">
        <f t="shared" ca="1" si="100"/>
        <v>384</v>
      </c>
      <c r="AP162" s="427" t="str">
        <f t="shared" ca="1" si="101"/>
        <v>-</v>
      </c>
      <c r="AQ162" s="443" t="str">
        <f t="shared" ca="1" si="102"/>
        <v>-</v>
      </c>
      <c r="AR162" s="444" t="str">
        <f t="shared" ca="1" si="103"/>
        <v>-</v>
      </c>
      <c r="AS162" s="430" t="str">
        <f t="shared" ca="1" si="104"/>
        <v>-</v>
      </c>
    </row>
    <row r="163" spans="1:45" ht="14.25" x14ac:dyDescent="0.65">
      <c r="A163" s="407">
        <v>155</v>
      </c>
      <c r="B163" s="408" t="str">
        <f t="shared" ca="1" si="85"/>
        <v/>
      </c>
      <c r="C163" s="408" t="str">
        <f ca="1">IFERROR(IF(G163="","",CONCATENATE(E163,"-",INDEX(Coordinate,MATCH(F163,ListAndConversion!$X$4:$X$99,0),2))),"")</f>
        <v/>
      </c>
      <c r="D163" s="408" t="str">
        <f t="shared" ca="1" si="106"/>
        <v/>
      </c>
      <c r="E163" s="408" t="str">
        <f t="shared" ca="1" si="106"/>
        <v/>
      </c>
      <c r="F163" s="408" t="str">
        <f t="shared" ca="1" si="106"/>
        <v/>
      </c>
      <c r="G163" s="408" t="str">
        <f ca="1">IFERROR(INDEX(ListAndConversion!A:B,MATCH(Calculation!E163,ListAndConversion!A:A,0),2),"")</f>
        <v/>
      </c>
      <c r="H163" s="408" t="str">
        <f>IF(TrackIT_Lines!AD155="","",TrackIT_Lines!AD155)</f>
        <v/>
      </c>
      <c r="I163" s="408" t="str">
        <f>IF(TrackIT_Lines!AD155="","",CONCATENATE(TrackIT_Lines!AD155,"-",TrackIT_Lines!AG155))</f>
        <v/>
      </c>
      <c r="J163" s="409" t="str">
        <f t="shared" ca="1" si="110"/>
        <v/>
      </c>
      <c r="K163" s="408" t="str">
        <f t="shared" ca="1" si="110"/>
        <v/>
      </c>
      <c r="L163" s="408" t="str">
        <f t="shared" ca="1" si="110"/>
        <v/>
      </c>
      <c r="M163" s="408" t="str">
        <f t="shared" ca="1" si="110"/>
        <v/>
      </c>
      <c r="N163" s="408" t="str">
        <f t="shared" ca="1" si="110"/>
        <v/>
      </c>
      <c r="O163" s="408" t="str">
        <f t="shared" ca="1" si="110"/>
        <v/>
      </c>
      <c r="P163" s="408" t="str">
        <f t="shared" ca="1" si="110"/>
        <v/>
      </c>
      <c r="Q163" s="408" t="str">
        <f t="shared" ca="1" si="110"/>
        <v/>
      </c>
      <c r="R163" s="410" t="str">
        <f ca="1">Cluster!J182</f>
        <v>Selection</v>
      </c>
      <c r="S163" s="411" t="str">
        <f t="shared" ca="1" si="86"/>
        <v>-</v>
      </c>
      <c r="T163" s="412" t="str">
        <f t="shared" ca="1" si="87"/>
        <v/>
      </c>
      <c r="U163" s="411" t="str">
        <f t="shared" ca="1" si="88"/>
        <v>-</v>
      </c>
      <c r="V163" s="411" t="str">
        <f t="shared" ca="1" si="89"/>
        <v>-</v>
      </c>
      <c r="W163" s="413">
        <f>Cluster!N182</f>
        <v>0</v>
      </c>
      <c r="X163" s="414" t="str">
        <f t="shared" ca="1" si="90"/>
        <v>-</v>
      </c>
      <c r="Y163" s="411" t="str">
        <f t="shared" ca="1" si="91"/>
        <v>-</v>
      </c>
      <c r="Z163" s="415" t="str">
        <f t="shared" ca="1" si="92"/>
        <v>-</v>
      </c>
      <c r="AA163" s="416" t="str">
        <f t="shared" ca="1" si="93"/>
        <v>-</v>
      </c>
      <c r="AB163" s="416" t="str">
        <f t="shared" ca="1" si="94"/>
        <v/>
      </c>
      <c r="AC163" s="434">
        <f>Cluster!Q182</f>
        <v>0</v>
      </c>
      <c r="AD163" s="435" t="str">
        <f t="shared" ca="1" si="108"/>
        <v/>
      </c>
      <c r="AE163" s="436" t="str">
        <f t="shared" ca="1" si="108"/>
        <v/>
      </c>
      <c r="AF163" s="437" t="str">
        <f t="shared" ca="1" si="95"/>
        <v>-</v>
      </c>
      <c r="AG163" s="438" t="str">
        <f t="shared" ca="1" si="96"/>
        <v>-</v>
      </c>
      <c r="AH163" s="437" t="str">
        <f t="shared" ca="1" si="97"/>
        <v>-</v>
      </c>
      <c r="AI163" s="438" t="str">
        <f t="shared" ca="1" si="98"/>
        <v>-</v>
      </c>
      <c r="AJ163" s="438" t="str">
        <f t="shared" ca="1" si="99"/>
        <v>-</v>
      </c>
      <c r="AK163" s="439" t="str">
        <f ca="1">IFERROR(AE163*AD163*AL163/(IF(Cluster!AA182=Cluster!$W$8,Cluster!$W$10,IF(Cluster!AA182=Cluster!$X$8,Cluster!$X$10,IF(Cluster!AA182=Cluster!$Y$8,Cluster!$Y$10,0)))*10^3),"-")</f>
        <v>-</v>
      </c>
      <c r="AL163" s="440" t="str">
        <f ca="1">IFERROR(IF(OR(Calculation!T163&lt;(Calculation!$U$8+2),Calculation!AC163="Bypass"),IF((IF(Calculation!$O$6/((Calculation!AD163*10^-12)/(Calculation!T163*10^-9)*50)&lt;=1,1,ROUNDUP(Calculation!$O$6/((Calculation!AD163*10^-12)/(Calculation!T163*10^-9)*50),0))*50)&lt;Calculation!$AK$6,Calculation!$AK$6,IF(Calculation!$O$6/((Calculation!AD163*10^-12)/(Calculation!T163*10^-9)*50)&lt;=1,1,ROUNDUP(Calculation!$O$6/((Calculation!AD163*10^-12)/(Calculation!T163*10^-9)*50),0))*50),"-"),"-")</f>
        <v>-</v>
      </c>
      <c r="AM163" s="441" t="str">
        <f t="shared" ca="1" si="109"/>
        <v/>
      </c>
      <c r="AN163" s="442" t="str">
        <f t="shared" ca="1" si="109"/>
        <v/>
      </c>
      <c r="AO163" s="432">
        <f t="shared" ca="1" si="100"/>
        <v>384</v>
      </c>
      <c r="AP163" s="427" t="str">
        <f t="shared" ca="1" si="101"/>
        <v>-</v>
      </c>
      <c r="AQ163" s="443" t="str">
        <f t="shared" ca="1" si="102"/>
        <v>-</v>
      </c>
      <c r="AR163" s="444" t="str">
        <f t="shared" ca="1" si="103"/>
        <v>-</v>
      </c>
      <c r="AS163" s="430" t="str">
        <f t="shared" ca="1" si="104"/>
        <v>-</v>
      </c>
    </row>
    <row r="164" spans="1:45" ht="14.25" x14ac:dyDescent="0.65">
      <c r="A164" s="407">
        <v>156</v>
      </c>
      <c r="B164" s="408" t="str">
        <f t="shared" ca="1" si="85"/>
        <v/>
      </c>
      <c r="C164" s="408" t="str">
        <f ca="1">IFERROR(IF(G164="","",CONCATENATE(E164,"-",INDEX(Coordinate,MATCH(F164,ListAndConversion!$X$4:$X$99,0),2))),"")</f>
        <v/>
      </c>
      <c r="D164" s="408" t="str">
        <f t="shared" ca="1" si="106"/>
        <v/>
      </c>
      <c r="E164" s="408" t="str">
        <f t="shared" ca="1" si="106"/>
        <v/>
      </c>
      <c r="F164" s="408" t="str">
        <f t="shared" ca="1" si="106"/>
        <v/>
      </c>
      <c r="G164" s="408" t="str">
        <f ca="1">IFERROR(INDEX(ListAndConversion!A:B,MATCH(Calculation!E164,ListAndConversion!A:A,0),2),"")</f>
        <v/>
      </c>
      <c r="H164" s="408" t="str">
        <f>IF(TrackIT_Lines!AD156="","",TrackIT_Lines!AD156)</f>
        <v/>
      </c>
      <c r="I164" s="408" t="str">
        <f>IF(TrackIT_Lines!AD156="","",CONCATENATE(TrackIT_Lines!AD156,"-",TrackIT_Lines!AG156))</f>
        <v/>
      </c>
      <c r="J164" s="409" t="str">
        <f t="shared" ca="1" si="110"/>
        <v/>
      </c>
      <c r="K164" s="408" t="str">
        <f t="shared" ca="1" si="110"/>
        <v/>
      </c>
      <c r="L164" s="408" t="str">
        <f t="shared" ca="1" si="110"/>
        <v/>
      </c>
      <c r="M164" s="408" t="str">
        <f t="shared" ca="1" si="110"/>
        <v/>
      </c>
      <c r="N164" s="408" t="str">
        <f t="shared" ca="1" si="110"/>
        <v/>
      </c>
      <c r="O164" s="408" t="str">
        <f t="shared" ca="1" si="110"/>
        <v/>
      </c>
      <c r="P164" s="408" t="str">
        <f t="shared" ca="1" si="110"/>
        <v/>
      </c>
      <c r="Q164" s="408" t="str">
        <f t="shared" ca="1" si="110"/>
        <v/>
      </c>
      <c r="R164" s="410" t="str">
        <f ca="1">Cluster!J183</f>
        <v>Selection</v>
      </c>
      <c r="S164" s="411" t="str">
        <f t="shared" ca="1" si="86"/>
        <v>-</v>
      </c>
      <c r="T164" s="412" t="str">
        <f t="shared" ca="1" si="87"/>
        <v/>
      </c>
      <c r="U164" s="411" t="str">
        <f t="shared" ca="1" si="88"/>
        <v>-</v>
      </c>
      <c r="V164" s="411" t="str">
        <f t="shared" ca="1" si="89"/>
        <v>-</v>
      </c>
      <c r="W164" s="413">
        <f>Cluster!N183</f>
        <v>0</v>
      </c>
      <c r="X164" s="414" t="str">
        <f t="shared" ca="1" si="90"/>
        <v>-</v>
      </c>
      <c r="Y164" s="411" t="str">
        <f t="shared" ca="1" si="91"/>
        <v>-</v>
      </c>
      <c r="Z164" s="415" t="str">
        <f t="shared" ca="1" si="92"/>
        <v>-</v>
      </c>
      <c r="AA164" s="416" t="str">
        <f t="shared" ca="1" si="93"/>
        <v>-</v>
      </c>
      <c r="AB164" s="416" t="str">
        <f t="shared" ca="1" si="94"/>
        <v/>
      </c>
      <c r="AC164" s="434">
        <f>Cluster!Q183</f>
        <v>0</v>
      </c>
      <c r="AD164" s="435" t="str">
        <f t="shared" ca="1" si="108"/>
        <v/>
      </c>
      <c r="AE164" s="436" t="str">
        <f t="shared" ca="1" si="108"/>
        <v/>
      </c>
      <c r="AF164" s="437" t="str">
        <f t="shared" ca="1" si="95"/>
        <v>-</v>
      </c>
      <c r="AG164" s="438" t="str">
        <f t="shared" ca="1" si="96"/>
        <v>-</v>
      </c>
      <c r="AH164" s="437" t="str">
        <f t="shared" ca="1" si="97"/>
        <v>-</v>
      </c>
      <c r="AI164" s="438" t="str">
        <f t="shared" ca="1" si="98"/>
        <v>-</v>
      </c>
      <c r="AJ164" s="438" t="str">
        <f t="shared" ca="1" si="99"/>
        <v>-</v>
      </c>
      <c r="AK164" s="439" t="str">
        <f ca="1">IFERROR(AE164*AD164*AL164/(IF(Cluster!AA183=Cluster!$W$8,Cluster!$W$10,IF(Cluster!AA183=Cluster!$X$8,Cluster!$X$10,IF(Cluster!AA183=Cluster!$Y$8,Cluster!$Y$10,0)))*10^3),"-")</f>
        <v>-</v>
      </c>
      <c r="AL164" s="440" t="str">
        <f ca="1">IFERROR(IF(OR(Calculation!T164&lt;(Calculation!$U$8+2),Calculation!AC164="Bypass"),IF((IF(Calculation!$O$6/((Calculation!AD164*10^-12)/(Calculation!T164*10^-9)*50)&lt;=1,1,ROUNDUP(Calculation!$O$6/((Calculation!AD164*10^-12)/(Calculation!T164*10^-9)*50),0))*50)&lt;Calculation!$AK$6,Calculation!$AK$6,IF(Calculation!$O$6/((Calculation!AD164*10^-12)/(Calculation!T164*10^-9)*50)&lt;=1,1,ROUNDUP(Calculation!$O$6/((Calculation!AD164*10^-12)/(Calculation!T164*10^-9)*50),0))*50),"-"),"-")</f>
        <v>-</v>
      </c>
      <c r="AM164" s="441" t="str">
        <f t="shared" ca="1" si="109"/>
        <v/>
      </c>
      <c r="AN164" s="442" t="str">
        <f t="shared" ca="1" si="109"/>
        <v/>
      </c>
      <c r="AO164" s="432">
        <f t="shared" ca="1" si="100"/>
        <v>384</v>
      </c>
      <c r="AP164" s="427" t="str">
        <f t="shared" ca="1" si="101"/>
        <v>-</v>
      </c>
      <c r="AQ164" s="443" t="str">
        <f t="shared" ca="1" si="102"/>
        <v>-</v>
      </c>
      <c r="AR164" s="444" t="str">
        <f t="shared" ca="1" si="103"/>
        <v>-</v>
      </c>
      <c r="AS164" s="430" t="str">
        <f t="shared" ca="1" si="104"/>
        <v>-</v>
      </c>
    </row>
    <row r="165" spans="1:45" ht="14.25" x14ac:dyDescent="0.65">
      <c r="A165" s="407">
        <v>157</v>
      </c>
      <c r="B165" s="408" t="str">
        <f t="shared" ca="1" si="85"/>
        <v/>
      </c>
      <c r="C165" s="408" t="str">
        <f ca="1">IFERROR(IF(G165="","",CONCATENATE(E165,"-",INDEX(Coordinate,MATCH(F165,ListAndConversion!$X$4:$X$99,0),2))),"")</f>
        <v/>
      </c>
      <c r="D165" s="408" t="str">
        <f t="shared" ca="1" si="106"/>
        <v/>
      </c>
      <c r="E165" s="408" t="str">
        <f t="shared" ca="1" si="106"/>
        <v/>
      </c>
      <c r="F165" s="408" t="str">
        <f t="shared" ca="1" si="106"/>
        <v/>
      </c>
      <c r="G165" s="408" t="str">
        <f ca="1">IFERROR(INDEX(ListAndConversion!A:B,MATCH(Calculation!E165,ListAndConversion!A:A,0),2),"")</f>
        <v/>
      </c>
      <c r="H165" s="408" t="str">
        <f>IF(TrackIT_Lines!AD157="","",TrackIT_Lines!AD157)</f>
        <v/>
      </c>
      <c r="I165" s="408" t="str">
        <f>IF(TrackIT_Lines!AD157="","",CONCATENATE(TrackIT_Lines!AD157,"-",TrackIT_Lines!AG157))</f>
        <v/>
      </c>
      <c r="J165" s="409" t="str">
        <f t="shared" ca="1" si="110"/>
        <v/>
      </c>
      <c r="K165" s="408" t="str">
        <f t="shared" ca="1" si="110"/>
        <v/>
      </c>
      <c r="L165" s="408" t="str">
        <f t="shared" ca="1" si="110"/>
        <v/>
      </c>
      <c r="M165" s="408" t="str">
        <f t="shared" ca="1" si="110"/>
        <v/>
      </c>
      <c r="N165" s="408" t="str">
        <f t="shared" ca="1" si="110"/>
        <v/>
      </c>
      <c r="O165" s="408" t="str">
        <f t="shared" ca="1" si="110"/>
        <v/>
      </c>
      <c r="P165" s="408" t="str">
        <f t="shared" ca="1" si="110"/>
        <v/>
      </c>
      <c r="Q165" s="408" t="str">
        <f t="shared" ca="1" si="110"/>
        <v/>
      </c>
      <c r="R165" s="410" t="str">
        <f ca="1">Cluster!J184</f>
        <v>Selection</v>
      </c>
      <c r="S165" s="411" t="str">
        <f t="shared" ca="1" si="86"/>
        <v>-</v>
      </c>
      <c r="T165" s="412" t="str">
        <f t="shared" ca="1" si="87"/>
        <v/>
      </c>
      <c r="U165" s="411" t="str">
        <f t="shared" ca="1" si="88"/>
        <v>-</v>
      </c>
      <c r="V165" s="411" t="str">
        <f t="shared" ca="1" si="89"/>
        <v>-</v>
      </c>
      <c r="W165" s="413">
        <f>Cluster!N184</f>
        <v>0</v>
      </c>
      <c r="X165" s="414" t="str">
        <f t="shared" ca="1" si="90"/>
        <v>-</v>
      </c>
      <c r="Y165" s="411" t="str">
        <f t="shared" ca="1" si="91"/>
        <v>-</v>
      </c>
      <c r="Z165" s="415" t="str">
        <f t="shared" ca="1" si="92"/>
        <v>-</v>
      </c>
      <c r="AA165" s="416" t="str">
        <f t="shared" ca="1" si="93"/>
        <v>-</v>
      </c>
      <c r="AB165" s="416" t="str">
        <f t="shared" ca="1" si="94"/>
        <v/>
      </c>
      <c r="AC165" s="434">
        <f>Cluster!Q184</f>
        <v>0</v>
      </c>
      <c r="AD165" s="435" t="str">
        <f t="shared" ca="1" si="108"/>
        <v/>
      </c>
      <c r="AE165" s="436" t="str">
        <f t="shared" ca="1" si="108"/>
        <v/>
      </c>
      <c r="AF165" s="437" t="str">
        <f t="shared" ca="1" si="95"/>
        <v>-</v>
      </c>
      <c r="AG165" s="438" t="str">
        <f t="shared" ca="1" si="96"/>
        <v>-</v>
      </c>
      <c r="AH165" s="437" t="str">
        <f t="shared" ca="1" si="97"/>
        <v>-</v>
      </c>
      <c r="AI165" s="438" t="str">
        <f t="shared" ca="1" si="98"/>
        <v>-</v>
      </c>
      <c r="AJ165" s="438" t="str">
        <f t="shared" ca="1" si="99"/>
        <v>-</v>
      </c>
      <c r="AK165" s="439" t="str">
        <f ca="1">IFERROR(AE165*AD165*AL165/(IF(Cluster!AA184=Cluster!$W$8,Cluster!$W$10,IF(Cluster!AA184=Cluster!$X$8,Cluster!$X$10,IF(Cluster!AA184=Cluster!$Y$8,Cluster!$Y$10,0)))*10^3),"-")</f>
        <v>-</v>
      </c>
      <c r="AL165" s="440" t="str">
        <f ca="1">IFERROR(IF(OR(Calculation!T165&lt;(Calculation!$U$8+2),Calculation!AC165="Bypass"),IF((IF(Calculation!$O$6/((Calculation!AD165*10^-12)/(Calculation!T165*10^-9)*50)&lt;=1,1,ROUNDUP(Calculation!$O$6/((Calculation!AD165*10^-12)/(Calculation!T165*10^-9)*50),0))*50)&lt;Calculation!$AK$6,Calculation!$AK$6,IF(Calculation!$O$6/((Calculation!AD165*10^-12)/(Calculation!T165*10^-9)*50)&lt;=1,1,ROUNDUP(Calculation!$O$6/((Calculation!AD165*10^-12)/(Calculation!T165*10^-9)*50),0))*50),"-"),"-")</f>
        <v>-</v>
      </c>
      <c r="AM165" s="441" t="str">
        <f t="shared" ca="1" si="109"/>
        <v/>
      </c>
      <c r="AN165" s="442" t="str">
        <f t="shared" ca="1" si="109"/>
        <v/>
      </c>
      <c r="AO165" s="432">
        <f t="shared" ca="1" si="100"/>
        <v>384</v>
      </c>
      <c r="AP165" s="427" t="str">
        <f t="shared" ca="1" si="101"/>
        <v>-</v>
      </c>
      <c r="AQ165" s="443" t="str">
        <f t="shared" ca="1" si="102"/>
        <v>-</v>
      </c>
      <c r="AR165" s="444" t="str">
        <f t="shared" ca="1" si="103"/>
        <v>-</v>
      </c>
      <c r="AS165" s="430" t="str">
        <f t="shared" ca="1" si="104"/>
        <v>-</v>
      </c>
    </row>
    <row r="166" spans="1:45" ht="14.25" x14ac:dyDescent="0.65">
      <c r="A166" s="407">
        <v>158</v>
      </c>
      <c r="B166" s="408" t="str">
        <f t="shared" ca="1" si="85"/>
        <v/>
      </c>
      <c r="C166" s="408" t="str">
        <f ca="1">IFERROR(IF(G166="","",CONCATENATE(E166,"-",INDEX(Coordinate,MATCH(F166,ListAndConversion!$X$4:$X$99,0),2))),"")</f>
        <v/>
      </c>
      <c r="D166" s="408" t="str">
        <f t="shared" ca="1" si="106"/>
        <v/>
      </c>
      <c r="E166" s="408" t="str">
        <f t="shared" ca="1" si="106"/>
        <v/>
      </c>
      <c r="F166" s="408" t="str">
        <f t="shared" ca="1" si="106"/>
        <v/>
      </c>
      <c r="G166" s="408" t="str">
        <f ca="1">IFERROR(INDEX(ListAndConversion!A:B,MATCH(Calculation!E166,ListAndConversion!A:A,0),2),"")</f>
        <v/>
      </c>
      <c r="H166" s="408" t="str">
        <f>IF(TrackIT_Lines!AD158="","",TrackIT_Lines!AD158)</f>
        <v/>
      </c>
      <c r="I166" s="408" t="str">
        <f>IF(TrackIT_Lines!AD158="","",CONCATENATE(TrackIT_Lines!AD158,"-",TrackIT_Lines!AG158))</f>
        <v/>
      </c>
      <c r="J166" s="409" t="str">
        <f t="shared" ca="1" si="110"/>
        <v/>
      </c>
      <c r="K166" s="408" t="str">
        <f t="shared" ca="1" si="110"/>
        <v/>
      </c>
      <c r="L166" s="408" t="str">
        <f t="shared" ca="1" si="110"/>
        <v/>
      </c>
      <c r="M166" s="408" t="str">
        <f t="shared" ca="1" si="110"/>
        <v/>
      </c>
      <c r="N166" s="408" t="str">
        <f t="shared" ca="1" si="110"/>
        <v/>
      </c>
      <c r="O166" s="408" t="str">
        <f t="shared" ca="1" si="110"/>
        <v/>
      </c>
      <c r="P166" s="408" t="str">
        <f t="shared" ca="1" si="110"/>
        <v/>
      </c>
      <c r="Q166" s="408" t="str">
        <f t="shared" ca="1" si="110"/>
        <v/>
      </c>
      <c r="R166" s="410" t="str">
        <f ca="1">Cluster!J185</f>
        <v>Selection</v>
      </c>
      <c r="S166" s="411" t="str">
        <f t="shared" ca="1" si="86"/>
        <v>-</v>
      </c>
      <c r="T166" s="412" t="str">
        <f t="shared" ca="1" si="87"/>
        <v/>
      </c>
      <c r="U166" s="411" t="str">
        <f t="shared" ca="1" si="88"/>
        <v>-</v>
      </c>
      <c r="V166" s="411" t="str">
        <f t="shared" ca="1" si="89"/>
        <v>-</v>
      </c>
      <c r="W166" s="413">
        <f>Cluster!N185</f>
        <v>0</v>
      </c>
      <c r="X166" s="414" t="str">
        <f t="shared" ca="1" si="90"/>
        <v>-</v>
      </c>
      <c r="Y166" s="411" t="str">
        <f t="shared" ca="1" si="91"/>
        <v>-</v>
      </c>
      <c r="Z166" s="415" t="str">
        <f t="shared" ca="1" si="92"/>
        <v>-</v>
      </c>
      <c r="AA166" s="416" t="str">
        <f t="shared" ca="1" si="93"/>
        <v>-</v>
      </c>
      <c r="AB166" s="416" t="str">
        <f t="shared" ca="1" si="94"/>
        <v/>
      </c>
      <c r="AC166" s="434">
        <f>Cluster!Q185</f>
        <v>0</v>
      </c>
      <c r="AD166" s="435" t="str">
        <f t="shared" ca="1" si="108"/>
        <v/>
      </c>
      <c r="AE166" s="436" t="str">
        <f t="shared" ca="1" si="108"/>
        <v/>
      </c>
      <c r="AF166" s="437" t="str">
        <f t="shared" ca="1" si="95"/>
        <v>-</v>
      </c>
      <c r="AG166" s="438" t="str">
        <f t="shared" ca="1" si="96"/>
        <v>-</v>
      </c>
      <c r="AH166" s="437" t="str">
        <f t="shared" ca="1" si="97"/>
        <v>-</v>
      </c>
      <c r="AI166" s="438" t="str">
        <f t="shared" ca="1" si="98"/>
        <v>-</v>
      </c>
      <c r="AJ166" s="438" t="str">
        <f t="shared" ca="1" si="99"/>
        <v>-</v>
      </c>
      <c r="AK166" s="439" t="str">
        <f ca="1">IFERROR(AE166*AD166*AL166/(IF(Cluster!AA185=Cluster!$W$8,Cluster!$W$10,IF(Cluster!AA185=Cluster!$X$8,Cluster!$X$10,IF(Cluster!AA185=Cluster!$Y$8,Cluster!$Y$10,0)))*10^3),"-")</f>
        <v>-</v>
      </c>
      <c r="AL166" s="440" t="str">
        <f ca="1">IFERROR(IF(OR(Calculation!T166&lt;(Calculation!$U$8+2),Calculation!AC166="Bypass"),IF((IF(Calculation!$O$6/((Calculation!AD166*10^-12)/(Calculation!T166*10^-9)*50)&lt;=1,1,ROUNDUP(Calculation!$O$6/((Calculation!AD166*10^-12)/(Calculation!T166*10^-9)*50),0))*50)&lt;Calculation!$AK$6,Calculation!$AK$6,IF(Calculation!$O$6/((Calculation!AD166*10^-12)/(Calculation!T166*10^-9)*50)&lt;=1,1,ROUNDUP(Calculation!$O$6/((Calculation!AD166*10^-12)/(Calculation!T166*10^-9)*50),0))*50),"-"),"-")</f>
        <v>-</v>
      </c>
      <c r="AM166" s="441" t="str">
        <f t="shared" ca="1" si="109"/>
        <v/>
      </c>
      <c r="AN166" s="442" t="str">
        <f t="shared" ca="1" si="109"/>
        <v/>
      </c>
      <c r="AO166" s="432">
        <f t="shared" ca="1" si="100"/>
        <v>384</v>
      </c>
      <c r="AP166" s="427" t="str">
        <f t="shared" ca="1" si="101"/>
        <v>-</v>
      </c>
      <c r="AQ166" s="443" t="str">
        <f t="shared" ca="1" si="102"/>
        <v>-</v>
      </c>
      <c r="AR166" s="444" t="str">
        <f t="shared" ca="1" si="103"/>
        <v>-</v>
      </c>
      <c r="AS166" s="430" t="str">
        <f t="shared" ca="1" si="104"/>
        <v>-</v>
      </c>
    </row>
    <row r="167" spans="1:45" ht="14.25" x14ac:dyDescent="0.65">
      <c r="A167" s="407">
        <v>159</v>
      </c>
      <c r="B167" s="408" t="str">
        <f t="shared" ca="1" si="85"/>
        <v/>
      </c>
      <c r="C167" s="408" t="str">
        <f ca="1">IFERROR(IF(G167="","",CONCATENATE(E167,"-",INDEX(Coordinate,MATCH(F167,ListAndConversion!$X$4:$X$99,0),2))),"")</f>
        <v/>
      </c>
      <c r="D167" s="408" t="str">
        <f t="shared" ca="1" si="106"/>
        <v/>
      </c>
      <c r="E167" s="408" t="str">
        <f t="shared" ca="1" si="106"/>
        <v/>
      </c>
      <c r="F167" s="408" t="str">
        <f t="shared" ca="1" si="106"/>
        <v/>
      </c>
      <c r="G167" s="408" t="str">
        <f ca="1">IFERROR(INDEX(ListAndConversion!A:B,MATCH(Calculation!E167,ListAndConversion!A:A,0),2),"")</f>
        <v/>
      </c>
      <c r="H167" s="408" t="str">
        <f>IF(TrackIT_Lines!AD159="","",TrackIT_Lines!AD159)</f>
        <v/>
      </c>
      <c r="I167" s="408" t="str">
        <f>IF(TrackIT_Lines!AD159="","",CONCATENATE(TrackIT_Lines!AD159,"-",TrackIT_Lines!AG159))</f>
        <v/>
      </c>
      <c r="J167" s="409" t="str">
        <f t="shared" ca="1" si="110"/>
        <v/>
      </c>
      <c r="K167" s="408" t="str">
        <f t="shared" ca="1" si="110"/>
        <v/>
      </c>
      <c r="L167" s="408" t="str">
        <f t="shared" ca="1" si="110"/>
        <v/>
      </c>
      <c r="M167" s="408" t="str">
        <f t="shared" ca="1" si="110"/>
        <v/>
      </c>
      <c r="N167" s="408" t="str">
        <f t="shared" ca="1" si="110"/>
        <v/>
      </c>
      <c r="O167" s="408" t="str">
        <f t="shared" ca="1" si="110"/>
        <v/>
      </c>
      <c r="P167" s="408" t="str">
        <f t="shared" ca="1" si="110"/>
        <v/>
      </c>
      <c r="Q167" s="408" t="str">
        <f t="shared" ca="1" si="110"/>
        <v/>
      </c>
      <c r="R167" s="410" t="str">
        <f ca="1">Cluster!J186</f>
        <v>Selection</v>
      </c>
      <c r="S167" s="411" t="str">
        <f t="shared" ca="1" si="86"/>
        <v>-</v>
      </c>
      <c r="T167" s="412" t="str">
        <f t="shared" ca="1" si="87"/>
        <v/>
      </c>
      <c r="U167" s="411" t="str">
        <f t="shared" ca="1" si="88"/>
        <v>-</v>
      </c>
      <c r="V167" s="411" t="str">
        <f t="shared" ca="1" si="89"/>
        <v>-</v>
      </c>
      <c r="W167" s="413">
        <f>Cluster!N186</f>
        <v>0</v>
      </c>
      <c r="X167" s="414" t="str">
        <f t="shared" ca="1" si="90"/>
        <v>-</v>
      </c>
      <c r="Y167" s="411" t="str">
        <f t="shared" ca="1" si="91"/>
        <v>-</v>
      </c>
      <c r="Z167" s="415" t="str">
        <f t="shared" ca="1" si="92"/>
        <v>-</v>
      </c>
      <c r="AA167" s="416" t="str">
        <f t="shared" ca="1" si="93"/>
        <v>-</v>
      </c>
      <c r="AB167" s="416" t="str">
        <f t="shared" ca="1" si="94"/>
        <v/>
      </c>
      <c r="AC167" s="434">
        <f>Cluster!Q186</f>
        <v>0</v>
      </c>
      <c r="AD167" s="435" t="str">
        <f t="shared" ca="1" si="108"/>
        <v/>
      </c>
      <c r="AE167" s="436" t="str">
        <f t="shared" ca="1" si="108"/>
        <v/>
      </c>
      <c r="AF167" s="437" t="str">
        <f t="shared" ca="1" si="95"/>
        <v>-</v>
      </c>
      <c r="AG167" s="438" t="str">
        <f t="shared" ca="1" si="96"/>
        <v>-</v>
      </c>
      <c r="AH167" s="437" t="str">
        <f t="shared" ca="1" si="97"/>
        <v>-</v>
      </c>
      <c r="AI167" s="438" t="str">
        <f t="shared" ca="1" si="98"/>
        <v>-</v>
      </c>
      <c r="AJ167" s="438" t="str">
        <f t="shared" ca="1" si="99"/>
        <v>-</v>
      </c>
      <c r="AK167" s="439" t="str">
        <f ca="1">IFERROR(AE167*AD167*AL167/(IF(Cluster!AA186=Cluster!$W$8,Cluster!$W$10,IF(Cluster!AA186=Cluster!$X$8,Cluster!$X$10,IF(Cluster!AA186=Cluster!$Y$8,Cluster!$Y$10,0)))*10^3),"-")</f>
        <v>-</v>
      </c>
      <c r="AL167" s="440" t="str">
        <f ca="1">IFERROR(IF(OR(Calculation!T167&lt;(Calculation!$U$8+2),Calculation!AC167="Bypass"),IF((IF(Calculation!$O$6/((Calculation!AD167*10^-12)/(Calculation!T167*10^-9)*50)&lt;=1,1,ROUNDUP(Calculation!$O$6/((Calculation!AD167*10^-12)/(Calculation!T167*10^-9)*50),0))*50)&lt;Calculation!$AK$6,Calculation!$AK$6,IF(Calculation!$O$6/((Calculation!AD167*10^-12)/(Calculation!T167*10^-9)*50)&lt;=1,1,ROUNDUP(Calculation!$O$6/((Calculation!AD167*10^-12)/(Calculation!T167*10^-9)*50),0))*50),"-"),"-")</f>
        <v>-</v>
      </c>
      <c r="AM167" s="441" t="str">
        <f t="shared" ca="1" si="109"/>
        <v/>
      </c>
      <c r="AN167" s="442" t="str">
        <f t="shared" ca="1" si="109"/>
        <v/>
      </c>
      <c r="AO167" s="432">
        <f t="shared" ca="1" si="100"/>
        <v>384</v>
      </c>
      <c r="AP167" s="427" t="str">
        <f t="shared" ca="1" si="101"/>
        <v>-</v>
      </c>
      <c r="AQ167" s="443" t="str">
        <f t="shared" ca="1" si="102"/>
        <v>-</v>
      </c>
      <c r="AR167" s="444" t="str">
        <f t="shared" ca="1" si="103"/>
        <v>-</v>
      </c>
      <c r="AS167" s="430" t="str">
        <f t="shared" ca="1" si="104"/>
        <v>-</v>
      </c>
    </row>
    <row r="168" spans="1:45" ht="14.25" x14ac:dyDescent="0.65">
      <c r="A168" s="407">
        <v>160</v>
      </c>
      <c r="B168" s="408" t="str">
        <f t="shared" ca="1" si="85"/>
        <v/>
      </c>
      <c r="C168" s="408" t="str">
        <f ca="1">IFERROR(IF(G168="","",CONCATENATE(E168,"-",INDEX(Coordinate,MATCH(F168,ListAndConversion!$X$4:$X$99,0),2))),"")</f>
        <v/>
      </c>
      <c r="D168" s="408" t="str">
        <f t="shared" ca="1" si="106"/>
        <v/>
      </c>
      <c r="E168" s="408" t="str">
        <f t="shared" ca="1" si="106"/>
        <v/>
      </c>
      <c r="F168" s="408" t="str">
        <f t="shared" ca="1" si="106"/>
        <v/>
      </c>
      <c r="G168" s="408" t="str">
        <f ca="1">IFERROR(INDEX(ListAndConversion!A:B,MATCH(Calculation!E168,ListAndConversion!A:A,0),2),"")</f>
        <v/>
      </c>
      <c r="H168" s="408" t="str">
        <f>IF(TrackIT_Lines!AD160="","",TrackIT_Lines!AD160)</f>
        <v/>
      </c>
      <c r="I168" s="408" t="str">
        <f>IF(TrackIT_Lines!AD160="","",CONCATENATE(TrackIT_Lines!AD160,"-",TrackIT_Lines!AG160))</f>
        <v/>
      </c>
      <c r="J168" s="409" t="str">
        <f t="shared" ca="1" si="110"/>
        <v/>
      </c>
      <c r="K168" s="408" t="str">
        <f t="shared" ca="1" si="110"/>
        <v/>
      </c>
      <c r="L168" s="408" t="str">
        <f t="shared" ca="1" si="110"/>
        <v/>
      </c>
      <c r="M168" s="408" t="str">
        <f t="shared" ca="1" si="110"/>
        <v/>
      </c>
      <c r="N168" s="408" t="str">
        <f t="shared" ca="1" si="110"/>
        <v/>
      </c>
      <c r="O168" s="408" t="str">
        <f t="shared" ca="1" si="110"/>
        <v/>
      </c>
      <c r="P168" s="408" t="str">
        <f t="shared" ca="1" si="110"/>
        <v/>
      </c>
      <c r="Q168" s="408" t="str">
        <f t="shared" ca="1" si="110"/>
        <v/>
      </c>
      <c r="R168" s="410" t="str">
        <f ca="1">Cluster!J187</f>
        <v>Selection</v>
      </c>
      <c r="S168" s="411" t="str">
        <f t="shared" ca="1" si="86"/>
        <v>-</v>
      </c>
      <c r="T168" s="412" t="str">
        <f t="shared" ca="1" si="87"/>
        <v/>
      </c>
      <c r="U168" s="411" t="str">
        <f t="shared" ca="1" si="88"/>
        <v>-</v>
      </c>
      <c r="V168" s="411" t="str">
        <f t="shared" ca="1" si="89"/>
        <v>-</v>
      </c>
      <c r="W168" s="413">
        <f>Cluster!N187</f>
        <v>0</v>
      </c>
      <c r="X168" s="414" t="str">
        <f t="shared" ca="1" si="90"/>
        <v>-</v>
      </c>
      <c r="Y168" s="411" t="str">
        <f t="shared" ca="1" si="91"/>
        <v>-</v>
      </c>
      <c r="Z168" s="415" t="str">
        <f t="shared" ca="1" si="92"/>
        <v>-</v>
      </c>
      <c r="AA168" s="416" t="str">
        <f t="shared" ca="1" si="93"/>
        <v>-</v>
      </c>
      <c r="AB168" s="416" t="str">
        <f t="shared" ca="1" si="94"/>
        <v/>
      </c>
      <c r="AC168" s="434">
        <f>Cluster!Q187</f>
        <v>0</v>
      </c>
      <c r="AD168" s="435" t="str">
        <f t="shared" ca="1" si="108"/>
        <v/>
      </c>
      <c r="AE168" s="436" t="str">
        <f t="shared" ca="1" si="108"/>
        <v/>
      </c>
      <c r="AF168" s="437" t="str">
        <f t="shared" ca="1" si="95"/>
        <v>-</v>
      </c>
      <c r="AG168" s="438" t="str">
        <f t="shared" ca="1" si="96"/>
        <v>-</v>
      </c>
      <c r="AH168" s="437" t="str">
        <f t="shared" ca="1" si="97"/>
        <v>-</v>
      </c>
      <c r="AI168" s="438" t="str">
        <f t="shared" ca="1" si="98"/>
        <v>-</v>
      </c>
      <c r="AJ168" s="438" t="str">
        <f t="shared" ca="1" si="99"/>
        <v>-</v>
      </c>
      <c r="AK168" s="439" t="str">
        <f ca="1">IFERROR(AE168*AD168*AL168/(IF(Cluster!AA187=Cluster!$W$8,Cluster!$W$10,IF(Cluster!AA187=Cluster!$X$8,Cluster!$X$10,IF(Cluster!AA187=Cluster!$Y$8,Cluster!$Y$10,0)))*10^3),"-")</f>
        <v>-</v>
      </c>
      <c r="AL168" s="440" t="str">
        <f ca="1">IFERROR(IF(OR(Calculation!T168&lt;(Calculation!$U$8+2),Calculation!AC168="Bypass"),IF((IF(Calculation!$O$6/((Calculation!AD168*10^-12)/(Calculation!T168*10^-9)*50)&lt;=1,1,ROUNDUP(Calculation!$O$6/((Calculation!AD168*10^-12)/(Calculation!T168*10^-9)*50),0))*50)&lt;Calculation!$AK$6,Calculation!$AK$6,IF(Calculation!$O$6/((Calculation!AD168*10^-12)/(Calculation!T168*10^-9)*50)&lt;=1,1,ROUNDUP(Calculation!$O$6/((Calculation!AD168*10^-12)/(Calculation!T168*10^-9)*50),0))*50),"-"),"-")</f>
        <v>-</v>
      </c>
      <c r="AM168" s="441" t="str">
        <f t="shared" ca="1" si="109"/>
        <v/>
      </c>
      <c r="AN168" s="442" t="str">
        <f t="shared" ca="1" si="109"/>
        <v/>
      </c>
      <c r="AO168" s="432">
        <f t="shared" ca="1" si="100"/>
        <v>384</v>
      </c>
      <c r="AP168" s="427" t="str">
        <f t="shared" ca="1" si="101"/>
        <v>-</v>
      </c>
      <c r="AQ168" s="443" t="str">
        <f t="shared" ca="1" si="102"/>
        <v>-</v>
      </c>
      <c r="AR168" s="444" t="str">
        <f t="shared" ca="1" si="103"/>
        <v>-</v>
      </c>
      <c r="AS168" s="430" t="str">
        <f t="shared" ca="1" si="104"/>
        <v>-</v>
      </c>
    </row>
    <row r="169" spans="1:45" ht="14.25" x14ac:dyDescent="0.65">
      <c r="A169" s="407">
        <v>161</v>
      </c>
      <c r="B169" s="408" t="str">
        <f t="shared" ca="1" si="85"/>
        <v/>
      </c>
      <c r="C169" s="408" t="str">
        <f ca="1">IFERROR(IF(G169="","",CONCATENATE(E169,"-",INDEX(Coordinate,MATCH(F169,ListAndConversion!$X$4:$X$99,0),2))),"")</f>
        <v/>
      </c>
      <c r="D169" s="408" t="str">
        <f t="shared" ca="1" si="106"/>
        <v/>
      </c>
      <c r="E169" s="408" t="str">
        <f t="shared" ca="1" si="106"/>
        <v/>
      </c>
      <c r="F169" s="408" t="str">
        <f t="shared" ca="1" si="106"/>
        <v/>
      </c>
      <c r="G169" s="408" t="str">
        <f ca="1">IFERROR(INDEX(ListAndConversion!A:B,MATCH(Calculation!E169,ListAndConversion!A:A,0),2),"")</f>
        <v/>
      </c>
      <c r="H169" s="408" t="str">
        <f>IF(TrackIT_Lines!AD161="","",TrackIT_Lines!AD161)</f>
        <v/>
      </c>
      <c r="I169" s="408" t="str">
        <f>IF(TrackIT_Lines!AD161="","",CONCATENATE(TrackIT_Lines!AD161,"-",TrackIT_Lines!AG161))</f>
        <v/>
      </c>
      <c r="J169" s="409" t="str">
        <f t="shared" ca="1" si="110"/>
        <v/>
      </c>
      <c r="K169" s="408" t="str">
        <f t="shared" ca="1" si="110"/>
        <v/>
      </c>
      <c r="L169" s="408" t="str">
        <f t="shared" ca="1" si="110"/>
        <v/>
      </c>
      <c r="M169" s="408" t="str">
        <f t="shared" ca="1" si="110"/>
        <v/>
      </c>
      <c r="N169" s="408" t="str">
        <f t="shared" ca="1" si="110"/>
        <v/>
      </c>
      <c r="O169" s="408" t="str">
        <f t="shared" ca="1" si="110"/>
        <v/>
      </c>
      <c r="P169" s="408" t="str">
        <f t="shared" ca="1" si="110"/>
        <v/>
      </c>
      <c r="Q169" s="408" t="str">
        <f t="shared" ca="1" si="110"/>
        <v/>
      </c>
      <c r="R169" s="410" t="str">
        <f ca="1">Cluster!J188</f>
        <v>Selection</v>
      </c>
      <c r="S169" s="411" t="str">
        <f t="shared" ca="1" si="86"/>
        <v>-</v>
      </c>
      <c r="T169" s="412" t="str">
        <f t="shared" ca="1" si="87"/>
        <v/>
      </c>
      <c r="U169" s="411" t="str">
        <f t="shared" ca="1" si="88"/>
        <v>-</v>
      </c>
      <c r="V169" s="411" t="str">
        <f t="shared" ca="1" si="89"/>
        <v>-</v>
      </c>
      <c r="W169" s="413">
        <f>Cluster!N188</f>
        <v>0</v>
      </c>
      <c r="X169" s="414" t="str">
        <f t="shared" ca="1" si="90"/>
        <v>-</v>
      </c>
      <c r="Y169" s="411" t="str">
        <f t="shared" ca="1" si="91"/>
        <v>-</v>
      </c>
      <c r="Z169" s="415" t="str">
        <f t="shared" ca="1" si="92"/>
        <v>-</v>
      </c>
      <c r="AA169" s="416" t="str">
        <f t="shared" ca="1" si="93"/>
        <v>-</v>
      </c>
      <c r="AB169" s="416" t="str">
        <f t="shared" ca="1" si="94"/>
        <v/>
      </c>
      <c r="AC169" s="434">
        <f>Cluster!Q188</f>
        <v>0</v>
      </c>
      <c r="AD169" s="435" t="str">
        <f t="shared" ca="1" si="108"/>
        <v/>
      </c>
      <c r="AE169" s="436" t="str">
        <f t="shared" ca="1" si="108"/>
        <v/>
      </c>
      <c r="AF169" s="437" t="str">
        <f t="shared" ca="1" si="95"/>
        <v>-</v>
      </c>
      <c r="AG169" s="438" t="str">
        <f t="shared" ca="1" si="96"/>
        <v>-</v>
      </c>
      <c r="AH169" s="437" t="str">
        <f t="shared" ca="1" si="97"/>
        <v>-</v>
      </c>
      <c r="AI169" s="438" t="str">
        <f t="shared" ca="1" si="98"/>
        <v>-</v>
      </c>
      <c r="AJ169" s="438" t="str">
        <f t="shared" ca="1" si="99"/>
        <v>-</v>
      </c>
      <c r="AK169" s="439" t="str">
        <f ca="1">IFERROR(AE169*AD169*AL169/(IF(Cluster!AA188=Cluster!$W$8,Cluster!$W$10,IF(Cluster!AA188=Cluster!$X$8,Cluster!$X$10,IF(Cluster!AA188=Cluster!$Y$8,Cluster!$Y$10,0)))*10^3),"-")</f>
        <v>-</v>
      </c>
      <c r="AL169" s="440" t="str">
        <f ca="1">IFERROR(IF(OR(Calculation!T169&lt;(Calculation!$U$8+2),Calculation!AC169="Bypass"),IF((IF(Calculation!$O$6/((Calculation!AD169*10^-12)/(Calculation!T169*10^-9)*50)&lt;=1,1,ROUNDUP(Calculation!$O$6/((Calculation!AD169*10^-12)/(Calculation!T169*10^-9)*50),0))*50)&lt;Calculation!$AK$6,Calculation!$AK$6,IF(Calculation!$O$6/((Calculation!AD169*10^-12)/(Calculation!T169*10^-9)*50)&lt;=1,1,ROUNDUP(Calculation!$O$6/((Calculation!AD169*10^-12)/(Calculation!T169*10^-9)*50),0))*50),"-"),"-")</f>
        <v>-</v>
      </c>
      <c r="AM169" s="441" t="str">
        <f t="shared" ca="1" si="109"/>
        <v/>
      </c>
      <c r="AN169" s="442" t="str">
        <f t="shared" ca="1" si="109"/>
        <v/>
      </c>
      <c r="AO169" s="432">
        <f t="shared" ca="1" si="100"/>
        <v>384</v>
      </c>
      <c r="AP169" s="427" t="str">
        <f t="shared" ca="1" si="101"/>
        <v>-</v>
      </c>
      <c r="AQ169" s="443" t="str">
        <f t="shared" ca="1" si="102"/>
        <v>-</v>
      </c>
      <c r="AR169" s="444" t="str">
        <f t="shared" ca="1" si="103"/>
        <v>-</v>
      </c>
      <c r="AS169" s="430" t="str">
        <f t="shared" ca="1" si="104"/>
        <v>-</v>
      </c>
    </row>
    <row r="170" spans="1:45" ht="14.25" x14ac:dyDescent="0.65">
      <c r="A170" s="407">
        <v>162</v>
      </c>
      <c r="B170" s="408" t="str">
        <f t="shared" ca="1" si="85"/>
        <v/>
      </c>
      <c r="C170" s="408" t="str">
        <f ca="1">IFERROR(IF(G170="","",CONCATENATE(E170,"-",INDEX(Coordinate,MATCH(F170,ListAndConversion!$X$4:$X$99,0),2))),"")</f>
        <v/>
      </c>
      <c r="D170" s="408" t="str">
        <f t="shared" ref="D170:F189" ca="1" si="111">IF((INDIRECT("TrackIT_Lines!"&amp;D$2&amp;$A170))="","", (INDIRECT("TrackIT_Lines!"&amp;D$2&amp;$A170)))</f>
        <v/>
      </c>
      <c r="E170" s="408" t="str">
        <f t="shared" ca="1" si="111"/>
        <v/>
      </c>
      <c r="F170" s="408" t="str">
        <f t="shared" ca="1" si="111"/>
        <v/>
      </c>
      <c r="G170" s="408" t="str">
        <f ca="1">IFERROR(INDEX(ListAndConversion!A:B,MATCH(Calculation!E170,ListAndConversion!A:A,0),2),"")</f>
        <v/>
      </c>
      <c r="H170" s="408" t="str">
        <f>IF(TrackIT_Lines!AD162="","",TrackIT_Lines!AD162)</f>
        <v/>
      </c>
      <c r="I170" s="408" t="str">
        <f>IF(TrackIT_Lines!AD162="","",CONCATENATE(TrackIT_Lines!AD162,"-",TrackIT_Lines!AG162))</f>
        <v/>
      </c>
      <c r="J170" s="409" t="str">
        <f t="shared" ref="J170:Q179" ca="1" si="112">IF((INDIRECT("TrackIT_Lines!"&amp;J$2&amp;$A170))="","", (INDIRECT("TrackIT_Lines!"&amp;J$2&amp;$A170)))</f>
        <v/>
      </c>
      <c r="K170" s="408" t="str">
        <f t="shared" ca="1" si="112"/>
        <v/>
      </c>
      <c r="L170" s="408" t="str">
        <f t="shared" ca="1" si="112"/>
        <v/>
      </c>
      <c r="M170" s="408" t="str">
        <f t="shared" ca="1" si="112"/>
        <v/>
      </c>
      <c r="N170" s="408" t="str">
        <f t="shared" ca="1" si="112"/>
        <v/>
      </c>
      <c r="O170" s="408" t="str">
        <f t="shared" ca="1" si="112"/>
        <v/>
      </c>
      <c r="P170" s="408" t="str">
        <f t="shared" ca="1" si="112"/>
        <v/>
      </c>
      <c r="Q170" s="408" t="str">
        <f t="shared" ca="1" si="112"/>
        <v/>
      </c>
      <c r="R170" s="410" t="str">
        <f ca="1">Cluster!J189</f>
        <v>Selection</v>
      </c>
      <c r="S170" s="411" t="str">
        <f t="shared" ca="1" si="86"/>
        <v>-</v>
      </c>
      <c r="T170" s="412" t="str">
        <f t="shared" ca="1" si="87"/>
        <v/>
      </c>
      <c r="U170" s="411" t="str">
        <f t="shared" ca="1" si="88"/>
        <v>-</v>
      </c>
      <c r="V170" s="411" t="str">
        <f t="shared" ca="1" si="89"/>
        <v>-</v>
      </c>
      <c r="W170" s="413">
        <f>Cluster!N189</f>
        <v>0</v>
      </c>
      <c r="X170" s="414" t="str">
        <f t="shared" ca="1" si="90"/>
        <v>-</v>
      </c>
      <c r="Y170" s="411" t="str">
        <f t="shared" ca="1" si="91"/>
        <v>-</v>
      </c>
      <c r="Z170" s="415" t="str">
        <f t="shared" ca="1" si="92"/>
        <v>-</v>
      </c>
      <c r="AA170" s="416" t="str">
        <f t="shared" ca="1" si="93"/>
        <v>-</v>
      </c>
      <c r="AB170" s="416" t="str">
        <f t="shared" ca="1" si="94"/>
        <v/>
      </c>
      <c r="AC170" s="434">
        <f>Cluster!Q189</f>
        <v>0</v>
      </c>
      <c r="AD170" s="435" t="str">
        <f t="shared" ref="AD170:AE189" ca="1" si="113">IF((INDIRECT("TrackIT_Lines!"&amp;AD$2&amp;$A170))="","", (INDIRECT("TrackIT_Lines!"&amp;AD$2&amp;$A170)))</f>
        <v/>
      </c>
      <c r="AE170" s="436" t="str">
        <f t="shared" ca="1" si="113"/>
        <v/>
      </c>
      <c r="AF170" s="437" t="str">
        <f t="shared" ca="1" si="95"/>
        <v>-</v>
      </c>
      <c r="AG170" s="438" t="str">
        <f t="shared" ca="1" si="96"/>
        <v>-</v>
      </c>
      <c r="AH170" s="437" t="str">
        <f t="shared" ca="1" si="97"/>
        <v>-</v>
      </c>
      <c r="AI170" s="438" t="str">
        <f t="shared" ca="1" si="98"/>
        <v>-</v>
      </c>
      <c r="AJ170" s="438" t="str">
        <f t="shared" ca="1" si="99"/>
        <v>-</v>
      </c>
      <c r="AK170" s="439" t="str">
        <f ca="1">IFERROR(AE170*AD170*AL170/(IF(Cluster!AA189=Cluster!$W$8,Cluster!$W$10,IF(Cluster!AA189=Cluster!$X$8,Cluster!$X$10,IF(Cluster!AA189=Cluster!$Y$8,Cluster!$Y$10,0)))*10^3),"-")</f>
        <v>-</v>
      </c>
      <c r="AL170" s="440" t="str">
        <f ca="1">IFERROR(IF(OR(Calculation!T170&lt;(Calculation!$U$8+2),Calculation!AC170="Bypass"),IF((IF(Calculation!$O$6/((Calculation!AD170*10^-12)/(Calculation!T170*10^-9)*50)&lt;=1,1,ROUNDUP(Calculation!$O$6/((Calculation!AD170*10^-12)/(Calculation!T170*10^-9)*50),0))*50)&lt;Calculation!$AK$6,Calculation!$AK$6,IF(Calculation!$O$6/((Calculation!AD170*10^-12)/(Calculation!T170*10^-9)*50)&lt;=1,1,ROUNDUP(Calculation!$O$6/((Calculation!AD170*10^-12)/(Calculation!T170*10^-9)*50),0))*50),"-"),"-")</f>
        <v>-</v>
      </c>
      <c r="AM170" s="441" t="str">
        <f t="shared" ref="AM170:AN189" ca="1" si="114">IF((INDIRECT("TrackIT_Lines!"&amp;AM$2&amp;$A170))="","", (INDIRECT("TrackIT_Lines!"&amp;AM$2&amp;$A170)))</f>
        <v/>
      </c>
      <c r="AN170" s="442" t="str">
        <f t="shared" ca="1" si="114"/>
        <v/>
      </c>
      <c r="AO170" s="432">
        <f t="shared" ca="1" si="100"/>
        <v>384</v>
      </c>
      <c r="AP170" s="427" t="str">
        <f t="shared" ca="1" si="101"/>
        <v>-</v>
      </c>
      <c r="AQ170" s="443" t="str">
        <f t="shared" ca="1" si="102"/>
        <v>-</v>
      </c>
      <c r="AR170" s="444" t="str">
        <f t="shared" ca="1" si="103"/>
        <v>-</v>
      </c>
      <c r="AS170" s="430" t="str">
        <f t="shared" ca="1" si="104"/>
        <v>-</v>
      </c>
    </row>
    <row r="171" spans="1:45" ht="14.25" x14ac:dyDescent="0.65">
      <c r="A171" s="407">
        <v>163</v>
      </c>
      <c r="B171" s="408" t="str">
        <f t="shared" ca="1" si="85"/>
        <v/>
      </c>
      <c r="C171" s="408" t="str">
        <f ca="1">IFERROR(IF(G171="","",CONCATENATE(E171,"-",INDEX(Coordinate,MATCH(F171,ListAndConversion!$X$4:$X$99,0),2))),"")</f>
        <v/>
      </c>
      <c r="D171" s="408" t="str">
        <f t="shared" ca="1" si="111"/>
        <v/>
      </c>
      <c r="E171" s="408" t="str">
        <f t="shared" ca="1" si="111"/>
        <v/>
      </c>
      <c r="F171" s="408" t="str">
        <f t="shared" ca="1" si="111"/>
        <v/>
      </c>
      <c r="G171" s="408" t="str">
        <f ca="1">IFERROR(INDEX(ListAndConversion!A:B,MATCH(Calculation!E171,ListAndConversion!A:A,0),2),"")</f>
        <v/>
      </c>
      <c r="H171" s="408" t="str">
        <f>IF(TrackIT_Lines!AD163="","",TrackIT_Lines!AD163)</f>
        <v/>
      </c>
      <c r="I171" s="408" t="str">
        <f>IF(TrackIT_Lines!AD163="","",CONCATENATE(TrackIT_Lines!AD163,"-",TrackIT_Lines!AG163))</f>
        <v/>
      </c>
      <c r="J171" s="409" t="str">
        <f t="shared" ca="1" si="112"/>
        <v/>
      </c>
      <c r="K171" s="408" t="str">
        <f t="shared" ca="1" si="112"/>
        <v/>
      </c>
      <c r="L171" s="408" t="str">
        <f t="shared" ca="1" si="112"/>
        <v/>
      </c>
      <c r="M171" s="408" t="str">
        <f t="shared" ca="1" si="112"/>
        <v/>
      </c>
      <c r="N171" s="408" t="str">
        <f t="shared" ca="1" si="112"/>
        <v/>
      </c>
      <c r="O171" s="408" t="str">
        <f t="shared" ca="1" si="112"/>
        <v/>
      </c>
      <c r="P171" s="408" t="str">
        <f t="shared" ca="1" si="112"/>
        <v/>
      </c>
      <c r="Q171" s="408" t="str">
        <f t="shared" ca="1" si="112"/>
        <v/>
      </c>
      <c r="R171" s="410" t="str">
        <f ca="1">Cluster!J190</f>
        <v>Selection</v>
      </c>
      <c r="S171" s="411" t="str">
        <f t="shared" ca="1" si="86"/>
        <v>-</v>
      </c>
      <c r="T171" s="412" t="str">
        <f t="shared" ca="1" si="87"/>
        <v/>
      </c>
      <c r="U171" s="411" t="str">
        <f t="shared" ca="1" si="88"/>
        <v>-</v>
      </c>
      <c r="V171" s="411" t="str">
        <f t="shared" ca="1" si="89"/>
        <v>-</v>
      </c>
      <c r="W171" s="413">
        <f>Cluster!N190</f>
        <v>0</v>
      </c>
      <c r="X171" s="414" t="str">
        <f t="shared" ca="1" si="90"/>
        <v>-</v>
      </c>
      <c r="Y171" s="411" t="str">
        <f t="shared" ca="1" si="91"/>
        <v>-</v>
      </c>
      <c r="Z171" s="415" t="str">
        <f t="shared" ca="1" si="92"/>
        <v>-</v>
      </c>
      <c r="AA171" s="416" t="str">
        <f t="shared" ca="1" si="93"/>
        <v>-</v>
      </c>
      <c r="AB171" s="416" t="str">
        <f t="shared" ca="1" si="94"/>
        <v/>
      </c>
      <c r="AC171" s="434">
        <f>Cluster!Q190</f>
        <v>0</v>
      </c>
      <c r="AD171" s="435" t="str">
        <f t="shared" ca="1" si="113"/>
        <v/>
      </c>
      <c r="AE171" s="436" t="str">
        <f t="shared" ca="1" si="113"/>
        <v/>
      </c>
      <c r="AF171" s="437" t="str">
        <f t="shared" ca="1" si="95"/>
        <v>-</v>
      </c>
      <c r="AG171" s="438" t="str">
        <f t="shared" ca="1" si="96"/>
        <v>-</v>
      </c>
      <c r="AH171" s="437" t="str">
        <f t="shared" ca="1" si="97"/>
        <v>-</v>
      </c>
      <c r="AI171" s="438" t="str">
        <f t="shared" ca="1" si="98"/>
        <v>-</v>
      </c>
      <c r="AJ171" s="438" t="str">
        <f t="shared" ca="1" si="99"/>
        <v>-</v>
      </c>
      <c r="AK171" s="439" t="str">
        <f ca="1">IFERROR(AE171*AD171*AL171/(IF(Cluster!AA190=Cluster!$W$8,Cluster!$W$10,IF(Cluster!AA190=Cluster!$X$8,Cluster!$X$10,IF(Cluster!AA190=Cluster!$Y$8,Cluster!$Y$10,0)))*10^3),"-")</f>
        <v>-</v>
      </c>
      <c r="AL171" s="440" t="str">
        <f ca="1">IFERROR(IF(OR(Calculation!T171&lt;(Calculation!$U$8+2),Calculation!AC171="Bypass"),IF((IF(Calculation!$O$6/((Calculation!AD171*10^-12)/(Calculation!T171*10^-9)*50)&lt;=1,1,ROUNDUP(Calculation!$O$6/((Calculation!AD171*10^-12)/(Calculation!T171*10^-9)*50),0))*50)&lt;Calculation!$AK$6,Calculation!$AK$6,IF(Calculation!$O$6/((Calculation!AD171*10^-12)/(Calculation!T171*10^-9)*50)&lt;=1,1,ROUNDUP(Calculation!$O$6/((Calculation!AD171*10^-12)/(Calculation!T171*10^-9)*50),0))*50),"-"),"-")</f>
        <v>-</v>
      </c>
      <c r="AM171" s="441" t="str">
        <f t="shared" ca="1" si="114"/>
        <v/>
      </c>
      <c r="AN171" s="442" t="str">
        <f t="shared" ca="1" si="114"/>
        <v/>
      </c>
      <c r="AO171" s="432">
        <f t="shared" ca="1" si="100"/>
        <v>384</v>
      </c>
      <c r="AP171" s="427" t="str">
        <f t="shared" ca="1" si="101"/>
        <v>-</v>
      </c>
      <c r="AQ171" s="443" t="str">
        <f t="shared" ca="1" si="102"/>
        <v>-</v>
      </c>
      <c r="AR171" s="444" t="str">
        <f t="shared" ca="1" si="103"/>
        <v>-</v>
      </c>
      <c r="AS171" s="430" t="str">
        <f t="shared" ca="1" si="104"/>
        <v>-</v>
      </c>
    </row>
    <row r="172" spans="1:45" ht="14.25" x14ac:dyDescent="0.65">
      <c r="A172" s="407">
        <v>164</v>
      </c>
      <c r="B172" s="408" t="str">
        <f t="shared" ca="1" si="85"/>
        <v/>
      </c>
      <c r="C172" s="408" t="str">
        <f ca="1">IFERROR(IF(G172="","",CONCATENATE(E172,"-",INDEX(Coordinate,MATCH(F172,ListAndConversion!$X$4:$X$99,0),2))),"")</f>
        <v/>
      </c>
      <c r="D172" s="408" t="str">
        <f t="shared" ca="1" si="111"/>
        <v/>
      </c>
      <c r="E172" s="408" t="str">
        <f t="shared" ca="1" si="111"/>
        <v/>
      </c>
      <c r="F172" s="408" t="str">
        <f t="shared" ca="1" si="111"/>
        <v/>
      </c>
      <c r="G172" s="408" t="str">
        <f ca="1">IFERROR(INDEX(ListAndConversion!A:B,MATCH(Calculation!E172,ListAndConversion!A:A,0),2),"")</f>
        <v/>
      </c>
      <c r="H172" s="408" t="str">
        <f>IF(TrackIT_Lines!AD164="","",TrackIT_Lines!AD164)</f>
        <v/>
      </c>
      <c r="I172" s="408" t="str">
        <f>IF(TrackIT_Lines!AD164="","",CONCATENATE(TrackIT_Lines!AD164,"-",TrackIT_Lines!AG164))</f>
        <v/>
      </c>
      <c r="J172" s="409" t="str">
        <f t="shared" ca="1" si="112"/>
        <v/>
      </c>
      <c r="K172" s="408" t="str">
        <f t="shared" ca="1" si="112"/>
        <v/>
      </c>
      <c r="L172" s="408" t="str">
        <f t="shared" ca="1" si="112"/>
        <v/>
      </c>
      <c r="M172" s="408" t="str">
        <f t="shared" ca="1" si="112"/>
        <v/>
      </c>
      <c r="N172" s="408" t="str">
        <f t="shared" ca="1" si="112"/>
        <v/>
      </c>
      <c r="O172" s="408" t="str">
        <f t="shared" ca="1" si="112"/>
        <v/>
      </c>
      <c r="P172" s="408" t="str">
        <f t="shared" ca="1" si="112"/>
        <v/>
      </c>
      <c r="Q172" s="408" t="str">
        <f t="shared" ca="1" si="112"/>
        <v/>
      </c>
      <c r="R172" s="410" t="str">
        <f ca="1">Cluster!J191</f>
        <v>Selection</v>
      </c>
      <c r="S172" s="411" t="str">
        <f t="shared" ca="1" si="86"/>
        <v>-</v>
      </c>
      <c r="T172" s="412" t="str">
        <f t="shared" ca="1" si="87"/>
        <v/>
      </c>
      <c r="U172" s="411" t="str">
        <f t="shared" ca="1" si="88"/>
        <v>-</v>
      </c>
      <c r="V172" s="411" t="str">
        <f t="shared" ca="1" si="89"/>
        <v>-</v>
      </c>
      <c r="W172" s="413">
        <f>Cluster!N191</f>
        <v>0</v>
      </c>
      <c r="X172" s="414" t="str">
        <f t="shared" ca="1" si="90"/>
        <v>-</v>
      </c>
      <c r="Y172" s="411" t="str">
        <f t="shared" ca="1" si="91"/>
        <v>-</v>
      </c>
      <c r="Z172" s="415" t="str">
        <f t="shared" ca="1" si="92"/>
        <v>-</v>
      </c>
      <c r="AA172" s="416" t="str">
        <f t="shared" ca="1" si="93"/>
        <v>-</v>
      </c>
      <c r="AB172" s="416" t="str">
        <f t="shared" ca="1" si="94"/>
        <v/>
      </c>
      <c r="AC172" s="434">
        <f>Cluster!Q191</f>
        <v>0</v>
      </c>
      <c r="AD172" s="435" t="str">
        <f t="shared" ca="1" si="113"/>
        <v/>
      </c>
      <c r="AE172" s="436" t="str">
        <f t="shared" ca="1" si="113"/>
        <v/>
      </c>
      <c r="AF172" s="437" t="str">
        <f t="shared" ca="1" si="95"/>
        <v>-</v>
      </c>
      <c r="AG172" s="438" t="str">
        <f t="shared" ca="1" si="96"/>
        <v>-</v>
      </c>
      <c r="AH172" s="437" t="str">
        <f t="shared" ca="1" si="97"/>
        <v>-</v>
      </c>
      <c r="AI172" s="438" t="str">
        <f t="shared" ca="1" si="98"/>
        <v>-</v>
      </c>
      <c r="AJ172" s="438" t="str">
        <f t="shared" ca="1" si="99"/>
        <v>-</v>
      </c>
      <c r="AK172" s="439" t="str">
        <f ca="1">IFERROR(AE172*AD172*AL172/(IF(Cluster!AA191=Cluster!$W$8,Cluster!$W$10,IF(Cluster!AA191=Cluster!$X$8,Cluster!$X$10,IF(Cluster!AA191=Cluster!$Y$8,Cluster!$Y$10,0)))*10^3),"-")</f>
        <v>-</v>
      </c>
      <c r="AL172" s="440" t="str">
        <f ca="1">IFERROR(IF(OR(Calculation!T172&lt;(Calculation!$U$8+2),Calculation!AC172="Bypass"),IF((IF(Calculation!$O$6/((Calculation!AD172*10^-12)/(Calculation!T172*10^-9)*50)&lt;=1,1,ROUNDUP(Calculation!$O$6/((Calculation!AD172*10^-12)/(Calculation!T172*10^-9)*50),0))*50)&lt;Calculation!$AK$6,Calculation!$AK$6,IF(Calculation!$O$6/((Calculation!AD172*10^-12)/(Calculation!T172*10^-9)*50)&lt;=1,1,ROUNDUP(Calculation!$O$6/((Calculation!AD172*10^-12)/(Calculation!T172*10^-9)*50),0))*50),"-"),"-")</f>
        <v>-</v>
      </c>
      <c r="AM172" s="441" t="str">
        <f t="shared" ca="1" si="114"/>
        <v/>
      </c>
      <c r="AN172" s="442" t="str">
        <f t="shared" ca="1" si="114"/>
        <v/>
      </c>
      <c r="AO172" s="432">
        <f t="shared" ca="1" si="100"/>
        <v>384</v>
      </c>
      <c r="AP172" s="427" t="str">
        <f t="shared" ca="1" si="101"/>
        <v>-</v>
      </c>
      <c r="AQ172" s="443" t="str">
        <f t="shared" ca="1" si="102"/>
        <v>-</v>
      </c>
      <c r="AR172" s="444" t="str">
        <f t="shared" ca="1" si="103"/>
        <v>-</v>
      </c>
      <c r="AS172" s="430" t="str">
        <f t="shared" ca="1" si="104"/>
        <v>-</v>
      </c>
    </row>
    <row r="173" spans="1:45" ht="14.25" x14ac:dyDescent="0.65">
      <c r="A173" s="407">
        <v>165</v>
      </c>
      <c r="B173" s="408" t="str">
        <f t="shared" ca="1" si="85"/>
        <v/>
      </c>
      <c r="C173" s="408" t="str">
        <f ca="1">IFERROR(IF(G173="","",CONCATENATE(E173,"-",INDEX(Coordinate,MATCH(F173,ListAndConversion!$X$4:$X$99,0),2))),"")</f>
        <v/>
      </c>
      <c r="D173" s="408" t="str">
        <f t="shared" ca="1" si="111"/>
        <v/>
      </c>
      <c r="E173" s="408" t="str">
        <f t="shared" ca="1" si="111"/>
        <v/>
      </c>
      <c r="F173" s="408" t="str">
        <f t="shared" ca="1" si="111"/>
        <v/>
      </c>
      <c r="G173" s="408" t="str">
        <f ca="1">IFERROR(INDEX(ListAndConversion!A:B,MATCH(Calculation!E173,ListAndConversion!A:A,0),2),"")</f>
        <v/>
      </c>
      <c r="H173" s="408" t="str">
        <f>IF(TrackIT_Lines!AD165="","",TrackIT_Lines!AD165)</f>
        <v/>
      </c>
      <c r="I173" s="408" t="str">
        <f>IF(TrackIT_Lines!AD165="","",CONCATENATE(TrackIT_Lines!AD165,"-",TrackIT_Lines!AG165))</f>
        <v/>
      </c>
      <c r="J173" s="409" t="str">
        <f t="shared" ca="1" si="112"/>
        <v/>
      </c>
      <c r="K173" s="408" t="str">
        <f t="shared" ca="1" si="112"/>
        <v/>
      </c>
      <c r="L173" s="408" t="str">
        <f t="shared" ca="1" si="112"/>
        <v/>
      </c>
      <c r="M173" s="408" t="str">
        <f t="shared" ca="1" si="112"/>
        <v/>
      </c>
      <c r="N173" s="408" t="str">
        <f t="shared" ca="1" si="112"/>
        <v/>
      </c>
      <c r="O173" s="408" t="str">
        <f t="shared" ca="1" si="112"/>
        <v/>
      </c>
      <c r="P173" s="408" t="str">
        <f t="shared" ca="1" si="112"/>
        <v/>
      </c>
      <c r="Q173" s="408" t="str">
        <f t="shared" ca="1" si="112"/>
        <v/>
      </c>
      <c r="R173" s="410" t="str">
        <f ca="1">Cluster!J192</f>
        <v>Selection</v>
      </c>
      <c r="S173" s="411" t="str">
        <f t="shared" ca="1" si="86"/>
        <v>-</v>
      </c>
      <c r="T173" s="412" t="str">
        <f t="shared" ca="1" si="87"/>
        <v/>
      </c>
      <c r="U173" s="411" t="str">
        <f t="shared" ca="1" si="88"/>
        <v>-</v>
      </c>
      <c r="V173" s="411" t="str">
        <f t="shared" ca="1" si="89"/>
        <v>-</v>
      </c>
      <c r="W173" s="413">
        <f>Cluster!N192</f>
        <v>0</v>
      </c>
      <c r="X173" s="414" t="str">
        <f t="shared" ca="1" si="90"/>
        <v>-</v>
      </c>
      <c r="Y173" s="411" t="str">
        <f t="shared" ca="1" si="91"/>
        <v>-</v>
      </c>
      <c r="Z173" s="415" t="str">
        <f t="shared" ca="1" si="92"/>
        <v>-</v>
      </c>
      <c r="AA173" s="416" t="str">
        <f t="shared" ca="1" si="93"/>
        <v>-</v>
      </c>
      <c r="AB173" s="416" t="str">
        <f t="shared" ca="1" si="94"/>
        <v/>
      </c>
      <c r="AC173" s="434">
        <f>Cluster!Q192</f>
        <v>0</v>
      </c>
      <c r="AD173" s="435" t="str">
        <f t="shared" ca="1" si="113"/>
        <v/>
      </c>
      <c r="AE173" s="436" t="str">
        <f t="shared" ca="1" si="113"/>
        <v/>
      </c>
      <c r="AF173" s="437" t="str">
        <f t="shared" ca="1" si="95"/>
        <v>-</v>
      </c>
      <c r="AG173" s="438" t="str">
        <f t="shared" ca="1" si="96"/>
        <v>-</v>
      </c>
      <c r="AH173" s="437" t="str">
        <f t="shared" ca="1" si="97"/>
        <v>-</v>
      </c>
      <c r="AI173" s="438" t="str">
        <f t="shared" ca="1" si="98"/>
        <v>-</v>
      </c>
      <c r="AJ173" s="438" t="str">
        <f t="shared" ca="1" si="99"/>
        <v>-</v>
      </c>
      <c r="AK173" s="439" t="str">
        <f ca="1">IFERROR(AE173*AD173*AL173/(IF(Cluster!AA192=Cluster!$W$8,Cluster!$W$10,IF(Cluster!AA192=Cluster!$X$8,Cluster!$X$10,IF(Cluster!AA192=Cluster!$Y$8,Cluster!$Y$10,0)))*10^3),"-")</f>
        <v>-</v>
      </c>
      <c r="AL173" s="440" t="str">
        <f ca="1">IFERROR(IF(OR(Calculation!T173&lt;(Calculation!$U$8+2),Calculation!AC173="Bypass"),IF((IF(Calculation!$O$6/((Calculation!AD173*10^-12)/(Calculation!T173*10^-9)*50)&lt;=1,1,ROUNDUP(Calculation!$O$6/((Calculation!AD173*10^-12)/(Calculation!T173*10^-9)*50),0))*50)&lt;Calculation!$AK$6,Calculation!$AK$6,IF(Calculation!$O$6/((Calculation!AD173*10^-12)/(Calculation!T173*10^-9)*50)&lt;=1,1,ROUNDUP(Calculation!$O$6/((Calculation!AD173*10^-12)/(Calculation!T173*10^-9)*50),0))*50),"-"),"-")</f>
        <v>-</v>
      </c>
      <c r="AM173" s="441" t="str">
        <f t="shared" ca="1" si="114"/>
        <v/>
      </c>
      <c r="AN173" s="442" t="str">
        <f t="shared" ca="1" si="114"/>
        <v/>
      </c>
      <c r="AO173" s="432">
        <f t="shared" ca="1" si="100"/>
        <v>384</v>
      </c>
      <c r="AP173" s="427" t="str">
        <f t="shared" ca="1" si="101"/>
        <v>-</v>
      </c>
      <c r="AQ173" s="443" t="str">
        <f t="shared" ca="1" si="102"/>
        <v>-</v>
      </c>
      <c r="AR173" s="444" t="str">
        <f t="shared" ca="1" si="103"/>
        <v>-</v>
      </c>
      <c r="AS173" s="430" t="str">
        <f t="shared" ca="1" si="104"/>
        <v>-</v>
      </c>
    </row>
    <row r="174" spans="1:45" ht="14.25" x14ac:dyDescent="0.65">
      <c r="A174" s="407">
        <v>166</v>
      </c>
      <c r="B174" s="408" t="str">
        <f t="shared" ca="1" si="85"/>
        <v/>
      </c>
      <c r="C174" s="408" t="str">
        <f ca="1">IFERROR(IF(G174="","",CONCATENATE(E174,"-",INDEX(Coordinate,MATCH(F174,ListAndConversion!$X$4:$X$99,0),2))),"")</f>
        <v/>
      </c>
      <c r="D174" s="408" t="str">
        <f t="shared" ca="1" si="111"/>
        <v/>
      </c>
      <c r="E174" s="408" t="str">
        <f t="shared" ca="1" si="111"/>
        <v/>
      </c>
      <c r="F174" s="408" t="str">
        <f t="shared" ca="1" si="111"/>
        <v/>
      </c>
      <c r="G174" s="408" t="str">
        <f ca="1">IFERROR(INDEX(ListAndConversion!A:B,MATCH(Calculation!E174,ListAndConversion!A:A,0),2),"")</f>
        <v/>
      </c>
      <c r="H174" s="408" t="str">
        <f>IF(TrackIT_Lines!AD166="","",TrackIT_Lines!AD166)</f>
        <v/>
      </c>
      <c r="I174" s="408" t="str">
        <f>IF(TrackIT_Lines!AD166="","",CONCATENATE(TrackIT_Lines!AD166,"-",TrackIT_Lines!AG166))</f>
        <v/>
      </c>
      <c r="J174" s="409" t="str">
        <f t="shared" ca="1" si="112"/>
        <v/>
      </c>
      <c r="K174" s="408" t="str">
        <f t="shared" ca="1" si="112"/>
        <v/>
      </c>
      <c r="L174" s="408" t="str">
        <f t="shared" ca="1" si="112"/>
        <v/>
      </c>
      <c r="M174" s="408" t="str">
        <f t="shared" ca="1" si="112"/>
        <v/>
      </c>
      <c r="N174" s="408" t="str">
        <f t="shared" ca="1" si="112"/>
        <v/>
      </c>
      <c r="O174" s="408" t="str">
        <f t="shared" ca="1" si="112"/>
        <v/>
      </c>
      <c r="P174" s="408" t="str">
        <f t="shared" ca="1" si="112"/>
        <v/>
      </c>
      <c r="Q174" s="408" t="str">
        <f t="shared" ca="1" si="112"/>
        <v/>
      </c>
      <c r="R174" s="410" t="str">
        <f ca="1">Cluster!J193</f>
        <v>Selection</v>
      </c>
      <c r="S174" s="411" t="str">
        <f t="shared" ca="1" si="86"/>
        <v>-</v>
      </c>
      <c r="T174" s="412" t="str">
        <f t="shared" ca="1" si="87"/>
        <v/>
      </c>
      <c r="U174" s="411" t="str">
        <f t="shared" ca="1" si="88"/>
        <v>-</v>
      </c>
      <c r="V174" s="411" t="str">
        <f t="shared" ca="1" si="89"/>
        <v>-</v>
      </c>
      <c r="W174" s="413">
        <f>Cluster!N193</f>
        <v>0</v>
      </c>
      <c r="X174" s="414" t="str">
        <f t="shared" ca="1" si="90"/>
        <v>-</v>
      </c>
      <c r="Y174" s="411" t="str">
        <f t="shared" ca="1" si="91"/>
        <v>-</v>
      </c>
      <c r="Z174" s="415" t="str">
        <f t="shared" ca="1" si="92"/>
        <v>-</v>
      </c>
      <c r="AA174" s="416" t="str">
        <f t="shared" ca="1" si="93"/>
        <v>-</v>
      </c>
      <c r="AB174" s="416" t="str">
        <f t="shared" ca="1" si="94"/>
        <v/>
      </c>
      <c r="AC174" s="434">
        <f>Cluster!Q193</f>
        <v>0</v>
      </c>
      <c r="AD174" s="435" t="str">
        <f t="shared" ca="1" si="113"/>
        <v/>
      </c>
      <c r="AE174" s="436" t="str">
        <f t="shared" ca="1" si="113"/>
        <v/>
      </c>
      <c r="AF174" s="437" t="str">
        <f t="shared" ca="1" si="95"/>
        <v>-</v>
      </c>
      <c r="AG174" s="438" t="str">
        <f t="shared" ca="1" si="96"/>
        <v>-</v>
      </c>
      <c r="AH174" s="437" t="str">
        <f t="shared" ca="1" si="97"/>
        <v>-</v>
      </c>
      <c r="AI174" s="438" t="str">
        <f t="shared" ca="1" si="98"/>
        <v>-</v>
      </c>
      <c r="AJ174" s="438" t="str">
        <f t="shared" ca="1" si="99"/>
        <v>-</v>
      </c>
      <c r="AK174" s="439" t="str">
        <f ca="1">IFERROR(AE174*AD174*AL174/(IF(Cluster!AA193=Cluster!$W$8,Cluster!$W$10,IF(Cluster!AA193=Cluster!$X$8,Cluster!$X$10,IF(Cluster!AA193=Cluster!$Y$8,Cluster!$Y$10,0)))*10^3),"-")</f>
        <v>-</v>
      </c>
      <c r="AL174" s="440" t="str">
        <f ca="1">IFERROR(IF(OR(Calculation!T174&lt;(Calculation!$U$8+2),Calculation!AC174="Bypass"),IF((IF(Calculation!$O$6/((Calculation!AD174*10^-12)/(Calculation!T174*10^-9)*50)&lt;=1,1,ROUNDUP(Calculation!$O$6/((Calculation!AD174*10^-12)/(Calculation!T174*10^-9)*50),0))*50)&lt;Calculation!$AK$6,Calculation!$AK$6,IF(Calculation!$O$6/((Calculation!AD174*10^-12)/(Calculation!T174*10^-9)*50)&lt;=1,1,ROUNDUP(Calculation!$O$6/((Calculation!AD174*10^-12)/(Calculation!T174*10^-9)*50),0))*50),"-"),"-")</f>
        <v>-</v>
      </c>
      <c r="AM174" s="441" t="str">
        <f t="shared" ca="1" si="114"/>
        <v/>
      </c>
      <c r="AN174" s="442" t="str">
        <f t="shared" ca="1" si="114"/>
        <v/>
      </c>
      <c r="AO174" s="432">
        <f t="shared" ca="1" si="100"/>
        <v>384</v>
      </c>
      <c r="AP174" s="427" t="str">
        <f t="shared" ca="1" si="101"/>
        <v>-</v>
      </c>
      <c r="AQ174" s="443" t="str">
        <f t="shared" ca="1" si="102"/>
        <v>-</v>
      </c>
      <c r="AR174" s="444" t="str">
        <f t="shared" ca="1" si="103"/>
        <v>-</v>
      </c>
      <c r="AS174" s="430" t="str">
        <f t="shared" ca="1" si="104"/>
        <v>-</v>
      </c>
    </row>
    <row r="175" spans="1:45" ht="14.25" x14ac:dyDescent="0.65">
      <c r="A175" s="407">
        <v>167</v>
      </c>
      <c r="B175" s="408" t="str">
        <f t="shared" ca="1" si="85"/>
        <v/>
      </c>
      <c r="C175" s="408" t="str">
        <f ca="1">IFERROR(IF(G175="","",CONCATENATE(E175,"-",INDEX(Coordinate,MATCH(F175,ListAndConversion!$X$4:$X$99,0),2))),"")</f>
        <v/>
      </c>
      <c r="D175" s="408" t="str">
        <f t="shared" ca="1" si="111"/>
        <v/>
      </c>
      <c r="E175" s="408" t="str">
        <f t="shared" ca="1" si="111"/>
        <v/>
      </c>
      <c r="F175" s="408" t="str">
        <f t="shared" ca="1" si="111"/>
        <v/>
      </c>
      <c r="G175" s="408" t="str">
        <f ca="1">IFERROR(INDEX(ListAndConversion!A:B,MATCH(Calculation!E175,ListAndConversion!A:A,0),2),"")</f>
        <v/>
      </c>
      <c r="H175" s="408" t="str">
        <f>IF(TrackIT_Lines!AD167="","",TrackIT_Lines!AD167)</f>
        <v/>
      </c>
      <c r="I175" s="408" t="str">
        <f>IF(TrackIT_Lines!AD167="","",CONCATENATE(TrackIT_Lines!AD167,"-",TrackIT_Lines!AG167))</f>
        <v/>
      </c>
      <c r="J175" s="409" t="str">
        <f t="shared" ca="1" si="112"/>
        <v/>
      </c>
      <c r="K175" s="408" t="str">
        <f t="shared" ca="1" si="112"/>
        <v/>
      </c>
      <c r="L175" s="408" t="str">
        <f t="shared" ca="1" si="112"/>
        <v/>
      </c>
      <c r="M175" s="408" t="str">
        <f t="shared" ca="1" si="112"/>
        <v/>
      </c>
      <c r="N175" s="408" t="str">
        <f t="shared" ca="1" si="112"/>
        <v/>
      </c>
      <c r="O175" s="408" t="str">
        <f t="shared" ca="1" si="112"/>
        <v/>
      </c>
      <c r="P175" s="408" t="str">
        <f t="shared" ca="1" si="112"/>
        <v/>
      </c>
      <c r="Q175" s="408" t="str">
        <f t="shared" ca="1" si="112"/>
        <v/>
      </c>
      <c r="R175" s="410" t="str">
        <f ca="1">Cluster!J194</f>
        <v>Selection</v>
      </c>
      <c r="S175" s="411" t="str">
        <f t="shared" ca="1" si="86"/>
        <v>-</v>
      </c>
      <c r="T175" s="412" t="str">
        <f t="shared" ca="1" si="87"/>
        <v/>
      </c>
      <c r="U175" s="411" t="str">
        <f t="shared" ca="1" si="88"/>
        <v>-</v>
      </c>
      <c r="V175" s="411" t="str">
        <f t="shared" ca="1" si="89"/>
        <v>-</v>
      </c>
      <c r="W175" s="413">
        <f>Cluster!N194</f>
        <v>0</v>
      </c>
      <c r="X175" s="414" t="str">
        <f t="shared" ca="1" si="90"/>
        <v>-</v>
      </c>
      <c r="Y175" s="411" t="str">
        <f t="shared" ca="1" si="91"/>
        <v>-</v>
      </c>
      <c r="Z175" s="415" t="str">
        <f t="shared" ca="1" si="92"/>
        <v>-</v>
      </c>
      <c r="AA175" s="416" t="str">
        <f t="shared" ca="1" si="93"/>
        <v>-</v>
      </c>
      <c r="AB175" s="416" t="str">
        <f t="shared" ca="1" si="94"/>
        <v/>
      </c>
      <c r="AC175" s="434">
        <f>Cluster!Q194</f>
        <v>0</v>
      </c>
      <c r="AD175" s="435" t="str">
        <f t="shared" ca="1" si="113"/>
        <v/>
      </c>
      <c r="AE175" s="436" t="str">
        <f t="shared" ca="1" si="113"/>
        <v/>
      </c>
      <c r="AF175" s="437" t="str">
        <f t="shared" ca="1" si="95"/>
        <v>-</v>
      </c>
      <c r="AG175" s="438" t="str">
        <f t="shared" ca="1" si="96"/>
        <v>-</v>
      </c>
      <c r="AH175" s="437" t="str">
        <f t="shared" ca="1" si="97"/>
        <v>-</v>
      </c>
      <c r="AI175" s="438" t="str">
        <f t="shared" ca="1" si="98"/>
        <v>-</v>
      </c>
      <c r="AJ175" s="438" t="str">
        <f t="shared" ca="1" si="99"/>
        <v>-</v>
      </c>
      <c r="AK175" s="439" t="str">
        <f ca="1">IFERROR(AE175*AD175*AL175/(IF(Cluster!AA194=Cluster!$W$8,Cluster!$W$10,IF(Cluster!AA194=Cluster!$X$8,Cluster!$X$10,IF(Cluster!AA194=Cluster!$Y$8,Cluster!$Y$10,0)))*10^3),"-")</f>
        <v>-</v>
      </c>
      <c r="AL175" s="440" t="str">
        <f ca="1">IFERROR(IF(OR(Calculation!T175&lt;(Calculation!$U$8+2),Calculation!AC175="Bypass"),IF((IF(Calculation!$O$6/((Calculation!AD175*10^-12)/(Calculation!T175*10^-9)*50)&lt;=1,1,ROUNDUP(Calculation!$O$6/((Calculation!AD175*10^-12)/(Calculation!T175*10^-9)*50),0))*50)&lt;Calculation!$AK$6,Calculation!$AK$6,IF(Calculation!$O$6/((Calculation!AD175*10^-12)/(Calculation!T175*10^-9)*50)&lt;=1,1,ROUNDUP(Calculation!$O$6/((Calculation!AD175*10^-12)/(Calculation!T175*10^-9)*50),0))*50),"-"),"-")</f>
        <v>-</v>
      </c>
      <c r="AM175" s="441" t="str">
        <f t="shared" ca="1" si="114"/>
        <v/>
      </c>
      <c r="AN175" s="442" t="str">
        <f t="shared" ca="1" si="114"/>
        <v/>
      </c>
      <c r="AO175" s="432">
        <f t="shared" ca="1" si="100"/>
        <v>384</v>
      </c>
      <c r="AP175" s="427" t="str">
        <f t="shared" ca="1" si="101"/>
        <v>-</v>
      </c>
      <c r="AQ175" s="443" t="str">
        <f t="shared" ca="1" si="102"/>
        <v>-</v>
      </c>
      <c r="AR175" s="444" t="str">
        <f t="shared" ca="1" si="103"/>
        <v>-</v>
      </c>
      <c r="AS175" s="430" t="str">
        <f t="shared" ca="1" si="104"/>
        <v>-</v>
      </c>
    </row>
    <row r="176" spans="1:45" ht="14.25" x14ac:dyDescent="0.65">
      <c r="A176" s="407">
        <v>168</v>
      </c>
      <c r="B176" s="408" t="str">
        <f t="shared" ca="1" si="85"/>
        <v/>
      </c>
      <c r="C176" s="408" t="str">
        <f ca="1">IFERROR(IF(G176="","",CONCATENATE(E176,"-",INDEX(Coordinate,MATCH(F176,ListAndConversion!$X$4:$X$99,0),2))),"")</f>
        <v/>
      </c>
      <c r="D176" s="408" t="str">
        <f t="shared" ca="1" si="111"/>
        <v/>
      </c>
      <c r="E176" s="408" t="str">
        <f t="shared" ca="1" si="111"/>
        <v/>
      </c>
      <c r="F176" s="408" t="str">
        <f t="shared" ca="1" si="111"/>
        <v/>
      </c>
      <c r="G176" s="408" t="str">
        <f ca="1">IFERROR(INDEX(ListAndConversion!A:B,MATCH(Calculation!E176,ListAndConversion!A:A,0),2),"")</f>
        <v/>
      </c>
      <c r="H176" s="408" t="str">
        <f>IF(TrackIT_Lines!AD168="","",TrackIT_Lines!AD168)</f>
        <v/>
      </c>
      <c r="I176" s="408" t="str">
        <f>IF(TrackIT_Lines!AD168="","",CONCATENATE(TrackIT_Lines!AD168,"-",TrackIT_Lines!AG168))</f>
        <v/>
      </c>
      <c r="J176" s="409" t="str">
        <f t="shared" ca="1" si="112"/>
        <v/>
      </c>
      <c r="K176" s="408" t="str">
        <f t="shared" ca="1" si="112"/>
        <v/>
      </c>
      <c r="L176" s="408" t="str">
        <f t="shared" ca="1" si="112"/>
        <v/>
      </c>
      <c r="M176" s="408" t="str">
        <f t="shared" ca="1" si="112"/>
        <v/>
      </c>
      <c r="N176" s="408" t="str">
        <f t="shared" ca="1" si="112"/>
        <v/>
      </c>
      <c r="O176" s="408" t="str">
        <f t="shared" ca="1" si="112"/>
        <v/>
      </c>
      <c r="P176" s="408" t="str">
        <f t="shared" ca="1" si="112"/>
        <v/>
      </c>
      <c r="Q176" s="408" t="str">
        <f t="shared" ca="1" si="112"/>
        <v/>
      </c>
      <c r="R176" s="410" t="str">
        <f ca="1">Cluster!J195</f>
        <v>Selection</v>
      </c>
      <c r="S176" s="411" t="str">
        <f t="shared" ca="1" si="86"/>
        <v>-</v>
      </c>
      <c r="T176" s="412" t="str">
        <f t="shared" ca="1" si="87"/>
        <v/>
      </c>
      <c r="U176" s="411" t="str">
        <f t="shared" ca="1" si="88"/>
        <v>-</v>
      </c>
      <c r="V176" s="411" t="str">
        <f t="shared" ca="1" si="89"/>
        <v>-</v>
      </c>
      <c r="W176" s="413">
        <f>Cluster!N195</f>
        <v>0</v>
      </c>
      <c r="X176" s="414" t="str">
        <f t="shared" ca="1" si="90"/>
        <v>-</v>
      </c>
      <c r="Y176" s="411" t="str">
        <f t="shared" ca="1" si="91"/>
        <v>-</v>
      </c>
      <c r="Z176" s="415" t="str">
        <f t="shared" ca="1" si="92"/>
        <v>-</v>
      </c>
      <c r="AA176" s="416" t="str">
        <f t="shared" ca="1" si="93"/>
        <v>-</v>
      </c>
      <c r="AB176" s="416" t="str">
        <f t="shared" ca="1" si="94"/>
        <v/>
      </c>
      <c r="AC176" s="434">
        <f>Cluster!Q195</f>
        <v>0</v>
      </c>
      <c r="AD176" s="435" t="str">
        <f t="shared" ca="1" si="113"/>
        <v/>
      </c>
      <c r="AE176" s="436" t="str">
        <f t="shared" ca="1" si="113"/>
        <v/>
      </c>
      <c r="AF176" s="437" t="str">
        <f t="shared" ca="1" si="95"/>
        <v>-</v>
      </c>
      <c r="AG176" s="438" t="str">
        <f t="shared" ca="1" si="96"/>
        <v>-</v>
      </c>
      <c r="AH176" s="437" t="str">
        <f t="shared" ca="1" si="97"/>
        <v>-</v>
      </c>
      <c r="AI176" s="438" t="str">
        <f t="shared" ca="1" si="98"/>
        <v>-</v>
      </c>
      <c r="AJ176" s="438" t="str">
        <f t="shared" ca="1" si="99"/>
        <v>-</v>
      </c>
      <c r="AK176" s="439" t="str">
        <f ca="1">IFERROR(AE176*AD176*AL176/(IF(Cluster!AA195=Cluster!$W$8,Cluster!$W$10,IF(Cluster!AA195=Cluster!$X$8,Cluster!$X$10,IF(Cluster!AA195=Cluster!$Y$8,Cluster!$Y$10,0)))*10^3),"-")</f>
        <v>-</v>
      </c>
      <c r="AL176" s="440" t="str">
        <f ca="1">IFERROR(IF(OR(Calculation!T176&lt;(Calculation!$U$8+2),Calculation!AC176="Bypass"),IF((IF(Calculation!$O$6/((Calculation!AD176*10^-12)/(Calculation!T176*10^-9)*50)&lt;=1,1,ROUNDUP(Calculation!$O$6/((Calculation!AD176*10^-12)/(Calculation!T176*10^-9)*50),0))*50)&lt;Calculation!$AK$6,Calculation!$AK$6,IF(Calculation!$O$6/((Calculation!AD176*10^-12)/(Calculation!T176*10^-9)*50)&lt;=1,1,ROUNDUP(Calculation!$O$6/((Calculation!AD176*10^-12)/(Calculation!T176*10^-9)*50),0))*50),"-"),"-")</f>
        <v>-</v>
      </c>
      <c r="AM176" s="441" t="str">
        <f t="shared" ca="1" si="114"/>
        <v/>
      </c>
      <c r="AN176" s="442" t="str">
        <f t="shared" ca="1" si="114"/>
        <v/>
      </c>
      <c r="AO176" s="432">
        <f t="shared" ca="1" si="100"/>
        <v>384</v>
      </c>
      <c r="AP176" s="427" t="str">
        <f t="shared" ca="1" si="101"/>
        <v>-</v>
      </c>
      <c r="AQ176" s="443" t="str">
        <f t="shared" ca="1" si="102"/>
        <v>-</v>
      </c>
      <c r="AR176" s="444" t="str">
        <f t="shared" ca="1" si="103"/>
        <v>-</v>
      </c>
      <c r="AS176" s="430" t="str">
        <f t="shared" ca="1" si="104"/>
        <v>-</v>
      </c>
    </row>
    <row r="177" spans="1:45" ht="14.25" x14ac:dyDescent="0.65">
      <c r="A177" s="407">
        <v>169</v>
      </c>
      <c r="B177" s="408" t="str">
        <f t="shared" ca="1" si="85"/>
        <v/>
      </c>
      <c r="C177" s="408" t="str">
        <f ca="1">IFERROR(IF(G177="","",CONCATENATE(E177,"-",INDEX(Coordinate,MATCH(F177,ListAndConversion!$X$4:$X$99,0),2))),"")</f>
        <v/>
      </c>
      <c r="D177" s="408" t="str">
        <f t="shared" ca="1" si="111"/>
        <v/>
      </c>
      <c r="E177" s="408" t="str">
        <f t="shared" ca="1" si="111"/>
        <v/>
      </c>
      <c r="F177" s="408" t="str">
        <f t="shared" ca="1" si="111"/>
        <v/>
      </c>
      <c r="G177" s="408" t="str">
        <f ca="1">IFERROR(INDEX(ListAndConversion!A:B,MATCH(Calculation!E177,ListAndConversion!A:A,0),2),"")</f>
        <v/>
      </c>
      <c r="H177" s="408" t="str">
        <f>IF(TrackIT_Lines!AD169="","",TrackIT_Lines!AD169)</f>
        <v/>
      </c>
      <c r="I177" s="408" t="str">
        <f>IF(TrackIT_Lines!AD169="","",CONCATENATE(TrackIT_Lines!AD169,"-",TrackIT_Lines!AG169))</f>
        <v/>
      </c>
      <c r="J177" s="409" t="str">
        <f t="shared" ca="1" si="112"/>
        <v/>
      </c>
      <c r="K177" s="408" t="str">
        <f t="shared" ca="1" si="112"/>
        <v/>
      </c>
      <c r="L177" s="408" t="str">
        <f t="shared" ca="1" si="112"/>
        <v/>
      </c>
      <c r="M177" s="408" t="str">
        <f t="shared" ca="1" si="112"/>
        <v/>
      </c>
      <c r="N177" s="408" t="str">
        <f t="shared" ca="1" si="112"/>
        <v/>
      </c>
      <c r="O177" s="408" t="str">
        <f t="shared" ca="1" si="112"/>
        <v/>
      </c>
      <c r="P177" s="408" t="str">
        <f t="shared" ca="1" si="112"/>
        <v/>
      </c>
      <c r="Q177" s="408" t="str">
        <f t="shared" ca="1" si="112"/>
        <v/>
      </c>
      <c r="R177" s="410" t="str">
        <f ca="1">Cluster!J196</f>
        <v>Selection</v>
      </c>
      <c r="S177" s="411" t="str">
        <f t="shared" ca="1" si="86"/>
        <v>-</v>
      </c>
      <c r="T177" s="412" t="str">
        <f t="shared" ca="1" si="87"/>
        <v/>
      </c>
      <c r="U177" s="411" t="str">
        <f t="shared" ca="1" si="88"/>
        <v>-</v>
      </c>
      <c r="V177" s="411" t="str">
        <f t="shared" ca="1" si="89"/>
        <v>-</v>
      </c>
      <c r="W177" s="413">
        <f>Cluster!N196</f>
        <v>0</v>
      </c>
      <c r="X177" s="414" t="str">
        <f t="shared" ca="1" si="90"/>
        <v>-</v>
      </c>
      <c r="Y177" s="411" t="str">
        <f t="shared" ca="1" si="91"/>
        <v>-</v>
      </c>
      <c r="Z177" s="415" t="str">
        <f t="shared" ca="1" si="92"/>
        <v>-</v>
      </c>
      <c r="AA177" s="416" t="str">
        <f t="shared" ca="1" si="93"/>
        <v>-</v>
      </c>
      <c r="AB177" s="416" t="str">
        <f t="shared" ca="1" si="94"/>
        <v/>
      </c>
      <c r="AC177" s="434">
        <f>Cluster!Q196</f>
        <v>0</v>
      </c>
      <c r="AD177" s="435" t="str">
        <f t="shared" ca="1" si="113"/>
        <v/>
      </c>
      <c r="AE177" s="436" t="str">
        <f t="shared" ca="1" si="113"/>
        <v/>
      </c>
      <c r="AF177" s="437" t="str">
        <f t="shared" ca="1" si="95"/>
        <v>-</v>
      </c>
      <c r="AG177" s="438" t="str">
        <f t="shared" ca="1" si="96"/>
        <v>-</v>
      </c>
      <c r="AH177" s="437" t="str">
        <f t="shared" ca="1" si="97"/>
        <v>-</v>
      </c>
      <c r="AI177" s="438" t="str">
        <f t="shared" ca="1" si="98"/>
        <v>-</v>
      </c>
      <c r="AJ177" s="438" t="str">
        <f t="shared" ca="1" si="99"/>
        <v>-</v>
      </c>
      <c r="AK177" s="439" t="str">
        <f ca="1">IFERROR(AE177*AD177*AL177/(IF(Cluster!AA196=Cluster!$W$8,Cluster!$W$10,IF(Cluster!AA196=Cluster!$X$8,Cluster!$X$10,IF(Cluster!AA196=Cluster!$Y$8,Cluster!$Y$10,0)))*10^3),"-")</f>
        <v>-</v>
      </c>
      <c r="AL177" s="440" t="str">
        <f ca="1">IFERROR(IF(OR(Calculation!T177&lt;(Calculation!$U$8+2),Calculation!AC177="Bypass"),IF((IF(Calculation!$O$6/((Calculation!AD177*10^-12)/(Calculation!T177*10^-9)*50)&lt;=1,1,ROUNDUP(Calculation!$O$6/((Calculation!AD177*10^-12)/(Calculation!T177*10^-9)*50),0))*50)&lt;Calculation!$AK$6,Calculation!$AK$6,IF(Calculation!$O$6/((Calculation!AD177*10^-12)/(Calculation!T177*10^-9)*50)&lt;=1,1,ROUNDUP(Calculation!$O$6/((Calculation!AD177*10^-12)/(Calculation!T177*10^-9)*50),0))*50),"-"),"-")</f>
        <v>-</v>
      </c>
      <c r="AM177" s="441" t="str">
        <f t="shared" ca="1" si="114"/>
        <v/>
      </c>
      <c r="AN177" s="442" t="str">
        <f t="shared" ca="1" si="114"/>
        <v/>
      </c>
      <c r="AO177" s="432">
        <f t="shared" ca="1" si="100"/>
        <v>384</v>
      </c>
      <c r="AP177" s="427" t="str">
        <f t="shared" ca="1" si="101"/>
        <v>-</v>
      </c>
      <c r="AQ177" s="443" t="str">
        <f t="shared" ca="1" si="102"/>
        <v>-</v>
      </c>
      <c r="AR177" s="444" t="str">
        <f t="shared" ca="1" si="103"/>
        <v>-</v>
      </c>
      <c r="AS177" s="430" t="str">
        <f t="shared" ca="1" si="104"/>
        <v>-</v>
      </c>
    </row>
    <row r="178" spans="1:45" ht="14.25" x14ac:dyDescent="0.65">
      <c r="A178" s="407">
        <v>170</v>
      </c>
      <c r="B178" s="408" t="str">
        <f t="shared" ca="1" si="85"/>
        <v/>
      </c>
      <c r="C178" s="408" t="str">
        <f ca="1">IFERROR(IF(G178="","",CONCATENATE(E178,"-",INDEX(Coordinate,MATCH(F178,ListAndConversion!$X$4:$X$99,0),2))),"")</f>
        <v/>
      </c>
      <c r="D178" s="408" t="str">
        <f t="shared" ca="1" si="111"/>
        <v/>
      </c>
      <c r="E178" s="408" t="str">
        <f t="shared" ca="1" si="111"/>
        <v/>
      </c>
      <c r="F178" s="408" t="str">
        <f t="shared" ca="1" si="111"/>
        <v/>
      </c>
      <c r="G178" s="408" t="str">
        <f ca="1">IFERROR(INDEX(ListAndConversion!A:B,MATCH(Calculation!E178,ListAndConversion!A:A,0),2),"")</f>
        <v/>
      </c>
      <c r="H178" s="408" t="str">
        <f>IF(TrackIT_Lines!AD170="","",TrackIT_Lines!AD170)</f>
        <v/>
      </c>
      <c r="I178" s="408" t="str">
        <f>IF(TrackIT_Lines!AD170="","",CONCATENATE(TrackIT_Lines!AD170,"-",TrackIT_Lines!AG170))</f>
        <v/>
      </c>
      <c r="J178" s="409" t="str">
        <f t="shared" ca="1" si="112"/>
        <v/>
      </c>
      <c r="K178" s="408" t="str">
        <f t="shared" ca="1" si="112"/>
        <v/>
      </c>
      <c r="L178" s="408" t="str">
        <f t="shared" ca="1" si="112"/>
        <v/>
      </c>
      <c r="M178" s="408" t="str">
        <f t="shared" ca="1" si="112"/>
        <v/>
      </c>
      <c r="N178" s="408" t="str">
        <f t="shared" ca="1" si="112"/>
        <v/>
      </c>
      <c r="O178" s="408" t="str">
        <f t="shared" ca="1" si="112"/>
        <v/>
      </c>
      <c r="P178" s="408" t="str">
        <f t="shared" ca="1" si="112"/>
        <v/>
      </c>
      <c r="Q178" s="408" t="str">
        <f t="shared" ca="1" si="112"/>
        <v/>
      </c>
      <c r="R178" s="410" t="str">
        <f ca="1">Cluster!J197</f>
        <v>Selection</v>
      </c>
      <c r="S178" s="411" t="str">
        <f t="shared" ca="1" si="86"/>
        <v>-</v>
      </c>
      <c r="T178" s="412" t="str">
        <f t="shared" ca="1" si="87"/>
        <v/>
      </c>
      <c r="U178" s="411" t="str">
        <f t="shared" ca="1" si="88"/>
        <v>-</v>
      </c>
      <c r="V178" s="411" t="str">
        <f t="shared" ca="1" si="89"/>
        <v>-</v>
      </c>
      <c r="W178" s="413">
        <f>Cluster!N197</f>
        <v>0</v>
      </c>
      <c r="X178" s="414" t="str">
        <f t="shared" ca="1" si="90"/>
        <v>-</v>
      </c>
      <c r="Y178" s="411" t="str">
        <f t="shared" ca="1" si="91"/>
        <v>-</v>
      </c>
      <c r="Z178" s="415" t="str">
        <f t="shared" ca="1" si="92"/>
        <v>-</v>
      </c>
      <c r="AA178" s="416" t="str">
        <f t="shared" ca="1" si="93"/>
        <v>-</v>
      </c>
      <c r="AB178" s="416" t="str">
        <f t="shared" ca="1" si="94"/>
        <v/>
      </c>
      <c r="AC178" s="434">
        <f>Cluster!Q197</f>
        <v>0</v>
      </c>
      <c r="AD178" s="435" t="str">
        <f t="shared" ca="1" si="113"/>
        <v/>
      </c>
      <c r="AE178" s="436" t="str">
        <f t="shared" ca="1" si="113"/>
        <v/>
      </c>
      <c r="AF178" s="437" t="str">
        <f t="shared" ca="1" si="95"/>
        <v>-</v>
      </c>
      <c r="AG178" s="438" t="str">
        <f t="shared" ca="1" si="96"/>
        <v>-</v>
      </c>
      <c r="AH178" s="437" t="str">
        <f t="shared" ca="1" si="97"/>
        <v>-</v>
      </c>
      <c r="AI178" s="438" t="str">
        <f t="shared" ca="1" si="98"/>
        <v>-</v>
      </c>
      <c r="AJ178" s="438" t="str">
        <f t="shared" ca="1" si="99"/>
        <v>-</v>
      </c>
      <c r="AK178" s="439" t="str">
        <f ca="1">IFERROR(AE178*AD178*AL178/(IF(Cluster!AA197=Cluster!$W$8,Cluster!$W$10,IF(Cluster!AA197=Cluster!$X$8,Cluster!$X$10,IF(Cluster!AA197=Cluster!$Y$8,Cluster!$Y$10,0)))*10^3),"-")</f>
        <v>-</v>
      </c>
      <c r="AL178" s="440" t="str">
        <f ca="1">IFERROR(IF(OR(Calculation!T178&lt;(Calculation!$U$8+2),Calculation!AC178="Bypass"),IF((IF(Calculation!$O$6/((Calculation!AD178*10^-12)/(Calculation!T178*10^-9)*50)&lt;=1,1,ROUNDUP(Calculation!$O$6/((Calculation!AD178*10^-12)/(Calculation!T178*10^-9)*50),0))*50)&lt;Calculation!$AK$6,Calculation!$AK$6,IF(Calculation!$O$6/((Calculation!AD178*10^-12)/(Calculation!T178*10^-9)*50)&lt;=1,1,ROUNDUP(Calculation!$O$6/((Calculation!AD178*10^-12)/(Calculation!T178*10^-9)*50),0))*50),"-"),"-")</f>
        <v>-</v>
      </c>
      <c r="AM178" s="441" t="str">
        <f t="shared" ca="1" si="114"/>
        <v/>
      </c>
      <c r="AN178" s="442" t="str">
        <f t="shared" ca="1" si="114"/>
        <v/>
      </c>
      <c r="AO178" s="432">
        <f t="shared" ca="1" si="100"/>
        <v>384</v>
      </c>
      <c r="AP178" s="427" t="str">
        <f t="shared" ca="1" si="101"/>
        <v>-</v>
      </c>
      <c r="AQ178" s="443" t="str">
        <f t="shared" ca="1" si="102"/>
        <v>-</v>
      </c>
      <c r="AR178" s="444" t="str">
        <f t="shared" ca="1" si="103"/>
        <v>-</v>
      </c>
      <c r="AS178" s="430" t="str">
        <f t="shared" ca="1" si="104"/>
        <v>-</v>
      </c>
    </row>
    <row r="179" spans="1:45" ht="14.25" x14ac:dyDescent="0.65">
      <c r="A179" s="407">
        <v>171</v>
      </c>
      <c r="B179" s="408" t="str">
        <f t="shared" ca="1" si="85"/>
        <v/>
      </c>
      <c r="C179" s="408" t="str">
        <f ca="1">IFERROR(IF(G179="","",CONCATENATE(E179,"-",INDEX(Coordinate,MATCH(F179,ListAndConversion!$X$4:$X$99,0),2))),"")</f>
        <v/>
      </c>
      <c r="D179" s="408" t="str">
        <f t="shared" ca="1" si="111"/>
        <v/>
      </c>
      <c r="E179" s="408" t="str">
        <f t="shared" ca="1" si="111"/>
        <v/>
      </c>
      <c r="F179" s="408" t="str">
        <f t="shared" ca="1" si="111"/>
        <v/>
      </c>
      <c r="G179" s="408" t="str">
        <f ca="1">IFERROR(INDEX(ListAndConversion!A:B,MATCH(Calculation!E179,ListAndConversion!A:A,0),2),"")</f>
        <v/>
      </c>
      <c r="H179" s="408" t="str">
        <f>IF(TrackIT_Lines!AD171="","",TrackIT_Lines!AD171)</f>
        <v/>
      </c>
      <c r="I179" s="408" t="str">
        <f>IF(TrackIT_Lines!AD171="","",CONCATENATE(TrackIT_Lines!AD171,"-",TrackIT_Lines!AG171))</f>
        <v/>
      </c>
      <c r="J179" s="409" t="str">
        <f t="shared" ca="1" si="112"/>
        <v/>
      </c>
      <c r="K179" s="408" t="str">
        <f t="shared" ca="1" si="112"/>
        <v/>
      </c>
      <c r="L179" s="408" t="str">
        <f t="shared" ca="1" si="112"/>
        <v/>
      </c>
      <c r="M179" s="408" t="str">
        <f t="shared" ca="1" si="112"/>
        <v/>
      </c>
      <c r="N179" s="408" t="str">
        <f t="shared" ca="1" si="112"/>
        <v/>
      </c>
      <c r="O179" s="408" t="str">
        <f t="shared" ca="1" si="112"/>
        <v/>
      </c>
      <c r="P179" s="408" t="str">
        <f t="shared" ca="1" si="112"/>
        <v/>
      </c>
      <c r="Q179" s="408" t="str">
        <f t="shared" ca="1" si="112"/>
        <v/>
      </c>
      <c r="R179" s="410" t="str">
        <f ca="1">Cluster!J198</f>
        <v>Selection</v>
      </c>
      <c r="S179" s="411" t="str">
        <f t="shared" ca="1" si="86"/>
        <v>-</v>
      </c>
      <c r="T179" s="412" t="str">
        <f t="shared" ca="1" si="87"/>
        <v/>
      </c>
      <c r="U179" s="411" t="str">
        <f t="shared" ca="1" si="88"/>
        <v>-</v>
      </c>
      <c r="V179" s="411" t="str">
        <f t="shared" ca="1" si="89"/>
        <v>-</v>
      </c>
      <c r="W179" s="413">
        <f>Cluster!N198</f>
        <v>0</v>
      </c>
      <c r="X179" s="414" t="str">
        <f t="shared" ca="1" si="90"/>
        <v>-</v>
      </c>
      <c r="Y179" s="411" t="str">
        <f t="shared" ca="1" si="91"/>
        <v>-</v>
      </c>
      <c r="Z179" s="415" t="str">
        <f t="shared" ca="1" si="92"/>
        <v>-</v>
      </c>
      <c r="AA179" s="416" t="str">
        <f t="shared" ca="1" si="93"/>
        <v>-</v>
      </c>
      <c r="AB179" s="416" t="str">
        <f t="shared" ca="1" si="94"/>
        <v/>
      </c>
      <c r="AC179" s="434">
        <f>Cluster!Q198</f>
        <v>0</v>
      </c>
      <c r="AD179" s="435" t="str">
        <f t="shared" ca="1" si="113"/>
        <v/>
      </c>
      <c r="AE179" s="436" t="str">
        <f t="shared" ca="1" si="113"/>
        <v/>
      </c>
      <c r="AF179" s="437" t="str">
        <f t="shared" ca="1" si="95"/>
        <v>-</v>
      </c>
      <c r="AG179" s="438" t="str">
        <f t="shared" ca="1" si="96"/>
        <v>-</v>
      </c>
      <c r="AH179" s="437" t="str">
        <f t="shared" ca="1" si="97"/>
        <v>-</v>
      </c>
      <c r="AI179" s="438" t="str">
        <f t="shared" ca="1" si="98"/>
        <v>-</v>
      </c>
      <c r="AJ179" s="438" t="str">
        <f t="shared" ca="1" si="99"/>
        <v>-</v>
      </c>
      <c r="AK179" s="439" t="str">
        <f ca="1">IFERROR(AE179*AD179*AL179/(IF(Cluster!AA198=Cluster!$W$8,Cluster!$W$10,IF(Cluster!AA198=Cluster!$X$8,Cluster!$X$10,IF(Cluster!AA198=Cluster!$Y$8,Cluster!$Y$10,0)))*10^3),"-")</f>
        <v>-</v>
      </c>
      <c r="AL179" s="440" t="str">
        <f ca="1">IFERROR(IF(OR(Calculation!T179&lt;(Calculation!$U$8+2),Calculation!AC179="Bypass"),IF((IF(Calculation!$O$6/((Calculation!AD179*10^-12)/(Calculation!T179*10^-9)*50)&lt;=1,1,ROUNDUP(Calculation!$O$6/((Calculation!AD179*10^-12)/(Calculation!T179*10^-9)*50),0))*50)&lt;Calculation!$AK$6,Calculation!$AK$6,IF(Calculation!$O$6/((Calculation!AD179*10^-12)/(Calculation!T179*10^-9)*50)&lt;=1,1,ROUNDUP(Calculation!$O$6/((Calculation!AD179*10^-12)/(Calculation!T179*10^-9)*50),0))*50),"-"),"-")</f>
        <v>-</v>
      </c>
      <c r="AM179" s="441" t="str">
        <f t="shared" ca="1" si="114"/>
        <v/>
      </c>
      <c r="AN179" s="442" t="str">
        <f t="shared" ca="1" si="114"/>
        <v/>
      </c>
      <c r="AO179" s="432">
        <f t="shared" ca="1" si="100"/>
        <v>384</v>
      </c>
      <c r="AP179" s="427" t="str">
        <f t="shared" ca="1" si="101"/>
        <v>-</v>
      </c>
      <c r="AQ179" s="443" t="str">
        <f t="shared" ca="1" si="102"/>
        <v>-</v>
      </c>
      <c r="AR179" s="444" t="str">
        <f t="shared" ca="1" si="103"/>
        <v>-</v>
      </c>
      <c r="AS179" s="430" t="str">
        <f t="shared" ca="1" si="104"/>
        <v>-</v>
      </c>
    </row>
    <row r="180" spans="1:45" ht="14.25" x14ac:dyDescent="0.65">
      <c r="A180" s="407">
        <v>172</v>
      </c>
      <c r="B180" s="408" t="str">
        <f t="shared" ca="1" si="85"/>
        <v/>
      </c>
      <c r="C180" s="408" t="str">
        <f ca="1">IFERROR(IF(G180="","",CONCATENATE(E180,"-",INDEX(Coordinate,MATCH(F180,ListAndConversion!$X$4:$X$99,0),2))),"")</f>
        <v/>
      </c>
      <c r="D180" s="408" t="str">
        <f t="shared" ca="1" si="111"/>
        <v/>
      </c>
      <c r="E180" s="408" t="str">
        <f t="shared" ca="1" si="111"/>
        <v/>
      </c>
      <c r="F180" s="408" t="str">
        <f t="shared" ca="1" si="111"/>
        <v/>
      </c>
      <c r="G180" s="408" t="str">
        <f ca="1">IFERROR(INDEX(ListAndConversion!A:B,MATCH(Calculation!E180,ListAndConversion!A:A,0),2),"")</f>
        <v/>
      </c>
      <c r="H180" s="408" t="str">
        <f>IF(TrackIT_Lines!AD172="","",TrackIT_Lines!AD172)</f>
        <v/>
      </c>
      <c r="I180" s="408" t="str">
        <f>IF(TrackIT_Lines!AD172="","",CONCATENATE(TrackIT_Lines!AD172,"-",TrackIT_Lines!AG172))</f>
        <v/>
      </c>
      <c r="J180" s="409" t="str">
        <f t="shared" ref="J180:Q189" ca="1" si="115">IF((INDIRECT("TrackIT_Lines!"&amp;J$2&amp;$A180))="","", (INDIRECT("TrackIT_Lines!"&amp;J$2&amp;$A180)))</f>
        <v/>
      </c>
      <c r="K180" s="408" t="str">
        <f t="shared" ca="1" si="115"/>
        <v/>
      </c>
      <c r="L180" s="408" t="str">
        <f t="shared" ca="1" si="115"/>
        <v/>
      </c>
      <c r="M180" s="408" t="str">
        <f t="shared" ca="1" si="115"/>
        <v/>
      </c>
      <c r="N180" s="408" t="str">
        <f t="shared" ca="1" si="115"/>
        <v/>
      </c>
      <c r="O180" s="408" t="str">
        <f t="shared" ca="1" si="115"/>
        <v/>
      </c>
      <c r="P180" s="408" t="str">
        <f t="shared" ca="1" si="115"/>
        <v/>
      </c>
      <c r="Q180" s="408" t="str">
        <f t="shared" ca="1" si="115"/>
        <v/>
      </c>
      <c r="R180" s="410" t="str">
        <f ca="1">Cluster!J199</f>
        <v>Selection</v>
      </c>
      <c r="S180" s="411" t="str">
        <f t="shared" ca="1" si="86"/>
        <v>-</v>
      </c>
      <c r="T180" s="412" t="str">
        <f t="shared" ca="1" si="87"/>
        <v/>
      </c>
      <c r="U180" s="411" t="str">
        <f t="shared" ca="1" si="88"/>
        <v>-</v>
      </c>
      <c r="V180" s="411" t="str">
        <f t="shared" ca="1" si="89"/>
        <v>-</v>
      </c>
      <c r="W180" s="413">
        <f>Cluster!N199</f>
        <v>0</v>
      </c>
      <c r="X180" s="414" t="str">
        <f t="shared" ca="1" si="90"/>
        <v>-</v>
      </c>
      <c r="Y180" s="411" t="str">
        <f t="shared" ca="1" si="91"/>
        <v>-</v>
      </c>
      <c r="Z180" s="415" t="str">
        <f t="shared" ca="1" si="92"/>
        <v>-</v>
      </c>
      <c r="AA180" s="416" t="str">
        <f t="shared" ca="1" si="93"/>
        <v>-</v>
      </c>
      <c r="AB180" s="416" t="str">
        <f t="shared" ca="1" si="94"/>
        <v/>
      </c>
      <c r="AC180" s="434">
        <f>Cluster!Q199</f>
        <v>0</v>
      </c>
      <c r="AD180" s="435" t="str">
        <f t="shared" ca="1" si="113"/>
        <v/>
      </c>
      <c r="AE180" s="436" t="str">
        <f t="shared" ca="1" si="113"/>
        <v/>
      </c>
      <c r="AF180" s="437" t="str">
        <f t="shared" ca="1" si="95"/>
        <v>-</v>
      </c>
      <c r="AG180" s="438" t="str">
        <f t="shared" ca="1" si="96"/>
        <v>-</v>
      </c>
      <c r="AH180" s="437" t="str">
        <f t="shared" ca="1" si="97"/>
        <v>-</v>
      </c>
      <c r="AI180" s="438" t="str">
        <f t="shared" ca="1" si="98"/>
        <v>-</v>
      </c>
      <c r="AJ180" s="438" t="str">
        <f t="shared" ca="1" si="99"/>
        <v>-</v>
      </c>
      <c r="AK180" s="439" t="str">
        <f ca="1">IFERROR(AE180*AD180*AL180/(IF(Cluster!AA199=Cluster!$W$8,Cluster!$W$10,IF(Cluster!AA199=Cluster!$X$8,Cluster!$X$10,IF(Cluster!AA199=Cluster!$Y$8,Cluster!$Y$10,0)))*10^3),"-")</f>
        <v>-</v>
      </c>
      <c r="AL180" s="440" t="str">
        <f ca="1">IFERROR(IF(OR(Calculation!T180&lt;(Calculation!$U$8+2),Calculation!AC180="Bypass"),IF((IF(Calculation!$O$6/((Calculation!AD180*10^-12)/(Calculation!T180*10^-9)*50)&lt;=1,1,ROUNDUP(Calculation!$O$6/((Calculation!AD180*10^-12)/(Calculation!T180*10^-9)*50),0))*50)&lt;Calculation!$AK$6,Calculation!$AK$6,IF(Calculation!$O$6/((Calculation!AD180*10^-12)/(Calculation!T180*10^-9)*50)&lt;=1,1,ROUNDUP(Calculation!$O$6/((Calculation!AD180*10^-12)/(Calculation!T180*10^-9)*50),0))*50),"-"),"-")</f>
        <v>-</v>
      </c>
      <c r="AM180" s="441" t="str">
        <f t="shared" ca="1" si="114"/>
        <v/>
      </c>
      <c r="AN180" s="442" t="str">
        <f t="shared" ca="1" si="114"/>
        <v/>
      </c>
      <c r="AO180" s="432">
        <f t="shared" ca="1" si="100"/>
        <v>384</v>
      </c>
      <c r="AP180" s="427" t="str">
        <f t="shared" ca="1" si="101"/>
        <v>-</v>
      </c>
      <c r="AQ180" s="443" t="str">
        <f t="shared" ca="1" si="102"/>
        <v>-</v>
      </c>
      <c r="AR180" s="444" t="str">
        <f t="shared" ca="1" si="103"/>
        <v>-</v>
      </c>
      <c r="AS180" s="430" t="str">
        <f t="shared" ca="1" si="104"/>
        <v>-</v>
      </c>
    </row>
    <row r="181" spans="1:45" ht="14.25" x14ac:dyDescent="0.65">
      <c r="A181" s="407">
        <v>173</v>
      </c>
      <c r="B181" s="408" t="str">
        <f t="shared" ca="1" si="85"/>
        <v/>
      </c>
      <c r="C181" s="408" t="str">
        <f ca="1">IFERROR(IF(G181="","",CONCATENATE(E181,"-",INDEX(Coordinate,MATCH(F181,ListAndConversion!$X$4:$X$99,0),2))),"")</f>
        <v/>
      </c>
      <c r="D181" s="408" t="str">
        <f t="shared" ca="1" si="111"/>
        <v/>
      </c>
      <c r="E181" s="408" t="str">
        <f t="shared" ca="1" si="111"/>
        <v/>
      </c>
      <c r="F181" s="408" t="str">
        <f t="shared" ca="1" si="111"/>
        <v/>
      </c>
      <c r="G181" s="408" t="str">
        <f ca="1">IFERROR(INDEX(ListAndConversion!A:B,MATCH(Calculation!E181,ListAndConversion!A:A,0),2),"")</f>
        <v/>
      </c>
      <c r="H181" s="408" t="str">
        <f>IF(TrackIT_Lines!AD173="","",TrackIT_Lines!AD173)</f>
        <v/>
      </c>
      <c r="I181" s="408" t="str">
        <f>IF(TrackIT_Lines!AD173="","",CONCATENATE(TrackIT_Lines!AD173,"-",TrackIT_Lines!AG173))</f>
        <v/>
      </c>
      <c r="J181" s="409" t="str">
        <f t="shared" ca="1" si="115"/>
        <v/>
      </c>
      <c r="K181" s="408" t="str">
        <f t="shared" ca="1" si="115"/>
        <v/>
      </c>
      <c r="L181" s="408" t="str">
        <f t="shared" ca="1" si="115"/>
        <v/>
      </c>
      <c r="M181" s="408" t="str">
        <f t="shared" ca="1" si="115"/>
        <v/>
      </c>
      <c r="N181" s="408" t="str">
        <f t="shared" ca="1" si="115"/>
        <v/>
      </c>
      <c r="O181" s="408" t="str">
        <f t="shared" ca="1" si="115"/>
        <v/>
      </c>
      <c r="P181" s="408" t="str">
        <f t="shared" ca="1" si="115"/>
        <v/>
      </c>
      <c r="Q181" s="408" t="str">
        <f t="shared" ca="1" si="115"/>
        <v/>
      </c>
      <c r="R181" s="410" t="str">
        <f ca="1">Cluster!J200</f>
        <v>Selection</v>
      </c>
      <c r="S181" s="411" t="str">
        <f t="shared" ca="1" si="86"/>
        <v>-</v>
      </c>
      <c r="T181" s="412" t="str">
        <f t="shared" ca="1" si="87"/>
        <v/>
      </c>
      <c r="U181" s="411" t="str">
        <f t="shared" ca="1" si="88"/>
        <v>-</v>
      </c>
      <c r="V181" s="411" t="str">
        <f t="shared" ca="1" si="89"/>
        <v>-</v>
      </c>
      <c r="W181" s="413">
        <f>Cluster!N200</f>
        <v>0</v>
      </c>
      <c r="X181" s="414" t="str">
        <f t="shared" ca="1" si="90"/>
        <v>-</v>
      </c>
      <c r="Y181" s="411" t="str">
        <f t="shared" ca="1" si="91"/>
        <v>-</v>
      </c>
      <c r="Z181" s="415" t="str">
        <f t="shared" ca="1" si="92"/>
        <v>-</v>
      </c>
      <c r="AA181" s="416" t="str">
        <f t="shared" ca="1" si="93"/>
        <v>-</v>
      </c>
      <c r="AB181" s="416" t="str">
        <f t="shared" ca="1" si="94"/>
        <v/>
      </c>
      <c r="AC181" s="434">
        <f>Cluster!Q200</f>
        <v>0</v>
      </c>
      <c r="AD181" s="435" t="str">
        <f t="shared" ca="1" si="113"/>
        <v/>
      </c>
      <c r="AE181" s="436" t="str">
        <f t="shared" ca="1" si="113"/>
        <v/>
      </c>
      <c r="AF181" s="437" t="str">
        <f t="shared" ca="1" si="95"/>
        <v>-</v>
      </c>
      <c r="AG181" s="438" t="str">
        <f t="shared" ca="1" si="96"/>
        <v>-</v>
      </c>
      <c r="AH181" s="437" t="str">
        <f t="shared" ca="1" si="97"/>
        <v>-</v>
      </c>
      <c r="AI181" s="438" t="str">
        <f t="shared" ca="1" si="98"/>
        <v>-</v>
      </c>
      <c r="AJ181" s="438" t="str">
        <f t="shared" ca="1" si="99"/>
        <v>-</v>
      </c>
      <c r="AK181" s="439" t="str">
        <f ca="1">IFERROR(AE181*AD181*AL181/(IF(Cluster!AA200=Cluster!$W$8,Cluster!$W$10,IF(Cluster!AA200=Cluster!$X$8,Cluster!$X$10,IF(Cluster!AA200=Cluster!$Y$8,Cluster!$Y$10,0)))*10^3),"-")</f>
        <v>-</v>
      </c>
      <c r="AL181" s="440" t="str">
        <f ca="1">IFERROR(IF(OR(Calculation!T181&lt;(Calculation!$U$8+2),Calculation!AC181="Bypass"),IF((IF(Calculation!$O$6/((Calculation!AD181*10^-12)/(Calculation!T181*10^-9)*50)&lt;=1,1,ROUNDUP(Calculation!$O$6/((Calculation!AD181*10^-12)/(Calculation!T181*10^-9)*50),0))*50)&lt;Calculation!$AK$6,Calculation!$AK$6,IF(Calculation!$O$6/((Calculation!AD181*10^-12)/(Calculation!T181*10^-9)*50)&lt;=1,1,ROUNDUP(Calculation!$O$6/((Calculation!AD181*10^-12)/(Calculation!T181*10^-9)*50),0))*50),"-"),"-")</f>
        <v>-</v>
      </c>
      <c r="AM181" s="441" t="str">
        <f t="shared" ca="1" si="114"/>
        <v/>
      </c>
      <c r="AN181" s="442" t="str">
        <f t="shared" ca="1" si="114"/>
        <v/>
      </c>
      <c r="AO181" s="432">
        <f t="shared" ca="1" si="100"/>
        <v>384</v>
      </c>
      <c r="AP181" s="427" t="str">
        <f t="shared" ca="1" si="101"/>
        <v>-</v>
      </c>
      <c r="AQ181" s="443" t="str">
        <f t="shared" ca="1" si="102"/>
        <v>-</v>
      </c>
      <c r="AR181" s="444" t="str">
        <f t="shared" ca="1" si="103"/>
        <v>-</v>
      </c>
      <c r="AS181" s="430" t="str">
        <f t="shared" ca="1" si="104"/>
        <v>-</v>
      </c>
    </row>
    <row r="182" spans="1:45" ht="14.25" x14ac:dyDescent="0.65">
      <c r="A182" s="407">
        <v>174</v>
      </c>
      <c r="B182" s="408" t="str">
        <f t="shared" ca="1" si="85"/>
        <v/>
      </c>
      <c r="C182" s="408" t="str">
        <f ca="1">IFERROR(IF(G182="","",CONCATENATE(E182,"-",INDEX(Coordinate,MATCH(F182,ListAndConversion!$X$4:$X$99,0),2))),"")</f>
        <v/>
      </c>
      <c r="D182" s="408" t="str">
        <f t="shared" ca="1" si="111"/>
        <v/>
      </c>
      <c r="E182" s="408" t="str">
        <f t="shared" ca="1" si="111"/>
        <v/>
      </c>
      <c r="F182" s="408" t="str">
        <f t="shared" ca="1" si="111"/>
        <v/>
      </c>
      <c r="G182" s="408" t="str">
        <f ca="1">IFERROR(INDEX(ListAndConversion!A:B,MATCH(Calculation!E182,ListAndConversion!A:A,0),2),"")</f>
        <v/>
      </c>
      <c r="H182" s="408" t="str">
        <f>IF(TrackIT_Lines!AD174="","",TrackIT_Lines!AD174)</f>
        <v/>
      </c>
      <c r="I182" s="408" t="str">
        <f>IF(TrackIT_Lines!AD174="","",CONCATENATE(TrackIT_Lines!AD174,"-",TrackIT_Lines!AG174))</f>
        <v/>
      </c>
      <c r="J182" s="409" t="str">
        <f t="shared" ca="1" si="115"/>
        <v/>
      </c>
      <c r="K182" s="408" t="str">
        <f t="shared" ca="1" si="115"/>
        <v/>
      </c>
      <c r="L182" s="408" t="str">
        <f t="shared" ca="1" si="115"/>
        <v/>
      </c>
      <c r="M182" s="408" t="str">
        <f t="shared" ca="1" si="115"/>
        <v/>
      </c>
      <c r="N182" s="408" t="str">
        <f t="shared" ca="1" si="115"/>
        <v/>
      </c>
      <c r="O182" s="408" t="str">
        <f t="shared" ca="1" si="115"/>
        <v/>
      </c>
      <c r="P182" s="408" t="str">
        <f t="shared" ca="1" si="115"/>
        <v/>
      </c>
      <c r="Q182" s="408" t="str">
        <f t="shared" ca="1" si="115"/>
        <v/>
      </c>
      <c r="R182" s="410" t="str">
        <f ca="1">Cluster!J201</f>
        <v>Selection</v>
      </c>
      <c r="S182" s="411" t="str">
        <f t="shared" ca="1" si="86"/>
        <v>-</v>
      </c>
      <c r="T182" s="412" t="str">
        <f t="shared" ca="1" si="87"/>
        <v/>
      </c>
      <c r="U182" s="411" t="str">
        <f t="shared" ca="1" si="88"/>
        <v>-</v>
      </c>
      <c r="V182" s="411" t="str">
        <f t="shared" ca="1" si="89"/>
        <v>-</v>
      </c>
      <c r="W182" s="413">
        <f>Cluster!N201</f>
        <v>0</v>
      </c>
      <c r="X182" s="414" t="str">
        <f t="shared" ca="1" si="90"/>
        <v>-</v>
      </c>
      <c r="Y182" s="411" t="str">
        <f t="shared" ca="1" si="91"/>
        <v>-</v>
      </c>
      <c r="Z182" s="415" t="str">
        <f t="shared" ca="1" si="92"/>
        <v>-</v>
      </c>
      <c r="AA182" s="416" t="str">
        <f t="shared" ca="1" si="93"/>
        <v>-</v>
      </c>
      <c r="AB182" s="416" t="str">
        <f t="shared" ca="1" si="94"/>
        <v/>
      </c>
      <c r="AC182" s="434">
        <f>Cluster!Q201</f>
        <v>0</v>
      </c>
      <c r="AD182" s="435" t="str">
        <f t="shared" ca="1" si="113"/>
        <v/>
      </c>
      <c r="AE182" s="436" t="str">
        <f t="shared" ca="1" si="113"/>
        <v/>
      </c>
      <c r="AF182" s="437" t="str">
        <f t="shared" ca="1" si="95"/>
        <v>-</v>
      </c>
      <c r="AG182" s="438" t="str">
        <f t="shared" ca="1" si="96"/>
        <v>-</v>
      </c>
      <c r="AH182" s="437" t="str">
        <f t="shared" ca="1" si="97"/>
        <v>-</v>
      </c>
      <c r="AI182" s="438" t="str">
        <f t="shared" ca="1" si="98"/>
        <v>-</v>
      </c>
      <c r="AJ182" s="438" t="str">
        <f t="shared" ca="1" si="99"/>
        <v>-</v>
      </c>
      <c r="AK182" s="439" t="str">
        <f ca="1">IFERROR(AE182*AD182*AL182/(IF(Cluster!AA201=Cluster!$W$8,Cluster!$W$10,IF(Cluster!AA201=Cluster!$X$8,Cluster!$X$10,IF(Cluster!AA201=Cluster!$Y$8,Cluster!$Y$10,0)))*10^3),"-")</f>
        <v>-</v>
      </c>
      <c r="AL182" s="440" t="str">
        <f ca="1">IFERROR(IF(OR(Calculation!T182&lt;(Calculation!$U$8+2),Calculation!AC182="Bypass"),IF((IF(Calculation!$O$6/((Calculation!AD182*10^-12)/(Calculation!T182*10^-9)*50)&lt;=1,1,ROUNDUP(Calculation!$O$6/((Calculation!AD182*10^-12)/(Calculation!T182*10^-9)*50),0))*50)&lt;Calculation!$AK$6,Calculation!$AK$6,IF(Calculation!$O$6/((Calculation!AD182*10^-12)/(Calculation!T182*10^-9)*50)&lt;=1,1,ROUNDUP(Calculation!$O$6/((Calculation!AD182*10^-12)/(Calculation!T182*10^-9)*50),0))*50),"-"),"-")</f>
        <v>-</v>
      </c>
      <c r="AM182" s="441" t="str">
        <f t="shared" ca="1" si="114"/>
        <v/>
      </c>
      <c r="AN182" s="442" t="str">
        <f t="shared" ca="1" si="114"/>
        <v/>
      </c>
      <c r="AO182" s="432">
        <f t="shared" ca="1" si="100"/>
        <v>384</v>
      </c>
      <c r="AP182" s="427" t="str">
        <f t="shared" ca="1" si="101"/>
        <v>-</v>
      </c>
      <c r="AQ182" s="443" t="str">
        <f t="shared" ca="1" si="102"/>
        <v>-</v>
      </c>
      <c r="AR182" s="444" t="str">
        <f t="shared" ca="1" si="103"/>
        <v>-</v>
      </c>
      <c r="AS182" s="430" t="str">
        <f t="shared" ca="1" si="104"/>
        <v>-</v>
      </c>
    </row>
    <row r="183" spans="1:45" ht="14.25" x14ac:dyDescent="0.65">
      <c r="A183" s="407">
        <v>175</v>
      </c>
      <c r="B183" s="408" t="str">
        <f t="shared" ca="1" si="85"/>
        <v/>
      </c>
      <c r="C183" s="408" t="str">
        <f ca="1">IFERROR(IF(G183="","",CONCATENATE(E183,"-",INDEX(Coordinate,MATCH(F183,ListAndConversion!$X$4:$X$99,0),2))),"")</f>
        <v/>
      </c>
      <c r="D183" s="408" t="str">
        <f t="shared" ca="1" si="111"/>
        <v/>
      </c>
      <c r="E183" s="408" t="str">
        <f t="shared" ca="1" si="111"/>
        <v/>
      </c>
      <c r="F183" s="408" t="str">
        <f t="shared" ca="1" si="111"/>
        <v/>
      </c>
      <c r="G183" s="408" t="str">
        <f ca="1">IFERROR(INDEX(ListAndConversion!A:B,MATCH(Calculation!E183,ListAndConversion!A:A,0),2),"")</f>
        <v/>
      </c>
      <c r="H183" s="408" t="str">
        <f>IF(TrackIT_Lines!AD175="","",TrackIT_Lines!AD175)</f>
        <v/>
      </c>
      <c r="I183" s="408" t="str">
        <f>IF(TrackIT_Lines!AD175="","",CONCATENATE(TrackIT_Lines!AD175,"-",TrackIT_Lines!AG175))</f>
        <v/>
      </c>
      <c r="J183" s="409" t="str">
        <f t="shared" ca="1" si="115"/>
        <v/>
      </c>
      <c r="K183" s="408" t="str">
        <f t="shared" ca="1" si="115"/>
        <v/>
      </c>
      <c r="L183" s="408" t="str">
        <f t="shared" ca="1" si="115"/>
        <v/>
      </c>
      <c r="M183" s="408" t="str">
        <f t="shared" ca="1" si="115"/>
        <v/>
      </c>
      <c r="N183" s="408" t="str">
        <f t="shared" ca="1" si="115"/>
        <v/>
      </c>
      <c r="O183" s="408" t="str">
        <f t="shared" ca="1" si="115"/>
        <v/>
      </c>
      <c r="P183" s="408" t="str">
        <f t="shared" ca="1" si="115"/>
        <v/>
      </c>
      <c r="Q183" s="408" t="str">
        <f t="shared" ca="1" si="115"/>
        <v/>
      </c>
      <c r="R183" s="410" t="str">
        <f ca="1">Cluster!J202</f>
        <v>Selection</v>
      </c>
      <c r="S183" s="411" t="str">
        <f t="shared" ca="1" si="86"/>
        <v>-</v>
      </c>
      <c r="T183" s="412" t="str">
        <f t="shared" ca="1" si="87"/>
        <v/>
      </c>
      <c r="U183" s="411" t="str">
        <f t="shared" ca="1" si="88"/>
        <v>-</v>
      </c>
      <c r="V183" s="411" t="str">
        <f t="shared" ca="1" si="89"/>
        <v>-</v>
      </c>
      <c r="W183" s="413">
        <f>Cluster!N202</f>
        <v>0</v>
      </c>
      <c r="X183" s="414" t="str">
        <f t="shared" ca="1" si="90"/>
        <v>-</v>
      </c>
      <c r="Y183" s="411" t="str">
        <f t="shared" ca="1" si="91"/>
        <v>-</v>
      </c>
      <c r="Z183" s="415" t="str">
        <f t="shared" ca="1" si="92"/>
        <v>-</v>
      </c>
      <c r="AA183" s="416" t="str">
        <f t="shared" ca="1" si="93"/>
        <v>-</v>
      </c>
      <c r="AB183" s="416" t="str">
        <f t="shared" ca="1" si="94"/>
        <v/>
      </c>
      <c r="AC183" s="434">
        <f>Cluster!Q202</f>
        <v>0</v>
      </c>
      <c r="AD183" s="435" t="str">
        <f t="shared" ca="1" si="113"/>
        <v/>
      </c>
      <c r="AE183" s="436" t="str">
        <f t="shared" ca="1" si="113"/>
        <v/>
      </c>
      <c r="AF183" s="437" t="str">
        <f t="shared" ca="1" si="95"/>
        <v>-</v>
      </c>
      <c r="AG183" s="438" t="str">
        <f t="shared" ca="1" si="96"/>
        <v>-</v>
      </c>
      <c r="AH183" s="437" t="str">
        <f t="shared" ca="1" si="97"/>
        <v>-</v>
      </c>
      <c r="AI183" s="438" t="str">
        <f t="shared" ca="1" si="98"/>
        <v>-</v>
      </c>
      <c r="AJ183" s="438" t="str">
        <f t="shared" ca="1" si="99"/>
        <v>-</v>
      </c>
      <c r="AK183" s="439" t="str">
        <f ca="1">IFERROR(AE183*AD183*AL183/(IF(Cluster!AA202=Cluster!$W$8,Cluster!$W$10,IF(Cluster!AA202=Cluster!$X$8,Cluster!$X$10,IF(Cluster!AA202=Cluster!$Y$8,Cluster!$Y$10,0)))*10^3),"-")</f>
        <v>-</v>
      </c>
      <c r="AL183" s="440" t="str">
        <f ca="1">IFERROR(IF(OR(Calculation!T183&lt;(Calculation!$U$8+2),Calculation!AC183="Bypass"),IF((IF(Calculation!$O$6/((Calculation!AD183*10^-12)/(Calculation!T183*10^-9)*50)&lt;=1,1,ROUNDUP(Calculation!$O$6/((Calculation!AD183*10^-12)/(Calculation!T183*10^-9)*50),0))*50)&lt;Calculation!$AK$6,Calculation!$AK$6,IF(Calculation!$O$6/((Calculation!AD183*10^-12)/(Calculation!T183*10^-9)*50)&lt;=1,1,ROUNDUP(Calculation!$O$6/((Calculation!AD183*10^-12)/(Calculation!T183*10^-9)*50),0))*50),"-"),"-")</f>
        <v>-</v>
      </c>
      <c r="AM183" s="441" t="str">
        <f t="shared" ca="1" si="114"/>
        <v/>
      </c>
      <c r="AN183" s="442" t="str">
        <f t="shared" ca="1" si="114"/>
        <v/>
      </c>
      <c r="AO183" s="432">
        <f t="shared" ca="1" si="100"/>
        <v>384</v>
      </c>
      <c r="AP183" s="427" t="str">
        <f t="shared" ca="1" si="101"/>
        <v>-</v>
      </c>
      <c r="AQ183" s="443" t="str">
        <f t="shared" ca="1" si="102"/>
        <v>-</v>
      </c>
      <c r="AR183" s="444" t="str">
        <f t="shared" ca="1" si="103"/>
        <v>-</v>
      </c>
      <c r="AS183" s="430" t="str">
        <f t="shared" ca="1" si="104"/>
        <v>-</v>
      </c>
    </row>
    <row r="184" spans="1:45" ht="14.25" x14ac:dyDescent="0.65">
      <c r="A184" s="407">
        <v>176</v>
      </c>
      <c r="B184" s="408" t="str">
        <f t="shared" ca="1" si="85"/>
        <v/>
      </c>
      <c r="C184" s="408" t="str">
        <f ca="1">IFERROR(IF(G184="","",CONCATENATE(E184,"-",INDEX(Coordinate,MATCH(F184,ListAndConversion!$X$4:$X$99,0),2))),"")</f>
        <v/>
      </c>
      <c r="D184" s="408" t="str">
        <f t="shared" ca="1" si="111"/>
        <v/>
      </c>
      <c r="E184" s="408" t="str">
        <f t="shared" ca="1" si="111"/>
        <v/>
      </c>
      <c r="F184" s="408" t="str">
        <f t="shared" ca="1" si="111"/>
        <v/>
      </c>
      <c r="G184" s="408" t="str">
        <f ca="1">IFERROR(INDEX(ListAndConversion!A:B,MATCH(Calculation!E184,ListAndConversion!A:A,0),2),"")</f>
        <v/>
      </c>
      <c r="H184" s="408" t="str">
        <f>IF(TrackIT_Lines!AD176="","",TrackIT_Lines!AD176)</f>
        <v/>
      </c>
      <c r="I184" s="408" t="str">
        <f>IF(TrackIT_Lines!AD176="","",CONCATENATE(TrackIT_Lines!AD176,"-",TrackIT_Lines!AG176))</f>
        <v/>
      </c>
      <c r="J184" s="409" t="str">
        <f t="shared" ca="1" si="115"/>
        <v/>
      </c>
      <c r="K184" s="408" t="str">
        <f t="shared" ca="1" si="115"/>
        <v/>
      </c>
      <c r="L184" s="408" t="str">
        <f t="shared" ca="1" si="115"/>
        <v/>
      </c>
      <c r="M184" s="408" t="str">
        <f t="shared" ca="1" si="115"/>
        <v/>
      </c>
      <c r="N184" s="408" t="str">
        <f t="shared" ca="1" si="115"/>
        <v/>
      </c>
      <c r="O184" s="408" t="str">
        <f t="shared" ca="1" si="115"/>
        <v/>
      </c>
      <c r="P184" s="408" t="str">
        <f t="shared" ca="1" si="115"/>
        <v/>
      </c>
      <c r="Q184" s="408" t="str">
        <f t="shared" ca="1" si="115"/>
        <v/>
      </c>
      <c r="R184" s="410" t="str">
        <f ca="1">Cluster!J203</f>
        <v>Selection</v>
      </c>
      <c r="S184" s="411" t="str">
        <f t="shared" ca="1" si="86"/>
        <v>-</v>
      </c>
      <c r="T184" s="412" t="str">
        <f t="shared" ca="1" si="87"/>
        <v/>
      </c>
      <c r="U184" s="411" t="str">
        <f t="shared" ca="1" si="88"/>
        <v>-</v>
      </c>
      <c r="V184" s="411" t="str">
        <f t="shared" ca="1" si="89"/>
        <v>-</v>
      </c>
      <c r="W184" s="413">
        <f>Cluster!N203</f>
        <v>0</v>
      </c>
      <c r="X184" s="414" t="str">
        <f t="shared" ca="1" si="90"/>
        <v>-</v>
      </c>
      <c r="Y184" s="411" t="str">
        <f t="shared" ca="1" si="91"/>
        <v>-</v>
      </c>
      <c r="Z184" s="415" t="str">
        <f t="shared" ca="1" si="92"/>
        <v>-</v>
      </c>
      <c r="AA184" s="416" t="str">
        <f t="shared" ca="1" si="93"/>
        <v>-</v>
      </c>
      <c r="AB184" s="416" t="str">
        <f t="shared" ca="1" si="94"/>
        <v/>
      </c>
      <c r="AC184" s="434">
        <f>Cluster!Q203</f>
        <v>0</v>
      </c>
      <c r="AD184" s="435" t="str">
        <f t="shared" ca="1" si="113"/>
        <v/>
      </c>
      <c r="AE184" s="436" t="str">
        <f t="shared" ca="1" si="113"/>
        <v/>
      </c>
      <c r="AF184" s="437" t="str">
        <f t="shared" ca="1" si="95"/>
        <v>-</v>
      </c>
      <c r="AG184" s="438" t="str">
        <f t="shared" ca="1" si="96"/>
        <v>-</v>
      </c>
      <c r="AH184" s="437" t="str">
        <f t="shared" ca="1" si="97"/>
        <v>-</v>
      </c>
      <c r="AI184" s="438" t="str">
        <f t="shared" ca="1" si="98"/>
        <v>-</v>
      </c>
      <c r="AJ184" s="438" t="str">
        <f t="shared" ca="1" si="99"/>
        <v>-</v>
      </c>
      <c r="AK184" s="439" t="str">
        <f ca="1">IFERROR(AE184*AD184*AL184/(IF(Cluster!AA203=Cluster!$W$8,Cluster!$W$10,IF(Cluster!AA203=Cluster!$X$8,Cluster!$X$10,IF(Cluster!AA203=Cluster!$Y$8,Cluster!$Y$10,0)))*10^3),"-")</f>
        <v>-</v>
      </c>
      <c r="AL184" s="440" t="str">
        <f ca="1">IFERROR(IF(OR(Calculation!T184&lt;(Calculation!$U$8+2),Calculation!AC184="Bypass"),IF((IF(Calculation!$O$6/((Calculation!AD184*10^-12)/(Calculation!T184*10^-9)*50)&lt;=1,1,ROUNDUP(Calculation!$O$6/((Calculation!AD184*10^-12)/(Calculation!T184*10^-9)*50),0))*50)&lt;Calculation!$AK$6,Calculation!$AK$6,IF(Calculation!$O$6/((Calculation!AD184*10^-12)/(Calculation!T184*10^-9)*50)&lt;=1,1,ROUNDUP(Calculation!$O$6/((Calculation!AD184*10^-12)/(Calculation!T184*10^-9)*50),0))*50),"-"),"-")</f>
        <v>-</v>
      </c>
      <c r="AM184" s="441" t="str">
        <f t="shared" ca="1" si="114"/>
        <v/>
      </c>
      <c r="AN184" s="442" t="str">
        <f t="shared" ca="1" si="114"/>
        <v/>
      </c>
      <c r="AO184" s="432">
        <f t="shared" ca="1" si="100"/>
        <v>384</v>
      </c>
      <c r="AP184" s="427" t="str">
        <f t="shared" ca="1" si="101"/>
        <v>-</v>
      </c>
      <c r="AQ184" s="443" t="str">
        <f t="shared" ca="1" si="102"/>
        <v>-</v>
      </c>
      <c r="AR184" s="444" t="str">
        <f t="shared" ca="1" si="103"/>
        <v>-</v>
      </c>
      <c r="AS184" s="430" t="str">
        <f t="shared" ca="1" si="104"/>
        <v>-</v>
      </c>
    </row>
    <row r="185" spans="1:45" ht="14.25" x14ac:dyDescent="0.65">
      <c r="A185" s="407">
        <v>177</v>
      </c>
      <c r="B185" s="408" t="str">
        <f t="shared" ca="1" si="85"/>
        <v/>
      </c>
      <c r="C185" s="408" t="str">
        <f ca="1">IFERROR(IF(G185="","",CONCATENATE(E185,"-",INDEX(Coordinate,MATCH(F185,ListAndConversion!$X$4:$X$99,0),2))),"")</f>
        <v/>
      </c>
      <c r="D185" s="408" t="str">
        <f t="shared" ca="1" si="111"/>
        <v/>
      </c>
      <c r="E185" s="408" t="str">
        <f t="shared" ca="1" si="111"/>
        <v/>
      </c>
      <c r="F185" s="408" t="str">
        <f t="shared" ca="1" si="111"/>
        <v/>
      </c>
      <c r="G185" s="408" t="str">
        <f ca="1">IFERROR(INDEX(ListAndConversion!A:B,MATCH(Calculation!E185,ListAndConversion!A:A,0),2),"")</f>
        <v/>
      </c>
      <c r="H185" s="408" t="str">
        <f>IF(TrackIT_Lines!AD177="","",TrackIT_Lines!AD177)</f>
        <v/>
      </c>
      <c r="I185" s="408" t="str">
        <f>IF(TrackIT_Lines!AD177="","",CONCATENATE(TrackIT_Lines!AD177,"-",TrackIT_Lines!AG177))</f>
        <v/>
      </c>
      <c r="J185" s="409" t="str">
        <f t="shared" ca="1" si="115"/>
        <v/>
      </c>
      <c r="K185" s="408" t="str">
        <f t="shared" ca="1" si="115"/>
        <v/>
      </c>
      <c r="L185" s="408" t="str">
        <f t="shared" ca="1" si="115"/>
        <v/>
      </c>
      <c r="M185" s="408" t="str">
        <f t="shared" ca="1" si="115"/>
        <v/>
      </c>
      <c r="N185" s="408" t="str">
        <f t="shared" ca="1" si="115"/>
        <v/>
      </c>
      <c r="O185" s="408" t="str">
        <f t="shared" ca="1" si="115"/>
        <v/>
      </c>
      <c r="P185" s="408" t="str">
        <f t="shared" ca="1" si="115"/>
        <v/>
      </c>
      <c r="Q185" s="408" t="str">
        <f t="shared" ca="1" si="115"/>
        <v/>
      </c>
      <c r="R185" s="410" t="str">
        <f ca="1">Cluster!J204</f>
        <v>Selection</v>
      </c>
      <c r="S185" s="411" t="str">
        <f t="shared" ca="1" si="86"/>
        <v>-</v>
      </c>
      <c r="T185" s="412" t="str">
        <f t="shared" ca="1" si="87"/>
        <v/>
      </c>
      <c r="U185" s="411" t="str">
        <f t="shared" ca="1" si="88"/>
        <v>-</v>
      </c>
      <c r="V185" s="411" t="str">
        <f t="shared" ca="1" si="89"/>
        <v>-</v>
      </c>
      <c r="W185" s="413">
        <f>Cluster!N204</f>
        <v>0</v>
      </c>
      <c r="X185" s="414" t="str">
        <f t="shared" ca="1" si="90"/>
        <v>-</v>
      </c>
      <c r="Y185" s="411" t="str">
        <f t="shared" ca="1" si="91"/>
        <v>-</v>
      </c>
      <c r="Z185" s="415" t="str">
        <f t="shared" ca="1" si="92"/>
        <v>-</v>
      </c>
      <c r="AA185" s="416" t="str">
        <f t="shared" ca="1" si="93"/>
        <v>-</v>
      </c>
      <c r="AB185" s="416" t="str">
        <f t="shared" ca="1" si="94"/>
        <v/>
      </c>
      <c r="AC185" s="434">
        <f>Cluster!Q204</f>
        <v>0</v>
      </c>
      <c r="AD185" s="435" t="str">
        <f t="shared" ca="1" si="113"/>
        <v/>
      </c>
      <c r="AE185" s="436" t="str">
        <f t="shared" ca="1" si="113"/>
        <v/>
      </c>
      <c r="AF185" s="437" t="str">
        <f t="shared" ca="1" si="95"/>
        <v>-</v>
      </c>
      <c r="AG185" s="438" t="str">
        <f t="shared" ca="1" si="96"/>
        <v>-</v>
      </c>
      <c r="AH185" s="437" t="str">
        <f t="shared" ca="1" si="97"/>
        <v>-</v>
      </c>
      <c r="AI185" s="438" t="str">
        <f t="shared" ca="1" si="98"/>
        <v>-</v>
      </c>
      <c r="AJ185" s="438" t="str">
        <f t="shared" ca="1" si="99"/>
        <v>-</v>
      </c>
      <c r="AK185" s="439" t="str">
        <f ca="1">IFERROR(AE185*AD185*AL185/(IF(Cluster!AA204=Cluster!$W$8,Cluster!$W$10,IF(Cluster!AA204=Cluster!$X$8,Cluster!$X$10,IF(Cluster!AA204=Cluster!$Y$8,Cluster!$Y$10,0)))*10^3),"-")</f>
        <v>-</v>
      </c>
      <c r="AL185" s="440" t="str">
        <f ca="1">IFERROR(IF(OR(Calculation!T185&lt;(Calculation!$U$8+2),Calculation!AC185="Bypass"),IF((IF(Calculation!$O$6/((Calculation!AD185*10^-12)/(Calculation!T185*10^-9)*50)&lt;=1,1,ROUNDUP(Calculation!$O$6/((Calculation!AD185*10^-12)/(Calculation!T185*10^-9)*50),0))*50)&lt;Calculation!$AK$6,Calculation!$AK$6,IF(Calculation!$O$6/((Calculation!AD185*10^-12)/(Calculation!T185*10^-9)*50)&lt;=1,1,ROUNDUP(Calculation!$O$6/((Calculation!AD185*10^-12)/(Calculation!T185*10^-9)*50),0))*50),"-"),"-")</f>
        <v>-</v>
      </c>
      <c r="AM185" s="441" t="str">
        <f t="shared" ca="1" si="114"/>
        <v/>
      </c>
      <c r="AN185" s="442" t="str">
        <f t="shared" ca="1" si="114"/>
        <v/>
      </c>
      <c r="AO185" s="432">
        <f t="shared" ca="1" si="100"/>
        <v>384</v>
      </c>
      <c r="AP185" s="427" t="str">
        <f t="shared" ca="1" si="101"/>
        <v>-</v>
      </c>
      <c r="AQ185" s="443" t="str">
        <f t="shared" ca="1" si="102"/>
        <v>-</v>
      </c>
      <c r="AR185" s="444" t="str">
        <f t="shared" ca="1" si="103"/>
        <v>-</v>
      </c>
      <c r="AS185" s="430" t="str">
        <f t="shared" ca="1" si="104"/>
        <v>-</v>
      </c>
    </row>
    <row r="186" spans="1:45" ht="14.25" x14ac:dyDescent="0.65">
      <c r="A186" s="407">
        <v>178</v>
      </c>
      <c r="B186" s="408" t="str">
        <f t="shared" ca="1" si="85"/>
        <v/>
      </c>
      <c r="C186" s="408" t="str">
        <f ca="1">IFERROR(IF(G186="","",CONCATENATE(E186,"-",INDEX(Coordinate,MATCH(F186,ListAndConversion!$X$4:$X$99,0),2))),"")</f>
        <v/>
      </c>
      <c r="D186" s="408" t="str">
        <f t="shared" ca="1" si="111"/>
        <v/>
      </c>
      <c r="E186" s="408" t="str">
        <f t="shared" ca="1" si="111"/>
        <v/>
      </c>
      <c r="F186" s="408" t="str">
        <f t="shared" ca="1" si="111"/>
        <v/>
      </c>
      <c r="G186" s="408" t="str">
        <f ca="1">IFERROR(INDEX(ListAndConversion!A:B,MATCH(Calculation!E186,ListAndConversion!A:A,0),2),"")</f>
        <v/>
      </c>
      <c r="H186" s="408" t="str">
        <f>IF(TrackIT_Lines!AD178="","",TrackIT_Lines!AD178)</f>
        <v/>
      </c>
      <c r="I186" s="408" t="str">
        <f>IF(TrackIT_Lines!AD178="","",CONCATENATE(TrackIT_Lines!AD178,"-",TrackIT_Lines!AG178))</f>
        <v/>
      </c>
      <c r="J186" s="409" t="str">
        <f t="shared" ca="1" si="115"/>
        <v/>
      </c>
      <c r="K186" s="408" t="str">
        <f t="shared" ca="1" si="115"/>
        <v/>
      </c>
      <c r="L186" s="408" t="str">
        <f t="shared" ca="1" si="115"/>
        <v/>
      </c>
      <c r="M186" s="408" t="str">
        <f t="shared" ca="1" si="115"/>
        <v/>
      </c>
      <c r="N186" s="408" t="str">
        <f t="shared" ca="1" si="115"/>
        <v/>
      </c>
      <c r="O186" s="408" t="str">
        <f t="shared" ca="1" si="115"/>
        <v/>
      </c>
      <c r="P186" s="408" t="str">
        <f t="shared" ca="1" si="115"/>
        <v/>
      </c>
      <c r="Q186" s="408" t="str">
        <f t="shared" ca="1" si="115"/>
        <v/>
      </c>
      <c r="R186" s="410" t="str">
        <f ca="1">Cluster!J205</f>
        <v>Selection</v>
      </c>
      <c r="S186" s="411" t="str">
        <f t="shared" ca="1" si="86"/>
        <v>-</v>
      </c>
      <c r="T186" s="412" t="str">
        <f t="shared" ca="1" si="87"/>
        <v/>
      </c>
      <c r="U186" s="411" t="str">
        <f t="shared" ca="1" si="88"/>
        <v>-</v>
      </c>
      <c r="V186" s="411" t="str">
        <f t="shared" ca="1" si="89"/>
        <v>-</v>
      </c>
      <c r="W186" s="413">
        <f>Cluster!N205</f>
        <v>0</v>
      </c>
      <c r="X186" s="414" t="str">
        <f t="shared" ca="1" si="90"/>
        <v>-</v>
      </c>
      <c r="Y186" s="411" t="str">
        <f t="shared" ca="1" si="91"/>
        <v>-</v>
      </c>
      <c r="Z186" s="415" t="str">
        <f t="shared" ca="1" si="92"/>
        <v>-</v>
      </c>
      <c r="AA186" s="416" t="str">
        <f t="shared" ca="1" si="93"/>
        <v>-</v>
      </c>
      <c r="AB186" s="416" t="str">
        <f t="shared" ca="1" si="94"/>
        <v/>
      </c>
      <c r="AC186" s="434">
        <f>Cluster!Q205</f>
        <v>0</v>
      </c>
      <c r="AD186" s="435" t="str">
        <f t="shared" ca="1" si="113"/>
        <v/>
      </c>
      <c r="AE186" s="436" t="str">
        <f t="shared" ca="1" si="113"/>
        <v/>
      </c>
      <c r="AF186" s="437" t="str">
        <f t="shared" ca="1" si="95"/>
        <v>-</v>
      </c>
      <c r="AG186" s="438" t="str">
        <f t="shared" ca="1" si="96"/>
        <v>-</v>
      </c>
      <c r="AH186" s="437" t="str">
        <f t="shared" ca="1" si="97"/>
        <v>-</v>
      </c>
      <c r="AI186" s="438" t="str">
        <f t="shared" ca="1" si="98"/>
        <v>-</v>
      </c>
      <c r="AJ186" s="438" t="str">
        <f t="shared" ca="1" si="99"/>
        <v>-</v>
      </c>
      <c r="AK186" s="439" t="str">
        <f ca="1">IFERROR(AE186*AD186*AL186/(IF(Cluster!AA205=Cluster!$W$8,Cluster!$W$10,IF(Cluster!AA205=Cluster!$X$8,Cluster!$X$10,IF(Cluster!AA205=Cluster!$Y$8,Cluster!$Y$10,0)))*10^3),"-")</f>
        <v>-</v>
      </c>
      <c r="AL186" s="440" t="str">
        <f ca="1">IFERROR(IF(OR(Calculation!T186&lt;(Calculation!$U$8+2),Calculation!AC186="Bypass"),IF((IF(Calculation!$O$6/((Calculation!AD186*10^-12)/(Calculation!T186*10^-9)*50)&lt;=1,1,ROUNDUP(Calculation!$O$6/((Calculation!AD186*10^-12)/(Calculation!T186*10^-9)*50),0))*50)&lt;Calculation!$AK$6,Calculation!$AK$6,IF(Calculation!$O$6/((Calculation!AD186*10^-12)/(Calculation!T186*10^-9)*50)&lt;=1,1,ROUNDUP(Calculation!$O$6/((Calculation!AD186*10^-12)/(Calculation!T186*10^-9)*50),0))*50),"-"),"-")</f>
        <v>-</v>
      </c>
      <c r="AM186" s="441" t="str">
        <f t="shared" ca="1" si="114"/>
        <v/>
      </c>
      <c r="AN186" s="442" t="str">
        <f t="shared" ca="1" si="114"/>
        <v/>
      </c>
      <c r="AO186" s="432">
        <f t="shared" ca="1" si="100"/>
        <v>384</v>
      </c>
      <c r="AP186" s="427" t="str">
        <f t="shared" ca="1" si="101"/>
        <v>-</v>
      </c>
      <c r="AQ186" s="443" t="str">
        <f t="shared" ca="1" si="102"/>
        <v>-</v>
      </c>
      <c r="AR186" s="444" t="str">
        <f t="shared" ca="1" si="103"/>
        <v>-</v>
      </c>
      <c r="AS186" s="430" t="str">
        <f t="shared" ca="1" si="104"/>
        <v>-</v>
      </c>
    </row>
    <row r="187" spans="1:45" ht="14.25" x14ac:dyDescent="0.65">
      <c r="A187" s="407">
        <v>179</v>
      </c>
      <c r="B187" s="408" t="str">
        <f t="shared" ca="1" si="85"/>
        <v/>
      </c>
      <c r="C187" s="408" t="str">
        <f ca="1">IFERROR(IF(G187="","",CONCATENATE(E187,"-",INDEX(Coordinate,MATCH(F187,ListAndConversion!$X$4:$X$99,0),2))),"")</f>
        <v/>
      </c>
      <c r="D187" s="408" t="str">
        <f t="shared" ca="1" si="111"/>
        <v/>
      </c>
      <c r="E187" s="408" t="str">
        <f t="shared" ca="1" si="111"/>
        <v/>
      </c>
      <c r="F187" s="408" t="str">
        <f t="shared" ca="1" si="111"/>
        <v/>
      </c>
      <c r="G187" s="408" t="str">
        <f ca="1">IFERROR(INDEX(ListAndConversion!A:B,MATCH(Calculation!E187,ListAndConversion!A:A,0),2),"")</f>
        <v/>
      </c>
      <c r="H187" s="408" t="str">
        <f>IF(TrackIT_Lines!AD179="","",TrackIT_Lines!AD179)</f>
        <v/>
      </c>
      <c r="I187" s="408" t="str">
        <f>IF(TrackIT_Lines!AD179="","",CONCATENATE(TrackIT_Lines!AD179,"-",TrackIT_Lines!AG179))</f>
        <v/>
      </c>
      <c r="J187" s="409" t="str">
        <f t="shared" ca="1" si="115"/>
        <v/>
      </c>
      <c r="K187" s="408" t="str">
        <f t="shared" ca="1" si="115"/>
        <v/>
      </c>
      <c r="L187" s="408" t="str">
        <f t="shared" ca="1" si="115"/>
        <v/>
      </c>
      <c r="M187" s="408" t="str">
        <f t="shared" ca="1" si="115"/>
        <v/>
      </c>
      <c r="N187" s="408" t="str">
        <f t="shared" ca="1" si="115"/>
        <v/>
      </c>
      <c r="O187" s="408" t="str">
        <f t="shared" ca="1" si="115"/>
        <v/>
      </c>
      <c r="P187" s="408" t="str">
        <f t="shared" ca="1" si="115"/>
        <v/>
      </c>
      <c r="Q187" s="408" t="str">
        <f t="shared" ca="1" si="115"/>
        <v/>
      </c>
      <c r="R187" s="410" t="str">
        <f ca="1">Cluster!J206</f>
        <v>Selection</v>
      </c>
      <c r="S187" s="411" t="str">
        <f t="shared" ca="1" si="86"/>
        <v>-</v>
      </c>
      <c r="T187" s="412" t="str">
        <f t="shared" ca="1" si="87"/>
        <v/>
      </c>
      <c r="U187" s="411" t="str">
        <f t="shared" ca="1" si="88"/>
        <v>-</v>
      </c>
      <c r="V187" s="411" t="str">
        <f t="shared" ca="1" si="89"/>
        <v>-</v>
      </c>
      <c r="W187" s="413">
        <f>Cluster!N206</f>
        <v>0</v>
      </c>
      <c r="X187" s="414" t="str">
        <f t="shared" ca="1" si="90"/>
        <v>-</v>
      </c>
      <c r="Y187" s="411" t="str">
        <f t="shared" ca="1" si="91"/>
        <v>-</v>
      </c>
      <c r="Z187" s="415" t="str">
        <f t="shared" ca="1" si="92"/>
        <v>-</v>
      </c>
      <c r="AA187" s="416" t="str">
        <f t="shared" ca="1" si="93"/>
        <v>-</v>
      </c>
      <c r="AB187" s="416" t="str">
        <f t="shared" ca="1" si="94"/>
        <v/>
      </c>
      <c r="AC187" s="434">
        <f>Cluster!Q206</f>
        <v>0</v>
      </c>
      <c r="AD187" s="435" t="str">
        <f t="shared" ca="1" si="113"/>
        <v/>
      </c>
      <c r="AE187" s="436" t="str">
        <f t="shared" ca="1" si="113"/>
        <v/>
      </c>
      <c r="AF187" s="437" t="str">
        <f t="shared" ca="1" si="95"/>
        <v>-</v>
      </c>
      <c r="AG187" s="438" t="str">
        <f t="shared" ca="1" si="96"/>
        <v>-</v>
      </c>
      <c r="AH187" s="437" t="str">
        <f t="shared" ca="1" si="97"/>
        <v>-</v>
      </c>
      <c r="AI187" s="438" t="str">
        <f t="shared" ca="1" si="98"/>
        <v>-</v>
      </c>
      <c r="AJ187" s="438" t="str">
        <f t="shared" ca="1" si="99"/>
        <v>-</v>
      </c>
      <c r="AK187" s="439" t="str">
        <f ca="1">IFERROR(AE187*AD187*AL187/(IF(Cluster!AA206=Cluster!$W$8,Cluster!$W$10,IF(Cluster!AA206=Cluster!$X$8,Cluster!$X$10,IF(Cluster!AA206=Cluster!$Y$8,Cluster!$Y$10,0)))*10^3),"-")</f>
        <v>-</v>
      </c>
      <c r="AL187" s="440" t="str">
        <f ca="1">IFERROR(IF(OR(Calculation!T187&lt;(Calculation!$U$8+2),Calculation!AC187="Bypass"),IF((IF(Calculation!$O$6/((Calculation!AD187*10^-12)/(Calculation!T187*10^-9)*50)&lt;=1,1,ROUNDUP(Calculation!$O$6/((Calculation!AD187*10^-12)/(Calculation!T187*10^-9)*50),0))*50)&lt;Calculation!$AK$6,Calculation!$AK$6,IF(Calculation!$O$6/((Calculation!AD187*10^-12)/(Calculation!T187*10^-9)*50)&lt;=1,1,ROUNDUP(Calculation!$O$6/((Calculation!AD187*10^-12)/(Calculation!T187*10^-9)*50),0))*50),"-"),"-")</f>
        <v>-</v>
      </c>
      <c r="AM187" s="441" t="str">
        <f t="shared" ca="1" si="114"/>
        <v/>
      </c>
      <c r="AN187" s="442" t="str">
        <f t="shared" ca="1" si="114"/>
        <v/>
      </c>
      <c r="AO187" s="432">
        <f t="shared" ca="1" si="100"/>
        <v>384</v>
      </c>
      <c r="AP187" s="427" t="str">
        <f t="shared" ca="1" si="101"/>
        <v>-</v>
      </c>
      <c r="AQ187" s="443" t="str">
        <f t="shared" ca="1" si="102"/>
        <v>-</v>
      </c>
      <c r="AR187" s="444" t="str">
        <f t="shared" ca="1" si="103"/>
        <v>-</v>
      </c>
      <c r="AS187" s="430" t="str">
        <f t="shared" ca="1" si="104"/>
        <v>-</v>
      </c>
    </row>
    <row r="188" spans="1:45" ht="14.25" x14ac:dyDescent="0.65">
      <c r="A188" s="407">
        <v>180</v>
      </c>
      <c r="B188" s="408" t="str">
        <f t="shared" ca="1" si="85"/>
        <v/>
      </c>
      <c r="C188" s="408" t="str">
        <f ca="1">IFERROR(IF(G188="","",CONCATENATE(E188,"-",INDEX(Coordinate,MATCH(F188,ListAndConversion!$X$4:$X$99,0),2))),"")</f>
        <v/>
      </c>
      <c r="D188" s="408" t="str">
        <f t="shared" ca="1" si="111"/>
        <v/>
      </c>
      <c r="E188" s="408" t="str">
        <f t="shared" ca="1" si="111"/>
        <v/>
      </c>
      <c r="F188" s="408" t="str">
        <f t="shared" ca="1" si="111"/>
        <v/>
      </c>
      <c r="G188" s="408" t="str">
        <f ca="1">IFERROR(INDEX(ListAndConversion!A:B,MATCH(Calculation!E188,ListAndConversion!A:A,0),2),"")</f>
        <v/>
      </c>
      <c r="H188" s="408" t="str">
        <f>IF(TrackIT_Lines!AD180="","",TrackIT_Lines!AD180)</f>
        <v/>
      </c>
      <c r="I188" s="408" t="str">
        <f>IF(TrackIT_Lines!AD180="","",CONCATENATE(TrackIT_Lines!AD180,"-",TrackIT_Lines!AG180))</f>
        <v/>
      </c>
      <c r="J188" s="409" t="str">
        <f t="shared" ca="1" si="115"/>
        <v/>
      </c>
      <c r="K188" s="408" t="str">
        <f t="shared" ca="1" si="115"/>
        <v/>
      </c>
      <c r="L188" s="408" t="str">
        <f t="shared" ca="1" si="115"/>
        <v/>
      </c>
      <c r="M188" s="408" t="str">
        <f t="shared" ca="1" si="115"/>
        <v/>
      </c>
      <c r="N188" s="408" t="str">
        <f t="shared" ca="1" si="115"/>
        <v/>
      </c>
      <c r="O188" s="408" t="str">
        <f t="shared" ca="1" si="115"/>
        <v/>
      </c>
      <c r="P188" s="408" t="str">
        <f t="shared" ca="1" si="115"/>
        <v/>
      </c>
      <c r="Q188" s="408" t="str">
        <f t="shared" ca="1" si="115"/>
        <v/>
      </c>
      <c r="R188" s="410" t="str">
        <f ca="1">Cluster!J207</f>
        <v>Selection</v>
      </c>
      <c r="S188" s="411" t="str">
        <f t="shared" ca="1" si="86"/>
        <v>-</v>
      </c>
      <c r="T188" s="412" t="str">
        <f t="shared" ca="1" si="87"/>
        <v/>
      </c>
      <c r="U188" s="411" t="str">
        <f t="shared" ca="1" si="88"/>
        <v>-</v>
      </c>
      <c r="V188" s="411" t="str">
        <f t="shared" ca="1" si="89"/>
        <v>-</v>
      </c>
      <c r="W188" s="413">
        <f>Cluster!N207</f>
        <v>0</v>
      </c>
      <c r="X188" s="414" t="str">
        <f t="shared" ca="1" si="90"/>
        <v>-</v>
      </c>
      <c r="Y188" s="411" t="str">
        <f t="shared" ca="1" si="91"/>
        <v>-</v>
      </c>
      <c r="Z188" s="415" t="str">
        <f t="shared" ca="1" si="92"/>
        <v>-</v>
      </c>
      <c r="AA188" s="416" t="str">
        <f t="shared" ca="1" si="93"/>
        <v>-</v>
      </c>
      <c r="AB188" s="416" t="str">
        <f t="shared" ca="1" si="94"/>
        <v/>
      </c>
      <c r="AC188" s="434">
        <f>Cluster!Q207</f>
        <v>0</v>
      </c>
      <c r="AD188" s="435" t="str">
        <f t="shared" ca="1" si="113"/>
        <v/>
      </c>
      <c r="AE188" s="436" t="str">
        <f t="shared" ca="1" si="113"/>
        <v/>
      </c>
      <c r="AF188" s="437" t="str">
        <f t="shared" ca="1" si="95"/>
        <v>-</v>
      </c>
      <c r="AG188" s="438" t="str">
        <f t="shared" ca="1" si="96"/>
        <v>-</v>
      </c>
      <c r="AH188" s="437" t="str">
        <f t="shared" ca="1" si="97"/>
        <v>-</v>
      </c>
      <c r="AI188" s="438" t="str">
        <f t="shared" ca="1" si="98"/>
        <v>-</v>
      </c>
      <c r="AJ188" s="438" t="str">
        <f t="shared" ca="1" si="99"/>
        <v>-</v>
      </c>
      <c r="AK188" s="439" t="str">
        <f ca="1">IFERROR(AE188*AD188*AL188/(IF(Cluster!AA207=Cluster!$W$8,Cluster!$W$10,IF(Cluster!AA207=Cluster!$X$8,Cluster!$X$10,IF(Cluster!AA207=Cluster!$Y$8,Cluster!$Y$10,0)))*10^3),"-")</f>
        <v>-</v>
      </c>
      <c r="AL188" s="440" t="str">
        <f ca="1">IFERROR(IF(OR(Calculation!T188&lt;(Calculation!$U$8+2),Calculation!AC188="Bypass"),IF((IF(Calculation!$O$6/((Calculation!AD188*10^-12)/(Calculation!T188*10^-9)*50)&lt;=1,1,ROUNDUP(Calculation!$O$6/((Calculation!AD188*10^-12)/(Calculation!T188*10^-9)*50),0))*50)&lt;Calculation!$AK$6,Calculation!$AK$6,IF(Calculation!$O$6/((Calculation!AD188*10^-12)/(Calculation!T188*10^-9)*50)&lt;=1,1,ROUNDUP(Calculation!$O$6/((Calculation!AD188*10^-12)/(Calculation!T188*10^-9)*50),0))*50),"-"),"-")</f>
        <v>-</v>
      </c>
      <c r="AM188" s="441" t="str">
        <f t="shared" ca="1" si="114"/>
        <v/>
      </c>
      <c r="AN188" s="442" t="str">
        <f t="shared" ca="1" si="114"/>
        <v/>
      </c>
      <c r="AO188" s="432">
        <f t="shared" ca="1" si="100"/>
        <v>384</v>
      </c>
      <c r="AP188" s="427" t="str">
        <f t="shared" ca="1" si="101"/>
        <v>-</v>
      </c>
      <c r="AQ188" s="443" t="str">
        <f t="shared" ca="1" si="102"/>
        <v>-</v>
      </c>
      <c r="AR188" s="444" t="str">
        <f t="shared" ca="1" si="103"/>
        <v>-</v>
      </c>
      <c r="AS188" s="430" t="str">
        <f t="shared" ca="1" si="104"/>
        <v>-</v>
      </c>
    </row>
    <row r="189" spans="1:45" ht="14.25" x14ac:dyDescent="0.65">
      <c r="A189" s="407">
        <v>181</v>
      </c>
      <c r="B189" s="408" t="str">
        <f t="shared" ca="1" si="85"/>
        <v/>
      </c>
      <c r="C189" s="408" t="str">
        <f ca="1">IFERROR(IF(G189="","",CONCATENATE(E189,"-",INDEX(Coordinate,MATCH(F189,ListAndConversion!$X$4:$X$99,0),2))),"")</f>
        <v/>
      </c>
      <c r="D189" s="408" t="str">
        <f t="shared" ca="1" si="111"/>
        <v/>
      </c>
      <c r="E189" s="408" t="str">
        <f t="shared" ca="1" si="111"/>
        <v/>
      </c>
      <c r="F189" s="408" t="str">
        <f t="shared" ca="1" si="111"/>
        <v/>
      </c>
      <c r="G189" s="408" t="str">
        <f ca="1">IFERROR(INDEX(ListAndConversion!A:B,MATCH(Calculation!E189,ListAndConversion!A:A,0),2),"")</f>
        <v/>
      </c>
      <c r="H189" s="408" t="str">
        <f>IF(TrackIT_Lines!AD181="","",TrackIT_Lines!AD181)</f>
        <v/>
      </c>
      <c r="I189" s="408" t="str">
        <f>IF(TrackIT_Lines!AD181="","",CONCATENATE(TrackIT_Lines!AD181,"-",TrackIT_Lines!AG181))</f>
        <v/>
      </c>
      <c r="J189" s="409" t="str">
        <f t="shared" ca="1" si="115"/>
        <v/>
      </c>
      <c r="K189" s="408" t="str">
        <f t="shared" ca="1" si="115"/>
        <v/>
      </c>
      <c r="L189" s="408" t="str">
        <f t="shared" ca="1" si="115"/>
        <v/>
      </c>
      <c r="M189" s="408" t="str">
        <f t="shared" ca="1" si="115"/>
        <v/>
      </c>
      <c r="N189" s="408" t="str">
        <f t="shared" ca="1" si="115"/>
        <v/>
      </c>
      <c r="O189" s="408" t="str">
        <f t="shared" ca="1" si="115"/>
        <v/>
      </c>
      <c r="P189" s="408" t="str">
        <f t="shared" ca="1" si="115"/>
        <v/>
      </c>
      <c r="Q189" s="408" t="str">
        <f t="shared" ca="1" si="115"/>
        <v/>
      </c>
      <c r="R189" s="410" t="str">
        <f ca="1">Cluster!J208</f>
        <v>Selection</v>
      </c>
      <c r="S189" s="411" t="str">
        <f t="shared" ca="1" si="86"/>
        <v>-</v>
      </c>
      <c r="T189" s="412" t="str">
        <f t="shared" ca="1" si="87"/>
        <v/>
      </c>
      <c r="U189" s="411" t="str">
        <f t="shared" ca="1" si="88"/>
        <v>-</v>
      </c>
      <c r="V189" s="411" t="str">
        <f t="shared" ca="1" si="89"/>
        <v>-</v>
      </c>
      <c r="W189" s="413">
        <f>Cluster!N208</f>
        <v>0</v>
      </c>
      <c r="X189" s="414" t="str">
        <f t="shared" ca="1" si="90"/>
        <v>-</v>
      </c>
      <c r="Y189" s="411" t="str">
        <f t="shared" ca="1" si="91"/>
        <v>-</v>
      </c>
      <c r="Z189" s="415" t="str">
        <f t="shared" ca="1" si="92"/>
        <v>-</v>
      </c>
      <c r="AA189" s="416" t="str">
        <f t="shared" ca="1" si="93"/>
        <v>-</v>
      </c>
      <c r="AB189" s="416" t="str">
        <f t="shared" ca="1" si="94"/>
        <v/>
      </c>
      <c r="AC189" s="434">
        <f>Cluster!Q208</f>
        <v>0</v>
      </c>
      <c r="AD189" s="435" t="str">
        <f t="shared" ca="1" si="113"/>
        <v/>
      </c>
      <c r="AE189" s="436" t="str">
        <f t="shared" ca="1" si="113"/>
        <v/>
      </c>
      <c r="AF189" s="437" t="str">
        <f t="shared" ca="1" si="95"/>
        <v>-</v>
      </c>
      <c r="AG189" s="438" t="str">
        <f t="shared" ca="1" si="96"/>
        <v>-</v>
      </c>
      <c r="AH189" s="437" t="str">
        <f t="shared" ca="1" si="97"/>
        <v>-</v>
      </c>
      <c r="AI189" s="438" t="str">
        <f t="shared" ca="1" si="98"/>
        <v>-</v>
      </c>
      <c r="AJ189" s="438" t="str">
        <f t="shared" ca="1" si="99"/>
        <v>-</v>
      </c>
      <c r="AK189" s="439" t="str">
        <f ca="1">IFERROR(AE189*AD189*AL189/(IF(Cluster!AA208=Cluster!$W$8,Cluster!$W$10,IF(Cluster!AA208=Cluster!$X$8,Cluster!$X$10,IF(Cluster!AA208=Cluster!$Y$8,Cluster!$Y$10,0)))*10^3),"-")</f>
        <v>-</v>
      </c>
      <c r="AL189" s="440" t="str">
        <f ca="1">IFERROR(IF(OR(Calculation!T189&lt;(Calculation!$U$8+2),Calculation!AC189="Bypass"),IF((IF(Calculation!$O$6/((Calculation!AD189*10^-12)/(Calculation!T189*10^-9)*50)&lt;=1,1,ROUNDUP(Calculation!$O$6/((Calculation!AD189*10^-12)/(Calculation!T189*10^-9)*50),0))*50)&lt;Calculation!$AK$6,Calculation!$AK$6,IF(Calculation!$O$6/((Calculation!AD189*10^-12)/(Calculation!T189*10^-9)*50)&lt;=1,1,ROUNDUP(Calculation!$O$6/((Calculation!AD189*10^-12)/(Calculation!T189*10^-9)*50),0))*50),"-"),"-")</f>
        <v>-</v>
      </c>
      <c r="AM189" s="441" t="str">
        <f t="shared" ca="1" si="114"/>
        <v/>
      </c>
      <c r="AN189" s="442" t="str">
        <f t="shared" ca="1" si="114"/>
        <v/>
      </c>
      <c r="AO189" s="432">
        <f t="shared" ca="1" si="100"/>
        <v>384</v>
      </c>
      <c r="AP189" s="427" t="str">
        <f t="shared" ca="1" si="101"/>
        <v>-</v>
      </c>
      <c r="AQ189" s="443" t="str">
        <f t="shared" ca="1" si="102"/>
        <v>-</v>
      </c>
      <c r="AR189" s="444" t="str">
        <f t="shared" ca="1" si="103"/>
        <v>-</v>
      </c>
      <c r="AS189" s="430" t="str">
        <f t="shared" ca="1" si="104"/>
        <v>-</v>
      </c>
    </row>
    <row r="190" spans="1:45" ht="14.25" x14ac:dyDescent="0.65">
      <c r="A190" s="407">
        <v>182</v>
      </c>
      <c r="B190" s="408" t="str">
        <f t="shared" ca="1" si="85"/>
        <v/>
      </c>
      <c r="C190" s="408" t="str">
        <f ca="1">IFERROR(IF(G190="","",CONCATENATE(E190,"-",INDEX(Coordinate,MATCH(F190,ListAndConversion!$X$4:$X$99,0),2))),"")</f>
        <v/>
      </c>
      <c r="D190" s="408" t="str">
        <f t="shared" ref="D190:F209" ca="1" si="116">IF((INDIRECT("TrackIT_Lines!"&amp;D$2&amp;$A190))="","", (INDIRECT("TrackIT_Lines!"&amp;D$2&amp;$A190)))</f>
        <v/>
      </c>
      <c r="E190" s="408" t="str">
        <f t="shared" ca="1" si="116"/>
        <v/>
      </c>
      <c r="F190" s="408" t="str">
        <f t="shared" ca="1" si="116"/>
        <v/>
      </c>
      <c r="G190" s="408" t="str">
        <f ca="1">IFERROR(INDEX(ListAndConversion!A:B,MATCH(Calculation!E190,ListAndConversion!A:A,0),2),"")</f>
        <v/>
      </c>
      <c r="H190" s="408" t="str">
        <f>IF(TrackIT_Lines!AD182="","",TrackIT_Lines!AD182)</f>
        <v/>
      </c>
      <c r="I190" s="408" t="str">
        <f>IF(TrackIT_Lines!AD182="","",CONCATENATE(TrackIT_Lines!AD182,"-",TrackIT_Lines!AG182))</f>
        <v/>
      </c>
      <c r="J190" s="409" t="str">
        <f t="shared" ref="J190:Q199" ca="1" si="117">IF((INDIRECT("TrackIT_Lines!"&amp;J$2&amp;$A190))="","", (INDIRECT("TrackIT_Lines!"&amp;J$2&amp;$A190)))</f>
        <v/>
      </c>
      <c r="K190" s="408" t="str">
        <f t="shared" ca="1" si="117"/>
        <v/>
      </c>
      <c r="L190" s="408" t="str">
        <f t="shared" ca="1" si="117"/>
        <v/>
      </c>
      <c r="M190" s="408" t="str">
        <f t="shared" ca="1" si="117"/>
        <v/>
      </c>
      <c r="N190" s="408" t="str">
        <f t="shared" ca="1" si="117"/>
        <v/>
      </c>
      <c r="O190" s="408" t="str">
        <f t="shared" ca="1" si="117"/>
        <v/>
      </c>
      <c r="P190" s="408" t="str">
        <f t="shared" ca="1" si="117"/>
        <v/>
      </c>
      <c r="Q190" s="408" t="str">
        <f t="shared" ca="1" si="117"/>
        <v/>
      </c>
      <c r="R190" s="410" t="str">
        <f ca="1">Cluster!J209</f>
        <v>Selection</v>
      </c>
      <c r="S190" s="411" t="str">
        <f t="shared" ca="1" si="86"/>
        <v>-</v>
      </c>
      <c r="T190" s="412" t="str">
        <f t="shared" ca="1" si="87"/>
        <v/>
      </c>
      <c r="U190" s="411" t="str">
        <f t="shared" ca="1" si="88"/>
        <v>-</v>
      </c>
      <c r="V190" s="411" t="str">
        <f t="shared" ca="1" si="89"/>
        <v>-</v>
      </c>
      <c r="W190" s="413">
        <f>Cluster!N209</f>
        <v>0</v>
      </c>
      <c r="X190" s="414" t="str">
        <f t="shared" ca="1" si="90"/>
        <v>-</v>
      </c>
      <c r="Y190" s="411" t="str">
        <f t="shared" ca="1" si="91"/>
        <v>-</v>
      </c>
      <c r="Z190" s="415" t="str">
        <f t="shared" ca="1" si="92"/>
        <v>-</v>
      </c>
      <c r="AA190" s="416" t="str">
        <f t="shared" ca="1" si="93"/>
        <v>-</v>
      </c>
      <c r="AB190" s="416" t="str">
        <f t="shared" ca="1" si="94"/>
        <v/>
      </c>
      <c r="AC190" s="434">
        <f>Cluster!Q209</f>
        <v>0</v>
      </c>
      <c r="AD190" s="435" t="str">
        <f t="shared" ref="AD190:AE209" ca="1" si="118">IF((INDIRECT("TrackIT_Lines!"&amp;AD$2&amp;$A190))="","", (INDIRECT("TrackIT_Lines!"&amp;AD$2&amp;$A190)))</f>
        <v/>
      </c>
      <c r="AE190" s="436" t="str">
        <f t="shared" ca="1" si="118"/>
        <v/>
      </c>
      <c r="AF190" s="437" t="str">
        <f t="shared" ca="1" si="95"/>
        <v>-</v>
      </c>
      <c r="AG190" s="438" t="str">
        <f t="shared" ca="1" si="96"/>
        <v>-</v>
      </c>
      <c r="AH190" s="437" t="str">
        <f t="shared" ca="1" si="97"/>
        <v>-</v>
      </c>
      <c r="AI190" s="438" t="str">
        <f t="shared" ca="1" si="98"/>
        <v>-</v>
      </c>
      <c r="AJ190" s="438" t="str">
        <f t="shared" ca="1" si="99"/>
        <v>-</v>
      </c>
      <c r="AK190" s="439" t="str">
        <f ca="1">IFERROR(AE190*AD190*AL190/(IF(Cluster!AA209=Cluster!$W$8,Cluster!$W$10,IF(Cluster!AA209=Cluster!$X$8,Cluster!$X$10,IF(Cluster!AA209=Cluster!$Y$8,Cluster!$Y$10,0)))*10^3),"-")</f>
        <v>-</v>
      </c>
      <c r="AL190" s="440" t="str">
        <f ca="1">IFERROR(IF(OR(Calculation!T190&lt;(Calculation!$U$8+2),Calculation!AC190="Bypass"),IF((IF(Calculation!$O$6/((Calculation!AD190*10^-12)/(Calculation!T190*10^-9)*50)&lt;=1,1,ROUNDUP(Calculation!$O$6/((Calculation!AD190*10^-12)/(Calculation!T190*10^-9)*50),0))*50)&lt;Calculation!$AK$6,Calculation!$AK$6,IF(Calculation!$O$6/((Calculation!AD190*10^-12)/(Calculation!T190*10^-9)*50)&lt;=1,1,ROUNDUP(Calculation!$O$6/((Calculation!AD190*10^-12)/(Calculation!T190*10^-9)*50),0))*50),"-"),"-")</f>
        <v>-</v>
      </c>
      <c r="AM190" s="441" t="str">
        <f t="shared" ref="AM190:AN209" ca="1" si="119">IF((INDIRECT("TrackIT_Lines!"&amp;AM$2&amp;$A190))="","", (INDIRECT("TrackIT_Lines!"&amp;AM$2&amp;$A190)))</f>
        <v/>
      </c>
      <c r="AN190" s="442" t="str">
        <f t="shared" ca="1" si="119"/>
        <v/>
      </c>
      <c r="AO190" s="432">
        <f t="shared" ca="1" si="100"/>
        <v>384</v>
      </c>
      <c r="AP190" s="427" t="str">
        <f t="shared" ca="1" si="101"/>
        <v>-</v>
      </c>
      <c r="AQ190" s="443" t="str">
        <f t="shared" ca="1" si="102"/>
        <v>-</v>
      </c>
      <c r="AR190" s="444" t="str">
        <f t="shared" ca="1" si="103"/>
        <v>-</v>
      </c>
      <c r="AS190" s="430" t="str">
        <f t="shared" ca="1" si="104"/>
        <v>-</v>
      </c>
    </row>
    <row r="191" spans="1:45" ht="14.25" x14ac:dyDescent="0.65">
      <c r="A191" s="407">
        <v>183</v>
      </c>
      <c r="B191" s="408" t="str">
        <f t="shared" ca="1" si="85"/>
        <v/>
      </c>
      <c r="C191" s="408" t="str">
        <f ca="1">IFERROR(IF(G191="","",CONCATENATE(E191,"-",INDEX(Coordinate,MATCH(F191,ListAndConversion!$X$4:$X$99,0),2))),"")</f>
        <v/>
      </c>
      <c r="D191" s="408" t="str">
        <f t="shared" ca="1" si="116"/>
        <v/>
      </c>
      <c r="E191" s="408" t="str">
        <f t="shared" ca="1" si="116"/>
        <v/>
      </c>
      <c r="F191" s="408" t="str">
        <f t="shared" ca="1" si="116"/>
        <v/>
      </c>
      <c r="G191" s="408" t="str">
        <f ca="1">IFERROR(INDEX(ListAndConversion!A:B,MATCH(Calculation!E191,ListAndConversion!A:A,0),2),"")</f>
        <v/>
      </c>
      <c r="H191" s="408" t="str">
        <f>IF(TrackIT_Lines!AD183="","",TrackIT_Lines!AD183)</f>
        <v/>
      </c>
      <c r="I191" s="408" t="str">
        <f>IF(TrackIT_Lines!AD183="","",CONCATENATE(TrackIT_Lines!AD183,"-",TrackIT_Lines!AG183))</f>
        <v/>
      </c>
      <c r="J191" s="409" t="str">
        <f t="shared" ca="1" si="117"/>
        <v/>
      </c>
      <c r="K191" s="408" t="str">
        <f t="shared" ca="1" si="117"/>
        <v/>
      </c>
      <c r="L191" s="408" t="str">
        <f t="shared" ca="1" si="117"/>
        <v/>
      </c>
      <c r="M191" s="408" t="str">
        <f t="shared" ca="1" si="117"/>
        <v/>
      </c>
      <c r="N191" s="408" t="str">
        <f t="shared" ca="1" si="117"/>
        <v/>
      </c>
      <c r="O191" s="408" t="str">
        <f t="shared" ca="1" si="117"/>
        <v/>
      </c>
      <c r="P191" s="408" t="str">
        <f t="shared" ca="1" si="117"/>
        <v/>
      </c>
      <c r="Q191" s="408" t="str">
        <f t="shared" ca="1" si="117"/>
        <v/>
      </c>
      <c r="R191" s="410" t="str">
        <f ca="1">Cluster!J210</f>
        <v>Selection</v>
      </c>
      <c r="S191" s="411" t="str">
        <f t="shared" ca="1" si="86"/>
        <v>-</v>
      </c>
      <c r="T191" s="412" t="str">
        <f t="shared" ca="1" si="87"/>
        <v/>
      </c>
      <c r="U191" s="411" t="str">
        <f t="shared" ca="1" si="88"/>
        <v>-</v>
      </c>
      <c r="V191" s="411" t="str">
        <f t="shared" ca="1" si="89"/>
        <v>-</v>
      </c>
      <c r="W191" s="413">
        <f>Cluster!N210</f>
        <v>0</v>
      </c>
      <c r="X191" s="414" t="str">
        <f t="shared" ca="1" si="90"/>
        <v>-</v>
      </c>
      <c r="Y191" s="411" t="str">
        <f t="shared" ca="1" si="91"/>
        <v>-</v>
      </c>
      <c r="Z191" s="415" t="str">
        <f t="shared" ca="1" si="92"/>
        <v>-</v>
      </c>
      <c r="AA191" s="416" t="str">
        <f t="shared" ca="1" si="93"/>
        <v>-</v>
      </c>
      <c r="AB191" s="416" t="str">
        <f t="shared" ca="1" si="94"/>
        <v/>
      </c>
      <c r="AC191" s="434">
        <f>Cluster!Q210</f>
        <v>0</v>
      </c>
      <c r="AD191" s="435" t="str">
        <f t="shared" ca="1" si="118"/>
        <v/>
      </c>
      <c r="AE191" s="436" t="str">
        <f t="shared" ca="1" si="118"/>
        <v/>
      </c>
      <c r="AF191" s="437" t="str">
        <f t="shared" ca="1" si="95"/>
        <v>-</v>
      </c>
      <c r="AG191" s="438" t="str">
        <f t="shared" ca="1" si="96"/>
        <v>-</v>
      </c>
      <c r="AH191" s="437" t="str">
        <f t="shared" ca="1" si="97"/>
        <v>-</v>
      </c>
      <c r="AI191" s="438" t="str">
        <f t="shared" ca="1" si="98"/>
        <v>-</v>
      </c>
      <c r="AJ191" s="438" t="str">
        <f t="shared" ca="1" si="99"/>
        <v>-</v>
      </c>
      <c r="AK191" s="439" t="str">
        <f ca="1">IFERROR(AE191*AD191*AL191/(IF(Cluster!AA210=Cluster!$W$8,Cluster!$W$10,IF(Cluster!AA210=Cluster!$X$8,Cluster!$X$10,IF(Cluster!AA210=Cluster!$Y$8,Cluster!$Y$10,0)))*10^3),"-")</f>
        <v>-</v>
      </c>
      <c r="AL191" s="440" t="str">
        <f ca="1">IFERROR(IF(OR(Calculation!T191&lt;(Calculation!$U$8+2),Calculation!AC191="Bypass"),IF((IF(Calculation!$O$6/((Calculation!AD191*10^-12)/(Calculation!T191*10^-9)*50)&lt;=1,1,ROUNDUP(Calculation!$O$6/((Calculation!AD191*10^-12)/(Calculation!T191*10^-9)*50),0))*50)&lt;Calculation!$AK$6,Calculation!$AK$6,IF(Calculation!$O$6/((Calculation!AD191*10^-12)/(Calculation!T191*10^-9)*50)&lt;=1,1,ROUNDUP(Calculation!$O$6/((Calculation!AD191*10^-12)/(Calculation!T191*10^-9)*50),0))*50),"-"),"-")</f>
        <v>-</v>
      </c>
      <c r="AM191" s="441" t="str">
        <f t="shared" ca="1" si="119"/>
        <v/>
      </c>
      <c r="AN191" s="442" t="str">
        <f t="shared" ca="1" si="119"/>
        <v/>
      </c>
      <c r="AO191" s="432">
        <f t="shared" ca="1" si="100"/>
        <v>384</v>
      </c>
      <c r="AP191" s="427" t="str">
        <f t="shared" ca="1" si="101"/>
        <v>-</v>
      </c>
      <c r="AQ191" s="443" t="str">
        <f t="shared" ca="1" si="102"/>
        <v>-</v>
      </c>
      <c r="AR191" s="444" t="str">
        <f t="shared" ca="1" si="103"/>
        <v>-</v>
      </c>
      <c r="AS191" s="430" t="str">
        <f t="shared" ca="1" si="104"/>
        <v>-</v>
      </c>
    </row>
    <row r="192" spans="1:45" ht="14.25" x14ac:dyDescent="0.65">
      <c r="A192" s="407">
        <v>184</v>
      </c>
      <c r="B192" s="408" t="str">
        <f t="shared" ca="1" si="85"/>
        <v/>
      </c>
      <c r="C192" s="408" t="str">
        <f ca="1">IFERROR(IF(G192="","",CONCATENATE(E192,"-",INDEX(Coordinate,MATCH(F192,ListAndConversion!$X$4:$X$99,0),2))),"")</f>
        <v/>
      </c>
      <c r="D192" s="408" t="str">
        <f t="shared" ca="1" si="116"/>
        <v/>
      </c>
      <c r="E192" s="408" t="str">
        <f t="shared" ca="1" si="116"/>
        <v/>
      </c>
      <c r="F192" s="408" t="str">
        <f t="shared" ca="1" si="116"/>
        <v/>
      </c>
      <c r="G192" s="408" t="str">
        <f ca="1">IFERROR(INDEX(ListAndConversion!A:B,MATCH(Calculation!E192,ListAndConversion!A:A,0),2),"")</f>
        <v/>
      </c>
      <c r="H192" s="408" t="str">
        <f>IF(TrackIT_Lines!AD184="","",TrackIT_Lines!AD184)</f>
        <v/>
      </c>
      <c r="I192" s="408" t="str">
        <f>IF(TrackIT_Lines!AD184="","",CONCATENATE(TrackIT_Lines!AD184,"-",TrackIT_Lines!AG184))</f>
        <v/>
      </c>
      <c r="J192" s="409" t="str">
        <f t="shared" ca="1" si="117"/>
        <v/>
      </c>
      <c r="K192" s="408" t="str">
        <f t="shared" ca="1" si="117"/>
        <v/>
      </c>
      <c r="L192" s="408" t="str">
        <f t="shared" ca="1" si="117"/>
        <v/>
      </c>
      <c r="M192" s="408" t="str">
        <f t="shared" ca="1" si="117"/>
        <v/>
      </c>
      <c r="N192" s="408" t="str">
        <f t="shared" ca="1" si="117"/>
        <v/>
      </c>
      <c r="O192" s="408" t="str">
        <f t="shared" ca="1" si="117"/>
        <v/>
      </c>
      <c r="P192" s="408" t="str">
        <f t="shared" ca="1" si="117"/>
        <v/>
      </c>
      <c r="Q192" s="408" t="str">
        <f t="shared" ca="1" si="117"/>
        <v/>
      </c>
      <c r="R192" s="410" t="str">
        <f ca="1">Cluster!J211</f>
        <v>Selection</v>
      </c>
      <c r="S192" s="411" t="str">
        <f t="shared" ca="1" si="86"/>
        <v>-</v>
      </c>
      <c r="T192" s="412" t="str">
        <f t="shared" ca="1" si="87"/>
        <v/>
      </c>
      <c r="U192" s="411" t="str">
        <f t="shared" ca="1" si="88"/>
        <v>-</v>
      </c>
      <c r="V192" s="411" t="str">
        <f t="shared" ca="1" si="89"/>
        <v>-</v>
      </c>
      <c r="W192" s="413">
        <f>Cluster!N211</f>
        <v>0</v>
      </c>
      <c r="X192" s="414" t="str">
        <f t="shared" ca="1" si="90"/>
        <v>-</v>
      </c>
      <c r="Y192" s="411" t="str">
        <f t="shared" ca="1" si="91"/>
        <v>-</v>
      </c>
      <c r="Z192" s="415" t="str">
        <f t="shared" ca="1" si="92"/>
        <v>-</v>
      </c>
      <c r="AA192" s="416" t="str">
        <f t="shared" ca="1" si="93"/>
        <v>-</v>
      </c>
      <c r="AB192" s="416" t="str">
        <f t="shared" ca="1" si="94"/>
        <v/>
      </c>
      <c r="AC192" s="434">
        <f>Cluster!Q211</f>
        <v>0</v>
      </c>
      <c r="AD192" s="435" t="str">
        <f t="shared" ca="1" si="118"/>
        <v/>
      </c>
      <c r="AE192" s="436" t="str">
        <f t="shared" ca="1" si="118"/>
        <v/>
      </c>
      <c r="AF192" s="437" t="str">
        <f t="shared" ca="1" si="95"/>
        <v>-</v>
      </c>
      <c r="AG192" s="438" t="str">
        <f t="shared" ca="1" si="96"/>
        <v>-</v>
      </c>
      <c r="AH192" s="437" t="str">
        <f t="shared" ca="1" si="97"/>
        <v>-</v>
      </c>
      <c r="AI192" s="438" t="str">
        <f t="shared" ca="1" si="98"/>
        <v>-</v>
      </c>
      <c r="AJ192" s="438" t="str">
        <f t="shared" ca="1" si="99"/>
        <v>-</v>
      </c>
      <c r="AK192" s="439" t="str">
        <f ca="1">IFERROR(AE192*AD192*AL192/(IF(Cluster!AA211=Cluster!$W$8,Cluster!$W$10,IF(Cluster!AA211=Cluster!$X$8,Cluster!$X$10,IF(Cluster!AA211=Cluster!$Y$8,Cluster!$Y$10,0)))*10^3),"-")</f>
        <v>-</v>
      </c>
      <c r="AL192" s="440" t="str">
        <f ca="1">IFERROR(IF(OR(Calculation!T192&lt;(Calculation!$U$8+2),Calculation!AC192="Bypass"),IF((IF(Calculation!$O$6/((Calculation!AD192*10^-12)/(Calculation!T192*10^-9)*50)&lt;=1,1,ROUNDUP(Calculation!$O$6/((Calculation!AD192*10^-12)/(Calculation!T192*10^-9)*50),0))*50)&lt;Calculation!$AK$6,Calculation!$AK$6,IF(Calculation!$O$6/((Calculation!AD192*10^-12)/(Calculation!T192*10^-9)*50)&lt;=1,1,ROUNDUP(Calculation!$O$6/((Calculation!AD192*10^-12)/(Calculation!T192*10^-9)*50),0))*50),"-"),"-")</f>
        <v>-</v>
      </c>
      <c r="AM192" s="441" t="str">
        <f t="shared" ca="1" si="119"/>
        <v/>
      </c>
      <c r="AN192" s="442" t="str">
        <f t="shared" ca="1" si="119"/>
        <v/>
      </c>
      <c r="AO192" s="432">
        <f t="shared" ca="1" si="100"/>
        <v>384</v>
      </c>
      <c r="AP192" s="427" t="str">
        <f t="shared" ca="1" si="101"/>
        <v>-</v>
      </c>
      <c r="AQ192" s="443" t="str">
        <f t="shared" ca="1" si="102"/>
        <v>-</v>
      </c>
      <c r="AR192" s="444" t="str">
        <f t="shared" ca="1" si="103"/>
        <v>-</v>
      </c>
      <c r="AS192" s="430" t="str">
        <f t="shared" ca="1" si="104"/>
        <v>-</v>
      </c>
    </row>
    <row r="193" spans="1:45" ht="14.25" x14ac:dyDescent="0.65">
      <c r="A193" s="407">
        <v>185</v>
      </c>
      <c r="B193" s="408" t="str">
        <f t="shared" ca="1" si="85"/>
        <v/>
      </c>
      <c r="C193" s="408" t="str">
        <f ca="1">IFERROR(IF(G193="","",CONCATENATE(E193,"-",INDEX(Coordinate,MATCH(F193,ListAndConversion!$X$4:$X$99,0),2))),"")</f>
        <v/>
      </c>
      <c r="D193" s="408" t="str">
        <f t="shared" ca="1" si="116"/>
        <v/>
      </c>
      <c r="E193" s="408" t="str">
        <f t="shared" ca="1" si="116"/>
        <v/>
      </c>
      <c r="F193" s="408" t="str">
        <f t="shared" ca="1" si="116"/>
        <v/>
      </c>
      <c r="G193" s="408" t="str">
        <f ca="1">IFERROR(INDEX(ListAndConversion!A:B,MATCH(Calculation!E193,ListAndConversion!A:A,0),2),"")</f>
        <v/>
      </c>
      <c r="H193" s="408" t="str">
        <f>IF(TrackIT_Lines!AD185="","",TrackIT_Lines!AD185)</f>
        <v/>
      </c>
      <c r="I193" s="408" t="str">
        <f>IF(TrackIT_Lines!AD185="","",CONCATENATE(TrackIT_Lines!AD185,"-",TrackIT_Lines!AG185))</f>
        <v/>
      </c>
      <c r="J193" s="409" t="str">
        <f t="shared" ca="1" si="117"/>
        <v/>
      </c>
      <c r="K193" s="408" t="str">
        <f t="shared" ca="1" si="117"/>
        <v/>
      </c>
      <c r="L193" s="408" t="str">
        <f t="shared" ca="1" si="117"/>
        <v/>
      </c>
      <c r="M193" s="408" t="str">
        <f t="shared" ca="1" si="117"/>
        <v/>
      </c>
      <c r="N193" s="408" t="str">
        <f t="shared" ca="1" si="117"/>
        <v/>
      </c>
      <c r="O193" s="408" t="str">
        <f t="shared" ca="1" si="117"/>
        <v/>
      </c>
      <c r="P193" s="408" t="str">
        <f t="shared" ca="1" si="117"/>
        <v/>
      </c>
      <c r="Q193" s="408" t="str">
        <f t="shared" ca="1" si="117"/>
        <v/>
      </c>
      <c r="R193" s="410" t="str">
        <f ca="1">Cluster!J212</f>
        <v>Selection</v>
      </c>
      <c r="S193" s="411" t="str">
        <f t="shared" ca="1" si="86"/>
        <v>-</v>
      </c>
      <c r="T193" s="412" t="str">
        <f t="shared" ca="1" si="87"/>
        <v/>
      </c>
      <c r="U193" s="411" t="str">
        <f t="shared" ca="1" si="88"/>
        <v>-</v>
      </c>
      <c r="V193" s="411" t="str">
        <f t="shared" ca="1" si="89"/>
        <v>-</v>
      </c>
      <c r="W193" s="413">
        <f>Cluster!N212</f>
        <v>0</v>
      </c>
      <c r="X193" s="414" t="str">
        <f t="shared" ca="1" si="90"/>
        <v>-</v>
      </c>
      <c r="Y193" s="411" t="str">
        <f t="shared" ca="1" si="91"/>
        <v>-</v>
      </c>
      <c r="Z193" s="415" t="str">
        <f t="shared" ca="1" si="92"/>
        <v>-</v>
      </c>
      <c r="AA193" s="416" t="str">
        <f t="shared" ca="1" si="93"/>
        <v>-</v>
      </c>
      <c r="AB193" s="416" t="str">
        <f t="shared" ca="1" si="94"/>
        <v/>
      </c>
      <c r="AC193" s="434">
        <f>Cluster!Q212</f>
        <v>0</v>
      </c>
      <c r="AD193" s="435" t="str">
        <f t="shared" ca="1" si="118"/>
        <v/>
      </c>
      <c r="AE193" s="436" t="str">
        <f t="shared" ca="1" si="118"/>
        <v/>
      </c>
      <c r="AF193" s="437" t="str">
        <f t="shared" ca="1" si="95"/>
        <v>-</v>
      </c>
      <c r="AG193" s="438" t="str">
        <f t="shared" ca="1" si="96"/>
        <v>-</v>
      </c>
      <c r="AH193" s="437" t="str">
        <f t="shared" ca="1" si="97"/>
        <v>-</v>
      </c>
      <c r="AI193" s="438" t="str">
        <f t="shared" ca="1" si="98"/>
        <v>-</v>
      </c>
      <c r="AJ193" s="438" t="str">
        <f t="shared" ca="1" si="99"/>
        <v>-</v>
      </c>
      <c r="AK193" s="439" t="str">
        <f ca="1">IFERROR(AE193*AD193*AL193/(IF(Cluster!AA212=Cluster!$W$8,Cluster!$W$10,IF(Cluster!AA212=Cluster!$X$8,Cluster!$X$10,IF(Cluster!AA212=Cluster!$Y$8,Cluster!$Y$10,0)))*10^3),"-")</f>
        <v>-</v>
      </c>
      <c r="AL193" s="440" t="str">
        <f ca="1">IFERROR(IF(OR(Calculation!T193&lt;(Calculation!$U$8+2),Calculation!AC193="Bypass"),IF((IF(Calculation!$O$6/((Calculation!AD193*10^-12)/(Calculation!T193*10^-9)*50)&lt;=1,1,ROUNDUP(Calculation!$O$6/((Calculation!AD193*10^-12)/(Calculation!T193*10^-9)*50),0))*50)&lt;Calculation!$AK$6,Calculation!$AK$6,IF(Calculation!$O$6/((Calculation!AD193*10^-12)/(Calculation!T193*10^-9)*50)&lt;=1,1,ROUNDUP(Calculation!$O$6/((Calculation!AD193*10^-12)/(Calculation!T193*10^-9)*50),0))*50),"-"),"-")</f>
        <v>-</v>
      </c>
      <c r="AM193" s="441" t="str">
        <f t="shared" ca="1" si="119"/>
        <v/>
      </c>
      <c r="AN193" s="442" t="str">
        <f t="shared" ca="1" si="119"/>
        <v/>
      </c>
      <c r="AO193" s="432">
        <f t="shared" ca="1" si="100"/>
        <v>384</v>
      </c>
      <c r="AP193" s="427" t="str">
        <f t="shared" ca="1" si="101"/>
        <v>-</v>
      </c>
      <c r="AQ193" s="443" t="str">
        <f t="shared" ca="1" si="102"/>
        <v>-</v>
      </c>
      <c r="AR193" s="444" t="str">
        <f t="shared" ca="1" si="103"/>
        <v>-</v>
      </c>
      <c r="AS193" s="430" t="str">
        <f t="shared" ca="1" si="104"/>
        <v>-</v>
      </c>
    </row>
    <row r="194" spans="1:45" ht="14.25" x14ac:dyDescent="0.65">
      <c r="A194" s="407">
        <v>186</v>
      </c>
      <c r="B194" s="408" t="str">
        <f t="shared" ca="1" si="85"/>
        <v/>
      </c>
      <c r="C194" s="408" t="str">
        <f ca="1">IFERROR(IF(G194="","",CONCATENATE(E194,"-",INDEX(Coordinate,MATCH(F194,ListAndConversion!$X$4:$X$99,0),2))),"")</f>
        <v/>
      </c>
      <c r="D194" s="408" t="str">
        <f t="shared" ca="1" si="116"/>
        <v/>
      </c>
      <c r="E194" s="408" t="str">
        <f t="shared" ca="1" si="116"/>
        <v/>
      </c>
      <c r="F194" s="408" t="str">
        <f t="shared" ca="1" si="116"/>
        <v/>
      </c>
      <c r="G194" s="408" t="str">
        <f ca="1">IFERROR(INDEX(ListAndConversion!A:B,MATCH(Calculation!E194,ListAndConversion!A:A,0),2),"")</f>
        <v/>
      </c>
      <c r="H194" s="408" t="str">
        <f>IF(TrackIT_Lines!AD186="","",TrackIT_Lines!AD186)</f>
        <v/>
      </c>
      <c r="I194" s="408" t="str">
        <f>IF(TrackIT_Lines!AD186="","",CONCATENATE(TrackIT_Lines!AD186,"-",TrackIT_Lines!AG186))</f>
        <v/>
      </c>
      <c r="J194" s="409" t="str">
        <f t="shared" ca="1" si="117"/>
        <v/>
      </c>
      <c r="K194" s="408" t="str">
        <f t="shared" ca="1" si="117"/>
        <v/>
      </c>
      <c r="L194" s="408" t="str">
        <f t="shared" ca="1" si="117"/>
        <v/>
      </c>
      <c r="M194" s="408" t="str">
        <f t="shared" ca="1" si="117"/>
        <v/>
      </c>
      <c r="N194" s="408" t="str">
        <f t="shared" ca="1" si="117"/>
        <v/>
      </c>
      <c r="O194" s="408" t="str">
        <f t="shared" ca="1" si="117"/>
        <v/>
      </c>
      <c r="P194" s="408" t="str">
        <f t="shared" ca="1" si="117"/>
        <v/>
      </c>
      <c r="Q194" s="408" t="str">
        <f t="shared" ca="1" si="117"/>
        <v/>
      </c>
      <c r="R194" s="410" t="str">
        <f ca="1">Cluster!J213</f>
        <v>Selection</v>
      </c>
      <c r="S194" s="411" t="str">
        <f t="shared" ca="1" si="86"/>
        <v>-</v>
      </c>
      <c r="T194" s="412" t="str">
        <f t="shared" ca="1" si="87"/>
        <v/>
      </c>
      <c r="U194" s="411" t="str">
        <f t="shared" ca="1" si="88"/>
        <v>-</v>
      </c>
      <c r="V194" s="411" t="str">
        <f t="shared" ca="1" si="89"/>
        <v>-</v>
      </c>
      <c r="W194" s="413">
        <f>Cluster!N213</f>
        <v>0</v>
      </c>
      <c r="X194" s="414" t="str">
        <f t="shared" ca="1" si="90"/>
        <v>-</v>
      </c>
      <c r="Y194" s="411" t="str">
        <f t="shared" ca="1" si="91"/>
        <v>-</v>
      </c>
      <c r="Z194" s="415" t="str">
        <f t="shared" ca="1" si="92"/>
        <v>-</v>
      </c>
      <c r="AA194" s="416" t="str">
        <f t="shared" ca="1" si="93"/>
        <v>-</v>
      </c>
      <c r="AB194" s="416" t="str">
        <f t="shared" ca="1" si="94"/>
        <v/>
      </c>
      <c r="AC194" s="434">
        <f>Cluster!Q213</f>
        <v>0</v>
      </c>
      <c r="AD194" s="435" t="str">
        <f t="shared" ca="1" si="118"/>
        <v/>
      </c>
      <c r="AE194" s="436" t="str">
        <f t="shared" ca="1" si="118"/>
        <v/>
      </c>
      <c r="AF194" s="437" t="str">
        <f t="shared" ca="1" si="95"/>
        <v>-</v>
      </c>
      <c r="AG194" s="438" t="str">
        <f t="shared" ca="1" si="96"/>
        <v>-</v>
      </c>
      <c r="AH194" s="437" t="str">
        <f t="shared" ca="1" si="97"/>
        <v>-</v>
      </c>
      <c r="AI194" s="438" t="str">
        <f t="shared" ca="1" si="98"/>
        <v>-</v>
      </c>
      <c r="AJ194" s="438" t="str">
        <f t="shared" ca="1" si="99"/>
        <v>-</v>
      </c>
      <c r="AK194" s="439" t="str">
        <f ca="1">IFERROR(AE194*AD194*AL194/(IF(Cluster!AA213=Cluster!$W$8,Cluster!$W$10,IF(Cluster!AA213=Cluster!$X$8,Cluster!$X$10,IF(Cluster!AA213=Cluster!$Y$8,Cluster!$Y$10,0)))*10^3),"-")</f>
        <v>-</v>
      </c>
      <c r="AL194" s="440" t="str">
        <f ca="1">IFERROR(IF(OR(Calculation!T194&lt;(Calculation!$U$8+2),Calculation!AC194="Bypass"),IF((IF(Calculation!$O$6/((Calculation!AD194*10^-12)/(Calculation!T194*10^-9)*50)&lt;=1,1,ROUNDUP(Calculation!$O$6/((Calculation!AD194*10^-12)/(Calculation!T194*10^-9)*50),0))*50)&lt;Calculation!$AK$6,Calculation!$AK$6,IF(Calculation!$O$6/((Calculation!AD194*10^-12)/(Calculation!T194*10^-9)*50)&lt;=1,1,ROUNDUP(Calculation!$O$6/((Calculation!AD194*10^-12)/(Calculation!T194*10^-9)*50),0))*50),"-"),"-")</f>
        <v>-</v>
      </c>
      <c r="AM194" s="441" t="str">
        <f t="shared" ca="1" si="119"/>
        <v/>
      </c>
      <c r="AN194" s="442" t="str">
        <f t="shared" ca="1" si="119"/>
        <v/>
      </c>
      <c r="AO194" s="432">
        <f t="shared" ca="1" si="100"/>
        <v>384</v>
      </c>
      <c r="AP194" s="427" t="str">
        <f t="shared" ca="1" si="101"/>
        <v>-</v>
      </c>
      <c r="AQ194" s="443" t="str">
        <f t="shared" ca="1" si="102"/>
        <v>-</v>
      </c>
      <c r="AR194" s="444" t="str">
        <f t="shared" ca="1" si="103"/>
        <v>-</v>
      </c>
      <c r="AS194" s="430" t="str">
        <f t="shared" ca="1" si="104"/>
        <v>-</v>
      </c>
    </row>
    <row r="195" spans="1:45" ht="14.25" x14ac:dyDescent="0.65">
      <c r="A195" s="407">
        <v>187</v>
      </c>
      <c r="B195" s="408" t="str">
        <f t="shared" ca="1" si="85"/>
        <v/>
      </c>
      <c r="C195" s="408" t="str">
        <f ca="1">IFERROR(IF(G195="","",CONCATENATE(E195,"-",INDEX(Coordinate,MATCH(F195,ListAndConversion!$X$4:$X$99,0),2))),"")</f>
        <v/>
      </c>
      <c r="D195" s="408" t="str">
        <f t="shared" ca="1" si="116"/>
        <v/>
      </c>
      <c r="E195" s="408" t="str">
        <f t="shared" ca="1" si="116"/>
        <v/>
      </c>
      <c r="F195" s="408" t="str">
        <f t="shared" ca="1" si="116"/>
        <v/>
      </c>
      <c r="G195" s="408" t="str">
        <f ca="1">IFERROR(INDEX(ListAndConversion!A:B,MATCH(Calculation!E195,ListAndConversion!A:A,0),2),"")</f>
        <v/>
      </c>
      <c r="H195" s="408" t="str">
        <f>IF(TrackIT_Lines!AD187="","",TrackIT_Lines!AD187)</f>
        <v/>
      </c>
      <c r="I195" s="408" t="str">
        <f>IF(TrackIT_Lines!AD187="","",CONCATENATE(TrackIT_Lines!AD187,"-",TrackIT_Lines!AG187))</f>
        <v/>
      </c>
      <c r="J195" s="409" t="str">
        <f t="shared" ca="1" si="117"/>
        <v/>
      </c>
      <c r="K195" s="408" t="str">
        <f t="shared" ca="1" si="117"/>
        <v/>
      </c>
      <c r="L195" s="408" t="str">
        <f t="shared" ca="1" si="117"/>
        <v/>
      </c>
      <c r="M195" s="408" t="str">
        <f t="shared" ca="1" si="117"/>
        <v/>
      </c>
      <c r="N195" s="408" t="str">
        <f t="shared" ca="1" si="117"/>
        <v/>
      </c>
      <c r="O195" s="408" t="str">
        <f t="shared" ca="1" si="117"/>
        <v/>
      </c>
      <c r="P195" s="408" t="str">
        <f t="shared" ca="1" si="117"/>
        <v/>
      </c>
      <c r="Q195" s="408" t="str">
        <f t="shared" ca="1" si="117"/>
        <v/>
      </c>
      <c r="R195" s="410" t="str">
        <f ca="1">Cluster!J214</f>
        <v>Selection</v>
      </c>
      <c r="S195" s="411" t="str">
        <f t="shared" ca="1" si="86"/>
        <v>-</v>
      </c>
      <c r="T195" s="412" t="str">
        <f t="shared" ca="1" si="87"/>
        <v/>
      </c>
      <c r="U195" s="411" t="str">
        <f t="shared" ca="1" si="88"/>
        <v>-</v>
      </c>
      <c r="V195" s="411" t="str">
        <f t="shared" ca="1" si="89"/>
        <v>-</v>
      </c>
      <c r="W195" s="413">
        <f>Cluster!N214</f>
        <v>0</v>
      </c>
      <c r="X195" s="414" t="str">
        <f t="shared" ca="1" si="90"/>
        <v>-</v>
      </c>
      <c r="Y195" s="411" t="str">
        <f t="shared" ca="1" si="91"/>
        <v>-</v>
      </c>
      <c r="Z195" s="415" t="str">
        <f t="shared" ca="1" si="92"/>
        <v>-</v>
      </c>
      <c r="AA195" s="416" t="str">
        <f t="shared" ca="1" si="93"/>
        <v>-</v>
      </c>
      <c r="AB195" s="416" t="str">
        <f t="shared" ca="1" si="94"/>
        <v/>
      </c>
      <c r="AC195" s="434">
        <f>Cluster!Q214</f>
        <v>0</v>
      </c>
      <c r="AD195" s="435" t="str">
        <f t="shared" ca="1" si="118"/>
        <v/>
      </c>
      <c r="AE195" s="436" t="str">
        <f t="shared" ca="1" si="118"/>
        <v/>
      </c>
      <c r="AF195" s="437" t="str">
        <f t="shared" ca="1" si="95"/>
        <v>-</v>
      </c>
      <c r="AG195" s="438" t="str">
        <f t="shared" ca="1" si="96"/>
        <v>-</v>
      </c>
      <c r="AH195" s="437" t="str">
        <f t="shared" ca="1" si="97"/>
        <v>-</v>
      </c>
      <c r="AI195" s="438" t="str">
        <f t="shared" ca="1" si="98"/>
        <v>-</v>
      </c>
      <c r="AJ195" s="438" t="str">
        <f t="shared" ca="1" si="99"/>
        <v>-</v>
      </c>
      <c r="AK195" s="439" t="str">
        <f ca="1">IFERROR(AE195*AD195*AL195/(IF(Cluster!AA214=Cluster!$W$8,Cluster!$W$10,IF(Cluster!AA214=Cluster!$X$8,Cluster!$X$10,IF(Cluster!AA214=Cluster!$Y$8,Cluster!$Y$10,0)))*10^3),"-")</f>
        <v>-</v>
      </c>
      <c r="AL195" s="440" t="str">
        <f ca="1">IFERROR(IF(OR(Calculation!T195&lt;(Calculation!$U$8+2),Calculation!AC195="Bypass"),IF((IF(Calculation!$O$6/((Calculation!AD195*10^-12)/(Calculation!T195*10^-9)*50)&lt;=1,1,ROUNDUP(Calculation!$O$6/((Calculation!AD195*10^-12)/(Calculation!T195*10^-9)*50),0))*50)&lt;Calculation!$AK$6,Calculation!$AK$6,IF(Calculation!$O$6/((Calculation!AD195*10^-12)/(Calculation!T195*10^-9)*50)&lt;=1,1,ROUNDUP(Calculation!$O$6/((Calculation!AD195*10^-12)/(Calculation!T195*10^-9)*50),0))*50),"-"),"-")</f>
        <v>-</v>
      </c>
      <c r="AM195" s="441" t="str">
        <f t="shared" ca="1" si="119"/>
        <v/>
      </c>
      <c r="AN195" s="442" t="str">
        <f t="shared" ca="1" si="119"/>
        <v/>
      </c>
      <c r="AO195" s="432">
        <f t="shared" ca="1" si="100"/>
        <v>384</v>
      </c>
      <c r="AP195" s="427" t="str">
        <f t="shared" ca="1" si="101"/>
        <v>-</v>
      </c>
      <c r="AQ195" s="443" t="str">
        <f t="shared" ca="1" si="102"/>
        <v>-</v>
      </c>
      <c r="AR195" s="444" t="str">
        <f t="shared" ca="1" si="103"/>
        <v>-</v>
      </c>
      <c r="AS195" s="430" t="str">
        <f t="shared" ca="1" si="104"/>
        <v>-</v>
      </c>
    </row>
    <row r="196" spans="1:45" ht="14.25" x14ac:dyDescent="0.65">
      <c r="A196" s="407">
        <v>188</v>
      </c>
      <c r="B196" s="408" t="str">
        <f t="shared" ca="1" si="85"/>
        <v/>
      </c>
      <c r="C196" s="408" t="str">
        <f ca="1">IFERROR(IF(G196="","",CONCATENATE(E196,"-",INDEX(Coordinate,MATCH(F196,ListAndConversion!$X$4:$X$99,0),2))),"")</f>
        <v/>
      </c>
      <c r="D196" s="408" t="str">
        <f t="shared" ca="1" si="116"/>
        <v/>
      </c>
      <c r="E196" s="408" t="str">
        <f t="shared" ca="1" si="116"/>
        <v/>
      </c>
      <c r="F196" s="408" t="str">
        <f t="shared" ca="1" si="116"/>
        <v/>
      </c>
      <c r="G196" s="408" t="str">
        <f ca="1">IFERROR(INDEX(ListAndConversion!A:B,MATCH(Calculation!E196,ListAndConversion!A:A,0),2),"")</f>
        <v/>
      </c>
      <c r="H196" s="408" t="str">
        <f>IF(TrackIT_Lines!AD188="","",TrackIT_Lines!AD188)</f>
        <v/>
      </c>
      <c r="I196" s="408" t="str">
        <f>IF(TrackIT_Lines!AD188="","",CONCATENATE(TrackIT_Lines!AD188,"-",TrackIT_Lines!AG188))</f>
        <v/>
      </c>
      <c r="J196" s="409" t="str">
        <f t="shared" ca="1" si="117"/>
        <v/>
      </c>
      <c r="K196" s="408" t="str">
        <f t="shared" ca="1" si="117"/>
        <v/>
      </c>
      <c r="L196" s="408" t="str">
        <f t="shared" ca="1" si="117"/>
        <v/>
      </c>
      <c r="M196" s="408" t="str">
        <f t="shared" ca="1" si="117"/>
        <v/>
      </c>
      <c r="N196" s="408" t="str">
        <f t="shared" ca="1" si="117"/>
        <v/>
      </c>
      <c r="O196" s="408" t="str">
        <f t="shared" ca="1" si="117"/>
        <v/>
      </c>
      <c r="P196" s="408" t="str">
        <f t="shared" ca="1" si="117"/>
        <v/>
      </c>
      <c r="Q196" s="408" t="str">
        <f t="shared" ca="1" si="117"/>
        <v/>
      </c>
      <c r="R196" s="410" t="str">
        <f ca="1">Cluster!J215</f>
        <v>Selection</v>
      </c>
      <c r="S196" s="411" t="str">
        <f t="shared" ca="1" si="86"/>
        <v>-</v>
      </c>
      <c r="T196" s="412" t="str">
        <f t="shared" ca="1" si="87"/>
        <v/>
      </c>
      <c r="U196" s="411" t="str">
        <f t="shared" ca="1" si="88"/>
        <v>-</v>
      </c>
      <c r="V196" s="411" t="str">
        <f t="shared" ca="1" si="89"/>
        <v>-</v>
      </c>
      <c r="W196" s="413">
        <f>Cluster!N215</f>
        <v>0</v>
      </c>
      <c r="X196" s="414" t="str">
        <f t="shared" ca="1" si="90"/>
        <v>-</v>
      </c>
      <c r="Y196" s="411" t="str">
        <f t="shared" ca="1" si="91"/>
        <v>-</v>
      </c>
      <c r="Z196" s="415" t="str">
        <f t="shared" ca="1" si="92"/>
        <v>-</v>
      </c>
      <c r="AA196" s="416" t="str">
        <f t="shared" ca="1" si="93"/>
        <v>-</v>
      </c>
      <c r="AB196" s="416" t="str">
        <f t="shared" ca="1" si="94"/>
        <v/>
      </c>
      <c r="AC196" s="434">
        <f>Cluster!Q215</f>
        <v>0</v>
      </c>
      <c r="AD196" s="435" t="str">
        <f t="shared" ca="1" si="118"/>
        <v/>
      </c>
      <c r="AE196" s="436" t="str">
        <f t="shared" ca="1" si="118"/>
        <v/>
      </c>
      <c r="AF196" s="437" t="str">
        <f t="shared" ca="1" si="95"/>
        <v>-</v>
      </c>
      <c r="AG196" s="438" t="str">
        <f t="shared" ca="1" si="96"/>
        <v>-</v>
      </c>
      <c r="AH196" s="437" t="str">
        <f t="shared" ca="1" si="97"/>
        <v>-</v>
      </c>
      <c r="AI196" s="438" t="str">
        <f t="shared" ca="1" si="98"/>
        <v>-</v>
      </c>
      <c r="AJ196" s="438" t="str">
        <f t="shared" ca="1" si="99"/>
        <v>-</v>
      </c>
      <c r="AK196" s="439" t="str">
        <f ca="1">IFERROR(AE196*AD196*AL196/(IF(Cluster!AA215=Cluster!$W$8,Cluster!$W$10,IF(Cluster!AA215=Cluster!$X$8,Cluster!$X$10,IF(Cluster!AA215=Cluster!$Y$8,Cluster!$Y$10,0)))*10^3),"-")</f>
        <v>-</v>
      </c>
      <c r="AL196" s="440" t="str">
        <f ca="1">IFERROR(IF(OR(Calculation!T196&lt;(Calculation!$U$8+2),Calculation!AC196="Bypass"),IF((IF(Calculation!$O$6/((Calculation!AD196*10^-12)/(Calculation!T196*10^-9)*50)&lt;=1,1,ROUNDUP(Calculation!$O$6/((Calculation!AD196*10^-12)/(Calculation!T196*10^-9)*50),0))*50)&lt;Calculation!$AK$6,Calculation!$AK$6,IF(Calculation!$O$6/((Calculation!AD196*10^-12)/(Calculation!T196*10^-9)*50)&lt;=1,1,ROUNDUP(Calculation!$O$6/((Calculation!AD196*10^-12)/(Calculation!T196*10^-9)*50),0))*50),"-"),"-")</f>
        <v>-</v>
      </c>
      <c r="AM196" s="441" t="str">
        <f t="shared" ca="1" si="119"/>
        <v/>
      </c>
      <c r="AN196" s="442" t="str">
        <f t="shared" ca="1" si="119"/>
        <v/>
      </c>
      <c r="AO196" s="432">
        <f t="shared" ca="1" si="100"/>
        <v>384</v>
      </c>
      <c r="AP196" s="427" t="str">
        <f t="shared" ca="1" si="101"/>
        <v>-</v>
      </c>
      <c r="AQ196" s="443" t="str">
        <f t="shared" ca="1" si="102"/>
        <v>-</v>
      </c>
      <c r="AR196" s="444" t="str">
        <f t="shared" ca="1" si="103"/>
        <v>-</v>
      </c>
      <c r="AS196" s="430" t="str">
        <f t="shared" ca="1" si="104"/>
        <v>-</v>
      </c>
    </row>
    <row r="197" spans="1:45" ht="14.25" x14ac:dyDescent="0.65">
      <c r="A197" s="407">
        <v>189</v>
      </c>
      <c r="B197" s="408" t="str">
        <f t="shared" ca="1" si="85"/>
        <v/>
      </c>
      <c r="C197" s="408" t="str">
        <f ca="1">IFERROR(IF(G197="","",CONCATENATE(E197,"-",INDEX(Coordinate,MATCH(F197,ListAndConversion!$X$4:$X$99,0),2))),"")</f>
        <v/>
      </c>
      <c r="D197" s="408" t="str">
        <f t="shared" ca="1" si="116"/>
        <v/>
      </c>
      <c r="E197" s="408" t="str">
        <f t="shared" ca="1" si="116"/>
        <v/>
      </c>
      <c r="F197" s="408" t="str">
        <f t="shared" ca="1" si="116"/>
        <v/>
      </c>
      <c r="G197" s="408" t="str">
        <f ca="1">IFERROR(INDEX(ListAndConversion!A:B,MATCH(Calculation!E197,ListAndConversion!A:A,0),2),"")</f>
        <v/>
      </c>
      <c r="H197" s="408" t="str">
        <f>IF(TrackIT_Lines!AD189="","",TrackIT_Lines!AD189)</f>
        <v/>
      </c>
      <c r="I197" s="408" t="str">
        <f>IF(TrackIT_Lines!AD189="","",CONCATENATE(TrackIT_Lines!AD189,"-",TrackIT_Lines!AG189))</f>
        <v/>
      </c>
      <c r="J197" s="409" t="str">
        <f t="shared" ca="1" si="117"/>
        <v/>
      </c>
      <c r="K197" s="408" t="str">
        <f t="shared" ca="1" si="117"/>
        <v/>
      </c>
      <c r="L197" s="408" t="str">
        <f t="shared" ca="1" si="117"/>
        <v/>
      </c>
      <c r="M197" s="408" t="str">
        <f t="shared" ca="1" si="117"/>
        <v/>
      </c>
      <c r="N197" s="408" t="str">
        <f t="shared" ca="1" si="117"/>
        <v/>
      </c>
      <c r="O197" s="408" t="str">
        <f t="shared" ca="1" si="117"/>
        <v/>
      </c>
      <c r="P197" s="408" t="str">
        <f t="shared" ca="1" si="117"/>
        <v/>
      </c>
      <c r="Q197" s="408" t="str">
        <f t="shared" ca="1" si="117"/>
        <v/>
      </c>
      <c r="R197" s="410" t="str">
        <f ca="1">Cluster!J216</f>
        <v>Selection</v>
      </c>
      <c r="S197" s="411" t="str">
        <f t="shared" ca="1" si="86"/>
        <v>-</v>
      </c>
      <c r="T197" s="412" t="str">
        <f t="shared" ca="1" si="87"/>
        <v/>
      </c>
      <c r="U197" s="411" t="str">
        <f t="shared" ca="1" si="88"/>
        <v>-</v>
      </c>
      <c r="V197" s="411" t="str">
        <f t="shared" ca="1" si="89"/>
        <v>-</v>
      </c>
      <c r="W197" s="413">
        <f>Cluster!N216</f>
        <v>0</v>
      </c>
      <c r="X197" s="414" t="str">
        <f t="shared" ca="1" si="90"/>
        <v>-</v>
      </c>
      <c r="Y197" s="411" t="str">
        <f t="shared" ca="1" si="91"/>
        <v>-</v>
      </c>
      <c r="Z197" s="415" t="str">
        <f t="shared" ca="1" si="92"/>
        <v>-</v>
      </c>
      <c r="AA197" s="416" t="str">
        <f t="shared" ca="1" si="93"/>
        <v>-</v>
      </c>
      <c r="AB197" s="416" t="str">
        <f t="shared" ca="1" si="94"/>
        <v/>
      </c>
      <c r="AC197" s="434">
        <f>Cluster!Q216</f>
        <v>0</v>
      </c>
      <c r="AD197" s="435" t="str">
        <f t="shared" ca="1" si="118"/>
        <v/>
      </c>
      <c r="AE197" s="436" t="str">
        <f t="shared" ca="1" si="118"/>
        <v/>
      </c>
      <c r="AF197" s="437" t="str">
        <f t="shared" ca="1" si="95"/>
        <v>-</v>
      </c>
      <c r="AG197" s="438" t="str">
        <f t="shared" ca="1" si="96"/>
        <v>-</v>
      </c>
      <c r="AH197" s="437" t="str">
        <f t="shared" ca="1" si="97"/>
        <v>-</v>
      </c>
      <c r="AI197" s="438" t="str">
        <f t="shared" ca="1" si="98"/>
        <v>-</v>
      </c>
      <c r="AJ197" s="438" t="str">
        <f t="shared" ca="1" si="99"/>
        <v>-</v>
      </c>
      <c r="AK197" s="439" t="str">
        <f ca="1">IFERROR(AE197*AD197*AL197/(IF(Cluster!AA216=Cluster!$W$8,Cluster!$W$10,IF(Cluster!AA216=Cluster!$X$8,Cluster!$X$10,IF(Cluster!AA216=Cluster!$Y$8,Cluster!$Y$10,0)))*10^3),"-")</f>
        <v>-</v>
      </c>
      <c r="AL197" s="440" t="str">
        <f ca="1">IFERROR(IF(OR(Calculation!T197&lt;(Calculation!$U$8+2),Calculation!AC197="Bypass"),IF((IF(Calculation!$O$6/((Calculation!AD197*10^-12)/(Calculation!T197*10^-9)*50)&lt;=1,1,ROUNDUP(Calculation!$O$6/((Calculation!AD197*10^-12)/(Calculation!T197*10^-9)*50),0))*50)&lt;Calculation!$AK$6,Calculation!$AK$6,IF(Calculation!$O$6/((Calculation!AD197*10^-12)/(Calculation!T197*10^-9)*50)&lt;=1,1,ROUNDUP(Calculation!$O$6/((Calculation!AD197*10^-12)/(Calculation!T197*10^-9)*50),0))*50),"-"),"-")</f>
        <v>-</v>
      </c>
      <c r="AM197" s="441" t="str">
        <f t="shared" ca="1" si="119"/>
        <v/>
      </c>
      <c r="AN197" s="442" t="str">
        <f t="shared" ca="1" si="119"/>
        <v/>
      </c>
      <c r="AO197" s="432">
        <f t="shared" ca="1" si="100"/>
        <v>384</v>
      </c>
      <c r="AP197" s="427" t="str">
        <f t="shared" ca="1" si="101"/>
        <v>-</v>
      </c>
      <c r="AQ197" s="443" t="str">
        <f t="shared" ca="1" si="102"/>
        <v>-</v>
      </c>
      <c r="AR197" s="444" t="str">
        <f t="shared" ca="1" si="103"/>
        <v>-</v>
      </c>
      <c r="AS197" s="430" t="str">
        <f t="shared" ca="1" si="104"/>
        <v>-</v>
      </c>
    </row>
    <row r="198" spans="1:45" ht="14.25" x14ac:dyDescent="0.65">
      <c r="A198" s="407">
        <v>190</v>
      </c>
      <c r="B198" s="408" t="str">
        <f t="shared" ca="1" si="85"/>
        <v/>
      </c>
      <c r="C198" s="408" t="str">
        <f ca="1">IFERROR(IF(G198="","",CONCATENATE(E198,"-",INDEX(Coordinate,MATCH(F198,ListAndConversion!$X$4:$X$99,0),2))),"")</f>
        <v/>
      </c>
      <c r="D198" s="408" t="str">
        <f t="shared" ca="1" si="116"/>
        <v/>
      </c>
      <c r="E198" s="408" t="str">
        <f t="shared" ca="1" si="116"/>
        <v/>
      </c>
      <c r="F198" s="408" t="str">
        <f t="shared" ca="1" si="116"/>
        <v/>
      </c>
      <c r="G198" s="408" t="str">
        <f ca="1">IFERROR(INDEX(ListAndConversion!A:B,MATCH(Calculation!E198,ListAndConversion!A:A,0),2),"")</f>
        <v/>
      </c>
      <c r="H198" s="408" t="str">
        <f>IF(TrackIT_Lines!AD190="","",TrackIT_Lines!AD190)</f>
        <v/>
      </c>
      <c r="I198" s="408" t="str">
        <f>IF(TrackIT_Lines!AD190="","",CONCATENATE(TrackIT_Lines!AD190,"-",TrackIT_Lines!AG190))</f>
        <v/>
      </c>
      <c r="J198" s="409" t="str">
        <f t="shared" ca="1" si="117"/>
        <v/>
      </c>
      <c r="K198" s="408" t="str">
        <f t="shared" ca="1" si="117"/>
        <v/>
      </c>
      <c r="L198" s="408" t="str">
        <f t="shared" ca="1" si="117"/>
        <v/>
      </c>
      <c r="M198" s="408" t="str">
        <f t="shared" ca="1" si="117"/>
        <v/>
      </c>
      <c r="N198" s="408" t="str">
        <f t="shared" ca="1" si="117"/>
        <v/>
      </c>
      <c r="O198" s="408" t="str">
        <f t="shared" ca="1" si="117"/>
        <v/>
      </c>
      <c r="P198" s="408" t="str">
        <f t="shared" ca="1" si="117"/>
        <v/>
      </c>
      <c r="Q198" s="408" t="str">
        <f t="shared" ca="1" si="117"/>
        <v/>
      </c>
      <c r="R198" s="410" t="str">
        <f ca="1">Cluster!J217</f>
        <v>Selection</v>
      </c>
      <c r="S198" s="411" t="str">
        <f t="shared" ca="1" si="86"/>
        <v>-</v>
      </c>
      <c r="T198" s="412" t="str">
        <f t="shared" ca="1" si="87"/>
        <v/>
      </c>
      <c r="U198" s="411" t="str">
        <f t="shared" ca="1" si="88"/>
        <v>-</v>
      </c>
      <c r="V198" s="411" t="str">
        <f t="shared" ca="1" si="89"/>
        <v>-</v>
      </c>
      <c r="W198" s="413">
        <f>Cluster!N217</f>
        <v>0</v>
      </c>
      <c r="X198" s="414" t="str">
        <f t="shared" ca="1" si="90"/>
        <v>-</v>
      </c>
      <c r="Y198" s="411" t="str">
        <f t="shared" ca="1" si="91"/>
        <v>-</v>
      </c>
      <c r="Z198" s="415" t="str">
        <f t="shared" ca="1" si="92"/>
        <v>-</v>
      </c>
      <c r="AA198" s="416" t="str">
        <f t="shared" ca="1" si="93"/>
        <v>-</v>
      </c>
      <c r="AB198" s="416" t="str">
        <f t="shared" ca="1" si="94"/>
        <v/>
      </c>
      <c r="AC198" s="434">
        <f>Cluster!Q217</f>
        <v>0</v>
      </c>
      <c r="AD198" s="435" t="str">
        <f t="shared" ca="1" si="118"/>
        <v/>
      </c>
      <c r="AE198" s="436" t="str">
        <f t="shared" ca="1" si="118"/>
        <v/>
      </c>
      <c r="AF198" s="437" t="str">
        <f t="shared" ca="1" si="95"/>
        <v>-</v>
      </c>
      <c r="AG198" s="438" t="str">
        <f t="shared" ca="1" si="96"/>
        <v>-</v>
      </c>
      <c r="AH198" s="437" t="str">
        <f t="shared" ca="1" si="97"/>
        <v>-</v>
      </c>
      <c r="AI198" s="438" t="str">
        <f t="shared" ca="1" si="98"/>
        <v>-</v>
      </c>
      <c r="AJ198" s="438" t="str">
        <f t="shared" ca="1" si="99"/>
        <v>-</v>
      </c>
      <c r="AK198" s="439" t="str">
        <f ca="1">IFERROR(AE198*AD198*AL198/(IF(Cluster!AA217=Cluster!$W$8,Cluster!$W$10,IF(Cluster!AA217=Cluster!$X$8,Cluster!$X$10,IF(Cluster!AA217=Cluster!$Y$8,Cluster!$Y$10,0)))*10^3),"-")</f>
        <v>-</v>
      </c>
      <c r="AL198" s="440" t="str">
        <f ca="1">IFERROR(IF(OR(Calculation!T198&lt;(Calculation!$U$8+2),Calculation!AC198="Bypass"),IF((IF(Calculation!$O$6/((Calculation!AD198*10^-12)/(Calculation!T198*10^-9)*50)&lt;=1,1,ROUNDUP(Calculation!$O$6/((Calculation!AD198*10^-12)/(Calculation!T198*10^-9)*50),0))*50)&lt;Calculation!$AK$6,Calculation!$AK$6,IF(Calculation!$O$6/((Calculation!AD198*10^-12)/(Calculation!T198*10^-9)*50)&lt;=1,1,ROUNDUP(Calculation!$O$6/((Calculation!AD198*10^-12)/(Calculation!T198*10^-9)*50),0))*50),"-"),"-")</f>
        <v>-</v>
      </c>
      <c r="AM198" s="441" t="str">
        <f t="shared" ca="1" si="119"/>
        <v/>
      </c>
      <c r="AN198" s="442" t="str">
        <f t="shared" ca="1" si="119"/>
        <v/>
      </c>
      <c r="AO198" s="432">
        <f t="shared" ca="1" si="100"/>
        <v>384</v>
      </c>
      <c r="AP198" s="427" t="str">
        <f t="shared" ca="1" si="101"/>
        <v>-</v>
      </c>
      <c r="AQ198" s="443" t="str">
        <f t="shared" ca="1" si="102"/>
        <v>-</v>
      </c>
      <c r="AR198" s="444" t="str">
        <f t="shared" ca="1" si="103"/>
        <v>-</v>
      </c>
      <c r="AS198" s="430" t="str">
        <f t="shared" ca="1" si="104"/>
        <v>-</v>
      </c>
    </row>
    <row r="199" spans="1:45" ht="14.25" x14ac:dyDescent="0.65">
      <c r="A199" s="407">
        <v>191</v>
      </c>
      <c r="B199" s="408" t="str">
        <f t="shared" ca="1" si="85"/>
        <v/>
      </c>
      <c r="C199" s="408" t="str">
        <f ca="1">IFERROR(IF(G199="","",CONCATENATE(E199,"-",INDEX(Coordinate,MATCH(F199,ListAndConversion!$X$4:$X$99,0),2))),"")</f>
        <v/>
      </c>
      <c r="D199" s="408" t="str">
        <f t="shared" ca="1" si="116"/>
        <v/>
      </c>
      <c r="E199" s="408" t="str">
        <f t="shared" ca="1" si="116"/>
        <v/>
      </c>
      <c r="F199" s="408" t="str">
        <f t="shared" ca="1" si="116"/>
        <v/>
      </c>
      <c r="G199" s="408" t="str">
        <f ca="1">IFERROR(INDEX(ListAndConversion!A:B,MATCH(Calculation!E199,ListAndConversion!A:A,0),2),"")</f>
        <v/>
      </c>
      <c r="H199" s="408" t="str">
        <f>IF(TrackIT_Lines!AD191="","",TrackIT_Lines!AD191)</f>
        <v/>
      </c>
      <c r="I199" s="408" t="str">
        <f>IF(TrackIT_Lines!AD191="","",CONCATENATE(TrackIT_Lines!AD191,"-",TrackIT_Lines!AG191))</f>
        <v/>
      </c>
      <c r="J199" s="409" t="str">
        <f t="shared" ca="1" si="117"/>
        <v/>
      </c>
      <c r="K199" s="408" t="str">
        <f t="shared" ca="1" si="117"/>
        <v/>
      </c>
      <c r="L199" s="408" t="str">
        <f t="shared" ca="1" si="117"/>
        <v/>
      </c>
      <c r="M199" s="408" t="str">
        <f t="shared" ca="1" si="117"/>
        <v/>
      </c>
      <c r="N199" s="408" t="str">
        <f t="shared" ca="1" si="117"/>
        <v/>
      </c>
      <c r="O199" s="408" t="str">
        <f t="shared" ca="1" si="117"/>
        <v/>
      </c>
      <c r="P199" s="408" t="str">
        <f t="shared" ca="1" si="117"/>
        <v/>
      </c>
      <c r="Q199" s="408" t="str">
        <f t="shared" ca="1" si="117"/>
        <v/>
      </c>
      <c r="R199" s="410" t="str">
        <f ca="1">Cluster!J218</f>
        <v>Selection</v>
      </c>
      <c r="S199" s="411" t="str">
        <f t="shared" ca="1" si="86"/>
        <v>-</v>
      </c>
      <c r="T199" s="412" t="str">
        <f t="shared" ca="1" si="87"/>
        <v/>
      </c>
      <c r="U199" s="411" t="str">
        <f t="shared" ca="1" si="88"/>
        <v>-</v>
      </c>
      <c r="V199" s="411" t="str">
        <f t="shared" ca="1" si="89"/>
        <v>-</v>
      </c>
      <c r="W199" s="413">
        <f>Cluster!N218</f>
        <v>0</v>
      </c>
      <c r="X199" s="414" t="str">
        <f t="shared" ca="1" si="90"/>
        <v>-</v>
      </c>
      <c r="Y199" s="411" t="str">
        <f t="shared" ca="1" si="91"/>
        <v>-</v>
      </c>
      <c r="Z199" s="415" t="str">
        <f t="shared" ca="1" si="92"/>
        <v>-</v>
      </c>
      <c r="AA199" s="416" t="str">
        <f t="shared" ca="1" si="93"/>
        <v>-</v>
      </c>
      <c r="AB199" s="416" t="str">
        <f t="shared" ca="1" si="94"/>
        <v/>
      </c>
      <c r="AC199" s="434">
        <f>Cluster!Q218</f>
        <v>0</v>
      </c>
      <c r="AD199" s="435" t="str">
        <f t="shared" ca="1" si="118"/>
        <v/>
      </c>
      <c r="AE199" s="436" t="str">
        <f t="shared" ca="1" si="118"/>
        <v/>
      </c>
      <c r="AF199" s="437" t="str">
        <f t="shared" ca="1" si="95"/>
        <v>-</v>
      </c>
      <c r="AG199" s="438" t="str">
        <f t="shared" ca="1" si="96"/>
        <v>-</v>
      </c>
      <c r="AH199" s="437" t="str">
        <f t="shared" ca="1" si="97"/>
        <v>-</v>
      </c>
      <c r="AI199" s="438" t="str">
        <f t="shared" ca="1" si="98"/>
        <v>-</v>
      </c>
      <c r="AJ199" s="438" t="str">
        <f t="shared" ca="1" si="99"/>
        <v>-</v>
      </c>
      <c r="AK199" s="439" t="str">
        <f ca="1">IFERROR(AE199*AD199*AL199/(IF(Cluster!AA218=Cluster!$W$8,Cluster!$W$10,IF(Cluster!AA218=Cluster!$X$8,Cluster!$X$10,IF(Cluster!AA218=Cluster!$Y$8,Cluster!$Y$10,0)))*10^3),"-")</f>
        <v>-</v>
      </c>
      <c r="AL199" s="440" t="str">
        <f ca="1">IFERROR(IF(OR(Calculation!T199&lt;(Calculation!$U$8+2),Calculation!AC199="Bypass"),IF((IF(Calculation!$O$6/((Calculation!AD199*10^-12)/(Calculation!T199*10^-9)*50)&lt;=1,1,ROUNDUP(Calculation!$O$6/((Calculation!AD199*10^-12)/(Calculation!T199*10^-9)*50),0))*50)&lt;Calculation!$AK$6,Calculation!$AK$6,IF(Calculation!$O$6/((Calculation!AD199*10^-12)/(Calculation!T199*10^-9)*50)&lt;=1,1,ROUNDUP(Calculation!$O$6/((Calculation!AD199*10^-12)/(Calculation!T199*10^-9)*50),0))*50),"-"),"-")</f>
        <v>-</v>
      </c>
      <c r="AM199" s="441" t="str">
        <f t="shared" ca="1" si="119"/>
        <v/>
      </c>
      <c r="AN199" s="442" t="str">
        <f t="shared" ca="1" si="119"/>
        <v/>
      </c>
      <c r="AO199" s="432">
        <f t="shared" ca="1" si="100"/>
        <v>384</v>
      </c>
      <c r="AP199" s="427" t="str">
        <f t="shared" ca="1" si="101"/>
        <v>-</v>
      </c>
      <c r="AQ199" s="443" t="str">
        <f t="shared" ca="1" si="102"/>
        <v>-</v>
      </c>
      <c r="AR199" s="444" t="str">
        <f t="shared" ca="1" si="103"/>
        <v>-</v>
      </c>
      <c r="AS199" s="430" t="str">
        <f t="shared" ca="1" si="104"/>
        <v>-</v>
      </c>
    </row>
    <row r="200" spans="1:45" ht="14.25" x14ac:dyDescent="0.65">
      <c r="A200" s="407">
        <v>192</v>
      </c>
      <c r="B200" s="408" t="str">
        <f t="shared" ca="1" si="85"/>
        <v/>
      </c>
      <c r="C200" s="408" t="str">
        <f ca="1">IFERROR(IF(G200="","",CONCATENATE(E200,"-",INDEX(Coordinate,MATCH(F200,ListAndConversion!$X$4:$X$99,0),2))),"")</f>
        <v/>
      </c>
      <c r="D200" s="408" t="str">
        <f t="shared" ca="1" si="116"/>
        <v/>
      </c>
      <c r="E200" s="408" t="str">
        <f t="shared" ca="1" si="116"/>
        <v/>
      </c>
      <c r="F200" s="408" t="str">
        <f t="shared" ca="1" si="116"/>
        <v/>
      </c>
      <c r="G200" s="408" t="str">
        <f ca="1">IFERROR(INDEX(ListAndConversion!A:B,MATCH(Calculation!E200,ListAndConversion!A:A,0),2),"")</f>
        <v/>
      </c>
      <c r="H200" s="408" t="str">
        <f>IF(TrackIT_Lines!AD192="","",TrackIT_Lines!AD192)</f>
        <v/>
      </c>
      <c r="I200" s="408" t="str">
        <f>IF(TrackIT_Lines!AD192="","",CONCATENATE(TrackIT_Lines!AD192,"-",TrackIT_Lines!AG192))</f>
        <v/>
      </c>
      <c r="J200" s="409" t="str">
        <f t="shared" ref="J200:Q209" ca="1" si="120">IF((INDIRECT("TrackIT_Lines!"&amp;J$2&amp;$A200))="","", (INDIRECT("TrackIT_Lines!"&amp;J$2&amp;$A200)))</f>
        <v/>
      </c>
      <c r="K200" s="408" t="str">
        <f t="shared" ca="1" si="120"/>
        <v/>
      </c>
      <c r="L200" s="408" t="str">
        <f t="shared" ca="1" si="120"/>
        <v/>
      </c>
      <c r="M200" s="408" t="str">
        <f t="shared" ca="1" si="120"/>
        <v/>
      </c>
      <c r="N200" s="408" t="str">
        <f t="shared" ca="1" si="120"/>
        <v/>
      </c>
      <c r="O200" s="408" t="str">
        <f t="shared" ca="1" si="120"/>
        <v/>
      </c>
      <c r="P200" s="408" t="str">
        <f t="shared" ca="1" si="120"/>
        <v/>
      </c>
      <c r="Q200" s="408" t="str">
        <f t="shared" ca="1" si="120"/>
        <v/>
      </c>
      <c r="R200" s="410" t="str">
        <f ca="1">Cluster!J219</f>
        <v>Selection</v>
      </c>
      <c r="S200" s="411" t="str">
        <f t="shared" ca="1" si="86"/>
        <v>-</v>
      </c>
      <c r="T200" s="412" t="str">
        <f t="shared" ca="1" si="87"/>
        <v/>
      </c>
      <c r="U200" s="411" t="str">
        <f t="shared" ca="1" si="88"/>
        <v>-</v>
      </c>
      <c r="V200" s="411" t="str">
        <f t="shared" ca="1" si="89"/>
        <v>-</v>
      </c>
      <c r="W200" s="413">
        <f>Cluster!N219</f>
        <v>0</v>
      </c>
      <c r="X200" s="414" t="str">
        <f t="shared" ca="1" si="90"/>
        <v>-</v>
      </c>
      <c r="Y200" s="411" t="str">
        <f t="shared" ca="1" si="91"/>
        <v>-</v>
      </c>
      <c r="Z200" s="415" t="str">
        <f t="shared" ca="1" si="92"/>
        <v>-</v>
      </c>
      <c r="AA200" s="416" t="str">
        <f t="shared" ca="1" si="93"/>
        <v>-</v>
      </c>
      <c r="AB200" s="416" t="str">
        <f t="shared" ca="1" si="94"/>
        <v/>
      </c>
      <c r="AC200" s="434">
        <f>Cluster!Q219</f>
        <v>0</v>
      </c>
      <c r="AD200" s="435" t="str">
        <f t="shared" ca="1" si="118"/>
        <v/>
      </c>
      <c r="AE200" s="436" t="str">
        <f t="shared" ca="1" si="118"/>
        <v/>
      </c>
      <c r="AF200" s="437" t="str">
        <f t="shared" ca="1" si="95"/>
        <v>-</v>
      </c>
      <c r="AG200" s="438" t="str">
        <f t="shared" ca="1" si="96"/>
        <v>-</v>
      </c>
      <c r="AH200" s="437" t="str">
        <f t="shared" ca="1" si="97"/>
        <v>-</v>
      </c>
      <c r="AI200" s="438" t="str">
        <f t="shared" ca="1" si="98"/>
        <v>-</v>
      </c>
      <c r="AJ200" s="438" t="str">
        <f t="shared" ca="1" si="99"/>
        <v>-</v>
      </c>
      <c r="AK200" s="439" t="str">
        <f ca="1">IFERROR(AE200*AD200*AL200/(IF(Cluster!AA219=Cluster!$W$8,Cluster!$W$10,IF(Cluster!AA219=Cluster!$X$8,Cluster!$X$10,IF(Cluster!AA219=Cluster!$Y$8,Cluster!$Y$10,0)))*10^3),"-")</f>
        <v>-</v>
      </c>
      <c r="AL200" s="440" t="str">
        <f ca="1">IFERROR(IF(OR(Calculation!T200&lt;(Calculation!$U$8+2),Calculation!AC200="Bypass"),IF((IF(Calculation!$O$6/((Calculation!AD200*10^-12)/(Calculation!T200*10^-9)*50)&lt;=1,1,ROUNDUP(Calculation!$O$6/((Calculation!AD200*10^-12)/(Calculation!T200*10^-9)*50),0))*50)&lt;Calculation!$AK$6,Calculation!$AK$6,IF(Calculation!$O$6/((Calculation!AD200*10^-12)/(Calculation!T200*10^-9)*50)&lt;=1,1,ROUNDUP(Calculation!$O$6/((Calculation!AD200*10^-12)/(Calculation!T200*10^-9)*50),0))*50),"-"),"-")</f>
        <v>-</v>
      </c>
      <c r="AM200" s="441" t="str">
        <f t="shared" ca="1" si="119"/>
        <v/>
      </c>
      <c r="AN200" s="442" t="str">
        <f t="shared" ca="1" si="119"/>
        <v/>
      </c>
      <c r="AO200" s="432">
        <f t="shared" ca="1" si="100"/>
        <v>384</v>
      </c>
      <c r="AP200" s="427" t="str">
        <f t="shared" ca="1" si="101"/>
        <v>-</v>
      </c>
      <c r="AQ200" s="443" t="str">
        <f t="shared" ca="1" si="102"/>
        <v>-</v>
      </c>
      <c r="AR200" s="444" t="str">
        <f t="shared" ca="1" si="103"/>
        <v>-</v>
      </c>
      <c r="AS200" s="430" t="str">
        <f t="shared" ca="1" si="104"/>
        <v>-</v>
      </c>
    </row>
    <row r="201" spans="1:45" ht="14.25" x14ac:dyDescent="0.65">
      <c r="A201" s="407">
        <v>193</v>
      </c>
      <c r="B201" s="408" t="str">
        <f t="shared" ca="1" si="85"/>
        <v/>
      </c>
      <c r="C201" s="408" t="str">
        <f ca="1">IFERROR(IF(G201="","",CONCATENATE(E201,"-",INDEX(Coordinate,MATCH(F201,ListAndConversion!$X$4:$X$99,0),2))),"")</f>
        <v/>
      </c>
      <c r="D201" s="408" t="str">
        <f t="shared" ca="1" si="116"/>
        <v/>
      </c>
      <c r="E201" s="408" t="str">
        <f t="shared" ca="1" si="116"/>
        <v/>
      </c>
      <c r="F201" s="408" t="str">
        <f t="shared" ca="1" si="116"/>
        <v/>
      </c>
      <c r="G201" s="408" t="str">
        <f ca="1">IFERROR(INDEX(ListAndConversion!A:B,MATCH(Calculation!E201,ListAndConversion!A:A,0),2),"")</f>
        <v/>
      </c>
      <c r="H201" s="408" t="str">
        <f>IF(TrackIT_Lines!AD193="","",TrackIT_Lines!AD193)</f>
        <v/>
      </c>
      <c r="I201" s="408" t="str">
        <f>IF(TrackIT_Lines!AD193="","",CONCATENATE(TrackIT_Lines!AD193,"-",TrackIT_Lines!AG193))</f>
        <v/>
      </c>
      <c r="J201" s="409" t="str">
        <f t="shared" ca="1" si="120"/>
        <v/>
      </c>
      <c r="K201" s="408" t="str">
        <f t="shared" ca="1" si="120"/>
        <v/>
      </c>
      <c r="L201" s="408" t="str">
        <f t="shared" ca="1" si="120"/>
        <v/>
      </c>
      <c r="M201" s="408" t="str">
        <f t="shared" ca="1" si="120"/>
        <v/>
      </c>
      <c r="N201" s="408" t="str">
        <f t="shared" ca="1" si="120"/>
        <v/>
      </c>
      <c r="O201" s="408" t="str">
        <f t="shared" ca="1" si="120"/>
        <v/>
      </c>
      <c r="P201" s="408" t="str">
        <f t="shared" ca="1" si="120"/>
        <v/>
      </c>
      <c r="Q201" s="408" t="str">
        <f t="shared" ca="1" si="120"/>
        <v/>
      </c>
      <c r="R201" s="410" t="str">
        <f ca="1">Cluster!J220</f>
        <v>Selection</v>
      </c>
      <c r="S201" s="411" t="str">
        <f t="shared" ca="1" si="86"/>
        <v>-</v>
      </c>
      <c r="T201" s="412" t="str">
        <f t="shared" ca="1" si="87"/>
        <v/>
      </c>
      <c r="U201" s="411" t="str">
        <f t="shared" ca="1" si="88"/>
        <v>-</v>
      </c>
      <c r="V201" s="411" t="str">
        <f t="shared" ca="1" si="89"/>
        <v>-</v>
      </c>
      <c r="W201" s="413">
        <f>Cluster!N220</f>
        <v>0</v>
      </c>
      <c r="X201" s="414" t="str">
        <f t="shared" ca="1" si="90"/>
        <v>-</v>
      </c>
      <c r="Y201" s="411" t="str">
        <f t="shared" ca="1" si="91"/>
        <v>-</v>
      </c>
      <c r="Z201" s="415" t="str">
        <f t="shared" ca="1" si="92"/>
        <v>-</v>
      </c>
      <c r="AA201" s="416" t="str">
        <f t="shared" ca="1" si="93"/>
        <v>-</v>
      </c>
      <c r="AB201" s="416" t="str">
        <f t="shared" ca="1" si="94"/>
        <v/>
      </c>
      <c r="AC201" s="434">
        <f>Cluster!Q220</f>
        <v>0</v>
      </c>
      <c r="AD201" s="435" t="str">
        <f t="shared" ca="1" si="118"/>
        <v/>
      </c>
      <c r="AE201" s="436" t="str">
        <f t="shared" ca="1" si="118"/>
        <v/>
      </c>
      <c r="AF201" s="437" t="str">
        <f t="shared" ca="1" si="95"/>
        <v>-</v>
      </c>
      <c r="AG201" s="438" t="str">
        <f t="shared" ca="1" si="96"/>
        <v>-</v>
      </c>
      <c r="AH201" s="437" t="str">
        <f t="shared" ca="1" si="97"/>
        <v>-</v>
      </c>
      <c r="AI201" s="438" t="str">
        <f t="shared" ca="1" si="98"/>
        <v>-</v>
      </c>
      <c r="AJ201" s="438" t="str">
        <f t="shared" ca="1" si="99"/>
        <v>-</v>
      </c>
      <c r="AK201" s="439" t="str">
        <f ca="1">IFERROR(AE201*AD201*AL201/(IF(Cluster!AA220=Cluster!$W$8,Cluster!$W$10,IF(Cluster!AA220=Cluster!$X$8,Cluster!$X$10,IF(Cluster!AA220=Cluster!$Y$8,Cluster!$Y$10,0)))*10^3),"-")</f>
        <v>-</v>
      </c>
      <c r="AL201" s="440" t="str">
        <f ca="1">IFERROR(IF(OR(Calculation!T201&lt;(Calculation!$U$8+2),Calculation!AC201="Bypass"),IF((IF(Calculation!$O$6/((Calculation!AD201*10^-12)/(Calculation!T201*10^-9)*50)&lt;=1,1,ROUNDUP(Calculation!$O$6/((Calculation!AD201*10^-12)/(Calculation!T201*10^-9)*50),0))*50)&lt;Calculation!$AK$6,Calculation!$AK$6,IF(Calculation!$O$6/((Calculation!AD201*10^-12)/(Calculation!T201*10^-9)*50)&lt;=1,1,ROUNDUP(Calculation!$O$6/((Calculation!AD201*10^-12)/(Calculation!T201*10^-9)*50),0))*50),"-"),"-")</f>
        <v>-</v>
      </c>
      <c r="AM201" s="441" t="str">
        <f t="shared" ca="1" si="119"/>
        <v/>
      </c>
      <c r="AN201" s="442" t="str">
        <f t="shared" ca="1" si="119"/>
        <v/>
      </c>
      <c r="AO201" s="432">
        <f t="shared" ca="1" si="100"/>
        <v>384</v>
      </c>
      <c r="AP201" s="427" t="str">
        <f t="shared" ca="1" si="101"/>
        <v>-</v>
      </c>
      <c r="AQ201" s="443" t="str">
        <f t="shared" ca="1" si="102"/>
        <v>-</v>
      </c>
      <c r="AR201" s="444" t="str">
        <f t="shared" ca="1" si="103"/>
        <v>-</v>
      </c>
      <c r="AS201" s="430" t="str">
        <f t="shared" ca="1" si="104"/>
        <v>-</v>
      </c>
    </row>
    <row r="202" spans="1:45" ht="14.25" x14ac:dyDescent="0.65">
      <c r="A202" s="407">
        <v>194</v>
      </c>
      <c r="B202" s="408" t="str">
        <f t="shared" ref="B202:B265" ca="1" si="121">IF((INDIRECT("TrackIT_Lines!"&amp;B$2&amp;$A202))="","", (INDIRECT("TrackIT_Lines!"&amp;B$2&amp;$A202)))</f>
        <v/>
      </c>
      <c r="C202" s="408" t="str">
        <f ca="1">IFERROR(IF(G202="","",CONCATENATE(E202,"-",INDEX(Coordinate,MATCH(F202,ListAndConversion!$X$4:$X$99,0),2))),"")</f>
        <v/>
      </c>
      <c r="D202" s="408" t="str">
        <f t="shared" ca="1" si="116"/>
        <v/>
      </c>
      <c r="E202" s="408" t="str">
        <f t="shared" ca="1" si="116"/>
        <v/>
      </c>
      <c r="F202" s="408" t="str">
        <f t="shared" ca="1" si="116"/>
        <v/>
      </c>
      <c r="G202" s="408" t="str">
        <f ca="1">IFERROR(INDEX(ListAndConversion!A:B,MATCH(Calculation!E202,ListAndConversion!A:A,0),2),"")</f>
        <v/>
      </c>
      <c r="H202" s="408" t="str">
        <f>IF(TrackIT_Lines!AD194="","",TrackIT_Lines!AD194)</f>
        <v/>
      </c>
      <c r="I202" s="408" t="str">
        <f>IF(TrackIT_Lines!AD194="","",CONCATENATE(TrackIT_Lines!AD194,"-",TrackIT_Lines!AG194))</f>
        <v/>
      </c>
      <c r="J202" s="409" t="str">
        <f t="shared" ca="1" si="120"/>
        <v/>
      </c>
      <c r="K202" s="408" t="str">
        <f t="shared" ca="1" si="120"/>
        <v/>
      </c>
      <c r="L202" s="408" t="str">
        <f t="shared" ca="1" si="120"/>
        <v/>
      </c>
      <c r="M202" s="408" t="str">
        <f t="shared" ca="1" si="120"/>
        <v/>
      </c>
      <c r="N202" s="408" t="str">
        <f t="shared" ca="1" si="120"/>
        <v/>
      </c>
      <c r="O202" s="408" t="str">
        <f t="shared" ca="1" si="120"/>
        <v/>
      </c>
      <c r="P202" s="408" t="str">
        <f t="shared" ca="1" si="120"/>
        <v/>
      </c>
      <c r="Q202" s="408" t="str">
        <f t="shared" ca="1" si="120"/>
        <v/>
      </c>
      <c r="R202" s="410" t="str">
        <f ca="1">Cluster!J221</f>
        <v>Selection</v>
      </c>
      <c r="S202" s="411" t="str">
        <f t="shared" ref="S202:S265" ca="1" si="122">IFERROR(HLOOKUP(R202,$L$9:$Q$393,$A202,0),"-")</f>
        <v>-</v>
      </c>
      <c r="T202" s="412" t="str">
        <f t="shared" ref="T202:T265" ca="1" si="123">IFERROR(IF(L202&lt;&gt;"",L202,IF(M202&lt;&gt;"",M202/(K202*660*0.000001),"")),"")</f>
        <v/>
      </c>
      <c r="U202" s="411" t="str">
        <f t="shared" ref="U202:U265" ca="1" si="124">IFERROR(IF(AND(T202&gt;($U$8+2),T202&lt;=($X$8+400),W202=0,AC202=0),ROUNDUP($O$6/($U$8*$U$6/T202),0)*($U$8*$U$6/T202),"-"),"-")</f>
        <v>-</v>
      </c>
      <c r="V202" s="411" t="str">
        <f t="shared" ref="V202:V265" ca="1" si="125">IFERROR(IF(AND(T202&gt;=($U$8+2),T202&lt;=($X$8+400), W202=0, AC202=0),ROUNDUP($O$6/($U$8*$U$6/T202),0)*($U$6-($U$8*$U$6/T202)),"-"),"-")</f>
        <v>-</v>
      </c>
      <c r="W202" s="413">
        <f>Cluster!N221</f>
        <v>0</v>
      </c>
      <c r="X202" s="414" t="str">
        <f t="shared" ref="X202:X265" ca="1" si="126">IFERROR(IF(AND(AC202=0,OR(W202="Bypass",OR(T202&gt;($X$8+400)))),ROUNDUP($O$6/($X$8*$X$6/T202),0)*($X$8*$X$6/T202),"-"),"-")</f>
        <v>-</v>
      </c>
      <c r="Y202" s="411" t="str">
        <f t="shared" ref="Y202:Y265" ca="1" si="127">IFERROR(IF(AND(AC202=0,OR(W202="Bypass",OR(T202&gt;($X$8+400)))),ROUNDUP($O$6/($X$8*$X$6/T202),0)*($X$6-($X$8*$X$6/T202)),"-"),"-")</f>
        <v>-</v>
      </c>
      <c r="Z202" s="415" t="str">
        <f t="shared" ref="Z202:Z265" ca="1" si="128">IFERROR(IF(X202&lt;&gt;"-",ROUNDUP($O$6/($U$8*$Z$6/$X$8),0)*($U$8*$Z$6/$X$8),"-"),"-")</f>
        <v>-</v>
      </c>
      <c r="AA202" s="416" t="str">
        <f t="shared" ref="AA202:AA265" ca="1" si="129">IFERROR(IF(X202&lt;&gt;"-",ROUNDUP($O$6/($U$8*$Z$6/$X$8),0)*($Z$6-($U$8*$Z$6/$X$8)),"-"),"-")</f>
        <v>-</v>
      </c>
      <c r="AB202" s="416" t="str">
        <f t="shared" ref="AB202:AB265" ca="1" si="130">IF(T202&lt;5,"No Dilution","")</f>
        <v/>
      </c>
      <c r="AC202" s="434">
        <f>Cluster!Q221</f>
        <v>0</v>
      </c>
      <c r="AD202" s="435" t="str">
        <f t="shared" ca="1" si="118"/>
        <v/>
      </c>
      <c r="AE202" s="436" t="str">
        <f t="shared" ca="1" si="118"/>
        <v/>
      </c>
      <c r="AF202" s="437" t="str">
        <f t="shared" ref="AF202:AF265" ca="1" si="131">IFERROR(AL202*((AD202*10^-12-AD202*10^-12*AE202)/(T202*10^-9)),"-")</f>
        <v>-</v>
      </c>
      <c r="AG202" s="438" t="str">
        <f t="shared" ref="AG202:AG265" ca="1" si="132">IFERROR((0.5/50)*AL202/$AG$6,"-")</f>
        <v>-</v>
      </c>
      <c r="AH202" s="437" t="str">
        <f t="shared" ref="AH202:AH265" ca="1" si="133">IFERROR(IF((AG202*$AG$6/0.05)-SUM(AF202:AG202,AK202)&gt;0,(AG202*$AG$6/0.05)-SUM(AF202:AG202,AK202),0),"-")</f>
        <v>-</v>
      </c>
      <c r="AI202" s="438" t="str">
        <f t="shared" ref="AI202:AI265" ca="1" si="134">IFERROR(5/50*AL202,"-")</f>
        <v>-</v>
      </c>
      <c r="AJ202" s="438" t="str">
        <f t="shared" ref="AJ202:AJ265" ca="1" si="135">IFERROR(AL202-SUM(AF202:AI202,AK202),"-")</f>
        <v>-</v>
      </c>
      <c r="AK202" s="439" t="str">
        <f ca="1">IFERROR(AE202*AD202*AL202/(IF(Cluster!AA221=Cluster!$W$8,Cluster!$W$10,IF(Cluster!AA221=Cluster!$X$8,Cluster!$X$10,IF(Cluster!AA221=Cluster!$Y$8,Cluster!$Y$10,0)))*10^3),"-")</f>
        <v>-</v>
      </c>
      <c r="AL202" s="440" t="str">
        <f ca="1">IFERROR(IF(OR(Calculation!T202&lt;(Calculation!$U$8+2),Calculation!AC202="Bypass"),IF((IF(Calculation!$O$6/((Calculation!AD202*10^-12)/(Calculation!T202*10^-9)*50)&lt;=1,1,ROUNDUP(Calculation!$O$6/((Calculation!AD202*10^-12)/(Calculation!T202*10^-9)*50),0))*50)&lt;Calculation!$AK$6,Calculation!$AK$6,IF(Calculation!$O$6/((Calculation!AD202*10^-12)/(Calculation!T202*10^-9)*50)&lt;=1,1,ROUNDUP(Calculation!$O$6/((Calculation!AD202*10^-12)/(Calculation!T202*10^-9)*50),0))*50),"-"),"-")</f>
        <v>-</v>
      </c>
      <c r="AM202" s="441" t="str">
        <f t="shared" ca="1" si="119"/>
        <v/>
      </c>
      <c r="AN202" s="442" t="str">
        <f t="shared" ca="1" si="119"/>
        <v/>
      </c>
      <c r="AO202" s="432">
        <f t="shared" ref="AO202:AO265" ca="1" si="136">COUNTIFS($I$10:$I$393,I202,$AN$10:$AN$393,AN202)</f>
        <v>384</v>
      </c>
      <c r="AP202" s="427" t="str">
        <f t="shared" ref="AP202:AP265" ca="1" si="137">IFERROR($AG$6*AG202/SUM(AF202:AH202,AK202),"-")</f>
        <v>-</v>
      </c>
      <c r="AQ202" s="443" t="str">
        <f t="shared" ref="AQ202:AQ265" ca="1" si="138">IFERROR(AP202*SUM(AF202:AH202)/AL202,"-")</f>
        <v>-</v>
      </c>
      <c r="AR202" s="444" t="str">
        <f t="shared" ref="AR202:AR265" ca="1" si="139">IFERROR(IF(J202&gt;0,J202/IF(LEN(AM202)&gt;1,LEN(AM202)-1,1),"-"),"-")</f>
        <v>-</v>
      </c>
      <c r="AS202" s="430" t="str">
        <f t="shared" ref="AS202:AS265" ca="1" si="140">IF(AND(AR202&lt;1,AL202="-",COUNTIFS($I$10:$I$393,I202,Direct_Denaturation,"-")&gt;1),C202,"-")</f>
        <v>-</v>
      </c>
    </row>
    <row r="203" spans="1:45" ht="14.25" x14ac:dyDescent="0.65">
      <c r="A203" s="407">
        <v>195</v>
      </c>
      <c r="B203" s="408" t="str">
        <f t="shared" ca="1" si="121"/>
        <v/>
      </c>
      <c r="C203" s="408" t="str">
        <f ca="1">IFERROR(IF(G203="","",CONCATENATE(E203,"-",INDEX(Coordinate,MATCH(F203,ListAndConversion!$X$4:$X$99,0),2))),"")</f>
        <v/>
      </c>
      <c r="D203" s="408" t="str">
        <f t="shared" ca="1" si="116"/>
        <v/>
      </c>
      <c r="E203" s="408" t="str">
        <f t="shared" ca="1" si="116"/>
        <v/>
      </c>
      <c r="F203" s="408" t="str">
        <f t="shared" ca="1" si="116"/>
        <v/>
      </c>
      <c r="G203" s="408" t="str">
        <f ca="1">IFERROR(INDEX(ListAndConversion!A:B,MATCH(Calculation!E203,ListAndConversion!A:A,0),2),"")</f>
        <v/>
      </c>
      <c r="H203" s="408" t="str">
        <f>IF(TrackIT_Lines!AD195="","",TrackIT_Lines!AD195)</f>
        <v/>
      </c>
      <c r="I203" s="408" t="str">
        <f>IF(TrackIT_Lines!AD195="","",CONCATENATE(TrackIT_Lines!AD195,"-",TrackIT_Lines!AG195))</f>
        <v/>
      </c>
      <c r="J203" s="409" t="str">
        <f t="shared" ca="1" si="120"/>
        <v/>
      </c>
      <c r="K203" s="408" t="str">
        <f t="shared" ca="1" si="120"/>
        <v/>
      </c>
      <c r="L203" s="408" t="str">
        <f t="shared" ca="1" si="120"/>
        <v/>
      </c>
      <c r="M203" s="408" t="str">
        <f t="shared" ca="1" si="120"/>
        <v/>
      </c>
      <c r="N203" s="408" t="str">
        <f t="shared" ca="1" si="120"/>
        <v/>
      </c>
      <c r="O203" s="408" t="str">
        <f t="shared" ca="1" si="120"/>
        <v/>
      </c>
      <c r="P203" s="408" t="str">
        <f t="shared" ca="1" si="120"/>
        <v/>
      </c>
      <c r="Q203" s="408" t="str">
        <f t="shared" ca="1" si="120"/>
        <v/>
      </c>
      <c r="R203" s="410" t="str">
        <f ca="1">Cluster!J222</f>
        <v>Selection</v>
      </c>
      <c r="S203" s="411" t="str">
        <f t="shared" ca="1" si="122"/>
        <v>-</v>
      </c>
      <c r="T203" s="412" t="str">
        <f t="shared" ca="1" si="123"/>
        <v/>
      </c>
      <c r="U203" s="411" t="str">
        <f t="shared" ca="1" si="124"/>
        <v>-</v>
      </c>
      <c r="V203" s="411" t="str">
        <f t="shared" ca="1" si="125"/>
        <v>-</v>
      </c>
      <c r="W203" s="413">
        <f>Cluster!N222</f>
        <v>0</v>
      </c>
      <c r="X203" s="414" t="str">
        <f t="shared" ca="1" si="126"/>
        <v>-</v>
      </c>
      <c r="Y203" s="411" t="str">
        <f t="shared" ca="1" si="127"/>
        <v>-</v>
      </c>
      <c r="Z203" s="415" t="str">
        <f t="shared" ca="1" si="128"/>
        <v>-</v>
      </c>
      <c r="AA203" s="416" t="str">
        <f t="shared" ca="1" si="129"/>
        <v>-</v>
      </c>
      <c r="AB203" s="416" t="str">
        <f t="shared" ca="1" si="130"/>
        <v/>
      </c>
      <c r="AC203" s="434">
        <f>Cluster!Q222</f>
        <v>0</v>
      </c>
      <c r="AD203" s="435" t="str">
        <f t="shared" ca="1" si="118"/>
        <v/>
      </c>
      <c r="AE203" s="436" t="str">
        <f t="shared" ca="1" si="118"/>
        <v/>
      </c>
      <c r="AF203" s="437" t="str">
        <f t="shared" ca="1" si="131"/>
        <v>-</v>
      </c>
      <c r="AG203" s="438" t="str">
        <f t="shared" ca="1" si="132"/>
        <v>-</v>
      </c>
      <c r="AH203" s="437" t="str">
        <f t="shared" ca="1" si="133"/>
        <v>-</v>
      </c>
      <c r="AI203" s="438" t="str">
        <f t="shared" ca="1" si="134"/>
        <v>-</v>
      </c>
      <c r="AJ203" s="438" t="str">
        <f t="shared" ca="1" si="135"/>
        <v>-</v>
      </c>
      <c r="AK203" s="439" t="str">
        <f ca="1">IFERROR(AE203*AD203*AL203/(IF(Cluster!AA222=Cluster!$W$8,Cluster!$W$10,IF(Cluster!AA222=Cluster!$X$8,Cluster!$X$10,IF(Cluster!AA222=Cluster!$Y$8,Cluster!$Y$10,0)))*10^3),"-")</f>
        <v>-</v>
      </c>
      <c r="AL203" s="440" t="str">
        <f ca="1">IFERROR(IF(OR(Calculation!T203&lt;(Calculation!$U$8+2),Calculation!AC203="Bypass"),IF((IF(Calculation!$O$6/((Calculation!AD203*10^-12)/(Calculation!T203*10^-9)*50)&lt;=1,1,ROUNDUP(Calculation!$O$6/((Calculation!AD203*10^-12)/(Calculation!T203*10^-9)*50),0))*50)&lt;Calculation!$AK$6,Calculation!$AK$6,IF(Calculation!$O$6/((Calculation!AD203*10^-12)/(Calculation!T203*10^-9)*50)&lt;=1,1,ROUNDUP(Calculation!$O$6/((Calculation!AD203*10^-12)/(Calculation!T203*10^-9)*50),0))*50),"-"),"-")</f>
        <v>-</v>
      </c>
      <c r="AM203" s="441" t="str">
        <f t="shared" ca="1" si="119"/>
        <v/>
      </c>
      <c r="AN203" s="442" t="str">
        <f t="shared" ca="1" si="119"/>
        <v/>
      </c>
      <c r="AO203" s="432">
        <f t="shared" ca="1" si="136"/>
        <v>384</v>
      </c>
      <c r="AP203" s="427" t="str">
        <f t="shared" ca="1" si="137"/>
        <v>-</v>
      </c>
      <c r="AQ203" s="443" t="str">
        <f t="shared" ca="1" si="138"/>
        <v>-</v>
      </c>
      <c r="AR203" s="444" t="str">
        <f t="shared" ca="1" si="139"/>
        <v>-</v>
      </c>
      <c r="AS203" s="430" t="str">
        <f t="shared" ca="1" si="140"/>
        <v>-</v>
      </c>
    </row>
    <row r="204" spans="1:45" ht="14.25" x14ac:dyDescent="0.65">
      <c r="A204" s="407">
        <v>196</v>
      </c>
      <c r="B204" s="408" t="str">
        <f t="shared" ca="1" si="121"/>
        <v/>
      </c>
      <c r="C204" s="408" t="str">
        <f ca="1">IFERROR(IF(G204="","",CONCATENATE(E204,"-",INDEX(Coordinate,MATCH(F204,ListAndConversion!$X$4:$X$99,0),2))),"")</f>
        <v/>
      </c>
      <c r="D204" s="408" t="str">
        <f t="shared" ca="1" si="116"/>
        <v/>
      </c>
      <c r="E204" s="408" t="str">
        <f t="shared" ca="1" si="116"/>
        <v/>
      </c>
      <c r="F204" s="408" t="str">
        <f t="shared" ca="1" si="116"/>
        <v/>
      </c>
      <c r="G204" s="408" t="str">
        <f ca="1">IFERROR(INDEX(ListAndConversion!A:B,MATCH(Calculation!E204,ListAndConversion!A:A,0),2),"")</f>
        <v/>
      </c>
      <c r="H204" s="408" t="str">
        <f>IF(TrackIT_Lines!AD196="","",TrackIT_Lines!AD196)</f>
        <v/>
      </c>
      <c r="I204" s="408" t="str">
        <f>IF(TrackIT_Lines!AD196="","",CONCATENATE(TrackIT_Lines!AD196,"-",TrackIT_Lines!AG196))</f>
        <v/>
      </c>
      <c r="J204" s="409" t="str">
        <f t="shared" ca="1" si="120"/>
        <v/>
      </c>
      <c r="K204" s="408" t="str">
        <f t="shared" ca="1" si="120"/>
        <v/>
      </c>
      <c r="L204" s="408" t="str">
        <f t="shared" ca="1" si="120"/>
        <v/>
      </c>
      <c r="M204" s="408" t="str">
        <f t="shared" ca="1" si="120"/>
        <v/>
      </c>
      <c r="N204" s="408" t="str">
        <f t="shared" ca="1" si="120"/>
        <v/>
      </c>
      <c r="O204" s="408" t="str">
        <f t="shared" ca="1" si="120"/>
        <v/>
      </c>
      <c r="P204" s="408" t="str">
        <f t="shared" ca="1" si="120"/>
        <v/>
      </c>
      <c r="Q204" s="408" t="str">
        <f t="shared" ca="1" si="120"/>
        <v/>
      </c>
      <c r="R204" s="410" t="str">
        <f ca="1">Cluster!J223</f>
        <v>Selection</v>
      </c>
      <c r="S204" s="411" t="str">
        <f t="shared" ca="1" si="122"/>
        <v>-</v>
      </c>
      <c r="T204" s="412" t="str">
        <f t="shared" ca="1" si="123"/>
        <v/>
      </c>
      <c r="U204" s="411" t="str">
        <f t="shared" ca="1" si="124"/>
        <v>-</v>
      </c>
      <c r="V204" s="411" t="str">
        <f t="shared" ca="1" si="125"/>
        <v>-</v>
      </c>
      <c r="W204" s="413">
        <f>Cluster!N223</f>
        <v>0</v>
      </c>
      <c r="X204" s="414" t="str">
        <f t="shared" ca="1" si="126"/>
        <v>-</v>
      </c>
      <c r="Y204" s="411" t="str">
        <f t="shared" ca="1" si="127"/>
        <v>-</v>
      </c>
      <c r="Z204" s="415" t="str">
        <f t="shared" ca="1" si="128"/>
        <v>-</v>
      </c>
      <c r="AA204" s="416" t="str">
        <f t="shared" ca="1" si="129"/>
        <v>-</v>
      </c>
      <c r="AB204" s="416" t="str">
        <f t="shared" ca="1" si="130"/>
        <v/>
      </c>
      <c r="AC204" s="434">
        <f>Cluster!Q223</f>
        <v>0</v>
      </c>
      <c r="AD204" s="435" t="str">
        <f t="shared" ca="1" si="118"/>
        <v/>
      </c>
      <c r="AE204" s="436" t="str">
        <f t="shared" ca="1" si="118"/>
        <v/>
      </c>
      <c r="AF204" s="437" t="str">
        <f t="shared" ca="1" si="131"/>
        <v>-</v>
      </c>
      <c r="AG204" s="438" t="str">
        <f t="shared" ca="1" si="132"/>
        <v>-</v>
      </c>
      <c r="AH204" s="437" t="str">
        <f t="shared" ca="1" si="133"/>
        <v>-</v>
      </c>
      <c r="AI204" s="438" t="str">
        <f t="shared" ca="1" si="134"/>
        <v>-</v>
      </c>
      <c r="AJ204" s="438" t="str">
        <f t="shared" ca="1" si="135"/>
        <v>-</v>
      </c>
      <c r="AK204" s="439" t="str">
        <f ca="1">IFERROR(AE204*AD204*AL204/(IF(Cluster!AA223=Cluster!$W$8,Cluster!$W$10,IF(Cluster!AA223=Cluster!$X$8,Cluster!$X$10,IF(Cluster!AA223=Cluster!$Y$8,Cluster!$Y$10,0)))*10^3),"-")</f>
        <v>-</v>
      </c>
      <c r="AL204" s="440" t="str">
        <f ca="1">IFERROR(IF(OR(Calculation!T204&lt;(Calculation!$U$8+2),Calculation!AC204="Bypass"),IF((IF(Calculation!$O$6/((Calculation!AD204*10^-12)/(Calculation!T204*10^-9)*50)&lt;=1,1,ROUNDUP(Calculation!$O$6/((Calculation!AD204*10^-12)/(Calculation!T204*10^-9)*50),0))*50)&lt;Calculation!$AK$6,Calculation!$AK$6,IF(Calculation!$O$6/((Calculation!AD204*10^-12)/(Calculation!T204*10^-9)*50)&lt;=1,1,ROUNDUP(Calculation!$O$6/((Calculation!AD204*10^-12)/(Calculation!T204*10^-9)*50),0))*50),"-"),"-")</f>
        <v>-</v>
      </c>
      <c r="AM204" s="441" t="str">
        <f t="shared" ca="1" si="119"/>
        <v/>
      </c>
      <c r="AN204" s="442" t="str">
        <f t="shared" ca="1" si="119"/>
        <v/>
      </c>
      <c r="AO204" s="432">
        <f t="shared" ca="1" si="136"/>
        <v>384</v>
      </c>
      <c r="AP204" s="427" t="str">
        <f t="shared" ca="1" si="137"/>
        <v>-</v>
      </c>
      <c r="AQ204" s="443" t="str">
        <f t="shared" ca="1" si="138"/>
        <v>-</v>
      </c>
      <c r="AR204" s="444" t="str">
        <f t="shared" ca="1" si="139"/>
        <v>-</v>
      </c>
      <c r="AS204" s="430" t="str">
        <f t="shared" ca="1" si="140"/>
        <v>-</v>
      </c>
    </row>
    <row r="205" spans="1:45" ht="14.25" x14ac:dyDescent="0.65">
      <c r="A205" s="407">
        <v>197</v>
      </c>
      <c r="B205" s="408" t="str">
        <f t="shared" ca="1" si="121"/>
        <v/>
      </c>
      <c r="C205" s="408" t="str">
        <f ca="1">IFERROR(IF(G205="","",CONCATENATE(E205,"-",INDEX(Coordinate,MATCH(F205,ListAndConversion!$X$4:$X$99,0),2))),"")</f>
        <v/>
      </c>
      <c r="D205" s="408" t="str">
        <f t="shared" ca="1" si="116"/>
        <v/>
      </c>
      <c r="E205" s="408" t="str">
        <f t="shared" ca="1" si="116"/>
        <v/>
      </c>
      <c r="F205" s="408" t="str">
        <f t="shared" ca="1" si="116"/>
        <v/>
      </c>
      <c r="G205" s="408" t="str">
        <f ca="1">IFERROR(INDEX(ListAndConversion!A:B,MATCH(Calculation!E205,ListAndConversion!A:A,0),2),"")</f>
        <v/>
      </c>
      <c r="H205" s="408" t="str">
        <f>IF(TrackIT_Lines!AD197="","",TrackIT_Lines!AD197)</f>
        <v/>
      </c>
      <c r="I205" s="408" t="str">
        <f>IF(TrackIT_Lines!AD197="","",CONCATENATE(TrackIT_Lines!AD197,"-",TrackIT_Lines!AG197))</f>
        <v/>
      </c>
      <c r="J205" s="409" t="str">
        <f t="shared" ca="1" si="120"/>
        <v/>
      </c>
      <c r="K205" s="408" t="str">
        <f t="shared" ca="1" si="120"/>
        <v/>
      </c>
      <c r="L205" s="408" t="str">
        <f t="shared" ca="1" si="120"/>
        <v/>
      </c>
      <c r="M205" s="408" t="str">
        <f t="shared" ca="1" si="120"/>
        <v/>
      </c>
      <c r="N205" s="408" t="str">
        <f t="shared" ca="1" si="120"/>
        <v/>
      </c>
      <c r="O205" s="408" t="str">
        <f t="shared" ca="1" si="120"/>
        <v/>
      </c>
      <c r="P205" s="408" t="str">
        <f t="shared" ca="1" si="120"/>
        <v/>
      </c>
      <c r="Q205" s="408" t="str">
        <f t="shared" ca="1" si="120"/>
        <v/>
      </c>
      <c r="R205" s="410" t="str">
        <f ca="1">Cluster!J224</f>
        <v>Selection</v>
      </c>
      <c r="S205" s="411" t="str">
        <f t="shared" ca="1" si="122"/>
        <v>-</v>
      </c>
      <c r="T205" s="412" t="str">
        <f t="shared" ca="1" si="123"/>
        <v/>
      </c>
      <c r="U205" s="411" t="str">
        <f t="shared" ca="1" si="124"/>
        <v>-</v>
      </c>
      <c r="V205" s="411" t="str">
        <f t="shared" ca="1" si="125"/>
        <v>-</v>
      </c>
      <c r="W205" s="413">
        <f>Cluster!N224</f>
        <v>0</v>
      </c>
      <c r="X205" s="414" t="str">
        <f t="shared" ca="1" si="126"/>
        <v>-</v>
      </c>
      <c r="Y205" s="411" t="str">
        <f t="shared" ca="1" si="127"/>
        <v>-</v>
      </c>
      <c r="Z205" s="415" t="str">
        <f t="shared" ca="1" si="128"/>
        <v>-</v>
      </c>
      <c r="AA205" s="416" t="str">
        <f t="shared" ca="1" si="129"/>
        <v>-</v>
      </c>
      <c r="AB205" s="416" t="str">
        <f t="shared" ca="1" si="130"/>
        <v/>
      </c>
      <c r="AC205" s="434">
        <f>Cluster!Q224</f>
        <v>0</v>
      </c>
      <c r="AD205" s="435" t="str">
        <f t="shared" ca="1" si="118"/>
        <v/>
      </c>
      <c r="AE205" s="436" t="str">
        <f t="shared" ca="1" si="118"/>
        <v/>
      </c>
      <c r="AF205" s="437" t="str">
        <f t="shared" ca="1" si="131"/>
        <v>-</v>
      </c>
      <c r="AG205" s="438" t="str">
        <f t="shared" ca="1" si="132"/>
        <v>-</v>
      </c>
      <c r="AH205" s="437" t="str">
        <f t="shared" ca="1" si="133"/>
        <v>-</v>
      </c>
      <c r="AI205" s="438" t="str">
        <f t="shared" ca="1" si="134"/>
        <v>-</v>
      </c>
      <c r="AJ205" s="438" t="str">
        <f t="shared" ca="1" si="135"/>
        <v>-</v>
      </c>
      <c r="AK205" s="439" t="str">
        <f ca="1">IFERROR(AE205*AD205*AL205/(IF(Cluster!AA224=Cluster!$W$8,Cluster!$W$10,IF(Cluster!AA224=Cluster!$X$8,Cluster!$X$10,IF(Cluster!AA224=Cluster!$Y$8,Cluster!$Y$10,0)))*10^3),"-")</f>
        <v>-</v>
      </c>
      <c r="AL205" s="440" t="str">
        <f ca="1">IFERROR(IF(OR(Calculation!T205&lt;(Calculation!$U$8+2),Calculation!AC205="Bypass"),IF((IF(Calculation!$O$6/((Calculation!AD205*10^-12)/(Calculation!T205*10^-9)*50)&lt;=1,1,ROUNDUP(Calculation!$O$6/((Calculation!AD205*10^-12)/(Calculation!T205*10^-9)*50),0))*50)&lt;Calculation!$AK$6,Calculation!$AK$6,IF(Calculation!$O$6/((Calculation!AD205*10^-12)/(Calculation!T205*10^-9)*50)&lt;=1,1,ROUNDUP(Calculation!$O$6/((Calculation!AD205*10^-12)/(Calculation!T205*10^-9)*50),0))*50),"-"),"-")</f>
        <v>-</v>
      </c>
      <c r="AM205" s="441" t="str">
        <f t="shared" ca="1" si="119"/>
        <v/>
      </c>
      <c r="AN205" s="442" t="str">
        <f t="shared" ca="1" si="119"/>
        <v/>
      </c>
      <c r="AO205" s="432">
        <f t="shared" ca="1" si="136"/>
        <v>384</v>
      </c>
      <c r="AP205" s="427" t="str">
        <f t="shared" ca="1" si="137"/>
        <v>-</v>
      </c>
      <c r="AQ205" s="443" t="str">
        <f t="shared" ca="1" si="138"/>
        <v>-</v>
      </c>
      <c r="AR205" s="444" t="str">
        <f t="shared" ca="1" si="139"/>
        <v>-</v>
      </c>
      <c r="AS205" s="430" t="str">
        <f t="shared" ca="1" si="140"/>
        <v>-</v>
      </c>
    </row>
    <row r="206" spans="1:45" ht="14.25" x14ac:dyDescent="0.65">
      <c r="A206" s="407">
        <v>198</v>
      </c>
      <c r="B206" s="408" t="str">
        <f t="shared" ca="1" si="121"/>
        <v/>
      </c>
      <c r="C206" s="408" t="str">
        <f ca="1">IFERROR(IF(G206="","",CONCATENATE(E206,"-",INDEX(Coordinate,MATCH(F206,ListAndConversion!$X$4:$X$99,0),2))),"")</f>
        <v/>
      </c>
      <c r="D206" s="408" t="str">
        <f t="shared" ca="1" si="116"/>
        <v/>
      </c>
      <c r="E206" s="408" t="str">
        <f t="shared" ca="1" si="116"/>
        <v/>
      </c>
      <c r="F206" s="408" t="str">
        <f t="shared" ca="1" si="116"/>
        <v/>
      </c>
      <c r="G206" s="408" t="str">
        <f ca="1">IFERROR(INDEX(ListAndConversion!A:B,MATCH(Calculation!E206,ListAndConversion!A:A,0),2),"")</f>
        <v/>
      </c>
      <c r="H206" s="408" t="str">
        <f>IF(TrackIT_Lines!AD198="","",TrackIT_Lines!AD198)</f>
        <v/>
      </c>
      <c r="I206" s="408" t="str">
        <f>IF(TrackIT_Lines!AD198="","",CONCATENATE(TrackIT_Lines!AD198,"-",TrackIT_Lines!AG198))</f>
        <v/>
      </c>
      <c r="J206" s="409" t="str">
        <f t="shared" ca="1" si="120"/>
        <v/>
      </c>
      <c r="K206" s="408" t="str">
        <f t="shared" ca="1" si="120"/>
        <v/>
      </c>
      <c r="L206" s="408" t="str">
        <f t="shared" ca="1" si="120"/>
        <v/>
      </c>
      <c r="M206" s="408" t="str">
        <f t="shared" ca="1" si="120"/>
        <v/>
      </c>
      <c r="N206" s="408" t="str">
        <f t="shared" ca="1" si="120"/>
        <v/>
      </c>
      <c r="O206" s="408" t="str">
        <f t="shared" ca="1" si="120"/>
        <v/>
      </c>
      <c r="P206" s="408" t="str">
        <f t="shared" ca="1" si="120"/>
        <v/>
      </c>
      <c r="Q206" s="408" t="str">
        <f t="shared" ca="1" si="120"/>
        <v/>
      </c>
      <c r="R206" s="410" t="str">
        <f ca="1">Cluster!J225</f>
        <v>Selection</v>
      </c>
      <c r="S206" s="411" t="str">
        <f t="shared" ca="1" si="122"/>
        <v>-</v>
      </c>
      <c r="T206" s="412" t="str">
        <f t="shared" ca="1" si="123"/>
        <v/>
      </c>
      <c r="U206" s="411" t="str">
        <f t="shared" ca="1" si="124"/>
        <v>-</v>
      </c>
      <c r="V206" s="411" t="str">
        <f t="shared" ca="1" si="125"/>
        <v>-</v>
      </c>
      <c r="W206" s="413">
        <f>Cluster!N225</f>
        <v>0</v>
      </c>
      <c r="X206" s="414" t="str">
        <f t="shared" ca="1" si="126"/>
        <v>-</v>
      </c>
      <c r="Y206" s="411" t="str">
        <f t="shared" ca="1" si="127"/>
        <v>-</v>
      </c>
      <c r="Z206" s="415" t="str">
        <f t="shared" ca="1" si="128"/>
        <v>-</v>
      </c>
      <c r="AA206" s="416" t="str">
        <f t="shared" ca="1" si="129"/>
        <v>-</v>
      </c>
      <c r="AB206" s="416" t="str">
        <f t="shared" ca="1" si="130"/>
        <v/>
      </c>
      <c r="AC206" s="434">
        <f>Cluster!Q225</f>
        <v>0</v>
      </c>
      <c r="AD206" s="435" t="str">
        <f t="shared" ca="1" si="118"/>
        <v/>
      </c>
      <c r="AE206" s="436" t="str">
        <f t="shared" ca="1" si="118"/>
        <v/>
      </c>
      <c r="AF206" s="437" t="str">
        <f t="shared" ca="1" si="131"/>
        <v>-</v>
      </c>
      <c r="AG206" s="438" t="str">
        <f t="shared" ca="1" si="132"/>
        <v>-</v>
      </c>
      <c r="AH206" s="437" t="str">
        <f t="shared" ca="1" si="133"/>
        <v>-</v>
      </c>
      <c r="AI206" s="438" t="str">
        <f t="shared" ca="1" si="134"/>
        <v>-</v>
      </c>
      <c r="AJ206" s="438" t="str">
        <f t="shared" ca="1" si="135"/>
        <v>-</v>
      </c>
      <c r="AK206" s="439" t="str">
        <f ca="1">IFERROR(AE206*AD206*AL206/(IF(Cluster!AA225=Cluster!$W$8,Cluster!$W$10,IF(Cluster!AA225=Cluster!$X$8,Cluster!$X$10,IF(Cluster!AA225=Cluster!$Y$8,Cluster!$Y$10,0)))*10^3),"-")</f>
        <v>-</v>
      </c>
      <c r="AL206" s="440" t="str">
        <f ca="1">IFERROR(IF(OR(Calculation!T206&lt;(Calculation!$U$8+2),Calculation!AC206="Bypass"),IF((IF(Calculation!$O$6/((Calculation!AD206*10^-12)/(Calculation!T206*10^-9)*50)&lt;=1,1,ROUNDUP(Calculation!$O$6/((Calculation!AD206*10^-12)/(Calculation!T206*10^-9)*50),0))*50)&lt;Calculation!$AK$6,Calculation!$AK$6,IF(Calculation!$O$6/((Calculation!AD206*10^-12)/(Calculation!T206*10^-9)*50)&lt;=1,1,ROUNDUP(Calculation!$O$6/((Calculation!AD206*10^-12)/(Calculation!T206*10^-9)*50),0))*50),"-"),"-")</f>
        <v>-</v>
      </c>
      <c r="AM206" s="441" t="str">
        <f t="shared" ca="1" si="119"/>
        <v/>
      </c>
      <c r="AN206" s="442" t="str">
        <f t="shared" ca="1" si="119"/>
        <v/>
      </c>
      <c r="AO206" s="432">
        <f t="shared" ca="1" si="136"/>
        <v>384</v>
      </c>
      <c r="AP206" s="427" t="str">
        <f t="shared" ca="1" si="137"/>
        <v>-</v>
      </c>
      <c r="AQ206" s="443" t="str">
        <f t="shared" ca="1" si="138"/>
        <v>-</v>
      </c>
      <c r="AR206" s="444" t="str">
        <f t="shared" ca="1" si="139"/>
        <v>-</v>
      </c>
      <c r="AS206" s="430" t="str">
        <f t="shared" ca="1" si="140"/>
        <v>-</v>
      </c>
    </row>
    <row r="207" spans="1:45" ht="14.25" x14ac:dyDescent="0.65">
      <c r="A207" s="407">
        <v>199</v>
      </c>
      <c r="B207" s="408" t="str">
        <f t="shared" ca="1" si="121"/>
        <v/>
      </c>
      <c r="C207" s="408" t="str">
        <f ca="1">IFERROR(IF(G207="","",CONCATENATE(E207,"-",INDEX(Coordinate,MATCH(F207,ListAndConversion!$X$4:$X$99,0),2))),"")</f>
        <v/>
      </c>
      <c r="D207" s="408" t="str">
        <f t="shared" ca="1" si="116"/>
        <v/>
      </c>
      <c r="E207" s="408" t="str">
        <f t="shared" ca="1" si="116"/>
        <v/>
      </c>
      <c r="F207" s="408" t="str">
        <f t="shared" ca="1" si="116"/>
        <v/>
      </c>
      <c r="G207" s="408" t="str">
        <f ca="1">IFERROR(INDEX(ListAndConversion!A:B,MATCH(Calculation!E207,ListAndConversion!A:A,0),2),"")</f>
        <v/>
      </c>
      <c r="H207" s="408" t="str">
        <f>IF(TrackIT_Lines!AD199="","",TrackIT_Lines!AD199)</f>
        <v/>
      </c>
      <c r="I207" s="408" t="str">
        <f>IF(TrackIT_Lines!AD199="","",CONCATENATE(TrackIT_Lines!AD199,"-",TrackIT_Lines!AG199))</f>
        <v/>
      </c>
      <c r="J207" s="409" t="str">
        <f t="shared" ca="1" si="120"/>
        <v/>
      </c>
      <c r="K207" s="408" t="str">
        <f t="shared" ca="1" si="120"/>
        <v/>
      </c>
      <c r="L207" s="408" t="str">
        <f t="shared" ca="1" si="120"/>
        <v/>
      </c>
      <c r="M207" s="408" t="str">
        <f t="shared" ca="1" si="120"/>
        <v/>
      </c>
      <c r="N207" s="408" t="str">
        <f t="shared" ca="1" si="120"/>
        <v/>
      </c>
      <c r="O207" s="408" t="str">
        <f t="shared" ca="1" si="120"/>
        <v/>
      </c>
      <c r="P207" s="408" t="str">
        <f t="shared" ca="1" si="120"/>
        <v/>
      </c>
      <c r="Q207" s="408" t="str">
        <f t="shared" ca="1" si="120"/>
        <v/>
      </c>
      <c r="R207" s="410" t="str">
        <f ca="1">Cluster!J226</f>
        <v>Selection</v>
      </c>
      <c r="S207" s="411" t="str">
        <f t="shared" ca="1" si="122"/>
        <v>-</v>
      </c>
      <c r="T207" s="412" t="str">
        <f t="shared" ca="1" si="123"/>
        <v/>
      </c>
      <c r="U207" s="411" t="str">
        <f t="shared" ca="1" si="124"/>
        <v>-</v>
      </c>
      <c r="V207" s="411" t="str">
        <f t="shared" ca="1" si="125"/>
        <v>-</v>
      </c>
      <c r="W207" s="413">
        <f>Cluster!N226</f>
        <v>0</v>
      </c>
      <c r="X207" s="414" t="str">
        <f t="shared" ca="1" si="126"/>
        <v>-</v>
      </c>
      <c r="Y207" s="411" t="str">
        <f t="shared" ca="1" si="127"/>
        <v>-</v>
      </c>
      <c r="Z207" s="415" t="str">
        <f t="shared" ca="1" si="128"/>
        <v>-</v>
      </c>
      <c r="AA207" s="416" t="str">
        <f t="shared" ca="1" si="129"/>
        <v>-</v>
      </c>
      <c r="AB207" s="416" t="str">
        <f t="shared" ca="1" si="130"/>
        <v/>
      </c>
      <c r="AC207" s="434">
        <f>Cluster!Q226</f>
        <v>0</v>
      </c>
      <c r="AD207" s="435" t="str">
        <f t="shared" ca="1" si="118"/>
        <v/>
      </c>
      <c r="AE207" s="436" t="str">
        <f t="shared" ca="1" si="118"/>
        <v/>
      </c>
      <c r="AF207" s="437" t="str">
        <f t="shared" ca="1" si="131"/>
        <v>-</v>
      </c>
      <c r="AG207" s="438" t="str">
        <f t="shared" ca="1" si="132"/>
        <v>-</v>
      </c>
      <c r="AH207" s="437" t="str">
        <f t="shared" ca="1" si="133"/>
        <v>-</v>
      </c>
      <c r="AI207" s="438" t="str">
        <f t="shared" ca="1" si="134"/>
        <v>-</v>
      </c>
      <c r="AJ207" s="438" t="str">
        <f t="shared" ca="1" si="135"/>
        <v>-</v>
      </c>
      <c r="AK207" s="439" t="str">
        <f ca="1">IFERROR(AE207*AD207*AL207/(IF(Cluster!AA226=Cluster!$W$8,Cluster!$W$10,IF(Cluster!AA226=Cluster!$X$8,Cluster!$X$10,IF(Cluster!AA226=Cluster!$Y$8,Cluster!$Y$10,0)))*10^3),"-")</f>
        <v>-</v>
      </c>
      <c r="AL207" s="440" t="str">
        <f ca="1">IFERROR(IF(OR(Calculation!T207&lt;(Calculation!$U$8+2),Calculation!AC207="Bypass"),IF((IF(Calculation!$O$6/((Calculation!AD207*10^-12)/(Calculation!T207*10^-9)*50)&lt;=1,1,ROUNDUP(Calculation!$O$6/((Calculation!AD207*10^-12)/(Calculation!T207*10^-9)*50),0))*50)&lt;Calculation!$AK$6,Calculation!$AK$6,IF(Calculation!$O$6/((Calculation!AD207*10^-12)/(Calculation!T207*10^-9)*50)&lt;=1,1,ROUNDUP(Calculation!$O$6/((Calculation!AD207*10^-12)/(Calculation!T207*10^-9)*50),0))*50),"-"),"-")</f>
        <v>-</v>
      </c>
      <c r="AM207" s="441" t="str">
        <f t="shared" ca="1" si="119"/>
        <v/>
      </c>
      <c r="AN207" s="442" t="str">
        <f t="shared" ca="1" si="119"/>
        <v/>
      </c>
      <c r="AO207" s="432">
        <f t="shared" ca="1" si="136"/>
        <v>384</v>
      </c>
      <c r="AP207" s="427" t="str">
        <f t="shared" ca="1" si="137"/>
        <v>-</v>
      </c>
      <c r="AQ207" s="443" t="str">
        <f t="shared" ca="1" si="138"/>
        <v>-</v>
      </c>
      <c r="AR207" s="444" t="str">
        <f t="shared" ca="1" si="139"/>
        <v>-</v>
      </c>
      <c r="AS207" s="430" t="str">
        <f t="shared" ca="1" si="140"/>
        <v>-</v>
      </c>
    </row>
    <row r="208" spans="1:45" ht="14.25" x14ac:dyDescent="0.65">
      <c r="A208" s="407">
        <v>200</v>
      </c>
      <c r="B208" s="408" t="str">
        <f t="shared" ca="1" si="121"/>
        <v/>
      </c>
      <c r="C208" s="408" t="str">
        <f ca="1">IFERROR(IF(G208="","",CONCATENATE(E208,"-",INDEX(Coordinate,MATCH(F208,ListAndConversion!$X$4:$X$99,0),2))),"")</f>
        <v/>
      </c>
      <c r="D208" s="408" t="str">
        <f t="shared" ca="1" si="116"/>
        <v/>
      </c>
      <c r="E208" s="408" t="str">
        <f t="shared" ca="1" si="116"/>
        <v/>
      </c>
      <c r="F208" s="408" t="str">
        <f t="shared" ca="1" si="116"/>
        <v/>
      </c>
      <c r="G208" s="408" t="str">
        <f ca="1">IFERROR(INDEX(ListAndConversion!A:B,MATCH(Calculation!E208,ListAndConversion!A:A,0),2),"")</f>
        <v/>
      </c>
      <c r="H208" s="408" t="str">
        <f>IF(TrackIT_Lines!AD200="","",TrackIT_Lines!AD200)</f>
        <v/>
      </c>
      <c r="I208" s="408" t="str">
        <f>IF(TrackIT_Lines!AD200="","",CONCATENATE(TrackIT_Lines!AD200,"-",TrackIT_Lines!AG200))</f>
        <v/>
      </c>
      <c r="J208" s="409" t="str">
        <f t="shared" ca="1" si="120"/>
        <v/>
      </c>
      <c r="K208" s="408" t="str">
        <f t="shared" ca="1" si="120"/>
        <v/>
      </c>
      <c r="L208" s="408" t="str">
        <f t="shared" ca="1" si="120"/>
        <v/>
      </c>
      <c r="M208" s="408" t="str">
        <f t="shared" ca="1" si="120"/>
        <v/>
      </c>
      <c r="N208" s="408" t="str">
        <f t="shared" ca="1" si="120"/>
        <v/>
      </c>
      <c r="O208" s="408" t="str">
        <f t="shared" ca="1" si="120"/>
        <v/>
      </c>
      <c r="P208" s="408" t="str">
        <f t="shared" ca="1" si="120"/>
        <v/>
      </c>
      <c r="Q208" s="408" t="str">
        <f t="shared" ca="1" si="120"/>
        <v/>
      </c>
      <c r="R208" s="410" t="str">
        <f ca="1">Cluster!J227</f>
        <v>Selection</v>
      </c>
      <c r="S208" s="411" t="str">
        <f t="shared" ca="1" si="122"/>
        <v>-</v>
      </c>
      <c r="T208" s="412" t="str">
        <f t="shared" ca="1" si="123"/>
        <v/>
      </c>
      <c r="U208" s="411" t="str">
        <f t="shared" ca="1" si="124"/>
        <v>-</v>
      </c>
      <c r="V208" s="411" t="str">
        <f t="shared" ca="1" si="125"/>
        <v>-</v>
      </c>
      <c r="W208" s="413">
        <f>Cluster!N227</f>
        <v>0</v>
      </c>
      <c r="X208" s="414" t="str">
        <f t="shared" ca="1" si="126"/>
        <v>-</v>
      </c>
      <c r="Y208" s="411" t="str">
        <f t="shared" ca="1" si="127"/>
        <v>-</v>
      </c>
      <c r="Z208" s="415" t="str">
        <f t="shared" ca="1" si="128"/>
        <v>-</v>
      </c>
      <c r="AA208" s="416" t="str">
        <f t="shared" ca="1" si="129"/>
        <v>-</v>
      </c>
      <c r="AB208" s="416" t="str">
        <f t="shared" ca="1" si="130"/>
        <v/>
      </c>
      <c r="AC208" s="434">
        <f>Cluster!Q227</f>
        <v>0</v>
      </c>
      <c r="AD208" s="435" t="str">
        <f t="shared" ca="1" si="118"/>
        <v/>
      </c>
      <c r="AE208" s="436" t="str">
        <f t="shared" ca="1" si="118"/>
        <v/>
      </c>
      <c r="AF208" s="437" t="str">
        <f t="shared" ca="1" si="131"/>
        <v>-</v>
      </c>
      <c r="AG208" s="438" t="str">
        <f t="shared" ca="1" si="132"/>
        <v>-</v>
      </c>
      <c r="AH208" s="437" t="str">
        <f t="shared" ca="1" si="133"/>
        <v>-</v>
      </c>
      <c r="AI208" s="438" t="str">
        <f t="shared" ca="1" si="134"/>
        <v>-</v>
      </c>
      <c r="AJ208" s="438" t="str">
        <f t="shared" ca="1" si="135"/>
        <v>-</v>
      </c>
      <c r="AK208" s="439" t="str">
        <f ca="1">IFERROR(AE208*AD208*AL208/(IF(Cluster!AA227=Cluster!$W$8,Cluster!$W$10,IF(Cluster!AA227=Cluster!$X$8,Cluster!$X$10,IF(Cluster!AA227=Cluster!$Y$8,Cluster!$Y$10,0)))*10^3),"-")</f>
        <v>-</v>
      </c>
      <c r="AL208" s="440" t="str">
        <f ca="1">IFERROR(IF(OR(Calculation!T208&lt;(Calculation!$U$8+2),Calculation!AC208="Bypass"),IF((IF(Calculation!$O$6/((Calculation!AD208*10^-12)/(Calculation!T208*10^-9)*50)&lt;=1,1,ROUNDUP(Calculation!$O$6/((Calculation!AD208*10^-12)/(Calculation!T208*10^-9)*50),0))*50)&lt;Calculation!$AK$6,Calculation!$AK$6,IF(Calculation!$O$6/((Calculation!AD208*10^-12)/(Calculation!T208*10^-9)*50)&lt;=1,1,ROUNDUP(Calculation!$O$6/((Calculation!AD208*10^-12)/(Calculation!T208*10^-9)*50),0))*50),"-"),"-")</f>
        <v>-</v>
      </c>
      <c r="AM208" s="441" t="str">
        <f t="shared" ca="1" si="119"/>
        <v/>
      </c>
      <c r="AN208" s="442" t="str">
        <f t="shared" ca="1" si="119"/>
        <v/>
      </c>
      <c r="AO208" s="432">
        <f t="shared" ca="1" si="136"/>
        <v>384</v>
      </c>
      <c r="AP208" s="427" t="str">
        <f t="shared" ca="1" si="137"/>
        <v>-</v>
      </c>
      <c r="AQ208" s="443" t="str">
        <f t="shared" ca="1" si="138"/>
        <v>-</v>
      </c>
      <c r="AR208" s="444" t="str">
        <f t="shared" ca="1" si="139"/>
        <v>-</v>
      </c>
      <c r="AS208" s="430" t="str">
        <f t="shared" ca="1" si="140"/>
        <v>-</v>
      </c>
    </row>
    <row r="209" spans="1:45" ht="14.25" x14ac:dyDescent="0.65">
      <c r="A209" s="407">
        <v>201</v>
      </c>
      <c r="B209" s="408" t="str">
        <f t="shared" ca="1" si="121"/>
        <v/>
      </c>
      <c r="C209" s="408" t="str">
        <f ca="1">IFERROR(IF(G209="","",CONCATENATE(E209,"-",INDEX(Coordinate,MATCH(F209,ListAndConversion!$X$4:$X$99,0),2))),"")</f>
        <v/>
      </c>
      <c r="D209" s="408" t="str">
        <f t="shared" ca="1" si="116"/>
        <v/>
      </c>
      <c r="E209" s="408" t="str">
        <f t="shared" ca="1" si="116"/>
        <v/>
      </c>
      <c r="F209" s="408" t="str">
        <f t="shared" ca="1" si="116"/>
        <v/>
      </c>
      <c r="G209" s="408" t="str">
        <f ca="1">IFERROR(INDEX(ListAndConversion!A:B,MATCH(Calculation!E209,ListAndConversion!A:A,0),2),"")</f>
        <v/>
      </c>
      <c r="H209" s="408" t="str">
        <f>IF(TrackIT_Lines!AD201="","",TrackIT_Lines!AD201)</f>
        <v/>
      </c>
      <c r="I209" s="408" t="str">
        <f>IF(TrackIT_Lines!AD201="","",CONCATENATE(TrackIT_Lines!AD201,"-",TrackIT_Lines!AG201))</f>
        <v/>
      </c>
      <c r="J209" s="409" t="str">
        <f t="shared" ca="1" si="120"/>
        <v/>
      </c>
      <c r="K209" s="408" t="str">
        <f t="shared" ca="1" si="120"/>
        <v/>
      </c>
      <c r="L209" s="408" t="str">
        <f t="shared" ca="1" si="120"/>
        <v/>
      </c>
      <c r="M209" s="408" t="str">
        <f t="shared" ca="1" si="120"/>
        <v/>
      </c>
      <c r="N209" s="408" t="str">
        <f t="shared" ca="1" si="120"/>
        <v/>
      </c>
      <c r="O209" s="408" t="str">
        <f t="shared" ca="1" si="120"/>
        <v/>
      </c>
      <c r="P209" s="408" t="str">
        <f t="shared" ca="1" si="120"/>
        <v/>
      </c>
      <c r="Q209" s="408" t="str">
        <f t="shared" ca="1" si="120"/>
        <v/>
      </c>
      <c r="R209" s="410" t="str">
        <f ca="1">Cluster!J228</f>
        <v>Selection</v>
      </c>
      <c r="S209" s="411" t="str">
        <f t="shared" ca="1" si="122"/>
        <v>-</v>
      </c>
      <c r="T209" s="412" t="str">
        <f t="shared" ca="1" si="123"/>
        <v/>
      </c>
      <c r="U209" s="411" t="str">
        <f t="shared" ca="1" si="124"/>
        <v>-</v>
      </c>
      <c r="V209" s="411" t="str">
        <f t="shared" ca="1" si="125"/>
        <v>-</v>
      </c>
      <c r="W209" s="413">
        <f>Cluster!N228</f>
        <v>0</v>
      </c>
      <c r="X209" s="414" t="str">
        <f t="shared" ca="1" si="126"/>
        <v>-</v>
      </c>
      <c r="Y209" s="411" t="str">
        <f t="shared" ca="1" si="127"/>
        <v>-</v>
      </c>
      <c r="Z209" s="415" t="str">
        <f t="shared" ca="1" si="128"/>
        <v>-</v>
      </c>
      <c r="AA209" s="416" t="str">
        <f t="shared" ca="1" si="129"/>
        <v>-</v>
      </c>
      <c r="AB209" s="416" t="str">
        <f t="shared" ca="1" si="130"/>
        <v/>
      </c>
      <c r="AC209" s="434">
        <f>Cluster!Q228</f>
        <v>0</v>
      </c>
      <c r="AD209" s="435" t="str">
        <f t="shared" ca="1" si="118"/>
        <v/>
      </c>
      <c r="AE209" s="436" t="str">
        <f t="shared" ca="1" si="118"/>
        <v/>
      </c>
      <c r="AF209" s="437" t="str">
        <f t="shared" ca="1" si="131"/>
        <v>-</v>
      </c>
      <c r="AG209" s="438" t="str">
        <f t="shared" ca="1" si="132"/>
        <v>-</v>
      </c>
      <c r="AH209" s="437" t="str">
        <f t="shared" ca="1" si="133"/>
        <v>-</v>
      </c>
      <c r="AI209" s="438" t="str">
        <f t="shared" ca="1" si="134"/>
        <v>-</v>
      </c>
      <c r="AJ209" s="438" t="str">
        <f t="shared" ca="1" si="135"/>
        <v>-</v>
      </c>
      <c r="AK209" s="439" t="str">
        <f ca="1">IFERROR(AE209*AD209*AL209/(IF(Cluster!AA228=Cluster!$W$8,Cluster!$W$10,IF(Cluster!AA228=Cluster!$X$8,Cluster!$X$10,IF(Cluster!AA228=Cluster!$Y$8,Cluster!$Y$10,0)))*10^3),"-")</f>
        <v>-</v>
      </c>
      <c r="AL209" s="440" t="str">
        <f ca="1">IFERROR(IF(OR(Calculation!T209&lt;(Calculation!$U$8+2),Calculation!AC209="Bypass"),IF((IF(Calculation!$O$6/((Calculation!AD209*10^-12)/(Calculation!T209*10^-9)*50)&lt;=1,1,ROUNDUP(Calculation!$O$6/((Calculation!AD209*10^-12)/(Calculation!T209*10^-9)*50),0))*50)&lt;Calculation!$AK$6,Calculation!$AK$6,IF(Calculation!$O$6/((Calculation!AD209*10^-12)/(Calculation!T209*10^-9)*50)&lt;=1,1,ROUNDUP(Calculation!$O$6/((Calculation!AD209*10^-12)/(Calculation!T209*10^-9)*50),0))*50),"-"),"-")</f>
        <v>-</v>
      </c>
      <c r="AM209" s="441" t="str">
        <f t="shared" ca="1" si="119"/>
        <v/>
      </c>
      <c r="AN209" s="442" t="str">
        <f t="shared" ca="1" si="119"/>
        <v/>
      </c>
      <c r="AO209" s="432">
        <f t="shared" ca="1" si="136"/>
        <v>384</v>
      </c>
      <c r="AP209" s="427" t="str">
        <f t="shared" ca="1" si="137"/>
        <v>-</v>
      </c>
      <c r="AQ209" s="443" t="str">
        <f t="shared" ca="1" si="138"/>
        <v>-</v>
      </c>
      <c r="AR209" s="444" t="str">
        <f t="shared" ca="1" si="139"/>
        <v>-</v>
      </c>
      <c r="AS209" s="430" t="str">
        <f t="shared" ca="1" si="140"/>
        <v>-</v>
      </c>
    </row>
    <row r="210" spans="1:45" ht="14.25" x14ac:dyDescent="0.65">
      <c r="A210" s="407">
        <v>202</v>
      </c>
      <c r="B210" s="408" t="str">
        <f t="shared" ca="1" si="121"/>
        <v/>
      </c>
      <c r="C210" s="408" t="str">
        <f ca="1">IFERROR(IF(G210="","",CONCATENATE(E210,"-",INDEX(Coordinate,MATCH(F210,ListAndConversion!$X$4:$X$99,0),2))),"")</f>
        <v/>
      </c>
      <c r="D210" s="408" t="str">
        <f t="shared" ref="D210:F229" ca="1" si="141">IF((INDIRECT("TrackIT_Lines!"&amp;D$2&amp;$A210))="","", (INDIRECT("TrackIT_Lines!"&amp;D$2&amp;$A210)))</f>
        <v/>
      </c>
      <c r="E210" s="408" t="str">
        <f t="shared" ca="1" si="141"/>
        <v/>
      </c>
      <c r="F210" s="408" t="str">
        <f t="shared" ca="1" si="141"/>
        <v/>
      </c>
      <c r="G210" s="408" t="str">
        <f ca="1">IFERROR(INDEX(ListAndConversion!A:B,MATCH(Calculation!E210,ListAndConversion!A:A,0),2),"")</f>
        <v/>
      </c>
      <c r="H210" s="408" t="str">
        <f>IF(TrackIT_Lines!AD202="","",TrackIT_Lines!AD202)</f>
        <v/>
      </c>
      <c r="I210" s="408" t="str">
        <f>IF(TrackIT_Lines!AD202="","",CONCATENATE(TrackIT_Lines!AD202,"-",TrackIT_Lines!AG202))</f>
        <v/>
      </c>
      <c r="J210" s="409" t="str">
        <f t="shared" ref="J210:Q219" ca="1" si="142">IF((INDIRECT("TrackIT_Lines!"&amp;J$2&amp;$A210))="","", (INDIRECT("TrackIT_Lines!"&amp;J$2&amp;$A210)))</f>
        <v/>
      </c>
      <c r="K210" s="408" t="str">
        <f t="shared" ca="1" si="142"/>
        <v/>
      </c>
      <c r="L210" s="408" t="str">
        <f t="shared" ca="1" si="142"/>
        <v/>
      </c>
      <c r="M210" s="408" t="str">
        <f t="shared" ca="1" si="142"/>
        <v/>
      </c>
      <c r="N210" s="408" t="str">
        <f t="shared" ca="1" si="142"/>
        <v/>
      </c>
      <c r="O210" s="408" t="str">
        <f t="shared" ca="1" si="142"/>
        <v/>
      </c>
      <c r="P210" s="408" t="str">
        <f t="shared" ca="1" si="142"/>
        <v/>
      </c>
      <c r="Q210" s="408" t="str">
        <f t="shared" ca="1" si="142"/>
        <v/>
      </c>
      <c r="R210" s="410" t="str">
        <f ca="1">Cluster!J229</f>
        <v>Selection</v>
      </c>
      <c r="S210" s="411" t="str">
        <f t="shared" ca="1" si="122"/>
        <v>-</v>
      </c>
      <c r="T210" s="412" t="str">
        <f t="shared" ca="1" si="123"/>
        <v/>
      </c>
      <c r="U210" s="411" t="str">
        <f t="shared" ca="1" si="124"/>
        <v>-</v>
      </c>
      <c r="V210" s="411" t="str">
        <f t="shared" ca="1" si="125"/>
        <v>-</v>
      </c>
      <c r="W210" s="413">
        <f>Cluster!N229</f>
        <v>0</v>
      </c>
      <c r="X210" s="414" t="str">
        <f t="shared" ca="1" si="126"/>
        <v>-</v>
      </c>
      <c r="Y210" s="411" t="str">
        <f t="shared" ca="1" si="127"/>
        <v>-</v>
      </c>
      <c r="Z210" s="415" t="str">
        <f t="shared" ca="1" si="128"/>
        <v>-</v>
      </c>
      <c r="AA210" s="416" t="str">
        <f t="shared" ca="1" si="129"/>
        <v>-</v>
      </c>
      <c r="AB210" s="416" t="str">
        <f t="shared" ca="1" si="130"/>
        <v/>
      </c>
      <c r="AC210" s="434">
        <f>Cluster!Q229</f>
        <v>0</v>
      </c>
      <c r="AD210" s="435" t="str">
        <f t="shared" ref="AD210:AE229" ca="1" si="143">IF((INDIRECT("TrackIT_Lines!"&amp;AD$2&amp;$A210))="","", (INDIRECT("TrackIT_Lines!"&amp;AD$2&amp;$A210)))</f>
        <v/>
      </c>
      <c r="AE210" s="436" t="str">
        <f t="shared" ca="1" si="143"/>
        <v/>
      </c>
      <c r="AF210" s="437" t="str">
        <f t="shared" ca="1" si="131"/>
        <v>-</v>
      </c>
      <c r="AG210" s="438" t="str">
        <f t="shared" ca="1" si="132"/>
        <v>-</v>
      </c>
      <c r="AH210" s="437" t="str">
        <f t="shared" ca="1" si="133"/>
        <v>-</v>
      </c>
      <c r="AI210" s="438" t="str">
        <f t="shared" ca="1" si="134"/>
        <v>-</v>
      </c>
      <c r="AJ210" s="438" t="str">
        <f t="shared" ca="1" si="135"/>
        <v>-</v>
      </c>
      <c r="AK210" s="439" t="str">
        <f ca="1">IFERROR(AE210*AD210*AL210/(IF(Cluster!AA229=Cluster!$W$8,Cluster!$W$10,IF(Cluster!AA229=Cluster!$X$8,Cluster!$X$10,IF(Cluster!AA229=Cluster!$Y$8,Cluster!$Y$10,0)))*10^3),"-")</f>
        <v>-</v>
      </c>
      <c r="AL210" s="440" t="str">
        <f ca="1">IFERROR(IF(OR(Calculation!T210&lt;(Calculation!$U$8+2),Calculation!AC210="Bypass"),IF((IF(Calculation!$O$6/((Calculation!AD210*10^-12)/(Calculation!T210*10^-9)*50)&lt;=1,1,ROUNDUP(Calculation!$O$6/((Calculation!AD210*10^-12)/(Calculation!T210*10^-9)*50),0))*50)&lt;Calculation!$AK$6,Calculation!$AK$6,IF(Calculation!$O$6/((Calculation!AD210*10^-12)/(Calculation!T210*10^-9)*50)&lt;=1,1,ROUNDUP(Calculation!$O$6/((Calculation!AD210*10^-12)/(Calculation!T210*10^-9)*50),0))*50),"-"),"-")</f>
        <v>-</v>
      </c>
      <c r="AM210" s="441" t="str">
        <f t="shared" ref="AM210:AN229" ca="1" si="144">IF((INDIRECT("TrackIT_Lines!"&amp;AM$2&amp;$A210))="","", (INDIRECT("TrackIT_Lines!"&amp;AM$2&amp;$A210)))</f>
        <v/>
      </c>
      <c r="AN210" s="442" t="str">
        <f t="shared" ca="1" si="144"/>
        <v/>
      </c>
      <c r="AO210" s="432">
        <f t="shared" ca="1" si="136"/>
        <v>384</v>
      </c>
      <c r="AP210" s="427" t="str">
        <f t="shared" ca="1" si="137"/>
        <v>-</v>
      </c>
      <c r="AQ210" s="443" t="str">
        <f t="shared" ca="1" si="138"/>
        <v>-</v>
      </c>
      <c r="AR210" s="444" t="str">
        <f t="shared" ca="1" si="139"/>
        <v>-</v>
      </c>
      <c r="AS210" s="430" t="str">
        <f t="shared" ca="1" si="140"/>
        <v>-</v>
      </c>
    </row>
    <row r="211" spans="1:45" ht="14.25" x14ac:dyDescent="0.65">
      <c r="A211" s="407">
        <v>203</v>
      </c>
      <c r="B211" s="408" t="str">
        <f t="shared" ca="1" si="121"/>
        <v/>
      </c>
      <c r="C211" s="408" t="str">
        <f ca="1">IFERROR(IF(G211="","",CONCATENATE(E211,"-",INDEX(Coordinate,MATCH(F211,ListAndConversion!$X$4:$X$99,0),2))),"")</f>
        <v/>
      </c>
      <c r="D211" s="408" t="str">
        <f t="shared" ca="1" si="141"/>
        <v/>
      </c>
      <c r="E211" s="408" t="str">
        <f t="shared" ca="1" si="141"/>
        <v/>
      </c>
      <c r="F211" s="408" t="str">
        <f t="shared" ca="1" si="141"/>
        <v/>
      </c>
      <c r="G211" s="408" t="str">
        <f ca="1">IFERROR(INDEX(ListAndConversion!A:B,MATCH(Calculation!E211,ListAndConversion!A:A,0),2),"")</f>
        <v/>
      </c>
      <c r="H211" s="408" t="str">
        <f>IF(TrackIT_Lines!AD203="","",TrackIT_Lines!AD203)</f>
        <v/>
      </c>
      <c r="I211" s="408" t="str">
        <f>IF(TrackIT_Lines!AD203="","",CONCATENATE(TrackIT_Lines!AD203,"-",TrackIT_Lines!AG203))</f>
        <v/>
      </c>
      <c r="J211" s="409" t="str">
        <f t="shared" ca="1" si="142"/>
        <v/>
      </c>
      <c r="K211" s="408" t="str">
        <f t="shared" ca="1" si="142"/>
        <v/>
      </c>
      <c r="L211" s="408" t="str">
        <f t="shared" ca="1" si="142"/>
        <v/>
      </c>
      <c r="M211" s="408" t="str">
        <f t="shared" ca="1" si="142"/>
        <v/>
      </c>
      <c r="N211" s="408" t="str">
        <f t="shared" ca="1" si="142"/>
        <v/>
      </c>
      <c r="O211" s="408" t="str">
        <f t="shared" ca="1" si="142"/>
        <v/>
      </c>
      <c r="P211" s="408" t="str">
        <f t="shared" ca="1" si="142"/>
        <v/>
      </c>
      <c r="Q211" s="408" t="str">
        <f t="shared" ca="1" si="142"/>
        <v/>
      </c>
      <c r="R211" s="410" t="str">
        <f ca="1">Cluster!J230</f>
        <v>Selection</v>
      </c>
      <c r="S211" s="411" t="str">
        <f t="shared" ca="1" si="122"/>
        <v>-</v>
      </c>
      <c r="T211" s="412" t="str">
        <f t="shared" ca="1" si="123"/>
        <v/>
      </c>
      <c r="U211" s="411" t="str">
        <f t="shared" ca="1" si="124"/>
        <v>-</v>
      </c>
      <c r="V211" s="411" t="str">
        <f t="shared" ca="1" si="125"/>
        <v>-</v>
      </c>
      <c r="W211" s="413">
        <f>Cluster!N230</f>
        <v>0</v>
      </c>
      <c r="X211" s="414" t="str">
        <f t="shared" ca="1" si="126"/>
        <v>-</v>
      </c>
      <c r="Y211" s="411" t="str">
        <f t="shared" ca="1" si="127"/>
        <v>-</v>
      </c>
      <c r="Z211" s="415" t="str">
        <f t="shared" ca="1" si="128"/>
        <v>-</v>
      </c>
      <c r="AA211" s="416" t="str">
        <f t="shared" ca="1" si="129"/>
        <v>-</v>
      </c>
      <c r="AB211" s="416" t="str">
        <f t="shared" ca="1" si="130"/>
        <v/>
      </c>
      <c r="AC211" s="434">
        <f>Cluster!Q230</f>
        <v>0</v>
      </c>
      <c r="AD211" s="435" t="str">
        <f t="shared" ca="1" si="143"/>
        <v/>
      </c>
      <c r="AE211" s="436" t="str">
        <f t="shared" ca="1" si="143"/>
        <v/>
      </c>
      <c r="AF211" s="437" t="str">
        <f t="shared" ca="1" si="131"/>
        <v>-</v>
      </c>
      <c r="AG211" s="438" t="str">
        <f t="shared" ca="1" si="132"/>
        <v>-</v>
      </c>
      <c r="AH211" s="437" t="str">
        <f t="shared" ca="1" si="133"/>
        <v>-</v>
      </c>
      <c r="AI211" s="438" t="str">
        <f t="shared" ca="1" si="134"/>
        <v>-</v>
      </c>
      <c r="AJ211" s="438" t="str">
        <f t="shared" ca="1" si="135"/>
        <v>-</v>
      </c>
      <c r="AK211" s="439" t="str">
        <f ca="1">IFERROR(AE211*AD211*AL211/(IF(Cluster!AA230=Cluster!$W$8,Cluster!$W$10,IF(Cluster!AA230=Cluster!$X$8,Cluster!$X$10,IF(Cluster!AA230=Cluster!$Y$8,Cluster!$Y$10,0)))*10^3),"-")</f>
        <v>-</v>
      </c>
      <c r="AL211" s="440" t="str">
        <f ca="1">IFERROR(IF(OR(Calculation!T211&lt;(Calculation!$U$8+2),Calculation!AC211="Bypass"),IF((IF(Calculation!$O$6/((Calculation!AD211*10^-12)/(Calculation!T211*10^-9)*50)&lt;=1,1,ROUNDUP(Calculation!$O$6/((Calculation!AD211*10^-12)/(Calculation!T211*10^-9)*50),0))*50)&lt;Calculation!$AK$6,Calculation!$AK$6,IF(Calculation!$O$6/((Calculation!AD211*10^-12)/(Calculation!T211*10^-9)*50)&lt;=1,1,ROUNDUP(Calculation!$O$6/((Calculation!AD211*10^-12)/(Calculation!T211*10^-9)*50),0))*50),"-"),"-")</f>
        <v>-</v>
      </c>
      <c r="AM211" s="441" t="str">
        <f t="shared" ca="1" si="144"/>
        <v/>
      </c>
      <c r="AN211" s="442" t="str">
        <f t="shared" ca="1" si="144"/>
        <v/>
      </c>
      <c r="AO211" s="432">
        <f t="shared" ca="1" si="136"/>
        <v>384</v>
      </c>
      <c r="AP211" s="427" t="str">
        <f t="shared" ca="1" si="137"/>
        <v>-</v>
      </c>
      <c r="AQ211" s="443" t="str">
        <f t="shared" ca="1" si="138"/>
        <v>-</v>
      </c>
      <c r="AR211" s="444" t="str">
        <f t="shared" ca="1" si="139"/>
        <v>-</v>
      </c>
      <c r="AS211" s="430" t="str">
        <f t="shared" ca="1" si="140"/>
        <v>-</v>
      </c>
    </row>
    <row r="212" spans="1:45" ht="14.25" x14ac:dyDescent="0.65">
      <c r="A212" s="407">
        <v>204</v>
      </c>
      <c r="B212" s="408" t="str">
        <f t="shared" ca="1" si="121"/>
        <v/>
      </c>
      <c r="C212" s="408" t="str">
        <f ca="1">IFERROR(IF(G212="","",CONCATENATE(E212,"-",INDEX(Coordinate,MATCH(F212,ListAndConversion!$X$4:$X$99,0),2))),"")</f>
        <v/>
      </c>
      <c r="D212" s="408" t="str">
        <f t="shared" ca="1" si="141"/>
        <v/>
      </c>
      <c r="E212" s="408" t="str">
        <f t="shared" ca="1" si="141"/>
        <v/>
      </c>
      <c r="F212" s="408" t="str">
        <f t="shared" ca="1" si="141"/>
        <v/>
      </c>
      <c r="G212" s="408" t="str">
        <f ca="1">IFERROR(INDEX(ListAndConversion!A:B,MATCH(Calculation!E212,ListAndConversion!A:A,0),2),"")</f>
        <v/>
      </c>
      <c r="H212" s="408" t="str">
        <f>IF(TrackIT_Lines!AD204="","",TrackIT_Lines!AD204)</f>
        <v/>
      </c>
      <c r="I212" s="408" t="str">
        <f>IF(TrackIT_Lines!AD204="","",CONCATENATE(TrackIT_Lines!AD204,"-",TrackIT_Lines!AG204))</f>
        <v/>
      </c>
      <c r="J212" s="409" t="str">
        <f t="shared" ca="1" si="142"/>
        <v/>
      </c>
      <c r="K212" s="408" t="str">
        <f t="shared" ca="1" si="142"/>
        <v/>
      </c>
      <c r="L212" s="408" t="str">
        <f t="shared" ca="1" si="142"/>
        <v/>
      </c>
      <c r="M212" s="408" t="str">
        <f t="shared" ca="1" si="142"/>
        <v/>
      </c>
      <c r="N212" s="408" t="str">
        <f t="shared" ca="1" si="142"/>
        <v/>
      </c>
      <c r="O212" s="408" t="str">
        <f t="shared" ca="1" si="142"/>
        <v/>
      </c>
      <c r="P212" s="408" t="str">
        <f t="shared" ca="1" si="142"/>
        <v/>
      </c>
      <c r="Q212" s="408" t="str">
        <f t="shared" ca="1" si="142"/>
        <v/>
      </c>
      <c r="R212" s="410" t="str">
        <f ca="1">Cluster!J231</f>
        <v>Selection</v>
      </c>
      <c r="S212" s="411" t="str">
        <f t="shared" ca="1" si="122"/>
        <v>-</v>
      </c>
      <c r="T212" s="412" t="str">
        <f t="shared" ca="1" si="123"/>
        <v/>
      </c>
      <c r="U212" s="411" t="str">
        <f t="shared" ca="1" si="124"/>
        <v>-</v>
      </c>
      <c r="V212" s="411" t="str">
        <f t="shared" ca="1" si="125"/>
        <v>-</v>
      </c>
      <c r="W212" s="413">
        <f>Cluster!N231</f>
        <v>0</v>
      </c>
      <c r="X212" s="414" t="str">
        <f t="shared" ca="1" si="126"/>
        <v>-</v>
      </c>
      <c r="Y212" s="411" t="str">
        <f t="shared" ca="1" si="127"/>
        <v>-</v>
      </c>
      <c r="Z212" s="415" t="str">
        <f t="shared" ca="1" si="128"/>
        <v>-</v>
      </c>
      <c r="AA212" s="416" t="str">
        <f t="shared" ca="1" si="129"/>
        <v>-</v>
      </c>
      <c r="AB212" s="416" t="str">
        <f t="shared" ca="1" si="130"/>
        <v/>
      </c>
      <c r="AC212" s="434">
        <f>Cluster!Q231</f>
        <v>0</v>
      </c>
      <c r="AD212" s="435" t="str">
        <f t="shared" ca="1" si="143"/>
        <v/>
      </c>
      <c r="AE212" s="436" t="str">
        <f t="shared" ca="1" si="143"/>
        <v/>
      </c>
      <c r="AF212" s="437" t="str">
        <f t="shared" ca="1" si="131"/>
        <v>-</v>
      </c>
      <c r="AG212" s="438" t="str">
        <f t="shared" ca="1" si="132"/>
        <v>-</v>
      </c>
      <c r="AH212" s="437" t="str">
        <f t="shared" ca="1" si="133"/>
        <v>-</v>
      </c>
      <c r="AI212" s="438" t="str">
        <f t="shared" ca="1" si="134"/>
        <v>-</v>
      </c>
      <c r="AJ212" s="438" t="str">
        <f t="shared" ca="1" si="135"/>
        <v>-</v>
      </c>
      <c r="AK212" s="439" t="str">
        <f ca="1">IFERROR(AE212*AD212*AL212/(IF(Cluster!AA231=Cluster!$W$8,Cluster!$W$10,IF(Cluster!AA231=Cluster!$X$8,Cluster!$X$10,IF(Cluster!AA231=Cluster!$Y$8,Cluster!$Y$10,0)))*10^3),"-")</f>
        <v>-</v>
      </c>
      <c r="AL212" s="440" t="str">
        <f ca="1">IFERROR(IF(OR(Calculation!T212&lt;(Calculation!$U$8+2),Calculation!AC212="Bypass"),IF((IF(Calculation!$O$6/((Calculation!AD212*10^-12)/(Calculation!T212*10^-9)*50)&lt;=1,1,ROUNDUP(Calculation!$O$6/((Calculation!AD212*10^-12)/(Calculation!T212*10^-9)*50),0))*50)&lt;Calculation!$AK$6,Calculation!$AK$6,IF(Calculation!$O$6/((Calculation!AD212*10^-12)/(Calculation!T212*10^-9)*50)&lt;=1,1,ROUNDUP(Calculation!$O$6/((Calculation!AD212*10^-12)/(Calculation!T212*10^-9)*50),0))*50),"-"),"-")</f>
        <v>-</v>
      </c>
      <c r="AM212" s="441" t="str">
        <f t="shared" ca="1" si="144"/>
        <v/>
      </c>
      <c r="AN212" s="442" t="str">
        <f t="shared" ca="1" si="144"/>
        <v/>
      </c>
      <c r="AO212" s="432">
        <f t="shared" ca="1" si="136"/>
        <v>384</v>
      </c>
      <c r="AP212" s="427" t="str">
        <f t="shared" ca="1" si="137"/>
        <v>-</v>
      </c>
      <c r="AQ212" s="443" t="str">
        <f t="shared" ca="1" si="138"/>
        <v>-</v>
      </c>
      <c r="AR212" s="444" t="str">
        <f t="shared" ca="1" si="139"/>
        <v>-</v>
      </c>
      <c r="AS212" s="430" t="str">
        <f t="shared" ca="1" si="140"/>
        <v>-</v>
      </c>
    </row>
    <row r="213" spans="1:45" ht="14.25" x14ac:dyDescent="0.65">
      <c r="A213" s="407">
        <v>205</v>
      </c>
      <c r="B213" s="408" t="str">
        <f t="shared" ca="1" si="121"/>
        <v/>
      </c>
      <c r="C213" s="408" t="str">
        <f ca="1">IFERROR(IF(G213="","",CONCATENATE(E213,"-",INDEX(Coordinate,MATCH(F213,ListAndConversion!$X$4:$X$99,0),2))),"")</f>
        <v/>
      </c>
      <c r="D213" s="408" t="str">
        <f t="shared" ca="1" si="141"/>
        <v/>
      </c>
      <c r="E213" s="408" t="str">
        <f t="shared" ca="1" si="141"/>
        <v/>
      </c>
      <c r="F213" s="408" t="str">
        <f t="shared" ca="1" si="141"/>
        <v/>
      </c>
      <c r="G213" s="408" t="str">
        <f ca="1">IFERROR(INDEX(ListAndConversion!A:B,MATCH(Calculation!E213,ListAndConversion!A:A,0),2),"")</f>
        <v/>
      </c>
      <c r="H213" s="408" t="str">
        <f>IF(TrackIT_Lines!AD205="","",TrackIT_Lines!AD205)</f>
        <v/>
      </c>
      <c r="I213" s="408" t="str">
        <f>IF(TrackIT_Lines!AD205="","",CONCATENATE(TrackIT_Lines!AD205,"-",TrackIT_Lines!AG205))</f>
        <v/>
      </c>
      <c r="J213" s="409" t="str">
        <f t="shared" ca="1" si="142"/>
        <v/>
      </c>
      <c r="K213" s="408" t="str">
        <f t="shared" ca="1" si="142"/>
        <v/>
      </c>
      <c r="L213" s="408" t="str">
        <f t="shared" ca="1" si="142"/>
        <v/>
      </c>
      <c r="M213" s="408" t="str">
        <f t="shared" ca="1" si="142"/>
        <v/>
      </c>
      <c r="N213" s="408" t="str">
        <f t="shared" ca="1" si="142"/>
        <v/>
      </c>
      <c r="O213" s="408" t="str">
        <f t="shared" ca="1" si="142"/>
        <v/>
      </c>
      <c r="P213" s="408" t="str">
        <f t="shared" ca="1" si="142"/>
        <v/>
      </c>
      <c r="Q213" s="408" t="str">
        <f t="shared" ca="1" si="142"/>
        <v/>
      </c>
      <c r="R213" s="410" t="str">
        <f ca="1">Cluster!J232</f>
        <v>Selection</v>
      </c>
      <c r="S213" s="411" t="str">
        <f t="shared" ca="1" si="122"/>
        <v>-</v>
      </c>
      <c r="T213" s="412" t="str">
        <f t="shared" ca="1" si="123"/>
        <v/>
      </c>
      <c r="U213" s="411" t="str">
        <f t="shared" ca="1" si="124"/>
        <v>-</v>
      </c>
      <c r="V213" s="411" t="str">
        <f t="shared" ca="1" si="125"/>
        <v>-</v>
      </c>
      <c r="W213" s="413">
        <f>Cluster!N232</f>
        <v>0</v>
      </c>
      <c r="X213" s="414" t="str">
        <f t="shared" ca="1" si="126"/>
        <v>-</v>
      </c>
      <c r="Y213" s="411" t="str">
        <f t="shared" ca="1" si="127"/>
        <v>-</v>
      </c>
      <c r="Z213" s="415" t="str">
        <f t="shared" ca="1" si="128"/>
        <v>-</v>
      </c>
      <c r="AA213" s="416" t="str">
        <f t="shared" ca="1" si="129"/>
        <v>-</v>
      </c>
      <c r="AB213" s="416" t="str">
        <f t="shared" ca="1" si="130"/>
        <v/>
      </c>
      <c r="AC213" s="434">
        <f>Cluster!Q232</f>
        <v>0</v>
      </c>
      <c r="AD213" s="435" t="str">
        <f t="shared" ca="1" si="143"/>
        <v/>
      </c>
      <c r="AE213" s="436" t="str">
        <f t="shared" ca="1" si="143"/>
        <v/>
      </c>
      <c r="AF213" s="437" t="str">
        <f t="shared" ca="1" si="131"/>
        <v>-</v>
      </c>
      <c r="AG213" s="438" t="str">
        <f t="shared" ca="1" si="132"/>
        <v>-</v>
      </c>
      <c r="AH213" s="437" t="str">
        <f t="shared" ca="1" si="133"/>
        <v>-</v>
      </c>
      <c r="AI213" s="438" t="str">
        <f t="shared" ca="1" si="134"/>
        <v>-</v>
      </c>
      <c r="AJ213" s="438" t="str">
        <f t="shared" ca="1" si="135"/>
        <v>-</v>
      </c>
      <c r="AK213" s="439" t="str">
        <f ca="1">IFERROR(AE213*AD213*AL213/(IF(Cluster!AA232=Cluster!$W$8,Cluster!$W$10,IF(Cluster!AA232=Cluster!$X$8,Cluster!$X$10,IF(Cluster!AA232=Cluster!$Y$8,Cluster!$Y$10,0)))*10^3),"-")</f>
        <v>-</v>
      </c>
      <c r="AL213" s="440" t="str">
        <f ca="1">IFERROR(IF(OR(Calculation!T213&lt;(Calculation!$U$8+2),Calculation!AC213="Bypass"),IF((IF(Calculation!$O$6/((Calculation!AD213*10^-12)/(Calculation!T213*10^-9)*50)&lt;=1,1,ROUNDUP(Calculation!$O$6/((Calculation!AD213*10^-12)/(Calculation!T213*10^-9)*50),0))*50)&lt;Calculation!$AK$6,Calculation!$AK$6,IF(Calculation!$O$6/((Calculation!AD213*10^-12)/(Calculation!T213*10^-9)*50)&lt;=1,1,ROUNDUP(Calculation!$O$6/((Calculation!AD213*10^-12)/(Calculation!T213*10^-9)*50),0))*50),"-"),"-")</f>
        <v>-</v>
      </c>
      <c r="AM213" s="441" t="str">
        <f t="shared" ca="1" si="144"/>
        <v/>
      </c>
      <c r="AN213" s="442" t="str">
        <f t="shared" ca="1" si="144"/>
        <v/>
      </c>
      <c r="AO213" s="432">
        <f t="shared" ca="1" si="136"/>
        <v>384</v>
      </c>
      <c r="AP213" s="427" t="str">
        <f t="shared" ca="1" si="137"/>
        <v>-</v>
      </c>
      <c r="AQ213" s="443" t="str">
        <f t="shared" ca="1" si="138"/>
        <v>-</v>
      </c>
      <c r="AR213" s="444" t="str">
        <f t="shared" ca="1" si="139"/>
        <v>-</v>
      </c>
      <c r="AS213" s="430" t="str">
        <f t="shared" ca="1" si="140"/>
        <v>-</v>
      </c>
    </row>
    <row r="214" spans="1:45" ht="14.25" x14ac:dyDescent="0.65">
      <c r="A214" s="407">
        <v>206</v>
      </c>
      <c r="B214" s="408" t="str">
        <f t="shared" ca="1" si="121"/>
        <v/>
      </c>
      <c r="C214" s="408" t="str">
        <f ca="1">IFERROR(IF(G214="","",CONCATENATE(E214,"-",INDEX(Coordinate,MATCH(F214,ListAndConversion!$X$4:$X$99,0),2))),"")</f>
        <v/>
      </c>
      <c r="D214" s="408" t="str">
        <f t="shared" ca="1" si="141"/>
        <v/>
      </c>
      <c r="E214" s="408" t="str">
        <f t="shared" ca="1" si="141"/>
        <v/>
      </c>
      <c r="F214" s="408" t="str">
        <f t="shared" ca="1" si="141"/>
        <v/>
      </c>
      <c r="G214" s="408" t="str">
        <f ca="1">IFERROR(INDEX(ListAndConversion!A:B,MATCH(Calculation!E214,ListAndConversion!A:A,0),2),"")</f>
        <v/>
      </c>
      <c r="H214" s="408" t="str">
        <f>IF(TrackIT_Lines!AD206="","",TrackIT_Lines!AD206)</f>
        <v/>
      </c>
      <c r="I214" s="408" t="str">
        <f>IF(TrackIT_Lines!AD206="","",CONCATENATE(TrackIT_Lines!AD206,"-",TrackIT_Lines!AG206))</f>
        <v/>
      </c>
      <c r="J214" s="409" t="str">
        <f t="shared" ca="1" si="142"/>
        <v/>
      </c>
      <c r="K214" s="408" t="str">
        <f t="shared" ca="1" si="142"/>
        <v/>
      </c>
      <c r="L214" s="408" t="str">
        <f t="shared" ca="1" si="142"/>
        <v/>
      </c>
      <c r="M214" s="408" t="str">
        <f t="shared" ca="1" si="142"/>
        <v/>
      </c>
      <c r="N214" s="408" t="str">
        <f t="shared" ca="1" si="142"/>
        <v/>
      </c>
      <c r="O214" s="408" t="str">
        <f t="shared" ca="1" si="142"/>
        <v/>
      </c>
      <c r="P214" s="408" t="str">
        <f t="shared" ca="1" si="142"/>
        <v/>
      </c>
      <c r="Q214" s="408" t="str">
        <f t="shared" ca="1" si="142"/>
        <v/>
      </c>
      <c r="R214" s="410" t="str">
        <f ca="1">Cluster!J233</f>
        <v>Selection</v>
      </c>
      <c r="S214" s="411" t="str">
        <f t="shared" ca="1" si="122"/>
        <v>-</v>
      </c>
      <c r="T214" s="412" t="str">
        <f t="shared" ca="1" si="123"/>
        <v/>
      </c>
      <c r="U214" s="411" t="str">
        <f t="shared" ca="1" si="124"/>
        <v>-</v>
      </c>
      <c r="V214" s="411" t="str">
        <f t="shared" ca="1" si="125"/>
        <v>-</v>
      </c>
      <c r="W214" s="413">
        <f>Cluster!N233</f>
        <v>0</v>
      </c>
      <c r="X214" s="414" t="str">
        <f t="shared" ca="1" si="126"/>
        <v>-</v>
      </c>
      <c r="Y214" s="411" t="str">
        <f t="shared" ca="1" si="127"/>
        <v>-</v>
      </c>
      <c r="Z214" s="415" t="str">
        <f t="shared" ca="1" si="128"/>
        <v>-</v>
      </c>
      <c r="AA214" s="416" t="str">
        <f t="shared" ca="1" si="129"/>
        <v>-</v>
      </c>
      <c r="AB214" s="416" t="str">
        <f t="shared" ca="1" si="130"/>
        <v/>
      </c>
      <c r="AC214" s="434">
        <f>Cluster!Q233</f>
        <v>0</v>
      </c>
      <c r="AD214" s="435" t="str">
        <f t="shared" ca="1" si="143"/>
        <v/>
      </c>
      <c r="AE214" s="436" t="str">
        <f t="shared" ca="1" si="143"/>
        <v/>
      </c>
      <c r="AF214" s="437" t="str">
        <f t="shared" ca="1" si="131"/>
        <v>-</v>
      </c>
      <c r="AG214" s="438" t="str">
        <f t="shared" ca="1" si="132"/>
        <v>-</v>
      </c>
      <c r="AH214" s="437" t="str">
        <f t="shared" ca="1" si="133"/>
        <v>-</v>
      </c>
      <c r="AI214" s="438" t="str">
        <f t="shared" ca="1" si="134"/>
        <v>-</v>
      </c>
      <c r="AJ214" s="438" t="str">
        <f t="shared" ca="1" si="135"/>
        <v>-</v>
      </c>
      <c r="AK214" s="439" t="str">
        <f ca="1">IFERROR(AE214*AD214*AL214/(IF(Cluster!AA233=Cluster!$W$8,Cluster!$W$10,IF(Cluster!AA233=Cluster!$X$8,Cluster!$X$10,IF(Cluster!AA233=Cluster!$Y$8,Cluster!$Y$10,0)))*10^3),"-")</f>
        <v>-</v>
      </c>
      <c r="AL214" s="440" t="str">
        <f ca="1">IFERROR(IF(OR(Calculation!T214&lt;(Calculation!$U$8+2),Calculation!AC214="Bypass"),IF((IF(Calculation!$O$6/((Calculation!AD214*10^-12)/(Calculation!T214*10^-9)*50)&lt;=1,1,ROUNDUP(Calculation!$O$6/((Calculation!AD214*10^-12)/(Calculation!T214*10^-9)*50),0))*50)&lt;Calculation!$AK$6,Calculation!$AK$6,IF(Calculation!$O$6/((Calculation!AD214*10^-12)/(Calculation!T214*10^-9)*50)&lt;=1,1,ROUNDUP(Calculation!$O$6/((Calculation!AD214*10^-12)/(Calculation!T214*10^-9)*50),0))*50),"-"),"-")</f>
        <v>-</v>
      </c>
      <c r="AM214" s="441" t="str">
        <f t="shared" ca="1" si="144"/>
        <v/>
      </c>
      <c r="AN214" s="442" t="str">
        <f t="shared" ca="1" si="144"/>
        <v/>
      </c>
      <c r="AO214" s="432">
        <f t="shared" ca="1" si="136"/>
        <v>384</v>
      </c>
      <c r="AP214" s="427" t="str">
        <f t="shared" ca="1" si="137"/>
        <v>-</v>
      </c>
      <c r="AQ214" s="443" t="str">
        <f t="shared" ca="1" si="138"/>
        <v>-</v>
      </c>
      <c r="AR214" s="444" t="str">
        <f t="shared" ca="1" si="139"/>
        <v>-</v>
      </c>
      <c r="AS214" s="430" t="str">
        <f t="shared" ca="1" si="140"/>
        <v>-</v>
      </c>
    </row>
    <row r="215" spans="1:45" ht="14.25" x14ac:dyDescent="0.65">
      <c r="A215" s="407">
        <v>207</v>
      </c>
      <c r="B215" s="408" t="str">
        <f t="shared" ca="1" si="121"/>
        <v/>
      </c>
      <c r="C215" s="408" t="str">
        <f ca="1">IFERROR(IF(G215="","",CONCATENATE(E215,"-",INDEX(Coordinate,MATCH(F215,ListAndConversion!$X$4:$X$99,0),2))),"")</f>
        <v/>
      </c>
      <c r="D215" s="408" t="str">
        <f t="shared" ca="1" si="141"/>
        <v/>
      </c>
      <c r="E215" s="408" t="str">
        <f t="shared" ca="1" si="141"/>
        <v/>
      </c>
      <c r="F215" s="408" t="str">
        <f t="shared" ca="1" si="141"/>
        <v/>
      </c>
      <c r="G215" s="408" t="str">
        <f ca="1">IFERROR(INDEX(ListAndConversion!A:B,MATCH(Calculation!E215,ListAndConversion!A:A,0),2),"")</f>
        <v/>
      </c>
      <c r="H215" s="408" t="str">
        <f>IF(TrackIT_Lines!AD207="","",TrackIT_Lines!AD207)</f>
        <v/>
      </c>
      <c r="I215" s="408" t="str">
        <f>IF(TrackIT_Lines!AD207="","",CONCATENATE(TrackIT_Lines!AD207,"-",TrackIT_Lines!AG207))</f>
        <v/>
      </c>
      <c r="J215" s="409" t="str">
        <f t="shared" ca="1" si="142"/>
        <v/>
      </c>
      <c r="K215" s="408" t="str">
        <f t="shared" ca="1" si="142"/>
        <v/>
      </c>
      <c r="L215" s="408" t="str">
        <f t="shared" ca="1" si="142"/>
        <v/>
      </c>
      <c r="M215" s="408" t="str">
        <f t="shared" ca="1" si="142"/>
        <v/>
      </c>
      <c r="N215" s="408" t="str">
        <f t="shared" ca="1" si="142"/>
        <v/>
      </c>
      <c r="O215" s="408" t="str">
        <f t="shared" ca="1" si="142"/>
        <v/>
      </c>
      <c r="P215" s="408" t="str">
        <f t="shared" ca="1" si="142"/>
        <v/>
      </c>
      <c r="Q215" s="408" t="str">
        <f t="shared" ca="1" si="142"/>
        <v/>
      </c>
      <c r="R215" s="410" t="str">
        <f ca="1">Cluster!J234</f>
        <v>Selection</v>
      </c>
      <c r="S215" s="411" t="str">
        <f t="shared" ca="1" si="122"/>
        <v>-</v>
      </c>
      <c r="T215" s="412" t="str">
        <f t="shared" ca="1" si="123"/>
        <v/>
      </c>
      <c r="U215" s="411" t="str">
        <f t="shared" ca="1" si="124"/>
        <v>-</v>
      </c>
      <c r="V215" s="411" t="str">
        <f t="shared" ca="1" si="125"/>
        <v>-</v>
      </c>
      <c r="W215" s="413">
        <f>Cluster!N234</f>
        <v>0</v>
      </c>
      <c r="X215" s="414" t="str">
        <f t="shared" ca="1" si="126"/>
        <v>-</v>
      </c>
      <c r="Y215" s="411" t="str">
        <f t="shared" ca="1" si="127"/>
        <v>-</v>
      </c>
      <c r="Z215" s="415" t="str">
        <f t="shared" ca="1" si="128"/>
        <v>-</v>
      </c>
      <c r="AA215" s="416" t="str">
        <f t="shared" ca="1" si="129"/>
        <v>-</v>
      </c>
      <c r="AB215" s="416" t="str">
        <f t="shared" ca="1" si="130"/>
        <v/>
      </c>
      <c r="AC215" s="434">
        <f>Cluster!Q234</f>
        <v>0</v>
      </c>
      <c r="AD215" s="435" t="str">
        <f t="shared" ca="1" si="143"/>
        <v/>
      </c>
      <c r="AE215" s="436" t="str">
        <f t="shared" ca="1" si="143"/>
        <v/>
      </c>
      <c r="AF215" s="437" t="str">
        <f t="shared" ca="1" si="131"/>
        <v>-</v>
      </c>
      <c r="AG215" s="438" t="str">
        <f t="shared" ca="1" si="132"/>
        <v>-</v>
      </c>
      <c r="AH215" s="437" t="str">
        <f t="shared" ca="1" si="133"/>
        <v>-</v>
      </c>
      <c r="AI215" s="438" t="str">
        <f t="shared" ca="1" si="134"/>
        <v>-</v>
      </c>
      <c r="AJ215" s="438" t="str">
        <f t="shared" ca="1" si="135"/>
        <v>-</v>
      </c>
      <c r="AK215" s="439" t="str">
        <f ca="1">IFERROR(AE215*AD215*AL215/(IF(Cluster!AA234=Cluster!$W$8,Cluster!$W$10,IF(Cluster!AA234=Cluster!$X$8,Cluster!$X$10,IF(Cluster!AA234=Cluster!$Y$8,Cluster!$Y$10,0)))*10^3),"-")</f>
        <v>-</v>
      </c>
      <c r="AL215" s="440" t="str">
        <f ca="1">IFERROR(IF(OR(Calculation!T215&lt;(Calculation!$U$8+2),Calculation!AC215="Bypass"),IF((IF(Calculation!$O$6/((Calculation!AD215*10^-12)/(Calculation!T215*10^-9)*50)&lt;=1,1,ROUNDUP(Calculation!$O$6/((Calculation!AD215*10^-12)/(Calculation!T215*10^-9)*50),0))*50)&lt;Calculation!$AK$6,Calculation!$AK$6,IF(Calculation!$O$6/((Calculation!AD215*10^-12)/(Calculation!T215*10^-9)*50)&lt;=1,1,ROUNDUP(Calculation!$O$6/((Calculation!AD215*10^-12)/(Calculation!T215*10^-9)*50),0))*50),"-"),"-")</f>
        <v>-</v>
      </c>
      <c r="AM215" s="441" t="str">
        <f t="shared" ca="1" si="144"/>
        <v/>
      </c>
      <c r="AN215" s="442" t="str">
        <f t="shared" ca="1" si="144"/>
        <v/>
      </c>
      <c r="AO215" s="432">
        <f t="shared" ca="1" si="136"/>
        <v>384</v>
      </c>
      <c r="AP215" s="427" t="str">
        <f t="shared" ca="1" si="137"/>
        <v>-</v>
      </c>
      <c r="AQ215" s="443" t="str">
        <f t="shared" ca="1" si="138"/>
        <v>-</v>
      </c>
      <c r="AR215" s="444" t="str">
        <f t="shared" ca="1" si="139"/>
        <v>-</v>
      </c>
      <c r="AS215" s="430" t="str">
        <f t="shared" ca="1" si="140"/>
        <v>-</v>
      </c>
    </row>
    <row r="216" spans="1:45" ht="14.25" x14ac:dyDescent="0.65">
      <c r="A216" s="407">
        <v>208</v>
      </c>
      <c r="B216" s="408" t="str">
        <f t="shared" ca="1" si="121"/>
        <v/>
      </c>
      <c r="C216" s="408" t="str">
        <f ca="1">IFERROR(IF(G216="","",CONCATENATE(E216,"-",INDEX(Coordinate,MATCH(F216,ListAndConversion!$X$4:$X$99,0),2))),"")</f>
        <v/>
      </c>
      <c r="D216" s="408" t="str">
        <f t="shared" ca="1" si="141"/>
        <v/>
      </c>
      <c r="E216" s="408" t="str">
        <f t="shared" ca="1" si="141"/>
        <v/>
      </c>
      <c r="F216" s="408" t="str">
        <f t="shared" ca="1" si="141"/>
        <v/>
      </c>
      <c r="G216" s="408" t="str">
        <f ca="1">IFERROR(INDEX(ListAndConversion!A:B,MATCH(Calculation!E216,ListAndConversion!A:A,0),2),"")</f>
        <v/>
      </c>
      <c r="H216" s="408" t="str">
        <f>IF(TrackIT_Lines!AD208="","",TrackIT_Lines!AD208)</f>
        <v/>
      </c>
      <c r="I216" s="408" t="str">
        <f>IF(TrackIT_Lines!AD208="","",CONCATENATE(TrackIT_Lines!AD208,"-",TrackIT_Lines!AG208))</f>
        <v/>
      </c>
      <c r="J216" s="409" t="str">
        <f t="shared" ca="1" si="142"/>
        <v/>
      </c>
      <c r="K216" s="408" t="str">
        <f t="shared" ca="1" si="142"/>
        <v/>
      </c>
      <c r="L216" s="408" t="str">
        <f t="shared" ca="1" si="142"/>
        <v/>
      </c>
      <c r="M216" s="408" t="str">
        <f t="shared" ca="1" si="142"/>
        <v/>
      </c>
      <c r="N216" s="408" t="str">
        <f t="shared" ca="1" si="142"/>
        <v/>
      </c>
      <c r="O216" s="408" t="str">
        <f t="shared" ca="1" si="142"/>
        <v/>
      </c>
      <c r="P216" s="408" t="str">
        <f t="shared" ca="1" si="142"/>
        <v/>
      </c>
      <c r="Q216" s="408" t="str">
        <f t="shared" ca="1" si="142"/>
        <v/>
      </c>
      <c r="R216" s="410" t="str">
        <f ca="1">Cluster!J235</f>
        <v>Selection</v>
      </c>
      <c r="S216" s="411" t="str">
        <f t="shared" ca="1" si="122"/>
        <v>-</v>
      </c>
      <c r="T216" s="412" t="str">
        <f t="shared" ca="1" si="123"/>
        <v/>
      </c>
      <c r="U216" s="411" t="str">
        <f t="shared" ca="1" si="124"/>
        <v>-</v>
      </c>
      <c r="V216" s="411" t="str">
        <f t="shared" ca="1" si="125"/>
        <v>-</v>
      </c>
      <c r="W216" s="413">
        <f>Cluster!N235</f>
        <v>0</v>
      </c>
      <c r="X216" s="414" t="str">
        <f t="shared" ca="1" si="126"/>
        <v>-</v>
      </c>
      <c r="Y216" s="411" t="str">
        <f t="shared" ca="1" si="127"/>
        <v>-</v>
      </c>
      <c r="Z216" s="415" t="str">
        <f t="shared" ca="1" si="128"/>
        <v>-</v>
      </c>
      <c r="AA216" s="416" t="str">
        <f t="shared" ca="1" si="129"/>
        <v>-</v>
      </c>
      <c r="AB216" s="416" t="str">
        <f t="shared" ca="1" si="130"/>
        <v/>
      </c>
      <c r="AC216" s="434">
        <f>Cluster!Q235</f>
        <v>0</v>
      </c>
      <c r="AD216" s="435" t="str">
        <f t="shared" ca="1" si="143"/>
        <v/>
      </c>
      <c r="AE216" s="436" t="str">
        <f t="shared" ca="1" si="143"/>
        <v/>
      </c>
      <c r="AF216" s="437" t="str">
        <f t="shared" ca="1" si="131"/>
        <v>-</v>
      </c>
      <c r="AG216" s="438" t="str">
        <f t="shared" ca="1" si="132"/>
        <v>-</v>
      </c>
      <c r="AH216" s="437" t="str">
        <f t="shared" ca="1" si="133"/>
        <v>-</v>
      </c>
      <c r="AI216" s="438" t="str">
        <f t="shared" ca="1" si="134"/>
        <v>-</v>
      </c>
      <c r="AJ216" s="438" t="str">
        <f t="shared" ca="1" si="135"/>
        <v>-</v>
      </c>
      <c r="AK216" s="439" t="str">
        <f ca="1">IFERROR(AE216*AD216*AL216/(IF(Cluster!AA235=Cluster!$W$8,Cluster!$W$10,IF(Cluster!AA235=Cluster!$X$8,Cluster!$X$10,IF(Cluster!AA235=Cluster!$Y$8,Cluster!$Y$10,0)))*10^3),"-")</f>
        <v>-</v>
      </c>
      <c r="AL216" s="440" t="str">
        <f ca="1">IFERROR(IF(OR(Calculation!T216&lt;(Calculation!$U$8+2),Calculation!AC216="Bypass"),IF((IF(Calculation!$O$6/((Calculation!AD216*10^-12)/(Calculation!T216*10^-9)*50)&lt;=1,1,ROUNDUP(Calculation!$O$6/((Calculation!AD216*10^-12)/(Calculation!T216*10^-9)*50),0))*50)&lt;Calculation!$AK$6,Calculation!$AK$6,IF(Calculation!$O$6/((Calculation!AD216*10^-12)/(Calculation!T216*10^-9)*50)&lt;=1,1,ROUNDUP(Calculation!$O$6/((Calculation!AD216*10^-12)/(Calculation!T216*10^-9)*50),0))*50),"-"),"-")</f>
        <v>-</v>
      </c>
      <c r="AM216" s="441" t="str">
        <f t="shared" ca="1" si="144"/>
        <v/>
      </c>
      <c r="AN216" s="442" t="str">
        <f t="shared" ca="1" si="144"/>
        <v/>
      </c>
      <c r="AO216" s="432">
        <f t="shared" ca="1" si="136"/>
        <v>384</v>
      </c>
      <c r="AP216" s="427" t="str">
        <f t="shared" ca="1" si="137"/>
        <v>-</v>
      </c>
      <c r="AQ216" s="443" t="str">
        <f t="shared" ca="1" si="138"/>
        <v>-</v>
      </c>
      <c r="AR216" s="444" t="str">
        <f t="shared" ca="1" si="139"/>
        <v>-</v>
      </c>
      <c r="AS216" s="430" t="str">
        <f t="shared" ca="1" si="140"/>
        <v>-</v>
      </c>
    </row>
    <row r="217" spans="1:45" ht="14.25" x14ac:dyDescent="0.65">
      <c r="A217" s="407">
        <v>209</v>
      </c>
      <c r="B217" s="408" t="str">
        <f t="shared" ca="1" si="121"/>
        <v/>
      </c>
      <c r="C217" s="408" t="str">
        <f ca="1">IFERROR(IF(G217="","",CONCATENATE(E217,"-",INDEX(Coordinate,MATCH(F217,ListAndConversion!$X$4:$X$99,0),2))),"")</f>
        <v/>
      </c>
      <c r="D217" s="408" t="str">
        <f t="shared" ca="1" si="141"/>
        <v/>
      </c>
      <c r="E217" s="408" t="str">
        <f t="shared" ca="1" si="141"/>
        <v/>
      </c>
      <c r="F217" s="408" t="str">
        <f t="shared" ca="1" si="141"/>
        <v/>
      </c>
      <c r="G217" s="408" t="str">
        <f ca="1">IFERROR(INDEX(ListAndConversion!A:B,MATCH(Calculation!E217,ListAndConversion!A:A,0),2),"")</f>
        <v/>
      </c>
      <c r="H217" s="408" t="str">
        <f>IF(TrackIT_Lines!AD209="","",TrackIT_Lines!AD209)</f>
        <v/>
      </c>
      <c r="I217" s="408" t="str">
        <f>IF(TrackIT_Lines!AD209="","",CONCATENATE(TrackIT_Lines!AD209,"-",TrackIT_Lines!AG209))</f>
        <v/>
      </c>
      <c r="J217" s="409" t="str">
        <f t="shared" ca="1" si="142"/>
        <v/>
      </c>
      <c r="K217" s="408" t="str">
        <f t="shared" ca="1" si="142"/>
        <v/>
      </c>
      <c r="L217" s="408" t="str">
        <f t="shared" ca="1" si="142"/>
        <v/>
      </c>
      <c r="M217" s="408" t="str">
        <f t="shared" ca="1" si="142"/>
        <v/>
      </c>
      <c r="N217" s="408" t="str">
        <f t="shared" ca="1" si="142"/>
        <v/>
      </c>
      <c r="O217" s="408" t="str">
        <f t="shared" ca="1" si="142"/>
        <v/>
      </c>
      <c r="P217" s="408" t="str">
        <f t="shared" ca="1" si="142"/>
        <v/>
      </c>
      <c r="Q217" s="408" t="str">
        <f t="shared" ca="1" si="142"/>
        <v/>
      </c>
      <c r="R217" s="410" t="str">
        <f ca="1">Cluster!J236</f>
        <v>Selection</v>
      </c>
      <c r="S217" s="411" t="str">
        <f t="shared" ca="1" si="122"/>
        <v>-</v>
      </c>
      <c r="T217" s="412" t="str">
        <f t="shared" ca="1" si="123"/>
        <v/>
      </c>
      <c r="U217" s="411" t="str">
        <f t="shared" ca="1" si="124"/>
        <v>-</v>
      </c>
      <c r="V217" s="411" t="str">
        <f t="shared" ca="1" si="125"/>
        <v>-</v>
      </c>
      <c r="W217" s="413">
        <f>Cluster!N236</f>
        <v>0</v>
      </c>
      <c r="X217" s="414" t="str">
        <f t="shared" ca="1" si="126"/>
        <v>-</v>
      </c>
      <c r="Y217" s="411" t="str">
        <f t="shared" ca="1" si="127"/>
        <v>-</v>
      </c>
      <c r="Z217" s="415" t="str">
        <f t="shared" ca="1" si="128"/>
        <v>-</v>
      </c>
      <c r="AA217" s="416" t="str">
        <f t="shared" ca="1" si="129"/>
        <v>-</v>
      </c>
      <c r="AB217" s="416" t="str">
        <f t="shared" ca="1" si="130"/>
        <v/>
      </c>
      <c r="AC217" s="434">
        <f>Cluster!Q236</f>
        <v>0</v>
      </c>
      <c r="AD217" s="435" t="str">
        <f t="shared" ca="1" si="143"/>
        <v/>
      </c>
      <c r="AE217" s="436" t="str">
        <f t="shared" ca="1" si="143"/>
        <v/>
      </c>
      <c r="AF217" s="437" t="str">
        <f t="shared" ca="1" si="131"/>
        <v>-</v>
      </c>
      <c r="AG217" s="438" t="str">
        <f t="shared" ca="1" si="132"/>
        <v>-</v>
      </c>
      <c r="AH217" s="437" t="str">
        <f t="shared" ca="1" si="133"/>
        <v>-</v>
      </c>
      <c r="AI217" s="438" t="str">
        <f t="shared" ca="1" si="134"/>
        <v>-</v>
      </c>
      <c r="AJ217" s="438" t="str">
        <f t="shared" ca="1" si="135"/>
        <v>-</v>
      </c>
      <c r="AK217" s="439" t="str">
        <f ca="1">IFERROR(AE217*AD217*AL217/(IF(Cluster!AA236=Cluster!$W$8,Cluster!$W$10,IF(Cluster!AA236=Cluster!$X$8,Cluster!$X$10,IF(Cluster!AA236=Cluster!$Y$8,Cluster!$Y$10,0)))*10^3),"-")</f>
        <v>-</v>
      </c>
      <c r="AL217" s="440" t="str">
        <f ca="1">IFERROR(IF(OR(Calculation!T217&lt;(Calculation!$U$8+2),Calculation!AC217="Bypass"),IF((IF(Calculation!$O$6/((Calculation!AD217*10^-12)/(Calculation!T217*10^-9)*50)&lt;=1,1,ROUNDUP(Calculation!$O$6/((Calculation!AD217*10^-12)/(Calculation!T217*10^-9)*50),0))*50)&lt;Calculation!$AK$6,Calculation!$AK$6,IF(Calculation!$O$6/((Calculation!AD217*10^-12)/(Calculation!T217*10^-9)*50)&lt;=1,1,ROUNDUP(Calculation!$O$6/((Calculation!AD217*10^-12)/(Calculation!T217*10^-9)*50),0))*50),"-"),"-")</f>
        <v>-</v>
      </c>
      <c r="AM217" s="441" t="str">
        <f t="shared" ca="1" si="144"/>
        <v/>
      </c>
      <c r="AN217" s="442" t="str">
        <f t="shared" ca="1" si="144"/>
        <v/>
      </c>
      <c r="AO217" s="432">
        <f t="shared" ca="1" si="136"/>
        <v>384</v>
      </c>
      <c r="AP217" s="427" t="str">
        <f t="shared" ca="1" si="137"/>
        <v>-</v>
      </c>
      <c r="AQ217" s="443" t="str">
        <f t="shared" ca="1" si="138"/>
        <v>-</v>
      </c>
      <c r="AR217" s="444" t="str">
        <f t="shared" ca="1" si="139"/>
        <v>-</v>
      </c>
      <c r="AS217" s="430" t="str">
        <f t="shared" ca="1" si="140"/>
        <v>-</v>
      </c>
    </row>
    <row r="218" spans="1:45" ht="14.25" x14ac:dyDescent="0.65">
      <c r="A218" s="407">
        <v>210</v>
      </c>
      <c r="B218" s="408" t="str">
        <f t="shared" ca="1" si="121"/>
        <v/>
      </c>
      <c r="C218" s="408" t="str">
        <f ca="1">IFERROR(IF(G218="","",CONCATENATE(E218,"-",INDEX(Coordinate,MATCH(F218,ListAndConversion!$X$4:$X$99,0),2))),"")</f>
        <v/>
      </c>
      <c r="D218" s="408" t="str">
        <f t="shared" ca="1" si="141"/>
        <v/>
      </c>
      <c r="E218" s="408" t="str">
        <f t="shared" ca="1" si="141"/>
        <v/>
      </c>
      <c r="F218" s="408" t="str">
        <f t="shared" ca="1" si="141"/>
        <v/>
      </c>
      <c r="G218" s="408" t="str">
        <f ca="1">IFERROR(INDEX(ListAndConversion!A:B,MATCH(Calculation!E218,ListAndConversion!A:A,0),2),"")</f>
        <v/>
      </c>
      <c r="H218" s="408" t="str">
        <f>IF(TrackIT_Lines!AD210="","",TrackIT_Lines!AD210)</f>
        <v/>
      </c>
      <c r="I218" s="408" t="str">
        <f>IF(TrackIT_Lines!AD210="","",CONCATENATE(TrackIT_Lines!AD210,"-",TrackIT_Lines!AG210))</f>
        <v/>
      </c>
      <c r="J218" s="409" t="str">
        <f t="shared" ca="1" si="142"/>
        <v/>
      </c>
      <c r="K218" s="408" t="str">
        <f t="shared" ca="1" si="142"/>
        <v/>
      </c>
      <c r="L218" s="408" t="str">
        <f t="shared" ca="1" si="142"/>
        <v/>
      </c>
      <c r="M218" s="408" t="str">
        <f t="shared" ca="1" si="142"/>
        <v/>
      </c>
      <c r="N218" s="408" t="str">
        <f t="shared" ca="1" si="142"/>
        <v/>
      </c>
      <c r="O218" s="408" t="str">
        <f t="shared" ca="1" si="142"/>
        <v/>
      </c>
      <c r="P218" s="408" t="str">
        <f t="shared" ca="1" si="142"/>
        <v/>
      </c>
      <c r="Q218" s="408" t="str">
        <f t="shared" ca="1" si="142"/>
        <v/>
      </c>
      <c r="R218" s="410" t="str">
        <f ca="1">Cluster!J237</f>
        <v>Selection</v>
      </c>
      <c r="S218" s="411" t="str">
        <f t="shared" ca="1" si="122"/>
        <v>-</v>
      </c>
      <c r="T218" s="412" t="str">
        <f t="shared" ca="1" si="123"/>
        <v/>
      </c>
      <c r="U218" s="411" t="str">
        <f t="shared" ca="1" si="124"/>
        <v>-</v>
      </c>
      <c r="V218" s="411" t="str">
        <f t="shared" ca="1" si="125"/>
        <v>-</v>
      </c>
      <c r="W218" s="413">
        <f>Cluster!N237</f>
        <v>0</v>
      </c>
      <c r="X218" s="414" t="str">
        <f t="shared" ca="1" si="126"/>
        <v>-</v>
      </c>
      <c r="Y218" s="411" t="str">
        <f t="shared" ca="1" si="127"/>
        <v>-</v>
      </c>
      <c r="Z218" s="415" t="str">
        <f t="shared" ca="1" si="128"/>
        <v>-</v>
      </c>
      <c r="AA218" s="416" t="str">
        <f t="shared" ca="1" si="129"/>
        <v>-</v>
      </c>
      <c r="AB218" s="416" t="str">
        <f t="shared" ca="1" si="130"/>
        <v/>
      </c>
      <c r="AC218" s="434">
        <f>Cluster!Q237</f>
        <v>0</v>
      </c>
      <c r="AD218" s="435" t="str">
        <f t="shared" ca="1" si="143"/>
        <v/>
      </c>
      <c r="AE218" s="436" t="str">
        <f t="shared" ca="1" si="143"/>
        <v/>
      </c>
      <c r="AF218" s="437" t="str">
        <f t="shared" ca="1" si="131"/>
        <v>-</v>
      </c>
      <c r="AG218" s="438" t="str">
        <f t="shared" ca="1" si="132"/>
        <v>-</v>
      </c>
      <c r="AH218" s="437" t="str">
        <f t="shared" ca="1" si="133"/>
        <v>-</v>
      </c>
      <c r="AI218" s="438" t="str">
        <f t="shared" ca="1" si="134"/>
        <v>-</v>
      </c>
      <c r="AJ218" s="438" t="str">
        <f t="shared" ca="1" si="135"/>
        <v>-</v>
      </c>
      <c r="AK218" s="439" t="str">
        <f ca="1">IFERROR(AE218*AD218*AL218/(IF(Cluster!AA237=Cluster!$W$8,Cluster!$W$10,IF(Cluster!AA237=Cluster!$X$8,Cluster!$X$10,IF(Cluster!AA237=Cluster!$Y$8,Cluster!$Y$10,0)))*10^3),"-")</f>
        <v>-</v>
      </c>
      <c r="AL218" s="440" t="str">
        <f ca="1">IFERROR(IF(OR(Calculation!T218&lt;(Calculation!$U$8+2),Calculation!AC218="Bypass"),IF((IF(Calculation!$O$6/((Calculation!AD218*10^-12)/(Calculation!T218*10^-9)*50)&lt;=1,1,ROUNDUP(Calculation!$O$6/((Calculation!AD218*10^-12)/(Calculation!T218*10^-9)*50),0))*50)&lt;Calculation!$AK$6,Calculation!$AK$6,IF(Calculation!$O$6/((Calculation!AD218*10^-12)/(Calculation!T218*10^-9)*50)&lt;=1,1,ROUNDUP(Calculation!$O$6/((Calculation!AD218*10^-12)/(Calculation!T218*10^-9)*50),0))*50),"-"),"-")</f>
        <v>-</v>
      </c>
      <c r="AM218" s="441" t="str">
        <f t="shared" ca="1" si="144"/>
        <v/>
      </c>
      <c r="AN218" s="442" t="str">
        <f t="shared" ca="1" si="144"/>
        <v/>
      </c>
      <c r="AO218" s="432">
        <f t="shared" ca="1" si="136"/>
        <v>384</v>
      </c>
      <c r="AP218" s="427" t="str">
        <f t="shared" ca="1" si="137"/>
        <v>-</v>
      </c>
      <c r="AQ218" s="443" t="str">
        <f t="shared" ca="1" si="138"/>
        <v>-</v>
      </c>
      <c r="AR218" s="444" t="str">
        <f t="shared" ca="1" si="139"/>
        <v>-</v>
      </c>
      <c r="AS218" s="430" t="str">
        <f t="shared" ca="1" si="140"/>
        <v>-</v>
      </c>
    </row>
    <row r="219" spans="1:45" ht="14.25" x14ac:dyDescent="0.65">
      <c r="A219" s="407">
        <v>211</v>
      </c>
      <c r="B219" s="408" t="str">
        <f t="shared" ca="1" si="121"/>
        <v/>
      </c>
      <c r="C219" s="408" t="str">
        <f ca="1">IFERROR(IF(G219="","",CONCATENATE(E219,"-",INDEX(Coordinate,MATCH(F219,ListAndConversion!$X$4:$X$99,0),2))),"")</f>
        <v/>
      </c>
      <c r="D219" s="408" t="str">
        <f t="shared" ca="1" si="141"/>
        <v/>
      </c>
      <c r="E219" s="408" t="str">
        <f t="shared" ca="1" si="141"/>
        <v/>
      </c>
      <c r="F219" s="408" t="str">
        <f t="shared" ca="1" si="141"/>
        <v/>
      </c>
      <c r="G219" s="408" t="str">
        <f ca="1">IFERROR(INDEX(ListAndConversion!A:B,MATCH(Calculation!E219,ListAndConversion!A:A,0),2),"")</f>
        <v/>
      </c>
      <c r="H219" s="408" t="str">
        <f>IF(TrackIT_Lines!AD211="","",TrackIT_Lines!AD211)</f>
        <v/>
      </c>
      <c r="I219" s="408" t="str">
        <f>IF(TrackIT_Lines!AD211="","",CONCATENATE(TrackIT_Lines!AD211,"-",TrackIT_Lines!AG211))</f>
        <v/>
      </c>
      <c r="J219" s="409" t="str">
        <f t="shared" ca="1" si="142"/>
        <v/>
      </c>
      <c r="K219" s="408" t="str">
        <f t="shared" ca="1" si="142"/>
        <v/>
      </c>
      <c r="L219" s="408" t="str">
        <f t="shared" ca="1" si="142"/>
        <v/>
      </c>
      <c r="M219" s="408" t="str">
        <f t="shared" ca="1" si="142"/>
        <v/>
      </c>
      <c r="N219" s="408" t="str">
        <f t="shared" ca="1" si="142"/>
        <v/>
      </c>
      <c r="O219" s="408" t="str">
        <f t="shared" ca="1" si="142"/>
        <v/>
      </c>
      <c r="P219" s="408" t="str">
        <f t="shared" ca="1" si="142"/>
        <v/>
      </c>
      <c r="Q219" s="408" t="str">
        <f t="shared" ca="1" si="142"/>
        <v/>
      </c>
      <c r="R219" s="410" t="str">
        <f ca="1">Cluster!J238</f>
        <v>Selection</v>
      </c>
      <c r="S219" s="411" t="str">
        <f t="shared" ca="1" si="122"/>
        <v>-</v>
      </c>
      <c r="T219" s="412" t="str">
        <f t="shared" ca="1" si="123"/>
        <v/>
      </c>
      <c r="U219" s="411" t="str">
        <f t="shared" ca="1" si="124"/>
        <v>-</v>
      </c>
      <c r="V219" s="411" t="str">
        <f t="shared" ca="1" si="125"/>
        <v>-</v>
      </c>
      <c r="W219" s="413">
        <f>Cluster!N238</f>
        <v>0</v>
      </c>
      <c r="X219" s="414" t="str">
        <f t="shared" ca="1" si="126"/>
        <v>-</v>
      </c>
      <c r="Y219" s="411" t="str">
        <f t="shared" ca="1" si="127"/>
        <v>-</v>
      </c>
      <c r="Z219" s="415" t="str">
        <f t="shared" ca="1" si="128"/>
        <v>-</v>
      </c>
      <c r="AA219" s="416" t="str">
        <f t="shared" ca="1" si="129"/>
        <v>-</v>
      </c>
      <c r="AB219" s="416" t="str">
        <f t="shared" ca="1" si="130"/>
        <v/>
      </c>
      <c r="AC219" s="434">
        <f>Cluster!Q238</f>
        <v>0</v>
      </c>
      <c r="AD219" s="435" t="str">
        <f t="shared" ca="1" si="143"/>
        <v/>
      </c>
      <c r="AE219" s="436" t="str">
        <f t="shared" ca="1" si="143"/>
        <v/>
      </c>
      <c r="AF219" s="437" t="str">
        <f t="shared" ca="1" si="131"/>
        <v>-</v>
      </c>
      <c r="AG219" s="438" t="str">
        <f t="shared" ca="1" si="132"/>
        <v>-</v>
      </c>
      <c r="AH219" s="437" t="str">
        <f t="shared" ca="1" si="133"/>
        <v>-</v>
      </c>
      <c r="AI219" s="438" t="str">
        <f t="shared" ca="1" si="134"/>
        <v>-</v>
      </c>
      <c r="AJ219" s="438" t="str">
        <f t="shared" ca="1" si="135"/>
        <v>-</v>
      </c>
      <c r="AK219" s="439" t="str">
        <f ca="1">IFERROR(AE219*AD219*AL219/(IF(Cluster!AA238=Cluster!$W$8,Cluster!$W$10,IF(Cluster!AA238=Cluster!$X$8,Cluster!$X$10,IF(Cluster!AA238=Cluster!$Y$8,Cluster!$Y$10,0)))*10^3),"-")</f>
        <v>-</v>
      </c>
      <c r="AL219" s="440" t="str">
        <f ca="1">IFERROR(IF(OR(Calculation!T219&lt;(Calculation!$U$8+2),Calculation!AC219="Bypass"),IF((IF(Calculation!$O$6/((Calculation!AD219*10^-12)/(Calculation!T219*10^-9)*50)&lt;=1,1,ROUNDUP(Calculation!$O$6/((Calculation!AD219*10^-12)/(Calculation!T219*10^-9)*50),0))*50)&lt;Calculation!$AK$6,Calculation!$AK$6,IF(Calculation!$O$6/((Calculation!AD219*10^-12)/(Calculation!T219*10^-9)*50)&lt;=1,1,ROUNDUP(Calculation!$O$6/((Calculation!AD219*10^-12)/(Calculation!T219*10^-9)*50),0))*50),"-"),"-")</f>
        <v>-</v>
      </c>
      <c r="AM219" s="441" t="str">
        <f t="shared" ca="1" si="144"/>
        <v/>
      </c>
      <c r="AN219" s="442" t="str">
        <f t="shared" ca="1" si="144"/>
        <v/>
      </c>
      <c r="AO219" s="432">
        <f t="shared" ca="1" si="136"/>
        <v>384</v>
      </c>
      <c r="AP219" s="427" t="str">
        <f t="shared" ca="1" si="137"/>
        <v>-</v>
      </c>
      <c r="AQ219" s="443" t="str">
        <f t="shared" ca="1" si="138"/>
        <v>-</v>
      </c>
      <c r="AR219" s="444" t="str">
        <f t="shared" ca="1" si="139"/>
        <v>-</v>
      </c>
      <c r="AS219" s="430" t="str">
        <f t="shared" ca="1" si="140"/>
        <v>-</v>
      </c>
    </row>
    <row r="220" spans="1:45" ht="14.25" x14ac:dyDescent="0.65">
      <c r="A220" s="407">
        <v>212</v>
      </c>
      <c r="B220" s="408" t="str">
        <f t="shared" ca="1" si="121"/>
        <v/>
      </c>
      <c r="C220" s="408" t="str">
        <f ca="1">IFERROR(IF(G220="","",CONCATENATE(E220,"-",INDEX(Coordinate,MATCH(F220,ListAndConversion!$X$4:$X$99,0),2))),"")</f>
        <v/>
      </c>
      <c r="D220" s="408" t="str">
        <f t="shared" ca="1" si="141"/>
        <v/>
      </c>
      <c r="E220" s="408" t="str">
        <f t="shared" ca="1" si="141"/>
        <v/>
      </c>
      <c r="F220" s="408" t="str">
        <f t="shared" ca="1" si="141"/>
        <v/>
      </c>
      <c r="G220" s="408" t="str">
        <f ca="1">IFERROR(INDEX(ListAndConversion!A:B,MATCH(Calculation!E220,ListAndConversion!A:A,0),2),"")</f>
        <v/>
      </c>
      <c r="H220" s="408" t="str">
        <f>IF(TrackIT_Lines!AD212="","",TrackIT_Lines!AD212)</f>
        <v/>
      </c>
      <c r="I220" s="408" t="str">
        <f>IF(TrackIT_Lines!AD212="","",CONCATENATE(TrackIT_Lines!AD212,"-",TrackIT_Lines!AG212))</f>
        <v/>
      </c>
      <c r="J220" s="409" t="str">
        <f t="shared" ref="J220:Q229" ca="1" si="145">IF((INDIRECT("TrackIT_Lines!"&amp;J$2&amp;$A220))="","", (INDIRECT("TrackIT_Lines!"&amp;J$2&amp;$A220)))</f>
        <v/>
      </c>
      <c r="K220" s="408" t="str">
        <f t="shared" ca="1" si="145"/>
        <v/>
      </c>
      <c r="L220" s="408" t="str">
        <f t="shared" ca="1" si="145"/>
        <v/>
      </c>
      <c r="M220" s="408" t="str">
        <f t="shared" ca="1" si="145"/>
        <v/>
      </c>
      <c r="N220" s="408" t="str">
        <f t="shared" ca="1" si="145"/>
        <v/>
      </c>
      <c r="O220" s="408" t="str">
        <f t="shared" ca="1" si="145"/>
        <v/>
      </c>
      <c r="P220" s="408" t="str">
        <f t="shared" ca="1" si="145"/>
        <v/>
      </c>
      <c r="Q220" s="408" t="str">
        <f t="shared" ca="1" si="145"/>
        <v/>
      </c>
      <c r="R220" s="410" t="str">
        <f ca="1">Cluster!J239</f>
        <v>Selection</v>
      </c>
      <c r="S220" s="411" t="str">
        <f t="shared" ca="1" si="122"/>
        <v>-</v>
      </c>
      <c r="T220" s="412" t="str">
        <f t="shared" ca="1" si="123"/>
        <v/>
      </c>
      <c r="U220" s="411" t="str">
        <f t="shared" ca="1" si="124"/>
        <v>-</v>
      </c>
      <c r="V220" s="411" t="str">
        <f t="shared" ca="1" si="125"/>
        <v>-</v>
      </c>
      <c r="W220" s="413">
        <f>Cluster!N239</f>
        <v>0</v>
      </c>
      <c r="X220" s="414" t="str">
        <f t="shared" ca="1" si="126"/>
        <v>-</v>
      </c>
      <c r="Y220" s="411" t="str">
        <f t="shared" ca="1" si="127"/>
        <v>-</v>
      </c>
      <c r="Z220" s="415" t="str">
        <f t="shared" ca="1" si="128"/>
        <v>-</v>
      </c>
      <c r="AA220" s="416" t="str">
        <f t="shared" ca="1" si="129"/>
        <v>-</v>
      </c>
      <c r="AB220" s="416" t="str">
        <f t="shared" ca="1" si="130"/>
        <v/>
      </c>
      <c r="AC220" s="434">
        <f>Cluster!Q239</f>
        <v>0</v>
      </c>
      <c r="AD220" s="435" t="str">
        <f t="shared" ca="1" si="143"/>
        <v/>
      </c>
      <c r="AE220" s="436" t="str">
        <f t="shared" ca="1" si="143"/>
        <v/>
      </c>
      <c r="AF220" s="437" t="str">
        <f t="shared" ca="1" si="131"/>
        <v>-</v>
      </c>
      <c r="AG220" s="438" t="str">
        <f t="shared" ca="1" si="132"/>
        <v>-</v>
      </c>
      <c r="AH220" s="437" t="str">
        <f t="shared" ca="1" si="133"/>
        <v>-</v>
      </c>
      <c r="AI220" s="438" t="str">
        <f t="shared" ca="1" si="134"/>
        <v>-</v>
      </c>
      <c r="AJ220" s="438" t="str">
        <f t="shared" ca="1" si="135"/>
        <v>-</v>
      </c>
      <c r="AK220" s="439" t="str">
        <f ca="1">IFERROR(AE220*AD220*AL220/(IF(Cluster!AA239=Cluster!$W$8,Cluster!$W$10,IF(Cluster!AA239=Cluster!$X$8,Cluster!$X$10,IF(Cluster!AA239=Cluster!$Y$8,Cluster!$Y$10,0)))*10^3),"-")</f>
        <v>-</v>
      </c>
      <c r="AL220" s="440" t="str">
        <f ca="1">IFERROR(IF(OR(Calculation!T220&lt;(Calculation!$U$8+2),Calculation!AC220="Bypass"),IF((IF(Calculation!$O$6/((Calculation!AD220*10^-12)/(Calculation!T220*10^-9)*50)&lt;=1,1,ROUNDUP(Calculation!$O$6/((Calculation!AD220*10^-12)/(Calculation!T220*10^-9)*50),0))*50)&lt;Calculation!$AK$6,Calculation!$AK$6,IF(Calculation!$O$6/((Calculation!AD220*10^-12)/(Calculation!T220*10^-9)*50)&lt;=1,1,ROUNDUP(Calculation!$O$6/((Calculation!AD220*10^-12)/(Calculation!T220*10^-9)*50),0))*50),"-"),"-")</f>
        <v>-</v>
      </c>
      <c r="AM220" s="441" t="str">
        <f t="shared" ca="1" si="144"/>
        <v/>
      </c>
      <c r="AN220" s="442" t="str">
        <f t="shared" ca="1" si="144"/>
        <v/>
      </c>
      <c r="AO220" s="432">
        <f t="shared" ca="1" si="136"/>
        <v>384</v>
      </c>
      <c r="AP220" s="427" t="str">
        <f t="shared" ca="1" si="137"/>
        <v>-</v>
      </c>
      <c r="AQ220" s="443" t="str">
        <f t="shared" ca="1" si="138"/>
        <v>-</v>
      </c>
      <c r="AR220" s="444" t="str">
        <f t="shared" ca="1" si="139"/>
        <v>-</v>
      </c>
      <c r="AS220" s="430" t="str">
        <f t="shared" ca="1" si="140"/>
        <v>-</v>
      </c>
    </row>
    <row r="221" spans="1:45" ht="14.25" x14ac:dyDescent="0.65">
      <c r="A221" s="407">
        <v>213</v>
      </c>
      <c r="B221" s="408" t="str">
        <f t="shared" ca="1" si="121"/>
        <v/>
      </c>
      <c r="C221" s="408" t="str">
        <f ca="1">IFERROR(IF(G221="","",CONCATENATE(E221,"-",INDEX(Coordinate,MATCH(F221,ListAndConversion!$X$4:$X$99,0),2))),"")</f>
        <v/>
      </c>
      <c r="D221" s="408" t="str">
        <f t="shared" ca="1" si="141"/>
        <v/>
      </c>
      <c r="E221" s="408" t="str">
        <f t="shared" ca="1" si="141"/>
        <v/>
      </c>
      <c r="F221" s="408" t="str">
        <f t="shared" ca="1" si="141"/>
        <v/>
      </c>
      <c r="G221" s="408" t="str">
        <f ca="1">IFERROR(INDEX(ListAndConversion!A:B,MATCH(Calculation!E221,ListAndConversion!A:A,0),2),"")</f>
        <v/>
      </c>
      <c r="H221" s="408" t="str">
        <f>IF(TrackIT_Lines!AD213="","",TrackIT_Lines!AD213)</f>
        <v/>
      </c>
      <c r="I221" s="408" t="str">
        <f>IF(TrackIT_Lines!AD213="","",CONCATENATE(TrackIT_Lines!AD213,"-",TrackIT_Lines!AG213))</f>
        <v/>
      </c>
      <c r="J221" s="409" t="str">
        <f t="shared" ca="1" si="145"/>
        <v/>
      </c>
      <c r="K221" s="408" t="str">
        <f t="shared" ca="1" si="145"/>
        <v/>
      </c>
      <c r="L221" s="408" t="str">
        <f t="shared" ca="1" si="145"/>
        <v/>
      </c>
      <c r="M221" s="408" t="str">
        <f t="shared" ca="1" si="145"/>
        <v/>
      </c>
      <c r="N221" s="408" t="str">
        <f t="shared" ca="1" si="145"/>
        <v/>
      </c>
      <c r="O221" s="408" t="str">
        <f t="shared" ca="1" si="145"/>
        <v/>
      </c>
      <c r="P221" s="408" t="str">
        <f t="shared" ca="1" si="145"/>
        <v/>
      </c>
      <c r="Q221" s="408" t="str">
        <f t="shared" ca="1" si="145"/>
        <v/>
      </c>
      <c r="R221" s="410" t="str">
        <f ca="1">Cluster!J240</f>
        <v>Selection</v>
      </c>
      <c r="S221" s="411" t="str">
        <f t="shared" ca="1" si="122"/>
        <v>-</v>
      </c>
      <c r="T221" s="412" t="str">
        <f t="shared" ca="1" si="123"/>
        <v/>
      </c>
      <c r="U221" s="411" t="str">
        <f t="shared" ca="1" si="124"/>
        <v>-</v>
      </c>
      <c r="V221" s="411" t="str">
        <f t="shared" ca="1" si="125"/>
        <v>-</v>
      </c>
      <c r="W221" s="413">
        <f>Cluster!N240</f>
        <v>0</v>
      </c>
      <c r="X221" s="414" t="str">
        <f t="shared" ca="1" si="126"/>
        <v>-</v>
      </c>
      <c r="Y221" s="411" t="str">
        <f t="shared" ca="1" si="127"/>
        <v>-</v>
      </c>
      <c r="Z221" s="415" t="str">
        <f t="shared" ca="1" si="128"/>
        <v>-</v>
      </c>
      <c r="AA221" s="416" t="str">
        <f t="shared" ca="1" si="129"/>
        <v>-</v>
      </c>
      <c r="AB221" s="416" t="str">
        <f t="shared" ca="1" si="130"/>
        <v/>
      </c>
      <c r="AC221" s="434">
        <f>Cluster!Q240</f>
        <v>0</v>
      </c>
      <c r="AD221" s="435" t="str">
        <f t="shared" ca="1" si="143"/>
        <v/>
      </c>
      <c r="AE221" s="436" t="str">
        <f t="shared" ca="1" si="143"/>
        <v/>
      </c>
      <c r="AF221" s="437" t="str">
        <f t="shared" ca="1" si="131"/>
        <v>-</v>
      </c>
      <c r="AG221" s="438" t="str">
        <f t="shared" ca="1" si="132"/>
        <v>-</v>
      </c>
      <c r="AH221" s="437" t="str">
        <f t="shared" ca="1" si="133"/>
        <v>-</v>
      </c>
      <c r="AI221" s="438" t="str">
        <f t="shared" ca="1" si="134"/>
        <v>-</v>
      </c>
      <c r="AJ221" s="438" t="str">
        <f t="shared" ca="1" si="135"/>
        <v>-</v>
      </c>
      <c r="AK221" s="439" t="str">
        <f ca="1">IFERROR(AE221*AD221*AL221/(IF(Cluster!AA240=Cluster!$W$8,Cluster!$W$10,IF(Cluster!AA240=Cluster!$X$8,Cluster!$X$10,IF(Cluster!AA240=Cluster!$Y$8,Cluster!$Y$10,0)))*10^3),"-")</f>
        <v>-</v>
      </c>
      <c r="AL221" s="440" t="str">
        <f ca="1">IFERROR(IF(OR(Calculation!T221&lt;(Calculation!$U$8+2),Calculation!AC221="Bypass"),IF((IF(Calculation!$O$6/((Calculation!AD221*10^-12)/(Calculation!T221*10^-9)*50)&lt;=1,1,ROUNDUP(Calculation!$O$6/((Calculation!AD221*10^-12)/(Calculation!T221*10^-9)*50),0))*50)&lt;Calculation!$AK$6,Calculation!$AK$6,IF(Calculation!$O$6/((Calculation!AD221*10^-12)/(Calculation!T221*10^-9)*50)&lt;=1,1,ROUNDUP(Calculation!$O$6/((Calculation!AD221*10^-12)/(Calculation!T221*10^-9)*50),0))*50),"-"),"-")</f>
        <v>-</v>
      </c>
      <c r="AM221" s="441" t="str">
        <f t="shared" ca="1" si="144"/>
        <v/>
      </c>
      <c r="AN221" s="442" t="str">
        <f t="shared" ca="1" si="144"/>
        <v/>
      </c>
      <c r="AO221" s="432">
        <f t="shared" ca="1" si="136"/>
        <v>384</v>
      </c>
      <c r="AP221" s="427" t="str">
        <f t="shared" ca="1" si="137"/>
        <v>-</v>
      </c>
      <c r="AQ221" s="443" t="str">
        <f t="shared" ca="1" si="138"/>
        <v>-</v>
      </c>
      <c r="AR221" s="444" t="str">
        <f t="shared" ca="1" si="139"/>
        <v>-</v>
      </c>
      <c r="AS221" s="430" t="str">
        <f t="shared" ca="1" si="140"/>
        <v>-</v>
      </c>
    </row>
    <row r="222" spans="1:45" ht="14.25" x14ac:dyDescent="0.65">
      <c r="A222" s="407">
        <v>214</v>
      </c>
      <c r="B222" s="408" t="str">
        <f t="shared" ca="1" si="121"/>
        <v/>
      </c>
      <c r="C222" s="408" t="str">
        <f ca="1">IFERROR(IF(G222="","",CONCATENATE(E222,"-",INDEX(Coordinate,MATCH(F222,ListAndConversion!$X$4:$X$99,0),2))),"")</f>
        <v/>
      </c>
      <c r="D222" s="408" t="str">
        <f t="shared" ca="1" si="141"/>
        <v/>
      </c>
      <c r="E222" s="408" t="str">
        <f t="shared" ca="1" si="141"/>
        <v/>
      </c>
      <c r="F222" s="408" t="str">
        <f t="shared" ca="1" si="141"/>
        <v/>
      </c>
      <c r="G222" s="408" t="str">
        <f ca="1">IFERROR(INDEX(ListAndConversion!A:B,MATCH(Calculation!E222,ListAndConversion!A:A,0),2),"")</f>
        <v/>
      </c>
      <c r="H222" s="408" t="str">
        <f>IF(TrackIT_Lines!AD214="","",TrackIT_Lines!AD214)</f>
        <v/>
      </c>
      <c r="I222" s="408" t="str">
        <f>IF(TrackIT_Lines!AD214="","",CONCATENATE(TrackIT_Lines!AD214,"-",TrackIT_Lines!AG214))</f>
        <v/>
      </c>
      <c r="J222" s="409" t="str">
        <f t="shared" ca="1" si="145"/>
        <v/>
      </c>
      <c r="K222" s="408" t="str">
        <f t="shared" ca="1" si="145"/>
        <v/>
      </c>
      <c r="L222" s="408" t="str">
        <f t="shared" ca="1" si="145"/>
        <v/>
      </c>
      <c r="M222" s="408" t="str">
        <f t="shared" ca="1" si="145"/>
        <v/>
      </c>
      <c r="N222" s="408" t="str">
        <f t="shared" ca="1" si="145"/>
        <v/>
      </c>
      <c r="O222" s="408" t="str">
        <f t="shared" ca="1" si="145"/>
        <v/>
      </c>
      <c r="P222" s="408" t="str">
        <f t="shared" ca="1" si="145"/>
        <v/>
      </c>
      <c r="Q222" s="408" t="str">
        <f t="shared" ca="1" si="145"/>
        <v/>
      </c>
      <c r="R222" s="410" t="str">
        <f ca="1">Cluster!J241</f>
        <v>Selection</v>
      </c>
      <c r="S222" s="411" t="str">
        <f t="shared" ca="1" si="122"/>
        <v>-</v>
      </c>
      <c r="T222" s="412" t="str">
        <f t="shared" ca="1" si="123"/>
        <v/>
      </c>
      <c r="U222" s="411" t="str">
        <f t="shared" ca="1" si="124"/>
        <v>-</v>
      </c>
      <c r="V222" s="411" t="str">
        <f t="shared" ca="1" si="125"/>
        <v>-</v>
      </c>
      <c r="W222" s="413">
        <f>Cluster!N241</f>
        <v>0</v>
      </c>
      <c r="X222" s="414" t="str">
        <f t="shared" ca="1" si="126"/>
        <v>-</v>
      </c>
      <c r="Y222" s="411" t="str">
        <f t="shared" ca="1" si="127"/>
        <v>-</v>
      </c>
      <c r="Z222" s="415" t="str">
        <f t="shared" ca="1" si="128"/>
        <v>-</v>
      </c>
      <c r="AA222" s="416" t="str">
        <f t="shared" ca="1" si="129"/>
        <v>-</v>
      </c>
      <c r="AB222" s="416" t="str">
        <f t="shared" ca="1" si="130"/>
        <v/>
      </c>
      <c r="AC222" s="434">
        <f>Cluster!Q241</f>
        <v>0</v>
      </c>
      <c r="AD222" s="435" t="str">
        <f t="shared" ca="1" si="143"/>
        <v/>
      </c>
      <c r="AE222" s="436" t="str">
        <f t="shared" ca="1" si="143"/>
        <v/>
      </c>
      <c r="AF222" s="437" t="str">
        <f t="shared" ca="1" si="131"/>
        <v>-</v>
      </c>
      <c r="AG222" s="438" t="str">
        <f t="shared" ca="1" si="132"/>
        <v>-</v>
      </c>
      <c r="AH222" s="437" t="str">
        <f t="shared" ca="1" si="133"/>
        <v>-</v>
      </c>
      <c r="AI222" s="438" t="str">
        <f t="shared" ca="1" si="134"/>
        <v>-</v>
      </c>
      <c r="AJ222" s="438" t="str">
        <f t="shared" ca="1" si="135"/>
        <v>-</v>
      </c>
      <c r="AK222" s="439" t="str">
        <f ca="1">IFERROR(AE222*AD222*AL222/(IF(Cluster!AA241=Cluster!$W$8,Cluster!$W$10,IF(Cluster!AA241=Cluster!$X$8,Cluster!$X$10,IF(Cluster!AA241=Cluster!$Y$8,Cluster!$Y$10,0)))*10^3),"-")</f>
        <v>-</v>
      </c>
      <c r="AL222" s="440" t="str">
        <f ca="1">IFERROR(IF(OR(Calculation!T222&lt;(Calculation!$U$8+2),Calculation!AC222="Bypass"),IF((IF(Calculation!$O$6/((Calculation!AD222*10^-12)/(Calculation!T222*10^-9)*50)&lt;=1,1,ROUNDUP(Calculation!$O$6/((Calculation!AD222*10^-12)/(Calculation!T222*10^-9)*50),0))*50)&lt;Calculation!$AK$6,Calculation!$AK$6,IF(Calculation!$O$6/((Calculation!AD222*10^-12)/(Calculation!T222*10^-9)*50)&lt;=1,1,ROUNDUP(Calculation!$O$6/((Calculation!AD222*10^-12)/(Calculation!T222*10^-9)*50),0))*50),"-"),"-")</f>
        <v>-</v>
      </c>
      <c r="AM222" s="441" t="str">
        <f t="shared" ca="1" si="144"/>
        <v/>
      </c>
      <c r="AN222" s="442" t="str">
        <f t="shared" ca="1" si="144"/>
        <v/>
      </c>
      <c r="AO222" s="432">
        <f t="shared" ca="1" si="136"/>
        <v>384</v>
      </c>
      <c r="AP222" s="427" t="str">
        <f t="shared" ca="1" si="137"/>
        <v>-</v>
      </c>
      <c r="AQ222" s="443" t="str">
        <f t="shared" ca="1" si="138"/>
        <v>-</v>
      </c>
      <c r="AR222" s="444" t="str">
        <f t="shared" ca="1" si="139"/>
        <v>-</v>
      </c>
      <c r="AS222" s="430" t="str">
        <f t="shared" ca="1" si="140"/>
        <v>-</v>
      </c>
    </row>
    <row r="223" spans="1:45" ht="14.25" x14ac:dyDescent="0.65">
      <c r="A223" s="407">
        <v>215</v>
      </c>
      <c r="B223" s="408" t="str">
        <f t="shared" ca="1" si="121"/>
        <v/>
      </c>
      <c r="C223" s="408" t="str">
        <f ca="1">IFERROR(IF(G223="","",CONCATENATE(E223,"-",INDEX(Coordinate,MATCH(F223,ListAndConversion!$X$4:$X$99,0),2))),"")</f>
        <v/>
      </c>
      <c r="D223" s="408" t="str">
        <f t="shared" ca="1" si="141"/>
        <v/>
      </c>
      <c r="E223" s="408" t="str">
        <f t="shared" ca="1" si="141"/>
        <v/>
      </c>
      <c r="F223" s="408" t="str">
        <f t="shared" ca="1" si="141"/>
        <v/>
      </c>
      <c r="G223" s="408" t="str">
        <f ca="1">IFERROR(INDEX(ListAndConversion!A:B,MATCH(Calculation!E223,ListAndConversion!A:A,0),2),"")</f>
        <v/>
      </c>
      <c r="H223" s="408" t="str">
        <f>IF(TrackIT_Lines!AD215="","",TrackIT_Lines!AD215)</f>
        <v/>
      </c>
      <c r="I223" s="408" t="str">
        <f>IF(TrackIT_Lines!AD215="","",CONCATENATE(TrackIT_Lines!AD215,"-",TrackIT_Lines!AG215))</f>
        <v/>
      </c>
      <c r="J223" s="409" t="str">
        <f t="shared" ca="1" si="145"/>
        <v/>
      </c>
      <c r="K223" s="408" t="str">
        <f t="shared" ca="1" si="145"/>
        <v/>
      </c>
      <c r="L223" s="408" t="str">
        <f t="shared" ca="1" si="145"/>
        <v/>
      </c>
      <c r="M223" s="408" t="str">
        <f t="shared" ca="1" si="145"/>
        <v/>
      </c>
      <c r="N223" s="408" t="str">
        <f t="shared" ca="1" si="145"/>
        <v/>
      </c>
      <c r="O223" s="408" t="str">
        <f t="shared" ca="1" si="145"/>
        <v/>
      </c>
      <c r="P223" s="408" t="str">
        <f t="shared" ca="1" si="145"/>
        <v/>
      </c>
      <c r="Q223" s="408" t="str">
        <f t="shared" ca="1" si="145"/>
        <v/>
      </c>
      <c r="R223" s="410" t="str">
        <f ca="1">Cluster!J242</f>
        <v>Selection</v>
      </c>
      <c r="S223" s="411" t="str">
        <f t="shared" ca="1" si="122"/>
        <v>-</v>
      </c>
      <c r="T223" s="412" t="str">
        <f t="shared" ca="1" si="123"/>
        <v/>
      </c>
      <c r="U223" s="411" t="str">
        <f t="shared" ca="1" si="124"/>
        <v>-</v>
      </c>
      <c r="V223" s="411" t="str">
        <f t="shared" ca="1" si="125"/>
        <v>-</v>
      </c>
      <c r="W223" s="413">
        <f>Cluster!N242</f>
        <v>0</v>
      </c>
      <c r="X223" s="414" t="str">
        <f t="shared" ca="1" si="126"/>
        <v>-</v>
      </c>
      <c r="Y223" s="411" t="str">
        <f t="shared" ca="1" si="127"/>
        <v>-</v>
      </c>
      <c r="Z223" s="415" t="str">
        <f t="shared" ca="1" si="128"/>
        <v>-</v>
      </c>
      <c r="AA223" s="416" t="str">
        <f t="shared" ca="1" si="129"/>
        <v>-</v>
      </c>
      <c r="AB223" s="416" t="str">
        <f t="shared" ca="1" si="130"/>
        <v/>
      </c>
      <c r="AC223" s="434">
        <f>Cluster!Q242</f>
        <v>0</v>
      </c>
      <c r="AD223" s="435" t="str">
        <f t="shared" ca="1" si="143"/>
        <v/>
      </c>
      <c r="AE223" s="436" t="str">
        <f t="shared" ca="1" si="143"/>
        <v/>
      </c>
      <c r="AF223" s="437" t="str">
        <f t="shared" ca="1" si="131"/>
        <v>-</v>
      </c>
      <c r="AG223" s="438" t="str">
        <f t="shared" ca="1" si="132"/>
        <v>-</v>
      </c>
      <c r="AH223" s="437" t="str">
        <f t="shared" ca="1" si="133"/>
        <v>-</v>
      </c>
      <c r="AI223" s="438" t="str">
        <f t="shared" ca="1" si="134"/>
        <v>-</v>
      </c>
      <c r="AJ223" s="438" t="str">
        <f t="shared" ca="1" si="135"/>
        <v>-</v>
      </c>
      <c r="AK223" s="439" t="str">
        <f ca="1">IFERROR(AE223*AD223*AL223/(IF(Cluster!AA242=Cluster!$W$8,Cluster!$W$10,IF(Cluster!AA242=Cluster!$X$8,Cluster!$X$10,IF(Cluster!AA242=Cluster!$Y$8,Cluster!$Y$10,0)))*10^3),"-")</f>
        <v>-</v>
      </c>
      <c r="AL223" s="440" t="str">
        <f ca="1">IFERROR(IF(OR(Calculation!T223&lt;(Calculation!$U$8+2),Calculation!AC223="Bypass"),IF((IF(Calculation!$O$6/((Calculation!AD223*10^-12)/(Calculation!T223*10^-9)*50)&lt;=1,1,ROUNDUP(Calculation!$O$6/((Calculation!AD223*10^-12)/(Calculation!T223*10^-9)*50),0))*50)&lt;Calculation!$AK$6,Calculation!$AK$6,IF(Calculation!$O$6/((Calculation!AD223*10^-12)/(Calculation!T223*10^-9)*50)&lt;=1,1,ROUNDUP(Calculation!$O$6/((Calculation!AD223*10^-12)/(Calculation!T223*10^-9)*50),0))*50),"-"),"-")</f>
        <v>-</v>
      </c>
      <c r="AM223" s="441" t="str">
        <f t="shared" ca="1" si="144"/>
        <v/>
      </c>
      <c r="AN223" s="442" t="str">
        <f t="shared" ca="1" si="144"/>
        <v/>
      </c>
      <c r="AO223" s="432">
        <f t="shared" ca="1" si="136"/>
        <v>384</v>
      </c>
      <c r="AP223" s="427" t="str">
        <f t="shared" ca="1" si="137"/>
        <v>-</v>
      </c>
      <c r="AQ223" s="443" t="str">
        <f t="shared" ca="1" si="138"/>
        <v>-</v>
      </c>
      <c r="AR223" s="444" t="str">
        <f t="shared" ca="1" si="139"/>
        <v>-</v>
      </c>
      <c r="AS223" s="430" t="str">
        <f t="shared" ca="1" si="140"/>
        <v>-</v>
      </c>
    </row>
    <row r="224" spans="1:45" ht="14.25" x14ac:dyDescent="0.65">
      <c r="A224" s="407">
        <v>216</v>
      </c>
      <c r="B224" s="408" t="str">
        <f t="shared" ca="1" si="121"/>
        <v/>
      </c>
      <c r="C224" s="408" t="str">
        <f ca="1">IFERROR(IF(G224="","",CONCATENATE(E224,"-",INDEX(Coordinate,MATCH(F224,ListAndConversion!$X$4:$X$99,0),2))),"")</f>
        <v/>
      </c>
      <c r="D224" s="408" t="str">
        <f t="shared" ca="1" si="141"/>
        <v/>
      </c>
      <c r="E224" s="408" t="str">
        <f t="shared" ca="1" si="141"/>
        <v/>
      </c>
      <c r="F224" s="408" t="str">
        <f t="shared" ca="1" si="141"/>
        <v/>
      </c>
      <c r="G224" s="408" t="str">
        <f ca="1">IFERROR(INDEX(ListAndConversion!A:B,MATCH(Calculation!E224,ListAndConversion!A:A,0),2),"")</f>
        <v/>
      </c>
      <c r="H224" s="408" t="str">
        <f>IF(TrackIT_Lines!AD216="","",TrackIT_Lines!AD216)</f>
        <v/>
      </c>
      <c r="I224" s="408" t="str">
        <f>IF(TrackIT_Lines!AD216="","",CONCATENATE(TrackIT_Lines!AD216,"-",TrackIT_Lines!AG216))</f>
        <v/>
      </c>
      <c r="J224" s="409" t="str">
        <f t="shared" ca="1" si="145"/>
        <v/>
      </c>
      <c r="K224" s="408" t="str">
        <f t="shared" ca="1" si="145"/>
        <v/>
      </c>
      <c r="L224" s="408" t="str">
        <f t="shared" ca="1" si="145"/>
        <v/>
      </c>
      <c r="M224" s="408" t="str">
        <f t="shared" ca="1" si="145"/>
        <v/>
      </c>
      <c r="N224" s="408" t="str">
        <f t="shared" ca="1" si="145"/>
        <v/>
      </c>
      <c r="O224" s="408" t="str">
        <f t="shared" ca="1" si="145"/>
        <v/>
      </c>
      <c r="P224" s="408" t="str">
        <f t="shared" ca="1" si="145"/>
        <v/>
      </c>
      <c r="Q224" s="408" t="str">
        <f t="shared" ca="1" si="145"/>
        <v/>
      </c>
      <c r="R224" s="410" t="str">
        <f ca="1">Cluster!J243</f>
        <v>Selection</v>
      </c>
      <c r="S224" s="411" t="str">
        <f t="shared" ca="1" si="122"/>
        <v>-</v>
      </c>
      <c r="T224" s="412" t="str">
        <f t="shared" ca="1" si="123"/>
        <v/>
      </c>
      <c r="U224" s="411" t="str">
        <f t="shared" ca="1" si="124"/>
        <v>-</v>
      </c>
      <c r="V224" s="411" t="str">
        <f t="shared" ca="1" si="125"/>
        <v>-</v>
      </c>
      <c r="W224" s="413">
        <f>Cluster!N243</f>
        <v>0</v>
      </c>
      <c r="X224" s="414" t="str">
        <f t="shared" ca="1" si="126"/>
        <v>-</v>
      </c>
      <c r="Y224" s="411" t="str">
        <f t="shared" ca="1" si="127"/>
        <v>-</v>
      </c>
      <c r="Z224" s="415" t="str">
        <f t="shared" ca="1" si="128"/>
        <v>-</v>
      </c>
      <c r="AA224" s="416" t="str">
        <f t="shared" ca="1" si="129"/>
        <v>-</v>
      </c>
      <c r="AB224" s="416" t="str">
        <f t="shared" ca="1" si="130"/>
        <v/>
      </c>
      <c r="AC224" s="434">
        <f>Cluster!Q243</f>
        <v>0</v>
      </c>
      <c r="AD224" s="435" t="str">
        <f t="shared" ca="1" si="143"/>
        <v/>
      </c>
      <c r="AE224" s="436" t="str">
        <f t="shared" ca="1" si="143"/>
        <v/>
      </c>
      <c r="AF224" s="437" t="str">
        <f t="shared" ca="1" si="131"/>
        <v>-</v>
      </c>
      <c r="AG224" s="438" t="str">
        <f t="shared" ca="1" si="132"/>
        <v>-</v>
      </c>
      <c r="AH224" s="437" t="str">
        <f t="shared" ca="1" si="133"/>
        <v>-</v>
      </c>
      <c r="AI224" s="438" t="str">
        <f t="shared" ca="1" si="134"/>
        <v>-</v>
      </c>
      <c r="AJ224" s="438" t="str">
        <f t="shared" ca="1" si="135"/>
        <v>-</v>
      </c>
      <c r="AK224" s="439" t="str">
        <f ca="1">IFERROR(AE224*AD224*AL224/(IF(Cluster!AA243=Cluster!$W$8,Cluster!$W$10,IF(Cluster!AA243=Cluster!$X$8,Cluster!$X$10,IF(Cluster!AA243=Cluster!$Y$8,Cluster!$Y$10,0)))*10^3),"-")</f>
        <v>-</v>
      </c>
      <c r="AL224" s="440" t="str">
        <f ca="1">IFERROR(IF(OR(Calculation!T224&lt;(Calculation!$U$8+2),Calculation!AC224="Bypass"),IF((IF(Calculation!$O$6/((Calculation!AD224*10^-12)/(Calculation!T224*10^-9)*50)&lt;=1,1,ROUNDUP(Calculation!$O$6/((Calculation!AD224*10^-12)/(Calculation!T224*10^-9)*50),0))*50)&lt;Calculation!$AK$6,Calculation!$AK$6,IF(Calculation!$O$6/((Calculation!AD224*10^-12)/(Calculation!T224*10^-9)*50)&lt;=1,1,ROUNDUP(Calculation!$O$6/((Calculation!AD224*10^-12)/(Calculation!T224*10^-9)*50),0))*50),"-"),"-")</f>
        <v>-</v>
      </c>
      <c r="AM224" s="441" t="str">
        <f t="shared" ca="1" si="144"/>
        <v/>
      </c>
      <c r="AN224" s="442" t="str">
        <f t="shared" ca="1" si="144"/>
        <v/>
      </c>
      <c r="AO224" s="432">
        <f t="shared" ca="1" si="136"/>
        <v>384</v>
      </c>
      <c r="AP224" s="427" t="str">
        <f t="shared" ca="1" si="137"/>
        <v>-</v>
      </c>
      <c r="AQ224" s="443" t="str">
        <f t="shared" ca="1" si="138"/>
        <v>-</v>
      </c>
      <c r="AR224" s="444" t="str">
        <f t="shared" ca="1" si="139"/>
        <v>-</v>
      </c>
      <c r="AS224" s="430" t="str">
        <f t="shared" ca="1" si="140"/>
        <v>-</v>
      </c>
    </row>
    <row r="225" spans="1:45" ht="14.25" x14ac:dyDescent="0.65">
      <c r="A225" s="407">
        <v>217</v>
      </c>
      <c r="B225" s="408" t="str">
        <f t="shared" ca="1" si="121"/>
        <v/>
      </c>
      <c r="C225" s="408" t="str">
        <f ca="1">IFERROR(IF(G225="","",CONCATENATE(E225,"-",INDEX(Coordinate,MATCH(F225,ListAndConversion!$X$4:$X$99,0),2))),"")</f>
        <v/>
      </c>
      <c r="D225" s="408" t="str">
        <f t="shared" ca="1" si="141"/>
        <v/>
      </c>
      <c r="E225" s="408" t="str">
        <f t="shared" ca="1" si="141"/>
        <v/>
      </c>
      <c r="F225" s="408" t="str">
        <f t="shared" ca="1" si="141"/>
        <v/>
      </c>
      <c r="G225" s="408" t="str">
        <f ca="1">IFERROR(INDEX(ListAndConversion!A:B,MATCH(Calculation!E225,ListAndConversion!A:A,0),2),"")</f>
        <v/>
      </c>
      <c r="H225" s="408" t="str">
        <f>IF(TrackIT_Lines!AD217="","",TrackIT_Lines!AD217)</f>
        <v/>
      </c>
      <c r="I225" s="408" t="str">
        <f>IF(TrackIT_Lines!AD217="","",CONCATENATE(TrackIT_Lines!AD217,"-",TrackIT_Lines!AG217))</f>
        <v/>
      </c>
      <c r="J225" s="409" t="str">
        <f t="shared" ca="1" si="145"/>
        <v/>
      </c>
      <c r="K225" s="408" t="str">
        <f t="shared" ca="1" si="145"/>
        <v/>
      </c>
      <c r="L225" s="408" t="str">
        <f t="shared" ca="1" si="145"/>
        <v/>
      </c>
      <c r="M225" s="408" t="str">
        <f t="shared" ca="1" si="145"/>
        <v/>
      </c>
      <c r="N225" s="408" t="str">
        <f t="shared" ca="1" si="145"/>
        <v/>
      </c>
      <c r="O225" s="408" t="str">
        <f t="shared" ca="1" si="145"/>
        <v/>
      </c>
      <c r="P225" s="408" t="str">
        <f t="shared" ca="1" si="145"/>
        <v/>
      </c>
      <c r="Q225" s="408" t="str">
        <f t="shared" ca="1" si="145"/>
        <v/>
      </c>
      <c r="R225" s="410" t="str">
        <f ca="1">Cluster!J244</f>
        <v>Selection</v>
      </c>
      <c r="S225" s="411" t="str">
        <f t="shared" ca="1" si="122"/>
        <v>-</v>
      </c>
      <c r="T225" s="412" t="str">
        <f t="shared" ca="1" si="123"/>
        <v/>
      </c>
      <c r="U225" s="411" t="str">
        <f t="shared" ca="1" si="124"/>
        <v>-</v>
      </c>
      <c r="V225" s="411" t="str">
        <f t="shared" ca="1" si="125"/>
        <v>-</v>
      </c>
      <c r="W225" s="413">
        <f>Cluster!N244</f>
        <v>0</v>
      </c>
      <c r="X225" s="414" t="str">
        <f t="shared" ca="1" si="126"/>
        <v>-</v>
      </c>
      <c r="Y225" s="411" t="str">
        <f t="shared" ca="1" si="127"/>
        <v>-</v>
      </c>
      <c r="Z225" s="415" t="str">
        <f t="shared" ca="1" si="128"/>
        <v>-</v>
      </c>
      <c r="AA225" s="416" t="str">
        <f t="shared" ca="1" si="129"/>
        <v>-</v>
      </c>
      <c r="AB225" s="416" t="str">
        <f t="shared" ca="1" si="130"/>
        <v/>
      </c>
      <c r="AC225" s="434">
        <f>Cluster!Q244</f>
        <v>0</v>
      </c>
      <c r="AD225" s="435" t="str">
        <f t="shared" ca="1" si="143"/>
        <v/>
      </c>
      <c r="AE225" s="436" t="str">
        <f t="shared" ca="1" si="143"/>
        <v/>
      </c>
      <c r="AF225" s="437" t="str">
        <f t="shared" ca="1" si="131"/>
        <v>-</v>
      </c>
      <c r="AG225" s="438" t="str">
        <f t="shared" ca="1" si="132"/>
        <v>-</v>
      </c>
      <c r="AH225" s="437" t="str">
        <f t="shared" ca="1" si="133"/>
        <v>-</v>
      </c>
      <c r="AI225" s="438" t="str">
        <f t="shared" ca="1" si="134"/>
        <v>-</v>
      </c>
      <c r="AJ225" s="438" t="str">
        <f t="shared" ca="1" si="135"/>
        <v>-</v>
      </c>
      <c r="AK225" s="439" t="str">
        <f ca="1">IFERROR(AE225*AD225*AL225/(IF(Cluster!AA244=Cluster!$W$8,Cluster!$W$10,IF(Cluster!AA244=Cluster!$X$8,Cluster!$X$10,IF(Cluster!AA244=Cluster!$Y$8,Cluster!$Y$10,0)))*10^3),"-")</f>
        <v>-</v>
      </c>
      <c r="AL225" s="440" t="str">
        <f ca="1">IFERROR(IF(OR(Calculation!T225&lt;(Calculation!$U$8+2),Calculation!AC225="Bypass"),IF((IF(Calculation!$O$6/((Calculation!AD225*10^-12)/(Calculation!T225*10^-9)*50)&lt;=1,1,ROUNDUP(Calculation!$O$6/((Calculation!AD225*10^-12)/(Calculation!T225*10^-9)*50),0))*50)&lt;Calculation!$AK$6,Calculation!$AK$6,IF(Calculation!$O$6/((Calculation!AD225*10^-12)/(Calculation!T225*10^-9)*50)&lt;=1,1,ROUNDUP(Calculation!$O$6/((Calculation!AD225*10^-12)/(Calculation!T225*10^-9)*50),0))*50),"-"),"-")</f>
        <v>-</v>
      </c>
      <c r="AM225" s="441" t="str">
        <f t="shared" ca="1" si="144"/>
        <v/>
      </c>
      <c r="AN225" s="442" t="str">
        <f t="shared" ca="1" si="144"/>
        <v/>
      </c>
      <c r="AO225" s="432">
        <f t="shared" ca="1" si="136"/>
        <v>384</v>
      </c>
      <c r="AP225" s="427" t="str">
        <f t="shared" ca="1" si="137"/>
        <v>-</v>
      </c>
      <c r="AQ225" s="443" t="str">
        <f t="shared" ca="1" si="138"/>
        <v>-</v>
      </c>
      <c r="AR225" s="444" t="str">
        <f t="shared" ca="1" si="139"/>
        <v>-</v>
      </c>
      <c r="AS225" s="430" t="str">
        <f t="shared" ca="1" si="140"/>
        <v>-</v>
      </c>
    </row>
    <row r="226" spans="1:45" ht="14.25" x14ac:dyDescent="0.65">
      <c r="A226" s="407">
        <v>218</v>
      </c>
      <c r="B226" s="408" t="str">
        <f t="shared" ca="1" si="121"/>
        <v/>
      </c>
      <c r="C226" s="408" t="str">
        <f ca="1">IFERROR(IF(G226="","",CONCATENATE(E226,"-",INDEX(Coordinate,MATCH(F226,ListAndConversion!$X$4:$X$99,0),2))),"")</f>
        <v/>
      </c>
      <c r="D226" s="408" t="str">
        <f t="shared" ca="1" si="141"/>
        <v/>
      </c>
      <c r="E226" s="408" t="str">
        <f t="shared" ca="1" si="141"/>
        <v/>
      </c>
      <c r="F226" s="408" t="str">
        <f t="shared" ca="1" si="141"/>
        <v/>
      </c>
      <c r="G226" s="408" t="str">
        <f ca="1">IFERROR(INDEX(ListAndConversion!A:B,MATCH(Calculation!E226,ListAndConversion!A:A,0),2),"")</f>
        <v/>
      </c>
      <c r="H226" s="408" t="str">
        <f>IF(TrackIT_Lines!AD218="","",TrackIT_Lines!AD218)</f>
        <v/>
      </c>
      <c r="I226" s="408" t="str">
        <f>IF(TrackIT_Lines!AD218="","",CONCATENATE(TrackIT_Lines!AD218,"-",TrackIT_Lines!AG218))</f>
        <v/>
      </c>
      <c r="J226" s="409" t="str">
        <f t="shared" ca="1" si="145"/>
        <v/>
      </c>
      <c r="K226" s="408" t="str">
        <f t="shared" ca="1" si="145"/>
        <v/>
      </c>
      <c r="L226" s="408" t="str">
        <f t="shared" ca="1" si="145"/>
        <v/>
      </c>
      <c r="M226" s="408" t="str">
        <f t="shared" ca="1" si="145"/>
        <v/>
      </c>
      <c r="N226" s="408" t="str">
        <f t="shared" ca="1" si="145"/>
        <v/>
      </c>
      <c r="O226" s="408" t="str">
        <f t="shared" ca="1" si="145"/>
        <v/>
      </c>
      <c r="P226" s="408" t="str">
        <f t="shared" ca="1" si="145"/>
        <v/>
      </c>
      <c r="Q226" s="408" t="str">
        <f t="shared" ca="1" si="145"/>
        <v/>
      </c>
      <c r="R226" s="410" t="str">
        <f ca="1">Cluster!J245</f>
        <v>Selection</v>
      </c>
      <c r="S226" s="411" t="str">
        <f t="shared" ca="1" si="122"/>
        <v>-</v>
      </c>
      <c r="T226" s="412" t="str">
        <f t="shared" ca="1" si="123"/>
        <v/>
      </c>
      <c r="U226" s="411" t="str">
        <f t="shared" ca="1" si="124"/>
        <v>-</v>
      </c>
      <c r="V226" s="411" t="str">
        <f t="shared" ca="1" si="125"/>
        <v>-</v>
      </c>
      <c r="W226" s="413">
        <f>Cluster!N245</f>
        <v>0</v>
      </c>
      <c r="X226" s="414" t="str">
        <f t="shared" ca="1" si="126"/>
        <v>-</v>
      </c>
      <c r="Y226" s="411" t="str">
        <f t="shared" ca="1" si="127"/>
        <v>-</v>
      </c>
      <c r="Z226" s="415" t="str">
        <f t="shared" ca="1" si="128"/>
        <v>-</v>
      </c>
      <c r="AA226" s="416" t="str">
        <f t="shared" ca="1" si="129"/>
        <v>-</v>
      </c>
      <c r="AB226" s="416" t="str">
        <f t="shared" ca="1" si="130"/>
        <v/>
      </c>
      <c r="AC226" s="434">
        <f>Cluster!Q245</f>
        <v>0</v>
      </c>
      <c r="AD226" s="435" t="str">
        <f t="shared" ca="1" si="143"/>
        <v/>
      </c>
      <c r="AE226" s="436" t="str">
        <f t="shared" ca="1" si="143"/>
        <v/>
      </c>
      <c r="AF226" s="437" t="str">
        <f t="shared" ca="1" si="131"/>
        <v>-</v>
      </c>
      <c r="AG226" s="438" t="str">
        <f t="shared" ca="1" si="132"/>
        <v>-</v>
      </c>
      <c r="AH226" s="437" t="str">
        <f t="shared" ca="1" si="133"/>
        <v>-</v>
      </c>
      <c r="AI226" s="438" t="str">
        <f t="shared" ca="1" si="134"/>
        <v>-</v>
      </c>
      <c r="AJ226" s="438" t="str">
        <f t="shared" ca="1" si="135"/>
        <v>-</v>
      </c>
      <c r="AK226" s="439" t="str">
        <f ca="1">IFERROR(AE226*AD226*AL226/(IF(Cluster!AA245=Cluster!$W$8,Cluster!$W$10,IF(Cluster!AA245=Cluster!$X$8,Cluster!$X$10,IF(Cluster!AA245=Cluster!$Y$8,Cluster!$Y$10,0)))*10^3),"-")</f>
        <v>-</v>
      </c>
      <c r="AL226" s="440" t="str">
        <f ca="1">IFERROR(IF(OR(Calculation!T226&lt;(Calculation!$U$8+2),Calculation!AC226="Bypass"),IF((IF(Calculation!$O$6/((Calculation!AD226*10^-12)/(Calculation!T226*10^-9)*50)&lt;=1,1,ROUNDUP(Calculation!$O$6/((Calculation!AD226*10^-12)/(Calculation!T226*10^-9)*50),0))*50)&lt;Calculation!$AK$6,Calculation!$AK$6,IF(Calculation!$O$6/((Calculation!AD226*10^-12)/(Calculation!T226*10^-9)*50)&lt;=1,1,ROUNDUP(Calculation!$O$6/((Calculation!AD226*10^-12)/(Calculation!T226*10^-9)*50),0))*50),"-"),"-")</f>
        <v>-</v>
      </c>
      <c r="AM226" s="441" t="str">
        <f t="shared" ca="1" si="144"/>
        <v/>
      </c>
      <c r="AN226" s="442" t="str">
        <f t="shared" ca="1" si="144"/>
        <v/>
      </c>
      <c r="AO226" s="432">
        <f t="shared" ca="1" si="136"/>
        <v>384</v>
      </c>
      <c r="AP226" s="427" t="str">
        <f t="shared" ca="1" si="137"/>
        <v>-</v>
      </c>
      <c r="AQ226" s="443" t="str">
        <f t="shared" ca="1" si="138"/>
        <v>-</v>
      </c>
      <c r="AR226" s="444" t="str">
        <f t="shared" ca="1" si="139"/>
        <v>-</v>
      </c>
      <c r="AS226" s="430" t="str">
        <f t="shared" ca="1" si="140"/>
        <v>-</v>
      </c>
    </row>
    <row r="227" spans="1:45" ht="14.25" x14ac:dyDescent="0.65">
      <c r="A227" s="407">
        <v>219</v>
      </c>
      <c r="B227" s="408" t="str">
        <f t="shared" ca="1" si="121"/>
        <v/>
      </c>
      <c r="C227" s="408" t="str">
        <f ca="1">IFERROR(IF(G227="","",CONCATENATE(E227,"-",INDEX(Coordinate,MATCH(F227,ListAndConversion!$X$4:$X$99,0),2))),"")</f>
        <v/>
      </c>
      <c r="D227" s="408" t="str">
        <f t="shared" ca="1" si="141"/>
        <v/>
      </c>
      <c r="E227" s="408" t="str">
        <f t="shared" ca="1" si="141"/>
        <v/>
      </c>
      <c r="F227" s="408" t="str">
        <f t="shared" ca="1" si="141"/>
        <v/>
      </c>
      <c r="G227" s="408" t="str">
        <f ca="1">IFERROR(INDEX(ListAndConversion!A:B,MATCH(Calculation!E227,ListAndConversion!A:A,0),2),"")</f>
        <v/>
      </c>
      <c r="H227" s="408" t="str">
        <f>IF(TrackIT_Lines!AD219="","",TrackIT_Lines!AD219)</f>
        <v/>
      </c>
      <c r="I227" s="408" t="str">
        <f>IF(TrackIT_Lines!AD219="","",CONCATENATE(TrackIT_Lines!AD219,"-",TrackIT_Lines!AG219))</f>
        <v/>
      </c>
      <c r="J227" s="409" t="str">
        <f t="shared" ca="1" si="145"/>
        <v/>
      </c>
      <c r="K227" s="408" t="str">
        <f t="shared" ca="1" si="145"/>
        <v/>
      </c>
      <c r="L227" s="408" t="str">
        <f t="shared" ca="1" si="145"/>
        <v/>
      </c>
      <c r="M227" s="408" t="str">
        <f t="shared" ca="1" si="145"/>
        <v/>
      </c>
      <c r="N227" s="408" t="str">
        <f t="shared" ca="1" si="145"/>
        <v/>
      </c>
      <c r="O227" s="408" t="str">
        <f t="shared" ca="1" si="145"/>
        <v/>
      </c>
      <c r="P227" s="408" t="str">
        <f t="shared" ca="1" si="145"/>
        <v/>
      </c>
      <c r="Q227" s="408" t="str">
        <f t="shared" ca="1" si="145"/>
        <v/>
      </c>
      <c r="R227" s="410" t="str">
        <f ca="1">Cluster!J246</f>
        <v>Selection</v>
      </c>
      <c r="S227" s="411" t="str">
        <f t="shared" ca="1" si="122"/>
        <v>-</v>
      </c>
      <c r="T227" s="412" t="str">
        <f t="shared" ca="1" si="123"/>
        <v/>
      </c>
      <c r="U227" s="411" t="str">
        <f t="shared" ca="1" si="124"/>
        <v>-</v>
      </c>
      <c r="V227" s="411" t="str">
        <f t="shared" ca="1" si="125"/>
        <v>-</v>
      </c>
      <c r="W227" s="413">
        <f>Cluster!N246</f>
        <v>0</v>
      </c>
      <c r="X227" s="414" t="str">
        <f t="shared" ca="1" si="126"/>
        <v>-</v>
      </c>
      <c r="Y227" s="411" t="str">
        <f t="shared" ca="1" si="127"/>
        <v>-</v>
      </c>
      <c r="Z227" s="415" t="str">
        <f t="shared" ca="1" si="128"/>
        <v>-</v>
      </c>
      <c r="AA227" s="416" t="str">
        <f t="shared" ca="1" si="129"/>
        <v>-</v>
      </c>
      <c r="AB227" s="416" t="str">
        <f t="shared" ca="1" si="130"/>
        <v/>
      </c>
      <c r="AC227" s="434">
        <f>Cluster!Q246</f>
        <v>0</v>
      </c>
      <c r="AD227" s="435" t="str">
        <f t="shared" ca="1" si="143"/>
        <v/>
      </c>
      <c r="AE227" s="436" t="str">
        <f t="shared" ca="1" si="143"/>
        <v/>
      </c>
      <c r="AF227" s="437" t="str">
        <f t="shared" ca="1" si="131"/>
        <v>-</v>
      </c>
      <c r="AG227" s="438" t="str">
        <f t="shared" ca="1" si="132"/>
        <v>-</v>
      </c>
      <c r="AH227" s="437" t="str">
        <f t="shared" ca="1" si="133"/>
        <v>-</v>
      </c>
      <c r="AI227" s="438" t="str">
        <f t="shared" ca="1" si="134"/>
        <v>-</v>
      </c>
      <c r="AJ227" s="438" t="str">
        <f t="shared" ca="1" si="135"/>
        <v>-</v>
      </c>
      <c r="AK227" s="439" t="str">
        <f ca="1">IFERROR(AE227*AD227*AL227/(IF(Cluster!AA246=Cluster!$W$8,Cluster!$W$10,IF(Cluster!AA246=Cluster!$X$8,Cluster!$X$10,IF(Cluster!AA246=Cluster!$Y$8,Cluster!$Y$10,0)))*10^3),"-")</f>
        <v>-</v>
      </c>
      <c r="AL227" s="440" t="str">
        <f ca="1">IFERROR(IF(OR(Calculation!T227&lt;(Calculation!$U$8+2),Calculation!AC227="Bypass"),IF((IF(Calculation!$O$6/((Calculation!AD227*10^-12)/(Calculation!T227*10^-9)*50)&lt;=1,1,ROUNDUP(Calculation!$O$6/((Calculation!AD227*10^-12)/(Calculation!T227*10^-9)*50),0))*50)&lt;Calculation!$AK$6,Calculation!$AK$6,IF(Calculation!$O$6/((Calculation!AD227*10^-12)/(Calculation!T227*10^-9)*50)&lt;=1,1,ROUNDUP(Calculation!$O$6/((Calculation!AD227*10^-12)/(Calculation!T227*10^-9)*50),0))*50),"-"),"-")</f>
        <v>-</v>
      </c>
      <c r="AM227" s="441" t="str">
        <f t="shared" ca="1" si="144"/>
        <v/>
      </c>
      <c r="AN227" s="442" t="str">
        <f t="shared" ca="1" si="144"/>
        <v/>
      </c>
      <c r="AO227" s="432">
        <f t="shared" ca="1" si="136"/>
        <v>384</v>
      </c>
      <c r="AP227" s="427" t="str">
        <f t="shared" ca="1" si="137"/>
        <v>-</v>
      </c>
      <c r="AQ227" s="443" t="str">
        <f t="shared" ca="1" si="138"/>
        <v>-</v>
      </c>
      <c r="AR227" s="444" t="str">
        <f t="shared" ca="1" si="139"/>
        <v>-</v>
      </c>
      <c r="AS227" s="430" t="str">
        <f t="shared" ca="1" si="140"/>
        <v>-</v>
      </c>
    </row>
    <row r="228" spans="1:45" ht="14.25" x14ac:dyDescent="0.65">
      <c r="A228" s="407">
        <v>220</v>
      </c>
      <c r="B228" s="408" t="str">
        <f t="shared" ca="1" si="121"/>
        <v/>
      </c>
      <c r="C228" s="408" t="str">
        <f ca="1">IFERROR(IF(G228="","",CONCATENATE(E228,"-",INDEX(Coordinate,MATCH(F228,ListAndConversion!$X$4:$X$99,0),2))),"")</f>
        <v/>
      </c>
      <c r="D228" s="408" t="str">
        <f t="shared" ca="1" si="141"/>
        <v/>
      </c>
      <c r="E228" s="408" t="str">
        <f t="shared" ca="1" si="141"/>
        <v/>
      </c>
      <c r="F228" s="408" t="str">
        <f t="shared" ca="1" si="141"/>
        <v/>
      </c>
      <c r="G228" s="408" t="str">
        <f ca="1">IFERROR(INDEX(ListAndConversion!A:B,MATCH(Calculation!E228,ListAndConversion!A:A,0),2),"")</f>
        <v/>
      </c>
      <c r="H228" s="408" t="str">
        <f>IF(TrackIT_Lines!AD220="","",TrackIT_Lines!AD220)</f>
        <v/>
      </c>
      <c r="I228" s="408" t="str">
        <f>IF(TrackIT_Lines!AD220="","",CONCATENATE(TrackIT_Lines!AD220,"-",TrackIT_Lines!AG220))</f>
        <v/>
      </c>
      <c r="J228" s="409" t="str">
        <f t="shared" ca="1" si="145"/>
        <v/>
      </c>
      <c r="K228" s="408" t="str">
        <f t="shared" ca="1" si="145"/>
        <v/>
      </c>
      <c r="L228" s="408" t="str">
        <f t="shared" ca="1" si="145"/>
        <v/>
      </c>
      <c r="M228" s="408" t="str">
        <f t="shared" ca="1" si="145"/>
        <v/>
      </c>
      <c r="N228" s="408" t="str">
        <f t="shared" ca="1" si="145"/>
        <v/>
      </c>
      <c r="O228" s="408" t="str">
        <f t="shared" ca="1" si="145"/>
        <v/>
      </c>
      <c r="P228" s="408" t="str">
        <f t="shared" ca="1" si="145"/>
        <v/>
      </c>
      <c r="Q228" s="408" t="str">
        <f t="shared" ca="1" si="145"/>
        <v/>
      </c>
      <c r="R228" s="410" t="str">
        <f ca="1">Cluster!J247</f>
        <v>Selection</v>
      </c>
      <c r="S228" s="411" t="str">
        <f t="shared" ca="1" si="122"/>
        <v>-</v>
      </c>
      <c r="T228" s="412" t="str">
        <f t="shared" ca="1" si="123"/>
        <v/>
      </c>
      <c r="U228" s="411" t="str">
        <f t="shared" ca="1" si="124"/>
        <v>-</v>
      </c>
      <c r="V228" s="411" t="str">
        <f t="shared" ca="1" si="125"/>
        <v>-</v>
      </c>
      <c r="W228" s="413">
        <f>Cluster!N247</f>
        <v>0</v>
      </c>
      <c r="X228" s="414" t="str">
        <f t="shared" ca="1" si="126"/>
        <v>-</v>
      </c>
      <c r="Y228" s="411" t="str">
        <f t="shared" ca="1" si="127"/>
        <v>-</v>
      </c>
      <c r="Z228" s="415" t="str">
        <f t="shared" ca="1" si="128"/>
        <v>-</v>
      </c>
      <c r="AA228" s="416" t="str">
        <f t="shared" ca="1" si="129"/>
        <v>-</v>
      </c>
      <c r="AB228" s="416" t="str">
        <f t="shared" ca="1" si="130"/>
        <v/>
      </c>
      <c r="AC228" s="434">
        <f>Cluster!Q247</f>
        <v>0</v>
      </c>
      <c r="AD228" s="435" t="str">
        <f t="shared" ca="1" si="143"/>
        <v/>
      </c>
      <c r="AE228" s="436" t="str">
        <f t="shared" ca="1" si="143"/>
        <v/>
      </c>
      <c r="AF228" s="437" t="str">
        <f t="shared" ca="1" si="131"/>
        <v>-</v>
      </c>
      <c r="AG228" s="438" t="str">
        <f t="shared" ca="1" si="132"/>
        <v>-</v>
      </c>
      <c r="AH228" s="437" t="str">
        <f t="shared" ca="1" si="133"/>
        <v>-</v>
      </c>
      <c r="AI228" s="438" t="str">
        <f t="shared" ca="1" si="134"/>
        <v>-</v>
      </c>
      <c r="AJ228" s="438" t="str">
        <f t="shared" ca="1" si="135"/>
        <v>-</v>
      </c>
      <c r="AK228" s="439" t="str">
        <f ca="1">IFERROR(AE228*AD228*AL228/(IF(Cluster!AA247=Cluster!$W$8,Cluster!$W$10,IF(Cluster!AA247=Cluster!$X$8,Cluster!$X$10,IF(Cluster!AA247=Cluster!$Y$8,Cluster!$Y$10,0)))*10^3),"-")</f>
        <v>-</v>
      </c>
      <c r="AL228" s="440" t="str">
        <f ca="1">IFERROR(IF(OR(Calculation!T228&lt;(Calculation!$U$8+2),Calculation!AC228="Bypass"),IF((IF(Calculation!$O$6/((Calculation!AD228*10^-12)/(Calculation!T228*10^-9)*50)&lt;=1,1,ROUNDUP(Calculation!$O$6/((Calculation!AD228*10^-12)/(Calculation!T228*10^-9)*50),0))*50)&lt;Calculation!$AK$6,Calculation!$AK$6,IF(Calculation!$O$6/((Calculation!AD228*10^-12)/(Calculation!T228*10^-9)*50)&lt;=1,1,ROUNDUP(Calculation!$O$6/((Calculation!AD228*10^-12)/(Calculation!T228*10^-9)*50),0))*50),"-"),"-")</f>
        <v>-</v>
      </c>
      <c r="AM228" s="441" t="str">
        <f t="shared" ca="1" si="144"/>
        <v/>
      </c>
      <c r="AN228" s="442" t="str">
        <f t="shared" ca="1" si="144"/>
        <v/>
      </c>
      <c r="AO228" s="432">
        <f t="shared" ca="1" si="136"/>
        <v>384</v>
      </c>
      <c r="AP228" s="427" t="str">
        <f t="shared" ca="1" si="137"/>
        <v>-</v>
      </c>
      <c r="AQ228" s="443" t="str">
        <f t="shared" ca="1" si="138"/>
        <v>-</v>
      </c>
      <c r="AR228" s="444" t="str">
        <f t="shared" ca="1" si="139"/>
        <v>-</v>
      </c>
      <c r="AS228" s="430" t="str">
        <f t="shared" ca="1" si="140"/>
        <v>-</v>
      </c>
    </row>
    <row r="229" spans="1:45" ht="14.25" x14ac:dyDescent="0.65">
      <c r="A229" s="407">
        <v>221</v>
      </c>
      <c r="B229" s="408" t="str">
        <f t="shared" ca="1" si="121"/>
        <v/>
      </c>
      <c r="C229" s="408" t="str">
        <f ca="1">IFERROR(IF(G229="","",CONCATENATE(E229,"-",INDEX(Coordinate,MATCH(F229,ListAndConversion!$X$4:$X$99,0),2))),"")</f>
        <v/>
      </c>
      <c r="D229" s="408" t="str">
        <f t="shared" ca="1" si="141"/>
        <v/>
      </c>
      <c r="E229" s="408" t="str">
        <f t="shared" ca="1" si="141"/>
        <v/>
      </c>
      <c r="F229" s="408" t="str">
        <f t="shared" ca="1" si="141"/>
        <v/>
      </c>
      <c r="G229" s="408" t="str">
        <f ca="1">IFERROR(INDEX(ListAndConversion!A:B,MATCH(Calculation!E229,ListAndConversion!A:A,0),2),"")</f>
        <v/>
      </c>
      <c r="H229" s="408" t="str">
        <f>IF(TrackIT_Lines!AD221="","",TrackIT_Lines!AD221)</f>
        <v/>
      </c>
      <c r="I229" s="408" t="str">
        <f>IF(TrackIT_Lines!AD221="","",CONCATENATE(TrackIT_Lines!AD221,"-",TrackIT_Lines!AG221))</f>
        <v/>
      </c>
      <c r="J229" s="409" t="str">
        <f t="shared" ca="1" si="145"/>
        <v/>
      </c>
      <c r="K229" s="408" t="str">
        <f t="shared" ca="1" si="145"/>
        <v/>
      </c>
      <c r="L229" s="408" t="str">
        <f t="shared" ca="1" si="145"/>
        <v/>
      </c>
      <c r="M229" s="408" t="str">
        <f t="shared" ca="1" si="145"/>
        <v/>
      </c>
      <c r="N229" s="408" t="str">
        <f t="shared" ca="1" si="145"/>
        <v/>
      </c>
      <c r="O229" s="408" t="str">
        <f t="shared" ca="1" si="145"/>
        <v/>
      </c>
      <c r="P229" s="408" t="str">
        <f t="shared" ca="1" si="145"/>
        <v/>
      </c>
      <c r="Q229" s="408" t="str">
        <f t="shared" ca="1" si="145"/>
        <v/>
      </c>
      <c r="R229" s="410" t="str">
        <f ca="1">Cluster!J248</f>
        <v>Selection</v>
      </c>
      <c r="S229" s="411" t="str">
        <f t="shared" ca="1" si="122"/>
        <v>-</v>
      </c>
      <c r="T229" s="412" t="str">
        <f t="shared" ca="1" si="123"/>
        <v/>
      </c>
      <c r="U229" s="411" t="str">
        <f t="shared" ca="1" si="124"/>
        <v>-</v>
      </c>
      <c r="V229" s="411" t="str">
        <f t="shared" ca="1" si="125"/>
        <v>-</v>
      </c>
      <c r="W229" s="413">
        <f>Cluster!N248</f>
        <v>0</v>
      </c>
      <c r="X229" s="414" t="str">
        <f t="shared" ca="1" si="126"/>
        <v>-</v>
      </c>
      <c r="Y229" s="411" t="str">
        <f t="shared" ca="1" si="127"/>
        <v>-</v>
      </c>
      <c r="Z229" s="415" t="str">
        <f t="shared" ca="1" si="128"/>
        <v>-</v>
      </c>
      <c r="AA229" s="416" t="str">
        <f t="shared" ca="1" si="129"/>
        <v>-</v>
      </c>
      <c r="AB229" s="416" t="str">
        <f t="shared" ca="1" si="130"/>
        <v/>
      </c>
      <c r="AC229" s="434">
        <f>Cluster!Q248</f>
        <v>0</v>
      </c>
      <c r="AD229" s="435" t="str">
        <f t="shared" ca="1" si="143"/>
        <v/>
      </c>
      <c r="AE229" s="436" t="str">
        <f t="shared" ca="1" si="143"/>
        <v/>
      </c>
      <c r="AF229" s="437" t="str">
        <f t="shared" ca="1" si="131"/>
        <v>-</v>
      </c>
      <c r="AG229" s="438" t="str">
        <f t="shared" ca="1" si="132"/>
        <v>-</v>
      </c>
      <c r="AH229" s="437" t="str">
        <f t="shared" ca="1" si="133"/>
        <v>-</v>
      </c>
      <c r="AI229" s="438" t="str">
        <f t="shared" ca="1" si="134"/>
        <v>-</v>
      </c>
      <c r="AJ229" s="438" t="str">
        <f t="shared" ca="1" si="135"/>
        <v>-</v>
      </c>
      <c r="AK229" s="439" t="str">
        <f ca="1">IFERROR(AE229*AD229*AL229/(IF(Cluster!AA248=Cluster!$W$8,Cluster!$W$10,IF(Cluster!AA248=Cluster!$X$8,Cluster!$X$10,IF(Cluster!AA248=Cluster!$Y$8,Cluster!$Y$10,0)))*10^3),"-")</f>
        <v>-</v>
      </c>
      <c r="AL229" s="440" t="str">
        <f ca="1">IFERROR(IF(OR(Calculation!T229&lt;(Calculation!$U$8+2),Calculation!AC229="Bypass"),IF((IF(Calculation!$O$6/((Calculation!AD229*10^-12)/(Calculation!T229*10^-9)*50)&lt;=1,1,ROUNDUP(Calculation!$O$6/((Calculation!AD229*10^-12)/(Calculation!T229*10^-9)*50),0))*50)&lt;Calculation!$AK$6,Calculation!$AK$6,IF(Calculation!$O$6/((Calculation!AD229*10^-12)/(Calculation!T229*10^-9)*50)&lt;=1,1,ROUNDUP(Calculation!$O$6/((Calculation!AD229*10^-12)/(Calculation!T229*10^-9)*50),0))*50),"-"),"-")</f>
        <v>-</v>
      </c>
      <c r="AM229" s="441" t="str">
        <f t="shared" ca="1" si="144"/>
        <v/>
      </c>
      <c r="AN229" s="442" t="str">
        <f t="shared" ca="1" si="144"/>
        <v/>
      </c>
      <c r="AO229" s="432">
        <f t="shared" ca="1" si="136"/>
        <v>384</v>
      </c>
      <c r="AP229" s="427" t="str">
        <f t="shared" ca="1" si="137"/>
        <v>-</v>
      </c>
      <c r="AQ229" s="443" t="str">
        <f t="shared" ca="1" si="138"/>
        <v>-</v>
      </c>
      <c r="AR229" s="444" t="str">
        <f t="shared" ca="1" si="139"/>
        <v>-</v>
      </c>
      <c r="AS229" s="430" t="str">
        <f t="shared" ca="1" si="140"/>
        <v>-</v>
      </c>
    </row>
    <row r="230" spans="1:45" ht="14.25" x14ac:dyDescent="0.65">
      <c r="A230" s="407">
        <v>222</v>
      </c>
      <c r="B230" s="408" t="str">
        <f t="shared" ca="1" si="121"/>
        <v/>
      </c>
      <c r="C230" s="408" t="str">
        <f ca="1">IFERROR(IF(G230="","",CONCATENATE(E230,"-",INDEX(Coordinate,MATCH(F230,ListAndConversion!$X$4:$X$99,0),2))),"")</f>
        <v/>
      </c>
      <c r="D230" s="408" t="str">
        <f t="shared" ref="D230:F249" ca="1" si="146">IF((INDIRECT("TrackIT_Lines!"&amp;D$2&amp;$A230))="","", (INDIRECT("TrackIT_Lines!"&amp;D$2&amp;$A230)))</f>
        <v/>
      </c>
      <c r="E230" s="408" t="str">
        <f t="shared" ca="1" si="146"/>
        <v/>
      </c>
      <c r="F230" s="408" t="str">
        <f t="shared" ca="1" si="146"/>
        <v/>
      </c>
      <c r="G230" s="408" t="str">
        <f ca="1">IFERROR(INDEX(ListAndConversion!A:B,MATCH(Calculation!E230,ListAndConversion!A:A,0),2),"")</f>
        <v/>
      </c>
      <c r="H230" s="408" t="str">
        <f>IF(TrackIT_Lines!AD222="","",TrackIT_Lines!AD222)</f>
        <v/>
      </c>
      <c r="I230" s="408" t="str">
        <f>IF(TrackIT_Lines!AD222="","",CONCATENATE(TrackIT_Lines!AD222,"-",TrackIT_Lines!AG222))</f>
        <v/>
      </c>
      <c r="J230" s="409" t="str">
        <f t="shared" ref="J230:Q239" ca="1" si="147">IF((INDIRECT("TrackIT_Lines!"&amp;J$2&amp;$A230))="","", (INDIRECT("TrackIT_Lines!"&amp;J$2&amp;$A230)))</f>
        <v/>
      </c>
      <c r="K230" s="408" t="str">
        <f t="shared" ca="1" si="147"/>
        <v/>
      </c>
      <c r="L230" s="408" t="str">
        <f t="shared" ca="1" si="147"/>
        <v/>
      </c>
      <c r="M230" s="408" t="str">
        <f t="shared" ca="1" si="147"/>
        <v/>
      </c>
      <c r="N230" s="408" t="str">
        <f t="shared" ca="1" si="147"/>
        <v/>
      </c>
      <c r="O230" s="408" t="str">
        <f t="shared" ca="1" si="147"/>
        <v/>
      </c>
      <c r="P230" s="408" t="str">
        <f t="shared" ca="1" si="147"/>
        <v/>
      </c>
      <c r="Q230" s="408" t="str">
        <f t="shared" ca="1" si="147"/>
        <v/>
      </c>
      <c r="R230" s="410" t="str">
        <f ca="1">Cluster!J249</f>
        <v>Selection</v>
      </c>
      <c r="S230" s="411" t="str">
        <f t="shared" ca="1" si="122"/>
        <v>-</v>
      </c>
      <c r="T230" s="412" t="str">
        <f t="shared" ca="1" si="123"/>
        <v/>
      </c>
      <c r="U230" s="411" t="str">
        <f t="shared" ca="1" si="124"/>
        <v>-</v>
      </c>
      <c r="V230" s="411" t="str">
        <f t="shared" ca="1" si="125"/>
        <v>-</v>
      </c>
      <c r="W230" s="413">
        <f>Cluster!N249</f>
        <v>0</v>
      </c>
      <c r="X230" s="414" t="str">
        <f t="shared" ca="1" si="126"/>
        <v>-</v>
      </c>
      <c r="Y230" s="411" t="str">
        <f t="shared" ca="1" si="127"/>
        <v>-</v>
      </c>
      <c r="Z230" s="415" t="str">
        <f t="shared" ca="1" si="128"/>
        <v>-</v>
      </c>
      <c r="AA230" s="416" t="str">
        <f t="shared" ca="1" si="129"/>
        <v>-</v>
      </c>
      <c r="AB230" s="416" t="str">
        <f t="shared" ca="1" si="130"/>
        <v/>
      </c>
      <c r="AC230" s="434">
        <f>Cluster!Q249</f>
        <v>0</v>
      </c>
      <c r="AD230" s="435" t="str">
        <f t="shared" ref="AD230:AE249" ca="1" si="148">IF((INDIRECT("TrackIT_Lines!"&amp;AD$2&amp;$A230))="","", (INDIRECT("TrackIT_Lines!"&amp;AD$2&amp;$A230)))</f>
        <v/>
      </c>
      <c r="AE230" s="436" t="str">
        <f t="shared" ca="1" si="148"/>
        <v/>
      </c>
      <c r="AF230" s="437" t="str">
        <f t="shared" ca="1" si="131"/>
        <v>-</v>
      </c>
      <c r="AG230" s="438" t="str">
        <f t="shared" ca="1" si="132"/>
        <v>-</v>
      </c>
      <c r="AH230" s="437" t="str">
        <f t="shared" ca="1" si="133"/>
        <v>-</v>
      </c>
      <c r="AI230" s="438" t="str">
        <f t="shared" ca="1" si="134"/>
        <v>-</v>
      </c>
      <c r="AJ230" s="438" t="str">
        <f t="shared" ca="1" si="135"/>
        <v>-</v>
      </c>
      <c r="AK230" s="439" t="str">
        <f ca="1">IFERROR(AE230*AD230*AL230/(IF(Cluster!AA249=Cluster!$W$8,Cluster!$W$10,IF(Cluster!AA249=Cluster!$X$8,Cluster!$X$10,IF(Cluster!AA249=Cluster!$Y$8,Cluster!$Y$10,0)))*10^3),"-")</f>
        <v>-</v>
      </c>
      <c r="AL230" s="440" t="str">
        <f ca="1">IFERROR(IF(OR(Calculation!T230&lt;(Calculation!$U$8+2),Calculation!AC230="Bypass"),IF((IF(Calculation!$O$6/((Calculation!AD230*10^-12)/(Calculation!T230*10^-9)*50)&lt;=1,1,ROUNDUP(Calculation!$O$6/((Calculation!AD230*10^-12)/(Calculation!T230*10^-9)*50),0))*50)&lt;Calculation!$AK$6,Calculation!$AK$6,IF(Calculation!$O$6/((Calculation!AD230*10^-12)/(Calculation!T230*10^-9)*50)&lt;=1,1,ROUNDUP(Calculation!$O$6/((Calculation!AD230*10^-12)/(Calculation!T230*10^-9)*50),0))*50),"-"),"-")</f>
        <v>-</v>
      </c>
      <c r="AM230" s="441" t="str">
        <f t="shared" ref="AM230:AN249" ca="1" si="149">IF((INDIRECT("TrackIT_Lines!"&amp;AM$2&amp;$A230))="","", (INDIRECT("TrackIT_Lines!"&amp;AM$2&amp;$A230)))</f>
        <v/>
      </c>
      <c r="AN230" s="442" t="str">
        <f t="shared" ca="1" si="149"/>
        <v/>
      </c>
      <c r="AO230" s="432">
        <f t="shared" ca="1" si="136"/>
        <v>384</v>
      </c>
      <c r="AP230" s="427" t="str">
        <f t="shared" ca="1" si="137"/>
        <v>-</v>
      </c>
      <c r="AQ230" s="443" t="str">
        <f t="shared" ca="1" si="138"/>
        <v>-</v>
      </c>
      <c r="AR230" s="444" t="str">
        <f t="shared" ca="1" si="139"/>
        <v>-</v>
      </c>
      <c r="AS230" s="430" t="str">
        <f t="shared" ca="1" si="140"/>
        <v>-</v>
      </c>
    </row>
    <row r="231" spans="1:45" ht="14.25" x14ac:dyDescent="0.65">
      <c r="A231" s="407">
        <v>223</v>
      </c>
      <c r="B231" s="408" t="str">
        <f t="shared" ca="1" si="121"/>
        <v/>
      </c>
      <c r="C231" s="408" t="str">
        <f ca="1">IFERROR(IF(G231="","",CONCATENATE(E231,"-",INDEX(Coordinate,MATCH(F231,ListAndConversion!$X$4:$X$99,0),2))),"")</f>
        <v/>
      </c>
      <c r="D231" s="408" t="str">
        <f t="shared" ca="1" si="146"/>
        <v/>
      </c>
      <c r="E231" s="408" t="str">
        <f t="shared" ca="1" si="146"/>
        <v/>
      </c>
      <c r="F231" s="408" t="str">
        <f t="shared" ca="1" si="146"/>
        <v/>
      </c>
      <c r="G231" s="408" t="str">
        <f ca="1">IFERROR(INDEX(ListAndConversion!A:B,MATCH(Calculation!E231,ListAndConversion!A:A,0),2),"")</f>
        <v/>
      </c>
      <c r="H231" s="408" t="str">
        <f>IF(TrackIT_Lines!AD223="","",TrackIT_Lines!AD223)</f>
        <v/>
      </c>
      <c r="I231" s="408" t="str">
        <f>IF(TrackIT_Lines!AD223="","",CONCATENATE(TrackIT_Lines!AD223,"-",TrackIT_Lines!AG223))</f>
        <v/>
      </c>
      <c r="J231" s="409" t="str">
        <f t="shared" ca="1" si="147"/>
        <v/>
      </c>
      <c r="K231" s="408" t="str">
        <f t="shared" ca="1" si="147"/>
        <v/>
      </c>
      <c r="L231" s="408" t="str">
        <f t="shared" ca="1" si="147"/>
        <v/>
      </c>
      <c r="M231" s="408" t="str">
        <f t="shared" ca="1" si="147"/>
        <v/>
      </c>
      <c r="N231" s="408" t="str">
        <f t="shared" ca="1" si="147"/>
        <v/>
      </c>
      <c r="O231" s="408" t="str">
        <f t="shared" ca="1" si="147"/>
        <v/>
      </c>
      <c r="P231" s="408" t="str">
        <f t="shared" ca="1" si="147"/>
        <v/>
      </c>
      <c r="Q231" s="408" t="str">
        <f t="shared" ca="1" si="147"/>
        <v/>
      </c>
      <c r="R231" s="410" t="str">
        <f ca="1">Cluster!J250</f>
        <v>Selection</v>
      </c>
      <c r="S231" s="411" t="str">
        <f t="shared" ca="1" si="122"/>
        <v>-</v>
      </c>
      <c r="T231" s="412" t="str">
        <f t="shared" ca="1" si="123"/>
        <v/>
      </c>
      <c r="U231" s="411" t="str">
        <f t="shared" ca="1" si="124"/>
        <v>-</v>
      </c>
      <c r="V231" s="411" t="str">
        <f t="shared" ca="1" si="125"/>
        <v>-</v>
      </c>
      <c r="W231" s="413">
        <f>Cluster!N250</f>
        <v>0</v>
      </c>
      <c r="X231" s="414" t="str">
        <f t="shared" ca="1" si="126"/>
        <v>-</v>
      </c>
      <c r="Y231" s="411" t="str">
        <f t="shared" ca="1" si="127"/>
        <v>-</v>
      </c>
      <c r="Z231" s="415" t="str">
        <f t="shared" ca="1" si="128"/>
        <v>-</v>
      </c>
      <c r="AA231" s="416" t="str">
        <f t="shared" ca="1" si="129"/>
        <v>-</v>
      </c>
      <c r="AB231" s="416" t="str">
        <f t="shared" ca="1" si="130"/>
        <v/>
      </c>
      <c r="AC231" s="434">
        <f>Cluster!Q250</f>
        <v>0</v>
      </c>
      <c r="AD231" s="435" t="str">
        <f t="shared" ca="1" si="148"/>
        <v/>
      </c>
      <c r="AE231" s="436" t="str">
        <f t="shared" ca="1" si="148"/>
        <v/>
      </c>
      <c r="AF231" s="437" t="str">
        <f t="shared" ca="1" si="131"/>
        <v>-</v>
      </c>
      <c r="AG231" s="438" t="str">
        <f t="shared" ca="1" si="132"/>
        <v>-</v>
      </c>
      <c r="AH231" s="437" t="str">
        <f t="shared" ca="1" si="133"/>
        <v>-</v>
      </c>
      <c r="AI231" s="438" t="str">
        <f t="shared" ca="1" si="134"/>
        <v>-</v>
      </c>
      <c r="AJ231" s="438" t="str">
        <f t="shared" ca="1" si="135"/>
        <v>-</v>
      </c>
      <c r="AK231" s="439" t="str">
        <f ca="1">IFERROR(AE231*AD231*AL231/(IF(Cluster!AA250=Cluster!$W$8,Cluster!$W$10,IF(Cluster!AA250=Cluster!$X$8,Cluster!$X$10,IF(Cluster!AA250=Cluster!$Y$8,Cluster!$Y$10,0)))*10^3),"-")</f>
        <v>-</v>
      </c>
      <c r="AL231" s="440" t="str">
        <f ca="1">IFERROR(IF(OR(Calculation!T231&lt;(Calculation!$U$8+2),Calculation!AC231="Bypass"),IF((IF(Calculation!$O$6/((Calculation!AD231*10^-12)/(Calculation!T231*10^-9)*50)&lt;=1,1,ROUNDUP(Calculation!$O$6/((Calculation!AD231*10^-12)/(Calculation!T231*10^-9)*50),0))*50)&lt;Calculation!$AK$6,Calculation!$AK$6,IF(Calculation!$O$6/((Calculation!AD231*10^-12)/(Calculation!T231*10^-9)*50)&lt;=1,1,ROUNDUP(Calculation!$O$6/((Calculation!AD231*10^-12)/(Calculation!T231*10^-9)*50),0))*50),"-"),"-")</f>
        <v>-</v>
      </c>
      <c r="AM231" s="441" t="str">
        <f t="shared" ca="1" si="149"/>
        <v/>
      </c>
      <c r="AN231" s="442" t="str">
        <f t="shared" ca="1" si="149"/>
        <v/>
      </c>
      <c r="AO231" s="432">
        <f t="shared" ca="1" si="136"/>
        <v>384</v>
      </c>
      <c r="AP231" s="427" t="str">
        <f t="shared" ca="1" si="137"/>
        <v>-</v>
      </c>
      <c r="AQ231" s="443" t="str">
        <f t="shared" ca="1" si="138"/>
        <v>-</v>
      </c>
      <c r="AR231" s="444" t="str">
        <f t="shared" ca="1" si="139"/>
        <v>-</v>
      </c>
      <c r="AS231" s="430" t="str">
        <f t="shared" ca="1" si="140"/>
        <v>-</v>
      </c>
    </row>
    <row r="232" spans="1:45" ht="14.25" x14ac:dyDescent="0.65">
      <c r="A232" s="407">
        <v>224</v>
      </c>
      <c r="B232" s="408" t="str">
        <f t="shared" ca="1" si="121"/>
        <v/>
      </c>
      <c r="C232" s="408" t="str">
        <f ca="1">IFERROR(IF(G232="","",CONCATENATE(E232,"-",INDEX(Coordinate,MATCH(F232,ListAndConversion!$X$4:$X$99,0),2))),"")</f>
        <v/>
      </c>
      <c r="D232" s="408" t="str">
        <f t="shared" ca="1" si="146"/>
        <v/>
      </c>
      <c r="E232" s="408" t="str">
        <f t="shared" ca="1" si="146"/>
        <v/>
      </c>
      <c r="F232" s="408" t="str">
        <f t="shared" ca="1" si="146"/>
        <v/>
      </c>
      <c r="G232" s="408" t="str">
        <f ca="1">IFERROR(INDEX(ListAndConversion!A:B,MATCH(Calculation!E232,ListAndConversion!A:A,0),2),"")</f>
        <v/>
      </c>
      <c r="H232" s="408" t="str">
        <f>IF(TrackIT_Lines!AD224="","",TrackIT_Lines!AD224)</f>
        <v/>
      </c>
      <c r="I232" s="408" t="str">
        <f>IF(TrackIT_Lines!AD224="","",CONCATENATE(TrackIT_Lines!AD224,"-",TrackIT_Lines!AG224))</f>
        <v/>
      </c>
      <c r="J232" s="409" t="str">
        <f t="shared" ca="1" si="147"/>
        <v/>
      </c>
      <c r="K232" s="408" t="str">
        <f t="shared" ca="1" si="147"/>
        <v/>
      </c>
      <c r="L232" s="408" t="str">
        <f t="shared" ca="1" si="147"/>
        <v/>
      </c>
      <c r="M232" s="408" t="str">
        <f t="shared" ca="1" si="147"/>
        <v/>
      </c>
      <c r="N232" s="408" t="str">
        <f t="shared" ca="1" si="147"/>
        <v/>
      </c>
      <c r="O232" s="408" t="str">
        <f t="shared" ca="1" si="147"/>
        <v/>
      </c>
      <c r="P232" s="408" t="str">
        <f t="shared" ca="1" si="147"/>
        <v/>
      </c>
      <c r="Q232" s="408" t="str">
        <f t="shared" ca="1" si="147"/>
        <v/>
      </c>
      <c r="R232" s="410" t="str">
        <f ca="1">Cluster!J251</f>
        <v>Selection</v>
      </c>
      <c r="S232" s="411" t="str">
        <f t="shared" ca="1" si="122"/>
        <v>-</v>
      </c>
      <c r="T232" s="412" t="str">
        <f t="shared" ca="1" si="123"/>
        <v/>
      </c>
      <c r="U232" s="411" t="str">
        <f t="shared" ca="1" si="124"/>
        <v>-</v>
      </c>
      <c r="V232" s="411" t="str">
        <f t="shared" ca="1" si="125"/>
        <v>-</v>
      </c>
      <c r="W232" s="413">
        <f>Cluster!N251</f>
        <v>0</v>
      </c>
      <c r="X232" s="414" t="str">
        <f t="shared" ca="1" si="126"/>
        <v>-</v>
      </c>
      <c r="Y232" s="411" t="str">
        <f t="shared" ca="1" si="127"/>
        <v>-</v>
      </c>
      <c r="Z232" s="415" t="str">
        <f t="shared" ca="1" si="128"/>
        <v>-</v>
      </c>
      <c r="AA232" s="416" t="str">
        <f t="shared" ca="1" si="129"/>
        <v>-</v>
      </c>
      <c r="AB232" s="416" t="str">
        <f t="shared" ca="1" si="130"/>
        <v/>
      </c>
      <c r="AC232" s="434">
        <f>Cluster!Q251</f>
        <v>0</v>
      </c>
      <c r="AD232" s="435" t="str">
        <f t="shared" ca="1" si="148"/>
        <v/>
      </c>
      <c r="AE232" s="436" t="str">
        <f t="shared" ca="1" si="148"/>
        <v/>
      </c>
      <c r="AF232" s="437" t="str">
        <f t="shared" ca="1" si="131"/>
        <v>-</v>
      </c>
      <c r="AG232" s="438" t="str">
        <f t="shared" ca="1" si="132"/>
        <v>-</v>
      </c>
      <c r="AH232" s="437" t="str">
        <f t="shared" ca="1" si="133"/>
        <v>-</v>
      </c>
      <c r="AI232" s="438" t="str">
        <f t="shared" ca="1" si="134"/>
        <v>-</v>
      </c>
      <c r="AJ232" s="438" t="str">
        <f t="shared" ca="1" si="135"/>
        <v>-</v>
      </c>
      <c r="AK232" s="439" t="str">
        <f ca="1">IFERROR(AE232*AD232*AL232/(IF(Cluster!AA251=Cluster!$W$8,Cluster!$W$10,IF(Cluster!AA251=Cluster!$X$8,Cluster!$X$10,IF(Cluster!AA251=Cluster!$Y$8,Cluster!$Y$10,0)))*10^3),"-")</f>
        <v>-</v>
      </c>
      <c r="AL232" s="440" t="str">
        <f ca="1">IFERROR(IF(OR(Calculation!T232&lt;(Calculation!$U$8+2),Calculation!AC232="Bypass"),IF((IF(Calculation!$O$6/((Calculation!AD232*10^-12)/(Calculation!T232*10^-9)*50)&lt;=1,1,ROUNDUP(Calculation!$O$6/((Calculation!AD232*10^-12)/(Calculation!T232*10^-9)*50),0))*50)&lt;Calculation!$AK$6,Calculation!$AK$6,IF(Calculation!$O$6/((Calculation!AD232*10^-12)/(Calculation!T232*10^-9)*50)&lt;=1,1,ROUNDUP(Calculation!$O$6/((Calculation!AD232*10^-12)/(Calculation!T232*10^-9)*50),0))*50),"-"),"-")</f>
        <v>-</v>
      </c>
      <c r="AM232" s="441" t="str">
        <f t="shared" ca="1" si="149"/>
        <v/>
      </c>
      <c r="AN232" s="442" t="str">
        <f t="shared" ca="1" si="149"/>
        <v/>
      </c>
      <c r="AO232" s="432">
        <f t="shared" ca="1" si="136"/>
        <v>384</v>
      </c>
      <c r="AP232" s="427" t="str">
        <f t="shared" ca="1" si="137"/>
        <v>-</v>
      </c>
      <c r="AQ232" s="443" t="str">
        <f t="shared" ca="1" si="138"/>
        <v>-</v>
      </c>
      <c r="AR232" s="444" t="str">
        <f t="shared" ca="1" si="139"/>
        <v>-</v>
      </c>
      <c r="AS232" s="430" t="str">
        <f t="shared" ca="1" si="140"/>
        <v>-</v>
      </c>
    </row>
    <row r="233" spans="1:45" ht="14.25" x14ac:dyDescent="0.65">
      <c r="A233" s="407">
        <v>225</v>
      </c>
      <c r="B233" s="408" t="str">
        <f t="shared" ca="1" si="121"/>
        <v/>
      </c>
      <c r="C233" s="408" t="str">
        <f ca="1">IFERROR(IF(G233="","",CONCATENATE(E233,"-",INDEX(Coordinate,MATCH(F233,ListAndConversion!$X$4:$X$99,0),2))),"")</f>
        <v/>
      </c>
      <c r="D233" s="408" t="str">
        <f t="shared" ca="1" si="146"/>
        <v/>
      </c>
      <c r="E233" s="408" t="str">
        <f t="shared" ca="1" si="146"/>
        <v/>
      </c>
      <c r="F233" s="408" t="str">
        <f t="shared" ca="1" si="146"/>
        <v/>
      </c>
      <c r="G233" s="408" t="str">
        <f ca="1">IFERROR(INDEX(ListAndConversion!A:B,MATCH(Calculation!E233,ListAndConversion!A:A,0),2),"")</f>
        <v/>
      </c>
      <c r="H233" s="408" t="str">
        <f>IF(TrackIT_Lines!AD225="","",TrackIT_Lines!AD225)</f>
        <v/>
      </c>
      <c r="I233" s="408" t="str">
        <f>IF(TrackIT_Lines!AD225="","",CONCATENATE(TrackIT_Lines!AD225,"-",TrackIT_Lines!AG225))</f>
        <v/>
      </c>
      <c r="J233" s="409" t="str">
        <f t="shared" ca="1" si="147"/>
        <v/>
      </c>
      <c r="K233" s="408" t="str">
        <f t="shared" ca="1" si="147"/>
        <v/>
      </c>
      <c r="L233" s="408" t="str">
        <f t="shared" ca="1" si="147"/>
        <v/>
      </c>
      <c r="M233" s="408" t="str">
        <f t="shared" ca="1" si="147"/>
        <v/>
      </c>
      <c r="N233" s="408" t="str">
        <f t="shared" ca="1" si="147"/>
        <v/>
      </c>
      <c r="O233" s="408" t="str">
        <f t="shared" ca="1" si="147"/>
        <v/>
      </c>
      <c r="P233" s="408" t="str">
        <f t="shared" ca="1" si="147"/>
        <v/>
      </c>
      <c r="Q233" s="408" t="str">
        <f t="shared" ca="1" si="147"/>
        <v/>
      </c>
      <c r="R233" s="410" t="str">
        <f ca="1">Cluster!J252</f>
        <v>Selection</v>
      </c>
      <c r="S233" s="411" t="str">
        <f t="shared" ca="1" si="122"/>
        <v>-</v>
      </c>
      <c r="T233" s="412" t="str">
        <f t="shared" ca="1" si="123"/>
        <v/>
      </c>
      <c r="U233" s="411" t="str">
        <f t="shared" ca="1" si="124"/>
        <v>-</v>
      </c>
      <c r="V233" s="411" t="str">
        <f t="shared" ca="1" si="125"/>
        <v>-</v>
      </c>
      <c r="W233" s="413">
        <f>Cluster!N252</f>
        <v>0</v>
      </c>
      <c r="X233" s="414" t="str">
        <f t="shared" ca="1" si="126"/>
        <v>-</v>
      </c>
      <c r="Y233" s="411" t="str">
        <f t="shared" ca="1" si="127"/>
        <v>-</v>
      </c>
      <c r="Z233" s="415" t="str">
        <f t="shared" ca="1" si="128"/>
        <v>-</v>
      </c>
      <c r="AA233" s="416" t="str">
        <f t="shared" ca="1" si="129"/>
        <v>-</v>
      </c>
      <c r="AB233" s="416" t="str">
        <f t="shared" ca="1" si="130"/>
        <v/>
      </c>
      <c r="AC233" s="434">
        <f>Cluster!Q252</f>
        <v>0</v>
      </c>
      <c r="AD233" s="435" t="str">
        <f t="shared" ca="1" si="148"/>
        <v/>
      </c>
      <c r="AE233" s="436" t="str">
        <f t="shared" ca="1" si="148"/>
        <v/>
      </c>
      <c r="AF233" s="437" t="str">
        <f t="shared" ca="1" si="131"/>
        <v>-</v>
      </c>
      <c r="AG233" s="438" t="str">
        <f t="shared" ca="1" si="132"/>
        <v>-</v>
      </c>
      <c r="AH233" s="437" t="str">
        <f t="shared" ca="1" si="133"/>
        <v>-</v>
      </c>
      <c r="AI233" s="438" t="str">
        <f t="shared" ca="1" si="134"/>
        <v>-</v>
      </c>
      <c r="AJ233" s="438" t="str">
        <f t="shared" ca="1" si="135"/>
        <v>-</v>
      </c>
      <c r="AK233" s="439" t="str">
        <f ca="1">IFERROR(AE233*AD233*AL233/(IF(Cluster!AA252=Cluster!$W$8,Cluster!$W$10,IF(Cluster!AA252=Cluster!$X$8,Cluster!$X$10,IF(Cluster!AA252=Cluster!$Y$8,Cluster!$Y$10,0)))*10^3),"-")</f>
        <v>-</v>
      </c>
      <c r="AL233" s="440" t="str">
        <f ca="1">IFERROR(IF(OR(Calculation!T233&lt;(Calculation!$U$8+2),Calculation!AC233="Bypass"),IF((IF(Calculation!$O$6/((Calculation!AD233*10^-12)/(Calculation!T233*10^-9)*50)&lt;=1,1,ROUNDUP(Calculation!$O$6/((Calculation!AD233*10^-12)/(Calculation!T233*10^-9)*50),0))*50)&lt;Calculation!$AK$6,Calculation!$AK$6,IF(Calculation!$O$6/((Calculation!AD233*10^-12)/(Calculation!T233*10^-9)*50)&lt;=1,1,ROUNDUP(Calculation!$O$6/((Calculation!AD233*10^-12)/(Calculation!T233*10^-9)*50),0))*50),"-"),"-")</f>
        <v>-</v>
      </c>
      <c r="AM233" s="441" t="str">
        <f t="shared" ca="1" si="149"/>
        <v/>
      </c>
      <c r="AN233" s="442" t="str">
        <f t="shared" ca="1" si="149"/>
        <v/>
      </c>
      <c r="AO233" s="432">
        <f t="shared" ca="1" si="136"/>
        <v>384</v>
      </c>
      <c r="AP233" s="427" t="str">
        <f t="shared" ca="1" si="137"/>
        <v>-</v>
      </c>
      <c r="AQ233" s="443" t="str">
        <f t="shared" ca="1" si="138"/>
        <v>-</v>
      </c>
      <c r="AR233" s="444" t="str">
        <f t="shared" ca="1" si="139"/>
        <v>-</v>
      </c>
      <c r="AS233" s="430" t="str">
        <f t="shared" ca="1" si="140"/>
        <v>-</v>
      </c>
    </row>
    <row r="234" spans="1:45" ht="14.25" x14ac:dyDescent="0.65">
      <c r="A234" s="407">
        <v>226</v>
      </c>
      <c r="B234" s="408" t="str">
        <f t="shared" ca="1" si="121"/>
        <v/>
      </c>
      <c r="C234" s="408" t="str">
        <f ca="1">IFERROR(IF(G234="","",CONCATENATE(E234,"-",INDEX(Coordinate,MATCH(F234,ListAndConversion!$X$4:$X$99,0),2))),"")</f>
        <v/>
      </c>
      <c r="D234" s="408" t="str">
        <f t="shared" ca="1" si="146"/>
        <v/>
      </c>
      <c r="E234" s="408" t="str">
        <f t="shared" ca="1" si="146"/>
        <v/>
      </c>
      <c r="F234" s="408" t="str">
        <f t="shared" ca="1" si="146"/>
        <v/>
      </c>
      <c r="G234" s="408" t="str">
        <f ca="1">IFERROR(INDEX(ListAndConversion!A:B,MATCH(Calculation!E234,ListAndConversion!A:A,0),2),"")</f>
        <v/>
      </c>
      <c r="H234" s="408" t="str">
        <f>IF(TrackIT_Lines!AD226="","",TrackIT_Lines!AD226)</f>
        <v/>
      </c>
      <c r="I234" s="408" t="str">
        <f>IF(TrackIT_Lines!AD226="","",CONCATENATE(TrackIT_Lines!AD226,"-",TrackIT_Lines!AG226))</f>
        <v/>
      </c>
      <c r="J234" s="409" t="str">
        <f t="shared" ca="1" si="147"/>
        <v/>
      </c>
      <c r="K234" s="408" t="str">
        <f t="shared" ca="1" si="147"/>
        <v/>
      </c>
      <c r="L234" s="408" t="str">
        <f t="shared" ca="1" si="147"/>
        <v/>
      </c>
      <c r="M234" s="408" t="str">
        <f t="shared" ca="1" si="147"/>
        <v/>
      </c>
      <c r="N234" s="408" t="str">
        <f t="shared" ca="1" si="147"/>
        <v/>
      </c>
      <c r="O234" s="408" t="str">
        <f t="shared" ca="1" si="147"/>
        <v/>
      </c>
      <c r="P234" s="408" t="str">
        <f t="shared" ca="1" si="147"/>
        <v/>
      </c>
      <c r="Q234" s="408" t="str">
        <f t="shared" ca="1" si="147"/>
        <v/>
      </c>
      <c r="R234" s="410" t="str">
        <f ca="1">Cluster!J253</f>
        <v>Selection</v>
      </c>
      <c r="S234" s="411" t="str">
        <f t="shared" ca="1" si="122"/>
        <v>-</v>
      </c>
      <c r="T234" s="412" t="str">
        <f t="shared" ca="1" si="123"/>
        <v/>
      </c>
      <c r="U234" s="411" t="str">
        <f t="shared" ca="1" si="124"/>
        <v>-</v>
      </c>
      <c r="V234" s="411" t="str">
        <f t="shared" ca="1" si="125"/>
        <v>-</v>
      </c>
      <c r="W234" s="413">
        <f>Cluster!N253</f>
        <v>0</v>
      </c>
      <c r="X234" s="414" t="str">
        <f t="shared" ca="1" si="126"/>
        <v>-</v>
      </c>
      <c r="Y234" s="411" t="str">
        <f t="shared" ca="1" si="127"/>
        <v>-</v>
      </c>
      <c r="Z234" s="415" t="str">
        <f t="shared" ca="1" si="128"/>
        <v>-</v>
      </c>
      <c r="AA234" s="416" t="str">
        <f t="shared" ca="1" si="129"/>
        <v>-</v>
      </c>
      <c r="AB234" s="416" t="str">
        <f t="shared" ca="1" si="130"/>
        <v/>
      </c>
      <c r="AC234" s="434">
        <f>Cluster!Q253</f>
        <v>0</v>
      </c>
      <c r="AD234" s="435" t="str">
        <f t="shared" ca="1" si="148"/>
        <v/>
      </c>
      <c r="AE234" s="436" t="str">
        <f t="shared" ca="1" si="148"/>
        <v/>
      </c>
      <c r="AF234" s="437" t="str">
        <f t="shared" ca="1" si="131"/>
        <v>-</v>
      </c>
      <c r="AG234" s="438" t="str">
        <f t="shared" ca="1" si="132"/>
        <v>-</v>
      </c>
      <c r="AH234" s="437" t="str">
        <f t="shared" ca="1" si="133"/>
        <v>-</v>
      </c>
      <c r="AI234" s="438" t="str">
        <f t="shared" ca="1" si="134"/>
        <v>-</v>
      </c>
      <c r="AJ234" s="438" t="str">
        <f t="shared" ca="1" si="135"/>
        <v>-</v>
      </c>
      <c r="AK234" s="439" t="str">
        <f ca="1">IFERROR(AE234*AD234*AL234/(IF(Cluster!AA253=Cluster!$W$8,Cluster!$W$10,IF(Cluster!AA253=Cluster!$X$8,Cluster!$X$10,IF(Cluster!AA253=Cluster!$Y$8,Cluster!$Y$10,0)))*10^3),"-")</f>
        <v>-</v>
      </c>
      <c r="AL234" s="440" t="str">
        <f ca="1">IFERROR(IF(OR(Calculation!T234&lt;(Calculation!$U$8+2),Calculation!AC234="Bypass"),IF((IF(Calculation!$O$6/((Calculation!AD234*10^-12)/(Calculation!T234*10^-9)*50)&lt;=1,1,ROUNDUP(Calculation!$O$6/((Calculation!AD234*10^-12)/(Calculation!T234*10^-9)*50),0))*50)&lt;Calculation!$AK$6,Calculation!$AK$6,IF(Calculation!$O$6/((Calculation!AD234*10^-12)/(Calculation!T234*10^-9)*50)&lt;=1,1,ROUNDUP(Calculation!$O$6/((Calculation!AD234*10^-12)/(Calculation!T234*10^-9)*50),0))*50),"-"),"-")</f>
        <v>-</v>
      </c>
      <c r="AM234" s="441" t="str">
        <f t="shared" ca="1" si="149"/>
        <v/>
      </c>
      <c r="AN234" s="442" t="str">
        <f t="shared" ca="1" si="149"/>
        <v/>
      </c>
      <c r="AO234" s="432">
        <f t="shared" ca="1" si="136"/>
        <v>384</v>
      </c>
      <c r="AP234" s="427" t="str">
        <f t="shared" ca="1" si="137"/>
        <v>-</v>
      </c>
      <c r="AQ234" s="443" t="str">
        <f t="shared" ca="1" si="138"/>
        <v>-</v>
      </c>
      <c r="AR234" s="444" t="str">
        <f t="shared" ca="1" si="139"/>
        <v>-</v>
      </c>
      <c r="AS234" s="430" t="str">
        <f t="shared" ca="1" si="140"/>
        <v>-</v>
      </c>
    </row>
    <row r="235" spans="1:45" ht="14.25" x14ac:dyDescent="0.65">
      <c r="A235" s="407">
        <v>227</v>
      </c>
      <c r="B235" s="408" t="str">
        <f t="shared" ca="1" si="121"/>
        <v/>
      </c>
      <c r="C235" s="408" t="str">
        <f ca="1">IFERROR(IF(G235="","",CONCATENATE(E235,"-",INDEX(Coordinate,MATCH(F235,ListAndConversion!$X$4:$X$99,0),2))),"")</f>
        <v/>
      </c>
      <c r="D235" s="408" t="str">
        <f t="shared" ca="1" si="146"/>
        <v/>
      </c>
      <c r="E235" s="408" t="str">
        <f t="shared" ca="1" si="146"/>
        <v/>
      </c>
      <c r="F235" s="408" t="str">
        <f t="shared" ca="1" si="146"/>
        <v/>
      </c>
      <c r="G235" s="408" t="str">
        <f ca="1">IFERROR(INDEX(ListAndConversion!A:B,MATCH(Calculation!E235,ListAndConversion!A:A,0),2),"")</f>
        <v/>
      </c>
      <c r="H235" s="408" t="str">
        <f>IF(TrackIT_Lines!AD227="","",TrackIT_Lines!AD227)</f>
        <v/>
      </c>
      <c r="I235" s="408" t="str">
        <f>IF(TrackIT_Lines!AD227="","",CONCATENATE(TrackIT_Lines!AD227,"-",TrackIT_Lines!AG227))</f>
        <v/>
      </c>
      <c r="J235" s="409" t="str">
        <f t="shared" ca="1" si="147"/>
        <v/>
      </c>
      <c r="K235" s="408" t="str">
        <f t="shared" ca="1" si="147"/>
        <v/>
      </c>
      <c r="L235" s="408" t="str">
        <f t="shared" ca="1" si="147"/>
        <v/>
      </c>
      <c r="M235" s="408" t="str">
        <f t="shared" ca="1" si="147"/>
        <v/>
      </c>
      <c r="N235" s="408" t="str">
        <f t="shared" ca="1" si="147"/>
        <v/>
      </c>
      <c r="O235" s="408" t="str">
        <f t="shared" ca="1" si="147"/>
        <v/>
      </c>
      <c r="P235" s="408" t="str">
        <f t="shared" ca="1" si="147"/>
        <v/>
      </c>
      <c r="Q235" s="408" t="str">
        <f t="shared" ca="1" si="147"/>
        <v/>
      </c>
      <c r="R235" s="410" t="str">
        <f ca="1">Cluster!J254</f>
        <v>Selection</v>
      </c>
      <c r="S235" s="411" t="str">
        <f t="shared" ca="1" si="122"/>
        <v>-</v>
      </c>
      <c r="T235" s="412" t="str">
        <f t="shared" ca="1" si="123"/>
        <v/>
      </c>
      <c r="U235" s="411" t="str">
        <f t="shared" ca="1" si="124"/>
        <v>-</v>
      </c>
      <c r="V235" s="411" t="str">
        <f t="shared" ca="1" si="125"/>
        <v>-</v>
      </c>
      <c r="W235" s="413">
        <f>Cluster!N254</f>
        <v>0</v>
      </c>
      <c r="X235" s="414" t="str">
        <f t="shared" ca="1" si="126"/>
        <v>-</v>
      </c>
      <c r="Y235" s="411" t="str">
        <f t="shared" ca="1" si="127"/>
        <v>-</v>
      </c>
      <c r="Z235" s="415" t="str">
        <f t="shared" ca="1" si="128"/>
        <v>-</v>
      </c>
      <c r="AA235" s="416" t="str">
        <f t="shared" ca="1" si="129"/>
        <v>-</v>
      </c>
      <c r="AB235" s="416" t="str">
        <f t="shared" ca="1" si="130"/>
        <v/>
      </c>
      <c r="AC235" s="434">
        <f>Cluster!Q254</f>
        <v>0</v>
      </c>
      <c r="AD235" s="435" t="str">
        <f t="shared" ca="1" si="148"/>
        <v/>
      </c>
      <c r="AE235" s="436" t="str">
        <f t="shared" ca="1" si="148"/>
        <v/>
      </c>
      <c r="AF235" s="437" t="str">
        <f t="shared" ca="1" si="131"/>
        <v>-</v>
      </c>
      <c r="AG235" s="438" t="str">
        <f t="shared" ca="1" si="132"/>
        <v>-</v>
      </c>
      <c r="AH235" s="437" t="str">
        <f t="shared" ca="1" si="133"/>
        <v>-</v>
      </c>
      <c r="AI235" s="438" t="str">
        <f t="shared" ca="1" si="134"/>
        <v>-</v>
      </c>
      <c r="AJ235" s="438" t="str">
        <f t="shared" ca="1" si="135"/>
        <v>-</v>
      </c>
      <c r="AK235" s="439" t="str">
        <f ca="1">IFERROR(AE235*AD235*AL235/(IF(Cluster!AA254=Cluster!$W$8,Cluster!$W$10,IF(Cluster!AA254=Cluster!$X$8,Cluster!$X$10,IF(Cluster!AA254=Cluster!$Y$8,Cluster!$Y$10,0)))*10^3),"-")</f>
        <v>-</v>
      </c>
      <c r="AL235" s="440" t="str">
        <f ca="1">IFERROR(IF(OR(Calculation!T235&lt;(Calculation!$U$8+2),Calculation!AC235="Bypass"),IF((IF(Calculation!$O$6/((Calculation!AD235*10^-12)/(Calculation!T235*10^-9)*50)&lt;=1,1,ROUNDUP(Calculation!$O$6/((Calculation!AD235*10^-12)/(Calculation!T235*10^-9)*50),0))*50)&lt;Calculation!$AK$6,Calculation!$AK$6,IF(Calculation!$O$6/((Calculation!AD235*10^-12)/(Calculation!T235*10^-9)*50)&lt;=1,1,ROUNDUP(Calculation!$O$6/((Calculation!AD235*10^-12)/(Calculation!T235*10^-9)*50),0))*50),"-"),"-")</f>
        <v>-</v>
      </c>
      <c r="AM235" s="441" t="str">
        <f t="shared" ca="1" si="149"/>
        <v/>
      </c>
      <c r="AN235" s="442" t="str">
        <f t="shared" ca="1" si="149"/>
        <v/>
      </c>
      <c r="AO235" s="432">
        <f t="shared" ca="1" si="136"/>
        <v>384</v>
      </c>
      <c r="AP235" s="427" t="str">
        <f t="shared" ca="1" si="137"/>
        <v>-</v>
      </c>
      <c r="AQ235" s="443" t="str">
        <f t="shared" ca="1" si="138"/>
        <v>-</v>
      </c>
      <c r="AR235" s="444" t="str">
        <f t="shared" ca="1" si="139"/>
        <v>-</v>
      </c>
      <c r="AS235" s="430" t="str">
        <f t="shared" ca="1" si="140"/>
        <v>-</v>
      </c>
    </row>
    <row r="236" spans="1:45" ht="14.25" x14ac:dyDescent="0.65">
      <c r="A236" s="407">
        <v>228</v>
      </c>
      <c r="B236" s="408" t="str">
        <f t="shared" ca="1" si="121"/>
        <v/>
      </c>
      <c r="C236" s="408" t="str">
        <f ca="1">IFERROR(IF(G236="","",CONCATENATE(E236,"-",INDEX(Coordinate,MATCH(F236,ListAndConversion!$X$4:$X$99,0),2))),"")</f>
        <v/>
      </c>
      <c r="D236" s="408" t="str">
        <f t="shared" ca="1" si="146"/>
        <v/>
      </c>
      <c r="E236" s="408" t="str">
        <f t="shared" ca="1" si="146"/>
        <v/>
      </c>
      <c r="F236" s="408" t="str">
        <f t="shared" ca="1" si="146"/>
        <v/>
      </c>
      <c r="G236" s="408" t="str">
        <f ca="1">IFERROR(INDEX(ListAndConversion!A:B,MATCH(Calculation!E236,ListAndConversion!A:A,0),2),"")</f>
        <v/>
      </c>
      <c r="H236" s="408" t="str">
        <f>IF(TrackIT_Lines!AD228="","",TrackIT_Lines!AD228)</f>
        <v/>
      </c>
      <c r="I236" s="408" t="str">
        <f>IF(TrackIT_Lines!AD228="","",CONCATENATE(TrackIT_Lines!AD228,"-",TrackIT_Lines!AG228))</f>
        <v/>
      </c>
      <c r="J236" s="409" t="str">
        <f t="shared" ca="1" si="147"/>
        <v/>
      </c>
      <c r="K236" s="408" t="str">
        <f t="shared" ca="1" si="147"/>
        <v/>
      </c>
      <c r="L236" s="408" t="str">
        <f t="shared" ca="1" si="147"/>
        <v/>
      </c>
      <c r="M236" s="408" t="str">
        <f t="shared" ca="1" si="147"/>
        <v/>
      </c>
      <c r="N236" s="408" t="str">
        <f t="shared" ca="1" si="147"/>
        <v/>
      </c>
      <c r="O236" s="408" t="str">
        <f t="shared" ca="1" si="147"/>
        <v/>
      </c>
      <c r="P236" s="408" t="str">
        <f t="shared" ca="1" si="147"/>
        <v/>
      </c>
      <c r="Q236" s="408" t="str">
        <f t="shared" ca="1" si="147"/>
        <v/>
      </c>
      <c r="R236" s="410" t="str">
        <f ca="1">Cluster!J255</f>
        <v>Selection</v>
      </c>
      <c r="S236" s="411" t="str">
        <f t="shared" ca="1" si="122"/>
        <v>-</v>
      </c>
      <c r="T236" s="412" t="str">
        <f t="shared" ca="1" si="123"/>
        <v/>
      </c>
      <c r="U236" s="411" t="str">
        <f t="shared" ca="1" si="124"/>
        <v>-</v>
      </c>
      <c r="V236" s="411" t="str">
        <f t="shared" ca="1" si="125"/>
        <v>-</v>
      </c>
      <c r="W236" s="413">
        <f>Cluster!N255</f>
        <v>0</v>
      </c>
      <c r="X236" s="414" t="str">
        <f t="shared" ca="1" si="126"/>
        <v>-</v>
      </c>
      <c r="Y236" s="411" t="str">
        <f t="shared" ca="1" si="127"/>
        <v>-</v>
      </c>
      <c r="Z236" s="415" t="str">
        <f t="shared" ca="1" si="128"/>
        <v>-</v>
      </c>
      <c r="AA236" s="416" t="str">
        <f t="shared" ca="1" si="129"/>
        <v>-</v>
      </c>
      <c r="AB236" s="416" t="str">
        <f t="shared" ca="1" si="130"/>
        <v/>
      </c>
      <c r="AC236" s="434">
        <f>Cluster!Q255</f>
        <v>0</v>
      </c>
      <c r="AD236" s="435" t="str">
        <f t="shared" ca="1" si="148"/>
        <v/>
      </c>
      <c r="AE236" s="436" t="str">
        <f t="shared" ca="1" si="148"/>
        <v/>
      </c>
      <c r="AF236" s="437" t="str">
        <f t="shared" ca="1" si="131"/>
        <v>-</v>
      </c>
      <c r="AG236" s="438" t="str">
        <f t="shared" ca="1" si="132"/>
        <v>-</v>
      </c>
      <c r="AH236" s="437" t="str">
        <f t="shared" ca="1" si="133"/>
        <v>-</v>
      </c>
      <c r="AI236" s="438" t="str">
        <f t="shared" ca="1" si="134"/>
        <v>-</v>
      </c>
      <c r="AJ236" s="438" t="str">
        <f t="shared" ca="1" si="135"/>
        <v>-</v>
      </c>
      <c r="AK236" s="439" t="str">
        <f ca="1">IFERROR(AE236*AD236*AL236/(IF(Cluster!AA255=Cluster!$W$8,Cluster!$W$10,IF(Cluster!AA255=Cluster!$X$8,Cluster!$X$10,IF(Cluster!AA255=Cluster!$Y$8,Cluster!$Y$10,0)))*10^3),"-")</f>
        <v>-</v>
      </c>
      <c r="AL236" s="440" t="str">
        <f ca="1">IFERROR(IF(OR(Calculation!T236&lt;(Calculation!$U$8+2),Calculation!AC236="Bypass"),IF((IF(Calculation!$O$6/((Calculation!AD236*10^-12)/(Calculation!T236*10^-9)*50)&lt;=1,1,ROUNDUP(Calculation!$O$6/((Calculation!AD236*10^-12)/(Calculation!T236*10^-9)*50),0))*50)&lt;Calculation!$AK$6,Calculation!$AK$6,IF(Calculation!$O$6/((Calculation!AD236*10^-12)/(Calculation!T236*10^-9)*50)&lt;=1,1,ROUNDUP(Calculation!$O$6/((Calculation!AD236*10^-12)/(Calculation!T236*10^-9)*50),0))*50),"-"),"-")</f>
        <v>-</v>
      </c>
      <c r="AM236" s="441" t="str">
        <f t="shared" ca="1" si="149"/>
        <v/>
      </c>
      <c r="AN236" s="442" t="str">
        <f t="shared" ca="1" si="149"/>
        <v/>
      </c>
      <c r="AO236" s="432">
        <f t="shared" ca="1" si="136"/>
        <v>384</v>
      </c>
      <c r="AP236" s="427" t="str">
        <f t="shared" ca="1" si="137"/>
        <v>-</v>
      </c>
      <c r="AQ236" s="443" t="str">
        <f t="shared" ca="1" si="138"/>
        <v>-</v>
      </c>
      <c r="AR236" s="444" t="str">
        <f t="shared" ca="1" si="139"/>
        <v>-</v>
      </c>
      <c r="AS236" s="430" t="str">
        <f t="shared" ca="1" si="140"/>
        <v>-</v>
      </c>
    </row>
    <row r="237" spans="1:45" ht="14.25" x14ac:dyDescent="0.65">
      <c r="A237" s="407">
        <v>229</v>
      </c>
      <c r="B237" s="408" t="str">
        <f t="shared" ca="1" si="121"/>
        <v/>
      </c>
      <c r="C237" s="408" t="str">
        <f ca="1">IFERROR(IF(G237="","",CONCATENATE(E237,"-",INDEX(Coordinate,MATCH(F237,ListAndConversion!$X$4:$X$99,0),2))),"")</f>
        <v/>
      </c>
      <c r="D237" s="408" t="str">
        <f t="shared" ca="1" si="146"/>
        <v/>
      </c>
      <c r="E237" s="408" t="str">
        <f t="shared" ca="1" si="146"/>
        <v/>
      </c>
      <c r="F237" s="408" t="str">
        <f t="shared" ca="1" si="146"/>
        <v/>
      </c>
      <c r="G237" s="408" t="str">
        <f ca="1">IFERROR(INDEX(ListAndConversion!A:B,MATCH(Calculation!E237,ListAndConversion!A:A,0),2),"")</f>
        <v/>
      </c>
      <c r="H237" s="408" t="str">
        <f>IF(TrackIT_Lines!AD229="","",TrackIT_Lines!AD229)</f>
        <v/>
      </c>
      <c r="I237" s="408" t="str">
        <f>IF(TrackIT_Lines!AD229="","",CONCATENATE(TrackIT_Lines!AD229,"-",TrackIT_Lines!AG229))</f>
        <v/>
      </c>
      <c r="J237" s="409" t="str">
        <f t="shared" ca="1" si="147"/>
        <v/>
      </c>
      <c r="K237" s="408" t="str">
        <f t="shared" ca="1" si="147"/>
        <v/>
      </c>
      <c r="L237" s="408" t="str">
        <f t="shared" ca="1" si="147"/>
        <v/>
      </c>
      <c r="M237" s="408" t="str">
        <f t="shared" ca="1" si="147"/>
        <v/>
      </c>
      <c r="N237" s="408" t="str">
        <f t="shared" ca="1" si="147"/>
        <v/>
      </c>
      <c r="O237" s="408" t="str">
        <f t="shared" ca="1" si="147"/>
        <v/>
      </c>
      <c r="P237" s="408" t="str">
        <f t="shared" ca="1" si="147"/>
        <v/>
      </c>
      <c r="Q237" s="408" t="str">
        <f t="shared" ca="1" si="147"/>
        <v/>
      </c>
      <c r="R237" s="410" t="str">
        <f ca="1">Cluster!J256</f>
        <v>Selection</v>
      </c>
      <c r="S237" s="411" t="str">
        <f t="shared" ca="1" si="122"/>
        <v>-</v>
      </c>
      <c r="T237" s="412" t="str">
        <f t="shared" ca="1" si="123"/>
        <v/>
      </c>
      <c r="U237" s="411" t="str">
        <f t="shared" ca="1" si="124"/>
        <v>-</v>
      </c>
      <c r="V237" s="411" t="str">
        <f t="shared" ca="1" si="125"/>
        <v>-</v>
      </c>
      <c r="W237" s="413">
        <f>Cluster!N256</f>
        <v>0</v>
      </c>
      <c r="X237" s="414" t="str">
        <f t="shared" ca="1" si="126"/>
        <v>-</v>
      </c>
      <c r="Y237" s="411" t="str">
        <f t="shared" ca="1" si="127"/>
        <v>-</v>
      </c>
      <c r="Z237" s="415" t="str">
        <f t="shared" ca="1" si="128"/>
        <v>-</v>
      </c>
      <c r="AA237" s="416" t="str">
        <f t="shared" ca="1" si="129"/>
        <v>-</v>
      </c>
      <c r="AB237" s="416" t="str">
        <f t="shared" ca="1" si="130"/>
        <v/>
      </c>
      <c r="AC237" s="434">
        <f>Cluster!Q256</f>
        <v>0</v>
      </c>
      <c r="AD237" s="435" t="str">
        <f t="shared" ca="1" si="148"/>
        <v/>
      </c>
      <c r="AE237" s="436" t="str">
        <f t="shared" ca="1" si="148"/>
        <v/>
      </c>
      <c r="AF237" s="437" t="str">
        <f t="shared" ca="1" si="131"/>
        <v>-</v>
      </c>
      <c r="AG237" s="438" t="str">
        <f t="shared" ca="1" si="132"/>
        <v>-</v>
      </c>
      <c r="AH237" s="437" t="str">
        <f t="shared" ca="1" si="133"/>
        <v>-</v>
      </c>
      <c r="AI237" s="438" t="str">
        <f t="shared" ca="1" si="134"/>
        <v>-</v>
      </c>
      <c r="AJ237" s="438" t="str">
        <f t="shared" ca="1" si="135"/>
        <v>-</v>
      </c>
      <c r="AK237" s="439" t="str">
        <f ca="1">IFERROR(AE237*AD237*AL237/(IF(Cluster!AA256=Cluster!$W$8,Cluster!$W$10,IF(Cluster!AA256=Cluster!$X$8,Cluster!$X$10,IF(Cluster!AA256=Cluster!$Y$8,Cluster!$Y$10,0)))*10^3),"-")</f>
        <v>-</v>
      </c>
      <c r="AL237" s="440" t="str">
        <f ca="1">IFERROR(IF(OR(Calculation!T237&lt;(Calculation!$U$8+2),Calculation!AC237="Bypass"),IF((IF(Calculation!$O$6/((Calculation!AD237*10^-12)/(Calculation!T237*10^-9)*50)&lt;=1,1,ROUNDUP(Calculation!$O$6/((Calculation!AD237*10^-12)/(Calculation!T237*10^-9)*50),0))*50)&lt;Calculation!$AK$6,Calculation!$AK$6,IF(Calculation!$O$6/((Calculation!AD237*10^-12)/(Calculation!T237*10^-9)*50)&lt;=1,1,ROUNDUP(Calculation!$O$6/((Calculation!AD237*10^-12)/(Calculation!T237*10^-9)*50),0))*50),"-"),"-")</f>
        <v>-</v>
      </c>
      <c r="AM237" s="441" t="str">
        <f t="shared" ca="1" si="149"/>
        <v/>
      </c>
      <c r="AN237" s="442" t="str">
        <f t="shared" ca="1" si="149"/>
        <v/>
      </c>
      <c r="AO237" s="432">
        <f t="shared" ca="1" si="136"/>
        <v>384</v>
      </c>
      <c r="AP237" s="427" t="str">
        <f t="shared" ca="1" si="137"/>
        <v>-</v>
      </c>
      <c r="AQ237" s="443" t="str">
        <f t="shared" ca="1" si="138"/>
        <v>-</v>
      </c>
      <c r="AR237" s="444" t="str">
        <f t="shared" ca="1" si="139"/>
        <v>-</v>
      </c>
      <c r="AS237" s="430" t="str">
        <f t="shared" ca="1" si="140"/>
        <v>-</v>
      </c>
    </row>
    <row r="238" spans="1:45" ht="14.25" x14ac:dyDescent="0.65">
      <c r="A238" s="407">
        <v>230</v>
      </c>
      <c r="B238" s="408" t="str">
        <f t="shared" ca="1" si="121"/>
        <v/>
      </c>
      <c r="C238" s="408" t="str">
        <f ca="1">IFERROR(IF(G238="","",CONCATENATE(E238,"-",INDEX(Coordinate,MATCH(F238,ListAndConversion!$X$4:$X$99,0),2))),"")</f>
        <v/>
      </c>
      <c r="D238" s="408" t="str">
        <f t="shared" ca="1" si="146"/>
        <v/>
      </c>
      <c r="E238" s="408" t="str">
        <f t="shared" ca="1" si="146"/>
        <v/>
      </c>
      <c r="F238" s="408" t="str">
        <f t="shared" ca="1" si="146"/>
        <v/>
      </c>
      <c r="G238" s="408" t="str">
        <f ca="1">IFERROR(INDEX(ListAndConversion!A:B,MATCH(Calculation!E238,ListAndConversion!A:A,0),2),"")</f>
        <v/>
      </c>
      <c r="H238" s="408" t="str">
        <f>IF(TrackIT_Lines!AD230="","",TrackIT_Lines!AD230)</f>
        <v/>
      </c>
      <c r="I238" s="408" t="str">
        <f>IF(TrackIT_Lines!AD230="","",CONCATENATE(TrackIT_Lines!AD230,"-",TrackIT_Lines!AG230))</f>
        <v/>
      </c>
      <c r="J238" s="409" t="str">
        <f t="shared" ca="1" si="147"/>
        <v/>
      </c>
      <c r="K238" s="408" t="str">
        <f t="shared" ca="1" si="147"/>
        <v/>
      </c>
      <c r="L238" s="408" t="str">
        <f t="shared" ca="1" si="147"/>
        <v/>
      </c>
      <c r="M238" s="408" t="str">
        <f t="shared" ca="1" si="147"/>
        <v/>
      </c>
      <c r="N238" s="408" t="str">
        <f t="shared" ca="1" si="147"/>
        <v/>
      </c>
      <c r="O238" s="408" t="str">
        <f t="shared" ca="1" si="147"/>
        <v/>
      </c>
      <c r="P238" s="408" t="str">
        <f t="shared" ca="1" si="147"/>
        <v/>
      </c>
      <c r="Q238" s="408" t="str">
        <f t="shared" ca="1" si="147"/>
        <v/>
      </c>
      <c r="R238" s="410" t="str">
        <f ca="1">Cluster!J257</f>
        <v>Selection</v>
      </c>
      <c r="S238" s="411" t="str">
        <f t="shared" ca="1" si="122"/>
        <v>-</v>
      </c>
      <c r="T238" s="412" t="str">
        <f t="shared" ca="1" si="123"/>
        <v/>
      </c>
      <c r="U238" s="411" t="str">
        <f t="shared" ca="1" si="124"/>
        <v>-</v>
      </c>
      <c r="V238" s="411" t="str">
        <f t="shared" ca="1" si="125"/>
        <v>-</v>
      </c>
      <c r="W238" s="413">
        <f>Cluster!N257</f>
        <v>0</v>
      </c>
      <c r="X238" s="414" t="str">
        <f t="shared" ca="1" si="126"/>
        <v>-</v>
      </c>
      <c r="Y238" s="411" t="str">
        <f t="shared" ca="1" si="127"/>
        <v>-</v>
      </c>
      <c r="Z238" s="415" t="str">
        <f t="shared" ca="1" si="128"/>
        <v>-</v>
      </c>
      <c r="AA238" s="416" t="str">
        <f t="shared" ca="1" si="129"/>
        <v>-</v>
      </c>
      <c r="AB238" s="416" t="str">
        <f t="shared" ca="1" si="130"/>
        <v/>
      </c>
      <c r="AC238" s="434">
        <f>Cluster!Q257</f>
        <v>0</v>
      </c>
      <c r="AD238" s="435" t="str">
        <f t="shared" ca="1" si="148"/>
        <v/>
      </c>
      <c r="AE238" s="436" t="str">
        <f t="shared" ca="1" si="148"/>
        <v/>
      </c>
      <c r="AF238" s="437" t="str">
        <f t="shared" ca="1" si="131"/>
        <v>-</v>
      </c>
      <c r="AG238" s="438" t="str">
        <f t="shared" ca="1" si="132"/>
        <v>-</v>
      </c>
      <c r="AH238" s="437" t="str">
        <f t="shared" ca="1" si="133"/>
        <v>-</v>
      </c>
      <c r="AI238" s="438" t="str">
        <f t="shared" ca="1" si="134"/>
        <v>-</v>
      </c>
      <c r="AJ238" s="438" t="str">
        <f t="shared" ca="1" si="135"/>
        <v>-</v>
      </c>
      <c r="AK238" s="439" t="str">
        <f ca="1">IFERROR(AE238*AD238*AL238/(IF(Cluster!AA257=Cluster!$W$8,Cluster!$W$10,IF(Cluster!AA257=Cluster!$X$8,Cluster!$X$10,IF(Cluster!AA257=Cluster!$Y$8,Cluster!$Y$10,0)))*10^3),"-")</f>
        <v>-</v>
      </c>
      <c r="AL238" s="440" t="str">
        <f ca="1">IFERROR(IF(OR(Calculation!T238&lt;(Calculation!$U$8+2),Calculation!AC238="Bypass"),IF((IF(Calculation!$O$6/((Calculation!AD238*10^-12)/(Calculation!T238*10^-9)*50)&lt;=1,1,ROUNDUP(Calculation!$O$6/((Calculation!AD238*10^-12)/(Calculation!T238*10^-9)*50),0))*50)&lt;Calculation!$AK$6,Calculation!$AK$6,IF(Calculation!$O$6/((Calculation!AD238*10^-12)/(Calculation!T238*10^-9)*50)&lt;=1,1,ROUNDUP(Calculation!$O$6/((Calculation!AD238*10^-12)/(Calculation!T238*10^-9)*50),0))*50),"-"),"-")</f>
        <v>-</v>
      </c>
      <c r="AM238" s="441" t="str">
        <f t="shared" ca="1" si="149"/>
        <v/>
      </c>
      <c r="AN238" s="442" t="str">
        <f t="shared" ca="1" si="149"/>
        <v/>
      </c>
      <c r="AO238" s="432">
        <f t="shared" ca="1" si="136"/>
        <v>384</v>
      </c>
      <c r="AP238" s="427" t="str">
        <f t="shared" ca="1" si="137"/>
        <v>-</v>
      </c>
      <c r="AQ238" s="443" t="str">
        <f t="shared" ca="1" si="138"/>
        <v>-</v>
      </c>
      <c r="AR238" s="444" t="str">
        <f t="shared" ca="1" si="139"/>
        <v>-</v>
      </c>
      <c r="AS238" s="430" t="str">
        <f t="shared" ca="1" si="140"/>
        <v>-</v>
      </c>
    </row>
    <row r="239" spans="1:45" ht="14.25" x14ac:dyDescent="0.65">
      <c r="A239" s="407">
        <v>231</v>
      </c>
      <c r="B239" s="408" t="str">
        <f t="shared" ca="1" si="121"/>
        <v/>
      </c>
      <c r="C239" s="408" t="str">
        <f ca="1">IFERROR(IF(G239="","",CONCATENATE(E239,"-",INDEX(Coordinate,MATCH(F239,ListAndConversion!$X$4:$X$99,0),2))),"")</f>
        <v/>
      </c>
      <c r="D239" s="408" t="str">
        <f t="shared" ca="1" si="146"/>
        <v/>
      </c>
      <c r="E239" s="408" t="str">
        <f t="shared" ca="1" si="146"/>
        <v/>
      </c>
      <c r="F239" s="408" t="str">
        <f t="shared" ca="1" si="146"/>
        <v/>
      </c>
      <c r="G239" s="408" t="str">
        <f ca="1">IFERROR(INDEX(ListAndConversion!A:B,MATCH(Calculation!E239,ListAndConversion!A:A,0),2),"")</f>
        <v/>
      </c>
      <c r="H239" s="408" t="str">
        <f>IF(TrackIT_Lines!AD231="","",TrackIT_Lines!AD231)</f>
        <v/>
      </c>
      <c r="I239" s="408" t="str">
        <f>IF(TrackIT_Lines!AD231="","",CONCATENATE(TrackIT_Lines!AD231,"-",TrackIT_Lines!AG231))</f>
        <v/>
      </c>
      <c r="J239" s="409" t="str">
        <f t="shared" ca="1" si="147"/>
        <v/>
      </c>
      <c r="K239" s="408" t="str">
        <f t="shared" ca="1" si="147"/>
        <v/>
      </c>
      <c r="L239" s="408" t="str">
        <f t="shared" ca="1" si="147"/>
        <v/>
      </c>
      <c r="M239" s="408" t="str">
        <f t="shared" ca="1" si="147"/>
        <v/>
      </c>
      <c r="N239" s="408" t="str">
        <f t="shared" ca="1" si="147"/>
        <v/>
      </c>
      <c r="O239" s="408" t="str">
        <f t="shared" ca="1" si="147"/>
        <v/>
      </c>
      <c r="P239" s="408" t="str">
        <f t="shared" ca="1" si="147"/>
        <v/>
      </c>
      <c r="Q239" s="408" t="str">
        <f t="shared" ca="1" si="147"/>
        <v/>
      </c>
      <c r="R239" s="410" t="str">
        <f ca="1">Cluster!J258</f>
        <v>Selection</v>
      </c>
      <c r="S239" s="411" t="str">
        <f t="shared" ca="1" si="122"/>
        <v>-</v>
      </c>
      <c r="T239" s="412" t="str">
        <f t="shared" ca="1" si="123"/>
        <v/>
      </c>
      <c r="U239" s="411" t="str">
        <f t="shared" ca="1" si="124"/>
        <v>-</v>
      </c>
      <c r="V239" s="411" t="str">
        <f t="shared" ca="1" si="125"/>
        <v>-</v>
      </c>
      <c r="W239" s="413">
        <f>Cluster!N258</f>
        <v>0</v>
      </c>
      <c r="X239" s="414" t="str">
        <f t="shared" ca="1" si="126"/>
        <v>-</v>
      </c>
      <c r="Y239" s="411" t="str">
        <f t="shared" ca="1" si="127"/>
        <v>-</v>
      </c>
      <c r="Z239" s="415" t="str">
        <f t="shared" ca="1" si="128"/>
        <v>-</v>
      </c>
      <c r="AA239" s="416" t="str">
        <f t="shared" ca="1" si="129"/>
        <v>-</v>
      </c>
      <c r="AB239" s="416" t="str">
        <f t="shared" ca="1" si="130"/>
        <v/>
      </c>
      <c r="AC239" s="434">
        <f>Cluster!Q258</f>
        <v>0</v>
      </c>
      <c r="AD239" s="435" t="str">
        <f t="shared" ca="1" si="148"/>
        <v/>
      </c>
      <c r="AE239" s="436" t="str">
        <f t="shared" ca="1" si="148"/>
        <v/>
      </c>
      <c r="AF239" s="437" t="str">
        <f t="shared" ca="1" si="131"/>
        <v>-</v>
      </c>
      <c r="AG239" s="438" t="str">
        <f t="shared" ca="1" si="132"/>
        <v>-</v>
      </c>
      <c r="AH239" s="437" t="str">
        <f t="shared" ca="1" si="133"/>
        <v>-</v>
      </c>
      <c r="AI239" s="438" t="str">
        <f t="shared" ca="1" si="134"/>
        <v>-</v>
      </c>
      <c r="AJ239" s="438" t="str">
        <f t="shared" ca="1" si="135"/>
        <v>-</v>
      </c>
      <c r="AK239" s="439" t="str">
        <f ca="1">IFERROR(AE239*AD239*AL239/(IF(Cluster!AA258=Cluster!$W$8,Cluster!$W$10,IF(Cluster!AA258=Cluster!$X$8,Cluster!$X$10,IF(Cluster!AA258=Cluster!$Y$8,Cluster!$Y$10,0)))*10^3),"-")</f>
        <v>-</v>
      </c>
      <c r="AL239" s="440" t="str">
        <f ca="1">IFERROR(IF(OR(Calculation!T239&lt;(Calculation!$U$8+2),Calculation!AC239="Bypass"),IF((IF(Calculation!$O$6/((Calculation!AD239*10^-12)/(Calculation!T239*10^-9)*50)&lt;=1,1,ROUNDUP(Calculation!$O$6/((Calculation!AD239*10^-12)/(Calculation!T239*10^-9)*50),0))*50)&lt;Calculation!$AK$6,Calculation!$AK$6,IF(Calculation!$O$6/((Calculation!AD239*10^-12)/(Calculation!T239*10^-9)*50)&lt;=1,1,ROUNDUP(Calculation!$O$6/((Calculation!AD239*10^-12)/(Calculation!T239*10^-9)*50),0))*50),"-"),"-")</f>
        <v>-</v>
      </c>
      <c r="AM239" s="441" t="str">
        <f t="shared" ca="1" si="149"/>
        <v/>
      </c>
      <c r="AN239" s="442" t="str">
        <f t="shared" ca="1" si="149"/>
        <v/>
      </c>
      <c r="AO239" s="432">
        <f t="shared" ca="1" si="136"/>
        <v>384</v>
      </c>
      <c r="AP239" s="427" t="str">
        <f t="shared" ca="1" si="137"/>
        <v>-</v>
      </c>
      <c r="AQ239" s="443" t="str">
        <f t="shared" ca="1" si="138"/>
        <v>-</v>
      </c>
      <c r="AR239" s="444" t="str">
        <f t="shared" ca="1" si="139"/>
        <v>-</v>
      </c>
      <c r="AS239" s="430" t="str">
        <f t="shared" ca="1" si="140"/>
        <v>-</v>
      </c>
    </row>
    <row r="240" spans="1:45" ht="14.25" x14ac:dyDescent="0.65">
      <c r="A240" s="407">
        <v>232</v>
      </c>
      <c r="B240" s="408" t="str">
        <f t="shared" ca="1" si="121"/>
        <v/>
      </c>
      <c r="C240" s="408" t="str">
        <f ca="1">IFERROR(IF(G240="","",CONCATENATE(E240,"-",INDEX(Coordinate,MATCH(F240,ListAndConversion!$X$4:$X$99,0),2))),"")</f>
        <v/>
      </c>
      <c r="D240" s="408" t="str">
        <f t="shared" ca="1" si="146"/>
        <v/>
      </c>
      <c r="E240" s="408" t="str">
        <f t="shared" ca="1" si="146"/>
        <v/>
      </c>
      <c r="F240" s="408" t="str">
        <f t="shared" ca="1" si="146"/>
        <v/>
      </c>
      <c r="G240" s="408" t="str">
        <f ca="1">IFERROR(INDEX(ListAndConversion!A:B,MATCH(Calculation!E240,ListAndConversion!A:A,0),2),"")</f>
        <v/>
      </c>
      <c r="H240" s="408" t="str">
        <f>IF(TrackIT_Lines!AD232="","",TrackIT_Lines!AD232)</f>
        <v/>
      </c>
      <c r="I240" s="408" t="str">
        <f>IF(TrackIT_Lines!AD232="","",CONCATENATE(TrackIT_Lines!AD232,"-",TrackIT_Lines!AG232))</f>
        <v/>
      </c>
      <c r="J240" s="409" t="str">
        <f t="shared" ref="J240:Q249" ca="1" si="150">IF((INDIRECT("TrackIT_Lines!"&amp;J$2&amp;$A240))="","", (INDIRECT("TrackIT_Lines!"&amp;J$2&amp;$A240)))</f>
        <v/>
      </c>
      <c r="K240" s="408" t="str">
        <f t="shared" ca="1" si="150"/>
        <v/>
      </c>
      <c r="L240" s="408" t="str">
        <f t="shared" ca="1" si="150"/>
        <v/>
      </c>
      <c r="M240" s="408" t="str">
        <f t="shared" ca="1" si="150"/>
        <v/>
      </c>
      <c r="N240" s="408" t="str">
        <f t="shared" ca="1" si="150"/>
        <v/>
      </c>
      <c r="O240" s="408" t="str">
        <f t="shared" ca="1" si="150"/>
        <v/>
      </c>
      <c r="P240" s="408" t="str">
        <f t="shared" ca="1" si="150"/>
        <v/>
      </c>
      <c r="Q240" s="408" t="str">
        <f t="shared" ca="1" si="150"/>
        <v/>
      </c>
      <c r="R240" s="410" t="str">
        <f ca="1">Cluster!J259</f>
        <v>Selection</v>
      </c>
      <c r="S240" s="411" t="str">
        <f t="shared" ca="1" si="122"/>
        <v>-</v>
      </c>
      <c r="T240" s="412" t="str">
        <f t="shared" ca="1" si="123"/>
        <v/>
      </c>
      <c r="U240" s="411" t="str">
        <f t="shared" ca="1" si="124"/>
        <v>-</v>
      </c>
      <c r="V240" s="411" t="str">
        <f t="shared" ca="1" si="125"/>
        <v>-</v>
      </c>
      <c r="W240" s="413">
        <f>Cluster!N259</f>
        <v>0</v>
      </c>
      <c r="X240" s="414" t="str">
        <f t="shared" ca="1" si="126"/>
        <v>-</v>
      </c>
      <c r="Y240" s="411" t="str">
        <f t="shared" ca="1" si="127"/>
        <v>-</v>
      </c>
      <c r="Z240" s="415" t="str">
        <f t="shared" ca="1" si="128"/>
        <v>-</v>
      </c>
      <c r="AA240" s="416" t="str">
        <f t="shared" ca="1" si="129"/>
        <v>-</v>
      </c>
      <c r="AB240" s="416" t="str">
        <f t="shared" ca="1" si="130"/>
        <v/>
      </c>
      <c r="AC240" s="434">
        <f>Cluster!Q259</f>
        <v>0</v>
      </c>
      <c r="AD240" s="435" t="str">
        <f t="shared" ca="1" si="148"/>
        <v/>
      </c>
      <c r="AE240" s="436" t="str">
        <f t="shared" ca="1" si="148"/>
        <v/>
      </c>
      <c r="AF240" s="437" t="str">
        <f t="shared" ca="1" si="131"/>
        <v>-</v>
      </c>
      <c r="AG240" s="438" t="str">
        <f t="shared" ca="1" si="132"/>
        <v>-</v>
      </c>
      <c r="AH240" s="437" t="str">
        <f t="shared" ca="1" si="133"/>
        <v>-</v>
      </c>
      <c r="AI240" s="438" t="str">
        <f t="shared" ca="1" si="134"/>
        <v>-</v>
      </c>
      <c r="AJ240" s="438" t="str">
        <f t="shared" ca="1" si="135"/>
        <v>-</v>
      </c>
      <c r="AK240" s="439" t="str">
        <f ca="1">IFERROR(AE240*AD240*AL240/(IF(Cluster!AA259=Cluster!$W$8,Cluster!$W$10,IF(Cluster!AA259=Cluster!$X$8,Cluster!$X$10,IF(Cluster!AA259=Cluster!$Y$8,Cluster!$Y$10,0)))*10^3),"-")</f>
        <v>-</v>
      </c>
      <c r="AL240" s="440" t="str">
        <f ca="1">IFERROR(IF(OR(Calculation!T240&lt;(Calculation!$U$8+2),Calculation!AC240="Bypass"),IF((IF(Calculation!$O$6/((Calculation!AD240*10^-12)/(Calculation!T240*10^-9)*50)&lt;=1,1,ROUNDUP(Calculation!$O$6/((Calculation!AD240*10^-12)/(Calculation!T240*10^-9)*50),0))*50)&lt;Calculation!$AK$6,Calculation!$AK$6,IF(Calculation!$O$6/((Calculation!AD240*10^-12)/(Calculation!T240*10^-9)*50)&lt;=1,1,ROUNDUP(Calculation!$O$6/((Calculation!AD240*10^-12)/(Calculation!T240*10^-9)*50),0))*50),"-"),"-")</f>
        <v>-</v>
      </c>
      <c r="AM240" s="441" t="str">
        <f t="shared" ca="1" si="149"/>
        <v/>
      </c>
      <c r="AN240" s="442" t="str">
        <f t="shared" ca="1" si="149"/>
        <v/>
      </c>
      <c r="AO240" s="432">
        <f t="shared" ca="1" si="136"/>
        <v>384</v>
      </c>
      <c r="AP240" s="427" t="str">
        <f t="shared" ca="1" si="137"/>
        <v>-</v>
      </c>
      <c r="AQ240" s="443" t="str">
        <f t="shared" ca="1" si="138"/>
        <v>-</v>
      </c>
      <c r="AR240" s="444" t="str">
        <f t="shared" ca="1" si="139"/>
        <v>-</v>
      </c>
      <c r="AS240" s="430" t="str">
        <f t="shared" ca="1" si="140"/>
        <v>-</v>
      </c>
    </row>
    <row r="241" spans="1:45" ht="14.25" x14ac:dyDescent="0.65">
      <c r="A241" s="407">
        <v>233</v>
      </c>
      <c r="B241" s="408" t="str">
        <f t="shared" ca="1" si="121"/>
        <v/>
      </c>
      <c r="C241" s="408" t="str">
        <f ca="1">IFERROR(IF(G241="","",CONCATENATE(E241,"-",INDEX(Coordinate,MATCH(F241,ListAndConversion!$X$4:$X$99,0),2))),"")</f>
        <v/>
      </c>
      <c r="D241" s="408" t="str">
        <f t="shared" ca="1" si="146"/>
        <v/>
      </c>
      <c r="E241" s="408" t="str">
        <f t="shared" ca="1" si="146"/>
        <v/>
      </c>
      <c r="F241" s="408" t="str">
        <f t="shared" ca="1" si="146"/>
        <v/>
      </c>
      <c r="G241" s="408" t="str">
        <f ca="1">IFERROR(INDEX(ListAndConversion!A:B,MATCH(Calculation!E241,ListAndConversion!A:A,0),2),"")</f>
        <v/>
      </c>
      <c r="H241" s="408" t="str">
        <f>IF(TrackIT_Lines!AD233="","",TrackIT_Lines!AD233)</f>
        <v/>
      </c>
      <c r="I241" s="408" t="str">
        <f>IF(TrackIT_Lines!AD233="","",CONCATENATE(TrackIT_Lines!AD233,"-",TrackIT_Lines!AG233))</f>
        <v/>
      </c>
      <c r="J241" s="409" t="str">
        <f t="shared" ca="1" si="150"/>
        <v/>
      </c>
      <c r="K241" s="408" t="str">
        <f t="shared" ca="1" si="150"/>
        <v/>
      </c>
      <c r="L241" s="408" t="str">
        <f t="shared" ca="1" si="150"/>
        <v/>
      </c>
      <c r="M241" s="408" t="str">
        <f t="shared" ca="1" si="150"/>
        <v/>
      </c>
      <c r="N241" s="408" t="str">
        <f t="shared" ca="1" si="150"/>
        <v/>
      </c>
      <c r="O241" s="408" t="str">
        <f t="shared" ca="1" si="150"/>
        <v/>
      </c>
      <c r="P241" s="408" t="str">
        <f t="shared" ca="1" si="150"/>
        <v/>
      </c>
      <c r="Q241" s="408" t="str">
        <f t="shared" ca="1" si="150"/>
        <v/>
      </c>
      <c r="R241" s="410" t="str">
        <f ca="1">Cluster!J260</f>
        <v>Selection</v>
      </c>
      <c r="S241" s="411" t="str">
        <f t="shared" ca="1" si="122"/>
        <v>-</v>
      </c>
      <c r="T241" s="412" t="str">
        <f t="shared" ca="1" si="123"/>
        <v/>
      </c>
      <c r="U241" s="411" t="str">
        <f t="shared" ca="1" si="124"/>
        <v>-</v>
      </c>
      <c r="V241" s="411" t="str">
        <f t="shared" ca="1" si="125"/>
        <v>-</v>
      </c>
      <c r="W241" s="413">
        <f>Cluster!N260</f>
        <v>0</v>
      </c>
      <c r="X241" s="414" t="str">
        <f t="shared" ca="1" si="126"/>
        <v>-</v>
      </c>
      <c r="Y241" s="411" t="str">
        <f t="shared" ca="1" si="127"/>
        <v>-</v>
      </c>
      <c r="Z241" s="415" t="str">
        <f t="shared" ca="1" si="128"/>
        <v>-</v>
      </c>
      <c r="AA241" s="416" t="str">
        <f t="shared" ca="1" si="129"/>
        <v>-</v>
      </c>
      <c r="AB241" s="416" t="str">
        <f t="shared" ca="1" si="130"/>
        <v/>
      </c>
      <c r="AC241" s="434">
        <f>Cluster!Q260</f>
        <v>0</v>
      </c>
      <c r="AD241" s="435" t="str">
        <f t="shared" ca="1" si="148"/>
        <v/>
      </c>
      <c r="AE241" s="436" t="str">
        <f t="shared" ca="1" si="148"/>
        <v/>
      </c>
      <c r="AF241" s="437" t="str">
        <f t="shared" ca="1" si="131"/>
        <v>-</v>
      </c>
      <c r="AG241" s="438" t="str">
        <f t="shared" ca="1" si="132"/>
        <v>-</v>
      </c>
      <c r="AH241" s="437" t="str">
        <f t="shared" ca="1" si="133"/>
        <v>-</v>
      </c>
      <c r="AI241" s="438" t="str">
        <f t="shared" ca="1" si="134"/>
        <v>-</v>
      </c>
      <c r="AJ241" s="438" t="str">
        <f t="shared" ca="1" si="135"/>
        <v>-</v>
      </c>
      <c r="AK241" s="439" t="str">
        <f ca="1">IFERROR(AE241*AD241*AL241/(IF(Cluster!AA260=Cluster!$W$8,Cluster!$W$10,IF(Cluster!AA260=Cluster!$X$8,Cluster!$X$10,IF(Cluster!AA260=Cluster!$Y$8,Cluster!$Y$10,0)))*10^3),"-")</f>
        <v>-</v>
      </c>
      <c r="AL241" s="440" t="str">
        <f ca="1">IFERROR(IF(OR(Calculation!T241&lt;(Calculation!$U$8+2),Calculation!AC241="Bypass"),IF((IF(Calculation!$O$6/((Calculation!AD241*10^-12)/(Calculation!T241*10^-9)*50)&lt;=1,1,ROUNDUP(Calculation!$O$6/((Calculation!AD241*10^-12)/(Calculation!T241*10^-9)*50),0))*50)&lt;Calculation!$AK$6,Calculation!$AK$6,IF(Calculation!$O$6/((Calculation!AD241*10^-12)/(Calculation!T241*10^-9)*50)&lt;=1,1,ROUNDUP(Calculation!$O$6/((Calculation!AD241*10^-12)/(Calculation!T241*10^-9)*50),0))*50),"-"),"-")</f>
        <v>-</v>
      </c>
      <c r="AM241" s="441" t="str">
        <f t="shared" ca="1" si="149"/>
        <v/>
      </c>
      <c r="AN241" s="442" t="str">
        <f t="shared" ca="1" si="149"/>
        <v/>
      </c>
      <c r="AO241" s="432">
        <f t="shared" ca="1" si="136"/>
        <v>384</v>
      </c>
      <c r="AP241" s="427" t="str">
        <f t="shared" ca="1" si="137"/>
        <v>-</v>
      </c>
      <c r="AQ241" s="443" t="str">
        <f t="shared" ca="1" si="138"/>
        <v>-</v>
      </c>
      <c r="AR241" s="444" t="str">
        <f t="shared" ca="1" si="139"/>
        <v>-</v>
      </c>
      <c r="AS241" s="430" t="str">
        <f t="shared" ca="1" si="140"/>
        <v>-</v>
      </c>
    </row>
    <row r="242" spans="1:45" ht="14.25" x14ac:dyDescent="0.65">
      <c r="A242" s="407">
        <v>234</v>
      </c>
      <c r="B242" s="408" t="str">
        <f t="shared" ca="1" si="121"/>
        <v/>
      </c>
      <c r="C242" s="408" t="str">
        <f ca="1">IFERROR(IF(G242="","",CONCATENATE(E242,"-",INDEX(Coordinate,MATCH(F242,ListAndConversion!$X$4:$X$99,0),2))),"")</f>
        <v/>
      </c>
      <c r="D242" s="408" t="str">
        <f t="shared" ca="1" si="146"/>
        <v/>
      </c>
      <c r="E242" s="408" t="str">
        <f t="shared" ca="1" si="146"/>
        <v/>
      </c>
      <c r="F242" s="408" t="str">
        <f t="shared" ca="1" si="146"/>
        <v/>
      </c>
      <c r="G242" s="408" t="str">
        <f ca="1">IFERROR(INDEX(ListAndConversion!A:B,MATCH(Calculation!E242,ListAndConversion!A:A,0),2),"")</f>
        <v/>
      </c>
      <c r="H242" s="408" t="str">
        <f>IF(TrackIT_Lines!AD234="","",TrackIT_Lines!AD234)</f>
        <v/>
      </c>
      <c r="I242" s="408" t="str">
        <f>IF(TrackIT_Lines!AD234="","",CONCATENATE(TrackIT_Lines!AD234,"-",TrackIT_Lines!AG234))</f>
        <v/>
      </c>
      <c r="J242" s="409" t="str">
        <f t="shared" ca="1" si="150"/>
        <v/>
      </c>
      <c r="K242" s="408" t="str">
        <f t="shared" ca="1" si="150"/>
        <v/>
      </c>
      <c r="L242" s="408" t="str">
        <f t="shared" ca="1" si="150"/>
        <v/>
      </c>
      <c r="M242" s="408" t="str">
        <f t="shared" ca="1" si="150"/>
        <v/>
      </c>
      <c r="N242" s="408" t="str">
        <f t="shared" ca="1" si="150"/>
        <v/>
      </c>
      <c r="O242" s="408" t="str">
        <f t="shared" ca="1" si="150"/>
        <v/>
      </c>
      <c r="P242" s="408" t="str">
        <f t="shared" ca="1" si="150"/>
        <v/>
      </c>
      <c r="Q242" s="408" t="str">
        <f t="shared" ca="1" si="150"/>
        <v/>
      </c>
      <c r="R242" s="410" t="str">
        <f ca="1">Cluster!J261</f>
        <v>Selection</v>
      </c>
      <c r="S242" s="411" t="str">
        <f t="shared" ca="1" si="122"/>
        <v>-</v>
      </c>
      <c r="T242" s="412" t="str">
        <f t="shared" ca="1" si="123"/>
        <v/>
      </c>
      <c r="U242" s="411" t="str">
        <f t="shared" ca="1" si="124"/>
        <v>-</v>
      </c>
      <c r="V242" s="411" t="str">
        <f t="shared" ca="1" si="125"/>
        <v>-</v>
      </c>
      <c r="W242" s="413">
        <f>Cluster!N261</f>
        <v>0</v>
      </c>
      <c r="X242" s="414" t="str">
        <f t="shared" ca="1" si="126"/>
        <v>-</v>
      </c>
      <c r="Y242" s="411" t="str">
        <f t="shared" ca="1" si="127"/>
        <v>-</v>
      </c>
      <c r="Z242" s="415" t="str">
        <f t="shared" ca="1" si="128"/>
        <v>-</v>
      </c>
      <c r="AA242" s="416" t="str">
        <f t="shared" ca="1" si="129"/>
        <v>-</v>
      </c>
      <c r="AB242" s="416" t="str">
        <f t="shared" ca="1" si="130"/>
        <v/>
      </c>
      <c r="AC242" s="434">
        <f>Cluster!Q261</f>
        <v>0</v>
      </c>
      <c r="AD242" s="435" t="str">
        <f t="shared" ca="1" si="148"/>
        <v/>
      </c>
      <c r="AE242" s="436" t="str">
        <f t="shared" ca="1" si="148"/>
        <v/>
      </c>
      <c r="AF242" s="437" t="str">
        <f t="shared" ca="1" si="131"/>
        <v>-</v>
      </c>
      <c r="AG242" s="438" t="str">
        <f t="shared" ca="1" si="132"/>
        <v>-</v>
      </c>
      <c r="AH242" s="437" t="str">
        <f t="shared" ca="1" si="133"/>
        <v>-</v>
      </c>
      <c r="AI242" s="438" t="str">
        <f t="shared" ca="1" si="134"/>
        <v>-</v>
      </c>
      <c r="AJ242" s="438" t="str">
        <f t="shared" ca="1" si="135"/>
        <v>-</v>
      </c>
      <c r="AK242" s="439" t="str">
        <f ca="1">IFERROR(AE242*AD242*AL242/(IF(Cluster!AA261=Cluster!$W$8,Cluster!$W$10,IF(Cluster!AA261=Cluster!$X$8,Cluster!$X$10,IF(Cluster!AA261=Cluster!$Y$8,Cluster!$Y$10,0)))*10^3),"-")</f>
        <v>-</v>
      </c>
      <c r="AL242" s="440" t="str">
        <f ca="1">IFERROR(IF(OR(Calculation!T242&lt;(Calculation!$U$8+2),Calculation!AC242="Bypass"),IF((IF(Calculation!$O$6/((Calculation!AD242*10^-12)/(Calculation!T242*10^-9)*50)&lt;=1,1,ROUNDUP(Calculation!$O$6/((Calculation!AD242*10^-12)/(Calculation!T242*10^-9)*50),0))*50)&lt;Calculation!$AK$6,Calculation!$AK$6,IF(Calculation!$O$6/((Calculation!AD242*10^-12)/(Calculation!T242*10^-9)*50)&lt;=1,1,ROUNDUP(Calculation!$O$6/((Calculation!AD242*10^-12)/(Calculation!T242*10^-9)*50),0))*50),"-"),"-")</f>
        <v>-</v>
      </c>
      <c r="AM242" s="441" t="str">
        <f t="shared" ca="1" si="149"/>
        <v/>
      </c>
      <c r="AN242" s="442" t="str">
        <f t="shared" ca="1" si="149"/>
        <v/>
      </c>
      <c r="AO242" s="432">
        <f t="shared" ca="1" si="136"/>
        <v>384</v>
      </c>
      <c r="AP242" s="427" t="str">
        <f t="shared" ca="1" si="137"/>
        <v>-</v>
      </c>
      <c r="AQ242" s="443" t="str">
        <f t="shared" ca="1" si="138"/>
        <v>-</v>
      </c>
      <c r="AR242" s="444" t="str">
        <f t="shared" ca="1" si="139"/>
        <v>-</v>
      </c>
      <c r="AS242" s="430" t="str">
        <f t="shared" ca="1" si="140"/>
        <v>-</v>
      </c>
    </row>
    <row r="243" spans="1:45" ht="14.25" x14ac:dyDescent="0.65">
      <c r="A243" s="407">
        <v>235</v>
      </c>
      <c r="B243" s="408" t="str">
        <f t="shared" ca="1" si="121"/>
        <v/>
      </c>
      <c r="C243" s="408" t="str">
        <f ca="1">IFERROR(IF(G243="","",CONCATENATE(E243,"-",INDEX(Coordinate,MATCH(F243,ListAndConversion!$X$4:$X$99,0),2))),"")</f>
        <v/>
      </c>
      <c r="D243" s="408" t="str">
        <f t="shared" ca="1" si="146"/>
        <v/>
      </c>
      <c r="E243" s="408" t="str">
        <f t="shared" ca="1" si="146"/>
        <v/>
      </c>
      <c r="F243" s="408" t="str">
        <f t="shared" ca="1" si="146"/>
        <v/>
      </c>
      <c r="G243" s="408" t="str">
        <f ca="1">IFERROR(INDEX(ListAndConversion!A:B,MATCH(Calculation!E243,ListAndConversion!A:A,0),2),"")</f>
        <v/>
      </c>
      <c r="H243" s="408" t="str">
        <f>IF(TrackIT_Lines!AD235="","",TrackIT_Lines!AD235)</f>
        <v/>
      </c>
      <c r="I243" s="408" t="str">
        <f>IF(TrackIT_Lines!AD235="","",CONCATENATE(TrackIT_Lines!AD235,"-",TrackIT_Lines!AG235))</f>
        <v/>
      </c>
      <c r="J243" s="409" t="str">
        <f t="shared" ca="1" si="150"/>
        <v/>
      </c>
      <c r="K243" s="408" t="str">
        <f t="shared" ca="1" si="150"/>
        <v/>
      </c>
      <c r="L243" s="408" t="str">
        <f t="shared" ca="1" si="150"/>
        <v/>
      </c>
      <c r="M243" s="408" t="str">
        <f t="shared" ca="1" si="150"/>
        <v/>
      </c>
      <c r="N243" s="408" t="str">
        <f t="shared" ca="1" si="150"/>
        <v/>
      </c>
      <c r="O243" s="408" t="str">
        <f t="shared" ca="1" si="150"/>
        <v/>
      </c>
      <c r="P243" s="408" t="str">
        <f t="shared" ca="1" si="150"/>
        <v/>
      </c>
      <c r="Q243" s="408" t="str">
        <f t="shared" ca="1" si="150"/>
        <v/>
      </c>
      <c r="R243" s="410" t="str">
        <f ca="1">Cluster!J262</f>
        <v>Selection</v>
      </c>
      <c r="S243" s="411" t="str">
        <f t="shared" ca="1" si="122"/>
        <v>-</v>
      </c>
      <c r="T243" s="412" t="str">
        <f t="shared" ca="1" si="123"/>
        <v/>
      </c>
      <c r="U243" s="411" t="str">
        <f t="shared" ca="1" si="124"/>
        <v>-</v>
      </c>
      <c r="V243" s="411" t="str">
        <f t="shared" ca="1" si="125"/>
        <v>-</v>
      </c>
      <c r="W243" s="413">
        <f>Cluster!N262</f>
        <v>0</v>
      </c>
      <c r="X243" s="414" t="str">
        <f t="shared" ca="1" si="126"/>
        <v>-</v>
      </c>
      <c r="Y243" s="411" t="str">
        <f t="shared" ca="1" si="127"/>
        <v>-</v>
      </c>
      <c r="Z243" s="415" t="str">
        <f t="shared" ca="1" si="128"/>
        <v>-</v>
      </c>
      <c r="AA243" s="416" t="str">
        <f t="shared" ca="1" si="129"/>
        <v>-</v>
      </c>
      <c r="AB243" s="416" t="str">
        <f t="shared" ca="1" si="130"/>
        <v/>
      </c>
      <c r="AC243" s="434">
        <f>Cluster!Q262</f>
        <v>0</v>
      </c>
      <c r="AD243" s="435" t="str">
        <f t="shared" ca="1" si="148"/>
        <v/>
      </c>
      <c r="AE243" s="436" t="str">
        <f t="shared" ca="1" si="148"/>
        <v/>
      </c>
      <c r="AF243" s="437" t="str">
        <f t="shared" ca="1" si="131"/>
        <v>-</v>
      </c>
      <c r="AG243" s="438" t="str">
        <f t="shared" ca="1" si="132"/>
        <v>-</v>
      </c>
      <c r="AH243" s="437" t="str">
        <f t="shared" ca="1" si="133"/>
        <v>-</v>
      </c>
      <c r="AI243" s="438" t="str">
        <f t="shared" ca="1" si="134"/>
        <v>-</v>
      </c>
      <c r="AJ243" s="438" t="str">
        <f t="shared" ca="1" si="135"/>
        <v>-</v>
      </c>
      <c r="AK243" s="439" t="str">
        <f ca="1">IFERROR(AE243*AD243*AL243/(IF(Cluster!AA262=Cluster!$W$8,Cluster!$W$10,IF(Cluster!AA262=Cluster!$X$8,Cluster!$X$10,IF(Cluster!AA262=Cluster!$Y$8,Cluster!$Y$10,0)))*10^3),"-")</f>
        <v>-</v>
      </c>
      <c r="AL243" s="440" t="str">
        <f ca="1">IFERROR(IF(OR(Calculation!T243&lt;(Calculation!$U$8+2),Calculation!AC243="Bypass"),IF((IF(Calculation!$O$6/((Calculation!AD243*10^-12)/(Calculation!T243*10^-9)*50)&lt;=1,1,ROUNDUP(Calculation!$O$6/((Calculation!AD243*10^-12)/(Calculation!T243*10^-9)*50),0))*50)&lt;Calculation!$AK$6,Calculation!$AK$6,IF(Calculation!$O$6/((Calculation!AD243*10^-12)/(Calculation!T243*10^-9)*50)&lt;=1,1,ROUNDUP(Calculation!$O$6/((Calculation!AD243*10^-12)/(Calculation!T243*10^-9)*50),0))*50),"-"),"-")</f>
        <v>-</v>
      </c>
      <c r="AM243" s="441" t="str">
        <f t="shared" ca="1" si="149"/>
        <v/>
      </c>
      <c r="AN243" s="442" t="str">
        <f t="shared" ca="1" si="149"/>
        <v/>
      </c>
      <c r="AO243" s="432">
        <f t="shared" ca="1" si="136"/>
        <v>384</v>
      </c>
      <c r="AP243" s="427" t="str">
        <f t="shared" ca="1" si="137"/>
        <v>-</v>
      </c>
      <c r="AQ243" s="443" t="str">
        <f t="shared" ca="1" si="138"/>
        <v>-</v>
      </c>
      <c r="AR243" s="444" t="str">
        <f t="shared" ca="1" si="139"/>
        <v>-</v>
      </c>
      <c r="AS243" s="430" t="str">
        <f t="shared" ca="1" si="140"/>
        <v>-</v>
      </c>
    </row>
    <row r="244" spans="1:45" ht="14.25" x14ac:dyDescent="0.65">
      <c r="A244" s="407">
        <v>236</v>
      </c>
      <c r="B244" s="408" t="str">
        <f t="shared" ca="1" si="121"/>
        <v/>
      </c>
      <c r="C244" s="408" t="str">
        <f ca="1">IFERROR(IF(G244="","",CONCATENATE(E244,"-",INDEX(Coordinate,MATCH(F244,ListAndConversion!$X$4:$X$99,0),2))),"")</f>
        <v/>
      </c>
      <c r="D244" s="408" t="str">
        <f t="shared" ca="1" si="146"/>
        <v/>
      </c>
      <c r="E244" s="408" t="str">
        <f t="shared" ca="1" si="146"/>
        <v/>
      </c>
      <c r="F244" s="408" t="str">
        <f t="shared" ca="1" si="146"/>
        <v/>
      </c>
      <c r="G244" s="408" t="str">
        <f ca="1">IFERROR(INDEX(ListAndConversion!A:B,MATCH(Calculation!E244,ListAndConversion!A:A,0),2),"")</f>
        <v/>
      </c>
      <c r="H244" s="408" t="str">
        <f>IF(TrackIT_Lines!AD236="","",TrackIT_Lines!AD236)</f>
        <v/>
      </c>
      <c r="I244" s="408" t="str">
        <f>IF(TrackIT_Lines!AD236="","",CONCATENATE(TrackIT_Lines!AD236,"-",TrackIT_Lines!AG236))</f>
        <v/>
      </c>
      <c r="J244" s="409" t="str">
        <f t="shared" ca="1" si="150"/>
        <v/>
      </c>
      <c r="K244" s="408" t="str">
        <f t="shared" ca="1" si="150"/>
        <v/>
      </c>
      <c r="L244" s="408" t="str">
        <f t="shared" ca="1" si="150"/>
        <v/>
      </c>
      <c r="M244" s="408" t="str">
        <f t="shared" ca="1" si="150"/>
        <v/>
      </c>
      <c r="N244" s="408" t="str">
        <f t="shared" ca="1" si="150"/>
        <v/>
      </c>
      <c r="O244" s="408" t="str">
        <f t="shared" ca="1" si="150"/>
        <v/>
      </c>
      <c r="P244" s="408" t="str">
        <f t="shared" ca="1" si="150"/>
        <v/>
      </c>
      <c r="Q244" s="408" t="str">
        <f t="shared" ca="1" si="150"/>
        <v/>
      </c>
      <c r="R244" s="410" t="str">
        <f ca="1">Cluster!J263</f>
        <v>Selection</v>
      </c>
      <c r="S244" s="411" t="str">
        <f t="shared" ca="1" si="122"/>
        <v>-</v>
      </c>
      <c r="T244" s="412" t="str">
        <f t="shared" ca="1" si="123"/>
        <v/>
      </c>
      <c r="U244" s="411" t="str">
        <f t="shared" ca="1" si="124"/>
        <v>-</v>
      </c>
      <c r="V244" s="411" t="str">
        <f t="shared" ca="1" si="125"/>
        <v>-</v>
      </c>
      <c r="W244" s="413">
        <f>Cluster!N263</f>
        <v>0</v>
      </c>
      <c r="X244" s="414" t="str">
        <f t="shared" ca="1" si="126"/>
        <v>-</v>
      </c>
      <c r="Y244" s="411" t="str">
        <f t="shared" ca="1" si="127"/>
        <v>-</v>
      </c>
      <c r="Z244" s="415" t="str">
        <f t="shared" ca="1" si="128"/>
        <v>-</v>
      </c>
      <c r="AA244" s="416" t="str">
        <f t="shared" ca="1" si="129"/>
        <v>-</v>
      </c>
      <c r="AB244" s="416" t="str">
        <f t="shared" ca="1" si="130"/>
        <v/>
      </c>
      <c r="AC244" s="434">
        <f>Cluster!Q263</f>
        <v>0</v>
      </c>
      <c r="AD244" s="435" t="str">
        <f t="shared" ca="1" si="148"/>
        <v/>
      </c>
      <c r="AE244" s="436" t="str">
        <f t="shared" ca="1" si="148"/>
        <v/>
      </c>
      <c r="AF244" s="437" t="str">
        <f t="shared" ca="1" si="131"/>
        <v>-</v>
      </c>
      <c r="AG244" s="438" t="str">
        <f t="shared" ca="1" si="132"/>
        <v>-</v>
      </c>
      <c r="AH244" s="437" t="str">
        <f t="shared" ca="1" si="133"/>
        <v>-</v>
      </c>
      <c r="AI244" s="438" t="str">
        <f t="shared" ca="1" si="134"/>
        <v>-</v>
      </c>
      <c r="AJ244" s="438" t="str">
        <f t="shared" ca="1" si="135"/>
        <v>-</v>
      </c>
      <c r="AK244" s="439" t="str">
        <f ca="1">IFERROR(AE244*AD244*AL244/(IF(Cluster!AA263=Cluster!$W$8,Cluster!$W$10,IF(Cluster!AA263=Cluster!$X$8,Cluster!$X$10,IF(Cluster!AA263=Cluster!$Y$8,Cluster!$Y$10,0)))*10^3),"-")</f>
        <v>-</v>
      </c>
      <c r="AL244" s="440" t="str">
        <f ca="1">IFERROR(IF(OR(Calculation!T244&lt;(Calculation!$U$8+2),Calculation!AC244="Bypass"),IF((IF(Calculation!$O$6/((Calculation!AD244*10^-12)/(Calculation!T244*10^-9)*50)&lt;=1,1,ROUNDUP(Calculation!$O$6/((Calculation!AD244*10^-12)/(Calculation!T244*10^-9)*50),0))*50)&lt;Calculation!$AK$6,Calculation!$AK$6,IF(Calculation!$O$6/((Calculation!AD244*10^-12)/(Calculation!T244*10^-9)*50)&lt;=1,1,ROUNDUP(Calculation!$O$6/((Calculation!AD244*10^-12)/(Calculation!T244*10^-9)*50),0))*50),"-"),"-")</f>
        <v>-</v>
      </c>
      <c r="AM244" s="441" t="str">
        <f t="shared" ca="1" si="149"/>
        <v/>
      </c>
      <c r="AN244" s="442" t="str">
        <f t="shared" ca="1" si="149"/>
        <v/>
      </c>
      <c r="AO244" s="432">
        <f t="shared" ca="1" si="136"/>
        <v>384</v>
      </c>
      <c r="AP244" s="427" t="str">
        <f t="shared" ca="1" si="137"/>
        <v>-</v>
      </c>
      <c r="AQ244" s="443" t="str">
        <f t="shared" ca="1" si="138"/>
        <v>-</v>
      </c>
      <c r="AR244" s="444" t="str">
        <f t="shared" ca="1" si="139"/>
        <v>-</v>
      </c>
      <c r="AS244" s="430" t="str">
        <f t="shared" ca="1" si="140"/>
        <v>-</v>
      </c>
    </row>
    <row r="245" spans="1:45" ht="14.25" x14ac:dyDescent="0.65">
      <c r="A245" s="407">
        <v>237</v>
      </c>
      <c r="B245" s="408" t="str">
        <f t="shared" ca="1" si="121"/>
        <v/>
      </c>
      <c r="C245" s="408" t="str">
        <f ca="1">IFERROR(IF(G245="","",CONCATENATE(E245,"-",INDEX(Coordinate,MATCH(F245,ListAndConversion!$X$4:$X$99,0),2))),"")</f>
        <v/>
      </c>
      <c r="D245" s="408" t="str">
        <f t="shared" ca="1" si="146"/>
        <v/>
      </c>
      <c r="E245" s="408" t="str">
        <f t="shared" ca="1" si="146"/>
        <v/>
      </c>
      <c r="F245" s="408" t="str">
        <f t="shared" ca="1" si="146"/>
        <v/>
      </c>
      <c r="G245" s="408" t="str">
        <f ca="1">IFERROR(INDEX(ListAndConversion!A:B,MATCH(Calculation!E245,ListAndConversion!A:A,0),2),"")</f>
        <v/>
      </c>
      <c r="H245" s="408" t="str">
        <f>IF(TrackIT_Lines!AD237="","",TrackIT_Lines!AD237)</f>
        <v/>
      </c>
      <c r="I245" s="408" t="str">
        <f>IF(TrackIT_Lines!AD237="","",CONCATENATE(TrackIT_Lines!AD237,"-",TrackIT_Lines!AG237))</f>
        <v/>
      </c>
      <c r="J245" s="409" t="str">
        <f t="shared" ca="1" si="150"/>
        <v/>
      </c>
      <c r="K245" s="408" t="str">
        <f t="shared" ca="1" si="150"/>
        <v/>
      </c>
      <c r="L245" s="408" t="str">
        <f t="shared" ca="1" si="150"/>
        <v/>
      </c>
      <c r="M245" s="408" t="str">
        <f t="shared" ca="1" si="150"/>
        <v/>
      </c>
      <c r="N245" s="408" t="str">
        <f t="shared" ca="1" si="150"/>
        <v/>
      </c>
      <c r="O245" s="408" t="str">
        <f t="shared" ca="1" si="150"/>
        <v/>
      </c>
      <c r="P245" s="408" t="str">
        <f t="shared" ca="1" si="150"/>
        <v/>
      </c>
      <c r="Q245" s="408" t="str">
        <f t="shared" ca="1" si="150"/>
        <v/>
      </c>
      <c r="R245" s="410" t="str">
        <f ca="1">Cluster!J264</f>
        <v>Selection</v>
      </c>
      <c r="S245" s="411" t="str">
        <f t="shared" ca="1" si="122"/>
        <v>-</v>
      </c>
      <c r="T245" s="412" t="str">
        <f t="shared" ca="1" si="123"/>
        <v/>
      </c>
      <c r="U245" s="411" t="str">
        <f t="shared" ca="1" si="124"/>
        <v>-</v>
      </c>
      <c r="V245" s="411" t="str">
        <f t="shared" ca="1" si="125"/>
        <v>-</v>
      </c>
      <c r="W245" s="413">
        <f>Cluster!N264</f>
        <v>0</v>
      </c>
      <c r="X245" s="414" t="str">
        <f t="shared" ca="1" si="126"/>
        <v>-</v>
      </c>
      <c r="Y245" s="411" t="str">
        <f t="shared" ca="1" si="127"/>
        <v>-</v>
      </c>
      <c r="Z245" s="415" t="str">
        <f t="shared" ca="1" si="128"/>
        <v>-</v>
      </c>
      <c r="AA245" s="416" t="str">
        <f t="shared" ca="1" si="129"/>
        <v>-</v>
      </c>
      <c r="AB245" s="416" t="str">
        <f t="shared" ca="1" si="130"/>
        <v/>
      </c>
      <c r="AC245" s="434">
        <f>Cluster!Q264</f>
        <v>0</v>
      </c>
      <c r="AD245" s="435" t="str">
        <f t="shared" ca="1" si="148"/>
        <v/>
      </c>
      <c r="AE245" s="436" t="str">
        <f t="shared" ca="1" si="148"/>
        <v/>
      </c>
      <c r="AF245" s="437" t="str">
        <f t="shared" ca="1" si="131"/>
        <v>-</v>
      </c>
      <c r="AG245" s="438" t="str">
        <f t="shared" ca="1" si="132"/>
        <v>-</v>
      </c>
      <c r="AH245" s="437" t="str">
        <f t="shared" ca="1" si="133"/>
        <v>-</v>
      </c>
      <c r="AI245" s="438" t="str">
        <f t="shared" ca="1" si="134"/>
        <v>-</v>
      </c>
      <c r="AJ245" s="438" t="str">
        <f t="shared" ca="1" si="135"/>
        <v>-</v>
      </c>
      <c r="AK245" s="439" t="str">
        <f ca="1">IFERROR(AE245*AD245*AL245/(IF(Cluster!AA264=Cluster!$W$8,Cluster!$W$10,IF(Cluster!AA264=Cluster!$X$8,Cluster!$X$10,IF(Cluster!AA264=Cluster!$Y$8,Cluster!$Y$10,0)))*10^3),"-")</f>
        <v>-</v>
      </c>
      <c r="AL245" s="440" t="str">
        <f ca="1">IFERROR(IF(OR(Calculation!T245&lt;(Calculation!$U$8+2),Calculation!AC245="Bypass"),IF((IF(Calculation!$O$6/((Calculation!AD245*10^-12)/(Calculation!T245*10^-9)*50)&lt;=1,1,ROUNDUP(Calculation!$O$6/((Calculation!AD245*10^-12)/(Calculation!T245*10^-9)*50),0))*50)&lt;Calculation!$AK$6,Calculation!$AK$6,IF(Calculation!$O$6/((Calculation!AD245*10^-12)/(Calculation!T245*10^-9)*50)&lt;=1,1,ROUNDUP(Calculation!$O$6/((Calculation!AD245*10^-12)/(Calculation!T245*10^-9)*50),0))*50),"-"),"-")</f>
        <v>-</v>
      </c>
      <c r="AM245" s="441" t="str">
        <f t="shared" ca="1" si="149"/>
        <v/>
      </c>
      <c r="AN245" s="442" t="str">
        <f t="shared" ca="1" si="149"/>
        <v/>
      </c>
      <c r="AO245" s="432">
        <f t="shared" ca="1" si="136"/>
        <v>384</v>
      </c>
      <c r="AP245" s="427" t="str">
        <f t="shared" ca="1" si="137"/>
        <v>-</v>
      </c>
      <c r="AQ245" s="443" t="str">
        <f t="shared" ca="1" si="138"/>
        <v>-</v>
      </c>
      <c r="AR245" s="444" t="str">
        <f t="shared" ca="1" si="139"/>
        <v>-</v>
      </c>
      <c r="AS245" s="430" t="str">
        <f t="shared" ca="1" si="140"/>
        <v>-</v>
      </c>
    </row>
    <row r="246" spans="1:45" ht="14.25" x14ac:dyDescent="0.65">
      <c r="A246" s="407">
        <v>238</v>
      </c>
      <c r="B246" s="408" t="str">
        <f t="shared" ca="1" si="121"/>
        <v/>
      </c>
      <c r="C246" s="408" t="str">
        <f ca="1">IFERROR(IF(G246="","",CONCATENATE(E246,"-",INDEX(Coordinate,MATCH(F246,ListAndConversion!$X$4:$X$99,0),2))),"")</f>
        <v/>
      </c>
      <c r="D246" s="408" t="str">
        <f t="shared" ca="1" si="146"/>
        <v/>
      </c>
      <c r="E246" s="408" t="str">
        <f t="shared" ca="1" si="146"/>
        <v/>
      </c>
      <c r="F246" s="408" t="str">
        <f t="shared" ca="1" si="146"/>
        <v/>
      </c>
      <c r="G246" s="408" t="str">
        <f ca="1">IFERROR(INDEX(ListAndConversion!A:B,MATCH(Calculation!E246,ListAndConversion!A:A,0),2),"")</f>
        <v/>
      </c>
      <c r="H246" s="408" t="str">
        <f>IF(TrackIT_Lines!AD238="","",TrackIT_Lines!AD238)</f>
        <v/>
      </c>
      <c r="I246" s="408" t="str">
        <f>IF(TrackIT_Lines!AD238="","",CONCATENATE(TrackIT_Lines!AD238,"-",TrackIT_Lines!AG238))</f>
        <v/>
      </c>
      <c r="J246" s="409" t="str">
        <f t="shared" ca="1" si="150"/>
        <v/>
      </c>
      <c r="K246" s="408" t="str">
        <f t="shared" ca="1" si="150"/>
        <v/>
      </c>
      <c r="L246" s="408" t="str">
        <f t="shared" ca="1" si="150"/>
        <v/>
      </c>
      <c r="M246" s="408" t="str">
        <f t="shared" ca="1" si="150"/>
        <v/>
      </c>
      <c r="N246" s="408" t="str">
        <f t="shared" ca="1" si="150"/>
        <v/>
      </c>
      <c r="O246" s="408" t="str">
        <f t="shared" ca="1" si="150"/>
        <v/>
      </c>
      <c r="P246" s="408" t="str">
        <f t="shared" ca="1" si="150"/>
        <v/>
      </c>
      <c r="Q246" s="408" t="str">
        <f t="shared" ca="1" si="150"/>
        <v/>
      </c>
      <c r="R246" s="410" t="str">
        <f ca="1">Cluster!J265</f>
        <v>Selection</v>
      </c>
      <c r="S246" s="411" t="str">
        <f t="shared" ca="1" si="122"/>
        <v>-</v>
      </c>
      <c r="T246" s="412" t="str">
        <f t="shared" ca="1" si="123"/>
        <v/>
      </c>
      <c r="U246" s="411" t="str">
        <f t="shared" ca="1" si="124"/>
        <v>-</v>
      </c>
      <c r="V246" s="411" t="str">
        <f t="shared" ca="1" si="125"/>
        <v>-</v>
      </c>
      <c r="W246" s="413">
        <f>Cluster!N265</f>
        <v>0</v>
      </c>
      <c r="X246" s="414" t="str">
        <f t="shared" ca="1" si="126"/>
        <v>-</v>
      </c>
      <c r="Y246" s="411" t="str">
        <f t="shared" ca="1" si="127"/>
        <v>-</v>
      </c>
      <c r="Z246" s="415" t="str">
        <f t="shared" ca="1" si="128"/>
        <v>-</v>
      </c>
      <c r="AA246" s="416" t="str">
        <f t="shared" ca="1" si="129"/>
        <v>-</v>
      </c>
      <c r="AB246" s="416" t="str">
        <f t="shared" ca="1" si="130"/>
        <v/>
      </c>
      <c r="AC246" s="434">
        <f>Cluster!Q265</f>
        <v>0</v>
      </c>
      <c r="AD246" s="435" t="str">
        <f t="shared" ca="1" si="148"/>
        <v/>
      </c>
      <c r="AE246" s="436" t="str">
        <f t="shared" ca="1" si="148"/>
        <v/>
      </c>
      <c r="AF246" s="437" t="str">
        <f t="shared" ca="1" si="131"/>
        <v>-</v>
      </c>
      <c r="AG246" s="438" t="str">
        <f t="shared" ca="1" si="132"/>
        <v>-</v>
      </c>
      <c r="AH246" s="437" t="str">
        <f t="shared" ca="1" si="133"/>
        <v>-</v>
      </c>
      <c r="AI246" s="438" t="str">
        <f t="shared" ca="1" si="134"/>
        <v>-</v>
      </c>
      <c r="AJ246" s="438" t="str">
        <f t="shared" ca="1" si="135"/>
        <v>-</v>
      </c>
      <c r="AK246" s="439" t="str">
        <f ca="1">IFERROR(AE246*AD246*AL246/(IF(Cluster!AA265=Cluster!$W$8,Cluster!$W$10,IF(Cluster!AA265=Cluster!$X$8,Cluster!$X$10,IF(Cluster!AA265=Cluster!$Y$8,Cluster!$Y$10,0)))*10^3),"-")</f>
        <v>-</v>
      </c>
      <c r="AL246" s="440" t="str">
        <f ca="1">IFERROR(IF(OR(Calculation!T246&lt;(Calculation!$U$8+2),Calculation!AC246="Bypass"),IF((IF(Calculation!$O$6/((Calculation!AD246*10^-12)/(Calculation!T246*10^-9)*50)&lt;=1,1,ROUNDUP(Calculation!$O$6/((Calculation!AD246*10^-12)/(Calculation!T246*10^-9)*50),0))*50)&lt;Calculation!$AK$6,Calculation!$AK$6,IF(Calculation!$O$6/((Calculation!AD246*10^-12)/(Calculation!T246*10^-9)*50)&lt;=1,1,ROUNDUP(Calculation!$O$6/((Calculation!AD246*10^-12)/(Calculation!T246*10^-9)*50),0))*50),"-"),"-")</f>
        <v>-</v>
      </c>
      <c r="AM246" s="441" t="str">
        <f t="shared" ca="1" si="149"/>
        <v/>
      </c>
      <c r="AN246" s="442" t="str">
        <f t="shared" ca="1" si="149"/>
        <v/>
      </c>
      <c r="AO246" s="432">
        <f t="shared" ca="1" si="136"/>
        <v>384</v>
      </c>
      <c r="AP246" s="427" t="str">
        <f t="shared" ca="1" si="137"/>
        <v>-</v>
      </c>
      <c r="AQ246" s="443" t="str">
        <f t="shared" ca="1" si="138"/>
        <v>-</v>
      </c>
      <c r="AR246" s="444" t="str">
        <f t="shared" ca="1" si="139"/>
        <v>-</v>
      </c>
      <c r="AS246" s="430" t="str">
        <f t="shared" ca="1" si="140"/>
        <v>-</v>
      </c>
    </row>
    <row r="247" spans="1:45" ht="14.25" x14ac:dyDescent="0.65">
      <c r="A247" s="407">
        <v>239</v>
      </c>
      <c r="B247" s="408" t="str">
        <f t="shared" ca="1" si="121"/>
        <v/>
      </c>
      <c r="C247" s="408" t="str">
        <f ca="1">IFERROR(IF(G247="","",CONCATENATE(E247,"-",INDEX(Coordinate,MATCH(F247,ListAndConversion!$X$4:$X$99,0),2))),"")</f>
        <v/>
      </c>
      <c r="D247" s="408" t="str">
        <f t="shared" ca="1" si="146"/>
        <v/>
      </c>
      <c r="E247" s="408" t="str">
        <f t="shared" ca="1" si="146"/>
        <v/>
      </c>
      <c r="F247" s="408" t="str">
        <f t="shared" ca="1" si="146"/>
        <v/>
      </c>
      <c r="G247" s="408" t="str">
        <f ca="1">IFERROR(INDEX(ListAndConversion!A:B,MATCH(Calculation!E247,ListAndConversion!A:A,0),2),"")</f>
        <v/>
      </c>
      <c r="H247" s="408" t="str">
        <f>IF(TrackIT_Lines!AD239="","",TrackIT_Lines!AD239)</f>
        <v/>
      </c>
      <c r="I247" s="408" t="str">
        <f>IF(TrackIT_Lines!AD239="","",CONCATENATE(TrackIT_Lines!AD239,"-",TrackIT_Lines!AG239))</f>
        <v/>
      </c>
      <c r="J247" s="409" t="str">
        <f t="shared" ca="1" si="150"/>
        <v/>
      </c>
      <c r="K247" s="408" t="str">
        <f t="shared" ca="1" si="150"/>
        <v/>
      </c>
      <c r="L247" s="408" t="str">
        <f t="shared" ca="1" si="150"/>
        <v/>
      </c>
      <c r="M247" s="408" t="str">
        <f t="shared" ca="1" si="150"/>
        <v/>
      </c>
      <c r="N247" s="408" t="str">
        <f t="shared" ca="1" si="150"/>
        <v/>
      </c>
      <c r="O247" s="408" t="str">
        <f t="shared" ca="1" si="150"/>
        <v/>
      </c>
      <c r="P247" s="408" t="str">
        <f t="shared" ca="1" si="150"/>
        <v/>
      </c>
      <c r="Q247" s="408" t="str">
        <f t="shared" ca="1" si="150"/>
        <v/>
      </c>
      <c r="R247" s="410" t="str">
        <f ca="1">Cluster!J266</f>
        <v>Selection</v>
      </c>
      <c r="S247" s="411" t="str">
        <f t="shared" ca="1" si="122"/>
        <v>-</v>
      </c>
      <c r="T247" s="412" t="str">
        <f t="shared" ca="1" si="123"/>
        <v/>
      </c>
      <c r="U247" s="411" t="str">
        <f t="shared" ca="1" si="124"/>
        <v>-</v>
      </c>
      <c r="V247" s="411" t="str">
        <f t="shared" ca="1" si="125"/>
        <v>-</v>
      </c>
      <c r="W247" s="413">
        <f>Cluster!N266</f>
        <v>0</v>
      </c>
      <c r="X247" s="414" t="str">
        <f t="shared" ca="1" si="126"/>
        <v>-</v>
      </c>
      <c r="Y247" s="411" t="str">
        <f t="shared" ca="1" si="127"/>
        <v>-</v>
      </c>
      <c r="Z247" s="415" t="str">
        <f t="shared" ca="1" si="128"/>
        <v>-</v>
      </c>
      <c r="AA247" s="416" t="str">
        <f t="shared" ca="1" si="129"/>
        <v>-</v>
      </c>
      <c r="AB247" s="416" t="str">
        <f t="shared" ca="1" si="130"/>
        <v/>
      </c>
      <c r="AC247" s="434">
        <f>Cluster!Q266</f>
        <v>0</v>
      </c>
      <c r="AD247" s="435" t="str">
        <f t="shared" ca="1" si="148"/>
        <v/>
      </c>
      <c r="AE247" s="436" t="str">
        <f t="shared" ca="1" si="148"/>
        <v/>
      </c>
      <c r="AF247" s="437" t="str">
        <f t="shared" ca="1" si="131"/>
        <v>-</v>
      </c>
      <c r="AG247" s="438" t="str">
        <f t="shared" ca="1" si="132"/>
        <v>-</v>
      </c>
      <c r="AH247" s="437" t="str">
        <f t="shared" ca="1" si="133"/>
        <v>-</v>
      </c>
      <c r="AI247" s="438" t="str">
        <f t="shared" ca="1" si="134"/>
        <v>-</v>
      </c>
      <c r="AJ247" s="438" t="str">
        <f t="shared" ca="1" si="135"/>
        <v>-</v>
      </c>
      <c r="AK247" s="439" t="str">
        <f ca="1">IFERROR(AE247*AD247*AL247/(IF(Cluster!AA266=Cluster!$W$8,Cluster!$W$10,IF(Cluster!AA266=Cluster!$X$8,Cluster!$X$10,IF(Cluster!AA266=Cluster!$Y$8,Cluster!$Y$10,0)))*10^3),"-")</f>
        <v>-</v>
      </c>
      <c r="AL247" s="440" t="str">
        <f ca="1">IFERROR(IF(OR(Calculation!T247&lt;(Calculation!$U$8+2),Calculation!AC247="Bypass"),IF((IF(Calculation!$O$6/((Calculation!AD247*10^-12)/(Calculation!T247*10^-9)*50)&lt;=1,1,ROUNDUP(Calculation!$O$6/((Calculation!AD247*10^-12)/(Calculation!T247*10^-9)*50),0))*50)&lt;Calculation!$AK$6,Calculation!$AK$6,IF(Calculation!$O$6/((Calculation!AD247*10^-12)/(Calculation!T247*10^-9)*50)&lt;=1,1,ROUNDUP(Calculation!$O$6/((Calculation!AD247*10^-12)/(Calculation!T247*10^-9)*50),0))*50),"-"),"-")</f>
        <v>-</v>
      </c>
      <c r="AM247" s="441" t="str">
        <f t="shared" ca="1" si="149"/>
        <v/>
      </c>
      <c r="AN247" s="442" t="str">
        <f t="shared" ca="1" si="149"/>
        <v/>
      </c>
      <c r="AO247" s="432">
        <f t="shared" ca="1" si="136"/>
        <v>384</v>
      </c>
      <c r="AP247" s="427" t="str">
        <f t="shared" ca="1" si="137"/>
        <v>-</v>
      </c>
      <c r="AQ247" s="443" t="str">
        <f t="shared" ca="1" si="138"/>
        <v>-</v>
      </c>
      <c r="AR247" s="444" t="str">
        <f t="shared" ca="1" si="139"/>
        <v>-</v>
      </c>
      <c r="AS247" s="430" t="str">
        <f t="shared" ca="1" si="140"/>
        <v>-</v>
      </c>
    </row>
    <row r="248" spans="1:45" ht="14.25" x14ac:dyDescent="0.65">
      <c r="A248" s="407">
        <v>240</v>
      </c>
      <c r="B248" s="408" t="str">
        <f t="shared" ca="1" si="121"/>
        <v/>
      </c>
      <c r="C248" s="408" t="str">
        <f ca="1">IFERROR(IF(G248="","",CONCATENATE(E248,"-",INDEX(Coordinate,MATCH(F248,ListAndConversion!$X$4:$X$99,0),2))),"")</f>
        <v/>
      </c>
      <c r="D248" s="408" t="str">
        <f t="shared" ca="1" si="146"/>
        <v/>
      </c>
      <c r="E248" s="408" t="str">
        <f t="shared" ca="1" si="146"/>
        <v/>
      </c>
      <c r="F248" s="408" t="str">
        <f t="shared" ca="1" si="146"/>
        <v/>
      </c>
      <c r="G248" s="408" t="str">
        <f ca="1">IFERROR(INDEX(ListAndConversion!A:B,MATCH(Calculation!E248,ListAndConversion!A:A,0),2),"")</f>
        <v/>
      </c>
      <c r="H248" s="408" t="str">
        <f>IF(TrackIT_Lines!AD240="","",TrackIT_Lines!AD240)</f>
        <v/>
      </c>
      <c r="I248" s="408" t="str">
        <f>IF(TrackIT_Lines!AD240="","",CONCATENATE(TrackIT_Lines!AD240,"-",TrackIT_Lines!AG240))</f>
        <v/>
      </c>
      <c r="J248" s="409" t="str">
        <f t="shared" ca="1" si="150"/>
        <v/>
      </c>
      <c r="K248" s="408" t="str">
        <f t="shared" ca="1" si="150"/>
        <v/>
      </c>
      <c r="L248" s="408" t="str">
        <f t="shared" ca="1" si="150"/>
        <v/>
      </c>
      <c r="M248" s="408" t="str">
        <f t="shared" ca="1" si="150"/>
        <v/>
      </c>
      <c r="N248" s="408" t="str">
        <f t="shared" ca="1" si="150"/>
        <v/>
      </c>
      <c r="O248" s="408" t="str">
        <f t="shared" ca="1" si="150"/>
        <v/>
      </c>
      <c r="P248" s="408" t="str">
        <f t="shared" ca="1" si="150"/>
        <v/>
      </c>
      <c r="Q248" s="408" t="str">
        <f t="shared" ca="1" si="150"/>
        <v/>
      </c>
      <c r="R248" s="410" t="str">
        <f ca="1">Cluster!J267</f>
        <v>Selection</v>
      </c>
      <c r="S248" s="411" t="str">
        <f t="shared" ca="1" si="122"/>
        <v>-</v>
      </c>
      <c r="T248" s="412" t="str">
        <f t="shared" ca="1" si="123"/>
        <v/>
      </c>
      <c r="U248" s="411" t="str">
        <f t="shared" ca="1" si="124"/>
        <v>-</v>
      </c>
      <c r="V248" s="411" t="str">
        <f t="shared" ca="1" si="125"/>
        <v>-</v>
      </c>
      <c r="W248" s="413">
        <f>Cluster!N267</f>
        <v>0</v>
      </c>
      <c r="X248" s="414" t="str">
        <f t="shared" ca="1" si="126"/>
        <v>-</v>
      </c>
      <c r="Y248" s="411" t="str">
        <f t="shared" ca="1" si="127"/>
        <v>-</v>
      </c>
      <c r="Z248" s="415" t="str">
        <f t="shared" ca="1" si="128"/>
        <v>-</v>
      </c>
      <c r="AA248" s="416" t="str">
        <f t="shared" ca="1" si="129"/>
        <v>-</v>
      </c>
      <c r="AB248" s="416" t="str">
        <f t="shared" ca="1" si="130"/>
        <v/>
      </c>
      <c r="AC248" s="434">
        <f>Cluster!Q267</f>
        <v>0</v>
      </c>
      <c r="AD248" s="435" t="str">
        <f t="shared" ca="1" si="148"/>
        <v/>
      </c>
      <c r="AE248" s="436" t="str">
        <f t="shared" ca="1" si="148"/>
        <v/>
      </c>
      <c r="AF248" s="437" t="str">
        <f t="shared" ca="1" si="131"/>
        <v>-</v>
      </c>
      <c r="AG248" s="438" t="str">
        <f t="shared" ca="1" si="132"/>
        <v>-</v>
      </c>
      <c r="AH248" s="437" t="str">
        <f t="shared" ca="1" si="133"/>
        <v>-</v>
      </c>
      <c r="AI248" s="438" t="str">
        <f t="shared" ca="1" si="134"/>
        <v>-</v>
      </c>
      <c r="AJ248" s="438" t="str">
        <f t="shared" ca="1" si="135"/>
        <v>-</v>
      </c>
      <c r="AK248" s="439" t="str">
        <f ca="1">IFERROR(AE248*AD248*AL248/(IF(Cluster!AA267=Cluster!$W$8,Cluster!$W$10,IF(Cluster!AA267=Cluster!$X$8,Cluster!$X$10,IF(Cluster!AA267=Cluster!$Y$8,Cluster!$Y$10,0)))*10^3),"-")</f>
        <v>-</v>
      </c>
      <c r="AL248" s="440" t="str">
        <f ca="1">IFERROR(IF(OR(Calculation!T248&lt;(Calculation!$U$8+2),Calculation!AC248="Bypass"),IF((IF(Calculation!$O$6/((Calculation!AD248*10^-12)/(Calculation!T248*10^-9)*50)&lt;=1,1,ROUNDUP(Calculation!$O$6/((Calculation!AD248*10^-12)/(Calculation!T248*10^-9)*50),0))*50)&lt;Calculation!$AK$6,Calculation!$AK$6,IF(Calculation!$O$6/((Calculation!AD248*10^-12)/(Calculation!T248*10^-9)*50)&lt;=1,1,ROUNDUP(Calculation!$O$6/((Calculation!AD248*10^-12)/(Calculation!T248*10^-9)*50),0))*50),"-"),"-")</f>
        <v>-</v>
      </c>
      <c r="AM248" s="441" t="str">
        <f t="shared" ca="1" si="149"/>
        <v/>
      </c>
      <c r="AN248" s="442" t="str">
        <f t="shared" ca="1" si="149"/>
        <v/>
      </c>
      <c r="AO248" s="432">
        <f t="shared" ca="1" si="136"/>
        <v>384</v>
      </c>
      <c r="AP248" s="427" t="str">
        <f t="shared" ca="1" si="137"/>
        <v>-</v>
      </c>
      <c r="AQ248" s="443" t="str">
        <f t="shared" ca="1" si="138"/>
        <v>-</v>
      </c>
      <c r="AR248" s="444" t="str">
        <f t="shared" ca="1" si="139"/>
        <v>-</v>
      </c>
      <c r="AS248" s="430" t="str">
        <f t="shared" ca="1" si="140"/>
        <v>-</v>
      </c>
    </row>
    <row r="249" spans="1:45" ht="14.25" x14ac:dyDescent="0.65">
      <c r="A249" s="407">
        <v>241</v>
      </c>
      <c r="B249" s="408" t="str">
        <f t="shared" ca="1" si="121"/>
        <v/>
      </c>
      <c r="C249" s="408" t="str">
        <f ca="1">IFERROR(IF(G249="","",CONCATENATE(E249,"-",INDEX(Coordinate,MATCH(F249,ListAndConversion!$X$4:$X$99,0),2))),"")</f>
        <v/>
      </c>
      <c r="D249" s="408" t="str">
        <f t="shared" ca="1" si="146"/>
        <v/>
      </c>
      <c r="E249" s="408" t="str">
        <f t="shared" ca="1" si="146"/>
        <v/>
      </c>
      <c r="F249" s="408" t="str">
        <f t="shared" ca="1" si="146"/>
        <v/>
      </c>
      <c r="G249" s="408" t="str">
        <f ca="1">IFERROR(INDEX(ListAndConversion!A:B,MATCH(Calculation!E249,ListAndConversion!A:A,0),2),"")</f>
        <v/>
      </c>
      <c r="H249" s="408" t="str">
        <f>IF(TrackIT_Lines!AD241="","",TrackIT_Lines!AD241)</f>
        <v/>
      </c>
      <c r="I249" s="408" t="str">
        <f>IF(TrackIT_Lines!AD241="","",CONCATENATE(TrackIT_Lines!AD241,"-",TrackIT_Lines!AG241))</f>
        <v/>
      </c>
      <c r="J249" s="409" t="str">
        <f t="shared" ca="1" si="150"/>
        <v/>
      </c>
      <c r="K249" s="408" t="str">
        <f t="shared" ca="1" si="150"/>
        <v/>
      </c>
      <c r="L249" s="408" t="str">
        <f t="shared" ca="1" si="150"/>
        <v/>
      </c>
      <c r="M249" s="408" t="str">
        <f t="shared" ca="1" si="150"/>
        <v/>
      </c>
      <c r="N249" s="408" t="str">
        <f t="shared" ca="1" si="150"/>
        <v/>
      </c>
      <c r="O249" s="408" t="str">
        <f t="shared" ca="1" si="150"/>
        <v/>
      </c>
      <c r="P249" s="408" t="str">
        <f t="shared" ca="1" si="150"/>
        <v/>
      </c>
      <c r="Q249" s="408" t="str">
        <f t="shared" ca="1" si="150"/>
        <v/>
      </c>
      <c r="R249" s="410" t="str">
        <f ca="1">Cluster!J268</f>
        <v>Selection</v>
      </c>
      <c r="S249" s="411" t="str">
        <f t="shared" ca="1" si="122"/>
        <v>-</v>
      </c>
      <c r="T249" s="412" t="str">
        <f t="shared" ca="1" si="123"/>
        <v/>
      </c>
      <c r="U249" s="411" t="str">
        <f t="shared" ca="1" si="124"/>
        <v>-</v>
      </c>
      <c r="V249" s="411" t="str">
        <f t="shared" ca="1" si="125"/>
        <v>-</v>
      </c>
      <c r="W249" s="413">
        <f>Cluster!N268</f>
        <v>0</v>
      </c>
      <c r="X249" s="414" t="str">
        <f t="shared" ca="1" si="126"/>
        <v>-</v>
      </c>
      <c r="Y249" s="411" t="str">
        <f t="shared" ca="1" si="127"/>
        <v>-</v>
      </c>
      <c r="Z249" s="415" t="str">
        <f t="shared" ca="1" si="128"/>
        <v>-</v>
      </c>
      <c r="AA249" s="416" t="str">
        <f t="shared" ca="1" si="129"/>
        <v>-</v>
      </c>
      <c r="AB249" s="416" t="str">
        <f t="shared" ca="1" si="130"/>
        <v/>
      </c>
      <c r="AC249" s="434">
        <f>Cluster!Q268</f>
        <v>0</v>
      </c>
      <c r="AD249" s="435" t="str">
        <f t="shared" ca="1" si="148"/>
        <v/>
      </c>
      <c r="AE249" s="436" t="str">
        <f t="shared" ca="1" si="148"/>
        <v/>
      </c>
      <c r="AF249" s="437" t="str">
        <f t="shared" ca="1" si="131"/>
        <v>-</v>
      </c>
      <c r="AG249" s="438" t="str">
        <f t="shared" ca="1" si="132"/>
        <v>-</v>
      </c>
      <c r="AH249" s="437" t="str">
        <f t="shared" ca="1" si="133"/>
        <v>-</v>
      </c>
      <c r="AI249" s="438" t="str">
        <f t="shared" ca="1" si="134"/>
        <v>-</v>
      </c>
      <c r="AJ249" s="438" t="str">
        <f t="shared" ca="1" si="135"/>
        <v>-</v>
      </c>
      <c r="AK249" s="439" t="str">
        <f ca="1">IFERROR(AE249*AD249*AL249/(IF(Cluster!AA268=Cluster!$W$8,Cluster!$W$10,IF(Cluster!AA268=Cluster!$X$8,Cluster!$X$10,IF(Cluster!AA268=Cluster!$Y$8,Cluster!$Y$10,0)))*10^3),"-")</f>
        <v>-</v>
      </c>
      <c r="AL249" s="440" t="str">
        <f ca="1">IFERROR(IF(OR(Calculation!T249&lt;(Calculation!$U$8+2),Calculation!AC249="Bypass"),IF((IF(Calculation!$O$6/((Calculation!AD249*10^-12)/(Calculation!T249*10^-9)*50)&lt;=1,1,ROUNDUP(Calculation!$O$6/((Calculation!AD249*10^-12)/(Calculation!T249*10^-9)*50),0))*50)&lt;Calculation!$AK$6,Calculation!$AK$6,IF(Calculation!$O$6/((Calculation!AD249*10^-12)/(Calculation!T249*10^-9)*50)&lt;=1,1,ROUNDUP(Calculation!$O$6/((Calculation!AD249*10^-12)/(Calculation!T249*10^-9)*50),0))*50),"-"),"-")</f>
        <v>-</v>
      </c>
      <c r="AM249" s="441" t="str">
        <f t="shared" ca="1" si="149"/>
        <v/>
      </c>
      <c r="AN249" s="442" t="str">
        <f t="shared" ca="1" si="149"/>
        <v/>
      </c>
      <c r="AO249" s="432">
        <f t="shared" ca="1" si="136"/>
        <v>384</v>
      </c>
      <c r="AP249" s="427" t="str">
        <f t="shared" ca="1" si="137"/>
        <v>-</v>
      </c>
      <c r="AQ249" s="443" t="str">
        <f t="shared" ca="1" si="138"/>
        <v>-</v>
      </c>
      <c r="AR249" s="444" t="str">
        <f t="shared" ca="1" si="139"/>
        <v>-</v>
      </c>
      <c r="AS249" s="430" t="str">
        <f t="shared" ca="1" si="140"/>
        <v>-</v>
      </c>
    </row>
    <row r="250" spans="1:45" ht="14.25" x14ac:dyDescent="0.65">
      <c r="A250" s="407">
        <v>242</v>
      </c>
      <c r="B250" s="408" t="str">
        <f t="shared" ca="1" si="121"/>
        <v/>
      </c>
      <c r="C250" s="408" t="str">
        <f ca="1">IFERROR(IF(G250="","",CONCATENATE(E250,"-",INDEX(Coordinate,MATCH(F250,ListAndConversion!$X$4:$X$99,0),2))),"")</f>
        <v/>
      </c>
      <c r="D250" s="408" t="str">
        <f t="shared" ref="D250:F269" ca="1" si="151">IF((INDIRECT("TrackIT_Lines!"&amp;D$2&amp;$A250))="","", (INDIRECT("TrackIT_Lines!"&amp;D$2&amp;$A250)))</f>
        <v/>
      </c>
      <c r="E250" s="408" t="str">
        <f t="shared" ca="1" si="151"/>
        <v/>
      </c>
      <c r="F250" s="408" t="str">
        <f t="shared" ca="1" si="151"/>
        <v/>
      </c>
      <c r="G250" s="408" t="str">
        <f ca="1">IFERROR(INDEX(ListAndConversion!A:B,MATCH(Calculation!E250,ListAndConversion!A:A,0),2),"")</f>
        <v/>
      </c>
      <c r="H250" s="408" t="str">
        <f>IF(TrackIT_Lines!AD242="","",TrackIT_Lines!AD242)</f>
        <v/>
      </c>
      <c r="I250" s="408" t="str">
        <f>IF(TrackIT_Lines!AD242="","",CONCATENATE(TrackIT_Lines!AD242,"-",TrackIT_Lines!AG242))</f>
        <v/>
      </c>
      <c r="J250" s="409" t="str">
        <f t="shared" ref="J250:Q259" ca="1" si="152">IF((INDIRECT("TrackIT_Lines!"&amp;J$2&amp;$A250))="","", (INDIRECT("TrackIT_Lines!"&amp;J$2&amp;$A250)))</f>
        <v/>
      </c>
      <c r="K250" s="408" t="str">
        <f t="shared" ca="1" si="152"/>
        <v/>
      </c>
      <c r="L250" s="408" t="str">
        <f t="shared" ca="1" si="152"/>
        <v/>
      </c>
      <c r="M250" s="408" t="str">
        <f t="shared" ca="1" si="152"/>
        <v/>
      </c>
      <c r="N250" s="408" t="str">
        <f t="shared" ca="1" si="152"/>
        <v/>
      </c>
      <c r="O250" s="408" t="str">
        <f t="shared" ca="1" si="152"/>
        <v/>
      </c>
      <c r="P250" s="408" t="str">
        <f t="shared" ca="1" si="152"/>
        <v/>
      </c>
      <c r="Q250" s="408" t="str">
        <f t="shared" ca="1" si="152"/>
        <v/>
      </c>
      <c r="R250" s="410" t="str">
        <f ca="1">Cluster!J269</f>
        <v>Selection</v>
      </c>
      <c r="S250" s="411" t="str">
        <f t="shared" ca="1" si="122"/>
        <v>-</v>
      </c>
      <c r="T250" s="412" t="str">
        <f t="shared" ca="1" si="123"/>
        <v/>
      </c>
      <c r="U250" s="411" t="str">
        <f t="shared" ca="1" si="124"/>
        <v>-</v>
      </c>
      <c r="V250" s="411" t="str">
        <f t="shared" ca="1" si="125"/>
        <v>-</v>
      </c>
      <c r="W250" s="413">
        <f>Cluster!N269</f>
        <v>0</v>
      </c>
      <c r="X250" s="414" t="str">
        <f t="shared" ca="1" si="126"/>
        <v>-</v>
      </c>
      <c r="Y250" s="411" t="str">
        <f t="shared" ca="1" si="127"/>
        <v>-</v>
      </c>
      <c r="Z250" s="415" t="str">
        <f t="shared" ca="1" si="128"/>
        <v>-</v>
      </c>
      <c r="AA250" s="416" t="str">
        <f t="shared" ca="1" si="129"/>
        <v>-</v>
      </c>
      <c r="AB250" s="416" t="str">
        <f t="shared" ca="1" si="130"/>
        <v/>
      </c>
      <c r="AC250" s="434">
        <f>Cluster!Q269</f>
        <v>0</v>
      </c>
      <c r="AD250" s="435" t="str">
        <f t="shared" ref="AD250:AE269" ca="1" si="153">IF((INDIRECT("TrackIT_Lines!"&amp;AD$2&amp;$A250))="","", (INDIRECT("TrackIT_Lines!"&amp;AD$2&amp;$A250)))</f>
        <v/>
      </c>
      <c r="AE250" s="436" t="str">
        <f t="shared" ca="1" si="153"/>
        <v/>
      </c>
      <c r="AF250" s="437" t="str">
        <f t="shared" ca="1" si="131"/>
        <v>-</v>
      </c>
      <c r="AG250" s="438" t="str">
        <f t="shared" ca="1" si="132"/>
        <v>-</v>
      </c>
      <c r="AH250" s="437" t="str">
        <f t="shared" ca="1" si="133"/>
        <v>-</v>
      </c>
      <c r="AI250" s="438" t="str">
        <f t="shared" ca="1" si="134"/>
        <v>-</v>
      </c>
      <c r="AJ250" s="438" t="str">
        <f t="shared" ca="1" si="135"/>
        <v>-</v>
      </c>
      <c r="AK250" s="439" t="str">
        <f ca="1">IFERROR(AE250*AD250*AL250/(IF(Cluster!AA269=Cluster!$W$8,Cluster!$W$10,IF(Cluster!AA269=Cluster!$X$8,Cluster!$X$10,IF(Cluster!AA269=Cluster!$Y$8,Cluster!$Y$10,0)))*10^3),"-")</f>
        <v>-</v>
      </c>
      <c r="AL250" s="440" t="str">
        <f ca="1">IFERROR(IF(OR(Calculation!T250&lt;(Calculation!$U$8+2),Calculation!AC250="Bypass"),IF((IF(Calculation!$O$6/((Calculation!AD250*10^-12)/(Calculation!T250*10^-9)*50)&lt;=1,1,ROUNDUP(Calculation!$O$6/((Calculation!AD250*10^-12)/(Calculation!T250*10^-9)*50),0))*50)&lt;Calculation!$AK$6,Calculation!$AK$6,IF(Calculation!$O$6/((Calculation!AD250*10^-12)/(Calculation!T250*10^-9)*50)&lt;=1,1,ROUNDUP(Calculation!$O$6/((Calculation!AD250*10^-12)/(Calculation!T250*10^-9)*50),0))*50),"-"),"-")</f>
        <v>-</v>
      </c>
      <c r="AM250" s="441" t="str">
        <f t="shared" ref="AM250:AN269" ca="1" si="154">IF((INDIRECT("TrackIT_Lines!"&amp;AM$2&amp;$A250))="","", (INDIRECT("TrackIT_Lines!"&amp;AM$2&amp;$A250)))</f>
        <v/>
      </c>
      <c r="AN250" s="442" t="str">
        <f t="shared" ca="1" si="154"/>
        <v/>
      </c>
      <c r="AO250" s="432">
        <f t="shared" ca="1" si="136"/>
        <v>384</v>
      </c>
      <c r="AP250" s="427" t="str">
        <f t="shared" ca="1" si="137"/>
        <v>-</v>
      </c>
      <c r="AQ250" s="443" t="str">
        <f t="shared" ca="1" si="138"/>
        <v>-</v>
      </c>
      <c r="AR250" s="444" t="str">
        <f t="shared" ca="1" si="139"/>
        <v>-</v>
      </c>
      <c r="AS250" s="430" t="str">
        <f t="shared" ca="1" si="140"/>
        <v>-</v>
      </c>
    </row>
    <row r="251" spans="1:45" ht="14.25" x14ac:dyDescent="0.65">
      <c r="A251" s="407">
        <v>243</v>
      </c>
      <c r="B251" s="408" t="str">
        <f t="shared" ca="1" si="121"/>
        <v/>
      </c>
      <c r="C251" s="408" t="str">
        <f ca="1">IFERROR(IF(G251="","",CONCATENATE(E251,"-",INDEX(Coordinate,MATCH(F251,ListAndConversion!$X$4:$X$99,0),2))),"")</f>
        <v/>
      </c>
      <c r="D251" s="408" t="str">
        <f t="shared" ca="1" si="151"/>
        <v/>
      </c>
      <c r="E251" s="408" t="str">
        <f t="shared" ca="1" si="151"/>
        <v/>
      </c>
      <c r="F251" s="408" t="str">
        <f t="shared" ca="1" si="151"/>
        <v/>
      </c>
      <c r="G251" s="408" t="str">
        <f ca="1">IFERROR(INDEX(ListAndConversion!A:B,MATCH(Calculation!E251,ListAndConversion!A:A,0),2),"")</f>
        <v/>
      </c>
      <c r="H251" s="408" t="str">
        <f>IF(TrackIT_Lines!AD243="","",TrackIT_Lines!AD243)</f>
        <v/>
      </c>
      <c r="I251" s="408" t="str">
        <f>IF(TrackIT_Lines!AD243="","",CONCATENATE(TrackIT_Lines!AD243,"-",TrackIT_Lines!AG243))</f>
        <v/>
      </c>
      <c r="J251" s="409" t="str">
        <f t="shared" ca="1" si="152"/>
        <v/>
      </c>
      <c r="K251" s="408" t="str">
        <f t="shared" ca="1" si="152"/>
        <v/>
      </c>
      <c r="L251" s="408" t="str">
        <f t="shared" ca="1" si="152"/>
        <v/>
      </c>
      <c r="M251" s="408" t="str">
        <f t="shared" ca="1" si="152"/>
        <v/>
      </c>
      <c r="N251" s="408" t="str">
        <f t="shared" ca="1" si="152"/>
        <v/>
      </c>
      <c r="O251" s="408" t="str">
        <f t="shared" ca="1" si="152"/>
        <v/>
      </c>
      <c r="P251" s="408" t="str">
        <f t="shared" ca="1" si="152"/>
        <v/>
      </c>
      <c r="Q251" s="408" t="str">
        <f t="shared" ca="1" si="152"/>
        <v/>
      </c>
      <c r="R251" s="410" t="str">
        <f ca="1">Cluster!J270</f>
        <v>Selection</v>
      </c>
      <c r="S251" s="411" t="str">
        <f t="shared" ca="1" si="122"/>
        <v>-</v>
      </c>
      <c r="T251" s="412" t="str">
        <f t="shared" ca="1" si="123"/>
        <v/>
      </c>
      <c r="U251" s="411" t="str">
        <f t="shared" ca="1" si="124"/>
        <v>-</v>
      </c>
      <c r="V251" s="411" t="str">
        <f t="shared" ca="1" si="125"/>
        <v>-</v>
      </c>
      <c r="W251" s="413">
        <f>Cluster!N270</f>
        <v>0</v>
      </c>
      <c r="X251" s="414" t="str">
        <f t="shared" ca="1" si="126"/>
        <v>-</v>
      </c>
      <c r="Y251" s="411" t="str">
        <f t="shared" ca="1" si="127"/>
        <v>-</v>
      </c>
      <c r="Z251" s="415" t="str">
        <f t="shared" ca="1" si="128"/>
        <v>-</v>
      </c>
      <c r="AA251" s="416" t="str">
        <f t="shared" ca="1" si="129"/>
        <v>-</v>
      </c>
      <c r="AB251" s="416" t="str">
        <f t="shared" ca="1" si="130"/>
        <v/>
      </c>
      <c r="AC251" s="434">
        <f>Cluster!Q270</f>
        <v>0</v>
      </c>
      <c r="AD251" s="435" t="str">
        <f t="shared" ca="1" si="153"/>
        <v/>
      </c>
      <c r="AE251" s="436" t="str">
        <f t="shared" ca="1" si="153"/>
        <v/>
      </c>
      <c r="AF251" s="437" t="str">
        <f t="shared" ca="1" si="131"/>
        <v>-</v>
      </c>
      <c r="AG251" s="438" t="str">
        <f t="shared" ca="1" si="132"/>
        <v>-</v>
      </c>
      <c r="AH251" s="437" t="str">
        <f t="shared" ca="1" si="133"/>
        <v>-</v>
      </c>
      <c r="AI251" s="438" t="str">
        <f t="shared" ca="1" si="134"/>
        <v>-</v>
      </c>
      <c r="AJ251" s="438" t="str">
        <f t="shared" ca="1" si="135"/>
        <v>-</v>
      </c>
      <c r="AK251" s="439" t="str">
        <f ca="1">IFERROR(AE251*AD251*AL251/(IF(Cluster!AA270=Cluster!$W$8,Cluster!$W$10,IF(Cluster!AA270=Cluster!$X$8,Cluster!$X$10,IF(Cluster!AA270=Cluster!$Y$8,Cluster!$Y$10,0)))*10^3),"-")</f>
        <v>-</v>
      </c>
      <c r="AL251" s="440" t="str">
        <f ca="1">IFERROR(IF(OR(Calculation!T251&lt;(Calculation!$U$8+2),Calculation!AC251="Bypass"),IF((IF(Calculation!$O$6/((Calculation!AD251*10^-12)/(Calculation!T251*10^-9)*50)&lt;=1,1,ROUNDUP(Calculation!$O$6/((Calculation!AD251*10^-12)/(Calculation!T251*10^-9)*50),0))*50)&lt;Calculation!$AK$6,Calculation!$AK$6,IF(Calculation!$O$6/((Calculation!AD251*10^-12)/(Calculation!T251*10^-9)*50)&lt;=1,1,ROUNDUP(Calculation!$O$6/((Calculation!AD251*10^-12)/(Calculation!T251*10^-9)*50),0))*50),"-"),"-")</f>
        <v>-</v>
      </c>
      <c r="AM251" s="441" t="str">
        <f t="shared" ca="1" si="154"/>
        <v/>
      </c>
      <c r="AN251" s="442" t="str">
        <f t="shared" ca="1" si="154"/>
        <v/>
      </c>
      <c r="AO251" s="432">
        <f t="shared" ca="1" si="136"/>
        <v>384</v>
      </c>
      <c r="AP251" s="427" t="str">
        <f t="shared" ca="1" si="137"/>
        <v>-</v>
      </c>
      <c r="AQ251" s="443" t="str">
        <f t="shared" ca="1" si="138"/>
        <v>-</v>
      </c>
      <c r="AR251" s="444" t="str">
        <f t="shared" ca="1" si="139"/>
        <v>-</v>
      </c>
      <c r="AS251" s="430" t="str">
        <f t="shared" ca="1" si="140"/>
        <v>-</v>
      </c>
    </row>
    <row r="252" spans="1:45" ht="14.25" x14ac:dyDescent="0.65">
      <c r="A252" s="407">
        <v>244</v>
      </c>
      <c r="B252" s="408" t="str">
        <f t="shared" ca="1" si="121"/>
        <v/>
      </c>
      <c r="C252" s="408" t="str">
        <f ca="1">IFERROR(IF(G252="","",CONCATENATE(E252,"-",INDEX(Coordinate,MATCH(F252,ListAndConversion!$X$4:$X$99,0),2))),"")</f>
        <v/>
      </c>
      <c r="D252" s="408" t="str">
        <f t="shared" ca="1" si="151"/>
        <v/>
      </c>
      <c r="E252" s="408" t="str">
        <f t="shared" ca="1" si="151"/>
        <v/>
      </c>
      <c r="F252" s="408" t="str">
        <f t="shared" ca="1" si="151"/>
        <v/>
      </c>
      <c r="G252" s="408" t="str">
        <f ca="1">IFERROR(INDEX(ListAndConversion!A:B,MATCH(Calculation!E252,ListAndConversion!A:A,0),2),"")</f>
        <v/>
      </c>
      <c r="H252" s="408" t="str">
        <f>IF(TrackIT_Lines!AD244="","",TrackIT_Lines!AD244)</f>
        <v/>
      </c>
      <c r="I252" s="408" t="str">
        <f>IF(TrackIT_Lines!AD244="","",CONCATENATE(TrackIT_Lines!AD244,"-",TrackIT_Lines!AG244))</f>
        <v/>
      </c>
      <c r="J252" s="409" t="str">
        <f t="shared" ca="1" si="152"/>
        <v/>
      </c>
      <c r="K252" s="408" t="str">
        <f t="shared" ca="1" si="152"/>
        <v/>
      </c>
      <c r="L252" s="408" t="str">
        <f t="shared" ca="1" si="152"/>
        <v/>
      </c>
      <c r="M252" s="408" t="str">
        <f t="shared" ca="1" si="152"/>
        <v/>
      </c>
      <c r="N252" s="408" t="str">
        <f t="shared" ca="1" si="152"/>
        <v/>
      </c>
      <c r="O252" s="408" t="str">
        <f t="shared" ca="1" si="152"/>
        <v/>
      </c>
      <c r="P252" s="408" t="str">
        <f t="shared" ca="1" si="152"/>
        <v/>
      </c>
      <c r="Q252" s="408" t="str">
        <f t="shared" ca="1" si="152"/>
        <v/>
      </c>
      <c r="R252" s="410" t="str">
        <f ca="1">Cluster!J271</f>
        <v>Selection</v>
      </c>
      <c r="S252" s="411" t="str">
        <f t="shared" ca="1" si="122"/>
        <v>-</v>
      </c>
      <c r="T252" s="412" t="str">
        <f t="shared" ca="1" si="123"/>
        <v/>
      </c>
      <c r="U252" s="411" t="str">
        <f t="shared" ca="1" si="124"/>
        <v>-</v>
      </c>
      <c r="V252" s="411" t="str">
        <f t="shared" ca="1" si="125"/>
        <v>-</v>
      </c>
      <c r="W252" s="413">
        <f>Cluster!N271</f>
        <v>0</v>
      </c>
      <c r="X252" s="414" t="str">
        <f t="shared" ca="1" si="126"/>
        <v>-</v>
      </c>
      <c r="Y252" s="411" t="str">
        <f t="shared" ca="1" si="127"/>
        <v>-</v>
      </c>
      <c r="Z252" s="415" t="str">
        <f t="shared" ca="1" si="128"/>
        <v>-</v>
      </c>
      <c r="AA252" s="416" t="str">
        <f t="shared" ca="1" si="129"/>
        <v>-</v>
      </c>
      <c r="AB252" s="416" t="str">
        <f t="shared" ca="1" si="130"/>
        <v/>
      </c>
      <c r="AC252" s="434">
        <f>Cluster!Q271</f>
        <v>0</v>
      </c>
      <c r="AD252" s="435" t="str">
        <f t="shared" ca="1" si="153"/>
        <v/>
      </c>
      <c r="AE252" s="436" t="str">
        <f t="shared" ca="1" si="153"/>
        <v/>
      </c>
      <c r="AF252" s="437" t="str">
        <f t="shared" ca="1" si="131"/>
        <v>-</v>
      </c>
      <c r="AG252" s="438" t="str">
        <f t="shared" ca="1" si="132"/>
        <v>-</v>
      </c>
      <c r="AH252" s="437" t="str">
        <f t="shared" ca="1" si="133"/>
        <v>-</v>
      </c>
      <c r="AI252" s="438" t="str">
        <f t="shared" ca="1" si="134"/>
        <v>-</v>
      </c>
      <c r="AJ252" s="438" t="str">
        <f t="shared" ca="1" si="135"/>
        <v>-</v>
      </c>
      <c r="AK252" s="439" t="str">
        <f ca="1">IFERROR(AE252*AD252*AL252/(IF(Cluster!AA271=Cluster!$W$8,Cluster!$W$10,IF(Cluster!AA271=Cluster!$X$8,Cluster!$X$10,IF(Cluster!AA271=Cluster!$Y$8,Cluster!$Y$10,0)))*10^3),"-")</f>
        <v>-</v>
      </c>
      <c r="AL252" s="440" t="str">
        <f ca="1">IFERROR(IF(OR(Calculation!T252&lt;(Calculation!$U$8+2),Calculation!AC252="Bypass"),IF((IF(Calculation!$O$6/((Calculation!AD252*10^-12)/(Calculation!T252*10^-9)*50)&lt;=1,1,ROUNDUP(Calculation!$O$6/((Calculation!AD252*10^-12)/(Calculation!T252*10^-9)*50),0))*50)&lt;Calculation!$AK$6,Calculation!$AK$6,IF(Calculation!$O$6/((Calculation!AD252*10^-12)/(Calculation!T252*10^-9)*50)&lt;=1,1,ROUNDUP(Calculation!$O$6/((Calculation!AD252*10^-12)/(Calculation!T252*10^-9)*50),0))*50),"-"),"-")</f>
        <v>-</v>
      </c>
      <c r="AM252" s="441" t="str">
        <f t="shared" ca="1" si="154"/>
        <v/>
      </c>
      <c r="AN252" s="442" t="str">
        <f t="shared" ca="1" si="154"/>
        <v/>
      </c>
      <c r="AO252" s="432">
        <f t="shared" ca="1" si="136"/>
        <v>384</v>
      </c>
      <c r="AP252" s="427" t="str">
        <f t="shared" ca="1" si="137"/>
        <v>-</v>
      </c>
      <c r="AQ252" s="443" t="str">
        <f t="shared" ca="1" si="138"/>
        <v>-</v>
      </c>
      <c r="AR252" s="444" t="str">
        <f t="shared" ca="1" si="139"/>
        <v>-</v>
      </c>
      <c r="AS252" s="430" t="str">
        <f t="shared" ca="1" si="140"/>
        <v>-</v>
      </c>
    </row>
    <row r="253" spans="1:45" ht="14.25" x14ac:dyDescent="0.65">
      <c r="A253" s="407">
        <v>245</v>
      </c>
      <c r="B253" s="408" t="str">
        <f t="shared" ca="1" si="121"/>
        <v/>
      </c>
      <c r="C253" s="408" t="str">
        <f ca="1">IFERROR(IF(G253="","",CONCATENATE(E253,"-",INDEX(Coordinate,MATCH(F253,ListAndConversion!$X$4:$X$99,0),2))),"")</f>
        <v/>
      </c>
      <c r="D253" s="408" t="str">
        <f t="shared" ca="1" si="151"/>
        <v/>
      </c>
      <c r="E253" s="408" t="str">
        <f t="shared" ca="1" si="151"/>
        <v/>
      </c>
      <c r="F253" s="408" t="str">
        <f t="shared" ca="1" si="151"/>
        <v/>
      </c>
      <c r="G253" s="408" t="str">
        <f ca="1">IFERROR(INDEX(ListAndConversion!A:B,MATCH(Calculation!E253,ListAndConversion!A:A,0),2),"")</f>
        <v/>
      </c>
      <c r="H253" s="408" t="str">
        <f>IF(TrackIT_Lines!AD245="","",TrackIT_Lines!AD245)</f>
        <v/>
      </c>
      <c r="I253" s="408" t="str">
        <f>IF(TrackIT_Lines!AD245="","",CONCATENATE(TrackIT_Lines!AD245,"-",TrackIT_Lines!AG245))</f>
        <v/>
      </c>
      <c r="J253" s="409" t="str">
        <f t="shared" ca="1" si="152"/>
        <v/>
      </c>
      <c r="K253" s="408" t="str">
        <f t="shared" ca="1" si="152"/>
        <v/>
      </c>
      <c r="L253" s="408" t="str">
        <f t="shared" ca="1" si="152"/>
        <v/>
      </c>
      <c r="M253" s="408" t="str">
        <f t="shared" ca="1" si="152"/>
        <v/>
      </c>
      <c r="N253" s="408" t="str">
        <f t="shared" ca="1" si="152"/>
        <v/>
      </c>
      <c r="O253" s="408" t="str">
        <f t="shared" ca="1" si="152"/>
        <v/>
      </c>
      <c r="P253" s="408" t="str">
        <f t="shared" ca="1" si="152"/>
        <v/>
      </c>
      <c r="Q253" s="408" t="str">
        <f t="shared" ca="1" si="152"/>
        <v/>
      </c>
      <c r="R253" s="410" t="str">
        <f ca="1">Cluster!J272</f>
        <v>Selection</v>
      </c>
      <c r="S253" s="411" t="str">
        <f t="shared" ca="1" si="122"/>
        <v>-</v>
      </c>
      <c r="T253" s="412" t="str">
        <f t="shared" ca="1" si="123"/>
        <v/>
      </c>
      <c r="U253" s="411" t="str">
        <f t="shared" ca="1" si="124"/>
        <v>-</v>
      </c>
      <c r="V253" s="411" t="str">
        <f t="shared" ca="1" si="125"/>
        <v>-</v>
      </c>
      <c r="W253" s="413">
        <f>Cluster!N272</f>
        <v>0</v>
      </c>
      <c r="X253" s="414" t="str">
        <f t="shared" ca="1" si="126"/>
        <v>-</v>
      </c>
      <c r="Y253" s="411" t="str">
        <f t="shared" ca="1" si="127"/>
        <v>-</v>
      </c>
      <c r="Z253" s="415" t="str">
        <f t="shared" ca="1" si="128"/>
        <v>-</v>
      </c>
      <c r="AA253" s="416" t="str">
        <f t="shared" ca="1" si="129"/>
        <v>-</v>
      </c>
      <c r="AB253" s="416" t="str">
        <f t="shared" ca="1" si="130"/>
        <v/>
      </c>
      <c r="AC253" s="434">
        <f>Cluster!Q272</f>
        <v>0</v>
      </c>
      <c r="AD253" s="435" t="str">
        <f t="shared" ca="1" si="153"/>
        <v/>
      </c>
      <c r="AE253" s="436" t="str">
        <f t="shared" ca="1" si="153"/>
        <v/>
      </c>
      <c r="AF253" s="437" t="str">
        <f t="shared" ca="1" si="131"/>
        <v>-</v>
      </c>
      <c r="AG253" s="438" t="str">
        <f t="shared" ca="1" si="132"/>
        <v>-</v>
      </c>
      <c r="AH253" s="437" t="str">
        <f t="shared" ca="1" si="133"/>
        <v>-</v>
      </c>
      <c r="AI253" s="438" t="str">
        <f t="shared" ca="1" si="134"/>
        <v>-</v>
      </c>
      <c r="AJ253" s="438" t="str">
        <f t="shared" ca="1" si="135"/>
        <v>-</v>
      </c>
      <c r="AK253" s="439" t="str">
        <f ca="1">IFERROR(AE253*AD253*AL253/(IF(Cluster!AA272=Cluster!$W$8,Cluster!$W$10,IF(Cluster!AA272=Cluster!$X$8,Cluster!$X$10,IF(Cluster!AA272=Cluster!$Y$8,Cluster!$Y$10,0)))*10^3),"-")</f>
        <v>-</v>
      </c>
      <c r="AL253" s="440" t="str">
        <f ca="1">IFERROR(IF(OR(Calculation!T253&lt;(Calculation!$U$8+2),Calculation!AC253="Bypass"),IF((IF(Calculation!$O$6/((Calculation!AD253*10^-12)/(Calculation!T253*10^-9)*50)&lt;=1,1,ROUNDUP(Calculation!$O$6/((Calculation!AD253*10^-12)/(Calculation!T253*10^-9)*50),0))*50)&lt;Calculation!$AK$6,Calculation!$AK$6,IF(Calculation!$O$6/((Calculation!AD253*10^-12)/(Calculation!T253*10^-9)*50)&lt;=1,1,ROUNDUP(Calculation!$O$6/((Calculation!AD253*10^-12)/(Calculation!T253*10^-9)*50),0))*50),"-"),"-")</f>
        <v>-</v>
      </c>
      <c r="AM253" s="441" t="str">
        <f t="shared" ca="1" si="154"/>
        <v/>
      </c>
      <c r="AN253" s="442" t="str">
        <f t="shared" ca="1" si="154"/>
        <v/>
      </c>
      <c r="AO253" s="432">
        <f t="shared" ca="1" si="136"/>
        <v>384</v>
      </c>
      <c r="AP253" s="427" t="str">
        <f t="shared" ca="1" si="137"/>
        <v>-</v>
      </c>
      <c r="AQ253" s="443" t="str">
        <f t="shared" ca="1" si="138"/>
        <v>-</v>
      </c>
      <c r="AR253" s="444" t="str">
        <f t="shared" ca="1" si="139"/>
        <v>-</v>
      </c>
      <c r="AS253" s="430" t="str">
        <f t="shared" ca="1" si="140"/>
        <v>-</v>
      </c>
    </row>
    <row r="254" spans="1:45" ht="14.25" x14ac:dyDescent="0.65">
      <c r="A254" s="407">
        <v>246</v>
      </c>
      <c r="B254" s="408" t="str">
        <f t="shared" ca="1" si="121"/>
        <v/>
      </c>
      <c r="C254" s="408" t="str">
        <f ca="1">IFERROR(IF(G254="","",CONCATENATE(E254,"-",INDEX(Coordinate,MATCH(F254,ListAndConversion!$X$4:$X$99,0),2))),"")</f>
        <v/>
      </c>
      <c r="D254" s="408" t="str">
        <f t="shared" ca="1" si="151"/>
        <v/>
      </c>
      <c r="E254" s="408" t="str">
        <f t="shared" ca="1" si="151"/>
        <v/>
      </c>
      <c r="F254" s="408" t="str">
        <f t="shared" ca="1" si="151"/>
        <v/>
      </c>
      <c r="G254" s="408" t="str">
        <f ca="1">IFERROR(INDEX(ListAndConversion!A:B,MATCH(Calculation!E254,ListAndConversion!A:A,0),2),"")</f>
        <v/>
      </c>
      <c r="H254" s="408" t="str">
        <f>IF(TrackIT_Lines!AD246="","",TrackIT_Lines!AD246)</f>
        <v/>
      </c>
      <c r="I254" s="408" t="str">
        <f>IF(TrackIT_Lines!AD246="","",CONCATENATE(TrackIT_Lines!AD246,"-",TrackIT_Lines!AG246))</f>
        <v/>
      </c>
      <c r="J254" s="409" t="str">
        <f t="shared" ca="1" si="152"/>
        <v/>
      </c>
      <c r="K254" s="408" t="str">
        <f t="shared" ca="1" si="152"/>
        <v/>
      </c>
      <c r="L254" s="408" t="str">
        <f t="shared" ca="1" si="152"/>
        <v/>
      </c>
      <c r="M254" s="408" t="str">
        <f t="shared" ca="1" si="152"/>
        <v/>
      </c>
      <c r="N254" s="408" t="str">
        <f t="shared" ca="1" si="152"/>
        <v/>
      </c>
      <c r="O254" s="408" t="str">
        <f t="shared" ca="1" si="152"/>
        <v/>
      </c>
      <c r="P254" s="408" t="str">
        <f t="shared" ca="1" si="152"/>
        <v/>
      </c>
      <c r="Q254" s="408" t="str">
        <f t="shared" ca="1" si="152"/>
        <v/>
      </c>
      <c r="R254" s="410" t="str">
        <f ca="1">Cluster!J273</f>
        <v>Selection</v>
      </c>
      <c r="S254" s="411" t="str">
        <f t="shared" ca="1" si="122"/>
        <v>-</v>
      </c>
      <c r="T254" s="412" t="str">
        <f t="shared" ca="1" si="123"/>
        <v/>
      </c>
      <c r="U254" s="411" t="str">
        <f t="shared" ca="1" si="124"/>
        <v>-</v>
      </c>
      <c r="V254" s="411" t="str">
        <f t="shared" ca="1" si="125"/>
        <v>-</v>
      </c>
      <c r="W254" s="413">
        <f>Cluster!N273</f>
        <v>0</v>
      </c>
      <c r="X254" s="414" t="str">
        <f t="shared" ca="1" si="126"/>
        <v>-</v>
      </c>
      <c r="Y254" s="411" t="str">
        <f t="shared" ca="1" si="127"/>
        <v>-</v>
      </c>
      <c r="Z254" s="415" t="str">
        <f t="shared" ca="1" si="128"/>
        <v>-</v>
      </c>
      <c r="AA254" s="416" t="str">
        <f t="shared" ca="1" si="129"/>
        <v>-</v>
      </c>
      <c r="AB254" s="416" t="str">
        <f t="shared" ca="1" si="130"/>
        <v/>
      </c>
      <c r="AC254" s="434">
        <f>Cluster!Q273</f>
        <v>0</v>
      </c>
      <c r="AD254" s="435" t="str">
        <f t="shared" ca="1" si="153"/>
        <v/>
      </c>
      <c r="AE254" s="436" t="str">
        <f t="shared" ca="1" si="153"/>
        <v/>
      </c>
      <c r="AF254" s="437" t="str">
        <f t="shared" ca="1" si="131"/>
        <v>-</v>
      </c>
      <c r="AG254" s="438" t="str">
        <f t="shared" ca="1" si="132"/>
        <v>-</v>
      </c>
      <c r="AH254" s="437" t="str">
        <f t="shared" ca="1" si="133"/>
        <v>-</v>
      </c>
      <c r="AI254" s="438" t="str">
        <f t="shared" ca="1" si="134"/>
        <v>-</v>
      </c>
      <c r="AJ254" s="438" t="str">
        <f t="shared" ca="1" si="135"/>
        <v>-</v>
      </c>
      <c r="AK254" s="439" t="str">
        <f ca="1">IFERROR(AE254*AD254*AL254/(IF(Cluster!AA273=Cluster!$W$8,Cluster!$W$10,IF(Cluster!AA273=Cluster!$X$8,Cluster!$X$10,IF(Cluster!AA273=Cluster!$Y$8,Cluster!$Y$10,0)))*10^3),"-")</f>
        <v>-</v>
      </c>
      <c r="AL254" s="440" t="str">
        <f ca="1">IFERROR(IF(OR(Calculation!T254&lt;(Calculation!$U$8+2),Calculation!AC254="Bypass"),IF((IF(Calculation!$O$6/((Calculation!AD254*10^-12)/(Calculation!T254*10^-9)*50)&lt;=1,1,ROUNDUP(Calculation!$O$6/((Calculation!AD254*10^-12)/(Calculation!T254*10^-9)*50),0))*50)&lt;Calculation!$AK$6,Calculation!$AK$6,IF(Calculation!$O$6/((Calculation!AD254*10^-12)/(Calculation!T254*10^-9)*50)&lt;=1,1,ROUNDUP(Calculation!$O$6/((Calculation!AD254*10^-12)/(Calculation!T254*10^-9)*50),0))*50),"-"),"-")</f>
        <v>-</v>
      </c>
      <c r="AM254" s="441" t="str">
        <f t="shared" ca="1" si="154"/>
        <v/>
      </c>
      <c r="AN254" s="442" t="str">
        <f t="shared" ca="1" si="154"/>
        <v/>
      </c>
      <c r="AO254" s="432">
        <f t="shared" ca="1" si="136"/>
        <v>384</v>
      </c>
      <c r="AP254" s="427" t="str">
        <f t="shared" ca="1" si="137"/>
        <v>-</v>
      </c>
      <c r="AQ254" s="443" t="str">
        <f t="shared" ca="1" si="138"/>
        <v>-</v>
      </c>
      <c r="AR254" s="444" t="str">
        <f t="shared" ca="1" si="139"/>
        <v>-</v>
      </c>
      <c r="AS254" s="430" t="str">
        <f t="shared" ca="1" si="140"/>
        <v>-</v>
      </c>
    </row>
    <row r="255" spans="1:45" ht="14.25" x14ac:dyDescent="0.65">
      <c r="A255" s="407">
        <v>247</v>
      </c>
      <c r="B255" s="408" t="str">
        <f t="shared" ca="1" si="121"/>
        <v/>
      </c>
      <c r="C255" s="408" t="str">
        <f ca="1">IFERROR(IF(G255="","",CONCATENATE(E255,"-",INDEX(Coordinate,MATCH(F255,ListAndConversion!$X$4:$X$99,0),2))),"")</f>
        <v/>
      </c>
      <c r="D255" s="408" t="str">
        <f t="shared" ca="1" si="151"/>
        <v/>
      </c>
      <c r="E255" s="408" t="str">
        <f t="shared" ca="1" si="151"/>
        <v/>
      </c>
      <c r="F255" s="408" t="str">
        <f t="shared" ca="1" si="151"/>
        <v/>
      </c>
      <c r="G255" s="408" t="str">
        <f ca="1">IFERROR(INDEX(ListAndConversion!A:B,MATCH(Calculation!E255,ListAndConversion!A:A,0),2),"")</f>
        <v/>
      </c>
      <c r="H255" s="408" t="str">
        <f>IF(TrackIT_Lines!AD247="","",TrackIT_Lines!AD247)</f>
        <v/>
      </c>
      <c r="I255" s="408" t="str">
        <f>IF(TrackIT_Lines!AD247="","",CONCATENATE(TrackIT_Lines!AD247,"-",TrackIT_Lines!AG247))</f>
        <v/>
      </c>
      <c r="J255" s="409" t="str">
        <f t="shared" ca="1" si="152"/>
        <v/>
      </c>
      <c r="K255" s="408" t="str">
        <f t="shared" ca="1" si="152"/>
        <v/>
      </c>
      <c r="L255" s="408" t="str">
        <f t="shared" ca="1" si="152"/>
        <v/>
      </c>
      <c r="M255" s="408" t="str">
        <f t="shared" ca="1" si="152"/>
        <v/>
      </c>
      <c r="N255" s="408" t="str">
        <f t="shared" ca="1" si="152"/>
        <v/>
      </c>
      <c r="O255" s="408" t="str">
        <f t="shared" ca="1" si="152"/>
        <v/>
      </c>
      <c r="P255" s="408" t="str">
        <f t="shared" ca="1" si="152"/>
        <v/>
      </c>
      <c r="Q255" s="408" t="str">
        <f t="shared" ca="1" si="152"/>
        <v/>
      </c>
      <c r="R255" s="410" t="str">
        <f ca="1">Cluster!J274</f>
        <v>Selection</v>
      </c>
      <c r="S255" s="411" t="str">
        <f t="shared" ca="1" si="122"/>
        <v>-</v>
      </c>
      <c r="T255" s="412" t="str">
        <f t="shared" ca="1" si="123"/>
        <v/>
      </c>
      <c r="U255" s="411" t="str">
        <f t="shared" ca="1" si="124"/>
        <v>-</v>
      </c>
      <c r="V255" s="411" t="str">
        <f t="shared" ca="1" si="125"/>
        <v>-</v>
      </c>
      <c r="W255" s="413">
        <f>Cluster!N274</f>
        <v>0</v>
      </c>
      <c r="X255" s="414" t="str">
        <f t="shared" ca="1" si="126"/>
        <v>-</v>
      </c>
      <c r="Y255" s="411" t="str">
        <f t="shared" ca="1" si="127"/>
        <v>-</v>
      </c>
      <c r="Z255" s="415" t="str">
        <f t="shared" ca="1" si="128"/>
        <v>-</v>
      </c>
      <c r="AA255" s="416" t="str">
        <f t="shared" ca="1" si="129"/>
        <v>-</v>
      </c>
      <c r="AB255" s="416" t="str">
        <f t="shared" ca="1" si="130"/>
        <v/>
      </c>
      <c r="AC255" s="434">
        <f>Cluster!Q274</f>
        <v>0</v>
      </c>
      <c r="AD255" s="435" t="str">
        <f t="shared" ca="1" si="153"/>
        <v/>
      </c>
      <c r="AE255" s="436" t="str">
        <f t="shared" ca="1" si="153"/>
        <v/>
      </c>
      <c r="AF255" s="437" t="str">
        <f t="shared" ca="1" si="131"/>
        <v>-</v>
      </c>
      <c r="AG255" s="438" t="str">
        <f t="shared" ca="1" si="132"/>
        <v>-</v>
      </c>
      <c r="AH255" s="437" t="str">
        <f t="shared" ca="1" si="133"/>
        <v>-</v>
      </c>
      <c r="AI255" s="438" t="str">
        <f t="shared" ca="1" si="134"/>
        <v>-</v>
      </c>
      <c r="AJ255" s="438" t="str">
        <f t="shared" ca="1" si="135"/>
        <v>-</v>
      </c>
      <c r="AK255" s="439" t="str">
        <f ca="1">IFERROR(AE255*AD255*AL255/(IF(Cluster!AA274=Cluster!$W$8,Cluster!$W$10,IF(Cluster!AA274=Cluster!$X$8,Cluster!$X$10,IF(Cluster!AA274=Cluster!$Y$8,Cluster!$Y$10,0)))*10^3),"-")</f>
        <v>-</v>
      </c>
      <c r="AL255" s="440" t="str">
        <f ca="1">IFERROR(IF(OR(Calculation!T255&lt;(Calculation!$U$8+2),Calculation!AC255="Bypass"),IF((IF(Calculation!$O$6/((Calculation!AD255*10^-12)/(Calculation!T255*10^-9)*50)&lt;=1,1,ROUNDUP(Calculation!$O$6/((Calculation!AD255*10^-12)/(Calculation!T255*10^-9)*50),0))*50)&lt;Calculation!$AK$6,Calculation!$AK$6,IF(Calculation!$O$6/((Calculation!AD255*10^-12)/(Calculation!T255*10^-9)*50)&lt;=1,1,ROUNDUP(Calculation!$O$6/((Calculation!AD255*10^-12)/(Calculation!T255*10^-9)*50),0))*50),"-"),"-")</f>
        <v>-</v>
      </c>
      <c r="AM255" s="441" t="str">
        <f t="shared" ca="1" si="154"/>
        <v/>
      </c>
      <c r="AN255" s="442" t="str">
        <f t="shared" ca="1" si="154"/>
        <v/>
      </c>
      <c r="AO255" s="432">
        <f t="shared" ca="1" si="136"/>
        <v>384</v>
      </c>
      <c r="AP255" s="427" t="str">
        <f t="shared" ca="1" si="137"/>
        <v>-</v>
      </c>
      <c r="AQ255" s="443" t="str">
        <f t="shared" ca="1" si="138"/>
        <v>-</v>
      </c>
      <c r="AR255" s="444" t="str">
        <f t="shared" ca="1" si="139"/>
        <v>-</v>
      </c>
      <c r="AS255" s="430" t="str">
        <f t="shared" ca="1" si="140"/>
        <v>-</v>
      </c>
    </row>
    <row r="256" spans="1:45" ht="14.25" x14ac:dyDescent="0.65">
      <c r="A256" s="407">
        <v>248</v>
      </c>
      <c r="B256" s="408" t="str">
        <f t="shared" ca="1" si="121"/>
        <v/>
      </c>
      <c r="C256" s="408" t="str">
        <f ca="1">IFERROR(IF(G256="","",CONCATENATE(E256,"-",INDEX(Coordinate,MATCH(F256,ListAndConversion!$X$4:$X$99,0),2))),"")</f>
        <v/>
      </c>
      <c r="D256" s="408" t="str">
        <f t="shared" ca="1" si="151"/>
        <v/>
      </c>
      <c r="E256" s="408" t="str">
        <f t="shared" ca="1" si="151"/>
        <v/>
      </c>
      <c r="F256" s="408" t="str">
        <f t="shared" ca="1" si="151"/>
        <v/>
      </c>
      <c r="G256" s="408" t="str">
        <f ca="1">IFERROR(INDEX(ListAndConversion!A:B,MATCH(Calculation!E256,ListAndConversion!A:A,0),2),"")</f>
        <v/>
      </c>
      <c r="H256" s="408" t="str">
        <f>IF(TrackIT_Lines!AD248="","",TrackIT_Lines!AD248)</f>
        <v/>
      </c>
      <c r="I256" s="408" t="str">
        <f>IF(TrackIT_Lines!AD248="","",CONCATENATE(TrackIT_Lines!AD248,"-",TrackIT_Lines!AG248))</f>
        <v/>
      </c>
      <c r="J256" s="409" t="str">
        <f t="shared" ca="1" si="152"/>
        <v/>
      </c>
      <c r="K256" s="408" t="str">
        <f t="shared" ca="1" si="152"/>
        <v/>
      </c>
      <c r="L256" s="408" t="str">
        <f t="shared" ca="1" si="152"/>
        <v/>
      </c>
      <c r="M256" s="408" t="str">
        <f t="shared" ca="1" si="152"/>
        <v/>
      </c>
      <c r="N256" s="408" t="str">
        <f t="shared" ca="1" si="152"/>
        <v/>
      </c>
      <c r="O256" s="408" t="str">
        <f t="shared" ca="1" si="152"/>
        <v/>
      </c>
      <c r="P256" s="408" t="str">
        <f t="shared" ca="1" si="152"/>
        <v/>
      </c>
      <c r="Q256" s="408" t="str">
        <f t="shared" ca="1" si="152"/>
        <v/>
      </c>
      <c r="R256" s="410" t="str">
        <f ca="1">Cluster!J275</f>
        <v>Selection</v>
      </c>
      <c r="S256" s="411" t="str">
        <f t="shared" ca="1" si="122"/>
        <v>-</v>
      </c>
      <c r="T256" s="412" t="str">
        <f t="shared" ca="1" si="123"/>
        <v/>
      </c>
      <c r="U256" s="411" t="str">
        <f t="shared" ca="1" si="124"/>
        <v>-</v>
      </c>
      <c r="V256" s="411" t="str">
        <f t="shared" ca="1" si="125"/>
        <v>-</v>
      </c>
      <c r="W256" s="413">
        <f>Cluster!N275</f>
        <v>0</v>
      </c>
      <c r="X256" s="414" t="str">
        <f t="shared" ca="1" si="126"/>
        <v>-</v>
      </c>
      <c r="Y256" s="411" t="str">
        <f t="shared" ca="1" si="127"/>
        <v>-</v>
      </c>
      <c r="Z256" s="415" t="str">
        <f t="shared" ca="1" si="128"/>
        <v>-</v>
      </c>
      <c r="AA256" s="416" t="str">
        <f t="shared" ca="1" si="129"/>
        <v>-</v>
      </c>
      <c r="AB256" s="416" t="str">
        <f t="shared" ca="1" si="130"/>
        <v/>
      </c>
      <c r="AC256" s="434">
        <f>Cluster!Q275</f>
        <v>0</v>
      </c>
      <c r="AD256" s="435" t="str">
        <f t="shared" ca="1" si="153"/>
        <v/>
      </c>
      <c r="AE256" s="436" t="str">
        <f t="shared" ca="1" si="153"/>
        <v/>
      </c>
      <c r="AF256" s="437" t="str">
        <f t="shared" ca="1" si="131"/>
        <v>-</v>
      </c>
      <c r="AG256" s="438" t="str">
        <f t="shared" ca="1" si="132"/>
        <v>-</v>
      </c>
      <c r="AH256" s="437" t="str">
        <f t="shared" ca="1" si="133"/>
        <v>-</v>
      </c>
      <c r="AI256" s="438" t="str">
        <f t="shared" ca="1" si="134"/>
        <v>-</v>
      </c>
      <c r="AJ256" s="438" t="str">
        <f t="shared" ca="1" si="135"/>
        <v>-</v>
      </c>
      <c r="AK256" s="439" t="str">
        <f ca="1">IFERROR(AE256*AD256*AL256/(IF(Cluster!AA275=Cluster!$W$8,Cluster!$W$10,IF(Cluster!AA275=Cluster!$X$8,Cluster!$X$10,IF(Cluster!AA275=Cluster!$Y$8,Cluster!$Y$10,0)))*10^3),"-")</f>
        <v>-</v>
      </c>
      <c r="AL256" s="440" t="str">
        <f ca="1">IFERROR(IF(OR(Calculation!T256&lt;(Calculation!$U$8+2),Calculation!AC256="Bypass"),IF((IF(Calculation!$O$6/((Calculation!AD256*10^-12)/(Calculation!T256*10^-9)*50)&lt;=1,1,ROUNDUP(Calculation!$O$6/((Calculation!AD256*10^-12)/(Calculation!T256*10^-9)*50),0))*50)&lt;Calculation!$AK$6,Calculation!$AK$6,IF(Calculation!$O$6/((Calculation!AD256*10^-12)/(Calculation!T256*10^-9)*50)&lt;=1,1,ROUNDUP(Calculation!$O$6/((Calculation!AD256*10^-12)/(Calculation!T256*10^-9)*50),0))*50),"-"),"-")</f>
        <v>-</v>
      </c>
      <c r="AM256" s="441" t="str">
        <f t="shared" ca="1" si="154"/>
        <v/>
      </c>
      <c r="AN256" s="442" t="str">
        <f t="shared" ca="1" si="154"/>
        <v/>
      </c>
      <c r="AO256" s="432">
        <f t="shared" ca="1" si="136"/>
        <v>384</v>
      </c>
      <c r="AP256" s="427" t="str">
        <f t="shared" ca="1" si="137"/>
        <v>-</v>
      </c>
      <c r="AQ256" s="443" t="str">
        <f t="shared" ca="1" si="138"/>
        <v>-</v>
      </c>
      <c r="AR256" s="444" t="str">
        <f t="shared" ca="1" si="139"/>
        <v>-</v>
      </c>
      <c r="AS256" s="430" t="str">
        <f t="shared" ca="1" si="140"/>
        <v>-</v>
      </c>
    </row>
    <row r="257" spans="1:45" ht="14.25" x14ac:dyDescent="0.65">
      <c r="A257" s="407">
        <v>249</v>
      </c>
      <c r="B257" s="408" t="str">
        <f t="shared" ca="1" si="121"/>
        <v/>
      </c>
      <c r="C257" s="408" t="str">
        <f ca="1">IFERROR(IF(G257="","",CONCATENATE(E257,"-",INDEX(Coordinate,MATCH(F257,ListAndConversion!$X$4:$X$99,0),2))),"")</f>
        <v/>
      </c>
      <c r="D257" s="408" t="str">
        <f t="shared" ca="1" si="151"/>
        <v/>
      </c>
      <c r="E257" s="408" t="str">
        <f t="shared" ca="1" si="151"/>
        <v/>
      </c>
      <c r="F257" s="408" t="str">
        <f t="shared" ca="1" si="151"/>
        <v/>
      </c>
      <c r="G257" s="408" t="str">
        <f ca="1">IFERROR(INDEX(ListAndConversion!A:B,MATCH(Calculation!E257,ListAndConversion!A:A,0),2),"")</f>
        <v/>
      </c>
      <c r="H257" s="408" t="str">
        <f>IF(TrackIT_Lines!AD249="","",TrackIT_Lines!AD249)</f>
        <v/>
      </c>
      <c r="I257" s="408" t="str">
        <f>IF(TrackIT_Lines!AD249="","",CONCATENATE(TrackIT_Lines!AD249,"-",TrackIT_Lines!AG249))</f>
        <v/>
      </c>
      <c r="J257" s="409" t="str">
        <f t="shared" ca="1" si="152"/>
        <v/>
      </c>
      <c r="K257" s="408" t="str">
        <f t="shared" ca="1" si="152"/>
        <v/>
      </c>
      <c r="L257" s="408" t="str">
        <f t="shared" ca="1" si="152"/>
        <v/>
      </c>
      <c r="M257" s="408" t="str">
        <f t="shared" ca="1" si="152"/>
        <v/>
      </c>
      <c r="N257" s="408" t="str">
        <f t="shared" ca="1" si="152"/>
        <v/>
      </c>
      <c r="O257" s="408" t="str">
        <f t="shared" ca="1" si="152"/>
        <v/>
      </c>
      <c r="P257" s="408" t="str">
        <f t="shared" ca="1" si="152"/>
        <v/>
      </c>
      <c r="Q257" s="408" t="str">
        <f t="shared" ca="1" si="152"/>
        <v/>
      </c>
      <c r="R257" s="410" t="str">
        <f ca="1">Cluster!J276</f>
        <v>Selection</v>
      </c>
      <c r="S257" s="411" t="str">
        <f t="shared" ca="1" si="122"/>
        <v>-</v>
      </c>
      <c r="T257" s="412" t="str">
        <f t="shared" ca="1" si="123"/>
        <v/>
      </c>
      <c r="U257" s="411" t="str">
        <f t="shared" ca="1" si="124"/>
        <v>-</v>
      </c>
      <c r="V257" s="411" t="str">
        <f t="shared" ca="1" si="125"/>
        <v>-</v>
      </c>
      <c r="W257" s="413">
        <f>Cluster!N276</f>
        <v>0</v>
      </c>
      <c r="X257" s="414" t="str">
        <f t="shared" ca="1" si="126"/>
        <v>-</v>
      </c>
      <c r="Y257" s="411" t="str">
        <f t="shared" ca="1" si="127"/>
        <v>-</v>
      </c>
      <c r="Z257" s="415" t="str">
        <f t="shared" ca="1" si="128"/>
        <v>-</v>
      </c>
      <c r="AA257" s="416" t="str">
        <f t="shared" ca="1" si="129"/>
        <v>-</v>
      </c>
      <c r="AB257" s="416" t="str">
        <f t="shared" ca="1" si="130"/>
        <v/>
      </c>
      <c r="AC257" s="434">
        <f>Cluster!Q276</f>
        <v>0</v>
      </c>
      <c r="AD257" s="435" t="str">
        <f t="shared" ca="1" si="153"/>
        <v/>
      </c>
      <c r="AE257" s="436" t="str">
        <f t="shared" ca="1" si="153"/>
        <v/>
      </c>
      <c r="AF257" s="437" t="str">
        <f t="shared" ca="1" si="131"/>
        <v>-</v>
      </c>
      <c r="AG257" s="438" t="str">
        <f t="shared" ca="1" si="132"/>
        <v>-</v>
      </c>
      <c r="AH257" s="437" t="str">
        <f t="shared" ca="1" si="133"/>
        <v>-</v>
      </c>
      <c r="AI257" s="438" t="str">
        <f t="shared" ca="1" si="134"/>
        <v>-</v>
      </c>
      <c r="AJ257" s="438" t="str">
        <f t="shared" ca="1" si="135"/>
        <v>-</v>
      </c>
      <c r="AK257" s="439" t="str">
        <f ca="1">IFERROR(AE257*AD257*AL257/(IF(Cluster!AA276=Cluster!$W$8,Cluster!$W$10,IF(Cluster!AA276=Cluster!$X$8,Cluster!$X$10,IF(Cluster!AA276=Cluster!$Y$8,Cluster!$Y$10,0)))*10^3),"-")</f>
        <v>-</v>
      </c>
      <c r="AL257" s="440" t="str">
        <f ca="1">IFERROR(IF(OR(Calculation!T257&lt;(Calculation!$U$8+2),Calculation!AC257="Bypass"),IF((IF(Calculation!$O$6/((Calculation!AD257*10^-12)/(Calculation!T257*10^-9)*50)&lt;=1,1,ROUNDUP(Calculation!$O$6/((Calculation!AD257*10^-12)/(Calculation!T257*10^-9)*50),0))*50)&lt;Calculation!$AK$6,Calculation!$AK$6,IF(Calculation!$O$6/((Calculation!AD257*10^-12)/(Calculation!T257*10^-9)*50)&lt;=1,1,ROUNDUP(Calculation!$O$6/((Calculation!AD257*10^-12)/(Calculation!T257*10^-9)*50),0))*50),"-"),"-")</f>
        <v>-</v>
      </c>
      <c r="AM257" s="441" t="str">
        <f t="shared" ca="1" si="154"/>
        <v/>
      </c>
      <c r="AN257" s="442" t="str">
        <f t="shared" ca="1" si="154"/>
        <v/>
      </c>
      <c r="AO257" s="432">
        <f t="shared" ca="1" si="136"/>
        <v>384</v>
      </c>
      <c r="AP257" s="427" t="str">
        <f t="shared" ca="1" si="137"/>
        <v>-</v>
      </c>
      <c r="AQ257" s="443" t="str">
        <f t="shared" ca="1" si="138"/>
        <v>-</v>
      </c>
      <c r="AR257" s="444" t="str">
        <f t="shared" ca="1" si="139"/>
        <v>-</v>
      </c>
      <c r="AS257" s="430" t="str">
        <f t="shared" ca="1" si="140"/>
        <v>-</v>
      </c>
    </row>
    <row r="258" spans="1:45" ht="14.25" x14ac:dyDescent="0.65">
      <c r="A258" s="407">
        <v>250</v>
      </c>
      <c r="B258" s="408" t="str">
        <f t="shared" ca="1" si="121"/>
        <v/>
      </c>
      <c r="C258" s="408" t="str">
        <f ca="1">IFERROR(IF(G258="","",CONCATENATE(E258,"-",INDEX(Coordinate,MATCH(F258,ListAndConversion!$X$4:$X$99,0),2))),"")</f>
        <v/>
      </c>
      <c r="D258" s="408" t="str">
        <f t="shared" ca="1" si="151"/>
        <v/>
      </c>
      <c r="E258" s="408" t="str">
        <f t="shared" ca="1" si="151"/>
        <v/>
      </c>
      <c r="F258" s="408" t="str">
        <f t="shared" ca="1" si="151"/>
        <v/>
      </c>
      <c r="G258" s="408" t="str">
        <f ca="1">IFERROR(INDEX(ListAndConversion!A:B,MATCH(Calculation!E258,ListAndConversion!A:A,0),2),"")</f>
        <v/>
      </c>
      <c r="H258" s="408" t="str">
        <f>IF(TrackIT_Lines!AD250="","",TrackIT_Lines!AD250)</f>
        <v/>
      </c>
      <c r="I258" s="408" t="str">
        <f>IF(TrackIT_Lines!AD250="","",CONCATENATE(TrackIT_Lines!AD250,"-",TrackIT_Lines!AG250))</f>
        <v/>
      </c>
      <c r="J258" s="409" t="str">
        <f t="shared" ca="1" si="152"/>
        <v/>
      </c>
      <c r="K258" s="408" t="str">
        <f t="shared" ca="1" si="152"/>
        <v/>
      </c>
      <c r="L258" s="408" t="str">
        <f t="shared" ca="1" si="152"/>
        <v/>
      </c>
      <c r="M258" s="408" t="str">
        <f t="shared" ca="1" si="152"/>
        <v/>
      </c>
      <c r="N258" s="408" t="str">
        <f t="shared" ca="1" si="152"/>
        <v/>
      </c>
      <c r="O258" s="408" t="str">
        <f t="shared" ca="1" si="152"/>
        <v/>
      </c>
      <c r="P258" s="408" t="str">
        <f t="shared" ca="1" si="152"/>
        <v/>
      </c>
      <c r="Q258" s="408" t="str">
        <f t="shared" ca="1" si="152"/>
        <v/>
      </c>
      <c r="R258" s="410" t="str">
        <f ca="1">Cluster!J277</f>
        <v>Selection</v>
      </c>
      <c r="S258" s="411" t="str">
        <f t="shared" ca="1" si="122"/>
        <v>-</v>
      </c>
      <c r="T258" s="412" t="str">
        <f t="shared" ca="1" si="123"/>
        <v/>
      </c>
      <c r="U258" s="411" t="str">
        <f t="shared" ca="1" si="124"/>
        <v>-</v>
      </c>
      <c r="V258" s="411" t="str">
        <f t="shared" ca="1" si="125"/>
        <v>-</v>
      </c>
      <c r="W258" s="413">
        <f>Cluster!N277</f>
        <v>0</v>
      </c>
      <c r="X258" s="414" t="str">
        <f t="shared" ca="1" si="126"/>
        <v>-</v>
      </c>
      <c r="Y258" s="411" t="str">
        <f t="shared" ca="1" si="127"/>
        <v>-</v>
      </c>
      <c r="Z258" s="415" t="str">
        <f t="shared" ca="1" si="128"/>
        <v>-</v>
      </c>
      <c r="AA258" s="416" t="str">
        <f t="shared" ca="1" si="129"/>
        <v>-</v>
      </c>
      <c r="AB258" s="416" t="str">
        <f t="shared" ca="1" si="130"/>
        <v/>
      </c>
      <c r="AC258" s="434">
        <f>Cluster!Q277</f>
        <v>0</v>
      </c>
      <c r="AD258" s="435" t="str">
        <f t="shared" ca="1" si="153"/>
        <v/>
      </c>
      <c r="AE258" s="436" t="str">
        <f t="shared" ca="1" si="153"/>
        <v/>
      </c>
      <c r="AF258" s="437" t="str">
        <f t="shared" ca="1" si="131"/>
        <v>-</v>
      </c>
      <c r="AG258" s="438" t="str">
        <f t="shared" ca="1" si="132"/>
        <v>-</v>
      </c>
      <c r="AH258" s="437" t="str">
        <f t="shared" ca="1" si="133"/>
        <v>-</v>
      </c>
      <c r="AI258" s="438" t="str">
        <f t="shared" ca="1" si="134"/>
        <v>-</v>
      </c>
      <c r="AJ258" s="438" t="str">
        <f t="shared" ca="1" si="135"/>
        <v>-</v>
      </c>
      <c r="AK258" s="439" t="str">
        <f ca="1">IFERROR(AE258*AD258*AL258/(IF(Cluster!AA277=Cluster!$W$8,Cluster!$W$10,IF(Cluster!AA277=Cluster!$X$8,Cluster!$X$10,IF(Cluster!AA277=Cluster!$Y$8,Cluster!$Y$10,0)))*10^3),"-")</f>
        <v>-</v>
      </c>
      <c r="AL258" s="440" t="str">
        <f ca="1">IFERROR(IF(OR(Calculation!T258&lt;(Calculation!$U$8+2),Calculation!AC258="Bypass"),IF((IF(Calculation!$O$6/((Calculation!AD258*10^-12)/(Calculation!T258*10^-9)*50)&lt;=1,1,ROUNDUP(Calculation!$O$6/((Calculation!AD258*10^-12)/(Calculation!T258*10^-9)*50),0))*50)&lt;Calculation!$AK$6,Calculation!$AK$6,IF(Calculation!$O$6/((Calculation!AD258*10^-12)/(Calculation!T258*10^-9)*50)&lt;=1,1,ROUNDUP(Calculation!$O$6/((Calculation!AD258*10^-12)/(Calculation!T258*10^-9)*50),0))*50),"-"),"-")</f>
        <v>-</v>
      </c>
      <c r="AM258" s="441" t="str">
        <f t="shared" ca="1" si="154"/>
        <v/>
      </c>
      <c r="AN258" s="442" t="str">
        <f t="shared" ca="1" si="154"/>
        <v/>
      </c>
      <c r="AO258" s="432">
        <f t="shared" ca="1" si="136"/>
        <v>384</v>
      </c>
      <c r="AP258" s="427" t="str">
        <f t="shared" ca="1" si="137"/>
        <v>-</v>
      </c>
      <c r="AQ258" s="443" t="str">
        <f t="shared" ca="1" si="138"/>
        <v>-</v>
      </c>
      <c r="AR258" s="444" t="str">
        <f t="shared" ca="1" si="139"/>
        <v>-</v>
      </c>
      <c r="AS258" s="430" t="str">
        <f t="shared" ca="1" si="140"/>
        <v>-</v>
      </c>
    </row>
    <row r="259" spans="1:45" ht="14.25" x14ac:dyDescent="0.65">
      <c r="A259" s="407">
        <v>251</v>
      </c>
      <c r="B259" s="408" t="str">
        <f t="shared" ca="1" si="121"/>
        <v/>
      </c>
      <c r="C259" s="408" t="str">
        <f ca="1">IFERROR(IF(G259="","",CONCATENATE(E259,"-",INDEX(Coordinate,MATCH(F259,ListAndConversion!$X$4:$X$99,0),2))),"")</f>
        <v/>
      </c>
      <c r="D259" s="408" t="str">
        <f t="shared" ca="1" si="151"/>
        <v/>
      </c>
      <c r="E259" s="408" t="str">
        <f t="shared" ca="1" si="151"/>
        <v/>
      </c>
      <c r="F259" s="408" t="str">
        <f t="shared" ca="1" si="151"/>
        <v/>
      </c>
      <c r="G259" s="408" t="str">
        <f ca="1">IFERROR(INDEX(ListAndConversion!A:B,MATCH(Calculation!E259,ListAndConversion!A:A,0),2),"")</f>
        <v/>
      </c>
      <c r="H259" s="408" t="str">
        <f>IF(TrackIT_Lines!AD251="","",TrackIT_Lines!AD251)</f>
        <v/>
      </c>
      <c r="I259" s="408" t="str">
        <f>IF(TrackIT_Lines!AD251="","",CONCATENATE(TrackIT_Lines!AD251,"-",TrackIT_Lines!AG251))</f>
        <v/>
      </c>
      <c r="J259" s="409" t="str">
        <f t="shared" ca="1" si="152"/>
        <v/>
      </c>
      <c r="K259" s="408" t="str">
        <f t="shared" ca="1" si="152"/>
        <v/>
      </c>
      <c r="L259" s="408" t="str">
        <f t="shared" ca="1" si="152"/>
        <v/>
      </c>
      <c r="M259" s="408" t="str">
        <f t="shared" ca="1" si="152"/>
        <v/>
      </c>
      <c r="N259" s="408" t="str">
        <f t="shared" ca="1" si="152"/>
        <v/>
      </c>
      <c r="O259" s="408" t="str">
        <f t="shared" ca="1" si="152"/>
        <v/>
      </c>
      <c r="P259" s="408" t="str">
        <f t="shared" ca="1" si="152"/>
        <v/>
      </c>
      <c r="Q259" s="408" t="str">
        <f t="shared" ca="1" si="152"/>
        <v/>
      </c>
      <c r="R259" s="410" t="str">
        <f ca="1">Cluster!J278</f>
        <v>Selection</v>
      </c>
      <c r="S259" s="411" t="str">
        <f t="shared" ca="1" si="122"/>
        <v>-</v>
      </c>
      <c r="T259" s="412" t="str">
        <f t="shared" ca="1" si="123"/>
        <v/>
      </c>
      <c r="U259" s="411" t="str">
        <f t="shared" ca="1" si="124"/>
        <v>-</v>
      </c>
      <c r="V259" s="411" t="str">
        <f t="shared" ca="1" si="125"/>
        <v>-</v>
      </c>
      <c r="W259" s="413">
        <f>Cluster!N278</f>
        <v>0</v>
      </c>
      <c r="X259" s="414" t="str">
        <f t="shared" ca="1" si="126"/>
        <v>-</v>
      </c>
      <c r="Y259" s="411" t="str">
        <f t="shared" ca="1" si="127"/>
        <v>-</v>
      </c>
      <c r="Z259" s="415" t="str">
        <f t="shared" ca="1" si="128"/>
        <v>-</v>
      </c>
      <c r="AA259" s="416" t="str">
        <f t="shared" ca="1" si="129"/>
        <v>-</v>
      </c>
      <c r="AB259" s="416" t="str">
        <f t="shared" ca="1" si="130"/>
        <v/>
      </c>
      <c r="AC259" s="434">
        <f>Cluster!Q278</f>
        <v>0</v>
      </c>
      <c r="AD259" s="435" t="str">
        <f t="shared" ca="1" si="153"/>
        <v/>
      </c>
      <c r="AE259" s="436" t="str">
        <f t="shared" ca="1" si="153"/>
        <v/>
      </c>
      <c r="AF259" s="437" t="str">
        <f t="shared" ca="1" si="131"/>
        <v>-</v>
      </c>
      <c r="AG259" s="438" t="str">
        <f t="shared" ca="1" si="132"/>
        <v>-</v>
      </c>
      <c r="AH259" s="437" t="str">
        <f t="shared" ca="1" si="133"/>
        <v>-</v>
      </c>
      <c r="AI259" s="438" t="str">
        <f t="shared" ca="1" si="134"/>
        <v>-</v>
      </c>
      <c r="AJ259" s="438" t="str">
        <f t="shared" ca="1" si="135"/>
        <v>-</v>
      </c>
      <c r="AK259" s="439" t="str">
        <f ca="1">IFERROR(AE259*AD259*AL259/(IF(Cluster!AA278=Cluster!$W$8,Cluster!$W$10,IF(Cluster!AA278=Cluster!$X$8,Cluster!$X$10,IF(Cluster!AA278=Cluster!$Y$8,Cluster!$Y$10,0)))*10^3),"-")</f>
        <v>-</v>
      </c>
      <c r="AL259" s="440" t="str">
        <f ca="1">IFERROR(IF(OR(Calculation!T259&lt;(Calculation!$U$8+2),Calculation!AC259="Bypass"),IF((IF(Calculation!$O$6/((Calculation!AD259*10^-12)/(Calculation!T259*10^-9)*50)&lt;=1,1,ROUNDUP(Calculation!$O$6/((Calculation!AD259*10^-12)/(Calculation!T259*10^-9)*50),0))*50)&lt;Calculation!$AK$6,Calculation!$AK$6,IF(Calculation!$O$6/((Calculation!AD259*10^-12)/(Calculation!T259*10^-9)*50)&lt;=1,1,ROUNDUP(Calculation!$O$6/((Calculation!AD259*10^-12)/(Calculation!T259*10^-9)*50),0))*50),"-"),"-")</f>
        <v>-</v>
      </c>
      <c r="AM259" s="441" t="str">
        <f t="shared" ca="1" si="154"/>
        <v/>
      </c>
      <c r="AN259" s="442" t="str">
        <f t="shared" ca="1" si="154"/>
        <v/>
      </c>
      <c r="AO259" s="432">
        <f t="shared" ca="1" si="136"/>
        <v>384</v>
      </c>
      <c r="AP259" s="427" t="str">
        <f t="shared" ca="1" si="137"/>
        <v>-</v>
      </c>
      <c r="AQ259" s="443" t="str">
        <f t="shared" ca="1" si="138"/>
        <v>-</v>
      </c>
      <c r="AR259" s="444" t="str">
        <f t="shared" ca="1" si="139"/>
        <v>-</v>
      </c>
      <c r="AS259" s="430" t="str">
        <f t="shared" ca="1" si="140"/>
        <v>-</v>
      </c>
    </row>
    <row r="260" spans="1:45" ht="14.25" x14ac:dyDescent="0.65">
      <c r="A260" s="407">
        <v>252</v>
      </c>
      <c r="B260" s="408" t="str">
        <f t="shared" ca="1" si="121"/>
        <v/>
      </c>
      <c r="C260" s="408" t="str">
        <f ca="1">IFERROR(IF(G260="","",CONCATENATE(E260,"-",INDEX(Coordinate,MATCH(F260,ListAndConversion!$X$4:$X$99,0),2))),"")</f>
        <v/>
      </c>
      <c r="D260" s="408" t="str">
        <f t="shared" ca="1" si="151"/>
        <v/>
      </c>
      <c r="E260" s="408" t="str">
        <f t="shared" ca="1" si="151"/>
        <v/>
      </c>
      <c r="F260" s="408" t="str">
        <f t="shared" ca="1" si="151"/>
        <v/>
      </c>
      <c r="G260" s="408" t="str">
        <f ca="1">IFERROR(INDEX(ListAndConversion!A:B,MATCH(Calculation!E260,ListAndConversion!A:A,0),2),"")</f>
        <v/>
      </c>
      <c r="H260" s="408" t="str">
        <f>IF(TrackIT_Lines!AD252="","",TrackIT_Lines!AD252)</f>
        <v/>
      </c>
      <c r="I260" s="408" t="str">
        <f>IF(TrackIT_Lines!AD252="","",CONCATENATE(TrackIT_Lines!AD252,"-",TrackIT_Lines!AG252))</f>
        <v/>
      </c>
      <c r="J260" s="409" t="str">
        <f t="shared" ref="J260:Q269" ca="1" si="155">IF((INDIRECT("TrackIT_Lines!"&amp;J$2&amp;$A260))="","", (INDIRECT("TrackIT_Lines!"&amp;J$2&amp;$A260)))</f>
        <v/>
      </c>
      <c r="K260" s="408" t="str">
        <f t="shared" ca="1" si="155"/>
        <v/>
      </c>
      <c r="L260" s="408" t="str">
        <f t="shared" ca="1" si="155"/>
        <v/>
      </c>
      <c r="M260" s="408" t="str">
        <f t="shared" ca="1" si="155"/>
        <v/>
      </c>
      <c r="N260" s="408" t="str">
        <f t="shared" ca="1" si="155"/>
        <v/>
      </c>
      <c r="O260" s="408" t="str">
        <f t="shared" ca="1" si="155"/>
        <v/>
      </c>
      <c r="P260" s="408" t="str">
        <f t="shared" ca="1" si="155"/>
        <v/>
      </c>
      <c r="Q260" s="408" t="str">
        <f t="shared" ca="1" si="155"/>
        <v/>
      </c>
      <c r="R260" s="410" t="str">
        <f ca="1">Cluster!J279</f>
        <v>Selection</v>
      </c>
      <c r="S260" s="411" t="str">
        <f t="shared" ca="1" si="122"/>
        <v>-</v>
      </c>
      <c r="T260" s="412" t="str">
        <f t="shared" ca="1" si="123"/>
        <v/>
      </c>
      <c r="U260" s="411" t="str">
        <f t="shared" ca="1" si="124"/>
        <v>-</v>
      </c>
      <c r="V260" s="411" t="str">
        <f t="shared" ca="1" si="125"/>
        <v>-</v>
      </c>
      <c r="W260" s="413">
        <f>Cluster!N279</f>
        <v>0</v>
      </c>
      <c r="X260" s="414" t="str">
        <f t="shared" ca="1" si="126"/>
        <v>-</v>
      </c>
      <c r="Y260" s="411" t="str">
        <f t="shared" ca="1" si="127"/>
        <v>-</v>
      </c>
      <c r="Z260" s="415" t="str">
        <f t="shared" ca="1" si="128"/>
        <v>-</v>
      </c>
      <c r="AA260" s="416" t="str">
        <f t="shared" ca="1" si="129"/>
        <v>-</v>
      </c>
      <c r="AB260" s="416" t="str">
        <f t="shared" ca="1" si="130"/>
        <v/>
      </c>
      <c r="AC260" s="434">
        <f>Cluster!Q279</f>
        <v>0</v>
      </c>
      <c r="AD260" s="435" t="str">
        <f t="shared" ca="1" si="153"/>
        <v/>
      </c>
      <c r="AE260" s="436" t="str">
        <f t="shared" ca="1" si="153"/>
        <v/>
      </c>
      <c r="AF260" s="437" t="str">
        <f t="shared" ca="1" si="131"/>
        <v>-</v>
      </c>
      <c r="AG260" s="438" t="str">
        <f t="shared" ca="1" si="132"/>
        <v>-</v>
      </c>
      <c r="AH260" s="437" t="str">
        <f t="shared" ca="1" si="133"/>
        <v>-</v>
      </c>
      <c r="AI260" s="438" t="str">
        <f t="shared" ca="1" si="134"/>
        <v>-</v>
      </c>
      <c r="AJ260" s="438" t="str">
        <f t="shared" ca="1" si="135"/>
        <v>-</v>
      </c>
      <c r="AK260" s="439" t="str">
        <f ca="1">IFERROR(AE260*AD260*AL260/(IF(Cluster!AA279=Cluster!$W$8,Cluster!$W$10,IF(Cluster!AA279=Cluster!$X$8,Cluster!$X$10,IF(Cluster!AA279=Cluster!$Y$8,Cluster!$Y$10,0)))*10^3),"-")</f>
        <v>-</v>
      </c>
      <c r="AL260" s="440" t="str">
        <f ca="1">IFERROR(IF(OR(Calculation!T260&lt;(Calculation!$U$8+2),Calculation!AC260="Bypass"),IF((IF(Calculation!$O$6/((Calculation!AD260*10^-12)/(Calculation!T260*10^-9)*50)&lt;=1,1,ROUNDUP(Calculation!$O$6/((Calculation!AD260*10^-12)/(Calculation!T260*10^-9)*50),0))*50)&lt;Calculation!$AK$6,Calculation!$AK$6,IF(Calculation!$O$6/((Calculation!AD260*10^-12)/(Calculation!T260*10^-9)*50)&lt;=1,1,ROUNDUP(Calculation!$O$6/((Calculation!AD260*10^-12)/(Calculation!T260*10^-9)*50),0))*50),"-"),"-")</f>
        <v>-</v>
      </c>
      <c r="AM260" s="441" t="str">
        <f t="shared" ca="1" si="154"/>
        <v/>
      </c>
      <c r="AN260" s="442" t="str">
        <f t="shared" ca="1" si="154"/>
        <v/>
      </c>
      <c r="AO260" s="432">
        <f t="shared" ca="1" si="136"/>
        <v>384</v>
      </c>
      <c r="AP260" s="427" t="str">
        <f t="shared" ca="1" si="137"/>
        <v>-</v>
      </c>
      <c r="AQ260" s="443" t="str">
        <f t="shared" ca="1" si="138"/>
        <v>-</v>
      </c>
      <c r="AR260" s="444" t="str">
        <f t="shared" ca="1" si="139"/>
        <v>-</v>
      </c>
      <c r="AS260" s="430" t="str">
        <f t="shared" ca="1" si="140"/>
        <v>-</v>
      </c>
    </row>
    <row r="261" spans="1:45" ht="14.25" x14ac:dyDescent="0.65">
      <c r="A261" s="407">
        <v>253</v>
      </c>
      <c r="B261" s="408" t="str">
        <f t="shared" ca="1" si="121"/>
        <v/>
      </c>
      <c r="C261" s="408" t="str">
        <f ca="1">IFERROR(IF(G261="","",CONCATENATE(E261,"-",INDEX(Coordinate,MATCH(F261,ListAndConversion!$X$4:$X$99,0),2))),"")</f>
        <v/>
      </c>
      <c r="D261" s="408" t="str">
        <f t="shared" ca="1" si="151"/>
        <v/>
      </c>
      <c r="E261" s="408" t="str">
        <f t="shared" ca="1" si="151"/>
        <v/>
      </c>
      <c r="F261" s="408" t="str">
        <f t="shared" ca="1" si="151"/>
        <v/>
      </c>
      <c r="G261" s="408" t="str">
        <f ca="1">IFERROR(INDEX(ListAndConversion!A:B,MATCH(Calculation!E261,ListAndConversion!A:A,0),2),"")</f>
        <v/>
      </c>
      <c r="H261" s="408" t="str">
        <f>IF(TrackIT_Lines!AD253="","",TrackIT_Lines!AD253)</f>
        <v/>
      </c>
      <c r="I261" s="408" t="str">
        <f>IF(TrackIT_Lines!AD253="","",CONCATENATE(TrackIT_Lines!AD253,"-",TrackIT_Lines!AG253))</f>
        <v/>
      </c>
      <c r="J261" s="409" t="str">
        <f t="shared" ca="1" si="155"/>
        <v/>
      </c>
      <c r="K261" s="408" t="str">
        <f t="shared" ca="1" si="155"/>
        <v/>
      </c>
      <c r="L261" s="408" t="str">
        <f t="shared" ca="1" si="155"/>
        <v/>
      </c>
      <c r="M261" s="408" t="str">
        <f t="shared" ca="1" si="155"/>
        <v/>
      </c>
      <c r="N261" s="408" t="str">
        <f t="shared" ca="1" si="155"/>
        <v/>
      </c>
      <c r="O261" s="408" t="str">
        <f t="shared" ca="1" si="155"/>
        <v/>
      </c>
      <c r="P261" s="408" t="str">
        <f t="shared" ca="1" si="155"/>
        <v/>
      </c>
      <c r="Q261" s="408" t="str">
        <f t="shared" ca="1" si="155"/>
        <v/>
      </c>
      <c r="R261" s="410" t="str">
        <f ca="1">Cluster!J280</f>
        <v>Selection</v>
      </c>
      <c r="S261" s="411" t="str">
        <f t="shared" ca="1" si="122"/>
        <v>-</v>
      </c>
      <c r="T261" s="412" t="str">
        <f t="shared" ca="1" si="123"/>
        <v/>
      </c>
      <c r="U261" s="411" t="str">
        <f t="shared" ca="1" si="124"/>
        <v>-</v>
      </c>
      <c r="V261" s="411" t="str">
        <f t="shared" ca="1" si="125"/>
        <v>-</v>
      </c>
      <c r="W261" s="413">
        <f>Cluster!N280</f>
        <v>0</v>
      </c>
      <c r="X261" s="414" t="str">
        <f t="shared" ca="1" si="126"/>
        <v>-</v>
      </c>
      <c r="Y261" s="411" t="str">
        <f t="shared" ca="1" si="127"/>
        <v>-</v>
      </c>
      <c r="Z261" s="415" t="str">
        <f t="shared" ca="1" si="128"/>
        <v>-</v>
      </c>
      <c r="AA261" s="416" t="str">
        <f t="shared" ca="1" si="129"/>
        <v>-</v>
      </c>
      <c r="AB261" s="416" t="str">
        <f t="shared" ca="1" si="130"/>
        <v/>
      </c>
      <c r="AC261" s="434">
        <f>Cluster!Q280</f>
        <v>0</v>
      </c>
      <c r="AD261" s="435" t="str">
        <f t="shared" ca="1" si="153"/>
        <v/>
      </c>
      <c r="AE261" s="436" t="str">
        <f t="shared" ca="1" si="153"/>
        <v/>
      </c>
      <c r="AF261" s="437" t="str">
        <f t="shared" ca="1" si="131"/>
        <v>-</v>
      </c>
      <c r="AG261" s="438" t="str">
        <f t="shared" ca="1" si="132"/>
        <v>-</v>
      </c>
      <c r="AH261" s="437" t="str">
        <f t="shared" ca="1" si="133"/>
        <v>-</v>
      </c>
      <c r="AI261" s="438" t="str">
        <f t="shared" ca="1" si="134"/>
        <v>-</v>
      </c>
      <c r="AJ261" s="438" t="str">
        <f t="shared" ca="1" si="135"/>
        <v>-</v>
      </c>
      <c r="AK261" s="439" t="str">
        <f ca="1">IFERROR(AE261*AD261*AL261/(IF(Cluster!AA280=Cluster!$W$8,Cluster!$W$10,IF(Cluster!AA280=Cluster!$X$8,Cluster!$X$10,IF(Cluster!AA280=Cluster!$Y$8,Cluster!$Y$10,0)))*10^3),"-")</f>
        <v>-</v>
      </c>
      <c r="AL261" s="440" t="str">
        <f ca="1">IFERROR(IF(OR(Calculation!T261&lt;(Calculation!$U$8+2),Calculation!AC261="Bypass"),IF((IF(Calculation!$O$6/((Calculation!AD261*10^-12)/(Calculation!T261*10^-9)*50)&lt;=1,1,ROUNDUP(Calculation!$O$6/((Calculation!AD261*10^-12)/(Calculation!T261*10^-9)*50),0))*50)&lt;Calculation!$AK$6,Calculation!$AK$6,IF(Calculation!$O$6/((Calculation!AD261*10^-12)/(Calculation!T261*10^-9)*50)&lt;=1,1,ROUNDUP(Calculation!$O$6/((Calculation!AD261*10^-12)/(Calculation!T261*10^-9)*50),0))*50),"-"),"-")</f>
        <v>-</v>
      </c>
      <c r="AM261" s="441" t="str">
        <f t="shared" ca="1" si="154"/>
        <v/>
      </c>
      <c r="AN261" s="442" t="str">
        <f t="shared" ca="1" si="154"/>
        <v/>
      </c>
      <c r="AO261" s="432">
        <f t="shared" ca="1" si="136"/>
        <v>384</v>
      </c>
      <c r="AP261" s="427" t="str">
        <f t="shared" ca="1" si="137"/>
        <v>-</v>
      </c>
      <c r="AQ261" s="443" t="str">
        <f t="shared" ca="1" si="138"/>
        <v>-</v>
      </c>
      <c r="AR261" s="444" t="str">
        <f t="shared" ca="1" si="139"/>
        <v>-</v>
      </c>
      <c r="AS261" s="430" t="str">
        <f t="shared" ca="1" si="140"/>
        <v>-</v>
      </c>
    </row>
    <row r="262" spans="1:45" ht="14.25" x14ac:dyDescent="0.65">
      <c r="A262" s="407">
        <v>254</v>
      </c>
      <c r="B262" s="408" t="str">
        <f t="shared" ca="1" si="121"/>
        <v/>
      </c>
      <c r="C262" s="408" t="str">
        <f ca="1">IFERROR(IF(G262="","",CONCATENATE(E262,"-",INDEX(Coordinate,MATCH(F262,ListAndConversion!$X$4:$X$99,0),2))),"")</f>
        <v/>
      </c>
      <c r="D262" s="408" t="str">
        <f t="shared" ca="1" si="151"/>
        <v/>
      </c>
      <c r="E262" s="408" t="str">
        <f t="shared" ca="1" si="151"/>
        <v/>
      </c>
      <c r="F262" s="408" t="str">
        <f t="shared" ca="1" si="151"/>
        <v/>
      </c>
      <c r="G262" s="408" t="str">
        <f ca="1">IFERROR(INDEX(ListAndConversion!A:B,MATCH(Calculation!E262,ListAndConversion!A:A,0),2),"")</f>
        <v/>
      </c>
      <c r="H262" s="408" t="str">
        <f>IF(TrackIT_Lines!AD254="","",TrackIT_Lines!AD254)</f>
        <v/>
      </c>
      <c r="I262" s="408" t="str">
        <f>IF(TrackIT_Lines!AD254="","",CONCATENATE(TrackIT_Lines!AD254,"-",TrackIT_Lines!AG254))</f>
        <v/>
      </c>
      <c r="J262" s="409" t="str">
        <f t="shared" ca="1" si="155"/>
        <v/>
      </c>
      <c r="K262" s="408" t="str">
        <f t="shared" ca="1" si="155"/>
        <v/>
      </c>
      <c r="L262" s="408" t="str">
        <f t="shared" ca="1" si="155"/>
        <v/>
      </c>
      <c r="M262" s="408" t="str">
        <f t="shared" ca="1" si="155"/>
        <v/>
      </c>
      <c r="N262" s="408" t="str">
        <f t="shared" ca="1" si="155"/>
        <v/>
      </c>
      <c r="O262" s="408" t="str">
        <f t="shared" ca="1" si="155"/>
        <v/>
      </c>
      <c r="P262" s="408" t="str">
        <f t="shared" ca="1" si="155"/>
        <v/>
      </c>
      <c r="Q262" s="408" t="str">
        <f t="shared" ca="1" si="155"/>
        <v/>
      </c>
      <c r="R262" s="410" t="str">
        <f ca="1">Cluster!J281</f>
        <v>Selection</v>
      </c>
      <c r="S262" s="411" t="str">
        <f t="shared" ca="1" si="122"/>
        <v>-</v>
      </c>
      <c r="T262" s="412" t="str">
        <f t="shared" ca="1" si="123"/>
        <v/>
      </c>
      <c r="U262" s="411" t="str">
        <f t="shared" ca="1" si="124"/>
        <v>-</v>
      </c>
      <c r="V262" s="411" t="str">
        <f t="shared" ca="1" si="125"/>
        <v>-</v>
      </c>
      <c r="W262" s="413">
        <f>Cluster!N281</f>
        <v>0</v>
      </c>
      <c r="X262" s="414" t="str">
        <f t="shared" ca="1" si="126"/>
        <v>-</v>
      </c>
      <c r="Y262" s="411" t="str">
        <f t="shared" ca="1" si="127"/>
        <v>-</v>
      </c>
      <c r="Z262" s="415" t="str">
        <f t="shared" ca="1" si="128"/>
        <v>-</v>
      </c>
      <c r="AA262" s="416" t="str">
        <f t="shared" ca="1" si="129"/>
        <v>-</v>
      </c>
      <c r="AB262" s="416" t="str">
        <f t="shared" ca="1" si="130"/>
        <v/>
      </c>
      <c r="AC262" s="434">
        <f>Cluster!Q281</f>
        <v>0</v>
      </c>
      <c r="AD262" s="435" t="str">
        <f t="shared" ca="1" si="153"/>
        <v/>
      </c>
      <c r="AE262" s="436" t="str">
        <f t="shared" ca="1" si="153"/>
        <v/>
      </c>
      <c r="AF262" s="437" t="str">
        <f t="shared" ca="1" si="131"/>
        <v>-</v>
      </c>
      <c r="AG262" s="438" t="str">
        <f t="shared" ca="1" si="132"/>
        <v>-</v>
      </c>
      <c r="AH262" s="437" t="str">
        <f t="shared" ca="1" si="133"/>
        <v>-</v>
      </c>
      <c r="AI262" s="438" t="str">
        <f t="shared" ca="1" si="134"/>
        <v>-</v>
      </c>
      <c r="AJ262" s="438" t="str">
        <f t="shared" ca="1" si="135"/>
        <v>-</v>
      </c>
      <c r="AK262" s="439" t="str">
        <f ca="1">IFERROR(AE262*AD262*AL262/(IF(Cluster!AA281=Cluster!$W$8,Cluster!$W$10,IF(Cluster!AA281=Cluster!$X$8,Cluster!$X$10,IF(Cluster!AA281=Cluster!$Y$8,Cluster!$Y$10,0)))*10^3),"-")</f>
        <v>-</v>
      </c>
      <c r="AL262" s="440" t="str">
        <f ca="1">IFERROR(IF(OR(Calculation!T262&lt;(Calculation!$U$8+2),Calculation!AC262="Bypass"),IF((IF(Calculation!$O$6/((Calculation!AD262*10^-12)/(Calculation!T262*10^-9)*50)&lt;=1,1,ROUNDUP(Calculation!$O$6/((Calculation!AD262*10^-12)/(Calculation!T262*10^-9)*50),0))*50)&lt;Calculation!$AK$6,Calculation!$AK$6,IF(Calculation!$O$6/((Calculation!AD262*10^-12)/(Calculation!T262*10^-9)*50)&lt;=1,1,ROUNDUP(Calculation!$O$6/((Calculation!AD262*10^-12)/(Calculation!T262*10^-9)*50),0))*50),"-"),"-")</f>
        <v>-</v>
      </c>
      <c r="AM262" s="441" t="str">
        <f t="shared" ca="1" si="154"/>
        <v/>
      </c>
      <c r="AN262" s="442" t="str">
        <f t="shared" ca="1" si="154"/>
        <v/>
      </c>
      <c r="AO262" s="432">
        <f t="shared" ca="1" si="136"/>
        <v>384</v>
      </c>
      <c r="AP262" s="427" t="str">
        <f t="shared" ca="1" si="137"/>
        <v>-</v>
      </c>
      <c r="AQ262" s="443" t="str">
        <f t="shared" ca="1" si="138"/>
        <v>-</v>
      </c>
      <c r="AR262" s="444" t="str">
        <f t="shared" ca="1" si="139"/>
        <v>-</v>
      </c>
      <c r="AS262" s="430" t="str">
        <f t="shared" ca="1" si="140"/>
        <v>-</v>
      </c>
    </row>
    <row r="263" spans="1:45" ht="14.25" x14ac:dyDescent="0.65">
      <c r="A263" s="407">
        <v>255</v>
      </c>
      <c r="B263" s="408" t="str">
        <f t="shared" ca="1" si="121"/>
        <v/>
      </c>
      <c r="C263" s="408" t="str">
        <f ca="1">IFERROR(IF(G263="","",CONCATENATE(E263,"-",INDEX(Coordinate,MATCH(F263,ListAndConversion!$X$4:$X$99,0),2))),"")</f>
        <v/>
      </c>
      <c r="D263" s="408" t="str">
        <f t="shared" ca="1" si="151"/>
        <v/>
      </c>
      <c r="E263" s="408" t="str">
        <f t="shared" ca="1" si="151"/>
        <v/>
      </c>
      <c r="F263" s="408" t="str">
        <f t="shared" ca="1" si="151"/>
        <v/>
      </c>
      <c r="G263" s="408" t="str">
        <f ca="1">IFERROR(INDEX(ListAndConversion!A:B,MATCH(Calculation!E263,ListAndConversion!A:A,0),2),"")</f>
        <v/>
      </c>
      <c r="H263" s="408" t="str">
        <f>IF(TrackIT_Lines!AD255="","",TrackIT_Lines!AD255)</f>
        <v/>
      </c>
      <c r="I263" s="408" t="str">
        <f>IF(TrackIT_Lines!AD255="","",CONCATENATE(TrackIT_Lines!AD255,"-",TrackIT_Lines!AG255))</f>
        <v/>
      </c>
      <c r="J263" s="409" t="str">
        <f t="shared" ca="1" si="155"/>
        <v/>
      </c>
      <c r="K263" s="408" t="str">
        <f t="shared" ca="1" si="155"/>
        <v/>
      </c>
      <c r="L263" s="408" t="str">
        <f t="shared" ca="1" si="155"/>
        <v/>
      </c>
      <c r="M263" s="408" t="str">
        <f t="shared" ca="1" si="155"/>
        <v/>
      </c>
      <c r="N263" s="408" t="str">
        <f t="shared" ca="1" si="155"/>
        <v/>
      </c>
      <c r="O263" s="408" t="str">
        <f t="shared" ca="1" si="155"/>
        <v/>
      </c>
      <c r="P263" s="408" t="str">
        <f t="shared" ca="1" si="155"/>
        <v/>
      </c>
      <c r="Q263" s="408" t="str">
        <f t="shared" ca="1" si="155"/>
        <v/>
      </c>
      <c r="R263" s="410" t="str">
        <f ca="1">Cluster!J282</f>
        <v>Selection</v>
      </c>
      <c r="S263" s="411" t="str">
        <f t="shared" ca="1" si="122"/>
        <v>-</v>
      </c>
      <c r="T263" s="412" t="str">
        <f t="shared" ca="1" si="123"/>
        <v/>
      </c>
      <c r="U263" s="411" t="str">
        <f t="shared" ca="1" si="124"/>
        <v>-</v>
      </c>
      <c r="V263" s="411" t="str">
        <f t="shared" ca="1" si="125"/>
        <v>-</v>
      </c>
      <c r="W263" s="413">
        <f>Cluster!N282</f>
        <v>0</v>
      </c>
      <c r="X263" s="414" t="str">
        <f t="shared" ca="1" si="126"/>
        <v>-</v>
      </c>
      <c r="Y263" s="411" t="str">
        <f t="shared" ca="1" si="127"/>
        <v>-</v>
      </c>
      <c r="Z263" s="415" t="str">
        <f t="shared" ca="1" si="128"/>
        <v>-</v>
      </c>
      <c r="AA263" s="416" t="str">
        <f t="shared" ca="1" si="129"/>
        <v>-</v>
      </c>
      <c r="AB263" s="416" t="str">
        <f t="shared" ca="1" si="130"/>
        <v/>
      </c>
      <c r="AC263" s="434">
        <f>Cluster!Q282</f>
        <v>0</v>
      </c>
      <c r="AD263" s="435" t="str">
        <f t="shared" ca="1" si="153"/>
        <v/>
      </c>
      <c r="AE263" s="436" t="str">
        <f t="shared" ca="1" si="153"/>
        <v/>
      </c>
      <c r="AF263" s="437" t="str">
        <f t="shared" ca="1" si="131"/>
        <v>-</v>
      </c>
      <c r="AG263" s="438" t="str">
        <f t="shared" ca="1" si="132"/>
        <v>-</v>
      </c>
      <c r="AH263" s="437" t="str">
        <f t="shared" ca="1" si="133"/>
        <v>-</v>
      </c>
      <c r="AI263" s="438" t="str">
        <f t="shared" ca="1" si="134"/>
        <v>-</v>
      </c>
      <c r="AJ263" s="438" t="str">
        <f t="shared" ca="1" si="135"/>
        <v>-</v>
      </c>
      <c r="AK263" s="439" t="str">
        <f ca="1">IFERROR(AE263*AD263*AL263/(IF(Cluster!AA282=Cluster!$W$8,Cluster!$W$10,IF(Cluster!AA282=Cluster!$X$8,Cluster!$X$10,IF(Cluster!AA282=Cluster!$Y$8,Cluster!$Y$10,0)))*10^3),"-")</f>
        <v>-</v>
      </c>
      <c r="AL263" s="440" t="str">
        <f ca="1">IFERROR(IF(OR(Calculation!T263&lt;(Calculation!$U$8+2),Calculation!AC263="Bypass"),IF((IF(Calculation!$O$6/((Calculation!AD263*10^-12)/(Calculation!T263*10^-9)*50)&lt;=1,1,ROUNDUP(Calculation!$O$6/((Calculation!AD263*10^-12)/(Calculation!T263*10^-9)*50),0))*50)&lt;Calculation!$AK$6,Calculation!$AK$6,IF(Calculation!$O$6/((Calculation!AD263*10^-12)/(Calculation!T263*10^-9)*50)&lt;=1,1,ROUNDUP(Calculation!$O$6/((Calculation!AD263*10^-12)/(Calculation!T263*10^-9)*50),0))*50),"-"),"-")</f>
        <v>-</v>
      </c>
      <c r="AM263" s="441" t="str">
        <f t="shared" ca="1" si="154"/>
        <v/>
      </c>
      <c r="AN263" s="442" t="str">
        <f t="shared" ca="1" si="154"/>
        <v/>
      </c>
      <c r="AO263" s="432">
        <f t="shared" ca="1" si="136"/>
        <v>384</v>
      </c>
      <c r="AP263" s="427" t="str">
        <f t="shared" ca="1" si="137"/>
        <v>-</v>
      </c>
      <c r="AQ263" s="443" t="str">
        <f t="shared" ca="1" si="138"/>
        <v>-</v>
      </c>
      <c r="AR263" s="444" t="str">
        <f t="shared" ca="1" si="139"/>
        <v>-</v>
      </c>
      <c r="AS263" s="430" t="str">
        <f t="shared" ca="1" si="140"/>
        <v>-</v>
      </c>
    </row>
    <row r="264" spans="1:45" ht="14.25" x14ac:dyDescent="0.65">
      <c r="A264" s="407">
        <v>256</v>
      </c>
      <c r="B264" s="408" t="str">
        <f t="shared" ca="1" si="121"/>
        <v/>
      </c>
      <c r="C264" s="408" t="str">
        <f ca="1">IFERROR(IF(G264="","",CONCATENATE(E264,"-",INDEX(Coordinate,MATCH(F264,ListAndConversion!$X$4:$X$99,0),2))),"")</f>
        <v/>
      </c>
      <c r="D264" s="408" t="str">
        <f t="shared" ca="1" si="151"/>
        <v/>
      </c>
      <c r="E264" s="408" t="str">
        <f t="shared" ca="1" si="151"/>
        <v/>
      </c>
      <c r="F264" s="408" t="str">
        <f t="shared" ca="1" si="151"/>
        <v/>
      </c>
      <c r="G264" s="408" t="str">
        <f ca="1">IFERROR(INDEX(ListAndConversion!A:B,MATCH(Calculation!E264,ListAndConversion!A:A,0),2),"")</f>
        <v/>
      </c>
      <c r="H264" s="408" t="str">
        <f>IF(TrackIT_Lines!AD256="","",TrackIT_Lines!AD256)</f>
        <v/>
      </c>
      <c r="I264" s="408" t="str">
        <f>IF(TrackIT_Lines!AD256="","",CONCATENATE(TrackIT_Lines!AD256,"-",TrackIT_Lines!AG256))</f>
        <v/>
      </c>
      <c r="J264" s="409" t="str">
        <f t="shared" ca="1" si="155"/>
        <v/>
      </c>
      <c r="K264" s="408" t="str">
        <f t="shared" ca="1" si="155"/>
        <v/>
      </c>
      <c r="L264" s="408" t="str">
        <f t="shared" ca="1" si="155"/>
        <v/>
      </c>
      <c r="M264" s="408" t="str">
        <f t="shared" ca="1" si="155"/>
        <v/>
      </c>
      <c r="N264" s="408" t="str">
        <f t="shared" ca="1" si="155"/>
        <v/>
      </c>
      <c r="O264" s="408" t="str">
        <f t="shared" ca="1" si="155"/>
        <v/>
      </c>
      <c r="P264" s="408" t="str">
        <f t="shared" ca="1" si="155"/>
        <v/>
      </c>
      <c r="Q264" s="408" t="str">
        <f t="shared" ca="1" si="155"/>
        <v/>
      </c>
      <c r="R264" s="410" t="str">
        <f ca="1">Cluster!J283</f>
        <v>Selection</v>
      </c>
      <c r="S264" s="411" t="str">
        <f t="shared" ca="1" si="122"/>
        <v>-</v>
      </c>
      <c r="T264" s="412" t="str">
        <f t="shared" ca="1" si="123"/>
        <v/>
      </c>
      <c r="U264" s="411" t="str">
        <f t="shared" ca="1" si="124"/>
        <v>-</v>
      </c>
      <c r="V264" s="411" t="str">
        <f t="shared" ca="1" si="125"/>
        <v>-</v>
      </c>
      <c r="W264" s="413">
        <f>Cluster!N283</f>
        <v>0</v>
      </c>
      <c r="X264" s="414" t="str">
        <f t="shared" ca="1" si="126"/>
        <v>-</v>
      </c>
      <c r="Y264" s="411" t="str">
        <f t="shared" ca="1" si="127"/>
        <v>-</v>
      </c>
      <c r="Z264" s="415" t="str">
        <f t="shared" ca="1" si="128"/>
        <v>-</v>
      </c>
      <c r="AA264" s="416" t="str">
        <f t="shared" ca="1" si="129"/>
        <v>-</v>
      </c>
      <c r="AB264" s="416" t="str">
        <f t="shared" ca="1" si="130"/>
        <v/>
      </c>
      <c r="AC264" s="434">
        <f>Cluster!Q283</f>
        <v>0</v>
      </c>
      <c r="AD264" s="435" t="str">
        <f t="shared" ca="1" si="153"/>
        <v/>
      </c>
      <c r="AE264" s="436" t="str">
        <f t="shared" ca="1" si="153"/>
        <v/>
      </c>
      <c r="AF264" s="437" t="str">
        <f t="shared" ca="1" si="131"/>
        <v>-</v>
      </c>
      <c r="AG264" s="438" t="str">
        <f t="shared" ca="1" si="132"/>
        <v>-</v>
      </c>
      <c r="AH264" s="437" t="str">
        <f t="shared" ca="1" si="133"/>
        <v>-</v>
      </c>
      <c r="AI264" s="438" t="str">
        <f t="shared" ca="1" si="134"/>
        <v>-</v>
      </c>
      <c r="AJ264" s="438" t="str">
        <f t="shared" ca="1" si="135"/>
        <v>-</v>
      </c>
      <c r="AK264" s="439" t="str">
        <f ca="1">IFERROR(AE264*AD264*AL264/(IF(Cluster!AA283=Cluster!$W$8,Cluster!$W$10,IF(Cluster!AA283=Cluster!$X$8,Cluster!$X$10,IF(Cluster!AA283=Cluster!$Y$8,Cluster!$Y$10,0)))*10^3),"-")</f>
        <v>-</v>
      </c>
      <c r="AL264" s="440" t="str">
        <f ca="1">IFERROR(IF(OR(Calculation!T264&lt;(Calculation!$U$8+2),Calculation!AC264="Bypass"),IF((IF(Calculation!$O$6/((Calculation!AD264*10^-12)/(Calculation!T264*10^-9)*50)&lt;=1,1,ROUNDUP(Calculation!$O$6/((Calculation!AD264*10^-12)/(Calculation!T264*10^-9)*50),0))*50)&lt;Calculation!$AK$6,Calculation!$AK$6,IF(Calculation!$O$6/((Calculation!AD264*10^-12)/(Calculation!T264*10^-9)*50)&lt;=1,1,ROUNDUP(Calculation!$O$6/((Calculation!AD264*10^-12)/(Calculation!T264*10^-9)*50),0))*50),"-"),"-")</f>
        <v>-</v>
      </c>
      <c r="AM264" s="441" t="str">
        <f t="shared" ca="1" si="154"/>
        <v/>
      </c>
      <c r="AN264" s="442" t="str">
        <f t="shared" ca="1" si="154"/>
        <v/>
      </c>
      <c r="AO264" s="432">
        <f t="shared" ca="1" si="136"/>
        <v>384</v>
      </c>
      <c r="AP264" s="427" t="str">
        <f t="shared" ca="1" si="137"/>
        <v>-</v>
      </c>
      <c r="AQ264" s="443" t="str">
        <f t="shared" ca="1" si="138"/>
        <v>-</v>
      </c>
      <c r="AR264" s="444" t="str">
        <f t="shared" ca="1" si="139"/>
        <v>-</v>
      </c>
      <c r="AS264" s="430" t="str">
        <f t="shared" ca="1" si="140"/>
        <v>-</v>
      </c>
    </row>
    <row r="265" spans="1:45" ht="14.25" x14ac:dyDescent="0.65">
      <c r="A265" s="407">
        <v>257</v>
      </c>
      <c r="B265" s="408" t="str">
        <f t="shared" ca="1" si="121"/>
        <v/>
      </c>
      <c r="C265" s="408" t="str">
        <f ca="1">IFERROR(IF(G265="","",CONCATENATE(E265,"-",INDEX(Coordinate,MATCH(F265,ListAndConversion!$X$4:$X$99,0),2))),"")</f>
        <v/>
      </c>
      <c r="D265" s="408" t="str">
        <f t="shared" ca="1" si="151"/>
        <v/>
      </c>
      <c r="E265" s="408" t="str">
        <f t="shared" ca="1" si="151"/>
        <v/>
      </c>
      <c r="F265" s="408" t="str">
        <f t="shared" ca="1" si="151"/>
        <v/>
      </c>
      <c r="G265" s="408" t="str">
        <f ca="1">IFERROR(INDEX(ListAndConversion!A:B,MATCH(Calculation!E265,ListAndConversion!A:A,0),2),"")</f>
        <v/>
      </c>
      <c r="H265" s="408" t="str">
        <f>IF(TrackIT_Lines!AD257="","",TrackIT_Lines!AD257)</f>
        <v/>
      </c>
      <c r="I265" s="408" t="str">
        <f>IF(TrackIT_Lines!AD257="","",CONCATENATE(TrackIT_Lines!AD257,"-",TrackIT_Lines!AG257))</f>
        <v/>
      </c>
      <c r="J265" s="409" t="str">
        <f t="shared" ca="1" si="155"/>
        <v/>
      </c>
      <c r="K265" s="408" t="str">
        <f t="shared" ca="1" si="155"/>
        <v/>
      </c>
      <c r="L265" s="408" t="str">
        <f t="shared" ca="1" si="155"/>
        <v/>
      </c>
      <c r="M265" s="408" t="str">
        <f t="shared" ca="1" si="155"/>
        <v/>
      </c>
      <c r="N265" s="408" t="str">
        <f t="shared" ca="1" si="155"/>
        <v/>
      </c>
      <c r="O265" s="408" t="str">
        <f t="shared" ca="1" si="155"/>
        <v/>
      </c>
      <c r="P265" s="408" t="str">
        <f t="shared" ca="1" si="155"/>
        <v/>
      </c>
      <c r="Q265" s="408" t="str">
        <f t="shared" ca="1" si="155"/>
        <v/>
      </c>
      <c r="R265" s="410" t="str">
        <f ca="1">Cluster!J284</f>
        <v>Selection</v>
      </c>
      <c r="S265" s="411" t="str">
        <f t="shared" ca="1" si="122"/>
        <v>-</v>
      </c>
      <c r="T265" s="412" t="str">
        <f t="shared" ca="1" si="123"/>
        <v/>
      </c>
      <c r="U265" s="411" t="str">
        <f t="shared" ca="1" si="124"/>
        <v>-</v>
      </c>
      <c r="V265" s="411" t="str">
        <f t="shared" ca="1" si="125"/>
        <v>-</v>
      </c>
      <c r="W265" s="413">
        <f>Cluster!N284</f>
        <v>0</v>
      </c>
      <c r="X265" s="414" t="str">
        <f t="shared" ca="1" si="126"/>
        <v>-</v>
      </c>
      <c r="Y265" s="411" t="str">
        <f t="shared" ca="1" si="127"/>
        <v>-</v>
      </c>
      <c r="Z265" s="415" t="str">
        <f t="shared" ca="1" si="128"/>
        <v>-</v>
      </c>
      <c r="AA265" s="416" t="str">
        <f t="shared" ca="1" si="129"/>
        <v>-</v>
      </c>
      <c r="AB265" s="416" t="str">
        <f t="shared" ca="1" si="130"/>
        <v/>
      </c>
      <c r="AC265" s="434">
        <f>Cluster!Q284</f>
        <v>0</v>
      </c>
      <c r="AD265" s="435" t="str">
        <f t="shared" ca="1" si="153"/>
        <v/>
      </c>
      <c r="AE265" s="436" t="str">
        <f t="shared" ca="1" si="153"/>
        <v/>
      </c>
      <c r="AF265" s="437" t="str">
        <f t="shared" ca="1" si="131"/>
        <v>-</v>
      </c>
      <c r="AG265" s="438" t="str">
        <f t="shared" ca="1" si="132"/>
        <v>-</v>
      </c>
      <c r="AH265" s="437" t="str">
        <f t="shared" ca="1" si="133"/>
        <v>-</v>
      </c>
      <c r="AI265" s="438" t="str">
        <f t="shared" ca="1" si="134"/>
        <v>-</v>
      </c>
      <c r="AJ265" s="438" t="str">
        <f t="shared" ca="1" si="135"/>
        <v>-</v>
      </c>
      <c r="AK265" s="439" t="str">
        <f ca="1">IFERROR(AE265*AD265*AL265/(IF(Cluster!AA284=Cluster!$W$8,Cluster!$W$10,IF(Cluster!AA284=Cluster!$X$8,Cluster!$X$10,IF(Cluster!AA284=Cluster!$Y$8,Cluster!$Y$10,0)))*10^3),"-")</f>
        <v>-</v>
      </c>
      <c r="AL265" s="440" t="str">
        <f ca="1">IFERROR(IF(OR(Calculation!T265&lt;(Calculation!$U$8+2),Calculation!AC265="Bypass"),IF((IF(Calculation!$O$6/((Calculation!AD265*10^-12)/(Calculation!T265*10^-9)*50)&lt;=1,1,ROUNDUP(Calculation!$O$6/((Calculation!AD265*10^-12)/(Calculation!T265*10^-9)*50),0))*50)&lt;Calculation!$AK$6,Calculation!$AK$6,IF(Calculation!$O$6/((Calculation!AD265*10^-12)/(Calculation!T265*10^-9)*50)&lt;=1,1,ROUNDUP(Calculation!$O$6/((Calculation!AD265*10^-12)/(Calculation!T265*10^-9)*50),0))*50),"-"),"-")</f>
        <v>-</v>
      </c>
      <c r="AM265" s="441" t="str">
        <f t="shared" ca="1" si="154"/>
        <v/>
      </c>
      <c r="AN265" s="442" t="str">
        <f t="shared" ca="1" si="154"/>
        <v/>
      </c>
      <c r="AO265" s="432">
        <f t="shared" ca="1" si="136"/>
        <v>384</v>
      </c>
      <c r="AP265" s="427" t="str">
        <f t="shared" ca="1" si="137"/>
        <v>-</v>
      </c>
      <c r="AQ265" s="443" t="str">
        <f t="shared" ca="1" si="138"/>
        <v>-</v>
      </c>
      <c r="AR265" s="444" t="str">
        <f t="shared" ca="1" si="139"/>
        <v>-</v>
      </c>
      <c r="AS265" s="430" t="str">
        <f t="shared" ca="1" si="140"/>
        <v>-</v>
      </c>
    </row>
    <row r="266" spans="1:45" ht="14.25" x14ac:dyDescent="0.65">
      <c r="A266" s="407">
        <v>258</v>
      </c>
      <c r="B266" s="408" t="str">
        <f t="shared" ref="B266:B329" ca="1" si="156">IF((INDIRECT("TrackIT_Lines!"&amp;B$2&amp;$A266))="","", (INDIRECT("TrackIT_Lines!"&amp;B$2&amp;$A266)))</f>
        <v/>
      </c>
      <c r="C266" s="408" t="str">
        <f ca="1">IFERROR(IF(G266="","",CONCATENATE(E266,"-",INDEX(Coordinate,MATCH(F266,ListAndConversion!$X$4:$X$99,0),2))),"")</f>
        <v/>
      </c>
      <c r="D266" s="408" t="str">
        <f t="shared" ca="1" si="151"/>
        <v/>
      </c>
      <c r="E266" s="408" t="str">
        <f t="shared" ca="1" si="151"/>
        <v/>
      </c>
      <c r="F266" s="408" t="str">
        <f t="shared" ca="1" si="151"/>
        <v/>
      </c>
      <c r="G266" s="408" t="str">
        <f ca="1">IFERROR(INDEX(ListAndConversion!A:B,MATCH(Calculation!E266,ListAndConversion!A:A,0),2),"")</f>
        <v/>
      </c>
      <c r="H266" s="408" t="str">
        <f>IF(TrackIT_Lines!AD258="","",TrackIT_Lines!AD258)</f>
        <v/>
      </c>
      <c r="I266" s="408" t="str">
        <f>IF(TrackIT_Lines!AD258="","",CONCATENATE(TrackIT_Lines!AD258,"-",TrackIT_Lines!AG258))</f>
        <v/>
      </c>
      <c r="J266" s="409" t="str">
        <f t="shared" ca="1" si="155"/>
        <v/>
      </c>
      <c r="K266" s="408" t="str">
        <f t="shared" ca="1" si="155"/>
        <v/>
      </c>
      <c r="L266" s="408" t="str">
        <f t="shared" ca="1" si="155"/>
        <v/>
      </c>
      <c r="M266" s="408" t="str">
        <f t="shared" ca="1" si="155"/>
        <v/>
      </c>
      <c r="N266" s="408" t="str">
        <f t="shared" ca="1" si="155"/>
        <v/>
      </c>
      <c r="O266" s="408" t="str">
        <f t="shared" ca="1" si="155"/>
        <v/>
      </c>
      <c r="P266" s="408" t="str">
        <f t="shared" ca="1" si="155"/>
        <v/>
      </c>
      <c r="Q266" s="408" t="str">
        <f t="shared" ca="1" si="155"/>
        <v/>
      </c>
      <c r="R266" s="410" t="str">
        <f ca="1">Cluster!J285</f>
        <v>Selection</v>
      </c>
      <c r="S266" s="411" t="str">
        <f t="shared" ref="S266:S329" ca="1" si="157">IFERROR(HLOOKUP(R266,$L$9:$Q$393,$A266,0),"-")</f>
        <v>-</v>
      </c>
      <c r="T266" s="412" t="str">
        <f t="shared" ref="T266:T329" ca="1" si="158">IFERROR(IF(L266&lt;&gt;"",L266,IF(M266&lt;&gt;"",M266/(K266*660*0.000001),"")),"")</f>
        <v/>
      </c>
      <c r="U266" s="411" t="str">
        <f t="shared" ref="U266:U329" ca="1" si="159">IFERROR(IF(AND(T266&gt;($U$8+2),T266&lt;=($X$8+400),W266=0,AC266=0),ROUNDUP($O$6/($U$8*$U$6/T266),0)*($U$8*$U$6/T266),"-"),"-")</f>
        <v>-</v>
      </c>
      <c r="V266" s="411" t="str">
        <f t="shared" ref="V266:V329" ca="1" si="160">IFERROR(IF(AND(T266&gt;=($U$8+2),T266&lt;=($X$8+400), W266=0, AC266=0),ROUNDUP($O$6/($U$8*$U$6/T266),0)*($U$6-($U$8*$U$6/T266)),"-"),"-")</f>
        <v>-</v>
      </c>
      <c r="W266" s="413">
        <f>Cluster!N285</f>
        <v>0</v>
      </c>
      <c r="X266" s="414" t="str">
        <f t="shared" ref="X266:X329" ca="1" si="161">IFERROR(IF(AND(AC266=0,OR(W266="Bypass",OR(T266&gt;($X$8+400)))),ROUNDUP($O$6/($X$8*$X$6/T266),0)*($X$8*$X$6/T266),"-"),"-")</f>
        <v>-</v>
      </c>
      <c r="Y266" s="411" t="str">
        <f t="shared" ref="Y266:Y329" ca="1" si="162">IFERROR(IF(AND(AC266=0,OR(W266="Bypass",OR(T266&gt;($X$8+400)))),ROUNDUP($O$6/($X$8*$X$6/T266),0)*($X$6-($X$8*$X$6/T266)),"-"),"-")</f>
        <v>-</v>
      </c>
      <c r="Z266" s="415" t="str">
        <f t="shared" ref="Z266:Z329" ca="1" si="163">IFERROR(IF(X266&lt;&gt;"-",ROUNDUP($O$6/($U$8*$Z$6/$X$8),0)*($U$8*$Z$6/$X$8),"-"),"-")</f>
        <v>-</v>
      </c>
      <c r="AA266" s="416" t="str">
        <f t="shared" ref="AA266:AA329" ca="1" si="164">IFERROR(IF(X266&lt;&gt;"-",ROUNDUP($O$6/($U$8*$Z$6/$X$8),0)*($Z$6-($U$8*$Z$6/$X$8)),"-"),"-")</f>
        <v>-</v>
      </c>
      <c r="AB266" s="416" t="str">
        <f t="shared" ref="AB266:AB329" ca="1" si="165">IF(T266&lt;5,"No Dilution","")</f>
        <v/>
      </c>
      <c r="AC266" s="434">
        <f>Cluster!Q285</f>
        <v>0</v>
      </c>
      <c r="AD266" s="435" t="str">
        <f t="shared" ca="1" si="153"/>
        <v/>
      </c>
      <c r="AE266" s="436" t="str">
        <f t="shared" ca="1" si="153"/>
        <v/>
      </c>
      <c r="AF266" s="437" t="str">
        <f t="shared" ref="AF266:AF329" ca="1" si="166">IFERROR(AL266*((AD266*10^-12-AD266*10^-12*AE266)/(T266*10^-9)),"-")</f>
        <v>-</v>
      </c>
      <c r="AG266" s="438" t="str">
        <f t="shared" ref="AG266:AG329" ca="1" si="167">IFERROR((0.5/50)*AL266/$AG$6,"-")</f>
        <v>-</v>
      </c>
      <c r="AH266" s="437" t="str">
        <f t="shared" ref="AH266:AH329" ca="1" si="168">IFERROR(IF((AG266*$AG$6/0.05)-SUM(AF266:AG266,AK266)&gt;0,(AG266*$AG$6/0.05)-SUM(AF266:AG266,AK266),0),"-")</f>
        <v>-</v>
      </c>
      <c r="AI266" s="438" t="str">
        <f t="shared" ref="AI266:AI329" ca="1" si="169">IFERROR(5/50*AL266,"-")</f>
        <v>-</v>
      </c>
      <c r="AJ266" s="438" t="str">
        <f t="shared" ref="AJ266:AJ329" ca="1" si="170">IFERROR(AL266-SUM(AF266:AI266,AK266),"-")</f>
        <v>-</v>
      </c>
      <c r="AK266" s="439" t="str">
        <f ca="1">IFERROR(AE266*AD266*AL266/(IF(Cluster!AA285=Cluster!$W$8,Cluster!$W$10,IF(Cluster!AA285=Cluster!$X$8,Cluster!$X$10,IF(Cluster!AA285=Cluster!$Y$8,Cluster!$Y$10,0)))*10^3),"-")</f>
        <v>-</v>
      </c>
      <c r="AL266" s="440" t="str">
        <f ca="1">IFERROR(IF(OR(Calculation!T266&lt;(Calculation!$U$8+2),Calculation!AC266="Bypass"),IF((IF(Calculation!$O$6/((Calculation!AD266*10^-12)/(Calculation!T266*10^-9)*50)&lt;=1,1,ROUNDUP(Calculation!$O$6/((Calculation!AD266*10^-12)/(Calculation!T266*10^-9)*50),0))*50)&lt;Calculation!$AK$6,Calculation!$AK$6,IF(Calculation!$O$6/((Calculation!AD266*10^-12)/(Calculation!T266*10^-9)*50)&lt;=1,1,ROUNDUP(Calculation!$O$6/((Calculation!AD266*10^-12)/(Calculation!T266*10^-9)*50),0))*50),"-"),"-")</f>
        <v>-</v>
      </c>
      <c r="AM266" s="441" t="str">
        <f t="shared" ca="1" si="154"/>
        <v/>
      </c>
      <c r="AN266" s="442" t="str">
        <f t="shared" ca="1" si="154"/>
        <v/>
      </c>
      <c r="AO266" s="432">
        <f t="shared" ref="AO266:AO329" ca="1" si="171">COUNTIFS($I$10:$I$393,I266,$AN$10:$AN$393,AN266)</f>
        <v>384</v>
      </c>
      <c r="AP266" s="427" t="str">
        <f t="shared" ref="AP266:AP329" ca="1" si="172">IFERROR($AG$6*AG266/SUM(AF266:AH266,AK266),"-")</f>
        <v>-</v>
      </c>
      <c r="AQ266" s="443" t="str">
        <f t="shared" ref="AQ266:AQ329" ca="1" si="173">IFERROR(AP266*SUM(AF266:AH266)/AL266,"-")</f>
        <v>-</v>
      </c>
      <c r="AR266" s="444" t="str">
        <f t="shared" ref="AR266:AR329" ca="1" si="174">IFERROR(IF(J266&gt;0,J266/IF(LEN(AM266)&gt;1,LEN(AM266)-1,1),"-"),"-")</f>
        <v>-</v>
      </c>
      <c r="AS266" s="430" t="str">
        <f t="shared" ref="AS266:AS329" ca="1" si="175">IF(AND(AR266&lt;1,AL266="-",COUNTIFS($I$10:$I$393,I266,Direct_Denaturation,"-")&gt;1),C266,"-")</f>
        <v>-</v>
      </c>
    </row>
    <row r="267" spans="1:45" ht="14.25" x14ac:dyDescent="0.65">
      <c r="A267" s="407">
        <v>259</v>
      </c>
      <c r="B267" s="408" t="str">
        <f t="shared" ca="1" si="156"/>
        <v/>
      </c>
      <c r="C267" s="408" t="str">
        <f ca="1">IFERROR(IF(G267="","",CONCATENATE(E267,"-",INDEX(Coordinate,MATCH(F267,ListAndConversion!$X$4:$X$99,0),2))),"")</f>
        <v/>
      </c>
      <c r="D267" s="408" t="str">
        <f t="shared" ca="1" si="151"/>
        <v/>
      </c>
      <c r="E267" s="408" t="str">
        <f t="shared" ca="1" si="151"/>
        <v/>
      </c>
      <c r="F267" s="408" t="str">
        <f t="shared" ca="1" si="151"/>
        <v/>
      </c>
      <c r="G267" s="408" t="str">
        <f ca="1">IFERROR(INDEX(ListAndConversion!A:B,MATCH(Calculation!E267,ListAndConversion!A:A,0),2),"")</f>
        <v/>
      </c>
      <c r="H267" s="408" t="str">
        <f>IF(TrackIT_Lines!AD259="","",TrackIT_Lines!AD259)</f>
        <v/>
      </c>
      <c r="I267" s="408" t="str">
        <f>IF(TrackIT_Lines!AD259="","",CONCATENATE(TrackIT_Lines!AD259,"-",TrackIT_Lines!AG259))</f>
        <v/>
      </c>
      <c r="J267" s="409" t="str">
        <f t="shared" ca="1" si="155"/>
        <v/>
      </c>
      <c r="K267" s="408" t="str">
        <f t="shared" ca="1" si="155"/>
        <v/>
      </c>
      <c r="L267" s="408" t="str">
        <f t="shared" ca="1" si="155"/>
        <v/>
      </c>
      <c r="M267" s="408" t="str">
        <f t="shared" ca="1" si="155"/>
        <v/>
      </c>
      <c r="N267" s="408" t="str">
        <f t="shared" ca="1" si="155"/>
        <v/>
      </c>
      <c r="O267" s="408" t="str">
        <f t="shared" ca="1" si="155"/>
        <v/>
      </c>
      <c r="P267" s="408" t="str">
        <f t="shared" ca="1" si="155"/>
        <v/>
      </c>
      <c r="Q267" s="408" t="str">
        <f t="shared" ca="1" si="155"/>
        <v/>
      </c>
      <c r="R267" s="410" t="str">
        <f ca="1">Cluster!J286</f>
        <v>Selection</v>
      </c>
      <c r="S267" s="411" t="str">
        <f t="shared" ca="1" si="157"/>
        <v>-</v>
      </c>
      <c r="T267" s="412" t="str">
        <f t="shared" ca="1" si="158"/>
        <v/>
      </c>
      <c r="U267" s="411" t="str">
        <f t="shared" ca="1" si="159"/>
        <v>-</v>
      </c>
      <c r="V267" s="411" t="str">
        <f t="shared" ca="1" si="160"/>
        <v>-</v>
      </c>
      <c r="W267" s="413">
        <f>Cluster!N286</f>
        <v>0</v>
      </c>
      <c r="X267" s="414" t="str">
        <f t="shared" ca="1" si="161"/>
        <v>-</v>
      </c>
      <c r="Y267" s="411" t="str">
        <f t="shared" ca="1" si="162"/>
        <v>-</v>
      </c>
      <c r="Z267" s="415" t="str">
        <f t="shared" ca="1" si="163"/>
        <v>-</v>
      </c>
      <c r="AA267" s="416" t="str">
        <f t="shared" ca="1" si="164"/>
        <v>-</v>
      </c>
      <c r="AB267" s="416" t="str">
        <f t="shared" ca="1" si="165"/>
        <v/>
      </c>
      <c r="AC267" s="434">
        <f>Cluster!Q286</f>
        <v>0</v>
      </c>
      <c r="AD267" s="435" t="str">
        <f t="shared" ca="1" si="153"/>
        <v/>
      </c>
      <c r="AE267" s="436" t="str">
        <f t="shared" ca="1" si="153"/>
        <v/>
      </c>
      <c r="AF267" s="437" t="str">
        <f t="shared" ca="1" si="166"/>
        <v>-</v>
      </c>
      <c r="AG267" s="438" t="str">
        <f t="shared" ca="1" si="167"/>
        <v>-</v>
      </c>
      <c r="AH267" s="437" t="str">
        <f t="shared" ca="1" si="168"/>
        <v>-</v>
      </c>
      <c r="AI267" s="438" t="str">
        <f t="shared" ca="1" si="169"/>
        <v>-</v>
      </c>
      <c r="AJ267" s="438" t="str">
        <f t="shared" ca="1" si="170"/>
        <v>-</v>
      </c>
      <c r="AK267" s="439" t="str">
        <f ca="1">IFERROR(AE267*AD267*AL267/(IF(Cluster!AA286=Cluster!$W$8,Cluster!$W$10,IF(Cluster!AA286=Cluster!$X$8,Cluster!$X$10,IF(Cluster!AA286=Cluster!$Y$8,Cluster!$Y$10,0)))*10^3),"-")</f>
        <v>-</v>
      </c>
      <c r="AL267" s="440" t="str">
        <f ca="1">IFERROR(IF(OR(Calculation!T267&lt;(Calculation!$U$8+2),Calculation!AC267="Bypass"),IF((IF(Calculation!$O$6/((Calculation!AD267*10^-12)/(Calculation!T267*10^-9)*50)&lt;=1,1,ROUNDUP(Calculation!$O$6/((Calculation!AD267*10^-12)/(Calculation!T267*10^-9)*50),0))*50)&lt;Calculation!$AK$6,Calculation!$AK$6,IF(Calculation!$O$6/((Calculation!AD267*10^-12)/(Calculation!T267*10^-9)*50)&lt;=1,1,ROUNDUP(Calculation!$O$6/((Calculation!AD267*10^-12)/(Calculation!T267*10^-9)*50),0))*50),"-"),"-")</f>
        <v>-</v>
      </c>
      <c r="AM267" s="441" t="str">
        <f t="shared" ca="1" si="154"/>
        <v/>
      </c>
      <c r="AN267" s="442" t="str">
        <f t="shared" ca="1" si="154"/>
        <v/>
      </c>
      <c r="AO267" s="432">
        <f t="shared" ca="1" si="171"/>
        <v>384</v>
      </c>
      <c r="AP267" s="427" t="str">
        <f t="shared" ca="1" si="172"/>
        <v>-</v>
      </c>
      <c r="AQ267" s="443" t="str">
        <f t="shared" ca="1" si="173"/>
        <v>-</v>
      </c>
      <c r="AR267" s="444" t="str">
        <f t="shared" ca="1" si="174"/>
        <v>-</v>
      </c>
      <c r="AS267" s="430" t="str">
        <f t="shared" ca="1" si="175"/>
        <v>-</v>
      </c>
    </row>
    <row r="268" spans="1:45" ht="14.25" x14ac:dyDescent="0.65">
      <c r="A268" s="407">
        <v>260</v>
      </c>
      <c r="B268" s="408" t="str">
        <f t="shared" ca="1" si="156"/>
        <v/>
      </c>
      <c r="C268" s="408" t="str">
        <f ca="1">IFERROR(IF(G268="","",CONCATENATE(E268,"-",INDEX(Coordinate,MATCH(F268,ListAndConversion!$X$4:$X$99,0),2))),"")</f>
        <v/>
      </c>
      <c r="D268" s="408" t="str">
        <f t="shared" ca="1" si="151"/>
        <v/>
      </c>
      <c r="E268" s="408" t="str">
        <f t="shared" ca="1" si="151"/>
        <v/>
      </c>
      <c r="F268" s="408" t="str">
        <f t="shared" ca="1" si="151"/>
        <v/>
      </c>
      <c r="G268" s="408" t="str">
        <f ca="1">IFERROR(INDEX(ListAndConversion!A:B,MATCH(Calculation!E268,ListAndConversion!A:A,0),2),"")</f>
        <v/>
      </c>
      <c r="H268" s="408" t="str">
        <f>IF(TrackIT_Lines!AD260="","",TrackIT_Lines!AD260)</f>
        <v/>
      </c>
      <c r="I268" s="408" t="str">
        <f>IF(TrackIT_Lines!AD260="","",CONCATENATE(TrackIT_Lines!AD260,"-",TrackIT_Lines!AG260))</f>
        <v/>
      </c>
      <c r="J268" s="409" t="str">
        <f t="shared" ca="1" si="155"/>
        <v/>
      </c>
      <c r="K268" s="408" t="str">
        <f t="shared" ca="1" si="155"/>
        <v/>
      </c>
      <c r="L268" s="408" t="str">
        <f t="shared" ca="1" si="155"/>
        <v/>
      </c>
      <c r="M268" s="408" t="str">
        <f t="shared" ca="1" si="155"/>
        <v/>
      </c>
      <c r="N268" s="408" t="str">
        <f t="shared" ca="1" si="155"/>
        <v/>
      </c>
      <c r="O268" s="408" t="str">
        <f t="shared" ca="1" si="155"/>
        <v/>
      </c>
      <c r="P268" s="408" t="str">
        <f t="shared" ca="1" si="155"/>
        <v/>
      </c>
      <c r="Q268" s="408" t="str">
        <f t="shared" ca="1" si="155"/>
        <v/>
      </c>
      <c r="R268" s="410" t="str">
        <f ca="1">Cluster!J287</f>
        <v>Selection</v>
      </c>
      <c r="S268" s="411" t="str">
        <f t="shared" ca="1" si="157"/>
        <v>-</v>
      </c>
      <c r="T268" s="412" t="str">
        <f t="shared" ca="1" si="158"/>
        <v/>
      </c>
      <c r="U268" s="411" t="str">
        <f t="shared" ca="1" si="159"/>
        <v>-</v>
      </c>
      <c r="V268" s="411" t="str">
        <f t="shared" ca="1" si="160"/>
        <v>-</v>
      </c>
      <c r="W268" s="413">
        <f>Cluster!N287</f>
        <v>0</v>
      </c>
      <c r="X268" s="414" t="str">
        <f t="shared" ca="1" si="161"/>
        <v>-</v>
      </c>
      <c r="Y268" s="411" t="str">
        <f t="shared" ca="1" si="162"/>
        <v>-</v>
      </c>
      <c r="Z268" s="415" t="str">
        <f t="shared" ca="1" si="163"/>
        <v>-</v>
      </c>
      <c r="AA268" s="416" t="str">
        <f t="shared" ca="1" si="164"/>
        <v>-</v>
      </c>
      <c r="AB268" s="416" t="str">
        <f t="shared" ca="1" si="165"/>
        <v/>
      </c>
      <c r="AC268" s="434">
        <f>Cluster!Q287</f>
        <v>0</v>
      </c>
      <c r="AD268" s="435" t="str">
        <f t="shared" ca="1" si="153"/>
        <v/>
      </c>
      <c r="AE268" s="436" t="str">
        <f t="shared" ca="1" si="153"/>
        <v/>
      </c>
      <c r="AF268" s="437" t="str">
        <f t="shared" ca="1" si="166"/>
        <v>-</v>
      </c>
      <c r="AG268" s="438" t="str">
        <f t="shared" ca="1" si="167"/>
        <v>-</v>
      </c>
      <c r="AH268" s="437" t="str">
        <f t="shared" ca="1" si="168"/>
        <v>-</v>
      </c>
      <c r="AI268" s="438" t="str">
        <f t="shared" ca="1" si="169"/>
        <v>-</v>
      </c>
      <c r="AJ268" s="438" t="str">
        <f t="shared" ca="1" si="170"/>
        <v>-</v>
      </c>
      <c r="AK268" s="439" t="str">
        <f ca="1">IFERROR(AE268*AD268*AL268/(IF(Cluster!AA287=Cluster!$W$8,Cluster!$W$10,IF(Cluster!AA287=Cluster!$X$8,Cluster!$X$10,IF(Cluster!AA287=Cluster!$Y$8,Cluster!$Y$10,0)))*10^3),"-")</f>
        <v>-</v>
      </c>
      <c r="AL268" s="440" t="str">
        <f ca="1">IFERROR(IF(OR(Calculation!T268&lt;(Calculation!$U$8+2),Calculation!AC268="Bypass"),IF((IF(Calculation!$O$6/((Calculation!AD268*10^-12)/(Calculation!T268*10^-9)*50)&lt;=1,1,ROUNDUP(Calculation!$O$6/((Calculation!AD268*10^-12)/(Calculation!T268*10^-9)*50),0))*50)&lt;Calculation!$AK$6,Calculation!$AK$6,IF(Calculation!$O$6/((Calculation!AD268*10^-12)/(Calculation!T268*10^-9)*50)&lt;=1,1,ROUNDUP(Calculation!$O$6/((Calculation!AD268*10^-12)/(Calculation!T268*10^-9)*50),0))*50),"-"),"-")</f>
        <v>-</v>
      </c>
      <c r="AM268" s="441" t="str">
        <f t="shared" ca="1" si="154"/>
        <v/>
      </c>
      <c r="AN268" s="442" t="str">
        <f t="shared" ca="1" si="154"/>
        <v/>
      </c>
      <c r="AO268" s="432">
        <f t="shared" ca="1" si="171"/>
        <v>384</v>
      </c>
      <c r="AP268" s="427" t="str">
        <f t="shared" ca="1" si="172"/>
        <v>-</v>
      </c>
      <c r="AQ268" s="443" t="str">
        <f t="shared" ca="1" si="173"/>
        <v>-</v>
      </c>
      <c r="AR268" s="444" t="str">
        <f t="shared" ca="1" si="174"/>
        <v>-</v>
      </c>
      <c r="AS268" s="430" t="str">
        <f t="shared" ca="1" si="175"/>
        <v>-</v>
      </c>
    </row>
    <row r="269" spans="1:45" ht="14.25" x14ac:dyDescent="0.65">
      <c r="A269" s="407">
        <v>261</v>
      </c>
      <c r="B269" s="408" t="str">
        <f t="shared" ca="1" si="156"/>
        <v/>
      </c>
      <c r="C269" s="408" t="str">
        <f ca="1">IFERROR(IF(G269="","",CONCATENATE(E269,"-",INDEX(Coordinate,MATCH(F269,ListAndConversion!$X$4:$X$99,0),2))),"")</f>
        <v/>
      </c>
      <c r="D269" s="408" t="str">
        <f t="shared" ca="1" si="151"/>
        <v/>
      </c>
      <c r="E269" s="408" t="str">
        <f t="shared" ca="1" si="151"/>
        <v/>
      </c>
      <c r="F269" s="408" t="str">
        <f t="shared" ca="1" si="151"/>
        <v/>
      </c>
      <c r="G269" s="408" t="str">
        <f ca="1">IFERROR(INDEX(ListAndConversion!A:B,MATCH(Calculation!E269,ListAndConversion!A:A,0),2),"")</f>
        <v/>
      </c>
      <c r="H269" s="408" t="str">
        <f>IF(TrackIT_Lines!AD261="","",TrackIT_Lines!AD261)</f>
        <v/>
      </c>
      <c r="I269" s="408" t="str">
        <f>IF(TrackIT_Lines!AD261="","",CONCATENATE(TrackIT_Lines!AD261,"-",TrackIT_Lines!AG261))</f>
        <v/>
      </c>
      <c r="J269" s="409" t="str">
        <f t="shared" ca="1" si="155"/>
        <v/>
      </c>
      <c r="K269" s="408" t="str">
        <f t="shared" ca="1" si="155"/>
        <v/>
      </c>
      <c r="L269" s="408" t="str">
        <f t="shared" ca="1" si="155"/>
        <v/>
      </c>
      <c r="M269" s="408" t="str">
        <f t="shared" ca="1" si="155"/>
        <v/>
      </c>
      <c r="N269" s="408" t="str">
        <f t="shared" ca="1" si="155"/>
        <v/>
      </c>
      <c r="O269" s="408" t="str">
        <f t="shared" ca="1" si="155"/>
        <v/>
      </c>
      <c r="P269" s="408" t="str">
        <f t="shared" ca="1" si="155"/>
        <v/>
      </c>
      <c r="Q269" s="408" t="str">
        <f t="shared" ca="1" si="155"/>
        <v/>
      </c>
      <c r="R269" s="410" t="str">
        <f ca="1">Cluster!J288</f>
        <v>Selection</v>
      </c>
      <c r="S269" s="411" t="str">
        <f t="shared" ca="1" si="157"/>
        <v>-</v>
      </c>
      <c r="T269" s="412" t="str">
        <f t="shared" ca="1" si="158"/>
        <v/>
      </c>
      <c r="U269" s="411" t="str">
        <f t="shared" ca="1" si="159"/>
        <v>-</v>
      </c>
      <c r="V269" s="411" t="str">
        <f t="shared" ca="1" si="160"/>
        <v>-</v>
      </c>
      <c r="W269" s="413">
        <f>Cluster!N288</f>
        <v>0</v>
      </c>
      <c r="X269" s="414" t="str">
        <f t="shared" ca="1" si="161"/>
        <v>-</v>
      </c>
      <c r="Y269" s="411" t="str">
        <f t="shared" ca="1" si="162"/>
        <v>-</v>
      </c>
      <c r="Z269" s="415" t="str">
        <f t="shared" ca="1" si="163"/>
        <v>-</v>
      </c>
      <c r="AA269" s="416" t="str">
        <f t="shared" ca="1" si="164"/>
        <v>-</v>
      </c>
      <c r="AB269" s="416" t="str">
        <f t="shared" ca="1" si="165"/>
        <v/>
      </c>
      <c r="AC269" s="434">
        <f>Cluster!Q288</f>
        <v>0</v>
      </c>
      <c r="AD269" s="435" t="str">
        <f t="shared" ca="1" si="153"/>
        <v/>
      </c>
      <c r="AE269" s="436" t="str">
        <f t="shared" ca="1" si="153"/>
        <v/>
      </c>
      <c r="AF269" s="437" t="str">
        <f t="shared" ca="1" si="166"/>
        <v>-</v>
      </c>
      <c r="AG269" s="438" t="str">
        <f t="shared" ca="1" si="167"/>
        <v>-</v>
      </c>
      <c r="AH269" s="437" t="str">
        <f t="shared" ca="1" si="168"/>
        <v>-</v>
      </c>
      <c r="AI269" s="438" t="str">
        <f t="shared" ca="1" si="169"/>
        <v>-</v>
      </c>
      <c r="AJ269" s="438" t="str">
        <f t="shared" ca="1" si="170"/>
        <v>-</v>
      </c>
      <c r="AK269" s="439" t="str">
        <f ca="1">IFERROR(AE269*AD269*AL269/(IF(Cluster!AA288=Cluster!$W$8,Cluster!$W$10,IF(Cluster!AA288=Cluster!$X$8,Cluster!$X$10,IF(Cluster!AA288=Cluster!$Y$8,Cluster!$Y$10,0)))*10^3),"-")</f>
        <v>-</v>
      </c>
      <c r="AL269" s="440" t="str">
        <f ca="1">IFERROR(IF(OR(Calculation!T269&lt;(Calculation!$U$8+2),Calculation!AC269="Bypass"),IF((IF(Calculation!$O$6/((Calculation!AD269*10^-12)/(Calculation!T269*10^-9)*50)&lt;=1,1,ROUNDUP(Calculation!$O$6/((Calculation!AD269*10^-12)/(Calculation!T269*10^-9)*50),0))*50)&lt;Calculation!$AK$6,Calculation!$AK$6,IF(Calculation!$O$6/((Calculation!AD269*10^-12)/(Calculation!T269*10^-9)*50)&lt;=1,1,ROUNDUP(Calculation!$O$6/((Calculation!AD269*10^-12)/(Calculation!T269*10^-9)*50),0))*50),"-"),"-")</f>
        <v>-</v>
      </c>
      <c r="AM269" s="441" t="str">
        <f t="shared" ca="1" si="154"/>
        <v/>
      </c>
      <c r="AN269" s="442" t="str">
        <f t="shared" ca="1" si="154"/>
        <v/>
      </c>
      <c r="AO269" s="432">
        <f t="shared" ca="1" si="171"/>
        <v>384</v>
      </c>
      <c r="AP269" s="427" t="str">
        <f t="shared" ca="1" si="172"/>
        <v>-</v>
      </c>
      <c r="AQ269" s="443" t="str">
        <f t="shared" ca="1" si="173"/>
        <v>-</v>
      </c>
      <c r="AR269" s="444" t="str">
        <f t="shared" ca="1" si="174"/>
        <v>-</v>
      </c>
      <c r="AS269" s="430" t="str">
        <f t="shared" ca="1" si="175"/>
        <v>-</v>
      </c>
    </row>
    <row r="270" spans="1:45" ht="14.25" x14ac:dyDescent="0.65">
      <c r="A270" s="407">
        <v>262</v>
      </c>
      <c r="B270" s="408" t="str">
        <f t="shared" ca="1" si="156"/>
        <v/>
      </c>
      <c r="C270" s="408" t="str">
        <f ca="1">IFERROR(IF(G270="","",CONCATENATE(E270,"-",INDEX(Coordinate,MATCH(F270,ListAndConversion!$X$4:$X$99,0),2))),"")</f>
        <v/>
      </c>
      <c r="D270" s="408" t="str">
        <f t="shared" ref="D270:F289" ca="1" si="176">IF((INDIRECT("TrackIT_Lines!"&amp;D$2&amp;$A270))="","", (INDIRECT("TrackIT_Lines!"&amp;D$2&amp;$A270)))</f>
        <v/>
      </c>
      <c r="E270" s="408" t="str">
        <f t="shared" ca="1" si="176"/>
        <v/>
      </c>
      <c r="F270" s="408" t="str">
        <f t="shared" ca="1" si="176"/>
        <v/>
      </c>
      <c r="G270" s="408" t="str">
        <f ca="1">IFERROR(INDEX(ListAndConversion!A:B,MATCH(Calculation!E270,ListAndConversion!A:A,0),2),"")</f>
        <v/>
      </c>
      <c r="H270" s="408" t="str">
        <f>IF(TrackIT_Lines!AD262="","",TrackIT_Lines!AD262)</f>
        <v/>
      </c>
      <c r="I270" s="408" t="str">
        <f>IF(TrackIT_Lines!AD262="","",CONCATENATE(TrackIT_Lines!AD262,"-",TrackIT_Lines!AG262))</f>
        <v/>
      </c>
      <c r="J270" s="409" t="str">
        <f t="shared" ref="J270:Q279" ca="1" si="177">IF((INDIRECT("TrackIT_Lines!"&amp;J$2&amp;$A270))="","", (INDIRECT("TrackIT_Lines!"&amp;J$2&amp;$A270)))</f>
        <v/>
      </c>
      <c r="K270" s="408" t="str">
        <f t="shared" ca="1" si="177"/>
        <v/>
      </c>
      <c r="L270" s="408" t="str">
        <f t="shared" ca="1" si="177"/>
        <v/>
      </c>
      <c r="M270" s="408" t="str">
        <f t="shared" ca="1" si="177"/>
        <v/>
      </c>
      <c r="N270" s="408" t="str">
        <f t="shared" ca="1" si="177"/>
        <v/>
      </c>
      <c r="O270" s="408" t="str">
        <f t="shared" ca="1" si="177"/>
        <v/>
      </c>
      <c r="P270" s="408" t="str">
        <f t="shared" ca="1" si="177"/>
        <v/>
      </c>
      <c r="Q270" s="408" t="str">
        <f t="shared" ca="1" si="177"/>
        <v/>
      </c>
      <c r="R270" s="410" t="str">
        <f ca="1">Cluster!J289</f>
        <v>Selection</v>
      </c>
      <c r="S270" s="411" t="str">
        <f t="shared" ca="1" si="157"/>
        <v>-</v>
      </c>
      <c r="T270" s="412" t="str">
        <f t="shared" ca="1" si="158"/>
        <v/>
      </c>
      <c r="U270" s="411" t="str">
        <f t="shared" ca="1" si="159"/>
        <v>-</v>
      </c>
      <c r="V270" s="411" t="str">
        <f t="shared" ca="1" si="160"/>
        <v>-</v>
      </c>
      <c r="W270" s="413">
        <f>Cluster!N289</f>
        <v>0</v>
      </c>
      <c r="X270" s="414" t="str">
        <f t="shared" ca="1" si="161"/>
        <v>-</v>
      </c>
      <c r="Y270" s="411" t="str">
        <f t="shared" ca="1" si="162"/>
        <v>-</v>
      </c>
      <c r="Z270" s="415" t="str">
        <f t="shared" ca="1" si="163"/>
        <v>-</v>
      </c>
      <c r="AA270" s="416" t="str">
        <f t="shared" ca="1" si="164"/>
        <v>-</v>
      </c>
      <c r="AB270" s="416" t="str">
        <f t="shared" ca="1" si="165"/>
        <v/>
      </c>
      <c r="AC270" s="434">
        <f>Cluster!Q289</f>
        <v>0</v>
      </c>
      <c r="AD270" s="435" t="str">
        <f t="shared" ref="AD270:AE289" ca="1" si="178">IF((INDIRECT("TrackIT_Lines!"&amp;AD$2&amp;$A270))="","", (INDIRECT("TrackIT_Lines!"&amp;AD$2&amp;$A270)))</f>
        <v/>
      </c>
      <c r="AE270" s="436" t="str">
        <f t="shared" ca="1" si="178"/>
        <v/>
      </c>
      <c r="AF270" s="437" t="str">
        <f t="shared" ca="1" si="166"/>
        <v>-</v>
      </c>
      <c r="AG270" s="438" t="str">
        <f t="shared" ca="1" si="167"/>
        <v>-</v>
      </c>
      <c r="AH270" s="437" t="str">
        <f t="shared" ca="1" si="168"/>
        <v>-</v>
      </c>
      <c r="AI270" s="438" t="str">
        <f t="shared" ca="1" si="169"/>
        <v>-</v>
      </c>
      <c r="AJ270" s="438" t="str">
        <f t="shared" ca="1" si="170"/>
        <v>-</v>
      </c>
      <c r="AK270" s="439" t="str">
        <f ca="1">IFERROR(AE270*AD270*AL270/(IF(Cluster!AA289=Cluster!$W$8,Cluster!$W$10,IF(Cluster!AA289=Cluster!$X$8,Cluster!$X$10,IF(Cluster!AA289=Cluster!$Y$8,Cluster!$Y$10,0)))*10^3),"-")</f>
        <v>-</v>
      </c>
      <c r="AL270" s="440" t="str">
        <f ca="1">IFERROR(IF(OR(Calculation!T270&lt;(Calculation!$U$8+2),Calculation!AC270="Bypass"),IF((IF(Calculation!$O$6/((Calculation!AD270*10^-12)/(Calculation!T270*10^-9)*50)&lt;=1,1,ROUNDUP(Calculation!$O$6/((Calculation!AD270*10^-12)/(Calculation!T270*10^-9)*50),0))*50)&lt;Calculation!$AK$6,Calculation!$AK$6,IF(Calculation!$O$6/((Calculation!AD270*10^-12)/(Calculation!T270*10^-9)*50)&lt;=1,1,ROUNDUP(Calculation!$O$6/((Calculation!AD270*10^-12)/(Calculation!T270*10^-9)*50),0))*50),"-"),"-")</f>
        <v>-</v>
      </c>
      <c r="AM270" s="441" t="str">
        <f t="shared" ref="AM270:AN289" ca="1" si="179">IF((INDIRECT("TrackIT_Lines!"&amp;AM$2&amp;$A270))="","", (INDIRECT("TrackIT_Lines!"&amp;AM$2&amp;$A270)))</f>
        <v/>
      </c>
      <c r="AN270" s="442" t="str">
        <f t="shared" ca="1" si="179"/>
        <v/>
      </c>
      <c r="AO270" s="432">
        <f t="shared" ca="1" si="171"/>
        <v>384</v>
      </c>
      <c r="AP270" s="427" t="str">
        <f t="shared" ca="1" si="172"/>
        <v>-</v>
      </c>
      <c r="AQ270" s="443" t="str">
        <f t="shared" ca="1" si="173"/>
        <v>-</v>
      </c>
      <c r="AR270" s="444" t="str">
        <f t="shared" ca="1" si="174"/>
        <v>-</v>
      </c>
      <c r="AS270" s="430" t="str">
        <f t="shared" ca="1" si="175"/>
        <v>-</v>
      </c>
    </row>
    <row r="271" spans="1:45" ht="14.25" x14ac:dyDescent="0.65">
      <c r="A271" s="407">
        <v>263</v>
      </c>
      <c r="B271" s="408" t="str">
        <f t="shared" ca="1" si="156"/>
        <v/>
      </c>
      <c r="C271" s="408" t="str">
        <f ca="1">IFERROR(IF(G271="","",CONCATENATE(E271,"-",INDEX(Coordinate,MATCH(F271,ListAndConversion!$X$4:$X$99,0),2))),"")</f>
        <v/>
      </c>
      <c r="D271" s="408" t="str">
        <f t="shared" ca="1" si="176"/>
        <v/>
      </c>
      <c r="E271" s="408" t="str">
        <f t="shared" ca="1" si="176"/>
        <v/>
      </c>
      <c r="F271" s="408" t="str">
        <f t="shared" ca="1" si="176"/>
        <v/>
      </c>
      <c r="G271" s="408" t="str">
        <f ca="1">IFERROR(INDEX(ListAndConversion!A:B,MATCH(Calculation!E271,ListAndConversion!A:A,0),2),"")</f>
        <v/>
      </c>
      <c r="H271" s="408" t="str">
        <f>IF(TrackIT_Lines!AD263="","",TrackIT_Lines!AD263)</f>
        <v/>
      </c>
      <c r="I271" s="408" t="str">
        <f>IF(TrackIT_Lines!AD263="","",CONCATENATE(TrackIT_Lines!AD263,"-",TrackIT_Lines!AG263))</f>
        <v/>
      </c>
      <c r="J271" s="409" t="str">
        <f t="shared" ca="1" si="177"/>
        <v/>
      </c>
      <c r="K271" s="408" t="str">
        <f t="shared" ca="1" si="177"/>
        <v/>
      </c>
      <c r="L271" s="408" t="str">
        <f t="shared" ca="1" si="177"/>
        <v/>
      </c>
      <c r="M271" s="408" t="str">
        <f t="shared" ca="1" si="177"/>
        <v/>
      </c>
      <c r="N271" s="408" t="str">
        <f t="shared" ca="1" si="177"/>
        <v/>
      </c>
      <c r="O271" s="408" t="str">
        <f t="shared" ca="1" si="177"/>
        <v/>
      </c>
      <c r="P271" s="408" t="str">
        <f t="shared" ca="1" si="177"/>
        <v/>
      </c>
      <c r="Q271" s="408" t="str">
        <f t="shared" ca="1" si="177"/>
        <v/>
      </c>
      <c r="R271" s="410" t="str">
        <f ca="1">Cluster!J290</f>
        <v>Selection</v>
      </c>
      <c r="S271" s="411" t="str">
        <f t="shared" ca="1" si="157"/>
        <v>-</v>
      </c>
      <c r="T271" s="412" t="str">
        <f t="shared" ca="1" si="158"/>
        <v/>
      </c>
      <c r="U271" s="411" t="str">
        <f t="shared" ca="1" si="159"/>
        <v>-</v>
      </c>
      <c r="V271" s="411" t="str">
        <f t="shared" ca="1" si="160"/>
        <v>-</v>
      </c>
      <c r="W271" s="413">
        <f>Cluster!N290</f>
        <v>0</v>
      </c>
      <c r="X271" s="414" t="str">
        <f t="shared" ca="1" si="161"/>
        <v>-</v>
      </c>
      <c r="Y271" s="411" t="str">
        <f t="shared" ca="1" si="162"/>
        <v>-</v>
      </c>
      <c r="Z271" s="415" t="str">
        <f t="shared" ca="1" si="163"/>
        <v>-</v>
      </c>
      <c r="AA271" s="416" t="str">
        <f t="shared" ca="1" si="164"/>
        <v>-</v>
      </c>
      <c r="AB271" s="416" t="str">
        <f t="shared" ca="1" si="165"/>
        <v/>
      </c>
      <c r="AC271" s="434">
        <f>Cluster!Q290</f>
        <v>0</v>
      </c>
      <c r="AD271" s="435" t="str">
        <f t="shared" ca="1" si="178"/>
        <v/>
      </c>
      <c r="AE271" s="436" t="str">
        <f t="shared" ca="1" si="178"/>
        <v/>
      </c>
      <c r="AF271" s="437" t="str">
        <f t="shared" ca="1" si="166"/>
        <v>-</v>
      </c>
      <c r="AG271" s="438" t="str">
        <f t="shared" ca="1" si="167"/>
        <v>-</v>
      </c>
      <c r="AH271" s="437" t="str">
        <f t="shared" ca="1" si="168"/>
        <v>-</v>
      </c>
      <c r="AI271" s="438" t="str">
        <f t="shared" ca="1" si="169"/>
        <v>-</v>
      </c>
      <c r="AJ271" s="438" t="str">
        <f t="shared" ca="1" si="170"/>
        <v>-</v>
      </c>
      <c r="AK271" s="439" t="str">
        <f ca="1">IFERROR(AE271*AD271*AL271/(IF(Cluster!AA290=Cluster!$W$8,Cluster!$W$10,IF(Cluster!AA290=Cluster!$X$8,Cluster!$X$10,IF(Cluster!AA290=Cluster!$Y$8,Cluster!$Y$10,0)))*10^3),"-")</f>
        <v>-</v>
      </c>
      <c r="AL271" s="440" t="str">
        <f ca="1">IFERROR(IF(OR(Calculation!T271&lt;(Calculation!$U$8+2),Calculation!AC271="Bypass"),IF((IF(Calculation!$O$6/((Calculation!AD271*10^-12)/(Calculation!T271*10^-9)*50)&lt;=1,1,ROUNDUP(Calculation!$O$6/((Calculation!AD271*10^-12)/(Calculation!T271*10^-9)*50),0))*50)&lt;Calculation!$AK$6,Calculation!$AK$6,IF(Calculation!$O$6/((Calculation!AD271*10^-12)/(Calculation!T271*10^-9)*50)&lt;=1,1,ROUNDUP(Calculation!$O$6/((Calculation!AD271*10^-12)/(Calculation!T271*10^-9)*50),0))*50),"-"),"-")</f>
        <v>-</v>
      </c>
      <c r="AM271" s="441" t="str">
        <f t="shared" ca="1" si="179"/>
        <v/>
      </c>
      <c r="AN271" s="442" t="str">
        <f t="shared" ca="1" si="179"/>
        <v/>
      </c>
      <c r="AO271" s="432">
        <f t="shared" ca="1" si="171"/>
        <v>384</v>
      </c>
      <c r="AP271" s="427" t="str">
        <f t="shared" ca="1" si="172"/>
        <v>-</v>
      </c>
      <c r="AQ271" s="443" t="str">
        <f t="shared" ca="1" si="173"/>
        <v>-</v>
      </c>
      <c r="AR271" s="444" t="str">
        <f t="shared" ca="1" si="174"/>
        <v>-</v>
      </c>
      <c r="AS271" s="430" t="str">
        <f t="shared" ca="1" si="175"/>
        <v>-</v>
      </c>
    </row>
    <row r="272" spans="1:45" ht="14.25" x14ac:dyDescent="0.65">
      <c r="A272" s="407">
        <v>264</v>
      </c>
      <c r="B272" s="408" t="str">
        <f t="shared" ca="1" si="156"/>
        <v/>
      </c>
      <c r="C272" s="408" t="str">
        <f ca="1">IFERROR(IF(G272="","",CONCATENATE(E272,"-",INDEX(Coordinate,MATCH(F272,ListAndConversion!$X$4:$X$99,0),2))),"")</f>
        <v/>
      </c>
      <c r="D272" s="408" t="str">
        <f t="shared" ca="1" si="176"/>
        <v/>
      </c>
      <c r="E272" s="408" t="str">
        <f t="shared" ca="1" si="176"/>
        <v/>
      </c>
      <c r="F272" s="408" t="str">
        <f t="shared" ca="1" si="176"/>
        <v/>
      </c>
      <c r="G272" s="408" t="str">
        <f ca="1">IFERROR(INDEX(ListAndConversion!A:B,MATCH(Calculation!E272,ListAndConversion!A:A,0),2),"")</f>
        <v/>
      </c>
      <c r="H272" s="408" t="str">
        <f>IF(TrackIT_Lines!AD264="","",TrackIT_Lines!AD264)</f>
        <v/>
      </c>
      <c r="I272" s="408" t="str">
        <f>IF(TrackIT_Lines!AD264="","",CONCATENATE(TrackIT_Lines!AD264,"-",TrackIT_Lines!AG264))</f>
        <v/>
      </c>
      <c r="J272" s="409" t="str">
        <f t="shared" ca="1" si="177"/>
        <v/>
      </c>
      <c r="K272" s="408" t="str">
        <f t="shared" ca="1" si="177"/>
        <v/>
      </c>
      <c r="L272" s="408" t="str">
        <f t="shared" ca="1" si="177"/>
        <v/>
      </c>
      <c r="M272" s="408" t="str">
        <f t="shared" ca="1" si="177"/>
        <v/>
      </c>
      <c r="N272" s="408" t="str">
        <f t="shared" ca="1" si="177"/>
        <v/>
      </c>
      <c r="O272" s="408" t="str">
        <f t="shared" ca="1" si="177"/>
        <v/>
      </c>
      <c r="P272" s="408" t="str">
        <f t="shared" ca="1" si="177"/>
        <v/>
      </c>
      <c r="Q272" s="408" t="str">
        <f t="shared" ca="1" si="177"/>
        <v/>
      </c>
      <c r="R272" s="410" t="str">
        <f ca="1">Cluster!J291</f>
        <v>Selection</v>
      </c>
      <c r="S272" s="411" t="str">
        <f t="shared" ca="1" si="157"/>
        <v>-</v>
      </c>
      <c r="T272" s="412" t="str">
        <f t="shared" ca="1" si="158"/>
        <v/>
      </c>
      <c r="U272" s="411" t="str">
        <f t="shared" ca="1" si="159"/>
        <v>-</v>
      </c>
      <c r="V272" s="411" t="str">
        <f t="shared" ca="1" si="160"/>
        <v>-</v>
      </c>
      <c r="W272" s="413">
        <f>Cluster!N291</f>
        <v>0</v>
      </c>
      <c r="X272" s="414" t="str">
        <f t="shared" ca="1" si="161"/>
        <v>-</v>
      </c>
      <c r="Y272" s="411" t="str">
        <f t="shared" ca="1" si="162"/>
        <v>-</v>
      </c>
      <c r="Z272" s="415" t="str">
        <f t="shared" ca="1" si="163"/>
        <v>-</v>
      </c>
      <c r="AA272" s="416" t="str">
        <f t="shared" ca="1" si="164"/>
        <v>-</v>
      </c>
      <c r="AB272" s="416" t="str">
        <f t="shared" ca="1" si="165"/>
        <v/>
      </c>
      <c r="AC272" s="434">
        <f>Cluster!Q291</f>
        <v>0</v>
      </c>
      <c r="AD272" s="435" t="str">
        <f t="shared" ca="1" si="178"/>
        <v/>
      </c>
      <c r="AE272" s="436" t="str">
        <f t="shared" ca="1" si="178"/>
        <v/>
      </c>
      <c r="AF272" s="437" t="str">
        <f t="shared" ca="1" si="166"/>
        <v>-</v>
      </c>
      <c r="AG272" s="438" t="str">
        <f t="shared" ca="1" si="167"/>
        <v>-</v>
      </c>
      <c r="AH272" s="437" t="str">
        <f t="shared" ca="1" si="168"/>
        <v>-</v>
      </c>
      <c r="AI272" s="438" t="str">
        <f t="shared" ca="1" si="169"/>
        <v>-</v>
      </c>
      <c r="AJ272" s="438" t="str">
        <f t="shared" ca="1" si="170"/>
        <v>-</v>
      </c>
      <c r="AK272" s="439" t="str">
        <f ca="1">IFERROR(AE272*AD272*AL272/(IF(Cluster!AA291=Cluster!$W$8,Cluster!$W$10,IF(Cluster!AA291=Cluster!$X$8,Cluster!$X$10,IF(Cluster!AA291=Cluster!$Y$8,Cluster!$Y$10,0)))*10^3),"-")</f>
        <v>-</v>
      </c>
      <c r="AL272" s="440" t="str">
        <f ca="1">IFERROR(IF(OR(Calculation!T272&lt;(Calculation!$U$8+2),Calculation!AC272="Bypass"),IF((IF(Calculation!$O$6/((Calculation!AD272*10^-12)/(Calculation!T272*10^-9)*50)&lt;=1,1,ROUNDUP(Calculation!$O$6/((Calculation!AD272*10^-12)/(Calculation!T272*10^-9)*50),0))*50)&lt;Calculation!$AK$6,Calculation!$AK$6,IF(Calculation!$O$6/((Calculation!AD272*10^-12)/(Calculation!T272*10^-9)*50)&lt;=1,1,ROUNDUP(Calculation!$O$6/((Calculation!AD272*10^-12)/(Calculation!T272*10^-9)*50),0))*50),"-"),"-")</f>
        <v>-</v>
      </c>
      <c r="AM272" s="441" t="str">
        <f t="shared" ca="1" si="179"/>
        <v/>
      </c>
      <c r="AN272" s="442" t="str">
        <f t="shared" ca="1" si="179"/>
        <v/>
      </c>
      <c r="AO272" s="432">
        <f t="shared" ca="1" si="171"/>
        <v>384</v>
      </c>
      <c r="AP272" s="427" t="str">
        <f t="shared" ca="1" si="172"/>
        <v>-</v>
      </c>
      <c r="AQ272" s="443" t="str">
        <f t="shared" ca="1" si="173"/>
        <v>-</v>
      </c>
      <c r="AR272" s="444" t="str">
        <f t="shared" ca="1" si="174"/>
        <v>-</v>
      </c>
      <c r="AS272" s="430" t="str">
        <f t="shared" ca="1" si="175"/>
        <v>-</v>
      </c>
    </row>
    <row r="273" spans="1:45" ht="14.25" x14ac:dyDescent="0.65">
      <c r="A273" s="407">
        <v>265</v>
      </c>
      <c r="B273" s="408" t="str">
        <f t="shared" ca="1" si="156"/>
        <v/>
      </c>
      <c r="C273" s="408" t="str">
        <f ca="1">IFERROR(IF(G273="","",CONCATENATE(E273,"-",INDEX(Coordinate,MATCH(F273,ListAndConversion!$X$4:$X$99,0),2))),"")</f>
        <v/>
      </c>
      <c r="D273" s="408" t="str">
        <f t="shared" ca="1" si="176"/>
        <v/>
      </c>
      <c r="E273" s="408" t="str">
        <f t="shared" ca="1" si="176"/>
        <v/>
      </c>
      <c r="F273" s="408" t="str">
        <f t="shared" ca="1" si="176"/>
        <v/>
      </c>
      <c r="G273" s="408" t="str">
        <f ca="1">IFERROR(INDEX(ListAndConversion!A:B,MATCH(Calculation!E273,ListAndConversion!A:A,0),2),"")</f>
        <v/>
      </c>
      <c r="H273" s="408" t="str">
        <f>IF(TrackIT_Lines!AD265="","",TrackIT_Lines!AD265)</f>
        <v/>
      </c>
      <c r="I273" s="408" t="str">
        <f>IF(TrackIT_Lines!AD265="","",CONCATENATE(TrackIT_Lines!AD265,"-",TrackIT_Lines!AG265))</f>
        <v/>
      </c>
      <c r="J273" s="409" t="str">
        <f t="shared" ca="1" si="177"/>
        <v/>
      </c>
      <c r="K273" s="408" t="str">
        <f t="shared" ca="1" si="177"/>
        <v/>
      </c>
      <c r="L273" s="408" t="str">
        <f t="shared" ca="1" si="177"/>
        <v/>
      </c>
      <c r="M273" s="408" t="str">
        <f t="shared" ca="1" si="177"/>
        <v/>
      </c>
      <c r="N273" s="408" t="str">
        <f t="shared" ca="1" si="177"/>
        <v/>
      </c>
      <c r="O273" s="408" t="str">
        <f t="shared" ca="1" si="177"/>
        <v/>
      </c>
      <c r="P273" s="408" t="str">
        <f t="shared" ca="1" si="177"/>
        <v/>
      </c>
      <c r="Q273" s="408" t="str">
        <f t="shared" ca="1" si="177"/>
        <v/>
      </c>
      <c r="R273" s="410" t="str">
        <f ca="1">Cluster!J292</f>
        <v>Selection</v>
      </c>
      <c r="S273" s="411" t="str">
        <f t="shared" ca="1" si="157"/>
        <v>-</v>
      </c>
      <c r="T273" s="412" t="str">
        <f t="shared" ca="1" si="158"/>
        <v/>
      </c>
      <c r="U273" s="411" t="str">
        <f t="shared" ca="1" si="159"/>
        <v>-</v>
      </c>
      <c r="V273" s="411" t="str">
        <f t="shared" ca="1" si="160"/>
        <v>-</v>
      </c>
      <c r="W273" s="413">
        <f>Cluster!N292</f>
        <v>0</v>
      </c>
      <c r="X273" s="414" t="str">
        <f t="shared" ca="1" si="161"/>
        <v>-</v>
      </c>
      <c r="Y273" s="411" t="str">
        <f t="shared" ca="1" si="162"/>
        <v>-</v>
      </c>
      <c r="Z273" s="415" t="str">
        <f t="shared" ca="1" si="163"/>
        <v>-</v>
      </c>
      <c r="AA273" s="416" t="str">
        <f t="shared" ca="1" si="164"/>
        <v>-</v>
      </c>
      <c r="AB273" s="416" t="str">
        <f t="shared" ca="1" si="165"/>
        <v/>
      </c>
      <c r="AC273" s="434">
        <f>Cluster!Q292</f>
        <v>0</v>
      </c>
      <c r="AD273" s="435" t="str">
        <f t="shared" ca="1" si="178"/>
        <v/>
      </c>
      <c r="AE273" s="436" t="str">
        <f t="shared" ca="1" si="178"/>
        <v/>
      </c>
      <c r="AF273" s="437" t="str">
        <f t="shared" ca="1" si="166"/>
        <v>-</v>
      </c>
      <c r="AG273" s="438" t="str">
        <f t="shared" ca="1" si="167"/>
        <v>-</v>
      </c>
      <c r="AH273" s="437" t="str">
        <f t="shared" ca="1" si="168"/>
        <v>-</v>
      </c>
      <c r="AI273" s="438" t="str">
        <f t="shared" ca="1" si="169"/>
        <v>-</v>
      </c>
      <c r="AJ273" s="438" t="str">
        <f t="shared" ca="1" si="170"/>
        <v>-</v>
      </c>
      <c r="AK273" s="439" t="str">
        <f ca="1">IFERROR(AE273*AD273*AL273/(IF(Cluster!AA292=Cluster!$W$8,Cluster!$W$10,IF(Cluster!AA292=Cluster!$X$8,Cluster!$X$10,IF(Cluster!AA292=Cluster!$Y$8,Cluster!$Y$10,0)))*10^3),"-")</f>
        <v>-</v>
      </c>
      <c r="AL273" s="440" t="str">
        <f ca="1">IFERROR(IF(OR(Calculation!T273&lt;(Calculation!$U$8+2),Calculation!AC273="Bypass"),IF((IF(Calculation!$O$6/((Calculation!AD273*10^-12)/(Calculation!T273*10^-9)*50)&lt;=1,1,ROUNDUP(Calculation!$O$6/((Calculation!AD273*10^-12)/(Calculation!T273*10^-9)*50),0))*50)&lt;Calculation!$AK$6,Calculation!$AK$6,IF(Calculation!$O$6/((Calculation!AD273*10^-12)/(Calculation!T273*10^-9)*50)&lt;=1,1,ROUNDUP(Calculation!$O$6/((Calculation!AD273*10^-12)/(Calculation!T273*10^-9)*50),0))*50),"-"),"-")</f>
        <v>-</v>
      </c>
      <c r="AM273" s="441" t="str">
        <f t="shared" ca="1" si="179"/>
        <v/>
      </c>
      <c r="AN273" s="442" t="str">
        <f t="shared" ca="1" si="179"/>
        <v/>
      </c>
      <c r="AO273" s="432">
        <f t="shared" ca="1" si="171"/>
        <v>384</v>
      </c>
      <c r="AP273" s="427" t="str">
        <f t="shared" ca="1" si="172"/>
        <v>-</v>
      </c>
      <c r="AQ273" s="443" t="str">
        <f t="shared" ca="1" si="173"/>
        <v>-</v>
      </c>
      <c r="AR273" s="444" t="str">
        <f t="shared" ca="1" si="174"/>
        <v>-</v>
      </c>
      <c r="AS273" s="430" t="str">
        <f t="shared" ca="1" si="175"/>
        <v>-</v>
      </c>
    </row>
    <row r="274" spans="1:45" ht="14.25" x14ac:dyDescent="0.65">
      <c r="A274" s="407">
        <v>266</v>
      </c>
      <c r="B274" s="408" t="str">
        <f t="shared" ca="1" si="156"/>
        <v/>
      </c>
      <c r="C274" s="408" t="str">
        <f ca="1">IFERROR(IF(G274="","",CONCATENATE(E274,"-",INDEX(Coordinate,MATCH(F274,ListAndConversion!$X$4:$X$99,0),2))),"")</f>
        <v/>
      </c>
      <c r="D274" s="408" t="str">
        <f t="shared" ca="1" si="176"/>
        <v/>
      </c>
      <c r="E274" s="408" t="str">
        <f t="shared" ca="1" si="176"/>
        <v/>
      </c>
      <c r="F274" s="408" t="str">
        <f t="shared" ca="1" si="176"/>
        <v/>
      </c>
      <c r="G274" s="408" t="str">
        <f ca="1">IFERROR(INDEX(ListAndConversion!A:B,MATCH(Calculation!E274,ListAndConversion!A:A,0),2),"")</f>
        <v/>
      </c>
      <c r="H274" s="408" t="str">
        <f>IF(TrackIT_Lines!AD266="","",TrackIT_Lines!AD266)</f>
        <v/>
      </c>
      <c r="I274" s="408" t="str">
        <f>IF(TrackIT_Lines!AD266="","",CONCATENATE(TrackIT_Lines!AD266,"-",TrackIT_Lines!AG266))</f>
        <v/>
      </c>
      <c r="J274" s="409" t="str">
        <f t="shared" ca="1" si="177"/>
        <v/>
      </c>
      <c r="K274" s="408" t="str">
        <f t="shared" ca="1" si="177"/>
        <v/>
      </c>
      <c r="L274" s="408" t="str">
        <f t="shared" ca="1" si="177"/>
        <v/>
      </c>
      <c r="M274" s="408" t="str">
        <f t="shared" ca="1" si="177"/>
        <v/>
      </c>
      <c r="N274" s="408" t="str">
        <f t="shared" ca="1" si="177"/>
        <v/>
      </c>
      <c r="O274" s="408" t="str">
        <f t="shared" ca="1" si="177"/>
        <v/>
      </c>
      <c r="P274" s="408" t="str">
        <f t="shared" ca="1" si="177"/>
        <v/>
      </c>
      <c r="Q274" s="408" t="str">
        <f t="shared" ca="1" si="177"/>
        <v/>
      </c>
      <c r="R274" s="410" t="str">
        <f ca="1">Cluster!J293</f>
        <v>Selection</v>
      </c>
      <c r="S274" s="411" t="str">
        <f t="shared" ca="1" si="157"/>
        <v>-</v>
      </c>
      <c r="T274" s="412" t="str">
        <f t="shared" ca="1" si="158"/>
        <v/>
      </c>
      <c r="U274" s="411" t="str">
        <f t="shared" ca="1" si="159"/>
        <v>-</v>
      </c>
      <c r="V274" s="411" t="str">
        <f t="shared" ca="1" si="160"/>
        <v>-</v>
      </c>
      <c r="W274" s="413">
        <f>Cluster!N293</f>
        <v>0</v>
      </c>
      <c r="X274" s="414" t="str">
        <f t="shared" ca="1" si="161"/>
        <v>-</v>
      </c>
      <c r="Y274" s="411" t="str">
        <f t="shared" ca="1" si="162"/>
        <v>-</v>
      </c>
      <c r="Z274" s="415" t="str">
        <f t="shared" ca="1" si="163"/>
        <v>-</v>
      </c>
      <c r="AA274" s="416" t="str">
        <f t="shared" ca="1" si="164"/>
        <v>-</v>
      </c>
      <c r="AB274" s="416" t="str">
        <f t="shared" ca="1" si="165"/>
        <v/>
      </c>
      <c r="AC274" s="434">
        <f>Cluster!Q293</f>
        <v>0</v>
      </c>
      <c r="AD274" s="435" t="str">
        <f t="shared" ca="1" si="178"/>
        <v/>
      </c>
      <c r="AE274" s="436" t="str">
        <f t="shared" ca="1" si="178"/>
        <v/>
      </c>
      <c r="AF274" s="437" t="str">
        <f t="shared" ca="1" si="166"/>
        <v>-</v>
      </c>
      <c r="AG274" s="438" t="str">
        <f t="shared" ca="1" si="167"/>
        <v>-</v>
      </c>
      <c r="AH274" s="437" t="str">
        <f t="shared" ca="1" si="168"/>
        <v>-</v>
      </c>
      <c r="AI274" s="438" t="str">
        <f t="shared" ca="1" si="169"/>
        <v>-</v>
      </c>
      <c r="AJ274" s="438" t="str">
        <f t="shared" ca="1" si="170"/>
        <v>-</v>
      </c>
      <c r="AK274" s="439" t="str">
        <f ca="1">IFERROR(AE274*AD274*AL274/(IF(Cluster!AA293=Cluster!$W$8,Cluster!$W$10,IF(Cluster!AA293=Cluster!$X$8,Cluster!$X$10,IF(Cluster!AA293=Cluster!$Y$8,Cluster!$Y$10,0)))*10^3),"-")</f>
        <v>-</v>
      </c>
      <c r="AL274" s="440" t="str">
        <f ca="1">IFERROR(IF(OR(Calculation!T274&lt;(Calculation!$U$8+2),Calculation!AC274="Bypass"),IF((IF(Calculation!$O$6/((Calculation!AD274*10^-12)/(Calculation!T274*10^-9)*50)&lt;=1,1,ROUNDUP(Calculation!$O$6/((Calculation!AD274*10^-12)/(Calculation!T274*10^-9)*50),0))*50)&lt;Calculation!$AK$6,Calculation!$AK$6,IF(Calculation!$O$6/((Calculation!AD274*10^-12)/(Calculation!T274*10^-9)*50)&lt;=1,1,ROUNDUP(Calculation!$O$6/((Calculation!AD274*10^-12)/(Calculation!T274*10^-9)*50),0))*50),"-"),"-")</f>
        <v>-</v>
      </c>
      <c r="AM274" s="441" t="str">
        <f t="shared" ca="1" si="179"/>
        <v/>
      </c>
      <c r="AN274" s="442" t="str">
        <f t="shared" ca="1" si="179"/>
        <v/>
      </c>
      <c r="AO274" s="432">
        <f t="shared" ca="1" si="171"/>
        <v>384</v>
      </c>
      <c r="AP274" s="427" t="str">
        <f t="shared" ca="1" si="172"/>
        <v>-</v>
      </c>
      <c r="AQ274" s="443" t="str">
        <f t="shared" ca="1" si="173"/>
        <v>-</v>
      </c>
      <c r="AR274" s="444" t="str">
        <f t="shared" ca="1" si="174"/>
        <v>-</v>
      </c>
      <c r="AS274" s="430" t="str">
        <f t="shared" ca="1" si="175"/>
        <v>-</v>
      </c>
    </row>
    <row r="275" spans="1:45" ht="14.25" x14ac:dyDescent="0.65">
      <c r="A275" s="407">
        <v>267</v>
      </c>
      <c r="B275" s="408" t="str">
        <f t="shared" ca="1" si="156"/>
        <v/>
      </c>
      <c r="C275" s="408" t="str">
        <f ca="1">IFERROR(IF(G275="","",CONCATENATE(E275,"-",INDEX(Coordinate,MATCH(F275,ListAndConversion!$X$4:$X$99,0),2))),"")</f>
        <v/>
      </c>
      <c r="D275" s="408" t="str">
        <f t="shared" ca="1" si="176"/>
        <v/>
      </c>
      <c r="E275" s="408" t="str">
        <f t="shared" ca="1" si="176"/>
        <v/>
      </c>
      <c r="F275" s="408" t="str">
        <f t="shared" ca="1" si="176"/>
        <v/>
      </c>
      <c r="G275" s="408" t="str">
        <f ca="1">IFERROR(INDEX(ListAndConversion!A:B,MATCH(Calculation!E275,ListAndConversion!A:A,0),2),"")</f>
        <v/>
      </c>
      <c r="H275" s="408" t="str">
        <f>IF(TrackIT_Lines!AD267="","",TrackIT_Lines!AD267)</f>
        <v/>
      </c>
      <c r="I275" s="408" t="str">
        <f>IF(TrackIT_Lines!AD267="","",CONCATENATE(TrackIT_Lines!AD267,"-",TrackIT_Lines!AG267))</f>
        <v/>
      </c>
      <c r="J275" s="409" t="str">
        <f t="shared" ca="1" si="177"/>
        <v/>
      </c>
      <c r="K275" s="408" t="str">
        <f t="shared" ca="1" si="177"/>
        <v/>
      </c>
      <c r="L275" s="408" t="str">
        <f t="shared" ca="1" si="177"/>
        <v/>
      </c>
      <c r="M275" s="408" t="str">
        <f t="shared" ca="1" si="177"/>
        <v/>
      </c>
      <c r="N275" s="408" t="str">
        <f t="shared" ca="1" si="177"/>
        <v/>
      </c>
      <c r="O275" s="408" t="str">
        <f t="shared" ca="1" si="177"/>
        <v/>
      </c>
      <c r="P275" s="408" t="str">
        <f t="shared" ca="1" si="177"/>
        <v/>
      </c>
      <c r="Q275" s="408" t="str">
        <f t="shared" ca="1" si="177"/>
        <v/>
      </c>
      <c r="R275" s="410" t="str">
        <f ca="1">Cluster!J294</f>
        <v>Selection</v>
      </c>
      <c r="S275" s="411" t="str">
        <f t="shared" ca="1" si="157"/>
        <v>-</v>
      </c>
      <c r="T275" s="412" t="str">
        <f t="shared" ca="1" si="158"/>
        <v/>
      </c>
      <c r="U275" s="411" t="str">
        <f t="shared" ca="1" si="159"/>
        <v>-</v>
      </c>
      <c r="V275" s="411" t="str">
        <f t="shared" ca="1" si="160"/>
        <v>-</v>
      </c>
      <c r="W275" s="413">
        <f>Cluster!N294</f>
        <v>0</v>
      </c>
      <c r="X275" s="414" t="str">
        <f t="shared" ca="1" si="161"/>
        <v>-</v>
      </c>
      <c r="Y275" s="411" t="str">
        <f t="shared" ca="1" si="162"/>
        <v>-</v>
      </c>
      <c r="Z275" s="415" t="str">
        <f t="shared" ca="1" si="163"/>
        <v>-</v>
      </c>
      <c r="AA275" s="416" t="str">
        <f t="shared" ca="1" si="164"/>
        <v>-</v>
      </c>
      <c r="AB275" s="416" t="str">
        <f t="shared" ca="1" si="165"/>
        <v/>
      </c>
      <c r="AC275" s="434">
        <f>Cluster!Q294</f>
        <v>0</v>
      </c>
      <c r="AD275" s="435" t="str">
        <f t="shared" ca="1" si="178"/>
        <v/>
      </c>
      <c r="AE275" s="436" t="str">
        <f t="shared" ca="1" si="178"/>
        <v/>
      </c>
      <c r="AF275" s="437" t="str">
        <f t="shared" ca="1" si="166"/>
        <v>-</v>
      </c>
      <c r="AG275" s="438" t="str">
        <f t="shared" ca="1" si="167"/>
        <v>-</v>
      </c>
      <c r="AH275" s="437" t="str">
        <f t="shared" ca="1" si="168"/>
        <v>-</v>
      </c>
      <c r="AI275" s="438" t="str">
        <f t="shared" ca="1" si="169"/>
        <v>-</v>
      </c>
      <c r="AJ275" s="438" t="str">
        <f t="shared" ca="1" si="170"/>
        <v>-</v>
      </c>
      <c r="AK275" s="439" t="str">
        <f ca="1">IFERROR(AE275*AD275*AL275/(IF(Cluster!AA294=Cluster!$W$8,Cluster!$W$10,IF(Cluster!AA294=Cluster!$X$8,Cluster!$X$10,IF(Cluster!AA294=Cluster!$Y$8,Cluster!$Y$10,0)))*10^3),"-")</f>
        <v>-</v>
      </c>
      <c r="AL275" s="440" t="str">
        <f ca="1">IFERROR(IF(OR(Calculation!T275&lt;(Calculation!$U$8+2),Calculation!AC275="Bypass"),IF((IF(Calculation!$O$6/((Calculation!AD275*10^-12)/(Calculation!T275*10^-9)*50)&lt;=1,1,ROUNDUP(Calculation!$O$6/((Calculation!AD275*10^-12)/(Calculation!T275*10^-9)*50),0))*50)&lt;Calculation!$AK$6,Calculation!$AK$6,IF(Calculation!$O$6/((Calculation!AD275*10^-12)/(Calculation!T275*10^-9)*50)&lt;=1,1,ROUNDUP(Calculation!$O$6/((Calculation!AD275*10^-12)/(Calculation!T275*10^-9)*50),0))*50),"-"),"-")</f>
        <v>-</v>
      </c>
      <c r="AM275" s="441" t="str">
        <f t="shared" ca="1" si="179"/>
        <v/>
      </c>
      <c r="AN275" s="442" t="str">
        <f t="shared" ca="1" si="179"/>
        <v/>
      </c>
      <c r="AO275" s="432">
        <f t="shared" ca="1" si="171"/>
        <v>384</v>
      </c>
      <c r="AP275" s="427" t="str">
        <f t="shared" ca="1" si="172"/>
        <v>-</v>
      </c>
      <c r="AQ275" s="443" t="str">
        <f t="shared" ca="1" si="173"/>
        <v>-</v>
      </c>
      <c r="AR275" s="444" t="str">
        <f t="shared" ca="1" si="174"/>
        <v>-</v>
      </c>
      <c r="AS275" s="430" t="str">
        <f t="shared" ca="1" si="175"/>
        <v>-</v>
      </c>
    </row>
    <row r="276" spans="1:45" ht="14.25" x14ac:dyDescent="0.65">
      <c r="A276" s="407">
        <v>268</v>
      </c>
      <c r="B276" s="408" t="str">
        <f t="shared" ca="1" si="156"/>
        <v/>
      </c>
      <c r="C276" s="408" t="str">
        <f ca="1">IFERROR(IF(G276="","",CONCATENATE(E276,"-",INDEX(Coordinate,MATCH(F276,ListAndConversion!$X$4:$X$99,0),2))),"")</f>
        <v/>
      </c>
      <c r="D276" s="408" t="str">
        <f t="shared" ca="1" si="176"/>
        <v/>
      </c>
      <c r="E276" s="408" t="str">
        <f t="shared" ca="1" si="176"/>
        <v/>
      </c>
      <c r="F276" s="408" t="str">
        <f t="shared" ca="1" si="176"/>
        <v/>
      </c>
      <c r="G276" s="408" t="str">
        <f ca="1">IFERROR(INDEX(ListAndConversion!A:B,MATCH(Calculation!E276,ListAndConversion!A:A,0),2),"")</f>
        <v/>
      </c>
      <c r="H276" s="408" t="str">
        <f>IF(TrackIT_Lines!AD268="","",TrackIT_Lines!AD268)</f>
        <v/>
      </c>
      <c r="I276" s="408" t="str">
        <f>IF(TrackIT_Lines!AD268="","",CONCATENATE(TrackIT_Lines!AD268,"-",TrackIT_Lines!AG268))</f>
        <v/>
      </c>
      <c r="J276" s="409" t="str">
        <f t="shared" ca="1" si="177"/>
        <v/>
      </c>
      <c r="K276" s="408" t="str">
        <f t="shared" ca="1" si="177"/>
        <v/>
      </c>
      <c r="L276" s="408" t="str">
        <f t="shared" ca="1" si="177"/>
        <v/>
      </c>
      <c r="M276" s="408" t="str">
        <f t="shared" ca="1" si="177"/>
        <v/>
      </c>
      <c r="N276" s="408" t="str">
        <f t="shared" ca="1" si="177"/>
        <v/>
      </c>
      <c r="O276" s="408" t="str">
        <f t="shared" ca="1" si="177"/>
        <v/>
      </c>
      <c r="P276" s="408" t="str">
        <f t="shared" ca="1" si="177"/>
        <v/>
      </c>
      <c r="Q276" s="408" t="str">
        <f t="shared" ca="1" si="177"/>
        <v/>
      </c>
      <c r="R276" s="410" t="str">
        <f ca="1">Cluster!J295</f>
        <v>Selection</v>
      </c>
      <c r="S276" s="411" t="str">
        <f t="shared" ca="1" si="157"/>
        <v>-</v>
      </c>
      <c r="T276" s="412" t="str">
        <f t="shared" ca="1" si="158"/>
        <v/>
      </c>
      <c r="U276" s="411" t="str">
        <f t="shared" ca="1" si="159"/>
        <v>-</v>
      </c>
      <c r="V276" s="411" t="str">
        <f t="shared" ca="1" si="160"/>
        <v>-</v>
      </c>
      <c r="W276" s="413">
        <f>Cluster!N295</f>
        <v>0</v>
      </c>
      <c r="X276" s="414" t="str">
        <f t="shared" ca="1" si="161"/>
        <v>-</v>
      </c>
      <c r="Y276" s="411" t="str">
        <f t="shared" ca="1" si="162"/>
        <v>-</v>
      </c>
      <c r="Z276" s="415" t="str">
        <f t="shared" ca="1" si="163"/>
        <v>-</v>
      </c>
      <c r="AA276" s="416" t="str">
        <f t="shared" ca="1" si="164"/>
        <v>-</v>
      </c>
      <c r="AB276" s="416" t="str">
        <f t="shared" ca="1" si="165"/>
        <v/>
      </c>
      <c r="AC276" s="434">
        <f>Cluster!Q295</f>
        <v>0</v>
      </c>
      <c r="AD276" s="435" t="str">
        <f t="shared" ca="1" si="178"/>
        <v/>
      </c>
      <c r="AE276" s="436" t="str">
        <f t="shared" ca="1" si="178"/>
        <v/>
      </c>
      <c r="AF276" s="437" t="str">
        <f t="shared" ca="1" si="166"/>
        <v>-</v>
      </c>
      <c r="AG276" s="438" t="str">
        <f t="shared" ca="1" si="167"/>
        <v>-</v>
      </c>
      <c r="AH276" s="437" t="str">
        <f t="shared" ca="1" si="168"/>
        <v>-</v>
      </c>
      <c r="AI276" s="438" t="str">
        <f t="shared" ca="1" si="169"/>
        <v>-</v>
      </c>
      <c r="AJ276" s="438" t="str">
        <f t="shared" ca="1" si="170"/>
        <v>-</v>
      </c>
      <c r="AK276" s="439" t="str">
        <f ca="1">IFERROR(AE276*AD276*AL276/(IF(Cluster!AA295=Cluster!$W$8,Cluster!$W$10,IF(Cluster!AA295=Cluster!$X$8,Cluster!$X$10,IF(Cluster!AA295=Cluster!$Y$8,Cluster!$Y$10,0)))*10^3),"-")</f>
        <v>-</v>
      </c>
      <c r="AL276" s="440" t="str">
        <f ca="1">IFERROR(IF(OR(Calculation!T276&lt;(Calculation!$U$8+2),Calculation!AC276="Bypass"),IF((IF(Calculation!$O$6/((Calculation!AD276*10^-12)/(Calculation!T276*10^-9)*50)&lt;=1,1,ROUNDUP(Calculation!$O$6/((Calculation!AD276*10^-12)/(Calculation!T276*10^-9)*50),0))*50)&lt;Calculation!$AK$6,Calculation!$AK$6,IF(Calculation!$O$6/((Calculation!AD276*10^-12)/(Calculation!T276*10^-9)*50)&lt;=1,1,ROUNDUP(Calculation!$O$6/((Calculation!AD276*10^-12)/(Calculation!T276*10^-9)*50),0))*50),"-"),"-")</f>
        <v>-</v>
      </c>
      <c r="AM276" s="441" t="str">
        <f t="shared" ca="1" si="179"/>
        <v/>
      </c>
      <c r="AN276" s="442" t="str">
        <f t="shared" ca="1" si="179"/>
        <v/>
      </c>
      <c r="AO276" s="432">
        <f t="shared" ca="1" si="171"/>
        <v>384</v>
      </c>
      <c r="AP276" s="427" t="str">
        <f t="shared" ca="1" si="172"/>
        <v>-</v>
      </c>
      <c r="AQ276" s="443" t="str">
        <f t="shared" ca="1" si="173"/>
        <v>-</v>
      </c>
      <c r="AR276" s="444" t="str">
        <f t="shared" ca="1" si="174"/>
        <v>-</v>
      </c>
      <c r="AS276" s="430" t="str">
        <f t="shared" ca="1" si="175"/>
        <v>-</v>
      </c>
    </row>
    <row r="277" spans="1:45" ht="14.25" x14ac:dyDescent="0.65">
      <c r="A277" s="407">
        <v>269</v>
      </c>
      <c r="B277" s="408" t="str">
        <f t="shared" ca="1" si="156"/>
        <v/>
      </c>
      <c r="C277" s="408" t="str">
        <f ca="1">IFERROR(IF(G277="","",CONCATENATE(E277,"-",INDEX(Coordinate,MATCH(F277,ListAndConversion!$X$4:$X$99,0),2))),"")</f>
        <v/>
      </c>
      <c r="D277" s="408" t="str">
        <f t="shared" ca="1" si="176"/>
        <v/>
      </c>
      <c r="E277" s="408" t="str">
        <f t="shared" ca="1" si="176"/>
        <v/>
      </c>
      <c r="F277" s="408" t="str">
        <f t="shared" ca="1" si="176"/>
        <v/>
      </c>
      <c r="G277" s="408" t="str">
        <f ca="1">IFERROR(INDEX(ListAndConversion!A:B,MATCH(Calculation!E277,ListAndConversion!A:A,0),2),"")</f>
        <v/>
      </c>
      <c r="H277" s="408" t="str">
        <f>IF(TrackIT_Lines!AD269="","",TrackIT_Lines!AD269)</f>
        <v/>
      </c>
      <c r="I277" s="408" t="str">
        <f>IF(TrackIT_Lines!AD269="","",CONCATENATE(TrackIT_Lines!AD269,"-",TrackIT_Lines!AG269))</f>
        <v/>
      </c>
      <c r="J277" s="409" t="str">
        <f t="shared" ca="1" si="177"/>
        <v/>
      </c>
      <c r="K277" s="408" t="str">
        <f t="shared" ca="1" si="177"/>
        <v/>
      </c>
      <c r="L277" s="408" t="str">
        <f t="shared" ca="1" si="177"/>
        <v/>
      </c>
      <c r="M277" s="408" t="str">
        <f t="shared" ca="1" si="177"/>
        <v/>
      </c>
      <c r="N277" s="408" t="str">
        <f t="shared" ca="1" si="177"/>
        <v/>
      </c>
      <c r="O277" s="408" t="str">
        <f t="shared" ca="1" si="177"/>
        <v/>
      </c>
      <c r="P277" s="408" t="str">
        <f t="shared" ca="1" si="177"/>
        <v/>
      </c>
      <c r="Q277" s="408" t="str">
        <f t="shared" ca="1" si="177"/>
        <v/>
      </c>
      <c r="R277" s="410" t="str">
        <f ca="1">Cluster!J296</f>
        <v>Selection</v>
      </c>
      <c r="S277" s="411" t="str">
        <f t="shared" ca="1" si="157"/>
        <v>-</v>
      </c>
      <c r="T277" s="412" t="str">
        <f t="shared" ca="1" si="158"/>
        <v/>
      </c>
      <c r="U277" s="411" t="str">
        <f t="shared" ca="1" si="159"/>
        <v>-</v>
      </c>
      <c r="V277" s="411" t="str">
        <f t="shared" ca="1" si="160"/>
        <v>-</v>
      </c>
      <c r="W277" s="413">
        <f>Cluster!N296</f>
        <v>0</v>
      </c>
      <c r="X277" s="414" t="str">
        <f t="shared" ca="1" si="161"/>
        <v>-</v>
      </c>
      <c r="Y277" s="411" t="str">
        <f t="shared" ca="1" si="162"/>
        <v>-</v>
      </c>
      <c r="Z277" s="415" t="str">
        <f t="shared" ca="1" si="163"/>
        <v>-</v>
      </c>
      <c r="AA277" s="416" t="str">
        <f t="shared" ca="1" si="164"/>
        <v>-</v>
      </c>
      <c r="AB277" s="416" t="str">
        <f t="shared" ca="1" si="165"/>
        <v/>
      </c>
      <c r="AC277" s="434">
        <f>Cluster!Q296</f>
        <v>0</v>
      </c>
      <c r="AD277" s="435" t="str">
        <f t="shared" ca="1" si="178"/>
        <v/>
      </c>
      <c r="AE277" s="436" t="str">
        <f t="shared" ca="1" si="178"/>
        <v/>
      </c>
      <c r="AF277" s="437" t="str">
        <f t="shared" ca="1" si="166"/>
        <v>-</v>
      </c>
      <c r="AG277" s="438" t="str">
        <f t="shared" ca="1" si="167"/>
        <v>-</v>
      </c>
      <c r="AH277" s="437" t="str">
        <f t="shared" ca="1" si="168"/>
        <v>-</v>
      </c>
      <c r="AI277" s="438" t="str">
        <f t="shared" ca="1" si="169"/>
        <v>-</v>
      </c>
      <c r="AJ277" s="438" t="str">
        <f t="shared" ca="1" si="170"/>
        <v>-</v>
      </c>
      <c r="AK277" s="439" t="str">
        <f ca="1">IFERROR(AE277*AD277*AL277/(IF(Cluster!AA296=Cluster!$W$8,Cluster!$W$10,IF(Cluster!AA296=Cluster!$X$8,Cluster!$X$10,IF(Cluster!AA296=Cluster!$Y$8,Cluster!$Y$10,0)))*10^3),"-")</f>
        <v>-</v>
      </c>
      <c r="AL277" s="440" t="str">
        <f ca="1">IFERROR(IF(OR(Calculation!T277&lt;(Calculation!$U$8+2),Calculation!AC277="Bypass"),IF((IF(Calculation!$O$6/((Calculation!AD277*10^-12)/(Calculation!T277*10^-9)*50)&lt;=1,1,ROUNDUP(Calculation!$O$6/((Calculation!AD277*10^-12)/(Calculation!T277*10^-9)*50),0))*50)&lt;Calculation!$AK$6,Calculation!$AK$6,IF(Calculation!$O$6/((Calculation!AD277*10^-12)/(Calculation!T277*10^-9)*50)&lt;=1,1,ROUNDUP(Calculation!$O$6/((Calculation!AD277*10^-12)/(Calculation!T277*10^-9)*50),0))*50),"-"),"-")</f>
        <v>-</v>
      </c>
      <c r="AM277" s="441" t="str">
        <f t="shared" ca="1" si="179"/>
        <v/>
      </c>
      <c r="AN277" s="442" t="str">
        <f t="shared" ca="1" si="179"/>
        <v/>
      </c>
      <c r="AO277" s="432">
        <f t="shared" ca="1" si="171"/>
        <v>384</v>
      </c>
      <c r="AP277" s="427" t="str">
        <f t="shared" ca="1" si="172"/>
        <v>-</v>
      </c>
      <c r="AQ277" s="443" t="str">
        <f t="shared" ca="1" si="173"/>
        <v>-</v>
      </c>
      <c r="AR277" s="444" t="str">
        <f t="shared" ca="1" si="174"/>
        <v>-</v>
      </c>
      <c r="AS277" s="430" t="str">
        <f t="shared" ca="1" si="175"/>
        <v>-</v>
      </c>
    </row>
    <row r="278" spans="1:45" ht="14.25" x14ac:dyDescent="0.65">
      <c r="A278" s="407">
        <v>270</v>
      </c>
      <c r="B278" s="408" t="str">
        <f t="shared" ca="1" si="156"/>
        <v/>
      </c>
      <c r="C278" s="408" t="str">
        <f ca="1">IFERROR(IF(G278="","",CONCATENATE(E278,"-",INDEX(Coordinate,MATCH(F278,ListAndConversion!$X$4:$X$99,0),2))),"")</f>
        <v/>
      </c>
      <c r="D278" s="408" t="str">
        <f t="shared" ca="1" si="176"/>
        <v/>
      </c>
      <c r="E278" s="408" t="str">
        <f t="shared" ca="1" si="176"/>
        <v/>
      </c>
      <c r="F278" s="408" t="str">
        <f t="shared" ca="1" si="176"/>
        <v/>
      </c>
      <c r="G278" s="408" t="str">
        <f ca="1">IFERROR(INDEX(ListAndConversion!A:B,MATCH(Calculation!E278,ListAndConversion!A:A,0),2),"")</f>
        <v/>
      </c>
      <c r="H278" s="408" t="str">
        <f>IF(TrackIT_Lines!AD270="","",TrackIT_Lines!AD270)</f>
        <v/>
      </c>
      <c r="I278" s="408" t="str">
        <f>IF(TrackIT_Lines!AD270="","",CONCATENATE(TrackIT_Lines!AD270,"-",TrackIT_Lines!AG270))</f>
        <v/>
      </c>
      <c r="J278" s="409" t="str">
        <f t="shared" ca="1" si="177"/>
        <v/>
      </c>
      <c r="K278" s="408" t="str">
        <f t="shared" ca="1" si="177"/>
        <v/>
      </c>
      <c r="L278" s="408" t="str">
        <f t="shared" ca="1" si="177"/>
        <v/>
      </c>
      <c r="M278" s="408" t="str">
        <f t="shared" ca="1" si="177"/>
        <v/>
      </c>
      <c r="N278" s="408" t="str">
        <f t="shared" ca="1" si="177"/>
        <v/>
      </c>
      <c r="O278" s="408" t="str">
        <f t="shared" ca="1" si="177"/>
        <v/>
      </c>
      <c r="P278" s="408" t="str">
        <f t="shared" ca="1" si="177"/>
        <v/>
      </c>
      <c r="Q278" s="408" t="str">
        <f t="shared" ca="1" si="177"/>
        <v/>
      </c>
      <c r="R278" s="410" t="str">
        <f ca="1">Cluster!J297</f>
        <v>Selection</v>
      </c>
      <c r="S278" s="411" t="str">
        <f t="shared" ca="1" si="157"/>
        <v>-</v>
      </c>
      <c r="T278" s="412" t="str">
        <f t="shared" ca="1" si="158"/>
        <v/>
      </c>
      <c r="U278" s="411" t="str">
        <f t="shared" ca="1" si="159"/>
        <v>-</v>
      </c>
      <c r="V278" s="411" t="str">
        <f t="shared" ca="1" si="160"/>
        <v>-</v>
      </c>
      <c r="W278" s="413">
        <f>Cluster!N297</f>
        <v>0</v>
      </c>
      <c r="X278" s="414" t="str">
        <f t="shared" ca="1" si="161"/>
        <v>-</v>
      </c>
      <c r="Y278" s="411" t="str">
        <f t="shared" ca="1" si="162"/>
        <v>-</v>
      </c>
      <c r="Z278" s="415" t="str">
        <f t="shared" ca="1" si="163"/>
        <v>-</v>
      </c>
      <c r="AA278" s="416" t="str">
        <f t="shared" ca="1" si="164"/>
        <v>-</v>
      </c>
      <c r="AB278" s="416" t="str">
        <f t="shared" ca="1" si="165"/>
        <v/>
      </c>
      <c r="AC278" s="434">
        <f>Cluster!Q297</f>
        <v>0</v>
      </c>
      <c r="AD278" s="435" t="str">
        <f t="shared" ca="1" si="178"/>
        <v/>
      </c>
      <c r="AE278" s="436" t="str">
        <f t="shared" ca="1" si="178"/>
        <v/>
      </c>
      <c r="AF278" s="437" t="str">
        <f t="shared" ca="1" si="166"/>
        <v>-</v>
      </c>
      <c r="AG278" s="438" t="str">
        <f t="shared" ca="1" si="167"/>
        <v>-</v>
      </c>
      <c r="AH278" s="437" t="str">
        <f t="shared" ca="1" si="168"/>
        <v>-</v>
      </c>
      <c r="AI278" s="438" t="str">
        <f t="shared" ca="1" si="169"/>
        <v>-</v>
      </c>
      <c r="AJ278" s="438" t="str">
        <f t="shared" ca="1" si="170"/>
        <v>-</v>
      </c>
      <c r="AK278" s="439" t="str">
        <f ca="1">IFERROR(AE278*AD278*AL278/(IF(Cluster!AA297=Cluster!$W$8,Cluster!$W$10,IF(Cluster!AA297=Cluster!$X$8,Cluster!$X$10,IF(Cluster!AA297=Cluster!$Y$8,Cluster!$Y$10,0)))*10^3),"-")</f>
        <v>-</v>
      </c>
      <c r="AL278" s="440" t="str">
        <f ca="1">IFERROR(IF(OR(Calculation!T278&lt;(Calculation!$U$8+2),Calculation!AC278="Bypass"),IF((IF(Calculation!$O$6/((Calculation!AD278*10^-12)/(Calculation!T278*10^-9)*50)&lt;=1,1,ROUNDUP(Calculation!$O$6/((Calculation!AD278*10^-12)/(Calculation!T278*10^-9)*50),0))*50)&lt;Calculation!$AK$6,Calculation!$AK$6,IF(Calculation!$O$6/((Calculation!AD278*10^-12)/(Calculation!T278*10^-9)*50)&lt;=1,1,ROUNDUP(Calculation!$O$6/((Calculation!AD278*10^-12)/(Calculation!T278*10^-9)*50),0))*50),"-"),"-")</f>
        <v>-</v>
      </c>
      <c r="AM278" s="441" t="str">
        <f t="shared" ca="1" si="179"/>
        <v/>
      </c>
      <c r="AN278" s="442" t="str">
        <f t="shared" ca="1" si="179"/>
        <v/>
      </c>
      <c r="AO278" s="432">
        <f t="shared" ca="1" si="171"/>
        <v>384</v>
      </c>
      <c r="AP278" s="427" t="str">
        <f t="shared" ca="1" si="172"/>
        <v>-</v>
      </c>
      <c r="AQ278" s="443" t="str">
        <f t="shared" ca="1" si="173"/>
        <v>-</v>
      </c>
      <c r="AR278" s="444" t="str">
        <f t="shared" ca="1" si="174"/>
        <v>-</v>
      </c>
      <c r="AS278" s="430" t="str">
        <f t="shared" ca="1" si="175"/>
        <v>-</v>
      </c>
    </row>
    <row r="279" spans="1:45" ht="14.25" x14ac:dyDescent="0.65">
      <c r="A279" s="407">
        <v>271</v>
      </c>
      <c r="B279" s="408" t="str">
        <f t="shared" ca="1" si="156"/>
        <v/>
      </c>
      <c r="C279" s="408" t="str">
        <f ca="1">IFERROR(IF(G279="","",CONCATENATE(E279,"-",INDEX(Coordinate,MATCH(F279,ListAndConversion!$X$4:$X$99,0),2))),"")</f>
        <v/>
      </c>
      <c r="D279" s="408" t="str">
        <f t="shared" ca="1" si="176"/>
        <v/>
      </c>
      <c r="E279" s="408" t="str">
        <f t="shared" ca="1" si="176"/>
        <v/>
      </c>
      <c r="F279" s="408" t="str">
        <f t="shared" ca="1" si="176"/>
        <v/>
      </c>
      <c r="G279" s="408" t="str">
        <f ca="1">IFERROR(INDEX(ListAndConversion!A:B,MATCH(Calculation!E279,ListAndConversion!A:A,0),2),"")</f>
        <v/>
      </c>
      <c r="H279" s="408" t="str">
        <f>IF(TrackIT_Lines!AD271="","",TrackIT_Lines!AD271)</f>
        <v/>
      </c>
      <c r="I279" s="408" t="str">
        <f>IF(TrackIT_Lines!AD271="","",CONCATENATE(TrackIT_Lines!AD271,"-",TrackIT_Lines!AG271))</f>
        <v/>
      </c>
      <c r="J279" s="409" t="str">
        <f t="shared" ca="1" si="177"/>
        <v/>
      </c>
      <c r="K279" s="408" t="str">
        <f t="shared" ca="1" si="177"/>
        <v/>
      </c>
      <c r="L279" s="408" t="str">
        <f t="shared" ca="1" si="177"/>
        <v/>
      </c>
      <c r="M279" s="408" t="str">
        <f t="shared" ca="1" si="177"/>
        <v/>
      </c>
      <c r="N279" s="408" t="str">
        <f t="shared" ca="1" si="177"/>
        <v/>
      </c>
      <c r="O279" s="408" t="str">
        <f t="shared" ca="1" si="177"/>
        <v/>
      </c>
      <c r="P279" s="408" t="str">
        <f t="shared" ca="1" si="177"/>
        <v/>
      </c>
      <c r="Q279" s="408" t="str">
        <f t="shared" ca="1" si="177"/>
        <v/>
      </c>
      <c r="R279" s="410" t="str">
        <f ca="1">Cluster!J298</f>
        <v>Selection</v>
      </c>
      <c r="S279" s="411" t="str">
        <f t="shared" ca="1" si="157"/>
        <v>-</v>
      </c>
      <c r="T279" s="412" t="str">
        <f t="shared" ca="1" si="158"/>
        <v/>
      </c>
      <c r="U279" s="411" t="str">
        <f t="shared" ca="1" si="159"/>
        <v>-</v>
      </c>
      <c r="V279" s="411" t="str">
        <f t="shared" ca="1" si="160"/>
        <v>-</v>
      </c>
      <c r="W279" s="413">
        <f>Cluster!N298</f>
        <v>0</v>
      </c>
      <c r="X279" s="414" t="str">
        <f t="shared" ca="1" si="161"/>
        <v>-</v>
      </c>
      <c r="Y279" s="411" t="str">
        <f t="shared" ca="1" si="162"/>
        <v>-</v>
      </c>
      <c r="Z279" s="415" t="str">
        <f t="shared" ca="1" si="163"/>
        <v>-</v>
      </c>
      <c r="AA279" s="416" t="str">
        <f t="shared" ca="1" si="164"/>
        <v>-</v>
      </c>
      <c r="AB279" s="416" t="str">
        <f t="shared" ca="1" si="165"/>
        <v/>
      </c>
      <c r="AC279" s="434">
        <f>Cluster!Q298</f>
        <v>0</v>
      </c>
      <c r="AD279" s="435" t="str">
        <f t="shared" ca="1" si="178"/>
        <v/>
      </c>
      <c r="AE279" s="436" t="str">
        <f t="shared" ca="1" si="178"/>
        <v/>
      </c>
      <c r="AF279" s="437" t="str">
        <f t="shared" ca="1" si="166"/>
        <v>-</v>
      </c>
      <c r="AG279" s="438" t="str">
        <f t="shared" ca="1" si="167"/>
        <v>-</v>
      </c>
      <c r="AH279" s="437" t="str">
        <f t="shared" ca="1" si="168"/>
        <v>-</v>
      </c>
      <c r="AI279" s="438" t="str">
        <f t="shared" ca="1" si="169"/>
        <v>-</v>
      </c>
      <c r="AJ279" s="438" t="str">
        <f t="shared" ca="1" si="170"/>
        <v>-</v>
      </c>
      <c r="AK279" s="439" t="str">
        <f ca="1">IFERROR(AE279*AD279*AL279/(IF(Cluster!AA298=Cluster!$W$8,Cluster!$W$10,IF(Cluster!AA298=Cluster!$X$8,Cluster!$X$10,IF(Cluster!AA298=Cluster!$Y$8,Cluster!$Y$10,0)))*10^3),"-")</f>
        <v>-</v>
      </c>
      <c r="AL279" s="440" t="str">
        <f ca="1">IFERROR(IF(OR(Calculation!T279&lt;(Calculation!$U$8+2),Calculation!AC279="Bypass"),IF((IF(Calculation!$O$6/((Calculation!AD279*10^-12)/(Calculation!T279*10^-9)*50)&lt;=1,1,ROUNDUP(Calculation!$O$6/((Calculation!AD279*10^-12)/(Calculation!T279*10^-9)*50),0))*50)&lt;Calculation!$AK$6,Calculation!$AK$6,IF(Calculation!$O$6/((Calculation!AD279*10^-12)/(Calculation!T279*10^-9)*50)&lt;=1,1,ROUNDUP(Calculation!$O$6/((Calculation!AD279*10^-12)/(Calculation!T279*10^-9)*50),0))*50),"-"),"-")</f>
        <v>-</v>
      </c>
      <c r="AM279" s="441" t="str">
        <f t="shared" ca="1" si="179"/>
        <v/>
      </c>
      <c r="AN279" s="442" t="str">
        <f t="shared" ca="1" si="179"/>
        <v/>
      </c>
      <c r="AO279" s="432">
        <f t="shared" ca="1" si="171"/>
        <v>384</v>
      </c>
      <c r="AP279" s="427" t="str">
        <f t="shared" ca="1" si="172"/>
        <v>-</v>
      </c>
      <c r="AQ279" s="443" t="str">
        <f t="shared" ca="1" si="173"/>
        <v>-</v>
      </c>
      <c r="AR279" s="444" t="str">
        <f t="shared" ca="1" si="174"/>
        <v>-</v>
      </c>
      <c r="AS279" s="430" t="str">
        <f t="shared" ca="1" si="175"/>
        <v>-</v>
      </c>
    </row>
    <row r="280" spans="1:45" ht="14.25" x14ac:dyDescent="0.65">
      <c r="A280" s="407">
        <v>272</v>
      </c>
      <c r="B280" s="408" t="str">
        <f t="shared" ca="1" si="156"/>
        <v/>
      </c>
      <c r="C280" s="408" t="str">
        <f ca="1">IFERROR(IF(G280="","",CONCATENATE(E280,"-",INDEX(Coordinate,MATCH(F280,ListAndConversion!$X$4:$X$99,0),2))),"")</f>
        <v/>
      </c>
      <c r="D280" s="408" t="str">
        <f t="shared" ca="1" si="176"/>
        <v/>
      </c>
      <c r="E280" s="408" t="str">
        <f t="shared" ca="1" si="176"/>
        <v/>
      </c>
      <c r="F280" s="408" t="str">
        <f t="shared" ca="1" si="176"/>
        <v/>
      </c>
      <c r="G280" s="408" t="str">
        <f ca="1">IFERROR(INDEX(ListAndConversion!A:B,MATCH(Calculation!E280,ListAndConversion!A:A,0),2),"")</f>
        <v/>
      </c>
      <c r="H280" s="408" t="str">
        <f>IF(TrackIT_Lines!AD272="","",TrackIT_Lines!AD272)</f>
        <v/>
      </c>
      <c r="I280" s="408" t="str">
        <f>IF(TrackIT_Lines!AD272="","",CONCATENATE(TrackIT_Lines!AD272,"-",TrackIT_Lines!AG272))</f>
        <v/>
      </c>
      <c r="J280" s="409" t="str">
        <f t="shared" ref="J280:Q289" ca="1" si="180">IF((INDIRECT("TrackIT_Lines!"&amp;J$2&amp;$A280))="","", (INDIRECT("TrackIT_Lines!"&amp;J$2&amp;$A280)))</f>
        <v/>
      </c>
      <c r="K280" s="408" t="str">
        <f t="shared" ca="1" si="180"/>
        <v/>
      </c>
      <c r="L280" s="408" t="str">
        <f t="shared" ca="1" si="180"/>
        <v/>
      </c>
      <c r="M280" s="408" t="str">
        <f t="shared" ca="1" si="180"/>
        <v/>
      </c>
      <c r="N280" s="408" t="str">
        <f t="shared" ca="1" si="180"/>
        <v/>
      </c>
      <c r="O280" s="408" t="str">
        <f t="shared" ca="1" si="180"/>
        <v/>
      </c>
      <c r="P280" s="408" t="str">
        <f t="shared" ca="1" si="180"/>
        <v/>
      </c>
      <c r="Q280" s="408" t="str">
        <f t="shared" ca="1" si="180"/>
        <v/>
      </c>
      <c r="R280" s="410" t="str">
        <f ca="1">Cluster!J299</f>
        <v>Selection</v>
      </c>
      <c r="S280" s="411" t="str">
        <f t="shared" ca="1" si="157"/>
        <v>-</v>
      </c>
      <c r="T280" s="412" t="str">
        <f t="shared" ca="1" si="158"/>
        <v/>
      </c>
      <c r="U280" s="411" t="str">
        <f t="shared" ca="1" si="159"/>
        <v>-</v>
      </c>
      <c r="V280" s="411" t="str">
        <f t="shared" ca="1" si="160"/>
        <v>-</v>
      </c>
      <c r="W280" s="413">
        <f>Cluster!N299</f>
        <v>0</v>
      </c>
      <c r="X280" s="414" t="str">
        <f t="shared" ca="1" si="161"/>
        <v>-</v>
      </c>
      <c r="Y280" s="411" t="str">
        <f t="shared" ca="1" si="162"/>
        <v>-</v>
      </c>
      <c r="Z280" s="415" t="str">
        <f t="shared" ca="1" si="163"/>
        <v>-</v>
      </c>
      <c r="AA280" s="416" t="str">
        <f t="shared" ca="1" si="164"/>
        <v>-</v>
      </c>
      <c r="AB280" s="416" t="str">
        <f t="shared" ca="1" si="165"/>
        <v/>
      </c>
      <c r="AC280" s="434">
        <f>Cluster!Q299</f>
        <v>0</v>
      </c>
      <c r="AD280" s="435" t="str">
        <f t="shared" ca="1" si="178"/>
        <v/>
      </c>
      <c r="AE280" s="436" t="str">
        <f t="shared" ca="1" si="178"/>
        <v/>
      </c>
      <c r="AF280" s="437" t="str">
        <f t="shared" ca="1" si="166"/>
        <v>-</v>
      </c>
      <c r="AG280" s="438" t="str">
        <f t="shared" ca="1" si="167"/>
        <v>-</v>
      </c>
      <c r="AH280" s="437" t="str">
        <f t="shared" ca="1" si="168"/>
        <v>-</v>
      </c>
      <c r="AI280" s="438" t="str">
        <f t="shared" ca="1" si="169"/>
        <v>-</v>
      </c>
      <c r="AJ280" s="438" t="str">
        <f t="shared" ca="1" si="170"/>
        <v>-</v>
      </c>
      <c r="AK280" s="439" t="str">
        <f ca="1">IFERROR(AE280*AD280*AL280/(IF(Cluster!AA299=Cluster!$W$8,Cluster!$W$10,IF(Cluster!AA299=Cluster!$X$8,Cluster!$X$10,IF(Cluster!AA299=Cluster!$Y$8,Cluster!$Y$10,0)))*10^3),"-")</f>
        <v>-</v>
      </c>
      <c r="AL280" s="440" t="str">
        <f ca="1">IFERROR(IF(OR(Calculation!T280&lt;(Calculation!$U$8+2),Calculation!AC280="Bypass"),IF((IF(Calculation!$O$6/((Calculation!AD280*10^-12)/(Calculation!T280*10^-9)*50)&lt;=1,1,ROUNDUP(Calculation!$O$6/((Calculation!AD280*10^-12)/(Calculation!T280*10^-9)*50),0))*50)&lt;Calculation!$AK$6,Calculation!$AK$6,IF(Calculation!$O$6/((Calculation!AD280*10^-12)/(Calculation!T280*10^-9)*50)&lt;=1,1,ROUNDUP(Calculation!$O$6/((Calculation!AD280*10^-12)/(Calculation!T280*10^-9)*50),0))*50),"-"),"-")</f>
        <v>-</v>
      </c>
      <c r="AM280" s="441" t="str">
        <f t="shared" ca="1" si="179"/>
        <v/>
      </c>
      <c r="AN280" s="442" t="str">
        <f t="shared" ca="1" si="179"/>
        <v/>
      </c>
      <c r="AO280" s="432">
        <f t="shared" ca="1" si="171"/>
        <v>384</v>
      </c>
      <c r="AP280" s="427" t="str">
        <f t="shared" ca="1" si="172"/>
        <v>-</v>
      </c>
      <c r="AQ280" s="443" t="str">
        <f t="shared" ca="1" si="173"/>
        <v>-</v>
      </c>
      <c r="AR280" s="444" t="str">
        <f t="shared" ca="1" si="174"/>
        <v>-</v>
      </c>
      <c r="AS280" s="430" t="str">
        <f t="shared" ca="1" si="175"/>
        <v>-</v>
      </c>
    </row>
    <row r="281" spans="1:45" ht="14.25" x14ac:dyDescent="0.65">
      <c r="A281" s="407">
        <v>273</v>
      </c>
      <c r="B281" s="408" t="str">
        <f t="shared" ca="1" si="156"/>
        <v/>
      </c>
      <c r="C281" s="408" t="str">
        <f ca="1">IFERROR(IF(G281="","",CONCATENATE(E281,"-",INDEX(Coordinate,MATCH(F281,ListAndConversion!$X$4:$X$99,0),2))),"")</f>
        <v/>
      </c>
      <c r="D281" s="408" t="str">
        <f t="shared" ca="1" si="176"/>
        <v/>
      </c>
      <c r="E281" s="408" t="str">
        <f t="shared" ca="1" si="176"/>
        <v/>
      </c>
      <c r="F281" s="408" t="str">
        <f t="shared" ca="1" si="176"/>
        <v/>
      </c>
      <c r="G281" s="408" t="str">
        <f ca="1">IFERROR(INDEX(ListAndConversion!A:B,MATCH(Calculation!E281,ListAndConversion!A:A,0),2),"")</f>
        <v/>
      </c>
      <c r="H281" s="408" t="str">
        <f>IF(TrackIT_Lines!AD273="","",TrackIT_Lines!AD273)</f>
        <v/>
      </c>
      <c r="I281" s="408" t="str">
        <f>IF(TrackIT_Lines!AD273="","",CONCATENATE(TrackIT_Lines!AD273,"-",TrackIT_Lines!AG273))</f>
        <v/>
      </c>
      <c r="J281" s="409" t="str">
        <f t="shared" ca="1" si="180"/>
        <v/>
      </c>
      <c r="K281" s="408" t="str">
        <f t="shared" ca="1" si="180"/>
        <v/>
      </c>
      <c r="L281" s="408" t="str">
        <f t="shared" ca="1" si="180"/>
        <v/>
      </c>
      <c r="M281" s="408" t="str">
        <f t="shared" ca="1" si="180"/>
        <v/>
      </c>
      <c r="N281" s="408" t="str">
        <f t="shared" ca="1" si="180"/>
        <v/>
      </c>
      <c r="O281" s="408" t="str">
        <f t="shared" ca="1" si="180"/>
        <v/>
      </c>
      <c r="P281" s="408" t="str">
        <f t="shared" ca="1" si="180"/>
        <v/>
      </c>
      <c r="Q281" s="408" t="str">
        <f t="shared" ca="1" si="180"/>
        <v/>
      </c>
      <c r="R281" s="410" t="str">
        <f ca="1">Cluster!J300</f>
        <v>Selection</v>
      </c>
      <c r="S281" s="411" t="str">
        <f t="shared" ca="1" si="157"/>
        <v>-</v>
      </c>
      <c r="T281" s="412" t="str">
        <f t="shared" ca="1" si="158"/>
        <v/>
      </c>
      <c r="U281" s="411" t="str">
        <f t="shared" ca="1" si="159"/>
        <v>-</v>
      </c>
      <c r="V281" s="411" t="str">
        <f t="shared" ca="1" si="160"/>
        <v>-</v>
      </c>
      <c r="W281" s="413">
        <f>Cluster!N300</f>
        <v>0</v>
      </c>
      <c r="X281" s="414" t="str">
        <f t="shared" ca="1" si="161"/>
        <v>-</v>
      </c>
      <c r="Y281" s="411" t="str">
        <f t="shared" ca="1" si="162"/>
        <v>-</v>
      </c>
      <c r="Z281" s="415" t="str">
        <f t="shared" ca="1" si="163"/>
        <v>-</v>
      </c>
      <c r="AA281" s="416" t="str">
        <f t="shared" ca="1" si="164"/>
        <v>-</v>
      </c>
      <c r="AB281" s="416" t="str">
        <f t="shared" ca="1" si="165"/>
        <v/>
      </c>
      <c r="AC281" s="434">
        <f>Cluster!Q300</f>
        <v>0</v>
      </c>
      <c r="AD281" s="435" t="str">
        <f t="shared" ca="1" si="178"/>
        <v/>
      </c>
      <c r="AE281" s="436" t="str">
        <f t="shared" ca="1" si="178"/>
        <v/>
      </c>
      <c r="AF281" s="437" t="str">
        <f t="shared" ca="1" si="166"/>
        <v>-</v>
      </c>
      <c r="AG281" s="438" t="str">
        <f t="shared" ca="1" si="167"/>
        <v>-</v>
      </c>
      <c r="AH281" s="437" t="str">
        <f t="shared" ca="1" si="168"/>
        <v>-</v>
      </c>
      <c r="AI281" s="438" t="str">
        <f t="shared" ca="1" si="169"/>
        <v>-</v>
      </c>
      <c r="AJ281" s="438" t="str">
        <f t="shared" ca="1" si="170"/>
        <v>-</v>
      </c>
      <c r="AK281" s="439" t="str">
        <f ca="1">IFERROR(AE281*AD281*AL281/(IF(Cluster!AA300=Cluster!$W$8,Cluster!$W$10,IF(Cluster!AA300=Cluster!$X$8,Cluster!$X$10,IF(Cluster!AA300=Cluster!$Y$8,Cluster!$Y$10,0)))*10^3),"-")</f>
        <v>-</v>
      </c>
      <c r="AL281" s="440" t="str">
        <f ca="1">IFERROR(IF(OR(Calculation!T281&lt;(Calculation!$U$8+2),Calculation!AC281="Bypass"),IF((IF(Calculation!$O$6/((Calculation!AD281*10^-12)/(Calculation!T281*10^-9)*50)&lt;=1,1,ROUNDUP(Calculation!$O$6/((Calculation!AD281*10^-12)/(Calculation!T281*10^-9)*50),0))*50)&lt;Calculation!$AK$6,Calculation!$AK$6,IF(Calculation!$O$6/((Calculation!AD281*10^-12)/(Calculation!T281*10^-9)*50)&lt;=1,1,ROUNDUP(Calculation!$O$6/((Calculation!AD281*10^-12)/(Calculation!T281*10^-9)*50),0))*50),"-"),"-")</f>
        <v>-</v>
      </c>
      <c r="AM281" s="441" t="str">
        <f t="shared" ca="1" si="179"/>
        <v/>
      </c>
      <c r="AN281" s="442" t="str">
        <f t="shared" ca="1" si="179"/>
        <v/>
      </c>
      <c r="AO281" s="432">
        <f t="shared" ca="1" si="171"/>
        <v>384</v>
      </c>
      <c r="AP281" s="427" t="str">
        <f t="shared" ca="1" si="172"/>
        <v>-</v>
      </c>
      <c r="AQ281" s="443" t="str">
        <f t="shared" ca="1" si="173"/>
        <v>-</v>
      </c>
      <c r="AR281" s="444" t="str">
        <f t="shared" ca="1" si="174"/>
        <v>-</v>
      </c>
      <c r="AS281" s="430" t="str">
        <f t="shared" ca="1" si="175"/>
        <v>-</v>
      </c>
    </row>
    <row r="282" spans="1:45" ht="14.25" x14ac:dyDescent="0.65">
      <c r="A282" s="407">
        <v>274</v>
      </c>
      <c r="B282" s="408" t="str">
        <f t="shared" ca="1" si="156"/>
        <v/>
      </c>
      <c r="C282" s="408" t="str">
        <f ca="1">IFERROR(IF(G282="","",CONCATENATE(E282,"-",INDEX(Coordinate,MATCH(F282,ListAndConversion!$X$4:$X$99,0),2))),"")</f>
        <v/>
      </c>
      <c r="D282" s="408" t="str">
        <f t="shared" ca="1" si="176"/>
        <v/>
      </c>
      <c r="E282" s="408" t="str">
        <f t="shared" ca="1" si="176"/>
        <v/>
      </c>
      <c r="F282" s="408" t="str">
        <f t="shared" ca="1" si="176"/>
        <v/>
      </c>
      <c r="G282" s="408" t="str">
        <f ca="1">IFERROR(INDEX(ListAndConversion!A:B,MATCH(Calculation!E282,ListAndConversion!A:A,0),2),"")</f>
        <v/>
      </c>
      <c r="H282" s="408" t="str">
        <f>IF(TrackIT_Lines!AD274="","",TrackIT_Lines!AD274)</f>
        <v/>
      </c>
      <c r="I282" s="408" t="str">
        <f>IF(TrackIT_Lines!AD274="","",CONCATENATE(TrackIT_Lines!AD274,"-",TrackIT_Lines!AG274))</f>
        <v/>
      </c>
      <c r="J282" s="409" t="str">
        <f t="shared" ca="1" si="180"/>
        <v/>
      </c>
      <c r="K282" s="408" t="str">
        <f t="shared" ca="1" si="180"/>
        <v/>
      </c>
      <c r="L282" s="408" t="str">
        <f t="shared" ca="1" si="180"/>
        <v/>
      </c>
      <c r="M282" s="408" t="str">
        <f t="shared" ca="1" si="180"/>
        <v/>
      </c>
      <c r="N282" s="408" t="str">
        <f t="shared" ca="1" si="180"/>
        <v/>
      </c>
      <c r="O282" s="408" t="str">
        <f t="shared" ca="1" si="180"/>
        <v/>
      </c>
      <c r="P282" s="408" t="str">
        <f t="shared" ca="1" si="180"/>
        <v/>
      </c>
      <c r="Q282" s="408" t="str">
        <f t="shared" ca="1" si="180"/>
        <v/>
      </c>
      <c r="R282" s="410" t="str">
        <f ca="1">Cluster!J301</f>
        <v>Selection</v>
      </c>
      <c r="S282" s="411" t="str">
        <f t="shared" ca="1" si="157"/>
        <v>-</v>
      </c>
      <c r="T282" s="412" t="str">
        <f t="shared" ca="1" si="158"/>
        <v/>
      </c>
      <c r="U282" s="411" t="str">
        <f t="shared" ca="1" si="159"/>
        <v>-</v>
      </c>
      <c r="V282" s="411" t="str">
        <f t="shared" ca="1" si="160"/>
        <v>-</v>
      </c>
      <c r="W282" s="413">
        <f>Cluster!N301</f>
        <v>0</v>
      </c>
      <c r="X282" s="414" t="str">
        <f t="shared" ca="1" si="161"/>
        <v>-</v>
      </c>
      <c r="Y282" s="411" t="str">
        <f t="shared" ca="1" si="162"/>
        <v>-</v>
      </c>
      <c r="Z282" s="415" t="str">
        <f t="shared" ca="1" si="163"/>
        <v>-</v>
      </c>
      <c r="AA282" s="416" t="str">
        <f t="shared" ca="1" si="164"/>
        <v>-</v>
      </c>
      <c r="AB282" s="416" t="str">
        <f t="shared" ca="1" si="165"/>
        <v/>
      </c>
      <c r="AC282" s="434">
        <f>Cluster!Q301</f>
        <v>0</v>
      </c>
      <c r="AD282" s="435" t="str">
        <f t="shared" ca="1" si="178"/>
        <v/>
      </c>
      <c r="AE282" s="436" t="str">
        <f t="shared" ca="1" si="178"/>
        <v/>
      </c>
      <c r="AF282" s="437" t="str">
        <f t="shared" ca="1" si="166"/>
        <v>-</v>
      </c>
      <c r="AG282" s="438" t="str">
        <f t="shared" ca="1" si="167"/>
        <v>-</v>
      </c>
      <c r="AH282" s="437" t="str">
        <f t="shared" ca="1" si="168"/>
        <v>-</v>
      </c>
      <c r="AI282" s="438" t="str">
        <f t="shared" ca="1" si="169"/>
        <v>-</v>
      </c>
      <c r="AJ282" s="438" t="str">
        <f t="shared" ca="1" si="170"/>
        <v>-</v>
      </c>
      <c r="AK282" s="439" t="str">
        <f ca="1">IFERROR(AE282*AD282*AL282/(IF(Cluster!AA301=Cluster!$W$8,Cluster!$W$10,IF(Cluster!AA301=Cluster!$X$8,Cluster!$X$10,IF(Cluster!AA301=Cluster!$Y$8,Cluster!$Y$10,0)))*10^3),"-")</f>
        <v>-</v>
      </c>
      <c r="AL282" s="440" t="str">
        <f ca="1">IFERROR(IF(OR(Calculation!T282&lt;(Calculation!$U$8+2),Calculation!AC282="Bypass"),IF((IF(Calculation!$O$6/((Calculation!AD282*10^-12)/(Calculation!T282*10^-9)*50)&lt;=1,1,ROUNDUP(Calculation!$O$6/((Calculation!AD282*10^-12)/(Calculation!T282*10^-9)*50),0))*50)&lt;Calculation!$AK$6,Calculation!$AK$6,IF(Calculation!$O$6/((Calculation!AD282*10^-12)/(Calculation!T282*10^-9)*50)&lt;=1,1,ROUNDUP(Calculation!$O$6/((Calculation!AD282*10^-12)/(Calculation!T282*10^-9)*50),0))*50),"-"),"-")</f>
        <v>-</v>
      </c>
      <c r="AM282" s="441" t="str">
        <f t="shared" ca="1" si="179"/>
        <v/>
      </c>
      <c r="AN282" s="442" t="str">
        <f t="shared" ca="1" si="179"/>
        <v/>
      </c>
      <c r="AO282" s="432">
        <f t="shared" ca="1" si="171"/>
        <v>384</v>
      </c>
      <c r="AP282" s="427" t="str">
        <f t="shared" ca="1" si="172"/>
        <v>-</v>
      </c>
      <c r="AQ282" s="443" t="str">
        <f t="shared" ca="1" si="173"/>
        <v>-</v>
      </c>
      <c r="AR282" s="444" t="str">
        <f t="shared" ca="1" si="174"/>
        <v>-</v>
      </c>
      <c r="AS282" s="430" t="str">
        <f t="shared" ca="1" si="175"/>
        <v>-</v>
      </c>
    </row>
    <row r="283" spans="1:45" ht="14.25" x14ac:dyDescent="0.65">
      <c r="A283" s="407">
        <v>275</v>
      </c>
      <c r="B283" s="408" t="str">
        <f t="shared" ca="1" si="156"/>
        <v/>
      </c>
      <c r="C283" s="408" t="str">
        <f ca="1">IFERROR(IF(G283="","",CONCATENATE(E283,"-",INDEX(Coordinate,MATCH(F283,ListAndConversion!$X$4:$X$99,0),2))),"")</f>
        <v/>
      </c>
      <c r="D283" s="408" t="str">
        <f t="shared" ca="1" si="176"/>
        <v/>
      </c>
      <c r="E283" s="408" t="str">
        <f t="shared" ca="1" si="176"/>
        <v/>
      </c>
      <c r="F283" s="408" t="str">
        <f t="shared" ca="1" si="176"/>
        <v/>
      </c>
      <c r="G283" s="408" t="str">
        <f ca="1">IFERROR(INDEX(ListAndConversion!A:B,MATCH(Calculation!E283,ListAndConversion!A:A,0),2),"")</f>
        <v/>
      </c>
      <c r="H283" s="408" t="str">
        <f>IF(TrackIT_Lines!AD275="","",TrackIT_Lines!AD275)</f>
        <v/>
      </c>
      <c r="I283" s="408" t="str">
        <f>IF(TrackIT_Lines!AD275="","",CONCATENATE(TrackIT_Lines!AD275,"-",TrackIT_Lines!AG275))</f>
        <v/>
      </c>
      <c r="J283" s="409" t="str">
        <f t="shared" ca="1" si="180"/>
        <v/>
      </c>
      <c r="K283" s="408" t="str">
        <f t="shared" ca="1" si="180"/>
        <v/>
      </c>
      <c r="L283" s="408" t="str">
        <f t="shared" ca="1" si="180"/>
        <v/>
      </c>
      <c r="M283" s="408" t="str">
        <f t="shared" ca="1" si="180"/>
        <v/>
      </c>
      <c r="N283" s="408" t="str">
        <f t="shared" ca="1" si="180"/>
        <v/>
      </c>
      <c r="O283" s="408" t="str">
        <f t="shared" ca="1" si="180"/>
        <v/>
      </c>
      <c r="P283" s="408" t="str">
        <f t="shared" ca="1" si="180"/>
        <v/>
      </c>
      <c r="Q283" s="408" t="str">
        <f t="shared" ca="1" si="180"/>
        <v/>
      </c>
      <c r="R283" s="410" t="str">
        <f ca="1">Cluster!J302</f>
        <v>Selection</v>
      </c>
      <c r="S283" s="411" t="str">
        <f t="shared" ca="1" si="157"/>
        <v>-</v>
      </c>
      <c r="T283" s="412" t="str">
        <f t="shared" ca="1" si="158"/>
        <v/>
      </c>
      <c r="U283" s="411" t="str">
        <f t="shared" ca="1" si="159"/>
        <v>-</v>
      </c>
      <c r="V283" s="411" t="str">
        <f t="shared" ca="1" si="160"/>
        <v>-</v>
      </c>
      <c r="W283" s="413">
        <f>Cluster!N302</f>
        <v>0</v>
      </c>
      <c r="X283" s="414" t="str">
        <f t="shared" ca="1" si="161"/>
        <v>-</v>
      </c>
      <c r="Y283" s="411" t="str">
        <f t="shared" ca="1" si="162"/>
        <v>-</v>
      </c>
      <c r="Z283" s="415" t="str">
        <f t="shared" ca="1" si="163"/>
        <v>-</v>
      </c>
      <c r="AA283" s="416" t="str">
        <f t="shared" ca="1" si="164"/>
        <v>-</v>
      </c>
      <c r="AB283" s="416" t="str">
        <f t="shared" ca="1" si="165"/>
        <v/>
      </c>
      <c r="AC283" s="434">
        <f>Cluster!Q302</f>
        <v>0</v>
      </c>
      <c r="AD283" s="435" t="str">
        <f t="shared" ca="1" si="178"/>
        <v/>
      </c>
      <c r="AE283" s="436" t="str">
        <f t="shared" ca="1" si="178"/>
        <v/>
      </c>
      <c r="AF283" s="437" t="str">
        <f t="shared" ca="1" si="166"/>
        <v>-</v>
      </c>
      <c r="AG283" s="438" t="str">
        <f t="shared" ca="1" si="167"/>
        <v>-</v>
      </c>
      <c r="AH283" s="437" t="str">
        <f t="shared" ca="1" si="168"/>
        <v>-</v>
      </c>
      <c r="AI283" s="438" t="str">
        <f t="shared" ca="1" si="169"/>
        <v>-</v>
      </c>
      <c r="AJ283" s="438" t="str">
        <f t="shared" ca="1" si="170"/>
        <v>-</v>
      </c>
      <c r="AK283" s="439" t="str">
        <f ca="1">IFERROR(AE283*AD283*AL283/(IF(Cluster!AA302=Cluster!$W$8,Cluster!$W$10,IF(Cluster!AA302=Cluster!$X$8,Cluster!$X$10,IF(Cluster!AA302=Cluster!$Y$8,Cluster!$Y$10,0)))*10^3),"-")</f>
        <v>-</v>
      </c>
      <c r="AL283" s="440" t="str">
        <f ca="1">IFERROR(IF(OR(Calculation!T283&lt;(Calculation!$U$8+2),Calculation!AC283="Bypass"),IF((IF(Calculation!$O$6/((Calculation!AD283*10^-12)/(Calculation!T283*10^-9)*50)&lt;=1,1,ROUNDUP(Calculation!$O$6/((Calculation!AD283*10^-12)/(Calculation!T283*10^-9)*50),0))*50)&lt;Calculation!$AK$6,Calculation!$AK$6,IF(Calculation!$O$6/((Calculation!AD283*10^-12)/(Calculation!T283*10^-9)*50)&lt;=1,1,ROUNDUP(Calculation!$O$6/((Calculation!AD283*10^-12)/(Calculation!T283*10^-9)*50),0))*50),"-"),"-")</f>
        <v>-</v>
      </c>
      <c r="AM283" s="441" t="str">
        <f t="shared" ca="1" si="179"/>
        <v/>
      </c>
      <c r="AN283" s="442" t="str">
        <f t="shared" ca="1" si="179"/>
        <v/>
      </c>
      <c r="AO283" s="432">
        <f t="shared" ca="1" si="171"/>
        <v>384</v>
      </c>
      <c r="AP283" s="427" t="str">
        <f t="shared" ca="1" si="172"/>
        <v>-</v>
      </c>
      <c r="AQ283" s="443" t="str">
        <f t="shared" ca="1" si="173"/>
        <v>-</v>
      </c>
      <c r="AR283" s="444" t="str">
        <f t="shared" ca="1" si="174"/>
        <v>-</v>
      </c>
      <c r="AS283" s="430" t="str">
        <f t="shared" ca="1" si="175"/>
        <v>-</v>
      </c>
    </row>
    <row r="284" spans="1:45" ht="14.25" x14ac:dyDescent="0.65">
      <c r="A284" s="407">
        <v>276</v>
      </c>
      <c r="B284" s="408" t="str">
        <f t="shared" ca="1" si="156"/>
        <v/>
      </c>
      <c r="C284" s="408" t="str">
        <f ca="1">IFERROR(IF(G284="","",CONCATENATE(E284,"-",INDEX(Coordinate,MATCH(F284,ListAndConversion!$X$4:$X$99,0),2))),"")</f>
        <v/>
      </c>
      <c r="D284" s="408" t="str">
        <f t="shared" ca="1" si="176"/>
        <v/>
      </c>
      <c r="E284" s="408" t="str">
        <f t="shared" ca="1" si="176"/>
        <v/>
      </c>
      <c r="F284" s="408" t="str">
        <f t="shared" ca="1" si="176"/>
        <v/>
      </c>
      <c r="G284" s="408" t="str">
        <f ca="1">IFERROR(INDEX(ListAndConversion!A:B,MATCH(Calculation!E284,ListAndConversion!A:A,0),2),"")</f>
        <v/>
      </c>
      <c r="H284" s="408" t="str">
        <f>IF(TrackIT_Lines!AD276="","",TrackIT_Lines!AD276)</f>
        <v/>
      </c>
      <c r="I284" s="408" t="str">
        <f>IF(TrackIT_Lines!AD276="","",CONCATENATE(TrackIT_Lines!AD276,"-",TrackIT_Lines!AG276))</f>
        <v/>
      </c>
      <c r="J284" s="409" t="str">
        <f t="shared" ca="1" si="180"/>
        <v/>
      </c>
      <c r="K284" s="408" t="str">
        <f t="shared" ca="1" si="180"/>
        <v/>
      </c>
      <c r="L284" s="408" t="str">
        <f t="shared" ca="1" si="180"/>
        <v/>
      </c>
      <c r="M284" s="408" t="str">
        <f t="shared" ca="1" si="180"/>
        <v/>
      </c>
      <c r="N284" s="408" t="str">
        <f t="shared" ca="1" si="180"/>
        <v/>
      </c>
      <c r="O284" s="408" t="str">
        <f t="shared" ca="1" si="180"/>
        <v/>
      </c>
      <c r="P284" s="408" t="str">
        <f t="shared" ca="1" si="180"/>
        <v/>
      </c>
      <c r="Q284" s="408" t="str">
        <f t="shared" ca="1" si="180"/>
        <v/>
      </c>
      <c r="R284" s="410" t="str">
        <f ca="1">Cluster!J303</f>
        <v>Selection</v>
      </c>
      <c r="S284" s="411" t="str">
        <f t="shared" ca="1" si="157"/>
        <v>-</v>
      </c>
      <c r="T284" s="412" t="str">
        <f t="shared" ca="1" si="158"/>
        <v/>
      </c>
      <c r="U284" s="411" t="str">
        <f t="shared" ca="1" si="159"/>
        <v>-</v>
      </c>
      <c r="V284" s="411" t="str">
        <f t="shared" ca="1" si="160"/>
        <v>-</v>
      </c>
      <c r="W284" s="413">
        <f>Cluster!N303</f>
        <v>0</v>
      </c>
      <c r="X284" s="414" t="str">
        <f t="shared" ca="1" si="161"/>
        <v>-</v>
      </c>
      <c r="Y284" s="411" t="str">
        <f t="shared" ca="1" si="162"/>
        <v>-</v>
      </c>
      <c r="Z284" s="415" t="str">
        <f t="shared" ca="1" si="163"/>
        <v>-</v>
      </c>
      <c r="AA284" s="416" t="str">
        <f t="shared" ca="1" si="164"/>
        <v>-</v>
      </c>
      <c r="AB284" s="416" t="str">
        <f t="shared" ca="1" si="165"/>
        <v/>
      </c>
      <c r="AC284" s="434">
        <f>Cluster!Q303</f>
        <v>0</v>
      </c>
      <c r="AD284" s="435" t="str">
        <f t="shared" ca="1" si="178"/>
        <v/>
      </c>
      <c r="AE284" s="436" t="str">
        <f t="shared" ca="1" si="178"/>
        <v/>
      </c>
      <c r="AF284" s="437" t="str">
        <f t="shared" ca="1" si="166"/>
        <v>-</v>
      </c>
      <c r="AG284" s="438" t="str">
        <f t="shared" ca="1" si="167"/>
        <v>-</v>
      </c>
      <c r="AH284" s="437" t="str">
        <f t="shared" ca="1" si="168"/>
        <v>-</v>
      </c>
      <c r="AI284" s="438" t="str">
        <f t="shared" ca="1" si="169"/>
        <v>-</v>
      </c>
      <c r="AJ284" s="438" t="str">
        <f t="shared" ca="1" si="170"/>
        <v>-</v>
      </c>
      <c r="AK284" s="439" t="str">
        <f ca="1">IFERROR(AE284*AD284*AL284/(IF(Cluster!AA303=Cluster!$W$8,Cluster!$W$10,IF(Cluster!AA303=Cluster!$X$8,Cluster!$X$10,IF(Cluster!AA303=Cluster!$Y$8,Cluster!$Y$10,0)))*10^3),"-")</f>
        <v>-</v>
      </c>
      <c r="AL284" s="440" t="str">
        <f ca="1">IFERROR(IF(OR(Calculation!T284&lt;(Calculation!$U$8+2),Calculation!AC284="Bypass"),IF((IF(Calculation!$O$6/((Calculation!AD284*10^-12)/(Calculation!T284*10^-9)*50)&lt;=1,1,ROUNDUP(Calculation!$O$6/((Calculation!AD284*10^-12)/(Calculation!T284*10^-9)*50),0))*50)&lt;Calculation!$AK$6,Calculation!$AK$6,IF(Calculation!$O$6/((Calculation!AD284*10^-12)/(Calculation!T284*10^-9)*50)&lt;=1,1,ROUNDUP(Calculation!$O$6/((Calculation!AD284*10^-12)/(Calculation!T284*10^-9)*50),0))*50),"-"),"-")</f>
        <v>-</v>
      </c>
      <c r="AM284" s="441" t="str">
        <f t="shared" ca="1" si="179"/>
        <v/>
      </c>
      <c r="AN284" s="442" t="str">
        <f t="shared" ca="1" si="179"/>
        <v/>
      </c>
      <c r="AO284" s="432">
        <f t="shared" ca="1" si="171"/>
        <v>384</v>
      </c>
      <c r="AP284" s="427" t="str">
        <f t="shared" ca="1" si="172"/>
        <v>-</v>
      </c>
      <c r="AQ284" s="443" t="str">
        <f t="shared" ca="1" si="173"/>
        <v>-</v>
      </c>
      <c r="AR284" s="444" t="str">
        <f t="shared" ca="1" si="174"/>
        <v>-</v>
      </c>
      <c r="AS284" s="430" t="str">
        <f t="shared" ca="1" si="175"/>
        <v>-</v>
      </c>
    </row>
    <row r="285" spans="1:45" ht="14.25" x14ac:dyDescent="0.65">
      <c r="A285" s="407">
        <v>277</v>
      </c>
      <c r="B285" s="408" t="str">
        <f t="shared" ca="1" si="156"/>
        <v/>
      </c>
      <c r="C285" s="408" t="str">
        <f ca="1">IFERROR(IF(G285="","",CONCATENATE(E285,"-",INDEX(Coordinate,MATCH(F285,ListAndConversion!$X$4:$X$99,0),2))),"")</f>
        <v/>
      </c>
      <c r="D285" s="408" t="str">
        <f t="shared" ca="1" si="176"/>
        <v/>
      </c>
      <c r="E285" s="408" t="str">
        <f t="shared" ca="1" si="176"/>
        <v/>
      </c>
      <c r="F285" s="408" t="str">
        <f t="shared" ca="1" si="176"/>
        <v/>
      </c>
      <c r="G285" s="408" t="str">
        <f ca="1">IFERROR(INDEX(ListAndConversion!A:B,MATCH(Calculation!E285,ListAndConversion!A:A,0),2),"")</f>
        <v/>
      </c>
      <c r="H285" s="408" t="str">
        <f>IF(TrackIT_Lines!AD277="","",TrackIT_Lines!AD277)</f>
        <v/>
      </c>
      <c r="I285" s="408" t="str">
        <f>IF(TrackIT_Lines!AD277="","",CONCATENATE(TrackIT_Lines!AD277,"-",TrackIT_Lines!AG277))</f>
        <v/>
      </c>
      <c r="J285" s="409" t="str">
        <f t="shared" ca="1" si="180"/>
        <v/>
      </c>
      <c r="K285" s="408" t="str">
        <f t="shared" ca="1" si="180"/>
        <v/>
      </c>
      <c r="L285" s="408" t="str">
        <f t="shared" ca="1" si="180"/>
        <v/>
      </c>
      <c r="M285" s="408" t="str">
        <f t="shared" ca="1" si="180"/>
        <v/>
      </c>
      <c r="N285" s="408" t="str">
        <f t="shared" ca="1" si="180"/>
        <v/>
      </c>
      <c r="O285" s="408" t="str">
        <f t="shared" ca="1" si="180"/>
        <v/>
      </c>
      <c r="P285" s="408" t="str">
        <f t="shared" ca="1" si="180"/>
        <v/>
      </c>
      <c r="Q285" s="408" t="str">
        <f t="shared" ca="1" si="180"/>
        <v/>
      </c>
      <c r="R285" s="410" t="str">
        <f ca="1">Cluster!J304</f>
        <v>Selection</v>
      </c>
      <c r="S285" s="411" t="str">
        <f t="shared" ca="1" si="157"/>
        <v>-</v>
      </c>
      <c r="T285" s="412" t="str">
        <f t="shared" ca="1" si="158"/>
        <v/>
      </c>
      <c r="U285" s="411" t="str">
        <f t="shared" ca="1" si="159"/>
        <v>-</v>
      </c>
      <c r="V285" s="411" t="str">
        <f t="shared" ca="1" si="160"/>
        <v>-</v>
      </c>
      <c r="W285" s="413">
        <f>Cluster!N304</f>
        <v>0</v>
      </c>
      <c r="X285" s="414" t="str">
        <f t="shared" ca="1" si="161"/>
        <v>-</v>
      </c>
      <c r="Y285" s="411" t="str">
        <f t="shared" ca="1" si="162"/>
        <v>-</v>
      </c>
      <c r="Z285" s="415" t="str">
        <f t="shared" ca="1" si="163"/>
        <v>-</v>
      </c>
      <c r="AA285" s="416" t="str">
        <f t="shared" ca="1" si="164"/>
        <v>-</v>
      </c>
      <c r="AB285" s="416" t="str">
        <f t="shared" ca="1" si="165"/>
        <v/>
      </c>
      <c r="AC285" s="434">
        <f>Cluster!Q304</f>
        <v>0</v>
      </c>
      <c r="AD285" s="435" t="str">
        <f t="shared" ca="1" si="178"/>
        <v/>
      </c>
      <c r="AE285" s="436" t="str">
        <f t="shared" ca="1" si="178"/>
        <v/>
      </c>
      <c r="AF285" s="437" t="str">
        <f t="shared" ca="1" si="166"/>
        <v>-</v>
      </c>
      <c r="AG285" s="438" t="str">
        <f t="shared" ca="1" si="167"/>
        <v>-</v>
      </c>
      <c r="AH285" s="437" t="str">
        <f t="shared" ca="1" si="168"/>
        <v>-</v>
      </c>
      <c r="AI285" s="438" t="str">
        <f t="shared" ca="1" si="169"/>
        <v>-</v>
      </c>
      <c r="AJ285" s="438" t="str">
        <f t="shared" ca="1" si="170"/>
        <v>-</v>
      </c>
      <c r="AK285" s="439" t="str">
        <f ca="1">IFERROR(AE285*AD285*AL285/(IF(Cluster!AA304=Cluster!$W$8,Cluster!$W$10,IF(Cluster!AA304=Cluster!$X$8,Cluster!$X$10,IF(Cluster!AA304=Cluster!$Y$8,Cluster!$Y$10,0)))*10^3),"-")</f>
        <v>-</v>
      </c>
      <c r="AL285" s="440" t="str">
        <f ca="1">IFERROR(IF(OR(Calculation!T285&lt;(Calculation!$U$8+2),Calculation!AC285="Bypass"),IF((IF(Calculation!$O$6/((Calculation!AD285*10^-12)/(Calculation!T285*10^-9)*50)&lt;=1,1,ROUNDUP(Calculation!$O$6/((Calculation!AD285*10^-12)/(Calculation!T285*10^-9)*50),0))*50)&lt;Calculation!$AK$6,Calculation!$AK$6,IF(Calculation!$O$6/((Calculation!AD285*10^-12)/(Calculation!T285*10^-9)*50)&lt;=1,1,ROUNDUP(Calculation!$O$6/((Calculation!AD285*10^-12)/(Calculation!T285*10^-9)*50),0))*50),"-"),"-")</f>
        <v>-</v>
      </c>
      <c r="AM285" s="441" t="str">
        <f t="shared" ca="1" si="179"/>
        <v/>
      </c>
      <c r="AN285" s="442" t="str">
        <f t="shared" ca="1" si="179"/>
        <v/>
      </c>
      <c r="AO285" s="432">
        <f t="shared" ca="1" si="171"/>
        <v>384</v>
      </c>
      <c r="AP285" s="427" t="str">
        <f t="shared" ca="1" si="172"/>
        <v>-</v>
      </c>
      <c r="AQ285" s="443" t="str">
        <f t="shared" ca="1" si="173"/>
        <v>-</v>
      </c>
      <c r="AR285" s="444" t="str">
        <f t="shared" ca="1" si="174"/>
        <v>-</v>
      </c>
      <c r="AS285" s="430" t="str">
        <f t="shared" ca="1" si="175"/>
        <v>-</v>
      </c>
    </row>
    <row r="286" spans="1:45" ht="14.25" x14ac:dyDescent="0.65">
      <c r="A286" s="407">
        <v>278</v>
      </c>
      <c r="B286" s="408" t="str">
        <f t="shared" ca="1" si="156"/>
        <v/>
      </c>
      <c r="C286" s="408" t="str">
        <f ca="1">IFERROR(IF(G286="","",CONCATENATE(E286,"-",INDEX(Coordinate,MATCH(F286,ListAndConversion!$X$4:$X$99,0),2))),"")</f>
        <v/>
      </c>
      <c r="D286" s="408" t="str">
        <f t="shared" ca="1" si="176"/>
        <v/>
      </c>
      <c r="E286" s="408" t="str">
        <f t="shared" ca="1" si="176"/>
        <v/>
      </c>
      <c r="F286" s="408" t="str">
        <f t="shared" ca="1" si="176"/>
        <v/>
      </c>
      <c r="G286" s="408" t="str">
        <f ca="1">IFERROR(INDEX(ListAndConversion!A:B,MATCH(Calculation!E286,ListAndConversion!A:A,0),2),"")</f>
        <v/>
      </c>
      <c r="H286" s="408" t="str">
        <f>IF(TrackIT_Lines!AD278="","",TrackIT_Lines!AD278)</f>
        <v/>
      </c>
      <c r="I286" s="408" t="str">
        <f>IF(TrackIT_Lines!AD278="","",CONCATENATE(TrackIT_Lines!AD278,"-",TrackIT_Lines!AG278))</f>
        <v/>
      </c>
      <c r="J286" s="409" t="str">
        <f t="shared" ca="1" si="180"/>
        <v/>
      </c>
      <c r="K286" s="408" t="str">
        <f t="shared" ca="1" si="180"/>
        <v/>
      </c>
      <c r="L286" s="408" t="str">
        <f t="shared" ca="1" si="180"/>
        <v/>
      </c>
      <c r="M286" s="408" t="str">
        <f t="shared" ca="1" si="180"/>
        <v/>
      </c>
      <c r="N286" s="408" t="str">
        <f t="shared" ca="1" si="180"/>
        <v/>
      </c>
      <c r="O286" s="408" t="str">
        <f t="shared" ca="1" si="180"/>
        <v/>
      </c>
      <c r="P286" s="408" t="str">
        <f t="shared" ca="1" si="180"/>
        <v/>
      </c>
      <c r="Q286" s="408" t="str">
        <f t="shared" ca="1" si="180"/>
        <v/>
      </c>
      <c r="R286" s="410" t="str">
        <f ca="1">Cluster!J305</f>
        <v>Selection</v>
      </c>
      <c r="S286" s="411" t="str">
        <f t="shared" ca="1" si="157"/>
        <v>-</v>
      </c>
      <c r="T286" s="412" t="str">
        <f t="shared" ca="1" si="158"/>
        <v/>
      </c>
      <c r="U286" s="411" t="str">
        <f t="shared" ca="1" si="159"/>
        <v>-</v>
      </c>
      <c r="V286" s="411" t="str">
        <f t="shared" ca="1" si="160"/>
        <v>-</v>
      </c>
      <c r="W286" s="413">
        <f>Cluster!N305</f>
        <v>0</v>
      </c>
      <c r="X286" s="414" t="str">
        <f t="shared" ca="1" si="161"/>
        <v>-</v>
      </c>
      <c r="Y286" s="411" t="str">
        <f t="shared" ca="1" si="162"/>
        <v>-</v>
      </c>
      <c r="Z286" s="415" t="str">
        <f t="shared" ca="1" si="163"/>
        <v>-</v>
      </c>
      <c r="AA286" s="416" t="str">
        <f t="shared" ca="1" si="164"/>
        <v>-</v>
      </c>
      <c r="AB286" s="416" t="str">
        <f t="shared" ca="1" si="165"/>
        <v/>
      </c>
      <c r="AC286" s="434">
        <f>Cluster!Q305</f>
        <v>0</v>
      </c>
      <c r="AD286" s="435" t="str">
        <f t="shared" ca="1" si="178"/>
        <v/>
      </c>
      <c r="AE286" s="436" t="str">
        <f t="shared" ca="1" si="178"/>
        <v/>
      </c>
      <c r="AF286" s="437" t="str">
        <f t="shared" ca="1" si="166"/>
        <v>-</v>
      </c>
      <c r="AG286" s="438" t="str">
        <f t="shared" ca="1" si="167"/>
        <v>-</v>
      </c>
      <c r="AH286" s="437" t="str">
        <f t="shared" ca="1" si="168"/>
        <v>-</v>
      </c>
      <c r="AI286" s="438" t="str">
        <f t="shared" ca="1" si="169"/>
        <v>-</v>
      </c>
      <c r="AJ286" s="438" t="str">
        <f t="shared" ca="1" si="170"/>
        <v>-</v>
      </c>
      <c r="AK286" s="439" t="str">
        <f ca="1">IFERROR(AE286*AD286*AL286/(IF(Cluster!AA305=Cluster!$W$8,Cluster!$W$10,IF(Cluster!AA305=Cluster!$X$8,Cluster!$X$10,IF(Cluster!AA305=Cluster!$Y$8,Cluster!$Y$10,0)))*10^3),"-")</f>
        <v>-</v>
      </c>
      <c r="AL286" s="440" t="str">
        <f ca="1">IFERROR(IF(OR(Calculation!T286&lt;(Calculation!$U$8+2),Calculation!AC286="Bypass"),IF((IF(Calculation!$O$6/((Calculation!AD286*10^-12)/(Calculation!T286*10^-9)*50)&lt;=1,1,ROUNDUP(Calculation!$O$6/((Calculation!AD286*10^-12)/(Calculation!T286*10^-9)*50),0))*50)&lt;Calculation!$AK$6,Calculation!$AK$6,IF(Calculation!$O$6/((Calculation!AD286*10^-12)/(Calculation!T286*10^-9)*50)&lt;=1,1,ROUNDUP(Calculation!$O$6/((Calculation!AD286*10^-12)/(Calculation!T286*10^-9)*50),0))*50),"-"),"-")</f>
        <v>-</v>
      </c>
      <c r="AM286" s="441" t="str">
        <f t="shared" ca="1" si="179"/>
        <v/>
      </c>
      <c r="AN286" s="442" t="str">
        <f t="shared" ca="1" si="179"/>
        <v/>
      </c>
      <c r="AO286" s="432">
        <f t="shared" ca="1" si="171"/>
        <v>384</v>
      </c>
      <c r="AP286" s="427" t="str">
        <f t="shared" ca="1" si="172"/>
        <v>-</v>
      </c>
      <c r="AQ286" s="443" t="str">
        <f t="shared" ca="1" si="173"/>
        <v>-</v>
      </c>
      <c r="AR286" s="444" t="str">
        <f t="shared" ca="1" si="174"/>
        <v>-</v>
      </c>
      <c r="AS286" s="430" t="str">
        <f t="shared" ca="1" si="175"/>
        <v>-</v>
      </c>
    </row>
    <row r="287" spans="1:45" ht="14.25" x14ac:dyDescent="0.65">
      <c r="A287" s="407">
        <v>279</v>
      </c>
      <c r="B287" s="408" t="str">
        <f t="shared" ca="1" si="156"/>
        <v/>
      </c>
      <c r="C287" s="408" t="str">
        <f ca="1">IFERROR(IF(G287="","",CONCATENATE(E287,"-",INDEX(Coordinate,MATCH(F287,ListAndConversion!$X$4:$X$99,0),2))),"")</f>
        <v/>
      </c>
      <c r="D287" s="408" t="str">
        <f t="shared" ca="1" si="176"/>
        <v/>
      </c>
      <c r="E287" s="408" t="str">
        <f t="shared" ca="1" si="176"/>
        <v/>
      </c>
      <c r="F287" s="408" t="str">
        <f t="shared" ca="1" si="176"/>
        <v/>
      </c>
      <c r="G287" s="408" t="str">
        <f ca="1">IFERROR(INDEX(ListAndConversion!A:B,MATCH(Calculation!E287,ListAndConversion!A:A,0),2),"")</f>
        <v/>
      </c>
      <c r="H287" s="408" t="str">
        <f>IF(TrackIT_Lines!AD279="","",TrackIT_Lines!AD279)</f>
        <v/>
      </c>
      <c r="I287" s="408" t="str">
        <f>IF(TrackIT_Lines!AD279="","",CONCATENATE(TrackIT_Lines!AD279,"-",TrackIT_Lines!AG279))</f>
        <v/>
      </c>
      <c r="J287" s="409" t="str">
        <f t="shared" ca="1" si="180"/>
        <v/>
      </c>
      <c r="K287" s="408" t="str">
        <f t="shared" ca="1" si="180"/>
        <v/>
      </c>
      <c r="L287" s="408" t="str">
        <f t="shared" ca="1" si="180"/>
        <v/>
      </c>
      <c r="M287" s="408" t="str">
        <f t="shared" ca="1" si="180"/>
        <v/>
      </c>
      <c r="N287" s="408" t="str">
        <f t="shared" ca="1" si="180"/>
        <v/>
      </c>
      <c r="O287" s="408" t="str">
        <f t="shared" ca="1" si="180"/>
        <v/>
      </c>
      <c r="P287" s="408" t="str">
        <f t="shared" ca="1" si="180"/>
        <v/>
      </c>
      <c r="Q287" s="408" t="str">
        <f t="shared" ca="1" si="180"/>
        <v/>
      </c>
      <c r="R287" s="410" t="str">
        <f ca="1">Cluster!J306</f>
        <v>Selection</v>
      </c>
      <c r="S287" s="411" t="str">
        <f t="shared" ca="1" si="157"/>
        <v>-</v>
      </c>
      <c r="T287" s="412" t="str">
        <f t="shared" ca="1" si="158"/>
        <v/>
      </c>
      <c r="U287" s="411" t="str">
        <f t="shared" ca="1" si="159"/>
        <v>-</v>
      </c>
      <c r="V287" s="411" t="str">
        <f t="shared" ca="1" si="160"/>
        <v>-</v>
      </c>
      <c r="W287" s="413">
        <f>Cluster!N306</f>
        <v>0</v>
      </c>
      <c r="X287" s="414" t="str">
        <f t="shared" ca="1" si="161"/>
        <v>-</v>
      </c>
      <c r="Y287" s="411" t="str">
        <f t="shared" ca="1" si="162"/>
        <v>-</v>
      </c>
      <c r="Z287" s="415" t="str">
        <f t="shared" ca="1" si="163"/>
        <v>-</v>
      </c>
      <c r="AA287" s="416" t="str">
        <f t="shared" ca="1" si="164"/>
        <v>-</v>
      </c>
      <c r="AB287" s="416" t="str">
        <f t="shared" ca="1" si="165"/>
        <v/>
      </c>
      <c r="AC287" s="434">
        <f>Cluster!Q306</f>
        <v>0</v>
      </c>
      <c r="AD287" s="435" t="str">
        <f t="shared" ca="1" si="178"/>
        <v/>
      </c>
      <c r="AE287" s="436" t="str">
        <f t="shared" ca="1" si="178"/>
        <v/>
      </c>
      <c r="AF287" s="437" t="str">
        <f t="shared" ca="1" si="166"/>
        <v>-</v>
      </c>
      <c r="AG287" s="438" t="str">
        <f t="shared" ca="1" si="167"/>
        <v>-</v>
      </c>
      <c r="AH287" s="437" t="str">
        <f t="shared" ca="1" si="168"/>
        <v>-</v>
      </c>
      <c r="AI287" s="438" t="str">
        <f t="shared" ca="1" si="169"/>
        <v>-</v>
      </c>
      <c r="AJ287" s="438" t="str">
        <f t="shared" ca="1" si="170"/>
        <v>-</v>
      </c>
      <c r="AK287" s="439" t="str">
        <f ca="1">IFERROR(AE287*AD287*AL287/(IF(Cluster!AA306=Cluster!$W$8,Cluster!$W$10,IF(Cluster!AA306=Cluster!$X$8,Cluster!$X$10,IF(Cluster!AA306=Cluster!$Y$8,Cluster!$Y$10,0)))*10^3),"-")</f>
        <v>-</v>
      </c>
      <c r="AL287" s="440" t="str">
        <f ca="1">IFERROR(IF(OR(Calculation!T287&lt;(Calculation!$U$8+2),Calculation!AC287="Bypass"),IF((IF(Calculation!$O$6/((Calculation!AD287*10^-12)/(Calculation!T287*10^-9)*50)&lt;=1,1,ROUNDUP(Calculation!$O$6/((Calculation!AD287*10^-12)/(Calculation!T287*10^-9)*50),0))*50)&lt;Calculation!$AK$6,Calculation!$AK$6,IF(Calculation!$O$6/((Calculation!AD287*10^-12)/(Calculation!T287*10^-9)*50)&lt;=1,1,ROUNDUP(Calculation!$O$6/((Calculation!AD287*10^-12)/(Calculation!T287*10^-9)*50),0))*50),"-"),"-")</f>
        <v>-</v>
      </c>
      <c r="AM287" s="441" t="str">
        <f t="shared" ca="1" si="179"/>
        <v/>
      </c>
      <c r="AN287" s="442" t="str">
        <f t="shared" ca="1" si="179"/>
        <v/>
      </c>
      <c r="AO287" s="432">
        <f t="shared" ca="1" si="171"/>
        <v>384</v>
      </c>
      <c r="AP287" s="427" t="str">
        <f t="shared" ca="1" si="172"/>
        <v>-</v>
      </c>
      <c r="AQ287" s="443" t="str">
        <f t="shared" ca="1" si="173"/>
        <v>-</v>
      </c>
      <c r="AR287" s="444" t="str">
        <f t="shared" ca="1" si="174"/>
        <v>-</v>
      </c>
      <c r="AS287" s="430" t="str">
        <f t="shared" ca="1" si="175"/>
        <v>-</v>
      </c>
    </row>
    <row r="288" spans="1:45" ht="14.25" x14ac:dyDescent="0.65">
      <c r="A288" s="407">
        <v>280</v>
      </c>
      <c r="B288" s="408" t="str">
        <f t="shared" ca="1" si="156"/>
        <v/>
      </c>
      <c r="C288" s="408" t="str">
        <f ca="1">IFERROR(IF(G288="","",CONCATENATE(E288,"-",INDEX(Coordinate,MATCH(F288,ListAndConversion!$X$4:$X$99,0),2))),"")</f>
        <v/>
      </c>
      <c r="D288" s="408" t="str">
        <f t="shared" ca="1" si="176"/>
        <v/>
      </c>
      <c r="E288" s="408" t="str">
        <f t="shared" ca="1" si="176"/>
        <v/>
      </c>
      <c r="F288" s="408" t="str">
        <f t="shared" ca="1" si="176"/>
        <v/>
      </c>
      <c r="G288" s="408" t="str">
        <f ca="1">IFERROR(INDEX(ListAndConversion!A:B,MATCH(Calculation!E288,ListAndConversion!A:A,0),2),"")</f>
        <v/>
      </c>
      <c r="H288" s="408" t="str">
        <f>IF(TrackIT_Lines!AD280="","",TrackIT_Lines!AD280)</f>
        <v/>
      </c>
      <c r="I288" s="408" t="str">
        <f>IF(TrackIT_Lines!AD280="","",CONCATENATE(TrackIT_Lines!AD280,"-",TrackIT_Lines!AG280))</f>
        <v/>
      </c>
      <c r="J288" s="409" t="str">
        <f t="shared" ca="1" si="180"/>
        <v/>
      </c>
      <c r="K288" s="408" t="str">
        <f t="shared" ca="1" si="180"/>
        <v/>
      </c>
      <c r="L288" s="408" t="str">
        <f t="shared" ca="1" si="180"/>
        <v/>
      </c>
      <c r="M288" s="408" t="str">
        <f t="shared" ca="1" si="180"/>
        <v/>
      </c>
      <c r="N288" s="408" t="str">
        <f t="shared" ca="1" si="180"/>
        <v/>
      </c>
      <c r="O288" s="408" t="str">
        <f t="shared" ca="1" si="180"/>
        <v/>
      </c>
      <c r="P288" s="408" t="str">
        <f t="shared" ca="1" si="180"/>
        <v/>
      </c>
      <c r="Q288" s="408" t="str">
        <f t="shared" ca="1" si="180"/>
        <v/>
      </c>
      <c r="R288" s="410" t="str">
        <f ca="1">Cluster!J307</f>
        <v>Selection</v>
      </c>
      <c r="S288" s="411" t="str">
        <f t="shared" ca="1" si="157"/>
        <v>-</v>
      </c>
      <c r="T288" s="412" t="str">
        <f t="shared" ca="1" si="158"/>
        <v/>
      </c>
      <c r="U288" s="411" t="str">
        <f t="shared" ca="1" si="159"/>
        <v>-</v>
      </c>
      <c r="V288" s="411" t="str">
        <f t="shared" ca="1" si="160"/>
        <v>-</v>
      </c>
      <c r="W288" s="413">
        <f>Cluster!N307</f>
        <v>0</v>
      </c>
      <c r="X288" s="414" t="str">
        <f t="shared" ca="1" si="161"/>
        <v>-</v>
      </c>
      <c r="Y288" s="411" t="str">
        <f t="shared" ca="1" si="162"/>
        <v>-</v>
      </c>
      <c r="Z288" s="415" t="str">
        <f t="shared" ca="1" si="163"/>
        <v>-</v>
      </c>
      <c r="AA288" s="416" t="str">
        <f t="shared" ca="1" si="164"/>
        <v>-</v>
      </c>
      <c r="AB288" s="416" t="str">
        <f t="shared" ca="1" si="165"/>
        <v/>
      </c>
      <c r="AC288" s="434">
        <f>Cluster!Q307</f>
        <v>0</v>
      </c>
      <c r="AD288" s="435" t="str">
        <f t="shared" ca="1" si="178"/>
        <v/>
      </c>
      <c r="AE288" s="436" t="str">
        <f t="shared" ca="1" si="178"/>
        <v/>
      </c>
      <c r="AF288" s="437" t="str">
        <f t="shared" ca="1" si="166"/>
        <v>-</v>
      </c>
      <c r="AG288" s="438" t="str">
        <f t="shared" ca="1" si="167"/>
        <v>-</v>
      </c>
      <c r="AH288" s="437" t="str">
        <f t="shared" ca="1" si="168"/>
        <v>-</v>
      </c>
      <c r="AI288" s="438" t="str">
        <f t="shared" ca="1" si="169"/>
        <v>-</v>
      </c>
      <c r="AJ288" s="438" t="str">
        <f t="shared" ca="1" si="170"/>
        <v>-</v>
      </c>
      <c r="AK288" s="439" t="str">
        <f ca="1">IFERROR(AE288*AD288*AL288/(IF(Cluster!AA307=Cluster!$W$8,Cluster!$W$10,IF(Cluster!AA307=Cluster!$X$8,Cluster!$X$10,IF(Cluster!AA307=Cluster!$Y$8,Cluster!$Y$10,0)))*10^3),"-")</f>
        <v>-</v>
      </c>
      <c r="AL288" s="440" t="str">
        <f ca="1">IFERROR(IF(OR(Calculation!T288&lt;(Calculation!$U$8+2),Calculation!AC288="Bypass"),IF((IF(Calculation!$O$6/((Calculation!AD288*10^-12)/(Calculation!T288*10^-9)*50)&lt;=1,1,ROUNDUP(Calculation!$O$6/((Calculation!AD288*10^-12)/(Calculation!T288*10^-9)*50),0))*50)&lt;Calculation!$AK$6,Calculation!$AK$6,IF(Calculation!$O$6/((Calculation!AD288*10^-12)/(Calculation!T288*10^-9)*50)&lt;=1,1,ROUNDUP(Calculation!$O$6/((Calculation!AD288*10^-12)/(Calculation!T288*10^-9)*50),0))*50),"-"),"-")</f>
        <v>-</v>
      </c>
      <c r="AM288" s="441" t="str">
        <f t="shared" ca="1" si="179"/>
        <v/>
      </c>
      <c r="AN288" s="442" t="str">
        <f t="shared" ca="1" si="179"/>
        <v/>
      </c>
      <c r="AO288" s="432">
        <f t="shared" ca="1" si="171"/>
        <v>384</v>
      </c>
      <c r="AP288" s="427" t="str">
        <f t="shared" ca="1" si="172"/>
        <v>-</v>
      </c>
      <c r="AQ288" s="443" t="str">
        <f t="shared" ca="1" si="173"/>
        <v>-</v>
      </c>
      <c r="AR288" s="444" t="str">
        <f t="shared" ca="1" si="174"/>
        <v>-</v>
      </c>
      <c r="AS288" s="430" t="str">
        <f t="shared" ca="1" si="175"/>
        <v>-</v>
      </c>
    </row>
    <row r="289" spans="1:45" ht="14.25" x14ac:dyDescent="0.65">
      <c r="A289" s="407">
        <v>281</v>
      </c>
      <c r="B289" s="408" t="str">
        <f t="shared" ca="1" si="156"/>
        <v/>
      </c>
      <c r="C289" s="408" t="str">
        <f ca="1">IFERROR(IF(G289="","",CONCATENATE(E289,"-",INDEX(Coordinate,MATCH(F289,ListAndConversion!$X$4:$X$99,0),2))),"")</f>
        <v/>
      </c>
      <c r="D289" s="408" t="str">
        <f t="shared" ca="1" si="176"/>
        <v/>
      </c>
      <c r="E289" s="408" t="str">
        <f t="shared" ca="1" si="176"/>
        <v/>
      </c>
      <c r="F289" s="408" t="str">
        <f t="shared" ca="1" si="176"/>
        <v/>
      </c>
      <c r="G289" s="408" t="str">
        <f ca="1">IFERROR(INDEX(ListAndConversion!A:B,MATCH(Calculation!E289,ListAndConversion!A:A,0),2),"")</f>
        <v/>
      </c>
      <c r="H289" s="408" t="str">
        <f>IF(TrackIT_Lines!AD281="","",TrackIT_Lines!AD281)</f>
        <v/>
      </c>
      <c r="I289" s="408" t="str">
        <f>IF(TrackIT_Lines!AD281="","",CONCATENATE(TrackIT_Lines!AD281,"-",TrackIT_Lines!AG281))</f>
        <v/>
      </c>
      <c r="J289" s="409" t="str">
        <f t="shared" ca="1" si="180"/>
        <v/>
      </c>
      <c r="K289" s="408" t="str">
        <f t="shared" ca="1" si="180"/>
        <v/>
      </c>
      <c r="L289" s="408" t="str">
        <f t="shared" ca="1" si="180"/>
        <v/>
      </c>
      <c r="M289" s="408" t="str">
        <f t="shared" ca="1" si="180"/>
        <v/>
      </c>
      <c r="N289" s="408" t="str">
        <f t="shared" ca="1" si="180"/>
        <v/>
      </c>
      <c r="O289" s="408" t="str">
        <f t="shared" ca="1" si="180"/>
        <v/>
      </c>
      <c r="P289" s="408" t="str">
        <f t="shared" ca="1" si="180"/>
        <v/>
      </c>
      <c r="Q289" s="408" t="str">
        <f t="shared" ca="1" si="180"/>
        <v/>
      </c>
      <c r="R289" s="410" t="str">
        <f ca="1">Cluster!J308</f>
        <v>Selection</v>
      </c>
      <c r="S289" s="411" t="str">
        <f t="shared" ca="1" si="157"/>
        <v>-</v>
      </c>
      <c r="T289" s="412" t="str">
        <f t="shared" ca="1" si="158"/>
        <v/>
      </c>
      <c r="U289" s="411" t="str">
        <f t="shared" ca="1" si="159"/>
        <v>-</v>
      </c>
      <c r="V289" s="411" t="str">
        <f t="shared" ca="1" si="160"/>
        <v>-</v>
      </c>
      <c r="W289" s="413">
        <f>Cluster!N308</f>
        <v>0</v>
      </c>
      <c r="X289" s="414" t="str">
        <f t="shared" ca="1" si="161"/>
        <v>-</v>
      </c>
      <c r="Y289" s="411" t="str">
        <f t="shared" ca="1" si="162"/>
        <v>-</v>
      </c>
      <c r="Z289" s="415" t="str">
        <f t="shared" ca="1" si="163"/>
        <v>-</v>
      </c>
      <c r="AA289" s="416" t="str">
        <f t="shared" ca="1" si="164"/>
        <v>-</v>
      </c>
      <c r="AB289" s="416" t="str">
        <f t="shared" ca="1" si="165"/>
        <v/>
      </c>
      <c r="AC289" s="434">
        <f>Cluster!Q308</f>
        <v>0</v>
      </c>
      <c r="AD289" s="435" t="str">
        <f t="shared" ca="1" si="178"/>
        <v/>
      </c>
      <c r="AE289" s="436" t="str">
        <f t="shared" ca="1" si="178"/>
        <v/>
      </c>
      <c r="AF289" s="437" t="str">
        <f t="shared" ca="1" si="166"/>
        <v>-</v>
      </c>
      <c r="AG289" s="438" t="str">
        <f t="shared" ca="1" si="167"/>
        <v>-</v>
      </c>
      <c r="AH289" s="437" t="str">
        <f t="shared" ca="1" si="168"/>
        <v>-</v>
      </c>
      <c r="AI289" s="438" t="str">
        <f t="shared" ca="1" si="169"/>
        <v>-</v>
      </c>
      <c r="AJ289" s="438" t="str">
        <f t="shared" ca="1" si="170"/>
        <v>-</v>
      </c>
      <c r="AK289" s="439" t="str">
        <f ca="1">IFERROR(AE289*AD289*AL289/(IF(Cluster!AA308=Cluster!$W$8,Cluster!$W$10,IF(Cluster!AA308=Cluster!$X$8,Cluster!$X$10,IF(Cluster!AA308=Cluster!$Y$8,Cluster!$Y$10,0)))*10^3),"-")</f>
        <v>-</v>
      </c>
      <c r="AL289" s="440" t="str">
        <f ca="1">IFERROR(IF(OR(Calculation!T289&lt;(Calculation!$U$8+2),Calculation!AC289="Bypass"),IF((IF(Calculation!$O$6/((Calculation!AD289*10^-12)/(Calculation!T289*10^-9)*50)&lt;=1,1,ROUNDUP(Calculation!$O$6/((Calculation!AD289*10^-12)/(Calculation!T289*10^-9)*50),0))*50)&lt;Calculation!$AK$6,Calculation!$AK$6,IF(Calculation!$O$6/((Calculation!AD289*10^-12)/(Calculation!T289*10^-9)*50)&lt;=1,1,ROUNDUP(Calculation!$O$6/((Calculation!AD289*10^-12)/(Calculation!T289*10^-9)*50),0))*50),"-"),"-")</f>
        <v>-</v>
      </c>
      <c r="AM289" s="441" t="str">
        <f t="shared" ca="1" si="179"/>
        <v/>
      </c>
      <c r="AN289" s="442" t="str">
        <f t="shared" ca="1" si="179"/>
        <v/>
      </c>
      <c r="AO289" s="432">
        <f t="shared" ca="1" si="171"/>
        <v>384</v>
      </c>
      <c r="AP289" s="427" t="str">
        <f t="shared" ca="1" si="172"/>
        <v>-</v>
      </c>
      <c r="AQ289" s="443" t="str">
        <f t="shared" ca="1" si="173"/>
        <v>-</v>
      </c>
      <c r="AR289" s="444" t="str">
        <f t="shared" ca="1" si="174"/>
        <v>-</v>
      </c>
      <c r="AS289" s="430" t="str">
        <f t="shared" ca="1" si="175"/>
        <v>-</v>
      </c>
    </row>
    <row r="290" spans="1:45" ht="14.25" x14ac:dyDescent="0.65">
      <c r="A290" s="407">
        <v>282</v>
      </c>
      <c r="B290" s="408" t="str">
        <f t="shared" ca="1" si="156"/>
        <v/>
      </c>
      <c r="C290" s="408" t="str">
        <f ca="1">IFERROR(IF(G290="","",CONCATENATE(E290,"-",INDEX(Coordinate,MATCH(F290,ListAndConversion!$X$4:$X$99,0),2))),"")</f>
        <v/>
      </c>
      <c r="D290" s="408" t="str">
        <f t="shared" ref="D290:F309" ca="1" si="181">IF((INDIRECT("TrackIT_Lines!"&amp;D$2&amp;$A290))="","", (INDIRECT("TrackIT_Lines!"&amp;D$2&amp;$A290)))</f>
        <v/>
      </c>
      <c r="E290" s="408" t="str">
        <f t="shared" ca="1" si="181"/>
        <v/>
      </c>
      <c r="F290" s="408" t="str">
        <f t="shared" ca="1" si="181"/>
        <v/>
      </c>
      <c r="G290" s="408" t="str">
        <f ca="1">IFERROR(INDEX(ListAndConversion!A:B,MATCH(Calculation!E290,ListAndConversion!A:A,0),2),"")</f>
        <v/>
      </c>
      <c r="H290" s="408" t="str">
        <f>IF(TrackIT_Lines!AD282="","",TrackIT_Lines!AD282)</f>
        <v/>
      </c>
      <c r="I290" s="408" t="str">
        <f>IF(TrackIT_Lines!AD282="","",CONCATENATE(TrackIT_Lines!AD282,"-",TrackIT_Lines!AG282))</f>
        <v/>
      </c>
      <c r="J290" s="409" t="str">
        <f t="shared" ref="J290:Q299" ca="1" si="182">IF((INDIRECT("TrackIT_Lines!"&amp;J$2&amp;$A290))="","", (INDIRECT("TrackIT_Lines!"&amp;J$2&amp;$A290)))</f>
        <v/>
      </c>
      <c r="K290" s="408" t="str">
        <f t="shared" ca="1" si="182"/>
        <v/>
      </c>
      <c r="L290" s="408" t="str">
        <f t="shared" ca="1" si="182"/>
        <v/>
      </c>
      <c r="M290" s="408" t="str">
        <f t="shared" ca="1" si="182"/>
        <v/>
      </c>
      <c r="N290" s="408" t="str">
        <f t="shared" ca="1" si="182"/>
        <v/>
      </c>
      <c r="O290" s="408" t="str">
        <f t="shared" ca="1" si="182"/>
        <v/>
      </c>
      <c r="P290" s="408" t="str">
        <f t="shared" ca="1" si="182"/>
        <v/>
      </c>
      <c r="Q290" s="408" t="str">
        <f t="shared" ca="1" si="182"/>
        <v/>
      </c>
      <c r="R290" s="410" t="str">
        <f ca="1">Cluster!J309</f>
        <v>Selection</v>
      </c>
      <c r="S290" s="411" t="str">
        <f t="shared" ca="1" si="157"/>
        <v>-</v>
      </c>
      <c r="T290" s="412" t="str">
        <f t="shared" ca="1" si="158"/>
        <v/>
      </c>
      <c r="U290" s="411" t="str">
        <f t="shared" ca="1" si="159"/>
        <v>-</v>
      </c>
      <c r="V290" s="411" t="str">
        <f t="shared" ca="1" si="160"/>
        <v>-</v>
      </c>
      <c r="W290" s="413">
        <f>Cluster!N309</f>
        <v>0</v>
      </c>
      <c r="X290" s="414" t="str">
        <f t="shared" ca="1" si="161"/>
        <v>-</v>
      </c>
      <c r="Y290" s="411" t="str">
        <f t="shared" ca="1" si="162"/>
        <v>-</v>
      </c>
      <c r="Z290" s="415" t="str">
        <f t="shared" ca="1" si="163"/>
        <v>-</v>
      </c>
      <c r="AA290" s="416" t="str">
        <f t="shared" ca="1" si="164"/>
        <v>-</v>
      </c>
      <c r="AB290" s="416" t="str">
        <f t="shared" ca="1" si="165"/>
        <v/>
      </c>
      <c r="AC290" s="434">
        <f>Cluster!Q309</f>
        <v>0</v>
      </c>
      <c r="AD290" s="435" t="str">
        <f t="shared" ref="AD290:AE309" ca="1" si="183">IF((INDIRECT("TrackIT_Lines!"&amp;AD$2&amp;$A290))="","", (INDIRECT("TrackIT_Lines!"&amp;AD$2&amp;$A290)))</f>
        <v/>
      </c>
      <c r="AE290" s="436" t="str">
        <f t="shared" ca="1" si="183"/>
        <v/>
      </c>
      <c r="AF290" s="437" t="str">
        <f t="shared" ca="1" si="166"/>
        <v>-</v>
      </c>
      <c r="AG290" s="438" t="str">
        <f t="shared" ca="1" si="167"/>
        <v>-</v>
      </c>
      <c r="AH290" s="437" t="str">
        <f t="shared" ca="1" si="168"/>
        <v>-</v>
      </c>
      <c r="AI290" s="438" t="str">
        <f t="shared" ca="1" si="169"/>
        <v>-</v>
      </c>
      <c r="AJ290" s="438" t="str">
        <f t="shared" ca="1" si="170"/>
        <v>-</v>
      </c>
      <c r="AK290" s="439" t="str">
        <f ca="1">IFERROR(AE290*AD290*AL290/(IF(Cluster!AA309=Cluster!$W$8,Cluster!$W$10,IF(Cluster!AA309=Cluster!$X$8,Cluster!$X$10,IF(Cluster!AA309=Cluster!$Y$8,Cluster!$Y$10,0)))*10^3),"-")</f>
        <v>-</v>
      </c>
      <c r="AL290" s="440" t="str">
        <f ca="1">IFERROR(IF(OR(Calculation!T290&lt;(Calculation!$U$8+2),Calculation!AC290="Bypass"),IF((IF(Calculation!$O$6/((Calculation!AD290*10^-12)/(Calculation!T290*10^-9)*50)&lt;=1,1,ROUNDUP(Calculation!$O$6/((Calculation!AD290*10^-12)/(Calculation!T290*10^-9)*50),0))*50)&lt;Calculation!$AK$6,Calculation!$AK$6,IF(Calculation!$O$6/((Calculation!AD290*10^-12)/(Calculation!T290*10^-9)*50)&lt;=1,1,ROUNDUP(Calculation!$O$6/((Calculation!AD290*10^-12)/(Calculation!T290*10^-9)*50),0))*50),"-"),"-")</f>
        <v>-</v>
      </c>
      <c r="AM290" s="441" t="str">
        <f t="shared" ref="AM290:AN309" ca="1" si="184">IF((INDIRECT("TrackIT_Lines!"&amp;AM$2&amp;$A290))="","", (INDIRECT("TrackIT_Lines!"&amp;AM$2&amp;$A290)))</f>
        <v/>
      </c>
      <c r="AN290" s="442" t="str">
        <f t="shared" ca="1" si="184"/>
        <v/>
      </c>
      <c r="AO290" s="432">
        <f t="shared" ca="1" si="171"/>
        <v>384</v>
      </c>
      <c r="AP290" s="427" t="str">
        <f t="shared" ca="1" si="172"/>
        <v>-</v>
      </c>
      <c r="AQ290" s="443" t="str">
        <f t="shared" ca="1" si="173"/>
        <v>-</v>
      </c>
      <c r="AR290" s="444" t="str">
        <f t="shared" ca="1" si="174"/>
        <v>-</v>
      </c>
      <c r="AS290" s="430" t="str">
        <f t="shared" ca="1" si="175"/>
        <v>-</v>
      </c>
    </row>
    <row r="291" spans="1:45" ht="14.25" x14ac:dyDescent="0.65">
      <c r="A291" s="407">
        <v>283</v>
      </c>
      <c r="B291" s="408" t="str">
        <f t="shared" ca="1" si="156"/>
        <v/>
      </c>
      <c r="C291" s="408" t="str">
        <f ca="1">IFERROR(IF(G291="","",CONCATENATE(E291,"-",INDEX(Coordinate,MATCH(F291,ListAndConversion!$X$4:$X$99,0),2))),"")</f>
        <v/>
      </c>
      <c r="D291" s="408" t="str">
        <f t="shared" ca="1" si="181"/>
        <v/>
      </c>
      <c r="E291" s="408" t="str">
        <f t="shared" ca="1" si="181"/>
        <v/>
      </c>
      <c r="F291" s="408" t="str">
        <f t="shared" ca="1" si="181"/>
        <v/>
      </c>
      <c r="G291" s="408" t="str">
        <f ca="1">IFERROR(INDEX(ListAndConversion!A:B,MATCH(Calculation!E291,ListAndConversion!A:A,0),2),"")</f>
        <v/>
      </c>
      <c r="H291" s="408" t="str">
        <f>IF(TrackIT_Lines!AD283="","",TrackIT_Lines!AD283)</f>
        <v/>
      </c>
      <c r="I291" s="408" t="str">
        <f>IF(TrackIT_Lines!AD283="","",CONCATENATE(TrackIT_Lines!AD283,"-",TrackIT_Lines!AG283))</f>
        <v/>
      </c>
      <c r="J291" s="409" t="str">
        <f t="shared" ca="1" si="182"/>
        <v/>
      </c>
      <c r="K291" s="408" t="str">
        <f t="shared" ca="1" si="182"/>
        <v/>
      </c>
      <c r="L291" s="408" t="str">
        <f t="shared" ca="1" si="182"/>
        <v/>
      </c>
      <c r="M291" s="408" t="str">
        <f t="shared" ca="1" si="182"/>
        <v/>
      </c>
      <c r="N291" s="408" t="str">
        <f t="shared" ca="1" si="182"/>
        <v/>
      </c>
      <c r="O291" s="408" t="str">
        <f t="shared" ca="1" si="182"/>
        <v/>
      </c>
      <c r="P291" s="408" t="str">
        <f t="shared" ca="1" si="182"/>
        <v/>
      </c>
      <c r="Q291" s="408" t="str">
        <f t="shared" ca="1" si="182"/>
        <v/>
      </c>
      <c r="R291" s="410" t="str">
        <f ca="1">Cluster!J310</f>
        <v>Selection</v>
      </c>
      <c r="S291" s="411" t="str">
        <f t="shared" ca="1" si="157"/>
        <v>-</v>
      </c>
      <c r="T291" s="412" t="str">
        <f t="shared" ca="1" si="158"/>
        <v/>
      </c>
      <c r="U291" s="411" t="str">
        <f t="shared" ca="1" si="159"/>
        <v>-</v>
      </c>
      <c r="V291" s="411" t="str">
        <f t="shared" ca="1" si="160"/>
        <v>-</v>
      </c>
      <c r="W291" s="413">
        <f>Cluster!N310</f>
        <v>0</v>
      </c>
      <c r="X291" s="414" t="str">
        <f t="shared" ca="1" si="161"/>
        <v>-</v>
      </c>
      <c r="Y291" s="411" t="str">
        <f t="shared" ca="1" si="162"/>
        <v>-</v>
      </c>
      <c r="Z291" s="415" t="str">
        <f t="shared" ca="1" si="163"/>
        <v>-</v>
      </c>
      <c r="AA291" s="416" t="str">
        <f t="shared" ca="1" si="164"/>
        <v>-</v>
      </c>
      <c r="AB291" s="416" t="str">
        <f t="shared" ca="1" si="165"/>
        <v/>
      </c>
      <c r="AC291" s="434">
        <f>Cluster!Q310</f>
        <v>0</v>
      </c>
      <c r="AD291" s="435" t="str">
        <f t="shared" ca="1" si="183"/>
        <v/>
      </c>
      <c r="AE291" s="436" t="str">
        <f t="shared" ca="1" si="183"/>
        <v/>
      </c>
      <c r="AF291" s="437" t="str">
        <f t="shared" ca="1" si="166"/>
        <v>-</v>
      </c>
      <c r="AG291" s="438" t="str">
        <f t="shared" ca="1" si="167"/>
        <v>-</v>
      </c>
      <c r="AH291" s="437" t="str">
        <f t="shared" ca="1" si="168"/>
        <v>-</v>
      </c>
      <c r="AI291" s="438" t="str">
        <f t="shared" ca="1" si="169"/>
        <v>-</v>
      </c>
      <c r="AJ291" s="438" t="str">
        <f t="shared" ca="1" si="170"/>
        <v>-</v>
      </c>
      <c r="AK291" s="439" t="str">
        <f ca="1">IFERROR(AE291*AD291*AL291/(IF(Cluster!AA310=Cluster!$W$8,Cluster!$W$10,IF(Cluster!AA310=Cluster!$X$8,Cluster!$X$10,IF(Cluster!AA310=Cluster!$Y$8,Cluster!$Y$10,0)))*10^3),"-")</f>
        <v>-</v>
      </c>
      <c r="AL291" s="440" t="str">
        <f ca="1">IFERROR(IF(OR(Calculation!T291&lt;(Calculation!$U$8+2),Calculation!AC291="Bypass"),IF((IF(Calculation!$O$6/((Calculation!AD291*10^-12)/(Calculation!T291*10^-9)*50)&lt;=1,1,ROUNDUP(Calculation!$O$6/((Calculation!AD291*10^-12)/(Calculation!T291*10^-9)*50),0))*50)&lt;Calculation!$AK$6,Calculation!$AK$6,IF(Calculation!$O$6/((Calculation!AD291*10^-12)/(Calculation!T291*10^-9)*50)&lt;=1,1,ROUNDUP(Calculation!$O$6/((Calculation!AD291*10^-12)/(Calculation!T291*10^-9)*50),0))*50),"-"),"-")</f>
        <v>-</v>
      </c>
      <c r="AM291" s="441" t="str">
        <f t="shared" ca="1" si="184"/>
        <v/>
      </c>
      <c r="AN291" s="442" t="str">
        <f t="shared" ca="1" si="184"/>
        <v/>
      </c>
      <c r="AO291" s="432">
        <f t="shared" ca="1" si="171"/>
        <v>384</v>
      </c>
      <c r="AP291" s="427" t="str">
        <f t="shared" ca="1" si="172"/>
        <v>-</v>
      </c>
      <c r="AQ291" s="443" t="str">
        <f t="shared" ca="1" si="173"/>
        <v>-</v>
      </c>
      <c r="AR291" s="444" t="str">
        <f t="shared" ca="1" si="174"/>
        <v>-</v>
      </c>
      <c r="AS291" s="430" t="str">
        <f t="shared" ca="1" si="175"/>
        <v>-</v>
      </c>
    </row>
    <row r="292" spans="1:45" ht="14.25" x14ac:dyDescent="0.65">
      <c r="A292" s="407">
        <v>284</v>
      </c>
      <c r="B292" s="408" t="str">
        <f t="shared" ca="1" si="156"/>
        <v/>
      </c>
      <c r="C292" s="408" t="str">
        <f ca="1">IFERROR(IF(G292="","",CONCATENATE(E292,"-",INDEX(Coordinate,MATCH(F292,ListAndConversion!$X$4:$X$99,0),2))),"")</f>
        <v/>
      </c>
      <c r="D292" s="408" t="str">
        <f t="shared" ca="1" si="181"/>
        <v/>
      </c>
      <c r="E292" s="408" t="str">
        <f t="shared" ca="1" si="181"/>
        <v/>
      </c>
      <c r="F292" s="408" t="str">
        <f t="shared" ca="1" si="181"/>
        <v/>
      </c>
      <c r="G292" s="408" t="str">
        <f ca="1">IFERROR(INDEX(ListAndConversion!A:B,MATCH(Calculation!E292,ListAndConversion!A:A,0),2),"")</f>
        <v/>
      </c>
      <c r="H292" s="408" t="str">
        <f>IF(TrackIT_Lines!AD284="","",TrackIT_Lines!AD284)</f>
        <v/>
      </c>
      <c r="I292" s="408" t="str">
        <f>IF(TrackIT_Lines!AD284="","",CONCATENATE(TrackIT_Lines!AD284,"-",TrackIT_Lines!AG284))</f>
        <v/>
      </c>
      <c r="J292" s="409" t="str">
        <f t="shared" ca="1" si="182"/>
        <v/>
      </c>
      <c r="K292" s="408" t="str">
        <f t="shared" ca="1" si="182"/>
        <v/>
      </c>
      <c r="L292" s="408" t="str">
        <f t="shared" ca="1" si="182"/>
        <v/>
      </c>
      <c r="M292" s="408" t="str">
        <f t="shared" ca="1" si="182"/>
        <v/>
      </c>
      <c r="N292" s="408" t="str">
        <f t="shared" ca="1" si="182"/>
        <v/>
      </c>
      <c r="O292" s="408" t="str">
        <f t="shared" ca="1" si="182"/>
        <v/>
      </c>
      <c r="P292" s="408" t="str">
        <f t="shared" ca="1" si="182"/>
        <v/>
      </c>
      <c r="Q292" s="408" t="str">
        <f t="shared" ca="1" si="182"/>
        <v/>
      </c>
      <c r="R292" s="410" t="str">
        <f ca="1">Cluster!J311</f>
        <v>Selection</v>
      </c>
      <c r="S292" s="411" t="str">
        <f t="shared" ca="1" si="157"/>
        <v>-</v>
      </c>
      <c r="T292" s="412" t="str">
        <f t="shared" ca="1" si="158"/>
        <v/>
      </c>
      <c r="U292" s="411" t="str">
        <f t="shared" ca="1" si="159"/>
        <v>-</v>
      </c>
      <c r="V292" s="411" t="str">
        <f t="shared" ca="1" si="160"/>
        <v>-</v>
      </c>
      <c r="W292" s="413">
        <f>Cluster!N311</f>
        <v>0</v>
      </c>
      <c r="X292" s="414" t="str">
        <f t="shared" ca="1" si="161"/>
        <v>-</v>
      </c>
      <c r="Y292" s="411" t="str">
        <f t="shared" ca="1" si="162"/>
        <v>-</v>
      </c>
      <c r="Z292" s="415" t="str">
        <f t="shared" ca="1" si="163"/>
        <v>-</v>
      </c>
      <c r="AA292" s="416" t="str">
        <f t="shared" ca="1" si="164"/>
        <v>-</v>
      </c>
      <c r="AB292" s="416" t="str">
        <f t="shared" ca="1" si="165"/>
        <v/>
      </c>
      <c r="AC292" s="434">
        <f>Cluster!Q311</f>
        <v>0</v>
      </c>
      <c r="AD292" s="435" t="str">
        <f t="shared" ca="1" si="183"/>
        <v/>
      </c>
      <c r="AE292" s="436" t="str">
        <f t="shared" ca="1" si="183"/>
        <v/>
      </c>
      <c r="AF292" s="437" t="str">
        <f t="shared" ca="1" si="166"/>
        <v>-</v>
      </c>
      <c r="AG292" s="438" t="str">
        <f t="shared" ca="1" si="167"/>
        <v>-</v>
      </c>
      <c r="AH292" s="437" t="str">
        <f t="shared" ca="1" si="168"/>
        <v>-</v>
      </c>
      <c r="AI292" s="438" t="str">
        <f t="shared" ca="1" si="169"/>
        <v>-</v>
      </c>
      <c r="AJ292" s="438" t="str">
        <f t="shared" ca="1" si="170"/>
        <v>-</v>
      </c>
      <c r="AK292" s="439" t="str">
        <f ca="1">IFERROR(AE292*AD292*AL292/(IF(Cluster!AA311=Cluster!$W$8,Cluster!$W$10,IF(Cluster!AA311=Cluster!$X$8,Cluster!$X$10,IF(Cluster!AA311=Cluster!$Y$8,Cluster!$Y$10,0)))*10^3),"-")</f>
        <v>-</v>
      </c>
      <c r="AL292" s="440" t="str">
        <f ca="1">IFERROR(IF(OR(Calculation!T292&lt;(Calculation!$U$8+2),Calculation!AC292="Bypass"),IF((IF(Calculation!$O$6/((Calculation!AD292*10^-12)/(Calculation!T292*10^-9)*50)&lt;=1,1,ROUNDUP(Calculation!$O$6/((Calculation!AD292*10^-12)/(Calculation!T292*10^-9)*50),0))*50)&lt;Calculation!$AK$6,Calculation!$AK$6,IF(Calculation!$O$6/((Calculation!AD292*10^-12)/(Calculation!T292*10^-9)*50)&lt;=1,1,ROUNDUP(Calculation!$O$6/((Calculation!AD292*10^-12)/(Calculation!T292*10^-9)*50),0))*50),"-"),"-")</f>
        <v>-</v>
      </c>
      <c r="AM292" s="441" t="str">
        <f t="shared" ca="1" si="184"/>
        <v/>
      </c>
      <c r="AN292" s="442" t="str">
        <f t="shared" ca="1" si="184"/>
        <v/>
      </c>
      <c r="AO292" s="432">
        <f t="shared" ca="1" si="171"/>
        <v>384</v>
      </c>
      <c r="AP292" s="427" t="str">
        <f t="shared" ca="1" si="172"/>
        <v>-</v>
      </c>
      <c r="AQ292" s="443" t="str">
        <f t="shared" ca="1" si="173"/>
        <v>-</v>
      </c>
      <c r="AR292" s="444" t="str">
        <f t="shared" ca="1" si="174"/>
        <v>-</v>
      </c>
      <c r="AS292" s="430" t="str">
        <f t="shared" ca="1" si="175"/>
        <v>-</v>
      </c>
    </row>
    <row r="293" spans="1:45" ht="14.25" x14ac:dyDescent="0.65">
      <c r="A293" s="407">
        <v>285</v>
      </c>
      <c r="B293" s="408" t="str">
        <f t="shared" ca="1" si="156"/>
        <v/>
      </c>
      <c r="C293" s="408" t="str">
        <f ca="1">IFERROR(IF(G293="","",CONCATENATE(E293,"-",INDEX(Coordinate,MATCH(F293,ListAndConversion!$X$4:$X$99,0),2))),"")</f>
        <v/>
      </c>
      <c r="D293" s="408" t="str">
        <f t="shared" ca="1" si="181"/>
        <v/>
      </c>
      <c r="E293" s="408" t="str">
        <f t="shared" ca="1" si="181"/>
        <v/>
      </c>
      <c r="F293" s="408" t="str">
        <f t="shared" ca="1" si="181"/>
        <v/>
      </c>
      <c r="G293" s="408" t="str">
        <f ca="1">IFERROR(INDEX(ListAndConversion!A:B,MATCH(Calculation!E293,ListAndConversion!A:A,0),2),"")</f>
        <v/>
      </c>
      <c r="H293" s="408" t="str">
        <f>IF(TrackIT_Lines!AD285="","",TrackIT_Lines!AD285)</f>
        <v/>
      </c>
      <c r="I293" s="408" t="str">
        <f>IF(TrackIT_Lines!AD285="","",CONCATENATE(TrackIT_Lines!AD285,"-",TrackIT_Lines!AG285))</f>
        <v/>
      </c>
      <c r="J293" s="409" t="str">
        <f t="shared" ca="1" si="182"/>
        <v/>
      </c>
      <c r="K293" s="408" t="str">
        <f t="shared" ca="1" si="182"/>
        <v/>
      </c>
      <c r="L293" s="408" t="str">
        <f t="shared" ca="1" si="182"/>
        <v/>
      </c>
      <c r="M293" s="408" t="str">
        <f t="shared" ca="1" si="182"/>
        <v/>
      </c>
      <c r="N293" s="408" t="str">
        <f t="shared" ca="1" si="182"/>
        <v/>
      </c>
      <c r="O293" s="408" t="str">
        <f t="shared" ca="1" si="182"/>
        <v/>
      </c>
      <c r="P293" s="408" t="str">
        <f t="shared" ca="1" si="182"/>
        <v/>
      </c>
      <c r="Q293" s="408" t="str">
        <f t="shared" ca="1" si="182"/>
        <v/>
      </c>
      <c r="R293" s="410" t="str">
        <f ca="1">Cluster!J312</f>
        <v>Selection</v>
      </c>
      <c r="S293" s="411" t="str">
        <f t="shared" ca="1" si="157"/>
        <v>-</v>
      </c>
      <c r="T293" s="412" t="str">
        <f t="shared" ca="1" si="158"/>
        <v/>
      </c>
      <c r="U293" s="411" t="str">
        <f t="shared" ca="1" si="159"/>
        <v>-</v>
      </c>
      <c r="V293" s="411" t="str">
        <f t="shared" ca="1" si="160"/>
        <v>-</v>
      </c>
      <c r="W293" s="413">
        <f>Cluster!N312</f>
        <v>0</v>
      </c>
      <c r="X293" s="414" t="str">
        <f t="shared" ca="1" si="161"/>
        <v>-</v>
      </c>
      <c r="Y293" s="411" t="str">
        <f t="shared" ca="1" si="162"/>
        <v>-</v>
      </c>
      <c r="Z293" s="415" t="str">
        <f t="shared" ca="1" si="163"/>
        <v>-</v>
      </c>
      <c r="AA293" s="416" t="str">
        <f t="shared" ca="1" si="164"/>
        <v>-</v>
      </c>
      <c r="AB293" s="416" t="str">
        <f t="shared" ca="1" si="165"/>
        <v/>
      </c>
      <c r="AC293" s="434">
        <f>Cluster!Q312</f>
        <v>0</v>
      </c>
      <c r="AD293" s="435" t="str">
        <f t="shared" ca="1" si="183"/>
        <v/>
      </c>
      <c r="AE293" s="436" t="str">
        <f t="shared" ca="1" si="183"/>
        <v/>
      </c>
      <c r="AF293" s="437" t="str">
        <f t="shared" ca="1" si="166"/>
        <v>-</v>
      </c>
      <c r="AG293" s="438" t="str">
        <f t="shared" ca="1" si="167"/>
        <v>-</v>
      </c>
      <c r="AH293" s="437" t="str">
        <f t="shared" ca="1" si="168"/>
        <v>-</v>
      </c>
      <c r="AI293" s="438" t="str">
        <f t="shared" ca="1" si="169"/>
        <v>-</v>
      </c>
      <c r="AJ293" s="438" t="str">
        <f t="shared" ca="1" si="170"/>
        <v>-</v>
      </c>
      <c r="AK293" s="439" t="str">
        <f ca="1">IFERROR(AE293*AD293*AL293/(IF(Cluster!AA312=Cluster!$W$8,Cluster!$W$10,IF(Cluster!AA312=Cluster!$X$8,Cluster!$X$10,IF(Cluster!AA312=Cluster!$Y$8,Cluster!$Y$10,0)))*10^3),"-")</f>
        <v>-</v>
      </c>
      <c r="AL293" s="440" t="str">
        <f ca="1">IFERROR(IF(OR(Calculation!T293&lt;(Calculation!$U$8+2),Calculation!AC293="Bypass"),IF((IF(Calculation!$O$6/((Calculation!AD293*10^-12)/(Calculation!T293*10^-9)*50)&lt;=1,1,ROUNDUP(Calculation!$O$6/((Calculation!AD293*10^-12)/(Calculation!T293*10^-9)*50),0))*50)&lt;Calculation!$AK$6,Calculation!$AK$6,IF(Calculation!$O$6/((Calculation!AD293*10^-12)/(Calculation!T293*10^-9)*50)&lt;=1,1,ROUNDUP(Calculation!$O$6/((Calculation!AD293*10^-12)/(Calculation!T293*10^-9)*50),0))*50),"-"),"-")</f>
        <v>-</v>
      </c>
      <c r="AM293" s="441" t="str">
        <f t="shared" ca="1" si="184"/>
        <v/>
      </c>
      <c r="AN293" s="442" t="str">
        <f t="shared" ca="1" si="184"/>
        <v/>
      </c>
      <c r="AO293" s="432">
        <f t="shared" ca="1" si="171"/>
        <v>384</v>
      </c>
      <c r="AP293" s="427" t="str">
        <f t="shared" ca="1" si="172"/>
        <v>-</v>
      </c>
      <c r="AQ293" s="443" t="str">
        <f t="shared" ca="1" si="173"/>
        <v>-</v>
      </c>
      <c r="AR293" s="444" t="str">
        <f t="shared" ca="1" si="174"/>
        <v>-</v>
      </c>
      <c r="AS293" s="430" t="str">
        <f t="shared" ca="1" si="175"/>
        <v>-</v>
      </c>
    </row>
    <row r="294" spans="1:45" ht="14.25" x14ac:dyDescent="0.65">
      <c r="A294" s="407">
        <v>286</v>
      </c>
      <c r="B294" s="408" t="str">
        <f t="shared" ca="1" si="156"/>
        <v/>
      </c>
      <c r="C294" s="408" t="str">
        <f ca="1">IFERROR(IF(G294="","",CONCATENATE(E294,"-",INDEX(Coordinate,MATCH(F294,ListAndConversion!$X$4:$X$99,0),2))),"")</f>
        <v/>
      </c>
      <c r="D294" s="408" t="str">
        <f t="shared" ca="1" si="181"/>
        <v/>
      </c>
      <c r="E294" s="408" t="str">
        <f t="shared" ca="1" si="181"/>
        <v/>
      </c>
      <c r="F294" s="408" t="str">
        <f t="shared" ca="1" si="181"/>
        <v/>
      </c>
      <c r="G294" s="408" t="str">
        <f ca="1">IFERROR(INDEX(ListAndConversion!A:B,MATCH(Calculation!E294,ListAndConversion!A:A,0),2),"")</f>
        <v/>
      </c>
      <c r="H294" s="408" t="str">
        <f>IF(TrackIT_Lines!AD286="","",TrackIT_Lines!AD286)</f>
        <v/>
      </c>
      <c r="I294" s="408" t="str">
        <f>IF(TrackIT_Lines!AD286="","",CONCATENATE(TrackIT_Lines!AD286,"-",TrackIT_Lines!AG286))</f>
        <v/>
      </c>
      <c r="J294" s="409" t="str">
        <f t="shared" ca="1" si="182"/>
        <v/>
      </c>
      <c r="K294" s="408" t="str">
        <f t="shared" ca="1" si="182"/>
        <v/>
      </c>
      <c r="L294" s="408" t="str">
        <f t="shared" ca="1" si="182"/>
        <v/>
      </c>
      <c r="M294" s="408" t="str">
        <f t="shared" ca="1" si="182"/>
        <v/>
      </c>
      <c r="N294" s="408" t="str">
        <f t="shared" ca="1" si="182"/>
        <v/>
      </c>
      <c r="O294" s="408" t="str">
        <f t="shared" ca="1" si="182"/>
        <v/>
      </c>
      <c r="P294" s="408" t="str">
        <f t="shared" ca="1" si="182"/>
        <v/>
      </c>
      <c r="Q294" s="408" t="str">
        <f t="shared" ca="1" si="182"/>
        <v/>
      </c>
      <c r="R294" s="410" t="str">
        <f ca="1">Cluster!J313</f>
        <v>Selection</v>
      </c>
      <c r="S294" s="411" t="str">
        <f t="shared" ca="1" si="157"/>
        <v>-</v>
      </c>
      <c r="T294" s="412" t="str">
        <f t="shared" ca="1" si="158"/>
        <v/>
      </c>
      <c r="U294" s="411" t="str">
        <f t="shared" ca="1" si="159"/>
        <v>-</v>
      </c>
      <c r="V294" s="411" t="str">
        <f t="shared" ca="1" si="160"/>
        <v>-</v>
      </c>
      <c r="W294" s="413">
        <f>Cluster!N313</f>
        <v>0</v>
      </c>
      <c r="X294" s="414" t="str">
        <f t="shared" ca="1" si="161"/>
        <v>-</v>
      </c>
      <c r="Y294" s="411" t="str">
        <f t="shared" ca="1" si="162"/>
        <v>-</v>
      </c>
      <c r="Z294" s="415" t="str">
        <f t="shared" ca="1" si="163"/>
        <v>-</v>
      </c>
      <c r="AA294" s="416" t="str">
        <f t="shared" ca="1" si="164"/>
        <v>-</v>
      </c>
      <c r="AB294" s="416" t="str">
        <f t="shared" ca="1" si="165"/>
        <v/>
      </c>
      <c r="AC294" s="434">
        <f>Cluster!Q313</f>
        <v>0</v>
      </c>
      <c r="AD294" s="435" t="str">
        <f t="shared" ca="1" si="183"/>
        <v/>
      </c>
      <c r="AE294" s="436" t="str">
        <f t="shared" ca="1" si="183"/>
        <v/>
      </c>
      <c r="AF294" s="437" t="str">
        <f t="shared" ca="1" si="166"/>
        <v>-</v>
      </c>
      <c r="AG294" s="438" t="str">
        <f t="shared" ca="1" si="167"/>
        <v>-</v>
      </c>
      <c r="AH294" s="437" t="str">
        <f t="shared" ca="1" si="168"/>
        <v>-</v>
      </c>
      <c r="AI294" s="438" t="str">
        <f t="shared" ca="1" si="169"/>
        <v>-</v>
      </c>
      <c r="AJ294" s="438" t="str">
        <f t="shared" ca="1" si="170"/>
        <v>-</v>
      </c>
      <c r="AK294" s="439" t="str">
        <f ca="1">IFERROR(AE294*AD294*AL294/(IF(Cluster!AA313=Cluster!$W$8,Cluster!$W$10,IF(Cluster!AA313=Cluster!$X$8,Cluster!$X$10,IF(Cluster!AA313=Cluster!$Y$8,Cluster!$Y$10,0)))*10^3),"-")</f>
        <v>-</v>
      </c>
      <c r="AL294" s="440" t="str">
        <f ca="1">IFERROR(IF(OR(Calculation!T294&lt;(Calculation!$U$8+2),Calculation!AC294="Bypass"),IF((IF(Calculation!$O$6/((Calculation!AD294*10^-12)/(Calculation!T294*10^-9)*50)&lt;=1,1,ROUNDUP(Calculation!$O$6/((Calculation!AD294*10^-12)/(Calculation!T294*10^-9)*50),0))*50)&lt;Calculation!$AK$6,Calculation!$AK$6,IF(Calculation!$O$6/((Calculation!AD294*10^-12)/(Calculation!T294*10^-9)*50)&lt;=1,1,ROUNDUP(Calculation!$O$6/((Calculation!AD294*10^-12)/(Calculation!T294*10^-9)*50),0))*50),"-"),"-")</f>
        <v>-</v>
      </c>
      <c r="AM294" s="441" t="str">
        <f t="shared" ca="1" si="184"/>
        <v/>
      </c>
      <c r="AN294" s="442" t="str">
        <f t="shared" ca="1" si="184"/>
        <v/>
      </c>
      <c r="AO294" s="432">
        <f t="shared" ca="1" si="171"/>
        <v>384</v>
      </c>
      <c r="AP294" s="427" t="str">
        <f t="shared" ca="1" si="172"/>
        <v>-</v>
      </c>
      <c r="AQ294" s="443" t="str">
        <f t="shared" ca="1" si="173"/>
        <v>-</v>
      </c>
      <c r="AR294" s="444" t="str">
        <f t="shared" ca="1" si="174"/>
        <v>-</v>
      </c>
      <c r="AS294" s="430" t="str">
        <f t="shared" ca="1" si="175"/>
        <v>-</v>
      </c>
    </row>
    <row r="295" spans="1:45" ht="14.25" x14ac:dyDescent="0.65">
      <c r="A295" s="407">
        <v>287</v>
      </c>
      <c r="B295" s="408" t="str">
        <f t="shared" ca="1" si="156"/>
        <v/>
      </c>
      <c r="C295" s="408" t="str">
        <f ca="1">IFERROR(IF(G295="","",CONCATENATE(E295,"-",INDEX(Coordinate,MATCH(F295,ListAndConversion!$X$4:$X$99,0),2))),"")</f>
        <v/>
      </c>
      <c r="D295" s="408" t="str">
        <f t="shared" ca="1" si="181"/>
        <v/>
      </c>
      <c r="E295" s="408" t="str">
        <f t="shared" ca="1" si="181"/>
        <v/>
      </c>
      <c r="F295" s="408" t="str">
        <f t="shared" ca="1" si="181"/>
        <v/>
      </c>
      <c r="G295" s="408" t="str">
        <f ca="1">IFERROR(INDEX(ListAndConversion!A:B,MATCH(Calculation!E295,ListAndConversion!A:A,0),2),"")</f>
        <v/>
      </c>
      <c r="H295" s="408" t="str">
        <f>IF(TrackIT_Lines!AD287="","",TrackIT_Lines!AD287)</f>
        <v/>
      </c>
      <c r="I295" s="408" t="str">
        <f>IF(TrackIT_Lines!AD287="","",CONCATENATE(TrackIT_Lines!AD287,"-",TrackIT_Lines!AG287))</f>
        <v/>
      </c>
      <c r="J295" s="409" t="str">
        <f t="shared" ca="1" si="182"/>
        <v/>
      </c>
      <c r="K295" s="408" t="str">
        <f t="shared" ca="1" si="182"/>
        <v/>
      </c>
      <c r="L295" s="408" t="str">
        <f t="shared" ca="1" si="182"/>
        <v/>
      </c>
      <c r="M295" s="408" t="str">
        <f t="shared" ca="1" si="182"/>
        <v/>
      </c>
      <c r="N295" s="408" t="str">
        <f t="shared" ca="1" si="182"/>
        <v/>
      </c>
      <c r="O295" s="408" t="str">
        <f t="shared" ca="1" si="182"/>
        <v/>
      </c>
      <c r="P295" s="408" t="str">
        <f t="shared" ca="1" si="182"/>
        <v/>
      </c>
      <c r="Q295" s="408" t="str">
        <f t="shared" ca="1" si="182"/>
        <v/>
      </c>
      <c r="R295" s="410" t="str">
        <f ca="1">Cluster!J314</f>
        <v>Selection</v>
      </c>
      <c r="S295" s="411" t="str">
        <f t="shared" ca="1" si="157"/>
        <v>-</v>
      </c>
      <c r="T295" s="412" t="str">
        <f t="shared" ca="1" si="158"/>
        <v/>
      </c>
      <c r="U295" s="411" t="str">
        <f t="shared" ca="1" si="159"/>
        <v>-</v>
      </c>
      <c r="V295" s="411" t="str">
        <f t="shared" ca="1" si="160"/>
        <v>-</v>
      </c>
      <c r="W295" s="413">
        <f>Cluster!N314</f>
        <v>0</v>
      </c>
      <c r="X295" s="414" t="str">
        <f t="shared" ca="1" si="161"/>
        <v>-</v>
      </c>
      <c r="Y295" s="411" t="str">
        <f t="shared" ca="1" si="162"/>
        <v>-</v>
      </c>
      <c r="Z295" s="415" t="str">
        <f t="shared" ca="1" si="163"/>
        <v>-</v>
      </c>
      <c r="AA295" s="416" t="str">
        <f t="shared" ca="1" si="164"/>
        <v>-</v>
      </c>
      <c r="AB295" s="416" t="str">
        <f t="shared" ca="1" si="165"/>
        <v/>
      </c>
      <c r="AC295" s="434">
        <f>Cluster!Q314</f>
        <v>0</v>
      </c>
      <c r="AD295" s="435" t="str">
        <f t="shared" ca="1" si="183"/>
        <v/>
      </c>
      <c r="AE295" s="436" t="str">
        <f t="shared" ca="1" si="183"/>
        <v/>
      </c>
      <c r="AF295" s="437" t="str">
        <f t="shared" ca="1" si="166"/>
        <v>-</v>
      </c>
      <c r="AG295" s="438" t="str">
        <f t="shared" ca="1" si="167"/>
        <v>-</v>
      </c>
      <c r="AH295" s="437" t="str">
        <f t="shared" ca="1" si="168"/>
        <v>-</v>
      </c>
      <c r="AI295" s="438" t="str">
        <f t="shared" ca="1" si="169"/>
        <v>-</v>
      </c>
      <c r="AJ295" s="438" t="str">
        <f t="shared" ca="1" si="170"/>
        <v>-</v>
      </c>
      <c r="AK295" s="439" t="str">
        <f ca="1">IFERROR(AE295*AD295*AL295/(IF(Cluster!AA314=Cluster!$W$8,Cluster!$W$10,IF(Cluster!AA314=Cluster!$X$8,Cluster!$X$10,IF(Cluster!AA314=Cluster!$Y$8,Cluster!$Y$10,0)))*10^3),"-")</f>
        <v>-</v>
      </c>
      <c r="AL295" s="440" t="str">
        <f ca="1">IFERROR(IF(OR(Calculation!T295&lt;(Calculation!$U$8+2),Calculation!AC295="Bypass"),IF((IF(Calculation!$O$6/((Calculation!AD295*10^-12)/(Calculation!T295*10^-9)*50)&lt;=1,1,ROUNDUP(Calculation!$O$6/((Calculation!AD295*10^-12)/(Calculation!T295*10^-9)*50),0))*50)&lt;Calculation!$AK$6,Calculation!$AK$6,IF(Calculation!$O$6/((Calculation!AD295*10^-12)/(Calculation!T295*10^-9)*50)&lt;=1,1,ROUNDUP(Calculation!$O$6/((Calculation!AD295*10^-12)/(Calculation!T295*10^-9)*50),0))*50),"-"),"-")</f>
        <v>-</v>
      </c>
      <c r="AM295" s="441" t="str">
        <f t="shared" ca="1" si="184"/>
        <v/>
      </c>
      <c r="AN295" s="442" t="str">
        <f t="shared" ca="1" si="184"/>
        <v/>
      </c>
      <c r="AO295" s="432">
        <f t="shared" ca="1" si="171"/>
        <v>384</v>
      </c>
      <c r="AP295" s="427" t="str">
        <f t="shared" ca="1" si="172"/>
        <v>-</v>
      </c>
      <c r="AQ295" s="443" t="str">
        <f t="shared" ca="1" si="173"/>
        <v>-</v>
      </c>
      <c r="AR295" s="444" t="str">
        <f t="shared" ca="1" si="174"/>
        <v>-</v>
      </c>
      <c r="AS295" s="430" t="str">
        <f t="shared" ca="1" si="175"/>
        <v>-</v>
      </c>
    </row>
    <row r="296" spans="1:45" ht="14.25" x14ac:dyDescent="0.65">
      <c r="A296" s="407">
        <v>288</v>
      </c>
      <c r="B296" s="408" t="str">
        <f t="shared" ca="1" si="156"/>
        <v/>
      </c>
      <c r="C296" s="408" t="str">
        <f ca="1">IFERROR(IF(G296="","",CONCATENATE(E296,"-",INDEX(Coordinate,MATCH(F296,ListAndConversion!$X$4:$X$99,0),2))),"")</f>
        <v/>
      </c>
      <c r="D296" s="408" t="str">
        <f t="shared" ca="1" si="181"/>
        <v/>
      </c>
      <c r="E296" s="408" t="str">
        <f t="shared" ca="1" si="181"/>
        <v/>
      </c>
      <c r="F296" s="408" t="str">
        <f t="shared" ca="1" si="181"/>
        <v/>
      </c>
      <c r="G296" s="408" t="str">
        <f ca="1">IFERROR(INDEX(ListAndConversion!A:B,MATCH(Calculation!E296,ListAndConversion!A:A,0),2),"")</f>
        <v/>
      </c>
      <c r="H296" s="408" t="str">
        <f>IF(TrackIT_Lines!AD288="","",TrackIT_Lines!AD288)</f>
        <v/>
      </c>
      <c r="I296" s="408" t="str">
        <f>IF(TrackIT_Lines!AD288="","",CONCATENATE(TrackIT_Lines!AD288,"-",TrackIT_Lines!AG288))</f>
        <v/>
      </c>
      <c r="J296" s="409" t="str">
        <f t="shared" ca="1" si="182"/>
        <v/>
      </c>
      <c r="K296" s="408" t="str">
        <f t="shared" ca="1" si="182"/>
        <v/>
      </c>
      <c r="L296" s="408" t="str">
        <f t="shared" ca="1" si="182"/>
        <v/>
      </c>
      <c r="M296" s="408" t="str">
        <f t="shared" ca="1" si="182"/>
        <v/>
      </c>
      <c r="N296" s="408" t="str">
        <f t="shared" ca="1" si="182"/>
        <v/>
      </c>
      <c r="O296" s="408" t="str">
        <f t="shared" ca="1" si="182"/>
        <v/>
      </c>
      <c r="P296" s="408" t="str">
        <f t="shared" ca="1" si="182"/>
        <v/>
      </c>
      <c r="Q296" s="408" t="str">
        <f t="shared" ca="1" si="182"/>
        <v/>
      </c>
      <c r="R296" s="410" t="str">
        <f ca="1">Cluster!J315</f>
        <v>Selection</v>
      </c>
      <c r="S296" s="411" t="str">
        <f t="shared" ca="1" si="157"/>
        <v>-</v>
      </c>
      <c r="T296" s="412" t="str">
        <f t="shared" ca="1" si="158"/>
        <v/>
      </c>
      <c r="U296" s="411" t="str">
        <f t="shared" ca="1" si="159"/>
        <v>-</v>
      </c>
      <c r="V296" s="411" t="str">
        <f t="shared" ca="1" si="160"/>
        <v>-</v>
      </c>
      <c r="W296" s="413">
        <f>Cluster!N315</f>
        <v>0</v>
      </c>
      <c r="X296" s="414" t="str">
        <f t="shared" ca="1" si="161"/>
        <v>-</v>
      </c>
      <c r="Y296" s="411" t="str">
        <f t="shared" ca="1" si="162"/>
        <v>-</v>
      </c>
      <c r="Z296" s="415" t="str">
        <f t="shared" ca="1" si="163"/>
        <v>-</v>
      </c>
      <c r="AA296" s="416" t="str">
        <f t="shared" ca="1" si="164"/>
        <v>-</v>
      </c>
      <c r="AB296" s="416" t="str">
        <f t="shared" ca="1" si="165"/>
        <v/>
      </c>
      <c r="AC296" s="434">
        <f>Cluster!Q315</f>
        <v>0</v>
      </c>
      <c r="AD296" s="435" t="str">
        <f t="shared" ca="1" si="183"/>
        <v/>
      </c>
      <c r="AE296" s="436" t="str">
        <f t="shared" ca="1" si="183"/>
        <v/>
      </c>
      <c r="AF296" s="437" t="str">
        <f t="shared" ca="1" si="166"/>
        <v>-</v>
      </c>
      <c r="AG296" s="438" t="str">
        <f t="shared" ca="1" si="167"/>
        <v>-</v>
      </c>
      <c r="AH296" s="437" t="str">
        <f t="shared" ca="1" si="168"/>
        <v>-</v>
      </c>
      <c r="AI296" s="438" t="str">
        <f t="shared" ca="1" si="169"/>
        <v>-</v>
      </c>
      <c r="AJ296" s="438" t="str">
        <f t="shared" ca="1" si="170"/>
        <v>-</v>
      </c>
      <c r="AK296" s="439" t="str">
        <f ca="1">IFERROR(AE296*AD296*AL296/(IF(Cluster!AA315=Cluster!$W$8,Cluster!$W$10,IF(Cluster!AA315=Cluster!$X$8,Cluster!$X$10,IF(Cluster!AA315=Cluster!$Y$8,Cluster!$Y$10,0)))*10^3),"-")</f>
        <v>-</v>
      </c>
      <c r="AL296" s="440" t="str">
        <f ca="1">IFERROR(IF(OR(Calculation!T296&lt;(Calculation!$U$8+2),Calculation!AC296="Bypass"),IF((IF(Calculation!$O$6/((Calculation!AD296*10^-12)/(Calculation!T296*10^-9)*50)&lt;=1,1,ROUNDUP(Calculation!$O$6/((Calculation!AD296*10^-12)/(Calculation!T296*10^-9)*50),0))*50)&lt;Calculation!$AK$6,Calculation!$AK$6,IF(Calculation!$O$6/((Calculation!AD296*10^-12)/(Calculation!T296*10^-9)*50)&lt;=1,1,ROUNDUP(Calculation!$O$6/((Calculation!AD296*10^-12)/(Calculation!T296*10^-9)*50),0))*50),"-"),"-")</f>
        <v>-</v>
      </c>
      <c r="AM296" s="441" t="str">
        <f t="shared" ca="1" si="184"/>
        <v/>
      </c>
      <c r="AN296" s="442" t="str">
        <f t="shared" ca="1" si="184"/>
        <v/>
      </c>
      <c r="AO296" s="432">
        <f t="shared" ca="1" si="171"/>
        <v>384</v>
      </c>
      <c r="AP296" s="427" t="str">
        <f t="shared" ca="1" si="172"/>
        <v>-</v>
      </c>
      <c r="AQ296" s="443" t="str">
        <f t="shared" ca="1" si="173"/>
        <v>-</v>
      </c>
      <c r="AR296" s="444" t="str">
        <f t="shared" ca="1" si="174"/>
        <v>-</v>
      </c>
      <c r="AS296" s="430" t="str">
        <f t="shared" ca="1" si="175"/>
        <v>-</v>
      </c>
    </row>
    <row r="297" spans="1:45" ht="14.25" x14ac:dyDescent="0.65">
      <c r="A297" s="407">
        <v>289</v>
      </c>
      <c r="B297" s="408" t="str">
        <f t="shared" ca="1" si="156"/>
        <v/>
      </c>
      <c r="C297" s="408" t="str">
        <f ca="1">IFERROR(IF(G297="","",CONCATENATE(E297,"-",INDEX(Coordinate,MATCH(F297,ListAndConversion!$X$4:$X$99,0),2))),"")</f>
        <v/>
      </c>
      <c r="D297" s="408" t="str">
        <f t="shared" ca="1" si="181"/>
        <v/>
      </c>
      <c r="E297" s="408" t="str">
        <f t="shared" ca="1" si="181"/>
        <v/>
      </c>
      <c r="F297" s="408" t="str">
        <f t="shared" ca="1" si="181"/>
        <v/>
      </c>
      <c r="G297" s="408" t="str">
        <f ca="1">IFERROR(INDEX(ListAndConversion!A:B,MATCH(Calculation!E297,ListAndConversion!A:A,0),2),"")</f>
        <v/>
      </c>
      <c r="H297" s="408" t="str">
        <f>IF(TrackIT_Lines!AD289="","",TrackIT_Lines!AD289)</f>
        <v/>
      </c>
      <c r="I297" s="408" t="str">
        <f>IF(TrackIT_Lines!AD289="","",CONCATENATE(TrackIT_Lines!AD289,"-",TrackIT_Lines!AG289))</f>
        <v/>
      </c>
      <c r="J297" s="409" t="str">
        <f t="shared" ca="1" si="182"/>
        <v/>
      </c>
      <c r="K297" s="408" t="str">
        <f t="shared" ca="1" si="182"/>
        <v/>
      </c>
      <c r="L297" s="408" t="str">
        <f t="shared" ca="1" si="182"/>
        <v/>
      </c>
      <c r="M297" s="408" t="str">
        <f t="shared" ca="1" si="182"/>
        <v/>
      </c>
      <c r="N297" s="408" t="str">
        <f t="shared" ca="1" si="182"/>
        <v/>
      </c>
      <c r="O297" s="408" t="str">
        <f t="shared" ca="1" si="182"/>
        <v/>
      </c>
      <c r="P297" s="408" t="str">
        <f t="shared" ca="1" si="182"/>
        <v/>
      </c>
      <c r="Q297" s="408" t="str">
        <f t="shared" ca="1" si="182"/>
        <v/>
      </c>
      <c r="R297" s="410" t="str">
        <f ca="1">Cluster!J316</f>
        <v>Selection</v>
      </c>
      <c r="S297" s="411" t="str">
        <f t="shared" ca="1" si="157"/>
        <v>-</v>
      </c>
      <c r="T297" s="412" t="str">
        <f t="shared" ca="1" si="158"/>
        <v/>
      </c>
      <c r="U297" s="411" t="str">
        <f t="shared" ca="1" si="159"/>
        <v>-</v>
      </c>
      <c r="V297" s="411" t="str">
        <f t="shared" ca="1" si="160"/>
        <v>-</v>
      </c>
      <c r="W297" s="413">
        <f>Cluster!N316</f>
        <v>0</v>
      </c>
      <c r="X297" s="414" t="str">
        <f t="shared" ca="1" si="161"/>
        <v>-</v>
      </c>
      <c r="Y297" s="411" t="str">
        <f t="shared" ca="1" si="162"/>
        <v>-</v>
      </c>
      <c r="Z297" s="415" t="str">
        <f t="shared" ca="1" si="163"/>
        <v>-</v>
      </c>
      <c r="AA297" s="416" t="str">
        <f t="shared" ca="1" si="164"/>
        <v>-</v>
      </c>
      <c r="AB297" s="416" t="str">
        <f t="shared" ca="1" si="165"/>
        <v/>
      </c>
      <c r="AC297" s="434">
        <f>Cluster!Q316</f>
        <v>0</v>
      </c>
      <c r="AD297" s="435" t="str">
        <f t="shared" ca="1" si="183"/>
        <v/>
      </c>
      <c r="AE297" s="436" t="str">
        <f t="shared" ca="1" si="183"/>
        <v/>
      </c>
      <c r="AF297" s="437" t="str">
        <f t="shared" ca="1" si="166"/>
        <v>-</v>
      </c>
      <c r="AG297" s="438" t="str">
        <f t="shared" ca="1" si="167"/>
        <v>-</v>
      </c>
      <c r="AH297" s="437" t="str">
        <f t="shared" ca="1" si="168"/>
        <v>-</v>
      </c>
      <c r="AI297" s="438" t="str">
        <f t="shared" ca="1" si="169"/>
        <v>-</v>
      </c>
      <c r="AJ297" s="438" t="str">
        <f t="shared" ca="1" si="170"/>
        <v>-</v>
      </c>
      <c r="AK297" s="439" t="str">
        <f ca="1">IFERROR(AE297*AD297*AL297/(IF(Cluster!AA316=Cluster!$W$8,Cluster!$W$10,IF(Cluster!AA316=Cluster!$X$8,Cluster!$X$10,IF(Cluster!AA316=Cluster!$Y$8,Cluster!$Y$10,0)))*10^3),"-")</f>
        <v>-</v>
      </c>
      <c r="AL297" s="440" t="str">
        <f ca="1">IFERROR(IF(OR(Calculation!T297&lt;(Calculation!$U$8+2),Calculation!AC297="Bypass"),IF((IF(Calculation!$O$6/((Calculation!AD297*10^-12)/(Calculation!T297*10^-9)*50)&lt;=1,1,ROUNDUP(Calculation!$O$6/((Calculation!AD297*10^-12)/(Calculation!T297*10^-9)*50),0))*50)&lt;Calculation!$AK$6,Calculation!$AK$6,IF(Calculation!$O$6/((Calculation!AD297*10^-12)/(Calculation!T297*10^-9)*50)&lt;=1,1,ROUNDUP(Calculation!$O$6/((Calculation!AD297*10^-12)/(Calculation!T297*10^-9)*50),0))*50),"-"),"-")</f>
        <v>-</v>
      </c>
      <c r="AM297" s="441" t="str">
        <f t="shared" ca="1" si="184"/>
        <v/>
      </c>
      <c r="AN297" s="442" t="str">
        <f t="shared" ca="1" si="184"/>
        <v/>
      </c>
      <c r="AO297" s="432">
        <f t="shared" ca="1" si="171"/>
        <v>384</v>
      </c>
      <c r="AP297" s="427" t="str">
        <f t="shared" ca="1" si="172"/>
        <v>-</v>
      </c>
      <c r="AQ297" s="443" t="str">
        <f t="shared" ca="1" si="173"/>
        <v>-</v>
      </c>
      <c r="AR297" s="444" t="str">
        <f t="shared" ca="1" si="174"/>
        <v>-</v>
      </c>
      <c r="AS297" s="430" t="str">
        <f t="shared" ca="1" si="175"/>
        <v>-</v>
      </c>
    </row>
    <row r="298" spans="1:45" ht="14.25" x14ac:dyDescent="0.65">
      <c r="A298" s="407">
        <v>290</v>
      </c>
      <c r="B298" s="408" t="str">
        <f t="shared" ca="1" si="156"/>
        <v/>
      </c>
      <c r="C298" s="408" t="str">
        <f ca="1">IFERROR(IF(G298="","",CONCATENATE(E298,"-",INDEX(Coordinate,MATCH(F298,ListAndConversion!$X$4:$X$99,0),2))),"")</f>
        <v/>
      </c>
      <c r="D298" s="408" t="str">
        <f t="shared" ca="1" si="181"/>
        <v/>
      </c>
      <c r="E298" s="408" t="str">
        <f t="shared" ca="1" si="181"/>
        <v/>
      </c>
      <c r="F298" s="408" t="str">
        <f t="shared" ca="1" si="181"/>
        <v/>
      </c>
      <c r="G298" s="408" t="str">
        <f ca="1">IFERROR(INDEX(ListAndConversion!A:B,MATCH(Calculation!E298,ListAndConversion!A:A,0),2),"")</f>
        <v/>
      </c>
      <c r="H298" s="408" t="str">
        <f>IF(TrackIT_Lines!AD290="","",TrackIT_Lines!AD290)</f>
        <v/>
      </c>
      <c r="I298" s="408" t="str">
        <f>IF(TrackIT_Lines!AD290="","",CONCATENATE(TrackIT_Lines!AD290,"-",TrackIT_Lines!AG290))</f>
        <v/>
      </c>
      <c r="J298" s="409" t="str">
        <f t="shared" ca="1" si="182"/>
        <v/>
      </c>
      <c r="K298" s="408" t="str">
        <f t="shared" ca="1" si="182"/>
        <v/>
      </c>
      <c r="L298" s="408" t="str">
        <f t="shared" ca="1" si="182"/>
        <v/>
      </c>
      <c r="M298" s="408" t="str">
        <f t="shared" ca="1" si="182"/>
        <v/>
      </c>
      <c r="N298" s="408" t="str">
        <f t="shared" ca="1" si="182"/>
        <v/>
      </c>
      <c r="O298" s="408" t="str">
        <f t="shared" ca="1" si="182"/>
        <v/>
      </c>
      <c r="P298" s="408" t="str">
        <f t="shared" ca="1" si="182"/>
        <v/>
      </c>
      <c r="Q298" s="408" t="str">
        <f t="shared" ca="1" si="182"/>
        <v/>
      </c>
      <c r="R298" s="410" t="str">
        <f ca="1">Cluster!J317</f>
        <v>Selection</v>
      </c>
      <c r="S298" s="411" t="str">
        <f t="shared" ca="1" si="157"/>
        <v>-</v>
      </c>
      <c r="T298" s="412" t="str">
        <f t="shared" ca="1" si="158"/>
        <v/>
      </c>
      <c r="U298" s="411" t="str">
        <f t="shared" ca="1" si="159"/>
        <v>-</v>
      </c>
      <c r="V298" s="411" t="str">
        <f t="shared" ca="1" si="160"/>
        <v>-</v>
      </c>
      <c r="W298" s="413">
        <f>Cluster!N317</f>
        <v>0</v>
      </c>
      <c r="X298" s="414" t="str">
        <f t="shared" ca="1" si="161"/>
        <v>-</v>
      </c>
      <c r="Y298" s="411" t="str">
        <f t="shared" ca="1" si="162"/>
        <v>-</v>
      </c>
      <c r="Z298" s="415" t="str">
        <f t="shared" ca="1" si="163"/>
        <v>-</v>
      </c>
      <c r="AA298" s="416" t="str">
        <f t="shared" ca="1" si="164"/>
        <v>-</v>
      </c>
      <c r="AB298" s="416" t="str">
        <f t="shared" ca="1" si="165"/>
        <v/>
      </c>
      <c r="AC298" s="434">
        <f>Cluster!Q317</f>
        <v>0</v>
      </c>
      <c r="AD298" s="435" t="str">
        <f t="shared" ca="1" si="183"/>
        <v/>
      </c>
      <c r="AE298" s="436" t="str">
        <f t="shared" ca="1" si="183"/>
        <v/>
      </c>
      <c r="AF298" s="437" t="str">
        <f t="shared" ca="1" si="166"/>
        <v>-</v>
      </c>
      <c r="AG298" s="438" t="str">
        <f t="shared" ca="1" si="167"/>
        <v>-</v>
      </c>
      <c r="AH298" s="437" t="str">
        <f t="shared" ca="1" si="168"/>
        <v>-</v>
      </c>
      <c r="AI298" s="438" t="str">
        <f t="shared" ca="1" si="169"/>
        <v>-</v>
      </c>
      <c r="AJ298" s="438" t="str">
        <f t="shared" ca="1" si="170"/>
        <v>-</v>
      </c>
      <c r="AK298" s="439" t="str">
        <f ca="1">IFERROR(AE298*AD298*AL298/(IF(Cluster!AA317=Cluster!$W$8,Cluster!$W$10,IF(Cluster!AA317=Cluster!$X$8,Cluster!$X$10,IF(Cluster!AA317=Cluster!$Y$8,Cluster!$Y$10,0)))*10^3),"-")</f>
        <v>-</v>
      </c>
      <c r="AL298" s="440" t="str">
        <f ca="1">IFERROR(IF(OR(Calculation!T298&lt;(Calculation!$U$8+2),Calculation!AC298="Bypass"),IF((IF(Calculation!$O$6/((Calculation!AD298*10^-12)/(Calculation!T298*10^-9)*50)&lt;=1,1,ROUNDUP(Calculation!$O$6/((Calculation!AD298*10^-12)/(Calculation!T298*10^-9)*50),0))*50)&lt;Calculation!$AK$6,Calculation!$AK$6,IF(Calculation!$O$6/((Calculation!AD298*10^-12)/(Calculation!T298*10^-9)*50)&lt;=1,1,ROUNDUP(Calculation!$O$6/((Calculation!AD298*10^-12)/(Calculation!T298*10^-9)*50),0))*50),"-"),"-")</f>
        <v>-</v>
      </c>
      <c r="AM298" s="441" t="str">
        <f t="shared" ca="1" si="184"/>
        <v/>
      </c>
      <c r="AN298" s="442" t="str">
        <f t="shared" ca="1" si="184"/>
        <v/>
      </c>
      <c r="AO298" s="432">
        <f t="shared" ca="1" si="171"/>
        <v>384</v>
      </c>
      <c r="AP298" s="427" t="str">
        <f t="shared" ca="1" si="172"/>
        <v>-</v>
      </c>
      <c r="AQ298" s="443" t="str">
        <f t="shared" ca="1" si="173"/>
        <v>-</v>
      </c>
      <c r="AR298" s="444" t="str">
        <f t="shared" ca="1" si="174"/>
        <v>-</v>
      </c>
      <c r="AS298" s="430" t="str">
        <f t="shared" ca="1" si="175"/>
        <v>-</v>
      </c>
    </row>
    <row r="299" spans="1:45" ht="14.25" x14ac:dyDescent="0.65">
      <c r="A299" s="407">
        <v>291</v>
      </c>
      <c r="B299" s="408" t="str">
        <f t="shared" ca="1" si="156"/>
        <v/>
      </c>
      <c r="C299" s="408" t="str">
        <f ca="1">IFERROR(IF(G299="","",CONCATENATE(E299,"-",INDEX(Coordinate,MATCH(F299,ListAndConversion!$X$4:$X$99,0),2))),"")</f>
        <v/>
      </c>
      <c r="D299" s="408" t="str">
        <f t="shared" ca="1" si="181"/>
        <v/>
      </c>
      <c r="E299" s="408" t="str">
        <f t="shared" ca="1" si="181"/>
        <v/>
      </c>
      <c r="F299" s="408" t="str">
        <f t="shared" ca="1" si="181"/>
        <v/>
      </c>
      <c r="G299" s="408" t="str">
        <f ca="1">IFERROR(INDEX(ListAndConversion!A:B,MATCH(Calculation!E299,ListAndConversion!A:A,0),2),"")</f>
        <v/>
      </c>
      <c r="H299" s="408" t="str">
        <f>IF(TrackIT_Lines!AD291="","",TrackIT_Lines!AD291)</f>
        <v/>
      </c>
      <c r="I299" s="408" t="str">
        <f>IF(TrackIT_Lines!AD291="","",CONCATENATE(TrackIT_Lines!AD291,"-",TrackIT_Lines!AG291))</f>
        <v/>
      </c>
      <c r="J299" s="409" t="str">
        <f t="shared" ca="1" si="182"/>
        <v/>
      </c>
      <c r="K299" s="408" t="str">
        <f t="shared" ca="1" si="182"/>
        <v/>
      </c>
      <c r="L299" s="408" t="str">
        <f t="shared" ca="1" si="182"/>
        <v/>
      </c>
      <c r="M299" s="408" t="str">
        <f t="shared" ca="1" si="182"/>
        <v/>
      </c>
      <c r="N299" s="408" t="str">
        <f t="shared" ca="1" si="182"/>
        <v/>
      </c>
      <c r="O299" s="408" t="str">
        <f t="shared" ca="1" si="182"/>
        <v/>
      </c>
      <c r="P299" s="408" t="str">
        <f t="shared" ca="1" si="182"/>
        <v/>
      </c>
      <c r="Q299" s="408" t="str">
        <f t="shared" ca="1" si="182"/>
        <v/>
      </c>
      <c r="R299" s="410" t="str">
        <f ca="1">Cluster!J318</f>
        <v>Selection</v>
      </c>
      <c r="S299" s="411" t="str">
        <f t="shared" ca="1" si="157"/>
        <v>-</v>
      </c>
      <c r="T299" s="412" t="str">
        <f t="shared" ca="1" si="158"/>
        <v/>
      </c>
      <c r="U299" s="411" t="str">
        <f t="shared" ca="1" si="159"/>
        <v>-</v>
      </c>
      <c r="V299" s="411" t="str">
        <f t="shared" ca="1" si="160"/>
        <v>-</v>
      </c>
      <c r="W299" s="413">
        <f>Cluster!N318</f>
        <v>0</v>
      </c>
      <c r="X299" s="414" t="str">
        <f t="shared" ca="1" si="161"/>
        <v>-</v>
      </c>
      <c r="Y299" s="411" t="str">
        <f t="shared" ca="1" si="162"/>
        <v>-</v>
      </c>
      <c r="Z299" s="415" t="str">
        <f t="shared" ca="1" si="163"/>
        <v>-</v>
      </c>
      <c r="AA299" s="416" t="str">
        <f t="shared" ca="1" si="164"/>
        <v>-</v>
      </c>
      <c r="AB299" s="416" t="str">
        <f t="shared" ca="1" si="165"/>
        <v/>
      </c>
      <c r="AC299" s="434">
        <f>Cluster!Q318</f>
        <v>0</v>
      </c>
      <c r="AD299" s="435" t="str">
        <f t="shared" ca="1" si="183"/>
        <v/>
      </c>
      <c r="AE299" s="436" t="str">
        <f t="shared" ca="1" si="183"/>
        <v/>
      </c>
      <c r="AF299" s="437" t="str">
        <f t="shared" ca="1" si="166"/>
        <v>-</v>
      </c>
      <c r="AG299" s="438" t="str">
        <f t="shared" ca="1" si="167"/>
        <v>-</v>
      </c>
      <c r="AH299" s="437" t="str">
        <f t="shared" ca="1" si="168"/>
        <v>-</v>
      </c>
      <c r="AI299" s="438" t="str">
        <f t="shared" ca="1" si="169"/>
        <v>-</v>
      </c>
      <c r="AJ299" s="438" t="str">
        <f t="shared" ca="1" si="170"/>
        <v>-</v>
      </c>
      <c r="AK299" s="439" t="str">
        <f ca="1">IFERROR(AE299*AD299*AL299/(IF(Cluster!AA318=Cluster!$W$8,Cluster!$W$10,IF(Cluster!AA318=Cluster!$X$8,Cluster!$X$10,IF(Cluster!AA318=Cluster!$Y$8,Cluster!$Y$10,0)))*10^3),"-")</f>
        <v>-</v>
      </c>
      <c r="AL299" s="440" t="str">
        <f ca="1">IFERROR(IF(OR(Calculation!T299&lt;(Calculation!$U$8+2),Calculation!AC299="Bypass"),IF((IF(Calculation!$O$6/((Calculation!AD299*10^-12)/(Calculation!T299*10^-9)*50)&lt;=1,1,ROUNDUP(Calculation!$O$6/((Calculation!AD299*10^-12)/(Calculation!T299*10^-9)*50),0))*50)&lt;Calculation!$AK$6,Calculation!$AK$6,IF(Calculation!$O$6/((Calculation!AD299*10^-12)/(Calculation!T299*10^-9)*50)&lt;=1,1,ROUNDUP(Calculation!$O$6/((Calculation!AD299*10^-12)/(Calculation!T299*10^-9)*50),0))*50),"-"),"-")</f>
        <v>-</v>
      </c>
      <c r="AM299" s="441" t="str">
        <f t="shared" ca="1" si="184"/>
        <v/>
      </c>
      <c r="AN299" s="442" t="str">
        <f t="shared" ca="1" si="184"/>
        <v/>
      </c>
      <c r="AO299" s="432">
        <f t="shared" ca="1" si="171"/>
        <v>384</v>
      </c>
      <c r="AP299" s="427" t="str">
        <f t="shared" ca="1" si="172"/>
        <v>-</v>
      </c>
      <c r="AQ299" s="443" t="str">
        <f t="shared" ca="1" si="173"/>
        <v>-</v>
      </c>
      <c r="AR299" s="444" t="str">
        <f t="shared" ca="1" si="174"/>
        <v>-</v>
      </c>
      <c r="AS299" s="430" t="str">
        <f t="shared" ca="1" si="175"/>
        <v>-</v>
      </c>
    </row>
    <row r="300" spans="1:45" ht="14.25" x14ac:dyDescent="0.65">
      <c r="A300" s="407">
        <v>292</v>
      </c>
      <c r="B300" s="408" t="str">
        <f t="shared" ca="1" si="156"/>
        <v/>
      </c>
      <c r="C300" s="408" t="str">
        <f ca="1">IFERROR(IF(G300="","",CONCATENATE(E300,"-",INDEX(Coordinate,MATCH(F300,ListAndConversion!$X$4:$X$99,0),2))),"")</f>
        <v/>
      </c>
      <c r="D300" s="408" t="str">
        <f t="shared" ca="1" si="181"/>
        <v/>
      </c>
      <c r="E300" s="408" t="str">
        <f t="shared" ca="1" si="181"/>
        <v/>
      </c>
      <c r="F300" s="408" t="str">
        <f t="shared" ca="1" si="181"/>
        <v/>
      </c>
      <c r="G300" s="408" t="str">
        <f ca="1">IFERROR(INDEX(ListAndConversion!A:B,MATCH(Calculation!E300,ListAndConversion!A:A,0),2),"")</f>
        <v/>
      </c>
      <c r="H300" s="408" t="str">
        <f>IF(TrackIT_Lines!AD292="","",TrackIT_Lines!AD292)</f>
        <v/>
      </c>
      <c r="I300" s="408" t="str">
        <f>IF(TrackIT_Lines!AD292="","",CONCATENATE(TrackIT_Lines!AD292,"-",TrackIT_Lines!AG292))</f>
        <v/>
      </c>
      <c r="J300" s="409" t="str">
        <f t="shared" ref="J300:Q309" ca="1" si="185">IF((INDIRECT("TrackIT_Lines!"&amp;J$2&amp;$A300))="","", (INDIRECT("TrackIT_Lines!"&amp;J$2&amp;$A300)))</f>
        <v/>
      </c>
      <c r="K300" s="408" t="str">
        <f t="shared" ca="1" si="185"/>
        <v/>
      </c>
      <c r="L300" s="408" t="str">
        <f t="shared" ca="1" si="185"/>
        <v/>
      </c>
      <c r="M300" s="408" t="str">
        <f t="shared" ca="1" si="185"/>
        <v/>
      </c>
      <c r="N300" s="408" t="str">
        <f t="shared" ca="1" si="185"/>
        <v/>
      </c>
      <c r="O300" s="408" t="str">
        <f t="shared" ca="1" si="185"/>
        <v/>
      </c>
      <c r="P300" s="408" t="str">
        <f t="shared" ca="1" si="185"/>
        <v/>
      </c>
      <c r="Q300" s="408" t="str">
        <f t="shared" ca="1" si="185"/>
        <v/>
      </c>
      <c r="R300" s="410" t="str">
        <f ca="1">Cluster!J319</f>
        <v>Selection</v>
      </c>
      <c r="S300" s="411" t="str">
        <f t="shared" ca="1" si="157"/>
        <v>-</v>
      </c>
      <c r="T300" s="412" t="str">
        <f t="shared" ca="1" si="158"/>
        <v/>
      </c>
      <c r="U300" s="411" t="str">
        <f t="shared" ca="1" si="159"/>
        <v>-</v>
      </c>
      <c r="V300" s="411" t="str">
        <f t="shared" ca="1" si="160"/>
        <v>-</v>
      </c>
      <c r="W300" s="413">
        <f>Cluster!N319</f>
        <v>0</v>
      </c>
      <c r="X300" s="414" t="str">
        <f t="shared" ca="1" si="161"/>
        <v>-</v>
      </c>
      <c r="Y300" s="411" t="str">
        <f t="shared" ca="1" si="162"/>
        <v>-</v>
      </c>
      <c r="Z300" s="415" t="str">
        <f t="shared" ca="1" si="163"/>
        <v>-</v>
      </c>
      <c r="AA300" s="416" t="str">
        <f t="shared" ca="1" si="164"/>
        <v>-</v>
      </c>
      <c r="AB300" s="416" t="str">
        <f t="shared" ca="1" si="165"/>
        <v/>
      </c>
      <c r="AC300" s="434">
        <f>Cluster!Q319</f>
        <v>0</v>
      </c>
      <c r="AD300" s="435" t="str">
        <f t="shared" ca="1" si="183"/>
        <v/>
      </c>
      <c r="AE300" s="436" t="str">
        <f t="shared" ca="1" si="183"/>
        <v/>
      </c>
      <c r="AF300" s="437" t="str">
        <f t="shared" ca="1" si="166"/>
        <v>-</v>
      </c>
      <c r="AG300" s="438" t="str">
        <f t="shared" ca="1" si="167"/>
        <v>-</v>
      </c>
      <c r="AH300" s="437" t="str">
        <f t="shared" ca="1" si="168"/>
        <v>-</v>
      </c>
      <c r="AI300" s="438" t="str">
        <f t="shared" ca="1" si="169"/>
        <v>-</v>
      </c>
      <c r="AJ300" s="438" t="str">
        <f t="shared" ca="1" si="170"/>
        <v>-</v>
      </c>
      <c r="AK300" s="439" t="str">
        <f ca="1">IFERROR(AE300*AD300*AL300/(IF(Cluster!AA319=Cluster!$W$8,Cluster!$W$10,IF(Cluster!AA319=Cluster!$X$8,Cluster!$X$10,IF(Cluster!AA319=Cluster!$Y$8,Cluster!$Y$10,0)))*10^3),"-")</f>
        <v>-</v>
      </c>
      <c r="AL300" s="440" t="str">
        <f ca="1">IFERROR(IF(OR(Calculation!T300&lt;(Calculation!$U$8+2),Calculation!AC300="Bypass"),IF((IF(Calculation!$O$6/((Calculation!AD300*10^-12)/(Calculation!T300*10^-9)*50)&lt;=1,1,ROUNDUP(Calculation!$O$6/((Calculation!AD300*10^-12)/(Calculation!T300*10^-9)*50),0))*50)&lt;Calculation!$AK$6,Calculation!$AK$6,IF(Calculation!$O$6/((Calculation!AD300*10^-12)/(Calculation!T300*10^-9)*50)&lt;=1,1,ROUNDUP(Calculation!$O$6/((Calculation!AD300*10^-12)/(Calculation!T300*10^-9)*50),0))*50),"-"),"-")</f>
        <v>-</v>
      </c>
      <c r="AM300" s="441" t="str">
        <f t="shared" ca="1" si="184"/>
        <v/>
      </c>
      <c r="AN300" s="442" t="str">
        <f t="shared" ca="1" si="184"/>
        <v/>
      </c>
      <c r="AO300" s="432">
        <f t="shared" ca="1" si="171"/>
        <v>384</v>
      </c>
      <c r="AP300" s="427" t="str">
        <f t="shared" ca="1" si="172"/>
        <v>-</v>
      </c>
      <c r="AQ300" s="443" t="str">
        <f t="shared" ca="1" si="173"/>
        <v>-</v>
      </c>
      <c r="AR300" s="444" t="str">
        <f t="shared" ca="1" si="174"/>
        <v>-</v>
      </c>
      <c r="AS300" s="430" t="str">
        <f t="shared" ca="1" si="175"/>
        <v>-</v>
      </c>
    </row>
    <row r="301" spans="1:45" ht="14.25" x14ac:dyDescent="0.65">
      <c r="A301" s="407">
        <v>293</v>
      </c>
      <c r="B301" s="408" t="str">
        <f t="shared" ca="1" si="156"/>
        <v/>
      </c>
      <c r="C301" s="408" t="str">
        <f ca="1">IFERROR(IF(G301="","",CONCATENATE(E301,"-",INDEX(Coordinate,MATCH(F301,ListAndConversion!$X$4:$X$99,0),2))),"")</f>
        <v/>
      </c>
      <c r="D301" s="408" t="str">
        <f t="shared" ca="1" si="181"/>
        <v/>
      </c>
      <c r="E301" s="408" t="str">
        <f t="shared" ca="1" si="181"/>
        <v/>
      </c>
      <c r="F301" s="408" t="str">
        <f t="shared" ca="1" si="181"/>
        <v/>
      </c>
      <c r="G301" s="408" t="str">
        <f ca="1">IFERROR(INDEX(ListAndConversion!A:B,MATCH(Calculation!E301,ListAndConversion!A:A,0),2),"")</f>
        <v/>
      </c>
      <c r="H301" s="408" t="str">
        <f>IF(TrackIT_Lines!AD293="","",TrackIT_Lines!AD293)</f>
        <v/>
      </c>
      <c r="I301" s="408" t="str">
        <f>IF(TrackIT_Lines!AD293="","",CONCATENATE(TrackIT_Lines!AD293,"-",TrackIT_Lines!AG293))</f>
        <v/>
      </c>
      <c r="J301" s="409" t="str">
        <f t="shared" ca="1" si="185"/>
        <v/>
      </c>
      <c r="K301" s="408" t="str">
        <f t="shared" ca="1" si="185"/>
        <v/>
      </c>
      <c r="L301" s="408" t="str">
        <f t="shared" ca="1" si="185"/>
        <v/>
      </c>
      <c r="M301" s="408" t="str">
        <f t="shared" ca="1" si="185"/>
        <v/>
      </c>
      <c r="N301" s="408" t="str">
        <f t="shared" ca="1" si="185"/>
        <v/>
      </c>
      <c r="O301" s="408" t="str">
        <f t="shared" ca="1" si="185"/>
        <v/>
      </c>
      <c r="P301" s="408" t="str">
        <f t="shared" ca="1" si="185"/>
        <v/>
      </c>
      <c r="Q301" s="408" t="str">
        <f t="shared" ca="1" si="185"/>
        <v/>
      </c>
      <c r="R301" s="410" t="str">
        <f ca="1">Cluster!J320</f>
        <v>Selection</v>
      </c>
      <c r="S301" s="411" t="str">
        <f t="shared" ca="1" si="157"/>
        <v>-</v>
      </c>
      <c r="T301" s="412" t="str">
        <f t="shared" ca="1" si="158"/>
        <v/>
      </c>
      <c r="U301" s="411" t="str">
        <f t="shared" ca="1" si="159"/>
        <v>-</v>
      </c>
      <c r="V301" s="411" t="str">
        <f t="shared" ca="1" si="160"/>
        <v>-</v>
      </c>
      <c r="W301" s="413">
        <f>Cluster!N320</f>
        <v>0</v>
      </c>
      <c r="X301" s="414" t="str">
        <f t="shared" ca="1" si="161"/>
        <v>-</v>
      </c>
      <c r="Y301" s="411" t="str">
        <f t="shared" ca="1" si="162"/>
        <v>-</v>
      </c>
      <c r="Z301" s="415" t="str">
        <f t="shared" ca="1" si="163"/>
        <v>-</v>
      </c>
      <c r="AA301" s="416" t="str">
        <f t="shared" ca="1" si="164"/>
        <v>-</v>
      </c>
      <c r="AB301" s="416" t="str">
        <f t="shared" ca="1" si="165"/>
        <v/>
      </c>
      <c r="AC301" s="434">
        <f>Cluster!Q320</f>
        <v>0</v>
      </c>
      <c r="AD301" s="435" t="str">
        <f t="shared" ca="1" si="183"/>
        <v/>
      </c>
      <c r="AE301" s="436" t="str">
        <f t="shared" ca="1" si="183"/>
        <v/>
      </c>
      <c r="AF301" s="437" t="str">
        <f t="shared" ca="1" si="166"/>
        <v>-</v>
      </c>
      <c r="AG301" s="438" t="str">
        <f t="shared" ca="1" si="167"/>
        <v>-</v>
      </c>
      <c r="AH301" s="437" t="str">
        <f t="shared" ca="1" si="168"/>
        <v>-</v>
      </c>
      <c r="AI301" s="438" t="str">
        <f t="shared" ca="1" si="169"/>
        <v>-</v>
      </c>
      <c r="AJ301" s="438" t="str">
        <f t="shared" ca="1" si="170"/>
        <v>-</v>
      </c>
      <c r="AK301" s="439" t="str">
        <f ca="1">IFERROR(AE301*AD301*AL301/(IF(Cluster!AA320=Cluster!$W$8,Cluster!$W$10,IF(Cluster!AA320=Cluster!$X$8,Cluster!$X$10,IF(Cluster!AA320=Cluster!$Y$8,Cluster!$Y$10,0)))*10^3),"-")</f>
        <v>-</v>
      </c>
      <c r="AL301" s="440" t="str">
        <f ca="1">IFERROR(IF(OR(Calculation!T301&lt;(Calculation!$U$8+2),Calculation!AC301="Bypass"),IF((IF(Calculation!$O$6/((Calculation!AD301*10^-12)/(Calculation!T301*10^-9)*50)&lt;=1,1,ROUNDUP(Calculation!$O$6/((Calculation!AD301*10^-12)/(Calculation!T301*10^-9)*50),0))*50)&lt;Calculation!$AK$6,Calculation!$AK$6,IF(Calculation!$O$6/((Calculation!AD301*10^-12)/(Calculation!T301*10^-9)*50)&lt;=1,1,ROUNDUP(Calculation!$O$6/((Calculation!AD301*10^-12)/(Calculation!T301*10^-9)*50),0))*50),"-"),"-")</f>
        <v>-</v>
      </c>
      <c r="AM301" s="441" t="str">
        <f t="shared" ca="1" si="184"/>
        <v/>
      </c>
      <c r="AN301" s="442" t="str">
        <f t="shared" ca="1" si="184"/>
        <v/>
      </c>
      <c r="AO301" s="432">
        <f t="shared" ca="1" si="171"/>
        <v>384</v>
      </c>
      <c r="AP301" s="427" t="str">
        <f t="shared" ca="1" si="172"/>
        <v>-</v>
      </c>
      <c r="AQ301" s="443" t="str">
        <f t="shared" ca="1" si="173"/>
        <v>-</v>
      </c>
      <c r="AR301" s="444" t="str">
        <f t="shared" ca="1" si="174"/>
        <v>-</v>
      </c>
      <c r="AS301" s="430" t="str">
        <f t="shared" ca="1" si="175"/>
        <v>-</v>
      </c>
    </row>
    <row r="302" spans="1:45" ht="14.25" x14ac:dyDescent="0.65">
      <c r="A302" s="407">
        <v>294</v>
      </c>
      <c r="B302" s="408" t="str">
        <f t="shared" ca="1" si="156"/>
        <v/>
      </c>
      <c r="C302" s="408" t="str">
        <f ca="1">IFERROR(IF(G302="","",CONCATENATE(E302,"-",INDEX(Coordinate,MATCH(F302,ListAndConversion!$X$4:$X$99,0),2))),"")</f>
        <v/>
      </c>
      <c r="D302" s="408" t="str">
        <f t="shared" ca="1" si="181"/>
        <v/>
      </c>
      <c r="E302" s="408" t="str">
        <f t="shared" ca="1" si="181"/>
        <v/>
      </c>
      <c r="F302" s="408" t="str">
        <f t="shared" ca="1" si="181"/>
        <v/>
      </c>
      <c r="G302" s="408" t="str">
        <f ca="1">IFERROR(INDEX(ListAndConversion!A:B,MATCH(Calculation!E302,ListAndConversion!A:A,0),2),"")</f>
        <v/>
      </c>
      <c r="H302" s="408" t="str">
        <f>IF(TrackIT_Lines!AD294="","",TrackIT_Lines!AD294)</f>
        <v/>
      </c>
      <c r="I302" s="408" t="str">
        <f>IF(TrackIT_Lines!AD294="","",CONCATENATE(TrackIT_Lines!AD294,"-",TrackIT_Lines!AG294))</f>
        <v/>
      </c>
      <c r="J302" s="409" t="str">
        <f t="shared" ca="1" si="185"/>
        <v/>
      </c>
      <c r="K302" s="408" t="str">
        <f t="shared" ca="1" si="185"/>
        <v/>
      </c>
      <c r="L302" s="408" t="str">
        <f t="shared" ca="1" si="185"/>
        <v/>
      </c>
      <c r="M302" s="408" t="str">
        <f t="shared" ca="1" si="185"/>
        <v/>
      </c>
      <c r="N302" s="408" t="str">
        <f t="shared" ca="1" si="185"/>
        <v/>
      </c>
      <c r="O302" s="408" t="str">
        <f t="shared" ca="1" si="185"/>
        <v/>
      </c>
      <c r="P302" s="408" t="str">
        <f t="shared" ca="1" si="185"/>
        <v/>
      </c>
      <c r="Q302" s="408" t="str">
        <f t="shared" ca="1" si="185"/>
        <v/>
      </c>
      <c r="R302" s="410" t="str">
        <f ca="1">Cluster!J321</f>
        <v>Selection</v>
      </c>
      <c r="S302" s="411" t="str">
        <f t="shared" ca="1" si="157"/>
        <v>-</v>
      </c>
      <c r="T302" s="412" t="str">
        <f t="shared" ca="1" si="158"/>
        <v/>
      </c>
      <c r="U302" s="411" t="str">
        <f t="shared" ca="1" si="159"/>
        <v>-</v>
      </c>
      <c r="V302" s="411" t="str">
        <f t="shared" ca="1" si="160"/>
        <v>-</v>
      </c>
      <c r="W302" s="413">
        <f>Cluster!N321</f>
        <v>0</v>
      </c>
      <c r="X302" s="414" t="str">
        <f t="shared" ca="1" si="161"/>
        <v>-</v>
      </c>
      <c r="Y302" s="411" t="str">
        <f t="shared" ca="1" si="162"/>
        <v>-</v>
      </c>
      <c r="Z302" s="415" t="str">
        <f t="shared" ca="1" si="163"/>
        <v>-</v>
      </c>
      <c r="AA302" s="416" t="str">
        <f t="shared" ca="1" si="164"/>
        <v>-</v>
      </c>
      <c r="AB302" s="416" t="str">
        <f t="shared" ca="1" si="165"/>
        <v/>
      </c>
      <c r="AC302" s="434">
        <f>Cluster!Q321</f>
        <v>0</v>
      </c>
      <c r="AD302" s="435" t="str">
        <f t="shared" ca="1" si="183"/>
        <v/>
      </c>
      <c r="AE302" s="436" t="str">
        <f t="shared" ca="1" si="183"/>
        <v/>
      </c>
      <c r="AF302" s="437" t="str">
        <f t="shared" ca="1" si="166"/>
        <v>-</v>
      </c>
      <c r="AG302" s="438" t="str">
        <f t="shared" ca="1" si="167"/>
        <v>-</v>
      </c>
      <c r="AH302" s="437" t="str">
        <f t="shared" ca="1" si="168"/>
        <v>-</v>
      </c>
      <c r="AI302" s="438" t="str">
        <f t="shared" ca="1" si="169"/>
        <v>-</v>
      </c>
      <c r="AJ302" s="438" t="str">
        <f t="shared" ca="1" si="170"/>
        <v>-</v>
      </c>
      <c r="AK302" s="439" t="str">
        <f ca="1">IFERROR(AE302*AD302*AL302/(IF(Cluster!AA321=Cluster!$W$8,Cluster!$W$10,IF(Cluster!AA321=Cluster!$X$8,Cluster!$X$10,IF(Cluster!AA321=Cluster!$Y$8,Cluster!$Y$10,0)))*10^3),"-")</f>
        <v>-</v>
      </c>
      <c r="AL302" s="440" t="str">
        <f ca="1">IFERROR(IF(OR(Calculation!T302&lt;(Calculation!$U$8+2),Calculation!AC302="Bypass"),IF((IF(Calculation!$O$6/((Calculation!AD302*10^-12)/(Calculation!T302*10^-9)*50)&lt;=1,1,ROUNDUP(Calculation!$O$6/((Calculation!AD302*10^-12)/(Calculation!T302*10^-9)*50),0))*50)&lt;Calculation!$AK$6,Calculation!$AK$6,IF(Calculation!$O$6/((Calculation!AD302*10^-12)/(Calculation!T302*10^-9)*50)&lt;=1,1,ROUNDUP(Calculation!$O$6/((Calculation!AD302*10^-12)/(Calculation!T302*10^-9)*50),0))*50),"-"),"-")</f>
        <v>-</v>
      </c>
      <c r="AM302" s="441" t="str">
        <f t="shared" ca="1" si="184"/>
        <v/>
      </c>
      <c r="AN302" s="442" t="str">
        <f t="shared" ca="1" si="184"/>
        <v/>
      </c>
      <c r="AO302" s="432">
        <f t="shared" ca="1" si="171"/>
        <v>384</v>
      </c>
      <c r="AP302" s="427" t="str">
        <f t="shared" ca="1" si="172"/>
        <v>-</v>
      </c>
      <c r="AQ302" s="443" t="str">
        <f t="shared" ca="1" si="173"/>
        <v>-</v>
      </c>
      <c r="AR302" s="444" t="str">
        <f t="shared" ca="1" si="174"/>
        <v>-</v>
      </c>
      <c r="AS302" s="430" t="str">
        <f t="shared" ca="1" si="175"/>
        <v>-</v>
      </c>
    </row>
    <row r="303" spans="1:45" ht="14.25" x14ac:dyDescent="0.65">
      <c r="A303" s="407">
        <v>295</v>
      </c>
      <c r="B303" s="408" t="str">
        <f t="shared" ca="1" si="156"/>
        <v/>
      </c>
      <c r="C303" s="408" t="str">
        <f ca="1">IFERROR(IF(G303="","",CONCATENATE(E303,"-",INDEX(Coordinate,MATCH(F303,ListAndConversion!$X$4:$X$99,0),2))),"")</f>
        <v/>
      </c>
      <c r="D303" s="408" t="str">
        <f t="shared" ca="1" si="181"/>
        <v/>
      </c>
      <c r="E303" s="408" t="str">
        <f t="shared" ca="1" si="181"/>
        <v/>
      </c>
      <c r="F303" s="408" t="str">
        <f t="shared" ca="1" si="181"/>
        <v/>
      </c>
      <c r="G303" s="408" t="str">
        <f ca="1">IFERROR(INDEX(ListAndConversion!A:B,MATCH(Calculation!E303,ListAndConversion!A:A,0),2),"")</f>
        <v/>
      </c>
      <c r="H303" s="408" t="str">
        <f>IF(TrackIT_Lines!AD295="","",TrackIT_Lines!AD295)</f>
        <v/>
      </c>
      <c r="I303" s="408" t="str">
        <f>IF(TrackIT_Lines!AD295="","",CONCATENATE(TrackIT_Lines!AD295,"-",TrackIT_Lines!AG295))</f>
        <v/>
      </c>
      <c r="J303" s="409" t="str">
        <f t="shared" ca="1" si="185"/>
        <v/>
      </c>
      <c r="K303" s="408" t="str">
        <f t="shared" ca="1" si="185"/>
        <v/>
      </c>
      <c r="L303" s="408" t="str">
        <f t="shared" ca="1" si="185"/>
        <v/>
      </c>
      <c r="M303" s="408" t="str">
        <f t="shared" ca="1" si="185"/>
        <v/>
      </c>
      <c r="N303" s="408" t="str">
        <f t="shared" ca="1" si="185"/>
        <v/>
      </c>
      <c r="O303" s="408" t="str">
        <f t="shared" ca="1" si="185"/>
        <v/>
      </c>
      <c r="P303" s="408" t="str">
        <f t="shared" ca="1" si="185"/>
        <v/>
      </c>
      <c r="Q303" s="408" t="str">
        <f t="shared" ca="1" si="185"/>
        <v/>
      </c>
      <c r="R303" s="410" t="str">
        <f ca="1">Cluster!J322</f>
        <v>Selection</v>
      </c>
      <c r="S303" s="411" t="str">
        <f t="shared" ca="1" si="157"/>
        <v>-</v>
      </c>
      <c r="T303" s="412" t="str">
        <f t="shared" ca="1" si="158"/>
        <v/>
      </c>
      <c r="U303" s="411" t="str">
        <f t="shared" ca="1" si="159"/>
        <v>-</v>
      </c>
      <c r="V303" s="411" t="str">
        <f t="shared" ca="1" si="160"/>
        <v>-</v>
      </c>
      <c r="W303" s="413">
        <f>Cluster!N322</f>
        <v>0</v>
      </c>
      <c r="X303" s="414" t="str">
        <f t="shared" ca="1" si="161"/>
        <v>-</v>
      </c>
      <c r="Y303" s="411" t="str">
        <f t="shared" ca="1" si="162"/>
        <v>-</v>
      </c>
      <c r="Z303" s="415" t="str">
        <f t="shared" ca="1" si="163"/>
        <v>-</v>
      </c>
      <c r="AA303" s="416" t="str">
        <f t="shared" ca="1" si="164"/>
        <v>-</v>
      </c>
      <c r="AB303" s="416" t="str">
        <f t="shared" ca="1" si="165"/>
        <v/>
      </c>
      <c r="AC303" s="434">
        <f>Cluster!Q322</f>
        <v>0</v>
      </c>
      <c r="AD303" s="435" t="str">
        <f t="shared" ca="1" si="183"/>
        <v/>
      </c>
      <c r="AE303" s="436" t="str">
        <f t="shared" ca="1" si="183"/>
        <v/>
      </c>
      <c r="AF303" s="437" t="str">
        <f t="shared" ca="1" si="166"/>
        <v>-</v>
      </c>
      <c r="AG303" s="438" t="str">
        <f t="shared" ca="1" si="167"/>
        <v>-</v>
      </c>
      <c r="AH303" s="437" t="str">
        <f t="shared" ca="1" si="168"/>
        <v>-</v>
      </c>
      <c r="AI303" s="438" t="str">
        <f t="shared" ca="1" si="169"/>
        <v>-</v>
      </c>
      <c r="AJ303" s="438" t="str">
        <f t="shared" ca="1" si="170"/>
        <v>-</v>
      </c>
      <c r="AK303" s="439" t="str">
        <f ca="1">IFERROR(AE303*AD303*AL303/(IF(Cluster!AA322=Cluster!$W$8,Cluster!$W$10,IF(Cluster!AA322=Cluster!$X$8,Cluster!$X$10,IF(Cluster!AA322=Cluster!$Y$8,Cluster!$Y$10,0)))*10^3),"-")</f>
        <v>-</v>
      </c>
      <c r="AL303" s="440" t="str">
        <f ca="1">IFERROR(IF(OR(Calculation!T303&lt;(Calculation!$U$8+2),Calculation!AC303="Bypass"),IF((IF(Calculation!$O$6/((Calculation!AD303*10^-12)/(Calculation!T303*10^-9)*50)&lt;=1,1,ROUNDUP(Calculation!$O$6/((Calculation!AD303*10^-12)/(Calculation!T303*10^-9)*50),0))*50)&lt;Calculation!$AK$6,Calculation!$AK$6,IF(Calculation!$O$6/((Calculation!AD303*10^-12)/(Calculation!T303*10^-9)*50)&lt;=1,1,ROUNDUP(Calculation!$O$6/((Calculation!AD303*10^-12)/(Calculation!T303*10^-9)*50),0))*50),"-"),"-")</f>
        <v>-</v>
      </c>
      <c r="AM303" s="441" t="str">
        <f t="shared" ca="1" si="184"/>
        <v/>
      </c>
      <c r="AN303" s="442" t="str">
        <f t="shared" ca="1" si="184"/>
        <v/>
      </c>
      <c r="AO303" s="432">
        <f t="shared" ca="1" si="171"/>
        <v>384</v>
      </c>
      <c r="AP303" s="427" t="str">
        <f t="shared" ca="1" si="172"/>
        <v>-</v>
      </c>
      <c r="AQ303" s="443" t="str">
        <f t="shared" ca="1" si="173"/>
        <v>-</v>
      </c>
      <c r="AR303" s="444" t="str">
        <f t="shared" ca="1" si="174"/>
        <v>-</v>
      </c>
      <c r="AS303" s="430" t="str">
        <f t="shared" ca="1" si="175"/>
        <v>-</v>
      </c>
    </row>
    <row r="304" spans="1:45" ht="14.25" x14ac:dyDescent="0.65">
      <c r="A304" s="407">
        <v>296</v>
      </c>
      <c r="B304" s="408" t="str">
        <f t="shared" ca="1" si="156"/>
        <v/>
      </c>
      <c r="C304" s="408" t="str">
        <f ca="1">IFERROR(IF(G304="","",CONCATENATE(E304,"-",INDEX(Coordinate,MATCH(F304,ListAndConversion!$X$4:$X$99,0),2))),"")</f>
        <v/>
      </c>
      <c r="D304" s="408" t="str">
        <f t="shared" ca="1" si="181"/>
        <v/>
      </c>
      <c r="E304" s="408" t="str">
        <f t="shared" ca="1" si="181"/>
        <v/>
      </c>
      <c r="F304" s="408" t="str">
        <f t="shared" ca="1" si="181"/>
        <v/>
      </c>
      <c r="G304" s="408" t="str">
        <f ca="1">IFERROR(INDEX(ListAndConversion!A:B,MATCH(Calculation!E304,ListAndConversion!A:A,0),2),"")</f>
        <v/>
      </c>
      <c r="H304" s="408" t="str">
        <f>IF(TrackIT_Lines!AD296="","",TrackIT_Lines!AD296)</f>
        <v/>
      </c>
      <c r="I304" s="408" t="str">
        <f>IF(TrackIT_Lines!AD296="","",CONCATENATE(TrackIT_Lines!AD296,"-",TrackIT_Lines!AG296))</f>
        <v/>
      </c>
      <c r="J304" s="409" t="str">
        <f t="shared" ca="1" si="185"/>
        <v/>
      </c>
      <c r="K304" s="408" t="str">
        <f t="shared" ca="1" si="185"/>
        <v/>
      </c>
      <c r="L304" s="408" t="str">
        <f t="shared" ca="1" si="185"/>
        <v/>
      </c>
      <c r="M304" s="408" t="str">
        <f t="shared" ca="1" si="185"/>
        <v/>
      </c>
      <c r="N304" s="408" t="str">
        <f t="shared" ca="1" si="185"/>
        <v/>
      </c>
      <c r="O304" s="408" t="str">
        <f t="shared" ca="1" si="185"/>
        <v/>
      </c>
      <c r="P304" s="408" t="str">
        <f t="shared" ca="1" si="185"/>
        <v/>
      </c>
      <c r="Q304" s="408" t="str">
        <f t="shared" ca="1" si="185"/>
        <v/>
      </c>
      <c r="R304" s="410" t="str">
        <f ca="1">Cluster!J323</f>
        <v>Selection</v>
      </c>
      <c r="S304" s="411" t="str">
        <f t="shared" ca="1" si="157"/>
        <v>-</v>
      </c>
      <c r="T304" s="412" t="str">
        <f t="shared" ca="1" si="158"/>
        <v/>
      </c>
      <c r="U304" s="411" t="str">
        <f t="shared" ca="1" si="159"/>
        <v>-</v>
      </c>
      <c r="V304" s="411" t="str">
        <f t="shared" ca="1" si="160"/>
        <v>-</v>
      </c>
      <c r="W304" s="413">
        <f>Cluster!N323</f>
        <v>0</v>
      </c>
      <c r="X304" s="414" t="str">
        <f t="shared" ca="1" si="161"/>
        <v>-</v>
      </c>
      <c r="Y304" s="411" t="str">
        <f t="shared" ca="1" si="162"/>
        <v>-</v>
      </c>
      <c r="Z304" s="415" t="str">
        <f t="shared" ca="1" si="163"/>
        <v>-</v>
      </c>
      <c r="AA304" s="416" t="str">
        <f t="shared" ca="1" si="164"/>
        <v>-</v>
      </c>
      <c r="AB304" s="416" t="str">
        <f t="shared" ca="1" si="165"/>
        <v/>
      </c>
      <c r="AC304" s="434">
        <f>Cluster!Q323</f>
        <v>0</v>
      </c>
      <c r="AD304" s="435" t="str">
        <f t="shared" ca="1" si="183"/>
        <v/>
      </c>
      <c r="AE304" s="436" t="str">
        <f t="shared" ca="1" si="183"/>
        <v/>
      </c>
      <c r="AF304" s="437" t="str">
        <f t="shared" ca="1" si="166"/>
        <v>-</v>
      </c>
      <c r="AG304" s="438" t="str">
        <f t="shared" ca="1" si="167"/>
        <v>-</v>
      </c>
      <c r="AH304" s="437" t="str">
        <f t="shared" ca="1" si="168"/>
        <v>-</v>
      </c>
      <c r="AI304" s="438" t="str">
        <f t="shared" ca="1" si="169"/>
        <v>-</v>
      </c>
      <c r="AJ304" s="438" t="str">
        <f t="shared" ca="1" si="170"/>
        <v>-</v>
      </c>
      <c r="AK304" s="439" t="str">
        <f ca="1">IFERROR(AE304*AD304*AL304/(IF(Cluster!AA323=Cluster!$W$8,Cluster!$W$10,IF(Cluster!AA323=Cluster!$X$8,Cluster!$X$10,IF(Cluster!AA323=Cluster!$Y$8,Cluster!$Y$10,0)))*10^3),"-")</f>
        <v>-</v>
      </c>
      <c r="AL304" s="440" t="str">
        <f ca="1">IFERROR(IF(OR(Calculation!T304&lt;(Calculation!$U$8+2),Calculation!AC304="Bypass"),IF((IF(Calculation!$O$6/((Calculation!AD304*10^-12)/(Calculation!T304*10^-9)*50)&lt;=1,1,ROUNDUP(Calculation!$O$6/((Calculation!AD304*10^-12)/(Calculation!T304*10^-9)*50),0))*50)&lt;Calculation!$AK$6,Calculation!$AK$6,IF(Calculation!$O$6/((Calculation!AD304*10^-12)/(Calculation!T304*10^-9)*50)&lt;=1,1,ROUNDUP(Calculation!$O$6/((Calculation!AD304*10^-12)/(Calculation!T304*10^-9)*50),0))*50),"-"),"-")</f>
        <v>-</v>
      </c>
      <c r="AM304" s="441" t="str">
        <f t="shared" ca="1" si="184"/>
        <v/>
      </c>
      <c r="AN304" s="442" t="str">
        <f t="shared" ca="1" si="184"/>
        <v/>
      </c>
      <c r="AO304" s="432">
        <f t="shared" ca="1" si="171"/>
        <v>384</v>
      </c>
      <c r="AP304" s="427" t="str">
        <f t="shared" ca="1" si="172"/>
        <v>-</v>
      </c>
      <c r="AQ304" s="443" t="str">
        <f t="shared" ca="1" si="173"/>
        <v>-</v>
      </c>
      <c r="AR304" s="444" t="str">
        <f t="shared" ca="1" si="174"/>
        <v>-</v>
      </c>
      <c r="AS304" s="430" t="str">
        <f t="shared" ca="1" si="175"/>
        <v>-</v>
      </c>
    </row>
    <row r="305" spans="1:45" ht="14.25" x14ac:dyDescent="0.65">
      <c r="A305" s="407">
        <v>297</v>
      </c>
      <c r="B305" s="408" t="str">
        <f t="shared" ca="1" si="156"/>
        <v/>
      </c>
      <c r="C305" s="408" t="str">
        <f ca="1">IFERROR(IF(G305="","",CONCATENATE(E305,"-",INDEX(Coordinate,MATCH(F305,ListAndConversion!$X$4:$X$99,0),2))),"")</f>
        <v/>
      </c>
      <c r="D305" s="408" t="str">
        <f t="shared" ca="1" si="181"/>
        <v/>
      </c>
      <c r="E305" s="408" t="str">
        <f t="shared" ca="1" si="181"/>
        <v/>
      </c>
      <c r="F305" s="408" t="str">
        <f t="shared" ca="1" si="181"/>
        <v/>
      </c>
      <c r="G305" s="408" t="str">
        <f ca="1">IFERROR(INDEX(ListAndConversion!A:B,MATCH(Calculation!E305,ListAndConversion!A:A,0),2),"")</f>
        <v/>
      </c>
      <c r="H305" s="408" t="str">
        <f>IF(TrackIT_Lines!AD297="","",TrackIT_Lines!AD297)</f>
        <v/>
      </c>
      <c r="I305" s="408" t="str">
        <f>IF(TrackIT_Lines!AD297="","",CONCATENATE(TrackIT_Lines!AD297,"-",TrackIT_Lines!AG297))</f>
        <v/>
      </c>
      <c r="J305" s="409" t="str">
        <f t="shared" ca="1" si="185"/>
        <v/>
      </c>
      <c r="K305" s="408" t="str">
        <f t="shared" ca="1" si="185"/>
        <v/>
      </c>
      <c r="L305" s="408" t="str">
        <f t="shared" ca="1" si="185"/>
        <v/>
      </c>
      <c r="M305" s="408" t="str">
        <f t="shared" ca="1" si="185"/>
        <v/>
      </c>
      <c r="N305" s="408" t="str">
        <f t="shared" ca="1" si="185"/>
        <v/>
      </c>
      <c r="O305" s="408" t="str">
        <f t="shared" ca="1" si="185"/>
        <v/>
      </c>
      <c r="P305" s="408" t="str">
        <f t="shared" ca="1" si="185"/>
        <v/>
      </c>
      <c r="Q305" s="408" t="str">
        <f t="shared" ca="1" si="185"/>
        <v/>
      </c>
      <c r="R305" s="410" t="str">
        <f ca="1">Cluster!J324</f>
        <v>Selection</v>
      </c>
      <c r="S305" s="411" t="str">
        <f t="shared" ca="1" si="157"/>
        <v>-</v>
      </c>
      <c r="T305" s="412" t="str">
        <f t="shared" ca="1" si="158"/>
        <v/>
      </c>
      <c r="U305" s="411" t="str">
        <f t="shared" ca="1" si="159"/>
        <v>-</v>
      </c>
      <c r="V305" s="411" t="str">
        <f t="shared" ca="1" si="160"/>
        <v>-</v>
      </c>
      <c r="W305" s="413">
        <f>Cluster!N324</f>
        <v>0</v>
      </c>
      <c r="X305" s="414" t="str">
        <f t="shared" ca="1" si="161"/>
        <v>-</v>
      </c>
      <c r="Y305" s="411" t="str">
        <f t="shared" ca="1" si="162"/>
        <v>-</v>
      </c>
      <c r="Z305" s="415" t="str">
        <f t="shared" ca="1" si="163"/>
        <v>-</v>
      </c>
      <c r="AA305" s="416" t="str">
        <f t="shared" ca="1" si="164"/>
        <v>-</v>
      </c>
      <c r="AB305" s="416" t="str">
        <f t="shared" ca="1" si="165"/>
        <v/>
      </c>
      <c r="AC305" s="434">
        <f>Cluster!Q324</f>
        <v>0</v>
      </c>
      <c r="AD305" s="435" t="str">
        <f t="shared" ca="1" si="183"/>
        <v/>
      </c>
      <c r="AE305" s="436" t="str">
        <f t="shared" ca="1" si="183"/>
        <v/>
      </c>
      <c r="AF305" s="437" t="str">
        <f t="shared" ca="1" si="166"/>
        <v>-</v>
      </c>
      <c r="AG305" s="438" t="str">
        <f t="shared" ca="1" si="167"/>
        <v>-</v>
      </c>
      <c r="AH305" s="437" t="str">
        <f t="shared" ca="1" si="168"/>
        <v>-</v>
      </c>
      <c r="AI305" s="438" t="str">
        <f t="shared" ca="1" si="169"/>
        <v>-</v>
      </c>
      <c r="AJ305" s="438" t="str">
        <f t="shared" ca="1" si="170"/>
        <v>-</v>
      </c>
      <c r="AK305" s="439" t="str">
        <f ca="1">IFERROR(AE305*AD305*AL305/(IF(Cluster!AA324=Cluster!$W$8,Cluster!$W$10,IF(Cluster!AA324=Cluster!$X$8,Cluster!$X$10,IF(Cluster!AA324=Cluster!$Y$8,Cluster!$Y$10,0)))*10^3),"-")</f>
        <v>-</v>
      </c>
      <c r="AL305" s="440" t="str">
        <f ca="1">IFERROR(IF(OR(Calculation!T305&lt;(Calculation!$U$8+2),Calculation!AC305="Bypass"),IF((IF(Calculation!$O$6/((Calculation!AD305*10^-12)/(Calculation!T305*10^-9)*50)&lt;=1,1,ROUNDUP(Calculation!$O$6/((Calculation!AD305*10^-12)/(Calculation!T305*10^-9)*50),0))*50)&lt;Calculation!$AK$6,Calculation!$AK$6,IF(Calculation!$O$6/((Calculation!AD305*10^-12)/(Calculation!T305*10^-9)*50)&lt;=1,1,ROUNDUP(Calculation!$O$6/((Calculation!AD305*10^-12)/(Calculation!T305*10^-9)*50),0))*50),"-"),"-")</f>
        <v>-</v>
      </c>
      <c r="AM305" s="441" t="str">
        <f t="shared" ca="1" si="184"/>
        <v/>
      </c>
      <c r="AN305" s="442" t="str">
        <f t="shared" ca="1" si="184"/>
        <v/>
      </c>
      <c r="AO305" s="432">
        <f t="shared" ca="1" si="171"/>
        <v>384</v>
      </c>
      <c r="AP305" s="427" t="str">
        <f t="shared" ca="1" si="172"/>
        <v>-</v>
      </c>
      <c r="AQ305" s="443" t="str">
        <f t="shared" ca="1" si="173"/>
        <v>-</v>
      </c>
      <c r="AR305" s="444" t="str">
        <f t="shared" ca="1" si="174"/>
        <v>-</v>
      </c>
      <c r="AS305" s="430" t="str">
        <f t="shared" ca="1" si="175"/>
        <v>-</v>
      </c>
    </row>
    <row r="306" spans="1:45" ht="14.25" x14ac:dyDescent="0.65">
      <c r="A306" s="407">
        <v>298</v>
      </c>
      <c r="B306" s="408" t="str">
        <f t="shared" ca="1" si="156"/>
        <v/>
      </c>
      <c r="C306" s="408" t="str">
        <f ca="1">IFERROR(IF(G306="","",CONCATENATE(E306,"-",INDEX(Coordinate,MATCH(F306,ListAndConversion!$X$4:$X$99,0),2))),"")</f>
        <v/>
      </c>
      <c r="D306" s="408" t="str">
        <f t="shared" ca="1" si="181"/>
        <v/>
      </c>
      <c r="E306" s="408" t="str">
        <f t="shared" ca="1" si="181"/>
        <v/>
      </c>
      <c r="F306" s="408" t="str">
        <f t="shared" ca="1" si="181"/>
        <v/>
      </c>
      <c r="G306" s="408" t="str">
        <f ca="1">IFERROR(INDEX(ListAndConversion!A:B,MATCH(Calculation!E306,ListAndConversion!A:A,0),2),"")</f>
        <v/>
      </c>
      <c r="H306" s="408" t="str">
        <f>IF(TrackIT_Lines!AD298="","",TrackIT_Lines!AD298)</f>
        <v/>
      </c>
      <c r="I306" s="408" t="str">
        <f>IF(TrackIT_Lines!AD298="","",CONCATENATE(TrackIT_Lines!AD298,"-",TrackIT_Lines!AG298))</f>
        <v/>
      </c>
      <c r="J306" s="409" t="str">
        <f t="shared" ca="1" si="185"/>
        <v/>
      </c>
      <c r="K306" s="408" t="str">
        <f t="shared" ca="1" si="185"/>
        <v/>
      </c>
      <c r="L306" s="408" t="str">
        <f t="shared" ca="1" si="185"/>
        <v/>
      </c>
      <c r="M306" s="408" t="str">
        <f t="shared" ca="1" si="185"/>
        <v/>
      </c>
      <c r="N306" s="408" t="str">
        <f t="shared" ca="1" si="185"/>
        <v/>
      </c>
      <c r="O306" s="408" t="str">
        <f t="shared" ca="1" si="185"/>
        <v/>
      </c>
      <c r="P306" s="408" t="str">
        <f t="shared" ca="1" si="185"/>
        <v/>
      </c>
      <c r="Q306" s="408" t="str">
        <f t="shared" ca="1" si="185"/>
        <v/>
      </c>
      <c r="R306" s="410" t="str">
        <f ca="1">Cluster!J325</f>
        <v>Selection</v>
      </c>
      <c r="S306" s="411" t="str">
        <f t="shared" ca="1" si="157"/>
        <v>-</v>
      </c>
      <c r="T306" s="412" t="str">
        <f t="shared" ca="1" si="158"/>
        <v/>
      </c>
      <c r="U306" s="411" t="str">
        <f t="shared" ca="1" si="159"/>
        <v>-</v>
      </c>
      <c r="V306" s="411" t="str">
        <f t="shared" ca="1" si="160"/>
        <v>-</v>
      </c>
      <c r="W306" s="413">
        <f>Cluster!N325</f>
        <v>0</v>
      </c>
      <c r="X306" s="414" t="str">
        <f t="shared" ca="1" si="161"/>
        <v>-</v>
      </c>
      <c r="Y306" s="411" t="str">
        <f t="shared" ca="1" si="162"/>
        <v>-</v>
      </c>
      <c r="Z306" s="415" t="str">
        <f t="shared" ca="1" si="163"/>
        <v>-</v>
      </c>
      <c r="AA306" s="416" t="str">
        <f t="shared" ca="1" si="164"/>
        <v>-</v>
      </c>
      <c r="AB306" s="416" t="str">
        <f t="shared" ca="1" si="165"/>
        <v/>
      </c>
      <c r="AC306" s="434">
        <f>Cluster!Q325</f>
        <v>0</v>
      </c>
      <c r="AD306" s="435" t="str">
        <f t="shared" ca="1" si="183"/>
        <v/>
      </c>
      <c r="AE306" s="436" t="str">
        <f t="shared" ca="1" si="183"/>
        <v/>
      </c>
      <c r="AF306" s="437" t="str">
        <f t="shared" ca="1" si="166"/>
        <v>-</v>
      </c>
      <c r="AG306" s="438" t="str">
        <f t="shared" ca="1" si="167"/>
        <v>-</v>
      </c>
      <c r="AH306" s="437" t="str">
        <f t="shared" ca="1" si="168"/>
        <v>-</v>
      </c>
      <c r="AI306" s="438" t="str">
        <f t="shared" ca="1" si="169"/>
        <v>-</v>
      </c>
      <c r="AJ306" s="438" t="str">
        <f t="shared" ca="1" si="170"/>
        <v>-</v>
      </c>
      <c r="AK306" s="439" t="str">
        <f ca="1">IFERROR(AE306*AD306*AL306/(IF(Cluster!AA325=Cluster!$W$8,Cluster!$W$10,IF(Cluster!AA325=Cluster!$X$8,Cluster!$X$10,IF(Cluster!AA325=Cluster!$Y$8,Cluster!$Y$10,0)))*10^3),"-")</f>
        <v>-</v>
      </c>
      <c r="AL306" s="440" t="str">
        <f ca="1">IFERROR(IF(OR(Calculation!T306&lt;(Calculation!$U$8+2),Calculation!AC306="Bypass"),IF((IF(Calculation!$O$6/((Calculation!AD306*10^-12)/(Calculation!T306*10^-9)*50)&lt;=1,1,ROUNDUP(Calculation!$O$6/((Calculation!AD306*10^-12)/(Calculation!T306*10^-9)*50),0))*50)&lt;Calculation!$AK$6,Calculation!$AK$6,IF(Calculation!$O$6/((Calculation!AD306*10^-12)/(Calculation!T306*10^-9)*50)&lt;=1,1,ROUNDUP(Calculation!$O$6/((Calculation!AD306*10^-12)/(Calculation!T306*10^-9)*50),0))*50),"-"),"-")</f>
        <v>-</v>
      </c>
      <c r="AM306" s="441" t="str">
        <f t="shared" ca="1" si="184"/>
        <v/>
      </c>
      <c r="AN306" s="442" t="str">
        <f t="shared" ca="1" si="184"/>
        <v/>
      </c>
      <c r="AO306" s="432">
        <f t="shared" ca="1" si="171"/>
        <v>384</v>
      </c>
      <c r="AP306" s="427" t="str">
        <f t="shared" ca="1" si="172"/>
        <v>-</v>
      </c>
      <c r="AQ306" s="443" t="str">
        <f t="shared" ca="1" si="173"/>
        <v>-</v>
      </c>
      <c r="AR306" s="444" t="str">
        <f t="shared" ca="1" si="174"/>
        <v>-</v>
      </c>
      <c r="AS306" s="430" t="str">
        <f t="shared" ca="1" si="175"/>
        <v>-</v>
      </c>
    </row>
    <row r="307" spans="1:45" ht="14.25" x14ac:dyDescent="0.65">
      <c r="A307" s="407">
        <v>299</v>
      </c>
      <c r="B307" s="408" t="str">
        <f t="shared" ca="1" si="156"/>
        <v/>
      </c>
      <c r="C307" s="408" t="str">
        <f ca="1">IFERROR(IF(G307="","",CONCATENATE(E307,"-",INDEX(Coordinate,MATCH(F307,ListAndConversion!$X$4:$X$99,0),2))),"")</f>
        <v/>
      </c>
      <c r="D307" s="408" t="str">
        <f t="shared" ca="1" si="181"/>
        <v/>
      </c>
      <c r="E307" s="408" t="str">
        <f t="shared" ca="1" si="181"/>
        <v/>
      </c>
      <c r="F307" s="408" t="str">
        <f t="shared" ca="1" si="181"/>
        <v/>
      </c>
      <c r="G307" s="408" t="str">
        <f ca="1">IFERROR(INDEX(ListAndConversion!A:B,MATCH(Calculation!E307,ListAndConversion!A:A,0),2),"")</f>
        <v/>
      </c>
      <c r="H307" s="408" t="str">
        <f>IF(TrackIT_Lines!AD299="","",TrackIT_Lines!AD299)</f>
        <v/>
      </c>
      <c r="I307" s="408" t="str">
        <f>IF(TrackIT_Lines!AD299="","",CONCATENATE(TrackIT_Lines!AD299,"-",TrackIT_Lines!AG299))</f>
        <v/>
      </c>
      <c r="J307" s="409" t="str">
        <f t="shared" ca="1" si="185"/>
        <v/>
      </c>
      <c r="K307" s="408" t="str">
        <f t="shared" ca="1" si="185"/>
        <v/>
      </c>
      <c r="L307" s="408" t="str">
        <f t="shared" ca="1" si="185"/>
        <v/>
      </c>
      <c r="M307" s="408" t="str">
        <f t="shared" ca="1" si="185"/>
        <v/>
      </c>
      <c r="N307" s="408" t="str">
        <f t="shared" ca="1" si="185"/>
        <v/>
      </c>
      <c r="O307" s="408" t="str">
        <f t="shared" ca="1" si="185"/>
        <v/>
      </c>
      <c r="P307" s="408" t="str">
        <f t="shared" ca="1" si="185"/>
        <v/>
      </c>
      <c r="Q307" s="408" t="str">
        <f t="shared" ca="1" si="185"/>
        <v/>
      </c>
      <c r="R307" s="410" t="str">
        <f ca="1">Cluster!J326</f>
        <v>Selection</v>
      </c>
      <c r="S307" s="411" t="str">
        <f t="shared" ca="1" si="157"/>
        <v>-</v>
      </c>
      <c r="T307" s="412" t="str">
        <f t="shared" ca="1" si="158"/>
        <v/>
      </c>
      <c r="U307" s="411" t="str">
        <f t="shared" ca="1" si="159"/>
        <v>-</v>
      </c>
      <c r="V307" s="411" t="str">
        <f t="shared" ca="1" si="160"/>
        <v>-</v>
      </c>
      <c r="W307" s="413">
        <f>Cluster!N326</f>
        <v>0</v>
      </c>
      <c r="X307" s="414" t="str">
        <f t="shared" ca="1" si="161"/>
        <v>-</v>
      </c>
      <c r="Y307" s="411" t="str">
        <f t="shared" ca="1" si="162"/>
        <v>-</v>
      </c>
      <c r="Z307" s="415" t="str">
        <f t="shared" ca="1" si="163"/>
        <v>-</v>
      </c>
      <c r="AA307" s="416" t="str">
        <f t="shared" ca="1" si="164"/>
        <v>-</v>
      </c>
      <c r="AB307" s="416" t="str">
        <f t="shared" ca="1" si="165"/>
        <v/>
      </c>
      <c r="AC307" s="434">
        <f>Cluster!Q326</f>
        <v>0</v>
      </c>
      <c r="AD307" s="435" t="str">
        <f t="shared" ca="1" si="183"/>
        <v/>
      </c>
      <c r="AE307" s="436" t="str">
        <f t="shared" ca="1" si="183"/>
        <v/>
      </c>
      <c r="AF307" s="437" t="str">
        <f t="shared" ca="1" si="166"/>
        <v>-</v>
      </c>
      <c r="AG307" s="438" t="str">
        <f t="shared" ca="1" si="167"/>
        <v>-</v>
      </c>
      <c r="AH307" s="437" t="str">
        <f t="shared" ca="1" si="168"/>
        <v>-</v>
      </c>
      <c r="AI307" s="438" t="str">
        <f t="shared" ca="1" si="169"/>
        <v>-</v>
      </c>
      <c r="AJ307" s="438" t="str">
        <f t="shared" ca="1" si="170"/>
        <v>-</v>
      </c>
      <c r="AK307" s="439" t="str">
        <f ca="1">IFERROR(AE307*AD307*AL307/(IF(Cluster!AA326=Cluster!$W$8,Cluster!$W$10,IF(Cluster!AA326=Cluster!$X$8,Cluster!$X$10,IF(Cluster!AA326=Cluster!$Y$8,Cluster!$Y$10,0)))*10^3),"-")</f>
        <v>-</v>
      </c>
      <c r="AL307" s="440" t="str">
        <f ca="1">IFERROR(IF(OR(Calculation!T307&lt;(Calculation!$U$8+2),Calculation!AC307="Bypass"),IF((IF(Calculation!$O$6/((Calculation!AD307*10^-12)/(Calculation!T307*10^-9)*50)&lt;=1,1,ROUNDUP(Calculation!$O$6/((Calculation!AD307*10^-12)/(Calculation!T307*10^-9)*50),0))*50)&lt;Calculation!$AK$6,Calculation!$AK$6,IF(Calculation!$O$6/((Calculation!AD307*10^-12)/(Calculation!T307*10^-9)*50)&lt;=1,1,ROUNDUP(Calculation!$O$6/((Calculation!AD307*10^-12)/(Calculation!T307*10^-9)*50),0))*50),"-"),"-")</f>
        <v>-</v>
      </c>
      <c r="AM307" s="441" t="str">
        <f t="shared" ca="1" si="184"/>
        <v/>
      </c>
      <c r="AN307" s="442" t="str">
        <f t="shared" ca="1" si="184"/>
        <v/>
      </c>
      <c r="AO307" s="432">
        <f t="shared" ca="1" si="171"/>
        <v>384</v>
      </c>
      <c r="AP307" s="427" t="str">
        <f t="shared" ca="1" si="172"/>
        <v>-</v>
      </c>
      <c r="AQ307" s="443" t="str">
        <f t="shared" ca="1" si="173"/>
        <v>-</v>
      </c>
      <c r="AR307" s="444" t="str">
        <f t="shared" ca="1" si="174"/>
        <v>-</v>
      </c>
      <c r="AS307" s="430" t="str">
        <f t="shared" ca="1" si="175"/>
        <v>-</v>
      </c>
    </row>
    <row r="308" spans="1:45" ht="14.25" x14ac:dyDescent="0.65">
      <c r="A308" s="407">
        <v>300</v>
      </c>
      <c r="B308" s="408" t="str">
        <f t="shared" ca="1" si="156"/>
        <v/>
      </c>
      <c r="C308" s="408" t="str">
        <f ca="1">IFERROR(IF(G308="","",CONCATENATE(E308,"-",INDEX(Coordinate,MATCH(F308,ListAndConversion!$X$4:$X$99,0),2))),"")</f>
        <v/>
      </c>
      <c r="D308" s="408" t="str">
        <f t="shared" ca="1" si="181"/>
        <v/>
      </c>
      <c r="E308" s="408" t="str">
        <f t="shared" ca="1" si="181"/>
        <v/>
      </c>
      <c r="F308" s="408" t="str">
        <f t="shared" ca="1" si="181"/>
        <v/>
      </c>
      <c r="G308" s="408" t="str">
        <f ca="1">IFERROR(INDEX(ListAndConversion!A:B,MATCH(Calculation!E308,ListAndConversion!A:A,0),2),"")</f>
        <v/>
      </c>
      <c r="H308" s="408" t="str">
        <f>IF(TrackIT_Lines!AD300="","",TrackIT_Lines!AD300)</f>
        <v/>
      </c>
      <c r="I308" s="408" t="str">
        <f>IF(TrackIT_Lines!AD300="","",CONCATENATE(TrackIT_Lines!AD300,"-",TrackIT_Lines!AG300))</f>
        <v/>
      </c>
      <c r="J308" s="409" t="str">
        <f t="shared" ca="1" si="185"/>
        <v/>
      </c>
      <c r="K308" s="408" t="str">
        <f t="shared" ca="1" si="185"/>
        <v/>
      </c>
      <c r="L308" s="408" t="str">
        <f t="shared" ca="1" si="185"/>
        <v/>
      </c>
      <c r="M308" s="408" t="str">
        <f t="shared" ca="1" si="185"/>
        <v/>
      </c>
      <c r="N308" s="408" t="str">
        <f t="shared" ca="1" si="185"/>
        <v/>
      </c>
      <c r="O308" s="408" t="str">
        <f t="shared" ca="1" si="185"/>
        <v/>
      </c>
      <c r="P308" s="408" t="str">
        <f t="shared" ca="1" si="185"/>
        <v/>
      </c>
      <c r="Q308" s="408" t="str">
        <f t="shared" ca="1" si="185"/>
        <v/>
      </c>
      <c r="R308" s="410" t="str">
        <f ca="1">Cluster!J327</f>
        <v>Selection</v>
      </c>
      <c r="S308" s="411" t="str">
        <f t="shared" ca="1" si="157"/>
        <v>-</v>
      </c>
      <c r="T308" s="412" t="str">
        <f t="shared" ca="1" si="158"/>
        <v/>
      </c>
      <c r="U308" s="411" t="str">
        <f t="shared" ca="1" si="159"/>
        <v>-</v>
      </c>
      <c r="V308" s="411" t="str">
        <f t="shared" ca="1" si="160"/>
        <v>-</v>
      </c>
      <c r="W308" s="413">
        <f>Cluster!N327</f>
        <v>0</v>
      </c>
      <c r="X308" s="414" t="str">
        <f t="shared" ca="1" si="161"/>
        <v>-</v>
      </c>
      <c r="Y308" s="411" t="str">
        <f t="shared" ca="1" si="162"/>
        <v>-</v>
      </c>
      <c r="Z308" s="415" t="str">
        <f t="shared" ca="1" si="163"/>
        <v>-</v>
      </c>
      <c r="AA308" s="416" t="str">
        <f t="shared" ca="1" si="164"/>
        <v>-</v>
      </c>
      <c r="AB308" s="416" t="str">
        <f t="shared" ca="1" si="165"/>
        <v/>
      </c>
      <c r="AC308" s="434">
        <f>Cluster!Q327</f>
        <v>0</v>
      </c>
      <c r="AD308" s="435" t="str">
        <f t="shared" ca="1" si="183"/>
        <v/>
      </c>
      <c r="AE308" s="436" t="str">
        <f t="shared" ca="1" si="183"/>
        <v/>
      </c>
      <c r="AF308" s="437" t="str">
        <f t="shared" ca="1" si="166"/>
        <v>-</v>
      </c>
      <c r="AG308" s="438" t="str">
        <f t="shared" ca="1" si="167"/>
        <v>-</v>
      </c>
      <c r="AH308" s="437" t="str">
        <f t="shared" ca="1" si="168"/>
        <v>-</v>
      </c>
      <c r="AI308" s="438" t="str">
        <f t="shared" ca="1" si="169"/>
        <v>-</v>
      </c>
      <c r="AJ308" s="438" t="str">
        <f t="shared" ca="1" si="170"/>
        <v>-</v>
      </c>
      <c r="AK308" s="439" t="str">
        <f ca="1">IFERROR(AE308*AD308*AL308/(IF(Cluster!AA327=Cluster!$W$8,Cluster!$W$10,IF(Cluster!AA327=Cluster!$X$8,Cluster!$X$10,IF(Cluster!AA327=Cluster!$Y$8,Cluster!$Y$10,0)))*10^3),"-")</f>
        <v>-</v>
      </c>
      <c r="AL308" s="440" t="str">
        <f ca="1">IFERROR(IF(OR(Calculation!T308&lt;(Calculation!$U$8+2),Calculation!AC308="Bypass"),IF((IF(Calculation!$O$6/((Calculation!AD308*10^-12)/(Calculation!T308*10^-9)*50)&lt;=1,1,ROUNDUP(Calculation!$O$6/((Calculation!AD308*10^-12)/(Calculation!T308*10^-9)*50),0))*50)&lt;Calculation!$AK$6,Calculation!$AK$6,IF(Calculation!$O$6/((Calculation!AD308*10^-12)/(Calculation!T308*10^-9)*50)&lt;=1,1,ROUNDUP(Calculation!$O$6/((Calculation!AD308*10^-12)/(Calculation!T308*10^-9)*50),0))*50),"-"),"-")</f>
        <v>-</v>
      </c>
      <c r="AM308" s="441" t="str">
        <f t="shared" ca="1" si="184"/>
        <v/>
      </c>
      <c r="AN308" s="442" t="str">
        <f t="shared" ca="1" si="184"/>
        <v/>
      </c>
      <c r="AO308" s="432">
        <f t="shared" ca="1" si="171"/>
        <v>384</v>
      </c>
      <c r="AP308" s="427" t="str">
        <f t="shared" ca="1" si="172"/>
        <v>-</v>
      </c>
      <c r="AQ308" s="443" t="str">
        <f t="shared" ca="1" si="173"/>
        <v>-</v>
      </c>
      <c r="AR308" s="444" t="str">
        <f t="shared" ca="1" si="174"/>
        <v>-</v>
      </c>
      <c r="AS308" s="430" t="str">
        <f t="shared" ca="1" si="175"/>
        <v>-</v>
      </c>
    </row>
    <row r="309" spans="1:45" ht="14.25" x14ac:dyDescent="0.65">
      <c r="A309" s="407">
        <v>301</v>
      </c>
      <c r="B309" s="408" t="str">
        <f t="shared" ca="1" si="156"/>
        <v/>
      </c>
      <c r="C309" s="408" t="str">
        <f ca="1">IFERROR(IF(G309="","",CONCATENATE(E309,"-",INDEX(Coordinate,MATCH(F309,ListAndConversion!$X$4:$X$99,0),2))),"")</f>
        <v/>
      </c>
      <c r="D309" s="408" t="str">
        <f t="shared" ca="1" si="181"/>
        <v/>
      </c>
      <c r="E309" s="408" t="str">
        <f t="shared" ca="1" si="181"/>
        <v/>
      </c>
      <c r="F309" s="408" t="str">
        <f t="shared" ca="1" si="181"/>
        <v/>
      </c>
      <c r="G309" s="408" t="str">
        <f ca="1">IFERROR(INDEX(ListAndConversion!A:B,MATCH(Calculation!E309,ListAndConversion!A:A,0),2),"")</f>
        <v/>
      </c>
      <c r="H309" s="408" t="str">
        <f>IF(TrackIT_Lines!AD301="","",TrackIT_Lines!AD301)</f>
        <v/>
      </c>
      <c r="I309" s="408" t="str">
        <f>IF(TrackIT_Lines!AD301="","",CONCATENATE(TrackIT_Lines!AD301,"-",TrackIT_Lines!AG301))</f>
        <v/>
      </c>
      <c r="J309" s="409" t="str">
        <f t="shared" ca="1" si="185"/>
        <v/>
      </c>
      <c r="K309" s="408" t="str">
        <f t="shared" ca="1" si="185"/>
        <v/>
      </c>
      <c r="L309" s="408" t="str">
        <f t="shared" ca="1" si="185"/>
        <v/>
      </c>
      <c r="M309" s="408" t="str">
        <f t="shared" ca="1" si="185"/>
        <v/>
      </c>
      <c r="N309" s="408" t="str">
        <f t="shared" ca="1" si="185"/>
        <v/>
      </c>
      <c r="O309" s="408" t="str">
        <f t="shared" ca="1" si="185"/>
        <v/>
      </c>
      <c r="P309" s="408" t="str">
        <f t="shared" ca="1" si="185"/>
        <v/>
      </c>
      <c r="Q309" s="408" t="str">
        <f t="shared" ca="1" si="185"/>
        <v/>
      </c>
      <c r="R309" s="410" t="str">
        <f ca="1">Cluster!J328</f>
        <v>Selection</v>
      </c>
      <c r="S309" s="411" t="str">
        <f t="shared" ca="1" si="157"/>
        <v>-</v>
      </c>
      <c r="T309" s="412" t="str">
        <f t="shared" ca="1" si="158"/>
        <v/>
      </c>
      <c r="U309" s="411" t="str">
        <f t="shared" ca="1" si="159"/>
        <v>-</v>
      </c>
      <c r="V309" s="411" t="str">
        <f t="shared" ca="1" si="160"/>
        <v>-</v>
      </c>
      <c r="W309" s="413">
        <f>Cluster!N328</f>
        <v>0</v>
      </c>
      <c r="X309" s="414" t="str">
        <f t="shared" ca="1" si="161"/>
        <v>-</v>
      </c>
      <c r="Y309" s="411" t="str">
        <f t="shared" ca="1" si="162"/>
        <v>-</v>
      </c>
      <c r="Z309" s="415" t="str">
        <f t="shared" ca="1" si="163"/>
        <v>-</v>
      </c>
      <c r="AA309" s="416" t="str">
        <f t="shared" ca="1" si="164"/>
        <v>-</v>
      </c>
      <c r="AB309" s="416" t="str">
        <f t="shared" ca="1" si="165"/>
        <v/>
      </c>
      <c r="AC309" s="434">
        <f>Cluster!Q328</f>
        <v>0</v>
      </c>
      <c r="AD309" s="435" t="str">
        <f t="shared" ca="1" si="183"/>
        <v/>
      </c>
      <c r="AE309" s="436" t="str">
        <f t="shared" ca="1" si="183"/>
        <v/>
      </c>
      <c r="AF309" s="437" t="str">
        <f t="shared" ca="1" si="166"/>
        <v>-</v>
      </c>
      <c r="AG309" s="438" t="str">
        <f t="shared" ca="1" si="167"/>
        <v>-</v>
      </c>
      <c r="AH309" s="437" t="str">
        <f t="shared" ca="1" si="168"/>
        <v>-</v>
      </c>
      <c r="AI309" s="438" t="str">
        <f t="shared" ca="1" si="169"/>
        <v>-</v>
      </c>
      <c r="AJ309" s="438" t="str">
        <f t="shared" ca="1" si="170"/>
        <v>-</v>
      </c>
      <c r="AK309" s="439" t="str">
        <f ca="1">IFERROR(AE309*AD309*AL309/(IF(Cluster!AA328=Cluster!$W$8,Cluster!$W$10,IF(Cluster!AA328=Cluster!$X$8,Cluster!$X$10,IF(Cluster!AA328=Cluster!$Y$8,Cluster!$Y$10,0)))*10^3),"-")</f>
        <v>-</v>
      </c>
      <c r="AL309" s="440" t="str">
        <f ca="1">IFERROR(IF(OR(Calculation!T309&lt;(Calculation!$U$8+2),Calculation!AC309="Bypass"),IF((IF(Calculation!$O$6/((Calculation!AD309*10^-12)/(Calculation!T309*10^-9)*50)&lt;=1,1,ROUNDUP(Calculation!$O$6/((Calculation!AD309*10^-12)/(Calculation!T309*10^-9)*50),0))*50)&lt;Calculation!$AK$6,Calculation!$AK$6,IF(Calculation!$O$6/((Calculation!AD309*10^-12)/(Calculation!T309*10^-9)*50)&lt;=1,1,ROUNDUP(Calculation!$O$6/((Calculation!AD309*10^-12)/(Calculation!T309*10^-9)*50),0))*50),"-"),"-")</f>
        <v>-</v>
      </c>
      <c r="AM309" s="441" t="str">
        <f t="shared" ca="1" si="184"/>
        <v/>
      </c>
      <c r="AN309" s="442" t="str">
        <f t="shared" ca="1" si="184"/>
        <v/>
      </c>
      <c r="AO309" s="432">
        <f t="shared" ca="1" si="171"/>
        <v>384</v>
      </c>
      <c r="AP309" s="427" t="str">
        <f t="shared" ca="1" si="172"/>
        <v>-</v>
      </c>
      <c r="AQ309" s="443" t="str">
        <f t="shared" ca="1" si="173"/>
        <v>-</v>
      </c>
      <c r="AR309" s="444" t="str">
        <f t="shared" ca="1" si="174"/>
        <v>-</v>
      </c>
      <c r="AS309" s="430" t="str">
        <f t="shared" ca="1" si="175"/>
        <v>-</v>
      </c>
    </row>
    <row r="310" spans="1:45" ht="14.25" x14ac:dyDescent="0.65">
      <c r="A310" s="407">
        <v>302</v>
      </c>
      <c r="B310" s="408" t="str">
        <f t="shared" ca="1" si="156"/>
        <v/>
      </c>
      <c r="C310" s="408" t="str">
        <f ca="1">IFERROR(IF(G310="","",CONCATENATE(E310,"-",INDEX(Coordinate,MATCH(F310,ListAndConversion!$X$4:$X$99,0),2))),"")</f>
        <v/>
      </c>
      <c r="D310" s="408" t="str">
        <f t="shared" ref="D310:F329" ca="1" si="186">IF((INDIRECT("TrackIT_Lines!"&amp;D$2&amp;$A310))="","", (INDIRECT("TrackIT_Lines!"&amp;D$2&amp;$A310)))</f>
        <v/>
      </c>
      <c r="E310" s="408" t="str">
        <f t="shared" ca="1" si="186"/>
        <v/>
      </c>
      <c r="F310" s="408" t="str">
        <f t="shared" ca="1" si="186"/>
        <v/>
      </c>
      <c r="G310" s="408" t="str">
        <f ca="1">IFERROR(INDEX(ListAndConversion!A:B,MATCH(Calculation!E310,ListAndConversion!A:A,0),2),"")</f>
        <v/>
      </c>
      <c r="H310" s="408" t="str">
        <f>IF(TrackIT_Lines!AD302="","",TrackIT_Lines!AD302)</f>
        <v/>
      </c>
      <c r="I310" s="408" t="str">
        <f>IF(TrackIT_Lines!AD302="","",CONCATENATE(TrackIT_Lines!AD302,"-",TrackIT_Lines!AG302))</f>
        <v/>
      </c>
      <c r="J310" s="409" t="str">
        <f t="shared" ref="J310:Q319" ca="1" si="187">IF((INDIRECT("TrackIT_Lines!"&amp;J$2&amp;$A310))="","", (INDIRECT("TrackIT_Lines!"&amp;J$2&amp;$A310)))</f>
        <v/>
      </c>
      <c r="K310" s="408" t="str">
        <f t="shared" ca="1" si="187"/>
        <v/>
      </c>
      <c r="L310" s="408" t="str">
        <f t="shared" ca="1" si="187"/>
        <v/>
      </c>
      <c r="M310" s="408" t="str">
        <f t="shared" ca="1" si="187"/>
        <v/>
      </c>
      <c r="N310" s="408" t="str">
        <f t="shared" ca="1" si="187"/>
        <v/>
      </c>
      <c r="O310" s="408" t="str">
        <f t="shared" ca="1" si="187"/>
        <v/>
      </c>
      <c r="P310" s="408" t="str">
        <f t="shared" ca="1" si="187"/>
        <v/>
      </c>
      <c r="Q310" s="408" t="str">
        <f t="shared" ca="1" si="187"/>
        <v/>
      </c>
      <c r="R310" s="410" t="str">
        <f ca="1">Cluster!J329</f>
        <v>Selection</v>
      </c>
      <c r="S310" s="411" t="str">
        <f t="shared" ca="1" si="157"/>
        <v>-</v>
      </c>
      <c r="T310" s="412" t="str">
        <f t="shared" ca="1" si="158"/>
        <v/>
      </c>
      <c r="U310" s="411" t="str">
        <f t="shared" ca="1" si="159"/>
        <v>-</v>
      </c>
      <c r="V310" s="411" t="str">
        <f t="shared" ca="1" si="160"/>
        <v>-</v>
      </c>
      <c r="W310" s="413">
        <f>Cluster!N329</f>
        <v>0</v>
      </c>
      <c r="X310" s="414" t="str">
        <f t="shared" ca="1" si="161"/>
        <v>-</v>
      </c>
      <c r="Y310" s="411" t="str">
        <f t="shared" ca="1" si="162"/>
        <v>-</v>
      </c>
      <c r="Z310" s="415" t="str">
        <f t="shared" ca="1" si="163"/>
        <v>-</v>
      </c>
      <c r="AA310" s="416" t="str">
        <f t="shared" ca="1" si="164"/>
        <v>-</v>
      </c>
      <c r="AB310" s="416" t="str">
        <f t="shared" ca="1" si="165"/>
        <v/>
      </c>
      <c r="AC310" s="434">
        <f>Cluster!Q329</f>
        <v>0</v>
      </c>
      <c r="AD310" s="435" t="str">
        <f t="shared" ref="AD310:AE329" ca="1" si="188">IF((INDIRECT("TrackIT_Lines!"&amp;AD$2&amp;$A310))="","", (INDIRECT("TrackIT_Lines!"&amp;AD$2&amp;$A310)))</f>
        <v/>
      </c>
      <c r="AE310" s="436" t="str">
        <f t="shared" ca="1" si="188"/>
        <v/>
      </c>
      <c r="AF310" s="437" t="str">
        <f t="shared" ca="1" si="166"/>
        <v>-</v>
      </c>
      <c r="AG310" s="438" t="str">
        <f t="shared" ca="1" si="167"/>
        <v>-</v>
      </c>
      <c r="AH310" s="437" t="str">
        <f t="shared" ca="1" si="168"/>
        <v>-</v>
      </c>
      <c r="AI310" s="438" t="str">
        <f t="shared" ca="1" si="169"/>
        <v>-</v>
      </c>
      <c r="AJ310" s="438" t="str">
        <f t="shared" ca="1" si="170"/>
        <v>-</v>
      </c>
      <c r="AK310" s="439" t="str">
        <f ca="1">IFERROR(AE310*AD310*AL310/(IF(Cluster!AA329=Cluster!$W$8,Cluster!$W$10,IF(Cluster!AA329=Cluster!$X$8,Cluster!$X$10,IF(Cluster!AA329=Cluster!$Y$8,Cluster!$Y$10,0)))*10^3),"-")</f>
        <v>-</v>
      </c>
      <c r="AL310" s="440" t="str">
        <f ca="1">IFERROR(IF(OR(Calculation!T310&lt;(Calculation!$U$8+2),Calculation!AC310="Bypass"),IF((IF(Calculation!$O$6/((Calculation!AD310*10^-12)/(Calculation!T310*10^-9)*50)&lt;=1,1,ROUNDUP(Calculation!$O$6/((Calculation!AD310*10^-12)/(Calculation!T310*10^-9)*50),0))*50)&lt;Calculation!$AK$6,Calculation!$AK$6,IF(Calculation!$O$6/((Calculation!AD310*10^-12)/(Calculation!T310*10^-9)*50)&lt;=1,1,ROUNDUP(Calculation!$O$6/((Calculation!AD310*10^-12)/(Calculation!T310*10^-9)*50),0))*50),"-"),"-")</f>
        <v>-</v>
      </c>
      <c r="AM310" s="441" t="str">
        <f t="shared" ref="AM310:AN329" ca="1" si="189">IF((INDIRECT("TrackIT_Lines!"&amp;AM$2&amp;$A310))="","", (INDIRECT("TrackIT_Lines!"&amp;AM$2&amp;$A310)))</f>
        <v/>
      </c>
      <c r="AN310" s="442" t="str">
        <f t="shared" ca="1" si="189"/>
        <v/>
      </c>
      <c r="AO310" s="432">
        <f t="shared" ca="1" si="171"/>
        <v>384</v>
      </c>
      <c r="AP310" s="427" t="str">
        <f t="shared" ca="1" si="172"/>
        <v>-</v>
      </c>
      <c r="AQ310" s="443" t="str">
        <f t="shared" ca="1" si="173"/>
        <v>-</v>
      </c>
      <c r="AR310" s="444" t="str">
        <f t="shared" ca="1" si="174"/>
        <v>-</v>
      </c>
      <c r="AS310" s="430" t="str">
        <f t="shared" ca="1" si="175"/>
        <v>-</v>
      </c>
    </row>
    <row r="311" spans="1:45" ht="14.25" x14ac:dyDescent="0.65">
      <c r="A311" s="407">
        <v>303</v>
      </c>
      <c r="B311" s="408" t="str">
        <f t="shared" ca="1" si="156"/>
        <v/>
      </c>
      <c r="C311" s="408" t="str">
        <f ca="1">IFERROR(IF(G311="","",CONCATENATE(E311,"-",INDEX(Coordinate,MATCH(F311,ListAndConversion!$X$4:$X$99,0),2))),"")</f>
        <v/>
      </c>
      <c r="D311" s="408" t="str">
        <f t="shared" ca="1" si="186"/>
        <v/>
      </c>
      <c r="E311" s="408" t="str">
        <f t="shared" ca="1" si="186"/>
        <v/>
      </c>
      <c r="F311" s="408" t="str">
        <f t="shared" ca="1" si="186"/>
        <v/>
      </c>
      <c r="G311" s="408" t="str">
        <f ca="1">IFERROR(INDEX(ListAndConversion!A:B,MATCH(Calculation!E311,ListAndConversion!A:A,0),2),"")</f>
        <v/>
      </c>
      <c r="H311" s="408" t="str">
        <f>IF(TrackIT_Lines!AD303="","",TrackIT_Lines!AD303)</f>
        <v/>
      </c>
      <c r="I311" s="408" t="str">
        <f>IF(TrackIT_Lines!AD303="","",CONCATENATE(TrackIT_Lines!AD303,"-",TrackIT_Lines!AG303))</f>
        <v/>
      </c>
      <c r="J311" s="409" t="str">
        <f t="shared" ca="1" si="187"/>
        <v/>
      </c>
      <c r="K311" s="408" t="str">
        <f t="shared" ca="1" si="187"/>
        <v/>
      </c>
      <c r="L311" s="408" t="str">
        <f t="shared" ca="1" si="187"/>
        <v/>
      </c>
      <c r="M311" s="408" t="str">
        <f t="shared" ca="1" si="187"/>
        <v/>
      </c>
      <c r="N311" s="408" t="str">
        <f t="shared" ca="1" si="187"/>
        <v/>
      </c>
      <c r="O311" s="408" t="str">
        <f t="shared" ca="1" si="187"/>
        <v/>
      </c>
      <c r="P311" s="408" t="str">
        <f t="shared" ca="1" si="187"/>
        <v/>
      </c>
      <c r="Q311" s="408" t="str">
        <f t="shared" ca="1" si="187"/>
        <v/>
      </c>
      <c r="R311" s="410" t="str">
        <f ca="1">Cluster!J330</f>
        <v>Selection</v>
      </c>
      <c r="S311" s="411" t="str">
        <f t="shared" ca="1" si="157"/>
        <v>-</v>
      </c>
      <c r="T311" s="412" t="str">
        <f t="shared" ca="1" si="158"/>
        <v/>
      </c>
      <c r="U311" s="411" t="str">
        <f t="shared" ca="1" si="159"/>
        <v>-</v>
      </c>
      <c r="V311" s="411" t="str">
        <f t="shared" ca="1" si="160"/>
        <v>-</v>
      </c>
      <c r="W311" s="413">
        <f>Cluster!N330</f>
        <v>0</v>
      </c>
      <c r="X311" s="414" t="str">
        <f t="shared" ca="1" si="161"/>
        <v>-</v>
      </c>
      <c r="Y311" s="411" t="str">
        <f t="shared" ca="1" si="162"/>
        <v>-</v>
      </c>
      <c r="Z311" s="415" t="str">
        <f t="shared" ca="1" si="163"/>
        <v>-</v>
      </c>
      <c r="AA311" s="416" t="str">
        <f t="shared" ca="1" si="164"/>
        <v>-</v>
      </c>
      <c r="AB311" s="416" t="str">
        <f t="shared" ca="1" si="165"/>
        <v/>
      </c>
      <c r="AC311" s="434">
        <f>Cluster!Q330</f>
        <v>0</v>
      </c>
      <c r="AD311" s="435" t="str">
        <f t="shared" ca="1" si="188"/>
        <v/>
      </c>
      <c r="AE311" s="436" t="str">
        <f t="shared" ca="1" si="188"/>
        <v/>
      </c>
      <c r="AF311" s="437" t="str">
        <f t="shared" ca="1" si="166"/>
        <v>-</v>
      </c>
      <c r="AG311" s="438" t="str">
        <f t="shared" ca="1" si="167"/>
        <v>-</v>
      </c>
      <c r="AH311" s="437" t="str">
        <f t="shared" ca="1" si="168"/>
        <v>-</v>
      </c>
      <c r="AI311" s="438" t="str">
        <f t="shared" ca="1" si="169"/>
        <v>-</v>
      </c>
      <c r="AJ311" s="438" t="str">
        <f t="shared" ca="1" si="170"/>
        <v>-</v>
      </c>
      <c r="AK311" s="439" t="str">
        <f ca="1">IFERROR(AE311*AD311*AL311/(IF(Cluster!AA330=Cluster!$W$8,Cluster!$W$10,IF(Cluster!AA330=Cluster!$X$8,Cluster!$X$10,IF(Cluster!AA330=Cluster!$Y$8,Cluster!$Y$10,0)))*10^3),"-")</f>
        <v>-</v>
      </c>
      <c r="AL311" s="440" t="str">
        <f ca="1">IFERROR(IF(OR(Calculation!T311&lt;(Calculation!$U$8+2),Calculation!AC311="Bypass"),IF((IF(Calculation!$O$6/((Calculation!AD311*10^-12)/(Calculation!T311*10^-9)*50)&lt;=1,1,ROUNDUP(Calculation!$O$6/((Calculation!AD311*10^-12)/(Calculation!T311*10^-9)*50),0))*50)&lt;Calculation!$AK$6,Calculation!$AK$6,IF(Calculation!$O$6/((Calculation!AD311*10^-12)/(Calculation!T311*10^-9)*50)&lt;=1,1,ROUNDUP(Calculation!$O$6/((Calculation!AD311*10^-12)/(Calculation!T311*10^-9)*50),0))*50),"-"),"-")</f>
        <v>-</v>
      </c>
      <c r="AM311" s="441" t="str">
        <f t="shared" ca="1" si="189"/>
        <v/>
      </c>
      <c r="AN311" s="442" t="str">
        <f t="shared" ca="1" si="189"/>
        <v/>
      </c>
      <c r="AO311" s="432">
        <f t="shared" ca="1" si="171"/>
        <v>384</v>
      </c>
      <c r="AP311" s="427" t="str">
        <f t="shared" ca="1" si="172"/>
        <v>-</v>
      </c>
      <c r="AQ311" s="443" t="str">
        <f t="shared" ca="1" si="173"/>
        <v>-</v>
      </c>
      <c r="AR311" s="444" t="str">
        <f t="shared" ca="1" si="174"/>
        <v>-</v>
      </c>
      <c r="AS311" s="430" t="str">
        <f t="shared" ca="1" si="175"/>
        <v>-</v>
      </c>
    </row>
    <row r="312" spans="1:45" ht="14.25" x14ac:dyDescent="0.65">
      <c r="A312" s="407">
        <v>304</v>
      </c>
      <c r="B312" s="408" t="str">
        <f t="shared" ca="1" si="156"/>
        <v/>
      </c>
      <c r="C312" s="408" t="str">
        <f ca="1">IFERROR(IF(G312="","",CONCATENATE(E312,"-",INDEX(Coordinate,MATCH(F312,ListAndConversion!$X$4:$X$99,0),2))),"")</f>
        <v/>
      </c>
      <c r="D312" s="408" t="str">
        <f t="shared" ca="1" si="186"/>
        <v/>
      </c>
      <c r="E312" s="408" t="str">
        <f t="shared" ca="1" si="186"/>
        <v/>
      </c>
      <c r="F312" s="408" t="str">
        <f t="shared" ca="1" si="186"/>
        <v/>
      </c>
      <c r="G312" s="408" t="str">
        <f ca="1">IFERROR(INDEX(ListAndConversion!A:B,MATCH(Calculation!E312,ListAndConversion!A:A,0),2),"")</f>
        <v/>
      </c>
      <c r="H312" s="408" t="str">
        <f>IF(TrackIT_Lines!AD304="","",TrackIT_Lines!AD304)</f>
        <v/>
      </c>
      <c r="I312" s="408" t="str">
        <f>IF(TrackIT_Lines!AD304="","",CONCATENATE(TrackIT_Lines!AD304,"-",TrackIT_Lines!AG304))</f>
        <v/>
      </c>
      <c r="J312" s="409" t="str">
        <f t="shared" ca="1" si="187"/>
        <v/>
      </c>
      <c r="K312" s="408" t="str">
        <f t="shared" ca="1" si="187"/>
        <v/>
      </c>
      <c r="L312" s="408" t="str">
        <f t="shared" ca="1" si="187"/>
        <v/>
      </c>
      <c r="M312" s="408" t="str">
        <f t="shared" ca="1" si="187"/>
        <v/>
      </c>
      <c r="N312" s="408" t="str">
        <f t="shared" ca="1" si="187"/>
        <v/>
      </c>
      <c r="O312" s="408" t="str">
        <f t="shared" ca="1" si="187"/>
        <v/>
      </c>
      <c r="P312" s="408" t="str">
        <f t="shared" ca="1" si="187"/>
        <v/>
      </c>
      <c r="Q312" s="408" t="str">
        <f t="shared" ca="1" si="187"/>
        <v/>
      </c>
      <c r="R312" s="410" t="str">
        <f ca="1">Cluster!J331</f>
        <v>Selection</v>
      </c>
      <c r="S312" s="411" t="str">
        <f t="shared" ca="1" si="157"/>
        <v>-</v>
      </c>
      <c r="T312" s="412" t="str">
        <f t="shared" ca="1" si="158"/>
        <v/>
      </c>
      <c r="U312" s="411" t="str">
        <f t="shared" ca="1" si="159"/>
        <v>-</v>
      </c>
      <c r="V312" s="411" t="str">
        <f t="shared" ca="1" si="160"/>
        <v>-</v>
      </c>
      <c r="W312" s="413">
        <f>Cluster!N331</f>
        <v>0</v>
      </c>
      <c r="X312" s="414" t="str">
        <f t="shared" ca="1" si="161"/>
        <v>-</v>
      </c>
      <c r="Y312" s="411" t="str">
        <f t="shared" ca="1" si="162"/>
        <v>-</v>
      </c>
      <c r="Z312" s="415" t="str">
        <f t="shared" ca="1" si="163"/>
        <v>-</v>
      </c>
      <c r="AA312" s="416" t="str">
        <f t="shared" ca="1" si="164"/>
        <v>-</v>
      </c>
      <c r="AB312" s="416" t="str">
        <f t="shared" ca="1" si="165"/>
        <v/>
      </c>
      <c r="AC312" s="434">
        <f>Cluster!Q331</f>
        <v>0</v>
      </c>
      <c r="AD312" s="435" t="str">
        <f t="shared" ca="1" si="188"/>
        <v/>
      </c>
      <c r="AE312" s="436" t="str">
        <f t="shared" ca="1" si="188"/>
        <v/>
      </c>
      <c r="AF312" s="437" t="str">
        <f t="shared" ca="1" si="166"/>
        <v>-</v>
      </c>
      <c r="AG312" s="438" t="str">
        <f t="shared" ca="1" si="167"/>
        <v>-</v>
      </c>
      <c r="AH312" s="437" t="str">
        <f t="shared" ca="1" si="168"/>
        <v>-</v>
      </c>
      <c r="AI312" s="438" t="str">
        <f t="shared" ca="1" si="169"/>
        <v>-</v>
      </c>
      <c r="AJ312" s="438" t="str">
        <f t="shared" ca="1" si="170"/>
        <v>-</v>
      </c>
      <c r="AK312" s="439" t="str">
        <f ca="1">IFERROR(AE312*AD312*AL312/(IF(Cluster!AA331=Cluster!$W$8,Cluster!$W$10,IF(Cluster!AA331=Cluster!$X$8,Cluster!$X$10,IF(Cluster!AA331=Cluster!$Y$8,Cluster!$Y$10,0)))*10^3),"-")</f>
        <v>-</v>
      </c>
      <c r="AL312" s="440" t="str">
        <f ca="1">IFERROR(IF(OR(Calculation!T312&lt;(Calculation!$U$8+2),Calculation!AC312="Bypass"),IF((IF(Calculation!$O$6/((Calculation!AD312*10^-12)/(Calculation!T312*10^-9)*50)&lt;=1,1,ROUNDUP(Calculation!$O$6/((Calculation!AD312*10^-12)/(Calculation!T312*10^-9)*50),0))*50)&lt;Calculation!$AK$6,Calculation!$AK$6,IF(Calculation!$O$6/((Calculation!AD312*10^-12)/(Calculation!T312*10^-9)*50)&lt;=1,1,ROUNDUP(Calculation!$O$6/((Calculation!AD312*10^-12)/(Calculation!T312*10^-9)*50),0))*50),"-"),"-")</f>
        <v>-</v>
      </c>
      <c r="AM312" s="441" t="str">
        <f t="shared" ca="1" si="189"/>
        <v/>
      </c>
      <c r="AN312" s="442" t="str">
        <f t="shared" ca="1" si="189"/>
        <v/>
      </c>
      <c r="AO312" s="432">
        <f t="shared" ca="1" si="171"/>
        <v>384</v>
      </c>
      <c r="AP312" s="427" t="str">
        <f t="shared" ca="1" si="172"/>
        <v>-</v>
      </c>
      <c r="AQ312" s="443" t="str">
        <f t="shared" ca="1" si="173"/>
        <v>-</v>
      </c>
      <c r="AR312" s="444" t="str">
        <f t="shared" ca="1" si="174"/>
        <v>-</v>
      </c>
      <c r="AS312" s="430" t="str">
        <f t="shared" ca="1" si="175"/>
        <v>-</v>
      </c>
    </row>
    <row r="313" spans="1:45" ht="14.25" x14ac:dyDescent="0.65">
      <c r="A313" s="407">
        <v>305</v>
      </c>
      <c r="B313" s="408" t="str">
        <f t="shared" ca="1" si="156"/>
        <v/>
      </c>
      <c r="C313" s="408" t="str">
        <f ca="1">IFERROR(IF(G313="","",CONCATENATE(E313,"-",INDEX(Coordinate,MATCH(F313,ListAndConversion!$X$4:$X$99,0),2))),"")</f>
        <v/>
      </c>
      <c r="D313" s="408" t="str">
        <f t="shared" ca="1" si="186"/>
        <v/>
      </c>
      <c r="E313" s="408" t="str">
        <f t="shared" ca="1" si="186"/>
        <v/>
      </c>
      <c r="F313" s="408" t="str">
        <f t="shared" ca="1" si="186"/>
        <v/>
      </c>
      <c r="G313" s="408" t="str">
        <f ca="1">IFERROR(INDEX(ListAndConversion!A:B,MATCH(Calculation!E313,ListAndConversion!A:A,0),2),"")</f>
        <v/>
      </c>
      <c r="H313" s="408" t="str">
        <f>IF(TrackIT_Lines!AD305="","",TrackIT_Lines!AD305)</f>
        <v/>
      </c>
      <c r="I313" s="408" t="str">
        <f>IF(TrackIT_Lines!AD305="","",CONCATENATE(TrackIT_Lines!AD305,"-",TrackIT_Lines!AG305))</f>
        <v/>
      </c>
      <c r="J313" s="409" t="str">
        <f t="shared" ca="1" si="187"/>
        <v/>
      </c>
      <c r="K313" s="408" t="str">
        <f t="shared" ca="1" si="187"/>
        <v/>
      </c>
      <c r="L313" s="408" t="str">
        <f t="shared" ca="1" si="187"/>
        <v/>
      </c>
      <c r="M313" s="408" t="str">
        <f t="shared" ca="1" si="187"/>
        <v/>
      </c>
      <c r="N313" s="408" t="str">
        <f t="shared" ca="1" si="187"/>
        <v/>
      </c>
      <c r="O313" s="408" t="str">
        <f t="shared" ca="1" si="187"/>
        <v/>
      </c>
      <c r="P313" s="408" t="str">
        <f t="shared" ca="1" si="187"/>
        <v/>
      </c>
      <c r="Q313" s="408" t="str">
        <f t="shared" ca="1" si="187"/>
        <v/>
      </c>
      <c r="R313" s="410" t="str">
        <f ca="1">Cluster!J332</f>
        <v>Selection</v>
      </c>
      <c r="S313" s="411" t="str">
        <f t="shared" ca="1" si="157"/>
        <v>-</v>
      </c>
      <c r="T313" s="412" t="str">
        <f t="shared" ca="1" si="158"/>
        <v/>
      </c>
      <c r="U313" s="411" t="str">
        <f t="shared" ca="1" si="159"/>
        <v>-</v>
      </c>
      <c r="V313" s="411" t="str">
        <f t="shared" ca="1" si="160"/>
        <v>-</v>
      </c>
      <c r="W313" s="413">
        <f>Cluster!N332</f>
        <v>0</v>
      </c>
      <c r="X313" s="414" t="str">
        <f t="shared" ca="1" si="161"/>
        <v>-</v>
      </c>
      <c r="Y313" s="411" t="str">
        <f t="shared" ca="1" si="162"/>
        <v>-</v>
      </c>
      <c r="Z313" s="415" t="str">
        <f t="shared" ca="1" si="163"/>
        <v>-</v>
      </c>
      <c r="AA313" s="416" t="str">
        <f t="shared" ca="1" si="164"/>
        <v>-</v>
      </c>
      <c r="AB313" s="416" t="str">
        <f t="shared" ca="1" si="165"/>
        <v/>
      </c>
      <c r="AC313" s="434">
        <f>Cluster!Q332</f>
        <v>0</v>
      </c>
      <c r="AD313" s="435" t="str">
        <f t="shared" ca="1" si="188"/>
        <v/>
      </c>
      <c r="AE313" s="436" t="str">
        <f t="shared" ca="1" si="188"/>
        <v/>
      </c>
      <c r="AF313" s="437" t="str">
        <f t="shared" ca="1" si="166"/>
        <v>-</v>
      </c>
      <c r="AG313" s="438" t="str">
        <f t="shared" ca="1" si="167"/>
        <v>-</v>
      </c>
      <c r="AH313" s="437" t="str">
        <f t="shared" ca="1" si="168"/>
        <v>-</v>
      </c>
      <c r="AI313" s="438" t="str">
        <f t="shared" ca="1" si="169"/>
        <v>-</v>
      </c>
      <c r="AJ313" s="438" t="str">
        <f t="shared" ca="1" si="170"/>
        <v>-</v>
      </c>
      <c r="AK313" s="439" t="str">
        <f ca="1">IFERROR(AE313*AD313*AL313/(IF(Cluster!AA332=Cluster!$W$8,Cluster!$W$10,IF(Cluster!AA332=Cluster!$X$8,Cluster!$X$10,IF(Cluster!AA332=Cluster!$Y$8,Cluster!$Y$10,0)))*10^3),"-")</f>
        <v>-</v>
      </c>
      <c r="AL313" s="440" t="str">
        <f ca="1">IFERROR(IF(OR(Calculation!T313&lt;(Calculation!$U$8+2),Calculation!AC313="Bypass"),IF((IF(Calculation!$O$6/((Calculation!AD313*10^-12)/(Calculation!T313*10^-9)*50)&lt;=1,1,ROUNDUP(Calculation!$O$6/((Calculation!AD313*10^-12)/(Calculation!T313*10^-9)*50),0))*50)&lt;Calculation!$AK$6,Calculation!$AK$6,IF(Calculation!$O$6/((Calculation!AD313*10^-12)/(Calculation!T313*10^-9)*50)&lt;=1,1,ROUNDUP(Calculation!$O$6/((Calculation!AD313*10^-12)/(Calculation!T313*10^-9)*50),0))*50),"-"),"-")</f>
        <v>-</v>
      </c>
      <c r="AM313" s="441" t="str">
        <f t="shared" ca="1" si="189"/>
        <v/>
      </c>
      <c r="AN313" s="442" t="str">
        <f t="shared" ca="1" si="189"/>
        <v/>
      </c>
      <c r="AO313" s="432">
        <f t="shared" ca="1" si="171"/>
        <v>384</v>
      </c>
      <c r="AP313" s="427" t="str">
        <f t="shared" ca="1" si="172"/>
        <v>-</v>
      </c>
      <c r="AQ313" s="443" t="str">
        <f t="shared" ca="1" si="173"/>
        <v>-</v>
      </c>
      <c r="AR313" s="444" t="str">
        <f t="shared" ca="1" si="174"/>
        <v>-</v>
      </c>
      <c r="AS313" s="430" t="str">
        <f t="shared" ca="1" si="175"/>
        <v>-</v>
      </c>
    </row>
    <row r="314" spans="1:45" ht="14.25" x14ac:dyDescent="0.65">
      <c r="A314" s="407">
        <v>306</v>
      </c>
      <c r="B314" s="408" t="str">
        <f t="shared" ca="1" si="156"/>
        <v/>
      </c>
      <c r="C314" s="408" t="str">
        <f ca="1">IFERROR(IF(G314="","",CONCATENATE(E314,"-",INDEX(Coordinate,MATCH(F314,ListAndConversion!$X$4:$X$99,0),2))),"")</f>
        <v/>
      </c>
      <c r="D314" s="408" t="str">
        <f t="shared" ca="1" si="186"/>
        <v/>
      </c>
      <c r="E314" s="408" t="str">
        <f t="shared" ca="1" si="186"/>
        <v/>
      </c>
      <c r="F314" s="408" t="str">
        <f t="shared" ca="1" si="186"/>
        <v/>
      </c>
      <c r="G314" s="408" t="str">
        <f ca="1">IFERROR(INDEX(ListAndConversion!A:B,MATCH(Calculation!E314,ListAndConversion!A:A,0),2),"")</f>
        <v/>
      </c>
      <c r="H314" s="408" t="str">
        <f>IF(TrackIT_Lines!AD306="","",TrackIT_Lines!AD306)</f>
        <v/>
      </c>
      <c r="I314" s="408" t="str">
        <f>IF(TrackIT_Lines!AD306="","",CONCATENATE(TrackIT_Lines!AD306,"-",TrackIT_Lines!AG306))</f>
        <v/>
      </c>
      <c r="J314" s="409" t="str">
        <f t="shared" ca="1" si="187"/>
        <v/>
      </c>
      <c r="K314" s="408" t="str">
        <f t="shared" ca="1" si="187"/>
        <v/>
      </c>
      <c r="L314" s="408" t="str">
        <f t="shared" ca="1" si="187"/>
        <v/>
      </c>
      <c r="M314" s="408" t="str">
        <f t="shared" ca="1" si="187"/>
        <v/>
      </c>
      <c r="N314" s="408" t="str">
        <f t="shared" ca="1" si="187"/>
        <v/>
      </c>
      <c r="O314" s="408" t="str">
        <f t="shared" ca="1" si="187"/>
        <v/>
      </c>
      <c r="P314" s="408" t="str">
        <f t="shared" ca="1" si="187"/>
        <v/>
      </c>
      <c r="Q314" s="408" t="str">
        <f t="shared" ca="1" si="187"/>
        <v/>
      </c>
      <c r="R314" s="410" t="str">
        <f ca="1">Cluster!J333</f>
        <v>Selection</v>
      </c>
      <c r="S314" s="411" t="str">
        <f t="shared" ca="1" si="157"/>
        <v>-</v>
      </c>
      <c r="T314" s="412" t="str">
        <f t="shared" ca="1" si="158"/>
        <v/>
      </c>
      <c r="U314" s="411" t="str">
        <f t="shared" ca="1" si="159"/>
        <v>-</v>
      </c>
      <c r="V314" s="411" t="str">
        <f t="shared" ca="1" si="160"/>
        <v>-</v>
      </c>
      <c r="W314" s="413">
        <f>Cluster!N333</f>
        <v>0</v>
      </c>
      <c r="X314" s="414" t="str">
        <f t="shared" ca="1" si="161"/>
        <v>-</v>
      </c>
      <c r="Y314" s="411" t="str">
        <f t="shared" ca="1" si="162"/>
        <v>-</v>
      </c>
      <c r="Z314" s="415" t="str">
        <f t="shared" ca="1" si="163"/>
        <v>-</v>
      </c>
      <c r="AA314" s="416" t="str">
        <f t="shared" ca="1" si="164"/>
        <v>-</v>
      </c>
      <c r="AB314" s="416" t="str">
        <f t="shared" ca="1" si="165"/>
        <v/>
      </c>
      <c r="AC314" s="434">
        <f>Cluster!Q333</f>
        <v>0</v>
      </c>
      <c r="AD314" s="435" t="str">
        <f t="shared" ca="1" si="188"/>
        <v/>
      </c>
      <c r="AE314" s="436" t="str">
        <f t="shared" ca="1" si="188"/>
        <v/>
      </c>
      <c r="AF314" s="437" t="str">
        <f t="shared" ca="1" si="166"/>
        <v>-</v>
      </c>
      <c r="AG314" s="438" t="str">
        <f t="shared" ca="1" si="167"/>
        <v>-</v>
      </c>
      <c r="AH314" s="437" t="str">
        <f t="shared" ca="1" si="168"/>
        <v>-</v>
      </c>
      <c r="AI314" s="438" t="str">
        <f t="shared" ca="1" si="169"/>
        <v>-</v>
      </c>
      <c r="AJ314" s="438" t="str">
        <f t="shared" ca="1" si="170"/>
        <v>-</v>
      </c>
      <c r="AK314" s="439" t="str">
        <f ca="1">IFERROR(AE314*AD314*AL314/(IF(Cluster!AA333=Cluster!$W$8,Cluster!$W$10,IF(Cluster!AA333=Cluster!$X$8,Cluster!$X$10,IF(Cluster!AA333=Cluster!$Y$8,Cluster!$Y$10,0)))*10^3),"-")</f>
        <v>-</v>
      </c>
      <c r="AL314" s="440" t="str">
        <f ca="1">IFERROR(IF(OR(Calculation!T314&lt;(Calculation!$U$8+2),Calculation!AC314="Bypass"),IF((IF(Calculation!$O$6/((Calculation!AD314*10^-12)/(Calculation!T314*10^-9)*50)&lt;=1,1,ROUNDUP(Calculation!$O$6/((Calculation!AD314*10^-12)/(Calculation!T314*10^-9)*50),0))*50)&lt;Calculation!$AK$6,Calculation!$AK$6,IF(Calculation!$O$6/((Calculation!AD314*10^-12)/(Calculation!T314*10^-9)*50)&lt;=1,1,ROUNDUP(Calculation!$O$6/((Calculation!AD314*10^-12)/(Calculation!T314*10^-9)*50),0))*50),"-"),"-")</f>
        <v>-</v>
      </c>
      <c r="AM314" s="441" t="str">
        <f t="shared" ca="1" si="189"/>
        <v/>
      </c>
      <c r="AN314" s="442" t="str">
        <f t="shared" ca="1" si="189"/>
        <v/>
      </c>
      <c r="AO314" s="432">
        <f t="shared" ca="1" si="171"/>
        <v>384</v>
      </c>
      <c r="AP314" s="427" t="str">
        <f t="shared" ca="1" si="172"/>
        <v>-</v>
      </c>
      <c r="AQ314" s="443" t="str">
        <f t="shared" ca="1" si="173"/>
        <v>-</v>
      </c>
      <c r="AR314" s="444" t="str">
        <f t="shared" ca="1" si="174"/>
        <v>-</v>
      </c>
      <c r="AS314" s="430" t="str">
        <f t="shared" ca="1" si="175"/>
        <v>-</v>
      </c>
    </row>
    <row r="315" spans="1:45" ht="14.25" x14ac:dyDescent="0.65">
      <c r="A315" s="407">
        <v>307</v>
      </c>
      <c r="B315" s="408" t="str">
        <f t="shared" ca="1" si="156"/>
        <v/>
      </c>
      <c r="C315" s="408" t="str">
        <f ca="1">IFERROR(IF(G315="","",CONCATENATE(E315,"-",INDEX(Coordinate,MATCH(F315,ListAndConversion!$X$4:$X$99,0),2))),"")</f>
        <v/>
      </c>
      <c r="D315" s="408" t="str">
        <f t="shared" ca="1" si="186"/>
        <v/>
      </c>
      <c r="E315" s="408" t="str">
        <f t="shared" ca="1" si="186"/>
        <v/>
      </c>
      <c r="F315" s="408" t="str">
        <f t="shared" ca="1" si="186"/>
        <v/>
      </c>
      <c r="G315" s="408" t="str">
        <f ca="1">IFERROR(INDEX(ListAndConversion!A:B,MATCH(Calculation!E315,ListAndConversion!A:A,0),2),"")</f>
        <v/>
      </c>
      <c r="H315" s="408" t="str">
        <f>IF(TrackIT_Lines!AD307="","",TrackIT_Lines!AD307)</f>
        <v/>
      </c>
      <c r="I315" s="408" t="str">
        <f>IF(TrackIT_Lines!AD307="","",CONCATENATE(TrackIT_Lines!AD307,"-",TrackIT_Lines!AG307))</f>
        <v/>
      </c>
      <c r="J315" s="409" t="str">
        <f t="shared" ca="1" si="187"/>
        <v/>
      </c>
      <c r="K315" s="408" t="str">
        <f t="shared" ca="1" si="187"/>
        <v/>
      </c>
      <c r="L315" s="408" t="str">
        <f t="shared" ca="1" si="187"/>
        <v/>
      </c>
      <c r="M315" s="408" t="str">
        <f t="shared" ca="1" si="187"/>
        <v/>
      </c>
      <c r="N315" s="408" t="str">
        <f t="shared" ca="1" si="187"/>
        <v/>
      </c>
      <c r="O315" s="408" t="str">
        <f t="shared" ca="1" si="187"/>
        <v/>
      </c>
      <c r="P315" s="408" t="str">
        <f t="shared" ca="1" si="187"/>
        <v/>
      </c>
      <c r="Q315" s="408" t="str">
        <f t="shared" ca="1" si="187"/>
        <v/>
      </c>
      <c r="R315" s="410" t="str">
        <f ca="1">Cluster!J334</f>
        <v>Selection</v>
      </c>
      <c r="S315" s="411" t="str">
        <f t="shared" ca="1" si="157"/>
        <v>-</v>
      </c>
      <c r="T315" s="412" t="str">
        <f t="shared" ca="1" si="158"/>
        <v/>
      </c>
      <c r="U315" s="411" t="str">
        <f t="shared" ca="1" si="159"/>
        <v>-</v>
      </c>
      <c r="V315" s="411" t="str">
        <f t="shared" ca="1" si="160"/>
        <v>-</v>
      </c>
      <c r="W315" s="413">
        <f>Cluster!N334</f>
        <v>0</v>
      </c>
      <c r="X315" s="414" t="str">
        <f t="shared" ca="1" si="161"/>
        <v>-</v>
      </c>
      <c r="Y315" s="411" t="str">
        <f t="shared" ca="1" si="162"/>
        <v>-</v>
      </c>
      <c r="Z315" s="415" t="str">
        <f t="shared" ca="1" si="163"/>
        <v>-</v>
      </c>
      <c r="AA315" s="416" t="str">
        <f t="shared" ca="1" si="164"/>
        <v>-</v>
      </c>
      <c r="AB315" s="416" t="str">
        <f t="shared" ca="1" si="165"/>
        <v/>
      </c>
      <c r="AC315" s="434">
        <f>Cluster!Q334</f>
        <v>0</v>
      </c>
      <c r="AD315" s="435" t="str">
        <f t="shared" ca="1" si="188"/>
        <v/>
      </c>
      <c r="AE315" s="436" t="str">
        <f t="shared" ca="1" si="188"/>
        <v/>
      </c>
      <c r="AF315" s="437" t="str">
        <f t="shared" ca="1" si="166"/>
        <v>-</v>
      </c>
      <c r="AG315" s="438" t="str">
        <f t="shared" ca="1" si="167"/>
        <v>-</v>
      </c>
      <c r="AH315" s="437" t="str">
        <f t="shared" ca="1" si="168"/>
        <v>-</v>
      </c>
      <c r="AI315" s="438" t="str">
        <f t="shared" ca="1" si="169"/>
        <v>-</v>
      </c>
      <c r="AJ315" s="438" t="str">
        <f t="shared" ca="1" si="170"/>
        <v>-</v>
      </c>
      <c r="AK315" s="439" t="str">
        <f ca="1">IFERROR(AE315*AD315*AL315/(IF(Cluster!AA334=Cluster!$W$8,Cluster!$W$10,IF(Cluster!AA334=Cluster!$X$8,Cluster!$X$10,IF(Cluster!AA334=Cluster!$Y$8,Cluster!$Y$10,0)))*10^3),"-")</f>
        <v>-</v>
      </c>
      <c r="AL315" s="440" t="str">
        <f ca="1">IFERROR(IF(OR(Calculation!T315&lt;(Calculation!$U$8+2),Calculation!AC315="Bypass"),IF((IF(Calculation!$O$6/((Calculation!AD315*10^-12)/(Calculation!T315*10^-9)*50)&lt;=1,1,ROUNDUP(Calculation!$O$6/((Calculation!AD315*10^-12)/(Calculation!T315*10^-9)*50),0))*50)&lt;Calculation!$AK$6,Calculation!$AK$6,IF(Calculation!$O$6/((Calculation!AD315*10^-12)/(Calculation!T315*10^-9)*50)&lt;=1,1,ROUNDUP(Calculation!$O$6/((Calculation!AD315*10^-12)/(Calculation!T315*10^-9)*50),0))*50),"-"),"-")</f>
        <v>-</v>
      </c>
      <c r="AM315" s="441" t="str">
        <f t="shared" ca="1" si="189"/>
        <v/>
      </c>
      <c r="AN315" s="442" t="str">
        <f t="shared" ca="1" si="189"/>
        <v/>
      </c>
      <c r="AO315" s="432">
        <f t="shared" ca="1" si="171"/>
        <v>384</v>
      </c>
      <c r="AP315" s="427" t="str">
        <f t="shared" ca="1" si="172"/>
        <v>-</v>
      </c>
      <c r="AQ315" s="443" t="str">
        <f t="shared" ca="1" si="173"/>
        <v>-</v>
      </c>
      <c r="AR315" s="444" t="str">
        <f t="shared" ca="1" si="174"/>
        <v>-</v>
      </c>
      <c r="AS315" s="430" t="str">
        <f t="shared" ca="1" si="175"/>
        <v>-</v>
      </c>
    </row>
    <row r="316" spans="1:45" ht="14.25" x14ac:dyDescent="0.65">
      <c r="A316" s="407">
        <v>308</v>
      </c>
      <c r="B316" s="408" t="str">
        <f t="shared" ca="1" si="156"/>
        <v/>
      </c>
      <c r="C316" s="408" t="str">
        <f ca="1">IFERROR(IF(G316="","",CONCATENATE(E316,"-",INDEX(Coordinate,MATCH(F316,ListAndConversion!$X$4:$X$99,0),2))),"")</f>
        <v/>
      </c>
      <c r="D316" s="408" t="str">
        <f t="shared" ca="1" si="186"/>
        <v/>
      </c>
      <c r="E316" s="408" t="str">
        <f t="shared" ca="1" si="186"/>
        <v/>
      </c>
      <c r="F316" s="408" t="str">
        <f t="shared" ca="1" si="186"/>
        <v/>
      </c>
      <c r="G316" s="408" t="str">
        <f ca="1">IFERROR(INDEX(ListAndConversion!A:B,MATCH(Calculation!E316,ListAndConversion!A:A,0),2),"")</f>
        <v/>
      </c>
      <c r="H316" s="408" t="str">
        <f>IF(TrackIT_Lines!AD308="","",TrackIT_Lines!AD308)</f>
        <v/>
      </c>
      <c r="I316" s="408" t="str">
        <f>IF(TrackIT_Lines!AD308="","",CONCATENATE(TrackIT_Lines!AD308,"-",TrackIT_Lines!AG308))</f>
        <v/>
      </c>
      <c r="J316" s="409" t="str">
        <f t="shared" ca="1" si="187"/>
        <v/>
      </c>
      <c r="K316" s="408" t="str">
        <f t="shared" ca="1" si="187"/>
        <v/>
      </c>
      <c r="L316" s="408" t="str">
        <f t="shared" ca="1" si="187"/>
        <v/>
      </c>
      <c r="M316" s="408" t="str">
        <f t="shared" ca="1" si="187"/>
        <v/>
      </c>
      <c r="N316" s="408" t="str">
        <f t="shared" ca="1" si="187"/>
        <v/>
      </c>
      <c r="O316" s="408" t="str">
        <f t="shared" ca="1" si="187"/>
        <v/>
      </c>
      <c r="P316" s="408" t="str">
        <f t="shared" ca="1" si="187"/>
        <v/>
      </c>
      <c r="Q316" s="408" t="str">
        <f t="shared" ca="1" si="187"/>
        <v/>
      </c>
      <c r="R316" s="410" t="str">
        <f ca="1">Cluster!J335</f>
        <v>Selection</v>
      </c>
      <c r="S316" s="411" t="str">
        <f t="shared" ca="1" si="157"/>
        <v>-</v>
      </c>
      <c r="T316" s="412" t="str">
        <f t="shared" ca="1" si="158"/>
        <v/>
      </c>
      <c r="U316" s="411" t="str">
        <f t="shared" ca="1" si="159"/>
        <v>-</v>
      </c>
      <c r="V316" s="411" t="str">
        <f t="shared" ca="1" si="160"/>
        <v>-</v>
      </c>
      <c r="W316" s="413">
        <f>Cluster!N335</f>
        <v>0</v>
      </c>
      <c r="X316" s="414" t="str">
        <f t="shared" ca="1" si="161"/>
        <v>-</v>
      </c>
      <c r="Y316" s="411" t="str">
        <f t="shared" ca="1" si="162"/>
        <v>-</v>
      </c>
      <c r="Z316" s="415" t="str">
        <f t="shared" ca="1" si="163"/>
        <v>-</v>
      </c>
      <c r="AA316" s="416" t="str">
        <f t="shared" ca="1" si="164"/>
        <v>-</v>
      </c>
      <c r="AB316" s="416" t="str">
        <f t="shared" ca="1" si="165"/>
        <v/>
      </c>
      <c r="AC316" s="434">
        <f>Cluster!Q335</f>
        <v>0</v>
      </c>
      <c r="AD316" s="435" t="str">
        <f t="shared" ca="1" si="188"/>
        <v/>
      </c>
      <c r="AE316" s="436" t="str">
        <f t="shared" ca="1" si="188"/>
        <v/>
      </c>
      <c r="AF316" s="437" t="str">
        <f t="shared" ca="1" si="166"/>
        <v>-</v>
      </c>
      <c r="AG316" s="438" t="str">
        <f t="shared" ca="1" si="167"/>
        <v>-</v>
      </c>
      <c r="AH316" s="437" t="str">
        <f t="shared" ca="1" si="168"/>
        <v>-</v>
      </c>
      <c r="AI316" s="438" t="str">
        <f t="shared" ca="1" si="169"/>
        <v>-</v>
      </c>
      <c r="AJ316" s="438" t="str">
        <f t="shared" ca="1" si="170"/>
        <v>-</v>
      </c>
      <c r="AK316" s="439" t="str">
        <f ca="1">IFERROR(AE316*AD316*AL316/(IF(Cluster!AA335=Cluster!$W$8,Cluster!$W$10,IF(Cluster!AA335=Cluster!$X$8,Cluster!$X$10,IF(Cluster!AA335=Cluster!$Y$8,Cluster!$Y$10,0)))*10^3),"-")</f>
        <v>-</v>
      </c>
      <c r="AL316" s="440" t="str">
        <f ca="1">IFERROR(IF(OR(Calculation!T316&lt;(Calculation!$U$8+2),Calculation!AC316="Bypass"),IF((IF(Calculation!$O$6/((Calculation!AD316*10^-12)/(Calculation!T316*10^-9)*50)&lt;=1,1,ROUNDUP(Calculation!$O$6/((Calculation!AD316*10^-12)/(Calculation!T316*10^-9)*50),0))*50)&lt;Calculation!$AK$6,Calculation!$AK$6,IF(Calculation!$O$6/((Calculation!AD316*10^-12)/(Calculation!T316*10^-9)*50)&lt;=1,1,ROUNDUP(Calculation!$O$6/((Calculation!AD316*10^-12)/(Calculation!T316*10^-9)*50),0))*50),"-"),"-")</f>
        <v>-</v>
      </c>
      <c r="AM316" s="441" t="str">
        <f t="shared" ca="1" si="189"/>
        <v/>
      </c>
      <c r="AN316" s="442" t="str">
        <f t="shared" ca="1" si="189"/>
        <v/>
      </c>
      <c r="AO316" s="432">
        <f t="shared" ca="1" si="171"/>
        <v>384</v>
      </c>
      <c r="AP316" s="427" t="str">
        <f t="shared" ca="1" si="172"/>
        <v>-</v>
      </c>
      <c r="AQ316" s="443" t="str">
        <f t="shared" ca="1" si="173"/>
        <v>-</v>
      </c>
      <c r="AR316" s="444" t="str">
        <f t="shared" ca="1" si="174"/>
        <v>-</v>
      </c>
      <c r="AS316" s="430" t="str">
        <f t="shared" ca="1" si="175"/>
        <v>-</v>
      </c>
    </row>
    <row r="317" spans="1:45" ht="14.25" x14ac:dyDescent="0.65">
      <c r="A317" s="407">
        <v>309</v>
      </c>
      <c r="B317" s="408" t="str">
        <f t="shared" ca="1" si="156"/>
        <v/>
      </c>
      <c r="C317" s="408" t="str">
        <f ca="1">IFERROR(IF(G317="","",CONCATENATE(E317,"-",INDEX(Coordinate,MATCH(F317,ListAndConversion!$X$4:$X$99,0),2))),"")</f>
        <v/>
      </c>
      <c r="D317" s="408" t="str">
        <f t="shared" ca="1" si="186"/>
        <v/>
      </c>
      <c r="E317" s="408" t="str">
        <f t="shared" ca="1" si="186"/>
        <v/>
      </c>
      <c r="F317" s="408" t="str">
        <f t="shared" ca="1" si="186"/>
        <v/>
      </c>
      <c r="G317" s="408" t="str">
        <f ca="1">IFERROR(INDEX(ListAndConversion!A:B,MATCH(Calculation!E317,ListAndConversion!A:A,0),2),"")</f>
        <v/>
      </c>
      <c r="H317" s="408" t="str">
        <f>IF(TrackIT_Lines!AD309="","",TrackIT_Lines!AD309)</f>
        <v/>
      </c>
      <c r="I317" s="408" t="str">
        <f>IF(TrackIT_Lines!AD309="","",CONCATENATE(TrackIT_Lines!AD309,"-",TrackIT_Lines!AG309))</f>
        <v/>
      </c>
      <c r="J317" s="409" t="str">
        <f t="shared" ca="1" si="187"/>
        <v/>
      </c>
      <c r="K317" s="408" t="str">
        <f t="shared" ca="1" si="187"/>
        <v/>
      </c>
      <c r="L317" s="408" t="str">
        <f t="shared" ca="1" si="187"/>
        <v/>
      </c>
      <c r="M317" s="408" t="str">
        <f t="shared" ca="1" si="187"/>
        <v/>
      </c>
      <c r="N317" s="408" t="str">
        <f t="shared" ca="1" si="187"/>
        <v/>
      </c>
      <c r="O317" s="408" t="str">
        <f t="shared" ca="1" si="187"/>
        <v/>
      </c>
      <c r="P317" s="408" t="str">
        <f t="shared" ca="1" si="187"/>
        <v/>
      </c>
      <c r="Q317" s="408" t="str">
        <f t="shared" ca="1" si="187"/>
        <v/>
      </c>
      <c r="R317" s="410" t="str">
        <f ca="1">Cluster!J336</f>
        <v>Selection</v>
      </c>
      <c r="S317" s="411" t="str">
        <f t="shared" ca="1" si="157"/>
        <v>-</v>
      </c>
      <c r="T317" s="412" t="str">
        <f t="shared" ca="1" si="158"/>
        <v/>
      </c>
      <c r="U317" s="411" t="str">
        <f t="shared" ca="1" si="159"/>
        <v>-</v>
      </c>
      <c r="V317" s="411" t="str">
        <f t="shared" ca="1" si="160"/>
        <v>-</v>
      </c>
      <c r="W317" s="413">
        <f>Cluster!N336</f>
        <v>0</v>
      </c>
      <c r="X317" s="414" t="str">
        <f t="shared" ca="1" si="161"/>
        <v>-</v>
      </c>
      <c r="Y317" s="411" t="str">
        <f t="shared" ca="1" si="162"/>
        <v>-</v>
      </c>
      <c r="Z317" s="415" t="str">
        <f t="shared" ca="1" si="163"/>
        <v>-</v>
      </c>
      <c r="AA317" s="416" t="str">
        <f t="shared" ca="1" si="164"/>
        <v>-</v>
      </c>
      <c r="AB317" s="416" t="str">
        <f t="shared" ca="1" si="165"/>
        <v/>
      </c>
      <c r="AC317" s="434">
        <f>Cluster!Q336</f>
        <v>0</v>
      </c>
      <c r="AD317" s="435" t="str">
        <f t="shared" ca="1" si="188"/>
        <v/>
      </c>
      <c r="AE317" s="436" t="str">
        <f t="shared" ca="1" si="188"/>
        <v/>
      </c>
      <c r="AF317" s="437" t="str">
        <f t="shared" ca="1" si="166"/>
        <v>-</v>
      </c>
      <c r="AG317" s="438" t="str">
        <f t="shared" ca="1" si="167"/>
        <v>-</v>
      </c>
      <c r="AH317" s="437" t="str">
        <f t="shared" ca="1" si="168"/>
        <v>-</v>
      </c>
      <c r="AI317" s="438" t="str">
        <f t="shared" ca="1" si="169"/>
        <v>-</v>
      </c>
      <c r="AJ317" s="438" t="str">
        <f t="shared" ca="1" si="170"/>
        <v>-</v>
      </c>
      <c r="AK317" s="439" t="str">
        <f ca="1">IFERROR(AE317*AD317*AL317/(IF(Cluster!AA336=Cluster!$W$8,Cluster!$W$10,IF(Cluster!AA336=Cluster!$X$8,Cluster!$X$10,IF(Cluster!AA336=Cluster!$Y$8,Cluster!$Y$10,0)))*10^3),"-")</f>
        <v>-</v>
      </c>
      <c r="AL317" s="440" t="str">
        <f ca="1">IFERROR(IF(OR(Calculation!T317&lt;(Calculation!$U$8+2),Calculation!AC317="Bypass"),IF((IF(Calculation!$O$6/((Calculation!AD317*10^-12)/(Calculation!T317*10^-9)*50)&lt;=1,1,ROUNDUP(Calculation!$O$6/((Calculation!AD317*10^-12)/(Calculation!T317*10^-9)*50),0))*50)&lt;Calculation!$AK$6,Calculation!$AK$6,IF(Calculation!$O$6/((Calculation!AD317*10^-12)/(Calculation!T317*10^-9)*50)&lt;=1,1,ROUNDUP(Calculation!$O$6/((Calculation!AD317*10^-12)/(Calculation!T317*10^-9)*50),0))*50),"-"),"-")</f>
        <v>-</v>
      </c>
      <c r="AM317" s="441" t="str">
        <f t="shared" ca="1" si="189"/>
        <v/>
      </c>
      <c r="AN317" s="442" t="str">
        <f t="shared" ca="1" si="189"/>
        <v/>
      </c>
      <c r="AO317" s="432">
        <f t="shared" ca="1" si="171"/>
        <v>384</v>
      </c>
      <c r="AP317" s="427" t="str">
        <f t="shared" ca="1" si="172"/>
        <v>-</v>
      </c>
      <c r="AQ317" s="443" t="str">
        <f t="shared" ca="1" si="173"/>
        <v>-</v>
      </c>
      <c r="AR317" s="444" t="str">
        <f t="shared" ca="1" si="174"/>
        <v>-</v>
      </c>
      <c r="AS317" s="430" t="str">
        <f t="shared" ca="1" si="175"/>
        <v>-</v>
      </c>
    </row>
    <row r="318" spans="1:45" ht="14.25" x14ac:dyDescent="0.65">
      <c r="A318" s="407">
        <v>310</v>
      </c>
      <c r="B318" s="408" t="str">
        <f t="shared" ca="1" si="156"/>
        <v/>
      </c>
      <c r="C318" s="408" t="str">
        <f ca="1">IFERROR(IF(G318="","",CONCATENATE(E318,"-",INDEX(Coordinate,MATCH(F318,ListAndConversion!$X$4:$X$99,0),2))),"")</f>
        <v/>
      </c>
      <c r="D318" s="408" t="str">
        <f t="shared" ca="1" si="186"/>
        <v/>
      </c>
      <c r="E318" s="408" t="str">
        <f t="shared" ca="1" si="186"/>
        <v/>
      </c>
      <c r="F318" s="408" t="str">
        <f t="shared" ca="1" si="186"/>
        <v/>
      </c>
      <c r="G318" s="408" t="str">
        <f ca="1">IFERROR(INDEX(ListAndConversion!A:B,MATCH(Calculation!E318,ListAndConversion!A:A,0),2),"")</f>
        <v/>
      </c>
      <c r="H318" s="408" t="str">
        <f>IF(TrackIT_Lines!AD310="","",TrackIT_Lines!AD310)</f>
        <v/>
      </c>
      <c r="I318" s="408" t="str">
        <f>IF(TrackIT_Lines!AD310="","",CONCATENATE(TrackIT_Lines!AD310,"-",TrackIT_Lines!AG310))</f>
        <v/>
      </c>
      <c r="J318" s="409" t="str">
        <f t="shared" ca="1" si="187"/>
        <v/>
      </c>
      <c r="K318" s="408" t="str">
        <f t="shared" ca="1" si="187"/>
        <v/>
      </c>
      <c r="L318" s="408" t="str">
        <f t="shared" ca="1" si="187"/>
        <v/>
      </c>
      <c r="M318" s="408" t="str">
        <f t="shared" ca="1" si="187"/>
        <v/>
      </c>
      <c r="N318" s="408" t="str">
        <f t="shared" ca="1" si="187"/>
        <v/>
      </c>
      <c r="O318" s="408" t="str">
        <f t="shared" ca="1" si="187"/>
        <v/>
      </c>
      <c r="P318" s="408" t="str">
        <f t="shared" ca="1" si="187"/>
        <v/>
      </c>
      <c r="Q318" s="408" t="str">
        <f t="shared" ca="1" si="187"/>
        <v/>
      </c>
      <c r="R318" s="410" t="str">
        <f ca="1">Cluster!J337</f>
        <v>Selection</v>
      </c>
      <c r="S318" s="411" t="str">
        <f t="shared" ca="1" si="157"/>
        <v>-</v>
      </c>
      <c r="T318" s="412" t="str">
        <f t="shared" ca="1" si="158"/>
        <v/>
      </c>
      <c r="U318" s="411" t="str">
        <f t="shared" ca="1" si="159"/>
        <v>-</v>
      </c>
      <c r="V318" s="411" t="str">
        <f t="shared" ca="1" si="160"/>
        <v>-</v>
      </c>
      <c r="W318" s="413">
        <f>Cluster!N337</f>
        <v>0</v>
      </c>
      <c r="X318" s="414" t="str">
        <f t="shared" ca="1" si="161"/>
        <v>-</v>
      </c>
      <c r="Y318" s="411" t="str">
        <f t="shared" ca="1" si="162"/>
        <v>-</v>
      </c>
      <c r="Z318" s="415" t="str">
        <f t="shared" ca="1" si="163"/>
        <v>-</v>
      </c>
      <c r="AA318" s="416" t="str">
        <f t="shared" ca="1" si="164"/>
        <v>-</v>
      </c>
      <c r="AB318" s="416" t="str">
        <f t="shared" ca="1" si="165"/>
        <v/>
      </c>
      <c r="AC318" s="434">
        <f>Cluster!Q337</f>
        <v>0</v>
      </c>
      <c r="AD318" s="435" t="str">
        <f t="shared" ca="1" si="188"/>
        <v/>
      </c>
      <c r="AE318" s="436" t="str">
        <f t="shared" ca="1" si="188"/>
        <v/>
      </c>
      <c r="AF318" s="437" t="str">
        <f t="shared" ca="1" si="166"/>
        <v>-</v>
      </c>
      <c r="AG318" s="438" t="str">
        <f t="shared" ca="1" si="167"/>
        <v>-</v>
      </c>
      <c r="AH318" s="437" t="str">
        <f t="shared" ca="1" si="168"/>
        <v>-</v>
      </c>
      <c r="AI318" s="438" t="str">
        <f t="shared" ca="1" si="169"/>
        <v>-</v>
      </c>
      <c r="AJ318" s="438" t="str">
        <f t="shared" ca="1" si="170"/>
        <v>-</v>
      </c>
      <c r="AK318" s="439" t="str">
        <f ca="1">IFERROR(AE318*AD318*AL318/(IF(Cluster!AA337=Cluster!$W$8,Cluster!$W$10,IF(Cluster!AA337=Cluster!$X$8,Cluster!$X$10,IF(Cluster!AA337=Cluster!$Y$8,Cluster!$Y$10,0)))*10^3),"-")</f>
        <v>-</v>
      </c>
      <c r="AL318" s="440" t="str">
        <f ca="1">IFERROR(IF(OR(Calculation!T318&lt;(Calculation!$U$8+2),Calculation!AC318="Bypass"),IF((IF(Calculation!$O$6/((Calculation!AD318*10^-12)/(Calculation!T318*10^-9)*50)&lt;=1,1,ROUNDUP(Calculation!$O$6/((Calculation!AD318*10^-12)/(Calculation!T318*10^-9)*50),0))*50)&lt;Calculation!$AK$6,Calculation!$AK$6,IF(Calculation!$O$6/((Calculation!AD318*10^-12)/(Calculation!T318*10^-9)*50)&lt;=1,1,ROUNDUP(Calculation!$O$6/((Calculation!AD318*10^-12)/(Calculation!T318*10^-9)*50),0))*50),"-"),"-")</f>
        <v>-</v>
      </c>
      <c r="AM318" s="441" t="str">
        <f t="shared" ca="1" si="189"/>
        <v/>
      </c>
      <c r="AN318" s="442" t="str">
        <f t="shared" ca="1" si="189"/>
        <v/>
      </c>
      <c r="AO318" s="432">
        <f t="shared" ca="1" si="171"/>
        <v>384</v>
      </c>
      <c r="AP318" s="427" t="str">
        <f t="shared" ca="1" si="172"/>
        <v>-</v>
      </c>
      <c r="AQ318" s="443" t="str">
        <f t="shared" ca="1" si="173"/>
        <v>-</v>
      </c>
      <c r="AR318" s="444" t="str">
        <f t="shared" ca="1" si="174"/>
        <v>-</v>
      </c>
      <c r="AS318" s="430" t="str">
        <f t="shared" ca="1" si="175"/>
        <v>-</v>
      </c>
    </row>
    <row r="319" spans="1:45" ht="14.25" x14ac:dyDescent="0.65">
      <c r="A319" s="407">
        <v>311</v>
      </c>
      <c r="B319" s="408" t="str">
        <f t="shared" ca="1" si="156"/>
        <v/>
      </c>
      <c r="C319" s="408" t="str">
        <f ca="1">IFERROR(IF(G319="","",CONCATENATE(E319,"-",INDEX(Coordinate,MATCH(F319,ListAndConversion!$X$4:$X$99,0),2))),"")</f>
        <v/>
      </c>
      <c r="D319" s="408" t="str">
        <f t="shared" ca="1" si="186"/>
        <v/>
      </c>
      <c r="E319" s="408" t="str">
        <f t="shared" ca="1" si="186"/>
        <v/>
      </c>
      <c r="F319" s="408" t="str">
        <f t="shared" ca="1" si="186"/>
        <v/>
      </c>
      <c r="G319" s="408" t="str">
        <f ca="1">IFERROR(INDEX(ListAndConversion!A:B,MATCH(Calculation!E319,ListAndConversion!A:A,0),2),"")</f>
        <v/>
      </c>
      <c r="H319" s="408" t="str">
        <f>IF(TrackIT_Lines!AD311="","",TrackIT_Lines!AD311)</f>
        <v/>
      </c>
      <c r="I319" s="408" t="str">
        <f>IF(TrackIT_Lines!AD311="","",CONCATENATE(TrackIT_Lines!AD311,"-",TrackIT_Lines!AG311))</f>
        <v/>
      </c>
      <c r="J319" s="409" t="str">
        <f t="shared" ca="1" si="187"/>
        <v/>
      </c>
      <c r="K319" s="408" t="str">
        <f t="shared" ca="1" si="187"/>
        <v/>
      </c>
      <c r="L319" s="408" t="str">
        <f t="shared" ca="1" si="187"/>
        <v/>
      </c>
      <c r="M319" s="408" t="str">
        <f t="shared" ca="1" si="187"/>
        <v/>
      </c>
      <c r="N319" s="408" t="str">
        <f t="shared" ca="1" si="187"/>
        <v/>
      </c>
      <c r="O319" s="408" t="str">
        <f t="shared" ca="1" si="187"/>
        <v/>
      </c>
      <c r="P319" s="408" t="str">
        <f t="shared" ca="1" si="187"/>
        <v/>
      </c>
      <c r="Q319" s="408" t="str">
        <f t="shared" ca="1" si="187"/>
        <v/>
      </c>
      <c r="R319" s="410" t="str">
        <f ca="1">Cluster!J338</f>
        <v>Selection</v>
      </c>
      <c r="S319" s="411" t="str">
        <f t="shared" ca="1" si="157"/>
        <v>-</v>
      </c>
      <c r="T319" s="412" t="str">
        <f t="shared" ca="1" si="158"/>
        <v/>
      </c>
      <c r="U319" s="411" t="str">
        <f t="shared" ca="1" si="159"/>
        <v>-</v>
      </c>
      <c r="V319" s="411" t="str">
        <f t="shared" ca="1" si="160"/>
        <v>-</v>
      </c>
      <c r="W319" s="413">
        <f>Cluster!N338</f>
        <v>0</v>
      </c>
      <c r="X319" s="414" t="str">
        <f t="shared" ca="1" si="161"/>
        <v>-</v>
      </c>
      <c r="Y319" s="411" t="str">
        <f t="shared" ca="1" si="162"/>
        <v>-</v>
      </c>
      <c r="Z319" s="415" t="str">
        <f t="shared" ca="1" si="163"/>
        <v>-</v>
      </c>
      <c r="AA319" s="416" t="str">
        <f t="shared" ca="1" si="164"/>
        <v>-</v>
      </c>
      <c r="AB319" s="416" t="str">
        <f t="shared" ca="1" si="165"/>
        <v/>
      </c>
      <c r="AC319" s="434">
        <f>Cluster!Q338</f>
        <v>0</v>
      </c>
      <c r="AD319" s="435" t="str">
        <f t="shared" ca="1" si="188"/>
        <v/>
      </c>
      <c r="AE319" s="436" t="str">
        <f t="shared" ca="1" si="188"/>
        <v/>
      </c>
      <c r="AF319" s="437" t="str">
        <f t="shared" ca="1" si="166"/>
        <v>-</v>
      </c>
      <c r="AG319" s="438" t="str">
        <f t="shared" ca="1" si="167"/>
        <v>-</v>
      </c>
      <c r="AH319" s="437" t="str">
        <f t="shared" ca="1" si="168"/>
        <v>-</v>
      </c>
      <c r="AI319" s="438" t="str">
        <f t="shared" ca="1" si="169"/>
        <v>-</v>
      </c>
      <c r="AJ319" s="438" t="str">
        <f t="shared" ca="1" si="170"/>
        <v>-</v>
      </c>
      <c r="AK319" s="439" t="str">
        <f ca="1">IFERROR(AE319*AD319*AL319/(IF(Cluster!AA338=Cluster!$W$8,Cluster!$W$10,IF(Cluster!AA338=Cluster!$X$8,Cluster!$X$10,IF(Cluster!AA338=Cluster!$Y$8,Cluster!$Y$10,0)))*10^3),"-")</f>
        <v>-</v>
      </c>
      <c r="AL319" s="440" t="str">
        <f ca="1">IFERROR(IF(OR(Calculation!T319&lt;(Calculation!$U$8+2),Calculation!AC319="Bypass"),IF((IF(Calculation!$O$6/((Calculation!AD319*10^-12)/(Calculation!T319*10^-9)*50)&lt;=1,1,ROUNDUP(Calculation!$O$6/((Calculation!AD319*10^-12)/(Calculation!T319*10^-9)*50),0))*50)&lt;Calculation!$AK$6,Calculation!$AK$6,IF(Calculation!$O$6/((Calculation!AD319*10^-12)/(Calculation!T319*10^-9)*50)&lt;=1,1,ROUNDUP(Calculation!$O$6/((Calculation!AD319*10^-12)/(Calculation!T319*10^-9)*50),0))*50),"-"),"-")</f>
        <v>-</v>
      </c>
      <c r="AM319" s="441" t="str">
        <f t="shared" ca="1" si="189"/>
        <v/>
      </c>
      <c r="AN319" s="442" t="str">
        <f t="shared" ca="1" si="189"/>
        <v/>
      </c>
      <c r="AO319" s="432">
        <f t="shared" ca="1" si="171"/>
        <v>384</v>
      </c>
      <c r="AP319" s="427" t="str">
        <f t="shared" ca="1" si="172"/>
        <v>-</v>
      </c>
      <c r="AQ319" s="443" t="str">
        <f t="shared" ca="1" si="173"/>
        <v>-</v>
      </c>
      <c r="AR319" s="444" t="str">
        <f t="shared" ca="1" si="174"/>
        <v>-</v>
      </c>
      <c r="AS319" s="430" t="str">
        <f t="shared" ca="1" si="175"/>
        <v>-</v>
      </c>
    </row>
    <row r="320" spans="1:45" ht="14.25" x14ac:dyDescent="0.65">
      <c r="A320" s="407">
        <v>312</v>
      </c>
      <c r="B320" s="408" t="str">
        <f t="shared" ca="1" si="156"/>
        <v/>
      </c>
      <c r="C320" s="408" t="str">
        <f ca="1">IFERROR(IF(G320="","",CONCATENATE(E320,"-",INDEX(Coordinate,MATCH(F320,ListAndConversion!$X$4:$X$99,0),2))),"")</f>
        <v/>
      </c>
      <c r="D320" s="408" t="str">
        <f t="shared" ca="1" si="186"/>
        <v/>
      </c>
      <c r="E320" s="408" t="str">
        <f t="shared" ca="1" si="186"/>
        <v/>
      </c>
      <c r="F320" s="408" t="str">
        <f t="shared" ca="1" si="186"/>
        <v/>
      </c>
      <c r="G320" s="408" t="str">
        <f ca="1">IFERROR(INDEX(ListAndConversion!A:B,MATCH(Calculation!E320,ListAndConversion!A:A,0),2),"")</f>
        <v/>
      </c>
      <c r="H320" s="408" t="str">
        <f>IF(TrackIT_Lines!AD312="","",TrackIT_Lines!AD312)</f>
        <v/>
      </c>
      <c r="I320" s="408" t="str">
        <f>IF(TrackIT_Lines!AD312="","",CONCATENATE(TrackIT_Lines!AD312,"-",TrackIT_Lines!AG312))</f>
        <v/>
      </c>
      <c r="J320" s="409" t="str">
        <f t="shared" ref="J320:Q329" ca="1" si="190">IF((INDIRECT("TrackIT_Lines!"&amp;J$2&amp;$A320))="","", (INDIRECT("TrackIT_Lines!"&amp;J$2&amp;$A320)))</f>
        <v/>
      </c>
      <c r="K320" s="408" t="str">
        <f t="shared" ca="1" si="190"/>
        <v/>
      </c>
      <c r="L320" s="408" t="str">
        <f t="shared" ca="1" si="190"/>
        <v/>
      </c>
      <c r="M320" s="408" t="str">
        <f t="shared" ca="1" si="190"/>
        <v/>
      </c>
      <c r="N320" s="408" t="str">
        <f t="shared" ca="1" si="190"/>
        <v/>
      </c>
      <c r="O320" s="408" t="str">
        <f t="shared" ca="1" si="190"/>
        <v/>
      </c>
      <c r="P320" s="408" t="str">
        <f t="shared" ca="1" si="190"/>
        <v/>
      </c>
      <c r="Q320" s="408" t="str">
        <f t="shared" ca="1" si="190"/>
        <v/>
      </c>
      <c r="R320" s="410" t="str">
        <f ca="1">Cluster!J339</f>
        <v>Selection</v>
      </c>
      <c r="S320" s="411" t="str">
        <f t="shared" ca="1" si="157"/>
        <v>-</v>
      </c>
      <c r="T320" s="412" t="str">
        <f t="shared" ca="1" si="158"/>
        <v/>
      </c>
      <c r="U320" s="411" t="str">
        <f t="shared" ca="1" si="159"/>
        <v>-</v>
      </c>
      <c r="V320" s="411" t="str">
        <f t="shared" ca="1" si="160"/>
        <v>-</v>
      </c>
      <c r="W320" s="413">
        <f>Cluster!N339</f>
        <v>0</v>
      </c>
      <c r="X320" s="414" t="str">
        <f t="shared" ca="1" si="161"/>
        <v>-</v>
      </c>
      <c r="Y320" s="411" t="str">
        <f t="shared" ca="1" si="162"/>
        <v>-</v>
      </c>
      <c r="Z320" s="415" t="str">
        <f t="shared" ca="1" si="163"/>
        <v>-</v>
      </c>
      <c r="AA320" s="416" t="str">
        <f t="shared" ca="1" si="164"/>
        <v>-</v>
      </c>
      <c r="AB320" s="416" t="str">
        <f t="shared" ca="1" si="165"/>
        <v/>
      </c>
      <c r="AC320" s="434">
        <f>Cluster!Q339</f>
        <v>0</v>
      </c>
      <c r="AD320" s="435" t="str">
        <f t="shared" ca="1" si="188"/>
        <v/>
      </c>
      <c r="AE320" s="436" t="str">
        <f t="shared" ca="1" si="188"/>
        <v/>
      </c>
      <c r="AF320" s="437" t="str">
        <f t="shared" ca="1" si="166"/>
        <v>-</v>
      </c>
      <c r="AG320" s="438" t="str">
        <f t="shared" ca="1" si="167"/>
        <v>-</v>
      </c>
      <c r="AH320" s="437" t="str">
        <f t="shared" ca="1" si="168"/>
        <v>-</v>
      </c>
      <c r="AI320" s="438" t="str">
        <f t="shared" ca="1" si="169"/>
        <v>-</v>
      </c>
      <c r="AJ320" s="438" t="str">
        <f t="shared" ca="1" si="170"/>
        <v>-</v>
      </c>
      <c r="AK320" s="439" t="str">
        <f ca="1">IFERROR(AE320*AD320*AL320/(IF(Cluster!AA339=Cluster!$W$8,Cluster!$W$10,IF(Cluster!AA339=Cluster!$X$8,Cluster!$X$10,IF(Cluster!AA339=Cluster!$Y$8,Cluster!$Y$10,0)))*10^3),"-")</f>
        <v>-</v>
      </c>
      <c r="AL320" s="440" t="str">
        <f ca="1">IFERROR(IF(OR(Calculation!T320&lt;(Calculation!$U$8+2),Calculation!AC320="Bypass"),IF((IF(Calculation!$O$6/((Calculation!AD320*10^-12)/(Calculation!T320*10^-9)*50)&lt;=1,1,ROUNDUP(Calculation!$O$6/((Calculation!AD320*10^-12)/(Calculation!T320*10^-9)*50),0))*50)&lt;Calculation!$AK$6,Calculation!$AK$6,IF(Calculation!$O$6/((Calculation!AD320*10^-12)/(Calculation!T320*10^-9)*50)&lt;=1,1,ROUNDUP(Calculation!$O$6/((Calculation!AD320*10^-12)/(Calculation!T320*10^-9)*50),0))*50),"-"),"-")</f>
        <v>-</v>
      </c>
      <c r="AM320" s="441" t="str">
        <f t="shared" ca="1" si="189"/>
        <v/>
      </c>
      <c r="AN320" s="442" t="str">
        <f t="shared" ca="1" si="189"/>
        <v/>
      </c>
      <c r="AO320" s="432">
        <f t="shared" ca="1" si="171"/>
        <v>384</v>
      </c>
      <c r="AP320" s="427" t="str">
        <f t="shared" ca="1" si="172"/>
        <v>-</v>
      </c>
      <c r="AQ320" s="443" t="str">
        <f t="shared" ca="1" si="173"/>
        <v>-</v>
      </c>
      <c r="AR320" s="444" t="str">
        <f t="shared" ca="1" si="174"/>
        <v>-</v>
      </c>
      <c r="AS320" s="430" t="str">
        <f t="shared" ca="1" si="175"/>
        <v>-</v>
      </c>
    </row>
    <row r="321" spans="1:45" ht="14.25" x14ac:dyDescent="0.65">
      <c r="A321" s="407">
        <v>313</v>
      </c>
      <c r="B321" s="408" t="str">
        <f t="shared" ca="1" si="156"/>
        <v/>
      </c>
      <c r="C321" s="408" t="str">
        <f ca="1">IFERROR(IF(G321="","",CONCATENATE(E321,"-",INDEX(Coordinate,MATCH(F321,ListAndConversion!$X$4:$X$99,0),2))),"")</f>
        <v/>
      </c>
      <c r="D321" s="408" t="str">
        <f t="shared" ca="1" si="186"/>
        <v/>
      </c>
      <c r="E321" s="408" t="str">
        <f t="shared" ca="1" si="186"/>
        <v/>
      </c>
      <c r="F321" s="408" t="str">
        <f t="shared" ca="1" si="186"/>
        <v/>
      </c>
      <c r="G321" s="408" t="str">
        <f ca="1">IFERROR(INDEX(ListAndConversion!A:B,MATCH(Calculation!E321,ListAndConversion!A:A,0),2),"")</f>
        <v/>
      </c>
      <c r="H321" s="408" t="str">
        <f>IF(TrackIT_Lines!AD313="","",TrackIT_Lines!AD313)</f>
        <v/>
      </c>
      <c r="I321" s="408" t="str">
        <f>IF(TrackIT_Lines!AD313="","",CONCATENATE(TrackIT_Lines!AD313,"-",TrackIT_Lines!AG313))</f>
        <v/>
      </c>
      <c r="J321" s="409" t="str">
        <f t="shared" ca="1" si="190"/>
        <v/>
      </c>
      <c r="K321" s="408" t="str">
        <f t="shared" ca="1" si="190"/>
        <v/>
      </c>
      <c r="L321" s="408" t="str">
        <f t="shared" ca="1" si="190"/>
        <v/>
      </c>
      <c r="M321" s="408" t="str">
        <f t="shared" ca="1" si="190"/>
        <v/>
      </c>
      <c r="N321" s="408" t="str">
        <f t="shared" ca="1" si="190"/>
        <v/>
      </c>
      <c r="O321" s="408" t="str">
        <f t="shared" ca="1" si="190"/>
        <v/>
      </c>
      <c r="P321" s="408" t="str">
        <f t="shared" ca="1" si="190"/>
        <v/>
      </c>
      <c r="Q321" s="408" t="str">
        <f t="shared" ca="1" si="190"/>
        <v/>
      </c>
      <c r="R321" s="410" t="str">
        <f ca="1">Cluster!J340</f>
        <v>Selection</v>
      </c>
      <c r="S321" s="411" t="str">
        <f t="shared" ca="1" si="157"/>
        <v>-</v>
      </c>
      <c r="T321" s="412" t="str">
        <f t="shared" ca="1" si="158"/>
        <v/>
      </c>
      <c r="U321" s="411" t="str">
        <f t="shared" ca="1" si="159"/>
        <v>-</v>
      </c>
      <c r="V321" s="411" t="str">
        <f t="shared" ca="1" si="160"/>
        <v>-</v>
      </c>
      <c r="W321" s="413">
        <f>Cluster!N340</f>
        <v>0</v>
      </c>
      <c r="X321" s="414" t="str">
        <f t="shared" ca="1" si="161"/>
        <v>-</v>
      </c>
      <c r="Y321" s="411" t="str">
        <f t="shared" ca="1" si="162"/>
        <v>-</v>
      </c>
      <c r="Z321" s="415" t="str">
        <f t="shared" ca="1" si="163"/>
        <v>-</v>
      </c>
      <c r="AA321" s="416" t="str">
        <f t="shared" ca="1" si="164"/>
        <v>-</v>
      </c>
      <c r="AB321" s="416" t="str">
        <f t="shared" ca="1" si="165"/>
        <v/>
      </c>
      <c r="AC321" s="434">
        <f>Cluster!Q340</f>
        <v>0</v>
      </c>
      <c r="AD321" s="435" t="str">
        <f t="shared" ca="1" si="188"/>
        <v/>
      </c>
      <c r="AE321" s="436" t="str">
        <f t="shared" ca="1" si="188"/>
        <v/>
      </c>
      <c r="AF321" s="437" t="str">
        <f t="shared" ca="1" si="166"/>
        <v>-</v>
      </c>
      <c r="AG321" s="438" t="str">
        <f t="shared" ca="1" si="167"/>
        <v>-</v>
      </c>
      <c r="AH321" s="437" t="str">
        <f t="shared" ca="1" si="168"/>
        <v>-</v>
      </c>
      <c r="AI321" s="438" t="str">
        <f t="shared" ca="1" si="169"/>
        <v>-</v>
      </c>
      <c r="AJ321" s="438" t="str">
        <f t="shared" ca="1" si="170"/>
        <v>-</v>
      </c>
      <c r="AK321" s="439" t="str">
        <f ca="1">IFERROR(AE321*AD321*AL321/(IF(Cluster!AA340=Cluster!$W$8,Cluster!$W$10,IF(Cluster!AA340=Cluster!$X$8,Cluster!$X$10,IF(Cluster!AA340=Cluster!$Y$8,Cluster!$Y$10,0)))*10^3),"-")</f>
        <v>-</v>
      </c>
      <c r="AL321" s="440" t="str">
        <f ca="1">IFERROR(IF(OR(Calculation!T321&lt;(Calculation!$U$8+2),Calculation!AC321="Bypass"),IF((IF(Calculation!$O$6/((Calculation!AD321*10^-12)/(Calculation!T321*10^-9)*50)&lt;=1,1,ROUNDUP(Calculation!$O$6/((Calculation!AD321*10^-12)/(Calculation!T321*10^-9)*50),0))*50)&lt;Calculation!$AK$6,Calculation!$AK$6,IF(Calculation!$O$6/((Calculation!AD321*10^-12)/(Calculation!T321*10^-9)*50)&lt;=1,1,ROUNDUP(Calculation!$O$6/((Calculation!AD321*10^-12)/(Calculation!T321*10^-9)*50),0))*50),"-"),"-")</f>
        <v>-</v>
      </c>
      <c r="AM321" s="441" t="str">
        <f t="shared" ca="1" si="189"/>
        <v/>
      </c>
      <c r="AN321" s="442" t="str">
        <f t="shared" ca="1" si="189"/>
        <v/>
      </c>
      <c r="AO321" s="432">
        <f t="shared" ca="1" si="171"/>
        <v>384</v>
      </c>
      <c r="AP321" s="427" t="str">
        <f t="shared" ca="1" si="172"/>
        <v>-</v>
      </c>
      <c r="AQ321" s="443" t="str">
        <f t="shared" ca="1" si="173"/>
        <v>-</v>
      </c>
      <c r="AR321" s="444" t="str">
        <f t="shared" ca="1" si="174"/>
        <v>-</v>
      </c>
      <c r="AS321" s="430" t="str">
        <f t="shared" ca="1" si="175"/>
        <v>-</v>
      </c>
    </row>
    <row r="322" spans="1:45" ht="14.25" x14ac:dyDescent="0.65">
      <c r="A322" s="407">
        <v>314</v>
      </c>
      <c r="B322" s="408" t="str">
        <f t="shared" ca="1" si="156"/>
        <v/>
      </c>
      <c r="C322" s="408" t="str">
        <f ca="1">IFERROR(IF(G322="","",CONCATENATE(E322,"-",INDEX(Coordinate,MATCH(F322,ListAndConversion!$X$4:$X$99,0),2))),"")</f>
        <v/>
      </c>
      <c r="D322" s="408" t="str">
        <f t="shared" ca="1" si="186"/>
        <v/>
      </c>
      <c r="E322" s="408" t="str">
        <f t="shared" ca="1" si="186"/>
        <v/>
      </c>
      <c r="F322" s="408" t="str">
        <f t="shared" ca="1" si="186"/>
        <v/>
      </c>
      <c r="G322" s="408" t="str">
        <f ca="1">IFERROR(INDEX(ListAndConversion!A:B,MATCH(Calculation!E322,ListAndConversion!A:A,0),2),"")</f>
        <v/>
      </c>
      <c r="H322" s="408" t="str">
        <f>IF(TrackIT_Lines!AD314="","",TrackIT_Lines!AD314)</f>
        <v/>
      </c>
      <c r="I322" s="408" t="str">
        <f>IF(TrackIT_Lines!AD314="","",CONCATENATE(TrackIT_Lines!AD314,"-",TrackIT_Lines!AG314))</f>
        <v/>
      </c>
      <c r="J322" s="409" t="str">
        <f t="shared" ca="1" si="190"/>
        <v/>
      </c>
      <c r="K322" s="408" t="str">
        <f t="shared" ca="1" si="190"/>
        <v/>
      </c>
      <c r="L322" s="408" t="str">
        <f t="shared" ca="1" si="190"/>
        <v/>
      </c>
      <c r="M322" s="408" t="str">
        <f t="shared" ca="1" si="190"/>
        <v/>
      </c>
      <c r="N322" s="408" t="str">
        <f t="shared" ca="1" si="190"/>
        <v/>
      </c>
      <c r="O322" s="408" t="str">
        <f t="shared" ca="1" si="190"/>
        <v/>
      </c>
      <c r="P322" s="408" t="str">
        <f t="shared" ca="1" si="190"/>
        <v/>
      </c>
      <c r="Q322" s="408" t="str">
        <f t="shared" ca="1" si="190"/>
        <v/>
      </c>
      <c r="R322" s="410" t="str">
        <f ca="1">Cluster!J341</f>
        <v>Selection</v>
      </c>
      <c r="S322" s="411" t="str">
        <f t="shared" ca="1" si="157"/>
        <v>-</v>
      </c>
      <c r="T322" s="412" t="str">
        <f t="shared" ca="1" si="158"/>
        <v/>
      </c>
      <c r="U322" s="411" t="str">
        <f t="shared" ca="1" si="159"/>
        <v>-</v>
      </c>
      <c r="V322" s="411" t="str">
        <f t="shared" ca="1" si="160"/>
        <v>-</v>
      </c>
      <c r="W322" s="413">
        <f>Cluster!N341</f>
        <v>0</v>
      </c>
      <c r="X322" s="414" t="str">
        <f t="shared" ca="1" si="161"/>
        <v>-</v>
      </c>
      <c r="Y322" s="411" t="str">
        <f t="shared" ca="1" si="162"/>
        <v>-</v>
      </c>
      <c r="Z322" s="415" t="str">
        <f t="shared" ca="1" si="163"/>
        <v>-</v>
      </c>
      <c r="AA322" s="416" t="str">
        <f t="shared" ca="1" si="164"/>
        <v>-</v>
      </c>
      <c r="AB322" s="416" t="str">
        <f t="shared" ca="1" si="165"/>
        <v/>
      </c>
      <c r="AC322" s="434">
        <f>Cluster!Q341</f>
        <v>0</v>
      </c>
      <c r="AD322" s="435" t="str">
        <f t="shared" ca="1" si="188"/>
        <v/>
      </c>
      <c r="AE322" s="436" t="str">
        <f t="shared" ca="1" si="188"/>
        <v/>
      </c>
      <c r="AF322" s="437" t="str">
        <f t="shared" ca="1" si="166"/>
        <v>-</v>
      </c>
      <c r="AG322" s="438" t="str">
        <f t="shared" ca="1" si="167"/>
        <v>-</v>
      </c>
      <c r="AH322" s="437" t="str">
        <f t="shared" ca="1" si="168"/>
        <v>-</v>
      </c>
      <c r="AI322" s="438" t="str">
        <f t="shared" ca="1" si="169"/>
        <v>-</v>
      </c>
      <c r="AJ322" s="438" t="str">
        <f t="shared" ca="1" si="170"/>
        <v>-</v>
      </c>
      <c r="AK322" s="439" t="str">
        <f ca="1">IFERROR(AE322*AD322*AL322/(IF(Cluster!AA341=Cluster!$W$8,Cluster!$W$10,IF(Cluster!AA341=Cluster!$X$8,Cluster!$X$10,IF(Cluster!AA341=Cluster!$Y$8,Cluster!$Y$10,0)))*10^3),"-")</f>
        <v>-</v>
      </c>
      <c r="AL322" s="440" t="str">
        <f ca="1">IFERROR(IF(OR(Calculation!T322&lt;(Calculation!$U$8+2),Calculation!AC322="Bypass"),IF((IF(Calculation!$O$6/((Calculation!AD322*10^-12)/(Calculation!T322*10^-9)*50)&lt;=1,1,ROUNDUP(Calculation!$O$6/((Calculation!AD322*10^-12)/(Calculation!T322*10^-9)*50),0))*50)&lt;Calculation!$AK$6,Calculation!$AK$6,IF(Calculation!$O$6/((Calculation!AD322*10^-12)/(Calculation!T322*10^-9)*50)&lt;=1,1,ROUNDUP(Calculation!$O$6/((Calculation!AD322*10^-12)/(Calculation!T322*10^-9)*50),0))*50),"-"),"-")</f>
        <v>-</v>
      </c>
      <c r="AM322" s="441" t="str">
        <f t="shared" ca="1" si="189"/>
        <v/>
      </c>
      <c r="AN322" s="442" t="str">
        <f t="shared" ca="1" si="189"/>
        <v/>
      </c>
      <c r="AO322" s="432">
        <f t="shared" ca="1" si="171"/>
        <v>384</v>
      </c>
      <c r="AP322" s="427" t="str">
        <f t="shared" ca="1" si="172"/>
        <v>-</v>
      </c>
      <c r="AQ322" s="443" t="str">
        <f t="shared" ca="1" si="173"/>
        <v>-</v>
      </c>
      <c r="AR322" s="444" t="str">
        <f t="shared" ca="1" si="174"/>
        <v>-</v>
      </c>
      <c r="AS322" s="430" t="str">
        <f t="shared" ca="1" si="175"/>
        <v>-</v>
      </c>
    </row>
    <row r="323" spans="1:45" ht="14.25" x14ac:dyDescent="0.65">
      <c r="A323" s="407">
        <v>315</v>
      </c>
      <c r="B323" s="408" t="str">
        <f t="shared" ca="1" si="156"/>
        <v/>
      </c>
      <c r="C323" s="408" t="str">
        <f ca="1">IFERROR(IF(G323="","",CONCATENATE(E323,"-",INDEX(Coordinate,MATCH(F323,ListAndConversion!$X$4:$X$99,0),2))),"")</f>
        <v/>
      </c>
      <c r="D323" s="408" t="str">
        <f t="shared" ca="1" si="186"/>
        <v/>
      </c>
      <c r="E323" s="408" t="str">
        <f t="shared" ca="1" si="186"/>
        <v/>
      </c>
      <c r="F323" s="408" t="str">
        <f t="shared" ca="1" si="186"/>
        <v/>
      </c>
      <c r="G323" s="408" t="str">
        <f ca="1">IFERROR(INDEX(ListAndConversion!A:B,MATCH(Calculation!E323,ListAndConversion!A:A,0),2),"")</f>
        <v/>
      </c>
      <c r="H323" s="408" t="str">
        <f>IF(TrackIT_Lines!AD315="","",TrackIT_Lines!AD315)</f>
        <v/>
      </c>
      <c r="I323" s="408" t="str">
        <f>IF(TrackIT_Lines!AD315="","",CONCATENATE(TrackIT_Lines!AD315,"-",TrackIT_Lines!AG315))</f>
        <v/>
      </c>
      <c r="J323" s="409" t="str">
        <f t="shared" ca="1" si="190"/>
        <v/>
      </c>
      <c r="K323" s="408" t="str">
        <f t="shared" ca="1" si="190"/>
        <v/>
      </c>
      <c r="L323" s="408" t="str">
        <f t="shared" ca="1" si="190"/>
        <v/>
      </c>
      <c r="M323" s="408" t="str">
        <f t="shared" ca="1" si="190"/>
        <v/>
      </c>
      <c r="N323" s="408" t="str">
        <f t="shared" ca="1" si="190"/>
        <v/>
      </c>
      <c r="O323" s="408" t="str">
        <f t="shared" ca="1" si="190"/>
        <v/>
      </c>
      <c r="P323" s="408" t="str">
        <f t="shared" ca="1" si="190"/>
        <v/>
      </c>
      <c r="Q323" s="408" t="str">
        <f t="shared" ca="1" si="190"/>
        <v/>
      </c>
      <c r="R323" s="410" t="str">
        <f ca="1">Cluster!J342</f>
        <v>Selection</v>
      </c>
      <c r="S323" s="411" t="str">
        <f t="shared" ca="1" si="157"/>
        <v>-</v>
      </c>
      <c r="T323" s="412" t="str">
        <f t="shared" ca="1" si="158"/>
        <v/>
      </c>
      <c r="U323" s="411" t="str">
        <f t="shared" ca="1" si="159"/>
        <v>-</v>
      </c>
      <c r="V323" s="411" t="str">
        <f t="shared" ca="1" si="160"/>
        <v>-</v>
      </c>
      <c r="W323" s="413">
        <f>Cluster!N342</f>
        <v>0</v>
      </c>
      <c r="X323" s="414" t="str">
        <f t="shared" ca="1" si="161"/>
        <v>-</v>
      </c>
      <c r="Y323" s="411" t="str">
        <f t="shared" ca="1" si="162"/>
        <v>-</v>
      </c>
      <c r="Z323" s="415" t="str">
        <f t="shared" ca="1" si="163"/>
        <v>-</v>
      </c>
      <c r="AA323" s="416" t="str">
        <f t="shared" ca="1" si="164"/>
        <v>-</v>
      </c>
      <c r="AB323" s="416" t="str">
        <f t="shared" ca="1" si="165"/>
        <v/>
      </c>
      <c r="AC323" s="434">
        <f>Cluster!Q342</f>
        <v>0</v>
      </c>
      <c r="AD323" s="435" t="str">
        <f t="shared" ca="1" si="188"/>
        <v/>
      </c>
      <c r="AE323" s="436" t="str">
        <f t="shared" ca="1" si="188"/>
        <v/>
      </c>
      <c r="AF323" s="437" t="str">
        <f t="shared" ca="1" si="166"/>
        <v>-</v>
      </c>
      <c r="AG323" s="438" t="str">
        <f t="shared" ca="1" si="167"/>
        <v>-</v>
      </c>
      <c r="AH323" s="437" t="str">
        <f t="shared" ca="1" si="168"/>
        <v>-</v>
      </c>
      <c r="AI323" s="438" t="str">
        <f t="shared" ca="1" si="169"/>
        <v>-</v>
      </c>
      <c r="AJ323" s="438" t="str">
        <f t="shared" ca="1" si="170"/>
        <v>-</v>
      </c>
      <c r="AK323" s="439" t="str">
        <f ca="1">IFERROR(AE323*AD323*AL323/(IF(Cluster!AA342=Cluster!$W$8,Cluster!$W$10,IF(Cluster!AA342=Cluster!$X$8,Cluster!$X$10,IF(Cluster!AA342=Cluster!$Y$8,Cluster!$Y$10,0)))*10^3),"-")</f>
        <v>-</v>
      </c>
      <c r="AL323" s="440" t="str">
        <f ca="1">IFERROR(IF(OR(Calculation!T323&lt;(Calculation!$U$8+2),Calculation!AC323="Bypass"),IF((IF(Calculation!$O$6/((Calculation!AD323*10^-12)/(Calculation!T323*10^-9)*50)&lt;=1,1,ROUNDUP(Calculation!$O$6/((Calculation!AD323*10^-12)/(Calculation!T323*10^-9)*50),0))*50)&lt;Calculation!$AK$6,Calculation!$AK$6,IF(Calculation!$O$6/((Calculation!AD323*10^-12)/(Calculation!T323*10^-9)*50)&lt;=1,1,ROUNDUP(Calculation!$O$6/((Calculation!AD323*10^-12)/(Calculation!T323*10^-9)*50),0))*50),"-"),"-")</f>
        <v>-</v>
      </c>
      <c r="AM323" s="441" t="str">
        <f t="shared" ca="1" si="189"/>
        <v/>
      </c>
      <c r="AN323" s="442" t="str">
        <f t="shared" ca="1" si="189"/>
        <v/>
      </c>
      <c r="AO323" s="432">
        <f t="shared" ca="1" si="171"/>
        <v>384</v>
      </c>
      <c r="AP323" s="427" t="str">
        <f t="shared" ca="1" si="172"/>
        <v>-</v>
      </c>
      <c r="AQ323" s="443" t="str">
        <f t="shared" ca="1" si="173"/>
        <v>-</v>
      </c>
      <c r="AR323" s="444" t="str">
        <f t="shared" ca="1" si="174"/>
        <v>-</v>
      </c>
      <c r="AS323" s="430" t="str">
        <f t="shared" ca="1" si="175"/>
        <v>-</v>
      </c>
    </row>
    <row r="324" spans="1:45" ht="14.25" x14ac:dyDescent="0.65">
      <c r="A324" s="407">
        <v>316</v>
      </c>
      <c r="B324" s="408" t="str">
        <f t="shared" ca="1" si="156"/>
        <v/>
      </c>
      <c r="C324" s="408" t="str">
        <f ca="1">IFERROR(IF(G324="","",CONCATENATE(E324,"-",INDEX(Coordinate,MATCH(F324,ListAndConversion!$X$4:$X$99,0),2))),"")</f>
        <v/>
      </c>
      <c r="D324" s="408" t="str">
        <f t="shared" ca="1" si="186"/>
        <v/>
      </c>
      <c r="E324" s="408" t="str">
        <f t="shared" ca="1" si="186"/>
        <v/>
      </c>
      <c r="F324" s="408" t="str">
        <f t="shared" ca="1" si="186"/>
        <v/>
      </c>
      <c r="G324" s="408" t="str">
        <f ca="1">IFERROR(INDEX(ListAndConversion!A:B,MATCH(Calculation!E324,ListAndConversion!A:A,0),2),"")</f>
        <v/>
      </c>
      <c r="H324" s="408" t="str">
        <f>IF(TrackIT_Lines!AD316="","",TrackIT_Lines!AD316)</f>
        <v/>
      </c>
      <c r="I324" s="408" t="str">
        <f>IF(TrackIT_Lines!AD316="","",CONCATENATE(TrackIT_Lines!AD316,"-",TrackIT_Lines!AG316))</f>
        <v/>
      </c>
      <c r="J324" s="409" t="str">
        <f t="shared" ca="1" si="190"/>
        <v/>
      </c>
      <c r="K324" s="408" t="str">
        <f t="shared" ca="1" si="190"/>
        <v/>
      </c>
      <c r="L324" s="408" t="str">
        <f t="shared" ca="1" si="190"/>
        <v/>
      </c>
      <c r="M324" s="408" t="str">
        <f t="shared" ca="1" si="190"/>
        <v/>
      </c>
      <c r="N324" s="408" t="str">
        <f t="shared" ca="1" si="190"/>
        <v/>
      </c>
      <c r="O324" s="408" t="str">
        <f t="shared" ca="1" si="190"/>
        <v/>
      </c>
      <c r="P324" s="408" t="str">
        <f t="shared" ca="1" si="190"/>
        <v/>
      </c>
      <c r="Q324" s="408" t="str">
        <f t="shared" ca="1" si="190"/>
        <v/>
      </c>
      <c r="R324" s="410" t="str">
        <f ca="1">Cluster!J343</f>
        <v>Selection</v>
      </c>
      <c r="S324" s="411" t="str">
        <f t="shared" ca="1" si="157"/>
        <v>-</v>
      </c>
      <c r="T324" s="412" t="str">
        <f t="shared" ca="1" si="158"/>
        <v/>
      </c>
      <c r="U324" s="411" t="str">
        <f t="shared" ca="1" si="159"/>
        <v>-</v>
      </c>
      <c r="V324" s="411" t="str">
        <f t="shared" ca="1" si="160"/>
        <v>-</v>
      </c>
      <c r="W324" s="413">
        <f>Cluster!N343</f>
        <v>0</v>
      </c>
      <c r="X324" s="414" t="str">
        <f t="shared" ca="1" si="161"/>
        <v>-</v>
      </c>
      <c r="Y324" s="411" t="str">
        <f t="shared" ca="1" si="162"/>
        <v>-</v>
      </c>
      <c r="Z324" s="415" t="str">
        <f t="shared" ca="1" si="163"/>
        <v>-</v>
      </c>
      <c r="AA324" s="416" t="str">
        <f t="shared" ca="1" si="164"/>
        <v>-</v>
      </c>
      <c r="AB324" s="416" t="str">
        <f t="shared" ca="1" si="165"/>
        <v/>
      </c>
      <c r="AC324" s="434">
        <f>Cluster!Q343</f>
        <v>0</v>
      </c>
      <c r="AD324" s="435" t="str">
        <f t="shared" ca="1" si="188"/>
        <v/>
      </c>
      <c r="AE324" s="436" t="str">
        <f t="shared" ca="1" si="188"/>
        <v/>
      </c>
      <c r="AF324" s="437" t="str">
        <f t="shared" ca="1" si="166"/>
        <v>-</v>
      </c>
      <c r="AG324" s="438" t="str">
        <f t="shared" ca="1" si="167"/>
        <v>-</v>
      </c>
      <c r="AH324" s="437" t="str">
        <f t="shared" ca="1" si="168"/>
        <v>-</v>
      </c>
      <c r="AI324" s="438" t="str">
        <f t="shared" ca="1" si="169"/>
        <v>-</v>
      </c>
      <c r="AJ324" s="438" t="str">
        <f t="shared" ca="1" si="170"/>
        <v>-</v>
      </c>
      <c r="AK324" s="439" t="str">
        <f ca="1">IFERROR(AE324*AD324*AL324/(IF(Cluster!AA343=Cluster!$W$8,Cluster!$W$10,IF(Cluster!AA343=Cluster!$X$8,Cluster!$X$10,IF(Cluster!AA343=Cluster!$Y$8,Cluster!$Y$10,0)))*10^3),"-")</f>
        <v>-</v>
      </c>
      <c r="AL324" s="440" t="str">
        <f ca="1">IFERROR(IF(OR(Calculation!T324&lt;(Calculation!$U$8+2),Calculation!AC324="Bypass"),IF((IF(Calculation!$O$6/((Calculation!AD324*10^-12)/(Calculation!T324*10^-9)*50)&lt;=1,1,ROUNDUP(Calculation!$O$6/((Calculation!AD324*10^-12)/(Calculation!T324*10^-9)*50),0))*50)&lt;Calculation!$AK$6,Calculation!$AK$6,IF(Calculation!$O$6/((Calculation!AD324*10^-12)/(Calculation!T324*10^-9)*50)&lt;=1,1,ROUNDUP(Calculation!$O$6/((Calculation!AD324*10^-12)/(Calculation!T324*10^-9)*50),0))*50),"-"),"-")</f>
        <v>-</v>
      </c>
      <c r="AM324" s="441" t="str">
        <f t="shared" ca="1" si="189"/>
        <v/>
      </c>
      <c r="AN324" s="442" t="str">
        <f t="shared" ca="1" si="189"/>
        <v/>
      </c>
      <c r="AO324" s="432">
        <f t="shared" ca="1" si="171"/>
        <v>384</v>
      </c>
      <c r="AP324" s="427" t="str">
        <f t="shared" ca="1" si="172"/>
        <v>-</v>
      </c>
      <c r="AQ324" s="443" t="str">
        <f t="shared" ca="1" si="173"/>
        <v>-</v>
      </c>
      <c r="AR324" s="444" t="str">
        <f t="shared" ca="1" si="174"/>
        <v>-</v>
      </c>
      <c r="AS324" s="430" t="str">
        <f t="shared" ca="1" si="175"/>
        <v>-</v>
      </c>
    </row>
    <row r="325" spans="1:45" ht="14.25" x14ac:dyDescent="0.65">
      <c r="A325" s="407">
        <v>317</v>
      </c>
      <c r="B325" s="408" t="str">
        <f t="shared" ca="1" si="156"/>
        <v/>
      </c>
      <c r="C325" s="408" t="str">
        <f ca="1">IFERROR(IF(G325="","",CONCATENATE(E325,"-",INDEX(Coordinate,MATCH(F325,ListAndConversion!$X$4:$X$99,0),2))),"")</f>
        <v/>
      </c>
      <c r="D325" s="408" t="str">
        <f t="shared" ca="1" si="186"/>
        <v/>
      </c>
      <c r="E325" s="408" t="str">
        <f t="shared" ca="1" si="186"/>
        <v/>
      </c>
      <c r="F325" s="408" t="str">
        <f t="shared" ca="1" si="186"/>
        <v/>
      </c>
      <c r="G325" s="408" t="str">
        <f ca="1">IFERROR(INDEX(ListAndConversion!A:B,MATCH(Calculation!E325,ListAndConversion!A:A,0),2),"")</f>
        <v/>
      </c>
      <c r="H325" s="408" t="str">
        <f>IF(TrackIT_Lines!AD317="","",TrackIT_Lines!AD317)</f>
        <v/>
      </c>
      <c r="I325" s="408" t="str">
        <f>IF(TrackIT_Lines!AD317="","",CONCATENATE(TrackIT_Lines!AD317,"-",TrackIT_Lines!AG317))</f>
        <v/>
      </c>
      <c r="J325" s="409" t="str">
        <f t="shared" ca="1" si="190"/>
        <v/>
      </c>
      <c r="K325" s="408" t="str">
        <f t="shared" ca="1" si="190"/>
        <v/>
      </c>
      <c r="L325" s="408" t="str">
        <f t="shared" ca="1" si="190"/>
        <v/>
      </c>
      <c r="M325" s="408" t="str">
        <f t="shared" ca="1" si="190"/>
        <v/>
      </c>
      <c r="N325" s="408" t="str">
        <f t="shared" ca="1" si="190"/>
        <v/>
      </c>
      <c r="O325" s="408" t="str">
        <f t="shared" ca="1" si="190"/>
        <v/>
      </c>
      <c r="P325" s="408" t="str">
        <f t="shared" ca="1" si="190"/>
        <v/>
      </c>
      <c r="Q325" s="408" t="str">
        <f t="shared" ca="1" si="190"/>
        <v/>
      </c>
      <c r="R325" s="410" t="str">
        <f ca="1">Cluster!J344</f>
        <v>Selection</v>
      </c>
      <c r="S325" s="411" t="str">
        <f t="shared" ca="1" si="157"/>
        <v>-</v>
      </c>
      <c r="T325" s="412" t="str">
        <f t="shared" ca="1" si="158"/>
        <v/>
      </c>
      <c r="U325" s="411" t="str">
        <f t="shared" ca="1" si="159"/>
        <v>-</v>
      </c>
      <c r="V325" s="411" t="str">
        <f t="shared" ca="1" si="160"/>
        <v>-</v>
      </c>
      <c r="W325" s="413">
        <f>Cluster!N344</f>
        <v>0</v>
      </c>
      <c r="X325" s="414" t="str">
        <f t="shared" ca="1" si="161"/>
        <v>-</v>
      </c>
      <c r="Y325" s="411" t="str">
        <f t="shared" ca="1" si="162"/>
        <v>-</v>
      </c>
      <c r="Z325" s="415" t="str">
        <f t="shared" ca="1" si="163"/>
        <v>-</v>
      </c>
      <c r="AA325" s="416" t="str">
        <f t="shared" ca="1" si="164"/>
        <v>-</v>
      </c>
      <c r="AB325" s="416" t="str">
        <f t="shared" ca="1" si="165"/>
        <v/>
      </c>
      <c r="AC325" s="434">
        <f>Cluster!Q344</f>
        <v>0</v>
      </c>
      <c r="AD325" s="435" t="str">
        <f t="shared" ca="1" si="188"/>
        <v/>
      </c>
      <c r="AE325" s="436" t="str">
        <f t="shared" ca="1" si="188"/>
        <v/>
      </c>
      <c r="AF325" s="437" t="str">
        <f t="shared" ca="1" si="166"/>
        <v>-</v>
      </c>
      <c r="AG325" s="438" t="str">
        <f t="shared" ca="1" si="167"/>
        <v>-</v>
      </c>
      <c r="AH325" s="437" t="str">
        <f t="shared" ca="1" si="168"/>
        <v>-</v>
      </c>
      <c r="AI325" s="438" t="str">
        <f t="shared" ca="1" si="169"/>
        <v>-</v>
      </c>
      <c r="AJ325" s="438" t="str">
        <f t="shared" ca="1" si="170"/>
        <v>-</v>
      </c>
      <c r="AK325" s="439" t="str">
        <f ca="1">IFERROR(AE325*AD325*AL325/(IF(Cluster!AA344=Cluster!$W$8,Cluster!$W$10,IF(Cluster!AA344=Cluster!$X$8,Cluster!$X$10,IF(Cluster!AA344=Cluster!$Y$8,Cluster!$Y$10,0)))*10^3),"-")</f>
        <v>-</v>
      </c>
      <c r="AL325" s="440" t="str">
        <f ca="1">IFERROR(IF(OR(Calculation!T325&lt;(Calculation!$U$8+2),Calculation!AC325="Bypass"),IF((IF(Calculation!$O$6/((Calculation!AD325*10^-12)/(Calculation!T325*10^-9)*50)&lt;=1,1,ROUNDUP(Calculation!$O$6/((Calculation!AD325*10^-12)/(Calculation!T325*10^-9)*50),0))*50)&lt;Calculation!$AK$6,Calculation!$AK$6,IF(Calculation!$O$6/((Calculation!AD325*10^-12)/(Calculation!T325*10^-9)*50)&lt;=1,1,ROUNDUP(Calculation!$O$6/((Calculation!AD325*10^-12)/(Calculation!T325*10^-9)*50),0))*50),"-"),"-")</f>
        <v>-</v>
      </c>
      <c r="AM325" s="441" t="str">
        <f t="shared" ca="1" si="189"/>
        <v/>
      </c>
      <c r="AN325" s="442" t="str">
        <f t="shared" ca="1" si="189"/>
        <v/>
      </c>
      <c r="AO325" s="432">
        <f t="shared" ca="1" si="171"/>
        <v>384</v>
      </c>
      <c r="AP325" s="427" t="str">
        <f t="shared" ca="1" si="172"/>
        <v>-</v>
      </c>
      <c r="AQ325" s="443" t="str">
        <f t="shared" ca="1" si="173"/>
        <v>-</v>
      </c>
      <c r="AR325" s="444" t="str">
        <f t="shared" ca="1" si="174"/>
        <v>-</v>
      </c>
      <c r="AS325" s="430" t="str">
        <f t="shared" ca="1" si="175"/>
        <v>-</v>
      </c>
    </row>
    <row r="326" spans="1:45" ht="14.25" x14ac:dyDescent="0.65">
      <c r="A326" s="407">
        <v>318</v>
      </c>
      <c r="B326" s="408" t="str">
        <f t="shared" ca="1" si="156"/>
        <v/>
      </c>
      <c r="C326" s="408" t="str">
        <f ca="1">IFERROR(IF(G326="","",CONCATENATE(E326,"-",INDEX(Coordinate,MATCH(F326,ListAndConversion!$X$4:$X$99,0),2))),"")</f>
        <v/>
      </c>
      <c r="D326" s="408" t="str">
        <f t="shared" ca="1" si="186"/>
        <v/>
      </c>
      <c r="E326" s="408" t="str">
        <f t="shared" ca="1" si="186"/>
        <v/>
      </c>
      <c r="F326" s="408" t="str">
        <f t="shared" ca="1" si="186"/>
        <v/>
      </c>
      <c r="G326" s="408" t="str">
        <f ca="1">IFERROR(INDEX(ListAndConversion!A:B,MATCH(Calculation!E326,ListAndConversion!A:A,0),2),"")</f>
        <v/>
      </c>
      <c r="H326" s="408" t="str">
        <f>IF(TrackIT_Lines!AD318="","",TrackIT_Lines!AD318)</f>
        <v/>
      </c>
      <c r="I326" s="408" t="str">
        <f>IF(TrackIT_Lines!AD318="","",CONCATENATE(TrackIT_Lines!AD318,"-",TrackIT_Lines!AG318))</f>
        <v/>
      </c>
      <c r="J326" s="409" t="str">
        <f t="shared" ca="1" si="190"/>
        <v/>
      </c>
      <c r="K326" s="408" t="str">
        <f t="shared" ca="1" si="190"/>
        <v/>
      </c>
      <c r="L326" s="408" t="str">
        <f t="shared" ca="1" si="190"/>
        <v/>
      </c>
      <c r="M326" s="408" t="str">
        <f t="shared" ca="1" si="190"/>
        <v/>
      </c>
      <c r="N326" s="408" t="str">
        <f t="shared" ca="1" si="190"/>
        <v/>
      </c>
      <c r="O326" s="408" t="str">
        <f t="shared" ca="1" si="190"/>
        <v/>
      </c>
      <c r="P326" s="408" t="str">
        <f t="shared" ca="1" si="190"/>
        <v/>
      </c>
      <c r="Q326" s="408" t="str">
        <f t="shared" ca="1" si="190"/>
        <v/>
      </c>
      <c r="R326" s="410" t="str">
        <f ca="1">Cluster!J345</f>
        <v>Selection</v>
      </c>
      <c r="S326" s="411" t="str">
        <f t="shared" ca="1" si="157"/>
        <v>-</v>
      </c>
      <c r="T326" s="412" t="str">
        <f t="shared" ca="1" si="158"/>
        <v/>
      </c>
      <c r="U326" s="411" t="str">
        <f t="shared" ca="1" si="159"/>
        <v>-</v>
      </c>
      <c r="V326" s="411" t="str">
        <f t="shared" ca="1" si="160"/>
        <v>-</v>
      </c>
      <c r="W326" s="413">
        <f>Cluster!N345</f>
        <v>0</v>
      </c>
      <c r="X326" s="414" t="str">
        <f t="shared" ca="1" si="161"/>
        <v>-</v>
      </c>
      <c r="Y326" s="411" t="str">
        <f t="shared" ca="1" si="162"/>
        <v>-</v>
      </c>
      <c r="Z326" s="415" t="str">
        <f t="shared" ca="1" si="163"/>
        <v>-</v>
      </c>
      <c r="AA326" s="416" t="str">
        <f t="shared" ca="1" si="164"/>
        <v>-</v>
      </c>
      <c r="AB326" s="416" t="str">
        <f t="shared" ca="1" si="165"/>
        <v/>
      </c>
      <c r="AC326" s="434">
        <f>Cluster!Q345</f>
        <v>0</v>
      </c>
      <c r="AD326" s="435" t="str">
        <f t="shared" ca="1" si="188"/>
        <v/>
      </c>
      <c r="AE326" s="436" t="str">
        <f t="shared" ca="1" si="188"/>
        <v/>
      </c>
      <c r="AF326" s="437" t="str">
        <f t="shared" ca="1" si="166"/>
        <v>-</v>
      </c>
      <c r="AG326" s="438" t="str">
        <f t="shared" ca="1" si="167"/>
        <v>-</v>
      </c>
      <c r="AH326" s="437" t="str">
        <f t="shared" ca="1" si="168"/>
        <v>-</v>
      </c>
      <c r="AI326" s="438" t="str">
        <f t="shared" ca="1" si="169"/>
        <v>-</v>
      </c>
      <c r="AJ326" s="438" t="str">
        <f t="shared" ca="1" si="170"/>
        <v>-</v>
      </c>
      <c r="AK326" s="439" t="str">
        <f ca="1">IFERROR(AE326*AD326*AL326/(IF(Cluster!AA345=Cluster!$W$8,Cluster!$W$10,IF(Cluster!AA345=Cluster!$X$8,Cluster!$X$10,IF(Cluster!AA345=Cluster!$Y$8,Cluster!$Y$10,0)))*10^3),"-")</f>
        <v>-</v>
      </c>
      <c r="AL326" s="440" t="str">
        <f ca="1">IFERROR(IF(OR(Calculation!T326&lt;(Calculation!$U$8+2),Calculation!AC326="Bypass"),IF((IF(Calculation!$O$6/((Calculation!AD326*10^-12)/(Calculation!T326*10^-9)*50)&lt;=1,1,ROUNDUP(Calculation!$O$6/((Calculation!AD326*10^-12)/(Calculation!T326*10^-9)*50),0))*50)&lt;Calculation!$AK$6,Calculation!$AK$6,IF(Calculation!$O$6/((Calculation!AD326*10^-12)/(Calculation!T326*10^-9)*50)&lt;=1,1,ROUNDUP(Calculation!$O$6/((Calculation!AD326*10^-12)/(Calculation!T326*10^-9)*50),0))*50),"-"),"-")</f>
        <v>-</v>
      </c>
      <c r="AM326" s="441" t="str">
        <f t="shared" ca="1" si="189"/>
        <v/>
      </c>
      <c r="AN326" s="442" t="str">
        <f t="shared" ca="1" si="189"/>
        <v/>
      </c>
      <c r="AO326" s="432">
        <f t="shared" ca="1" si="171"/>
        <v>384</v>
      </c>
      <c r="AP326" s="427" t="str">
        <f t="shared" ca="1" si="172"/>
        <v>-</v>
      </c>
      <c r="AQ326" s="443" t="str">
        <f t="shared" ca="1" si="173"/>
        <v>-</v>
      </c>
      <c r="AR326" s="444" t="str">
        <f t="shared" ca="1" si="174"/>
        <v>-</v>
      </c>
      <c r="AS326" s="430" t="str">
        <f t="shared" ca="1" si="175"/>
        <v>-</v>
      </c>
    </row>
    <row r="327" spans="1:45" ht="14.25" x14ac:dyDescent="0.65">
      <c r="A327" s="407">
        <v>319</v>
      </c>
      <c r="B327" s="408" t="str">
        <f t="shared" ca="1" si="156"/>
        <v/>
      </c>
      <c r="C327" s="408" t="str">
        <f ca="1">IFERROR(IF(G327="","",CONCATENATE(E327,"-",INDEX(Coordinate,MATCH(F327,ListAndConversion!$X$4:$X$99,0),2))),"")</f>
        <v/>
      </c>
      <c r="D327" s="408" t="str">
        <f t="shared" ca="1" si="186"/>
        <v/>
      </c>
      <c r="E327" s="408" t="str">
        <f t="shared" ca="1" si="186"/>
        <v/>
      </c>
      <c r="F327" s="408" t="str">
        <f t="shared" ca="1" si="186"/>
        <v/>
      </c>
      <c r="G327" s="408" t="str">
        <f ca="1">IFERROR(INDEX(ListAndConversion!A:B,MATCH(Calculation!E327,ListAndConversion!A:A,0),2),"")</f>
        <v/>
      </c>
      <c r="H327" s="408" t="str">
        <f>IF(TrackIT_Lines!AD319="","",TrackIT_Lines!AD319)</f>
        <v/>
      </c>
      <c r="I327" s="408" t="str">
        <f>IF(TrackIT_Lines!AD319="","",CONCATENATE(TrackIT_Lines!AD319,"-",TrackIT_Lines!AG319))</f>
        <v/>
      </c>
      <c r="J327" s="409" t="str">
        <f t="shared" ca="1" si="190"/>
        <v/>
      </c>
      <c r="K327" s="408" t="str">
        <f t="shared" ca="1" si="190"/>
        <v/>
      </c>
      <c r="L327" s="408" t="str">
        <f t="shared" ca="1" si="190"/>
        <v/>
      </c>
      <c r="M327" s="408" t="str">
        <f t="shared" ca="1" si="190"/>
        <v/>
      </c>
      <c r="N327" s="408" t="str">
        <f t="shared" ca="1" si="190"/>
        <v/>
      </c>
      <c r="O327" s="408" t="str">
        <f t="shared" ca="1" si="190"/>
        <v/>
      </c>
      <c r="P327" s="408" t="str">
        <f t="shared" ca="1" si="190"/>
        <v/>
      </c>
      <c r="Q327" s="408" t="str">
        <f t="shared" ca="1" si="190"/>
        <v/>
      </c>
      <c r="R327" s="410" t="str">
        <f ca="1">Cluster!J346</f>
        <v>Selection</v>
      </c>
      <c r="S327" s="411" t="str">
        <f t="shared" ca="1" si="157"/>
        <v>-</v>
      </c>
      <c r="T327" s="412" t="str">
        <f t="shared" ca="1" si="158"/>
        <v/>
      </c>
      <c r="U327" s="411" t="str">
        <f t="shared" ca="1" si="159"/>
        <v>-</v>
      </c>
      <c r="V327" s="411" t="str">
        <f t="shared" ca="1" si="160"/>
        <v>-</v>
      </c>
      <c r="W327" s="413">
        <f>Cluster!N346</f>
        <v>0</v>
      </c>
      <c r="X327" s="414" t="str">
        <f t="shared" ca="1" si="161"/>
        <v>-</v>
      </c>
      <c r="Y327" s="411" t="str">
        <f t="shared" ca="1" si="162"/>
        <v>-</v>
      </c>
      <c r="Z327" s="415" t="str">
        <f t="shared" ca="1" si="163"/>
        <v>-</v>
      </c>
      <c r="AA327" s="416" t="str">
        <f t="shared" ca="1" si="164"/>
        <v>-</v>
      </c>
      <c r="AB327" s="416" t="str">
        <f t="shared" ca="1" si="165"/>
        <v/>
      </c>
      <c r="AC327" s="434">
        <f>Cluster!Q346</f>
        <v>0</v>
      </c>
      <c r="AD327" s="435" t="str">
        <f t="shared" ca="1" si="188"/>
        <v/>
      </c>
      <c r="AE327" s="436" t="str">
        <f t="shared" ca="1" si="188"/>
        <v/>
      </c>
      <c r="AF327" s="437" t="str">
        <f t="shared" ca="1" si="166"/>
        <v>-</v>
      </c>
      <c r="AG327" s="438" t="str">
        <f t="shared" ca="1" si="167"/>
        <v>-</v>
      </c>
      <c r="AH327" s="437" t="str">
        <f t="shared" ca="1" si="168"/>
        <v>-</v>
      </c>
      <c r="AI327" s="438" t="str">
        <f t="shared" ca="1" si="169"/>
        <v>-</v>
      </c>
      <c r="AJ327" s="438" t="str">
        <f t="shared" ca="1" si="170"/>
        <v>-</v>
      </c>
      <c r="AK327" s="439" t="str">
        <f ca="1">IFERROR(AE327*AD327*AL327/(IF(Cluster!AA346=Cluster!$W$8,Cluster!$W$10,IF(Cluster!AA346=Cluster!$X$8,Cluster!$X$10,IF(Cluster!AA346=Cluster!$Y$8,Cluster!$Y$10,0)))*10^3),"-")</f>
        <v>-</v>
      </c>
      <c r="AL327" s="440" t="str">
        <f ca="1">IFERROR(IF(OR(Calculation!T327&lt;(Calculation!$U$8+2),Calculation!AC327="Bypass"),IF((IF(Calculation!$O$6/((Calculation!AD327*10^-12)/(Calculation!T327*10^-9)*50)&lt;=1,1,ROUNDUP(Calculation!$O$6/((Calculation!AD327*10^-12)/(Calculation!T327*10^-9)*50),0))*50)&lt;Calculation!$AK$6,Calculation!$AK$6,IF(Calculation!$O$6/((Calculation!AD327*10^-12)/(Calculation!T327*10^-9)*50)&lt;=1,1,ROUNDUP(Calculation!$O$6/((Calculation!AD327*10^-12)/(Calculation!T327*10^-9)*50),0))*50),"-"),"-")</f>
        <v>-</v>
      </c>
      <c r="AM327" s="441" t="str">
        <f t="shared" ca="1" si="189"/>
        <v/>
      </c>
      <c r="AN327" s="442" t="str">
        <f t="shared" ca="1" si="189"/>
        <v/>
      </c>
      <c r="AO327" s="432">
        <f t="shared" ca="1" si="171"/>
        <v>384</v>
      </c>
      <c r="AP327" s="427" t="str">
        <f t="shared" ca="1" si="172"/>
        <v>-</v>
      </c>
      <c r="AQ327" s="443" t="str">
        <f t="shared" ca="1" si="173"/>
        <v>-</v>
      </c>
      <c r="AR327" s="444" t="str">
        <f t="shared" ca="1" si="174"/>
        <v>-</v>
      </c>
      <c r="AS327" s="430" t="str">
        <f t="shared" ca="1" si="175"/>
        <v>-</v>
      </c>
    </row>
    <row r="328" spans="1:45" ht="14.25" x14ac:dyDescent="0.65">
      <c r="A328" s="407">
        <v>320</v>
      </c>
      <c r="B328" s="408" t="str">
        <f t="shared" ca="1" si="156"/>
        <v/>
      </c>
      <c r="C328" s="408" t="str">
        <f ca="1">IFERROR(IF(G328="","",CONCATENATE(E328,"-",INDEX(Coordinate,MATCH(F328,ListAndConversion!$X$4:$X$99,0),2))),"")</f>
        <v/>
      </c>
      <c r="D328" s="408" t="str">
        <f t="shared" ca="1" si="186"/>
        <v/>
      </c>
      <c r="E328" s="408" t="str">
        <f t="shared" ca="1" si="186"/>
        <v/>
      </c>
      <c r="F328" s="408" t="str">
        <f t="shared" ca="1" si="186"/>
        <v/>
      </c>
      <c r="G328" s="408" t="str">
        <f ca="1">IFERROR(INDEX(ListAndConversion!A:B,MATCH(Calculation!E328,ListAndConversion!A:A,0),2),"")</f>
        <v/>
      </c>
      <c r="H328" s="408" t="str">
        <f>IF(TrackIT_Lines!AD320="","",TrackIT_Lines!AD320)</f>
        <v/>
      </c>
      <c r="I328" s="408" t="str">
        <f>IF(TrackIT_Lines!AD320="","",CONCATENATE(TrackIT_Lines!AD320,"-",TrackIT_Lines!AG320))</f>
        <v/>
      </c>
      <c r="J328" s="409" t="str">
        <f t="shared" ca="1" si="190"/>
        <v/>
      </c>
      <c r="K328" s="408" t="str">
        <f t="shared" ca="1" si="190"/>
        <v/>
      </c>
      <c r="L328" s="408" t="str">
        <f t="shared" ca="1" si="190"/>
        <v/>
      </c>
      <c r="M328" s="408" t="str">
        <f t="shared" ca="1" si="190"/>
        <v/>
      </c>
      <c r="N328" s="408" t="str">
        <f t="shared" ca="1" si="190"/>
        <v/>
      </c>
      <c r="O328" s="408" t="str">
        <f t="shared" ca="1" si="190"/>
        <v/>
      </c>
      <c r="P328" s="408" t="str">
        <f t="shared" ca="1" si="190"/>
        <v/>
      </c>
      <c r="Q328" s="408" t="str">
        <f t="shared" ca="1" si="190"/>
        <v/>
      </c>
      <c r="R328" s="410" t="str">
        <f ca="1">Cluster!J347</f>
        <v>Selection</v>
      </c>
      <c r="S328" s="411" t="str">
        <f t="shared" ca="1" si="157"/>
        <v>-</v>
      </c>
      <c r="T328" s="412" t="str">
        <f t="shared" ca="1" si="158"/>
        <v/>
      </c>
      <c r="U328" s="411" t="str">
        <f t="shared" ca="1" si="159"/>
        <v>-</v>
      </c>
      <c r="V328" s="411" t="str">
        <f t="shared" ca="1" si="160"/>
        <v>-</v>
      </c>
      <c r="W328" s="413">
        <f>Cluster!N347</f>
        <v>0</v>
      </c>
      <c r="X328" s="414" t="str">
        <f t="shared" ca="1" si="161"/>
        <v>-</v>
      </c>
      <c r="Y328" s="411" t="str">
        <f t="shared" ca="1" si="162"/>
        <v>-</v>
      </c>
      <c r="Z328" s="415" t="str">
        <f t="shared" ca="1" si="163"/>
        <v>-</v>
      </c>
      <c r="AA328" s="416" t="str">
        <f t="shared" ca="1" si="164"/>
        <v>-</v>
      </c>
      <c r="AB328" s="416" t="str">
        <f t="shared" ca="1" si="165"/>
        <v/>
      </c>
      <c r="AC328" s="434">
        <f>Cluster!Q347</f>
        <v>0</v>
      </c>
      <c r="AD328" s="435" t="str">
        <f t="shared" ca="1" si="188"/>
        <v/>
      </c>
      <c r="AE328" s="436" t="str">
        <f t="shared" ca="1" si="188"/>
        <v/>
      </c>
      <c r="AF328" s="437" t="str">
        <f t="shared" ca="1" si="166"/>
        <v>-</v>
      </c>
      <c r="AG328" s="438" t="str">
        <f t="shared" ca="1" si="167"/>
        <v>-</v>
      </c>
      <c r="AH328" s="437" t="str">
        <f t="shared" ca="1" si="168"/>
        <v>-</v>
      </c>
      <c r="AI328" s="438" t="str">
        <f t="shared" ca="1" si="169"/>
        <v>-</v>
      </c>
      <c r="AJ328" s="438" t="str">
        <f t="shared" ca="1" si="170"/>
        <v>-</v>
      </c>
      <c r="AK328" s="439" t="str">
        <f ca="1">IFERROR(AE328*AD328*AL328/(IF(Cluster!AA347=Cluster!$W$8,Cluster!$W$10,IF(Cluster!AA347=Cluster!$X$8,Cluster!$X$10,IF(Cluster!AA347=Cluster!$Y$8,Cluster!$Y$10,0)))*10^3),"-")</f>
        <v>-</v>
      </c>
      <c r="AL328" s="440" t="str">
        <f ca="1">IFERROR(IF(OR(Calculation!T328&lt;(Calculation!$U$8+2),Calculation!AC328="Bypass"),IF((IF(Calculation!$O$6/((Calculation!AD328*10^-12)/(Calculation!T328*10^-9)*50)&lt;=1,1,ROUNDUP(Calculation!$O$6/((Calculation!AD328*10^-12)/(Calculation!T328*10^-9)*50),0))*50)&lt;Calculation!$AK$6,Calculation!$AK$6,IF(Calculation!$O$6/((Calculation!AD328*10^-12)/(Calculation!T328*10^-9)*50)&lt;=1,1,ROUNDUP(Calculation!$O$6/((Calculation!AD328*10^-12)/(Calculation!T328*10^-9)*50),0))*50),"-"),"-")</f>
        <v>-</v>
      </c>
      <c r="AM328" s="441" t="str">
        <f t="shared" ca="1" si="189"/>
        <v/>
      </c>
      <c r="AN328" s="442" t="str">
        <f t="shared" ca="1" si="189"/>
        <v/>
      </c>
      <c r="AO328" s="432">
        <f t="shared" ca="1" si="171"/>
        <v>384</v>
      </c>
      <c r="AP328" s="427" t="str">
        <f t="shared" ca="1" si="172"/>
        <v>-</v>
      </c>
      <c r="AQ328" s="443" t="str">
        <f t="shared" ca="1" si="173"/>
        <v>-</v>
      </c>
      <c r="AR328" s="444" t="str">
        <f t="shared" ca="1" si="174"/>
        <v>-</v>
      </c>
      <c r="AS328" s="430" t="str">
        <f t="shared" ca="1" si="175"/>
        <v>-</v>
      </c>
    </row>
    <row r="329" spans="1:45" ht="14.25" x14ac:dyDescent="0.65">
      <c r="A329" s="407">
        <v>321</v>
      </c>
      <c r="B329" s="408" t="str">
        <f t="shared" ca="1" si="156"/>
        <v/>
      </c>
      <c r="C329" s="408" t="str">
        <f ca="1">IFERROR(IF(G329="","",CONCATENATE(E329,"-",INDEX(Coordinate,MATCH(F329,ListAndConversion!$X$4:$X$99,0),2))),"")</f>
        <v/>
      </c>
      <c r="D329" s="408" t="str">
        <f t="shared" ca="1" si="186"/>
        <v/>
      </c>
      <c r="E329" s="408" t="str">
        <f t="shared" ca="1" si="186"/>
        <v/>
      </c>
      <c r="F329" s="408" t="str">
        <f t="shared" ca="1" si="186"/>
        <v/>
      </c>
      <c r="G329" s="408" t="str">
        <f ca="1">IFERROR(INDEX(ListAndConversion!A:B,MATCH(Calculation!E329,ListAndConversion!A:A,0),2),"")</f>
        <v/>
      </c>
      <c r="H329" s="408" t="str">
        <f>IF(TrackIT_Lines!AD321="","",TrackIT_Lines!AD321)</f>
        <v/>
      </c>
      <c r="I329" s="408" t="str">
        <f>IF(TrackIT_Lines!AD321="","",CONCATENATE(TrackIT_Lines!AD321,"-",TrackIT_Lines!AG321))</f>
        <v/>
      </c>
      <c r="J329" s="409" t="str">
        <f t="shared" ca="1" si="190"/>
        <v/>
      </c>
      <c r="K329" s="408" t="str">
        <f t="shared" ca="1" si="190"/>
        <v/>
      </c>
      <c r="L329" s="408" t="str">
        <f t="shared" ca="1" si="190"/>
        <v/>
      </c>
      <c r="M329" s="408" t="str">
        <f t="shared" ca="1" si="190"/>
        <v/>
      </c>
      <c r="N329" s="408" t="str">
        <f t="shared" ca="1" si="190"/>
        <v/>
      </c>
      <c r="O329" s="408" t="str">
        <f t="shared" ca="1" si="190"/>
        <v/>
      </c>
      <c r="P329" s="408" t="str">
        <f t="shared" ca="1" si="190"/>
        <v/>
      </c>
      <c r="Q329" s="408" t="str">
        <f t="shared" ca="1" si="190"/>
        <v/>
      </c>
      <c r="R329" s="410" t="str">
        <f ca="1">Cluster!J348</f>
        <v>Selection</v>
      </c>
      <c r="S329" s="411" t="str">
        <f t="shared" ca="1" si="157"/>
        <v>-</v>
      </c>
      <c r="T329" s="412" t="str">
        <f t="shared" ca="1" si="158"/>
        <v/>
      </c>
      <c r="U329" s="411" t="str">
        <f t="shared" ca="1" si="159"/>
        <v>-</v>
      </c>
      <c r="V329" s="411" t="str">
        <f t="shared" ca="1" si="160"/>
        <v>-</v>
      </c>
      <c r="W329" s="413">
        <f>Cluster!N348</f>
        <v>0</v>
      </c>
      <c r="X329" s="414" t="str">
        <f t="shared" ca="1" si="161"/>
        <v>-</v>
      </c>
      <c r="Y329" s="411" t="str">
        <f t="shared" ca="1" si="162"/>
        <v>-</v>
      </c>
      <c r="Z329" s="415" t="str">
        <f t="shared" ca="1" si="163"/>
        <v>-</v>
      </c>
      <c r="AA329" s="416" t="str">
        <f t="shared" ca="1" si="164"/>
        <v>-</v>
      </c>
      <c r="AB329" s="416" t="str">
        <f t="shared" ca="1" si="165"/>
        <v/>
      </c>
      <c r="AC329" s="434">
        <f>Cluster!Q348</f>
        <v>0</v>
      </c>
      <c r="AD329" s="435" t="str">
        <f t="shared" ca="1" si="188"/>
        <v/>
      </c>
      <c r="AE329" s="436" t="str">
        <f t="shared" ca="1" si="188"/>
        <v/>
      </c>
      <c r="AF329" s="437" t="str">
        <f t="shared" ca="1" si="166"/>
        <v>-</v>
      </c>
      <c r="AG329" s="438" t="str">
        <f t="shared" ca="1" si="167"/>
        <v>-</v>
      </c>
      <c r="AH329" s="437" t="str">
        <f t="shared" ca="1" si="168"/>
        <v>-</v>
      </c>
      <c r="AI329" s="438" t="str">
        <f t="shared" ca="1" si="169"/>
        <v>-</v>
      </c>
      <c r="AJ329" s="438" t="str">
        <f t="shared" ca="1" si="170"/>
        <v>-</v>
      </c>
      <c r="AK329" s="439" t="str">
        <f ca="1">IFERROR(AE329*AD329*AL329/(IF(Cluster!AA348=Cluster!$W$8,Cluster!$W$10,IF(Cluster!AA348=Cluster!$X$8,Cluster!$X$10,IF(Cluster!AA348=Cluster!$Y$8,Cluster!$Y$10,0)))*10^3),"-")</f>
        <v>-</v>
      </c>
      <c r="AL329" s="440" t="str">
        <f ca="1">IFERROR(IF(OR(Calculation!T329&lt;(Calculation!$U$8+2),Calculation!AC329="Bypass"),IF((IF(Calculation!$O$6/((Calculation!AD329*10^-12)/(Calculation!T329*10^-9)*50)&lt;=1,1,ROUNDUP(Calculation!$O$6/((Calculation!AD329*10^-12)/(Calculation!T329*10^-9)*50),0))*50)&lt;Calculation!$AK$6,Calculation!$AK$6,IF(Calculation!$O$6/((Calculation!AD329*10^-12)/(Calculation!T329*10^-9)*50)&lt;=1,1,ROUNDUP(Calculation!$O$6/((Calculation!AD329*10^-12)/(Calculation!T329*10^-9)*50),0))*50),"-"),"-")</f>
        <v>-</v>
      </c>
      <c r="AM329" s="441" t="str">
        <f t="shared" ca="1" si="189"/>
        <v/>
      </c>
      <c r="AN329" s="442" t="str">
        <f t="shared" ca="1" si="189"/>
        <v/>
      </c>
      <c r="AO329" s="432">
        <f t="shared" ca="1" si="171"/>
        <v>384</v>
      </c>
      <c r="AP329" s="427" t="str">
        <f t="shared" ca="1" si="172"/>
        <v>-</v>
      </c>
      <c r="AQ329" s="443" t="str">
        <f t="shared" ca="1" si="173"/>
        <v>-</v>
      </c>
      <c r="AR329" s="444" t="str">
        <f t="shared" ca="1" si="174"/>
        <v>-</v>
      </c>
      <c r="AS329" s="430" t="str">
        <f t="shared" ca="1" si="175"/>
        <v>-</v>
      </c>
    </row>
    <row r="330" spans="1:45" ht="14.25" x14ac:dyDescent="0.65">
      <c r="A330" s="407">
        <v>322</v>
      </c>
      <c r="B330" s="408" t="str">
        <f t="shared" ref="B330:B393" ca="1" si="191">IF((INDIRECT("TrackIT_Lines!"&amp;B$2&amp;$A330))="","", (INDIRECT("TrackIT_Lines!"&amp;B$2&amp;$A330)))</f>
        <v/>
      </c>
      <c r="C330" s="408" t="str">
        <f ca="1">IFERROR(IF(G330="","",CONCATENATE(E330,"-",INDEX(Coordinate,MATCH(F330,ListAndConversion!$X$4:$X$99,0),2))),"")</f>
        <v/>
      </c>
      <c r="D330" s="408" t="str">
        <f t="shared" ref="D330:F349" ca="1" si="192">IF((INDIRECT("TrackIT_Lines!"&amp;D$2&amp;$A330))="","", (INDIRECT("TrackIT_Lines!"&amp;D$2&amp;$A330)))</f>
        <v/>
      </c>
      <c r="E330" s="408" t="str">
        <f t="shared" ca="1" si="192"/>
        <v/>
      </c>
      <c r="F330" s="408" t="str">
        <f t="shared" ca="1" si="192"/>
        <v/>
      </c>
      <c r="G330" s="408" t="str">
        <f ca="1">IFERROR(INDEX(ListAndConversion!A:B,MATCH(Calculation!E330,ListAndConversion!A:A,0),2),"")</f>
        <v/>
      </c>
      <c r="H330" s="408" t="str">
        <f>IF(TrackIT_Lines!AD322="","",TrackIT_Lines!AD322)</f>
        <v/>
      </c>
      <c r="I330" s="408" t="str">
        <f>IF(TrackIT_Lines!AD322="","",CONCATENATE(TrackIT_Lines!AD322,"-",TrackIT_Lines!AG322))</f>
        <v/>
      </c>
      <c r="J330" s="409" t="str">
        <f t="shared" ref="J330:Q339" ca="1" si="193">IF((INDIRECT("TrackIT_Lines!"&amp;J$2&amp;$A330))="","", (INDIRECT("TrackIT_Lines!"&amp;J$2&amp;$A330)))</f>
        <v/>
      </c>
      <c r="K330" s="408" t="str">
        <f t="shared" ca="1" si="193"/>
        <v/>
      </c>
      <c r="L330" s="408" t="str">
        <f t="shared" ca="1" si="193"/>
        <v/>
      </c>
      <c r="M330" s="408" t="str">
        <f t="shared" ca="1" si="193"/>
        <v/>
      </c>
      <c r="N330" s="408" t="str">
        <f t="shared" ca="1" si="193"/>
        <v/>
      </c>
      <c r="O330" s="408" t="str">
        <f t="shared" ca="1" si="193"/>
        <v/>
      </c>
      <c r="P330" s="408" t="str">
        <f t="shared" ca="1" si="193"/>
        <v/>
      </c>
      <c r="Q330" s="408" t="str">
        <f t="shared" ca="1" si="193"/>
        <v/>
      </c>
      <c r="R330" s="410" t="str">
        <f ca="1">Cluster!J349</f>
        <v>Selection</v>
      </c>
      <c r="S330" s="411" t="str">
        <f t="shared" ref="S330:S393" ca="1" si="194">IFERROR(HLOOKUP(R330,$L$9:$Q$393,$A330,0),"-")</f>
        <v>-</v>
      </c>
      <c r="T330" s="412" t="str">
        <f t="shared" ref="T330:T394" ca="1" si="195">IFERROR(IF(L330&lt;&gt;"",L330,IF(M330&lt;&gt;"",M330/(K330*660*0.000001),"")),"")</f>
        <v/>
      </c>
      <c r="U330" s="411" t="str">
        <f t="shared" ref="U330:U393" ca="1" si="196">IFERROR(IF(AND(T330&gt;($U$8+2),T330&lt;=($X$8+400),W330=0,AC330=0),ROUNDUP($O$6/($U$8*$U$6/T330),0)*($U$8*$U$6/T330),"-"),"-")</f>
        <v>-</v>
      </c>
      <c r="V330" s="411" t="str">
        <f t="shared" ref="V330:V393" ca="1" si="197">IFERROR(IF(AND(T330&gt;=($U$8+2),T330&lt;=($X$8+400), W330=0, AC330=0),ROUNDUP($O$6/($U$8*$U$6/T330),0)*($U$6-($U$8*$U$6/T330)),"-"),"-")</f>
        <v>-</v>
      </c>
      <c r="W330" s="413">
        <f>Cluster!N349</f>
        <v>0</v>
      </c>
      <c r="X330" s="414" t="str">
        <f t="shared" ref="X330:X393" ca="1" si="198">IFERROR(IF(AND(AC330=0,OR(W330="Bypass",OR(T330&gt;($X$8+400)))),ROUNDUP($O$6/($X$8*$X$6/T330),0)*($X$8*$X$6/T330),"-"),"-")</f>
        <v>-</v>
      </c>
      <c r="Y330" s="411" t="str">
        <f t="shared" ref="Y330:Y394" ca="1" si="199">IFERROR(IF(AND(AC330=0,OR(W330="Bypass",OR(T330&gt;($X$8+400)))),ROUNDUP($O$6/($X$8*$X$6/T330),0)*($X$6-($X$8*$X$6/T330)),"-"),"-")</f>
        <v>-</v>
      </c>
      <c r="Z330" s="415" t="str">
        <f t="shared" ref="Z330:Z394" ca="1" si="200">IFERROR(IF(X330&lt;&gt;"-",ROUNDUP($O$6/($U$8*$Z$6/$X$8),0)*($U$8*$Z$6/$X$8),"-"),"-")</f>
        <v>-</v>
      </c>
      <c r="AA330" s="416" t="str">
        <f t="shared" ref="AA330:AA394" ca="1" si="201">IFERROR(IF(X330&lt;&gt;"-",ROUNDUP($O$6/($U$8*$Z$6/$X$8),0)*($Z$6-($U$8*$Z$6/$X$8)),"-"),"-")</f>
        <v>-</v>
      </c>
      <c r="AB330" s="416" t="str">
        <f t="shared" ref="AB330:AB394" ca="1" si="202">IF(T330&lt;5,"No Dilution","")</f>
        <v/>
      </c>
      <c r="AC330" s="434">
        <f>Cluster!Q349</f>
        <v>0</v>
      </c>
      <c r="AD330" s="435" t="str">
        <f t="shared" ref="AD330:AE349" ca="1" si="203">IF((INDIRECT("TrackIT_Lines!"&amp;AD$2&amp;$A330))="","", (INDIRECT("TrackIT_Lines!"&amp;AD$2&amp;$A330)))</f>
        <v/>
      </c>
      <c r="AE330" s="436" t="str">
        <f t="shared" ca="1" si="203"/>
        <v/>
      </c>
      <c r="AF330" s="437" t="str">
        <f t="shared" ref="AF330:AF393" ca="1" si="204">IFERROR(AL330*((AD330*10^-12-AD330*10^-12*AE330)/(T330*10^-9)),"-")</f>
        <v>-</v>
      </c>
      <c r="AG330" s="438" t="str">
        <f t="shared" ref="AG330:AG394" ca="1" si="205">IFERROR((0.5/50)*AL330/$AG$6,"-")</f>
        <v>-</v>
      </c>
      <c r="AH330" s="437" t="str">
        <f t="shared" ref="AH330:AH393" ca="1" si="206">IFERROR(IF((AG330*$AG$6/0.05)-SUM(AF330:AG330,AK330)&gt;0,(AG330*$AG$6/0.05)-SUM(AF330:AG330,AK330),0),"-")</f>
        <v>-</v>
      </c>
      <c r="AI330" s="438" t="str">
        <f t="shared" ref="AI330:AI393" ca="1" si="207">IFERROR(5/50*AL330,"-")</f>
        <v>-</v>
      </c>
      <c r="AJ330" s="438" t="str">
        <f t="shared" ref="AJ330:AJ393" ca="1" si="208">IFERROR(AL330-SUM(AF330:AI330,AK330),"-")</f>
        <v>-</v>
      </c>
      <c r="AK330" s="439" t="str">
        <f ca="1">IFERROR(AE330*AD330*AL330/(IF(Cluster!AA349=Cluster!$W$8,Cluster!$W$10,IF(Cluster!AA349=Cluster!$X$8,Cluster!$X$10,IF(Cluster!AA349=Cluster!$Y$8,Cluster!$Y$10,0)))*10^3),"-")</f>
        <v>-</v>
      </c>
      <c r="AL330" s="440" t="str">
        <f ca="1">IFERROR(IF(OR(Calculation!T330&lt;(Calculation!$U$8+2),Calculation!AC330="Bypass"),IF((IF(Calculation!$O$6/((Calculation!AD330*10^-12)/(Calculation!T330*10^-9)*50)&lt;=1,1,ROUNDUP(Calculation!$O$6/((Calculation!AD330*10^-12)/(Calculation!T330*10^-9)*50),0))*50)&lt;Calculation!$AK$6,Calculation!$AK$6,IF(Calculation!$O$6/((Calculation!AD330*10^-12)/(Calculation!T330*10^-9)*50)&lt;=1,1,ROUNDUP(Calculation!$O$6/((Calculation!AD330*10^-12)/(Calculation!T330*10^-9)*50),0))*50),"-"),"-")</f>
        <v>-</v>
      </c>
      <c r="AM330" s="441" t="str">
        <f t="shared" ref="AM330:AN349" ca="1" si="209">IF((INDIRECT("TrackIT_Lines!"&amp;AM$2&amp;$A330))="","", (INDIRECT("TrackIT_Lines!"&amp;AM$2&amp;$A330)))</f>
        <v/>
      </c>
      <c r="AN330" s="442" t="str">
        <f t="shared" ca="1" si="209"/>
        <v/>
      </c>
      <c r="AO330" s="432">
        <f t="shared" ref="AO330:AO393" ca="1" si="210">COUNTIFS($I$10:$I$393,I330,$AN$10:$AN$393,AN330)</f>
        <v>384</v>
      </c>
      <c r="AP330" s="427" t="str">
        <f t="shared" ref="AP330:AP394" ca="1" si="211">IFERROR($AG$6*AG330/SUM(AF330:AH330,AK330),"-")</f>
        <v>-</v>
      </c>
      <c r="AQ330" s="443" t="str">
        <f t="shared" ref="AQ330:AQ393" ca="1" si="212">IFERROR(AP330*SUM(AF330:AH330)/AL330,"-")</f>
        <v>-</v>
      </c>
      <c r="AR330" s="444" t="str">
        <f t="shared" ref="AR330:AR393" ca="1" si="213">IFERROR(IF(J330&gt;0,J330/IF(LEN(AM330)&gt;1,LEN(AM330)-1,1),"-"),"-")</f>
        <v>-</v>
      </c>
      <c r="AS330" s="430" t="str">
        <f t="shared" ref="AS330:AS393" ca="1" si="214">IF(AND(AR330&lt;1,AL330="-",COUNTIFS($I$10:$I$393,I330,Direct_Denaturation,"-")&gt;1),C330,"-")</f>
        <v>-</v>
      </c>
    </row>
    <row r="331" spans="1:45" ht="14.25" x14ac:dyDescent="0.65">
      <c r="A331" s="407">
        <v>323</v>
      </c>
      <c r="B331" s="408" t="str">
        <f t="shared" ca="1" si="191"/>
        <v/>
      </c>
      <c r="C331" s="408" t="str">
        <f ca="1">IFERROR(IF(G331="","",CONCATENATE(E331,"-",INDEX(Coordinate,MATCH(F331,ListAndConversion!$X$4:$X$99,0),2))),"")</f>
        <v/>
      </c>
      <c r="D331" s="408" t="str">
        <f t="shared" ca="1" si="192"/>
        <v/>
      </c>
      <c r="E331" s="408" t="str">
        <f t="shared" ca="1" si="192"/>
        <v/>
      </c>
      <c r="F331" s="408" t="str">
        <f t="shared" ca="1" si="192"/>
        <v/>
      </c>
      <c r="G331" s="408" t="str">
        <f ca="1">IFERROR(INDEX(ListAndConversion!A:B,MATCH(Calculation!E331,ListAndConversion!A:A,0),2),"")</f>
        <v/>
      </c>
      <c r="H331" s="408" t="str">
        <f>IF(TrackIT_Lines!AD323="","",TrackIT_Lines!AD323)</f>
        <v/>
      </c>
      <c r="I331" s="408" t="str">
        <f>IF(TrackIT_Lines!AD323="","",CONCATENATE(TrackIT_Lines!AD323,"-",TrackIT_Lines!AG323))</f>
        <v/>
      </c>
      <c r="J331" s="409" t="str">
        <f t="shared" ca="1" si="193"/>
        <v/>
      </c>
      <c r="K331" s="408" t="str">
        <f t="shared" ca="1" si="193"/>
        <v/>
      </c>
      <c r="L331" s="408" t="str">
        <f t="shared" ca="1" si="193"/>
        <v/>
      </c>
      <c r="M331" s="408" t="str">
        <f t="shared" ca="1" si="193"/>
        <v/>
      </c>
      <c r="N331" s="408" t="str">
        <f t="shared" ca="1" si="193"/>
        <v/>
      </c>
      <c r="O331" s="408" t="str">
        <f t="shared" ca="1" si="193"/>
        <v/>
      </c>
      <c r="P331" s="408" t="str">
        <f t="shared" ca="1" si="193"/>
        <v/>
      </c>
      <c r="Q331" s="408" t="str">
        <f t="shared" ca="1" si="193"/>
        <v/>
      </c>
      <c r="R331" s="410" t="str">
        <f ca="1">Cluster!J350</f>
        <v>Selection</v>
      </c>
      <c r="S331" s="411" t="str">
        <f t="shared" ca="1" si="194"/>
        <v>-</v>
      </c>
      <c r="T331" s="412" t="str">
        <f t="shared" ca="1" si="195"/>
        <v/>
      </c>
      <c r="U331" s="411" t="str">
        <f t="shared" ca="1" si="196"/>
        <v>-</v>
      </c>
      <c r="V331" s="411" t="str">
        <f t="shared" ca="1" si="197"/>
        <v>-</v>
      </c>
      <c r="W331" s="413">
        <f>Cluster!N350</f>
        <v>0</v>
      </c>
      <c r="X331" s="414" t="str">
        <f t="shared" ca="1" si="198"/>
        <v>-</v>
      </c>
      <c r="Y331" s="411" t="str">
        <f t="shared" ca="1" si="199"/>
        <v>-</v>
      </c>
      <c r="Z331" s="415" t="str">
        <f t="shared" ca="1" si="200"/>
        <v>-</v>
      </c>
      <c r="AA331" s="416" t="str">
        <f t="shared" ca="1" si="201"/>
        <v>-</v>
      </c>
      <c r="AB331" s="416" t="str">
        <f t="shared" ca="1" si="202"/>
        <v/>
      </c>
      <c r="AC331" s="434">
        <f>Cluster!Q350</f>
        <v>0</v>
      </c>
      <c r="AD331" s="435" t="str">
        <f t="shared" ca="1" si="203"/>
        <v/>
      </c>
      <c r="AE331" s="436" t="str">
        <f t="shared" ca="1" si="203"/>
        <v/>
      </c>
      <c r="AF331" s="437" t="str">
        <f t="shared" ca="1" si="204"/>
        <v>-</v>
      </c>
      <c r="AG331" s="438" t="str">
        <f t="shared" ca="1" si="205"/>
        <v>-</v>
      </c>
      <c r="AH331" s="437" t="str">
        <f t="shared" ca="1" si="206"/>
        <v>-</v>
      </c>
      <c r="AI331" s="438" t="str">
        <f t="shared" ca="1" si="207"/>
        <v>-</v>
      </c>
      <c r="AJ331" s="438" t="str">
        <f t="shared" ca="1" si="208"/>
        <v>-</v>
      </c>
      <c r="AK331" s="439" t="str">
        <f ca="1">IFERROR(AE331*AD331*AL331/(IF(Cluster!AA350=Cluster!$W$8,Cluster!$W$10,IF(Cluster!AA350=Cluster!$X$8,Cluster!$X$10,IF(Cluster!AA350=Cluster!$Y$8,Cluster!$Y$10,0)))*10^3),"-")</f>
        <v>-</v>
      </c>
      <c r="AL331" s="440" t="str">
        <f ca="1">IFERROR(IF(OR(Calculation!T331&lt;(Calculation!$U$8+2),Calculation!AC331="Bypass"),IF((IF(Calculation!$O$6/((Calculation!AD331*10^-12)/(Calculation!T331*10^-9)*50)&lt;=1,1,ROUNDUP(Calculation!$O$6/((Calculation!AD331*10^-12)/(Calculation!T331*10^-9)*50),0))*50)&lt;Calculation!$AK$6,Calculation!$AK$6,IF(Calculation!$O$6/((Calculation!AD331*10^-12)/(Calculation!T331*10^-9)*50)&lt;=1,1,ROUNDUP(Calculation!$O$6/((Calculation!AD331*10^-12)/(Calculation!T331*10^-9)*50),0))*50),"-"),"-")</f>
        <v>-</v>
      </c>
      <c r="AM331" s="441" t="str">
        <f t="shared" ca="1" si="209"/>
        <v/>
      </c>
      <c r="AN331" s="442" t="str">
        <f t="shared" ca="1" si="209"/>
        <v/>
      </c>
      <c r="AO331" s="432">
        <f t="shared" ca="1" si="210"/>
        <v>384</v>
      </c>
      <c r="AP331" s="427" t="str">
        <f t="shared" ca="1" si="211"/>
        <v>-</v>
      </c>
      <c r="AQ331" s="443" t="str">
        <f t="shared" ca="1" si="212"/>
        <v>-</v>
      </c>
      <c r="AR331" s="444" t="str">
        <f t="shared" ca="1" si="213"/>
        <v>-</v>
      </c>
      <c r="AS331" s="430" t="str">
        <f t="shared" ca="1" si="214"/>
        <v>-</v>
      </c>
    </row>
    <row r="332" spans="1:45" ht="14.25" x14ac:dyDescent="0.65">
      <c r="A332" s="407">
        <v>324</v>
      </c>
      <c r="B332" s="408" t="str">
        <f t="shared" ca="1" si="191"/>
        <v/>
      </c>
      <c r="C332" s="408" t="str">
        <f ca="1">IFERROR(IF(G332="","",CONCATENATE(E332,"-",INDEX(Coordinate,MATCH(F332,ListAndConversion!$X$4:$X$99,0),2))),"")</f>
        <v/>
      </c>
      <c r="D332" s="408" t="str">
        <f t="shared" ca="1" si="192"/>
        <v/>
      </c>
      <c r="E332" s="408" t="str">
        <f t="shared" ca="1" si="192"/>
        <v/>
      </c>
      <c r="F332" s="408" t="str">
        <f t="shared" ca="1" si="192"/>
        <v/>
      </c>
      <c r="G332" s="408" t="str">
        <f ca="1">IFERROR(INDEX(ListAndConversion!A:B,MATCH(Calculation!E332,ListAndConversion!A:A,0),2),"")</f>
        <v/>
      </c>
      <c r="H332" s="408" t="str">
        <f>IF(TrackIT_Lines!AD324="","",TrackIT_Lines!AD324)</f>
        <v/>
      </c>
      <c r="I332" s="408" t="str">
        <f>IF(TrackIT_Lines!AD324="","",CONCATENATE(TrackIT_Lines!AD324,"-",TrackIT_Lines!AG324))</f>
        <v/>
      </c>
      <c r="J332" s="409" t="str">
        <f t="shared" ca="1" si="193"/>
        <v/>
      </c>
      <c r="K332" s="408" t="str">
        <f t="shared" ca="1" si="193"/>
        <v/>
      </c>
      <c r="L332" s="408" t="str">
        <f t="shared" ca="1" si="193"/>
        <v/>
      </c>
      <c r="M332" s="408" t="str">
        <f t="shared" ca="1" si="193"/>
        <v/>
      </c>
      <c r="N332" s="408" t="str">
        <f t="shared" ca="1" si="193"/>
        <v/>
      </c>
      <c r="O332" s="408" t="str">
        <f t="shared" ca="1" si="193"/>
        <v/>
      </c>
      <c r="P332" s="408" t="str">
        <f t="shared" ca="1" si="193"/>
        <v/>
      </c>
      <c r="Q332" s="408" t="str">
        <f t="shared" ca="1" si="193"/>
        <v/>
      </c>
      <c r="R332" s="410" t="str">
        <f ca="1">Cluster!J351</f>
        <v>Selection</v>
      </c>
      <c r="S332" s="411" t="str">
        <f t="shared" ca="1" si="194"/>
        <v>-</v>
      </c>
      <c r="T332" s="412" t="str">
        <f t="shared" ca="1" si="195"/>
        <v/>
      </c>
      <c r="U332" s="411" t="str">
        <f t="shared" ca="1" si="196"/>
        <v>-</v>
      </c>
      <c r="V332" s="411" t="str">
        <f t="shared" ca="1" si="197"/>
        <v>-</v>
      </c>
      <c r="W332" s="413">
        <f>Cluster!N351</f>
        <v>0</v>
      </c>
      <c r="X332" s="414" t="str">
        <f t="shared" ca="1" si="198"/>
        <v>-</v>
      </c>
      <c r="Y332" s="411" t="str">
        <f t="shared" ca="1" si="199"/>
        <v>-</v>
      </c>
      <c r="Z332" s="415" t="str">
        <f t="shared" ca="1" si="200"/>
        <v>-</v>
      </c>
      <c r="AA332" s="416" t="str">
        <f t="shared" ca="1" si="201"/>
        <v>-</v>
      </c>
      <c r="AB332" s="416" t="str">
        <f t="shared" ca="1" si="202"/>
        <v/>
      </c>
      <c r="AC332" s="434">
        <f>Cluster!Q351</f>
        <v>0</v>
      </c>
      <c r="AD332" s="435" t="str">
        <f t="shared" ca="1" si="203"/>
        <v/>
      </c>
      <c r="AE332" s="436" t="str">
        <f t="shared" ca="1" si="203"/>
        <v/>
      </c>
      <c r="AF332" s="437" t="str">
        <f t="shared" ca="1" si="204"/>
        <v>-</v>
      </c>
      <c r="AG332" s="438" t="str">
        <f t="shared" ca="1" si="205"/>
        <v>-</v>
      </c>
      <c r="AH332" s="437" t="str">
        <f t="shared" ca="1" si="206"/>
        <v>-</v>
      </c>
      <c r="AI332" s="438" t="str">
        <f t="shared" ca="1" si="207"/>
        <v>-</v>
      </c>
      <c r="AJ332" s="438" t="str">
        <f t="shared" ca="1" si="208"/>
        <v>-</v>
      </c>
      <c r="AK332" s="439" t="str">
        <f ca="1">IFERROR(AE332*AD332*AL332/(IF(Cluster!AA351=Cluster!$W$8,Cluster!$W$10,IF(Cluster!AA351=Cluster!$X$8,Cluster!$X$10,IF(Cluster!AA351=Cluster!$Y$8,Cluster!$Y$10,0)))*10^3),"-")</f>
        <v>-</v>
      </c>
      <c r="AL332" s="440" t="str">
        <f ca="1">IFERROR(IF(OR(Calculation!T332&lt;(Calculation!$U$8+2),Calculation!AC332="Bypass"),IF((IF(Calculation!$O$6/((Calculation!AD332*10^-12)/(Calculation!T332*10^-9)*50)&lt;=1,1,ROUNDUP(Calculation!$O$6/((Calculation!AD332*10^-12)/(Calculation!T332*10^-9)*50),0))*50)&lt;Calculation!$AK$6,Calculation!$AK$6,IF(Calculation!$O$6/((Calculation!AD332*10^-12)/(Calculation!T332*10^-9)*50)&lt;=1,1,ROUNDUP(Calculation!$O$6/((Calculation!AD332*10^-12)/(Calculation!T332*10^-9)*50),0))*50),"-"),"-")</f>
        <v>-</v>
      </c>
      <c r="AM332" s="441" t="str">
        <f t="shared" ca="1" si="209"/>
        <v/>
      </c>
      <c r="AN332" s="442" t="str">
        <f t="shared" ca="1" si="209"/>
        <v/>
      </c>
      <c r="AO332" s="432">
        <f t="shared" ca="1" si="210"/>
        <v>384</v>
      </c>
      <c r="AP332" s="427" t="str">
        <f t="shared" ca="1" si="211"/>
        <v>-</v>
      </c>
      <c r="AQ332" s="443" t="str">
        <f t="shared" ca="1" si="212"/>
        <v>-</v>
      </c>
      <c r="AR332" s="444" t="str">
        <f t="shared" ca="1" si="213"/>
        <v>-</v>
      </c>
      <c r="AS332" s="430" t="str">
        <f t="shared" ca="1" si="214"/>
        <v>-</v>
      </c>
    </row>
    <row r="333" spans="1:45" ht="14.25" x14ac:dyDescent="0.65">
      <c r="A333" s="407">
        <v>325</v>
      </c>
      <c r="B333" s="408" t="str">
        <f t="shared" ca="1" si="191"/>
        <v/>
      </c>
      <c r="C333" s="408" t="str">
        <f ca="1">IFERROR(IF(G333="","",CONCATENATE(E333,"-",INDEX(Coordinate,MATCH(F333,ListAndConversion!$X$4:$X$99,0),2))),"")</f>
        <v/>
      </c>
      <c r="D333" s="408" t="str">
        <f t="shared" ca="1" si="192"/>
        <v/>
      </c>
      <c r="E333" s="408" t="str">
        <f t="shared" ca="1" si="192"/>
        <v/>
      </c>
      <c r="F333" s="408" t="str">
        <f t="shared" ca="1" si="192"/>
        <v/>
      </c>
      <c r="G333" s="408" t="str">
        <f ca="1">IFERROR(INDEX(ListAndConversion!A:B,MATCH(Calculation!E333,ListAndConversion!A:A,0),2),"")</f>
        <v/>
      </c>
      <c r="H333" s="408" t="str">
        <f>IF(TrackIT_Lines!AD325="","",TrackIT_Lines!AD325)</f>
        <v/>
      </c>
      <c r="I333" s="408" t="str">
        <f>IF(TrackIT_Lines!AD325="","",CONCATENATE(TrackIT_Lines!AD325,"-",TrackIT_Lines!AG325))</f>
        <v/>
      </c>
      <c r="J333" s="409" t="str">
        <f t="shared" ca="1" si="193"/>
        <v/>
      </c>
      <c r="K333" s="408" t="str">
        <f t="shared" ca="1" si="193"/>
        <v/>
      </c>
      <c r="L333" s="408" t="str">
        <f t="shared" ca="1" si="193"/>
        <v/>
      </c>
      <c r="M333" s="408" t="str">
        <f t="shared" ca="1" si="193"/>
        <v/>
      </c>
      <c r="N333" s="408" t="str">
        <f t="shared" ca="1" si="193"/>
        <v/>
      </c>
      <c r="O333" s="408" t="str">
        <f t="shared" ca="1" si="193"/>
        <v/>
      </c>
      <c r="P333" s="408" t="str">
        <f t="shared" ca="1" si="193"/>
        <v/>
      </c>
      <c r="Q333" s="408" t="str">
        <f t="shared" ca="1" si="193"/>
        <v/>
      </c>
      <c r="R333" s="410" t="str">
        <f ca="1">Cluster!J352</f>
        <v>Selection</v>
      </c>
      <c r="S333" s="411" t="str">
        <f t="shared" ca="1" si="194"/>
        <v>-</v>
      </c>
      <c r="T333" s="412" t="str">
        <f t="shared" ca="1" si="195"/>
        <v/>
      </c>
      <c r="U333" s="411" t="str">
        <f t="shared" ca="1" si="196"/>
        <v>-</v>
      </c>
      <c r="V333" s="411" t="str">
        <f t="shared" ca="1" si="197"/>
        <v>-</v>
      </c>
      <c r="W333" s="413">
        <f>Cluster!N352</f>
        <v>0</v>
      </c>
      <c r="X333" s="414" t="str">
        <f t="shared" ca="1" si="198"/>
        <v>-</v>
      </c>
      <c r="Y333" s="411" t="str">
        <f t="shared" ca="1" si="199"/>
        <v>-</v>
      </c>
      <c r="Z333" s="415" t="str">
        <f t="shared" ca="1" si="200"/>
        <v>-</v>
      </c>
      <c r="AA333" s="416" t="str">
        <f t="shared" ca="1" si="201"/>
        <v>-</v>
      </c>
      <c r="AB333" s="416" t="str">
        <f t="shared" ca="1" si="202"/>
        <v/>
      </c>
      <c r="AC333" s="434">
        <f>Cluster!Q352</f>
        <v>0</v>
      </c>
      <c r="AD333" s="435" t="str">
        <f t="shared" ca="1" si="203"/>
        <v/>
      </c>
      <c r="AE333" s="436" t="str">
        <f t="shared" ca="1" si="203"/>
        <v/>
      </c>
      <c r="AF333" s="437" t="str">
        <f t="shared" ca="1" si="204"/>
        <v>-</v>
      </c>
      <c r="AG333" s="438" t="str">
        <f t="shared" ca="1" si="205"/>
        <v>-</v>
      </c>
      <c r="AH333" s="437" t="str">
        <f t="shared" ca="1" si="206"/>
        <v>-</v>
      </c>
      <c r="AI333" s="438" t="str">
        <f t="shared" ca="1" si="207"/>
        <v>-</v>
      </c>
      <c r="AJ333" s="438" t="str">
        <f t="shared" ca="1" si="208"/>
        <v>-</v>
      </c>
      <c r="AK333" s="439" t="str">
        <f ca="1">IFERROR(AE333*AD333*AL333/(IF(Cluster!AA352=Cluster!$W$8,Cluster!$W$10,IF(Cluster!AA352=Cluster!$X$8,Cluster!$X$10,IF(Cluster!AA352=Cluster!$Y$8,Cluster!$Y$10,0)))*10^3),"-")</f>
        <v>-</v>
      </c>
      <c r="AL333" s="440" t="str">
        <f ca="1">IFERROR(IF(OR(Calculation!T333&lt;(Calculation!$U$8+2),Calculation!AC333="Bypass"),IF((IF(Calculation!$O$6/((Calculation!AD333*10^-12)/(Calculation!T333*10^-9)*50)&lt;=1,1,ROUNDUP(Calculation!$O$6/((Calculation!AD333*10^-12)/(Calculation!T333*10^-9)*50),0))*50)&lt;Calculation!$AK$6,Calculation!$AK$6,IF(Calculation!$O$6/((Calculation!AD333*10^-12)/(Calculation!T333*10^-9)*50)&lt;=1,1,ROUNDUP(Calculation!$O$6/((Calculation!AD333*10^-12)/(Calculation!T333*10^-9)*50),0))*50),"-"),"-")</f>
        <v>-</v>
      </c>
      <c r="AM333" s="441" t="str">
        <f t="shared" ca="1" si="209"/>
        <v/>
      </c>
      <c r="AN333" s="442" t="str">
        <f t="shared" ca="1" si="209"/>
        <v/>
      </c>
      <c r="AO333" s="432">
        <f t="shared" ca="1" si="210"/>
        <v>384</v>
      </c>
      <c r="AP333" s="427" t="str">
        <f t="shared" ca="1" si="211"/>
        <v>-</v>
      </c>
      <c r="AQ333" s="443" t="str">
        <f t="shared" ca="1" si="212"/>
        <v>-</v>
      </c>
      <c r="AR333" s="444" t="str">
        <f t="shared" ca="1" si="213"/>
        <v>-</v>
      </c>
      <c r="AS333" s="430" t="str">
        <f t="shared" ca="1" si="214"/>
        <v>-</v>
      </c>
    </row>
    <row r="334" spans="1:45" ht="14.25" x14ac:dyDescent="0.65">
      <c r="A334" s="407">
        <v>326</v>
      </c>
      <c r="B334" s="408" t="str">
        <f t="shared" ca="1" si="191"/>
        <v/>
      </c>
      <c r="C334" s="408" t="str">
        <f ca="1">IFERROR(IF(G334="","",CONCATENATE(E334,"-",INDEX(Coordinate,MATCH(F334,ListAndConversion!$X$4:$X$99,0),2))),"")</f>
        <v/>
      </c>
      <c r="D334" s="408" t="str">
        <f t="shared" ca="1" si="192"/>
        <v/>
      </c>
      <c r="E334" s="408" t="str">
        <f t="shared" ca="1" si="192"/>
        <v/>
      </c>
      <c r="F334" s="408" t="str">
        <f t="shared" ca="1" si="192"/>
        <v/>
      </c>
      <c r="G334" s="408" t="str">
        <f ca="1">IFERROR(INDEX(ListAndConversion!A:B,MATCH(Calculation!E334,ListAndConversion!A:A,0),2),"")</f>
        <v/>
      </c>
      <c r="H334" s="408" t="str">
        <f>IF(TrackIT_Lines!AD326="","",TrackIT_Lines!AD326)</f>
        <v/>
      </c>
      <c r="I334" s="408" t="str">
        <f>IF(TrackIT_Lines!AD326="","",CONCATENATE(TrackIT_Lines!AD326,"-",TrackIT_Lines!AG326))</f>
        <v/>
      </c>
      <c r="J334" s="409" t="str">
        <f t="shared" ca="1" si="193"/>
        <v/>
      </c>
      <c r="K334" s="408" t="str">
        <f t="shared" ca="1" si="193"/>
        <v/>
      </c>
      <c r="L334" s="408" t="str">
        <f t="shared" ca="1" si="193"/>
        <v/>
      </c>
      <c r="M334" s="408" t="str">
        <f t="shared" ca="1" si="193"/>
        <v/>
      </c>
      <c r="N334" s="408" t="str">
        <f t="shared" ca="1" si="193"/>
        <v/>
      </c>
      <c r="O334" s="408" t="str">
        <f t="shared" ca="1" si="193"/>
        <v/>
      </c>
      <c r="P334" s="408" t="str">
        <f t="shared" ca="1" si="193"/>
        <v/>
      </c>
      <c r="Q334" s="408" t="str">
        <f t="shared" ca="1" si="193"/>
        <v/>
      </c>
      <c r="R334" s="410" t="str">
        <f ca="1">Cluster!J353</f>
        <v>Selection</v>
      </c>
      <c r="S334" s="411" t="str">
        <f t="shared" ca="1" si="194"/>
        <v>-</v>
      </c>
      <c r="T334" s="412" t="str">
        <f t="shared" ca="1" si="195"/>
        <v/>
      </c>
      <c r="U334" s="411" t="str">
        <f t="shared" ca="1" si="196"/>
        <v>-</v>
      </c>
      <c r="V334" s="411" t="str">
        <f t="shared" ca="1" si="197"/>
        <v>-</v>
      </c>
      <c r="W334" s="413">
        <f>Cluster!N353</f>
        <v>0</v>
      </c>
      <c r="X334" s="414" t="str">
        <f t="shared" ca="1" si="198"/>
        <v>-</v>
      </c>
      <c r="Y334" s="411" t="str">
        <f t="shared" ca="1" si="199"/>
        <v>-</v>
      </c>
      <c r="Z334" s="415" t="str">
        <f t="shared" ca="1" si="200"/>
        <v>-</v>
      </c>
      <c r="AA334" s="416" t="str">
        <f t="shared" ca="1" si="201"/>
        <v>-</v>
      </c>
      <c r="AB334" s="416" t="str">
        <f t="shared" ca="1" si="202"/>
        <v/>
      </c>
      <c r="AC334" s="434">
        <f>Cluster!Q353</f>
        <v>0</v>
      </c>
      <c r="AD334" s="435" t="str">
        <f t="shared" ca="1" si="203"/>
        <v/>
      </c>
      <c r="AE334" s="436" t="str">
        <f t="shared" ca="1" si="203"/>
        <v/>
      </c>
      <c r="AF334" s="437" t="str">
        <f t="shared" ca="1" si="204"/>
        <v>-</v>
      </c>
      <c r="AG334" s="438" t="str">
        <f t="shared" ca="1" si="205"/>
        <v>-</v>
      </c>
      <c r="AH334" s="437" t="str">
        <f t="shared" ca="1" si="206"/>
        <v>-</v>
      </c>
      <c r="AI334" s="438" t="str">
        <f t="shared" ca="1" si="207"/>
        <v>-</v>
      </c>
      <c r="AJ334" s="438" t="str">
        <f t="shared" ca="1" si="208"/>
        <v>-</v>
      </c>
      <c r="AK334" s="439" t="str">
        <f ca="1">IFERROR(AE334*AD334*AL334/(IF(Cluster!AA353=Cluster!$W$8,Cluster!$W$10,IF(Cluster!AA353=Cluster!$X$8,Cluster!$X$10,IF(Cluster!AA353=Cluster!$Y$8,Cluster!$Y$10,0)))*10^3),"-")</f>
        <v>-</v>
      </c>
      <c r="AL334" s="440" t="str">
        <f ca="1">IFERROR(IF(OR(Calculation!T334&lt;(Calculation!$U$8+2),Calculation!AC334="Bypass"),IF((IF(Calculation!$O$6/((Calculation!AD334*10^-12)/(Calculation!T334*10^-9)*50)&lt;=1,1,ROUNDUP(Calculation!$O$6/((Calculation!AD334*10^-12)/(Calculation!T334*10^-9)*50),0))*50)&lt;Calculation!$AK$6,Calculation!$AK$6,IF(Calculation!$O$6/((Calculation!AD334*10^-12)/(Calculation!T334*10^-9)*50)&lt;=1,1,ROUNDUP(Calculation!$O$6/((Calculation!AD334*10^-12)/(Calculation!T334*10^-9)*50),0))*50),"-"),"-")</f>
        <v>-</v>
      </c>
      <c r="AM334" s="441" t="str">
        <f t="shared" ca="1" si="209"/>
        <v/>
      </c>
      <c r="AN334" s="442" t="str">
        <f t="shared" ca="1" si="209"/>
        <v/>
      </c>
      <c r="AO334" s="432">
        <f t="shared" ca="1" si="210"/>
        <v>384</v>
      </c>
      <c r="AP334" s="427" t="str">
        <f t="shared" ca="1" si="211"/>
        <v>-</v>
      </c>
      <c r="AQ334" s="443" t="str">
        <f t="shared" ca="1" si="212"/>
        <v>-</v>
      </c>
      <c r="AR334" s="444" t="str">
        <f t="shared" ca="1" si="213"/>
        <v>-</v>
      </c>
      <c r="AS334" s="430" t="str">
        <f t="shared" ca="1" si="214"/>
        <v>-</v>
      </c>
    </row>
    <row r="335" spans="1:45" ht="14.25" x14ac:dyDescent="0.65">
      <c r="A335" s="407">
        <v>327</v>
      </c>
      <c r="B335" s="408" t="str">
        <f t="shared" ca="1" si="191"/>
        <v/>
      </c>
      <c r="C335" s="408" t="str">
        <f ca="1">IFERROR(IF(G335="","",CONCATENATE(E335,"-",INDEX(Coordinate,MATCH(F335,ListAndConversion!$X$4:$X$99,0),2))),"")</f>
        <v/>
      </c>
      <c r="D335" s="408" t="str">
        <f t="shared" ca="1" si="192"/>
        <v/>
      </c>
      <c r="E335" s="408" t="str">
        <f t="shared" ca="1" si="192"/>
        <v/>
      </c>
      <c r="F335" s="408" t="str">
        <f t="shared" ca="1" si="192"/>
        <v/>
      </c>
      <c r="G335" s="408" t="str">
        <f ca="1">IFERROR(INDEX(ListAndConversion!A:B,MATCH(Calculation!E335,ListAndConversion!A:A,0),2),"")</f>
        <v/>
      </c>
      <c r="H335" s="408" t="str">
        <f>IF(TrackIT_Lines!AD327="","",TrackIT_Lines!AD327)</f>
        <v/>
      </c>
      <c r="I335" s="408" t="str">
        <f>IF(TrackIT_Lines!AD327="","",CONCATENATE(TrackIT_Lines!AD327,"-",TrackIT_Lines!AG327))</f>
        <v/>
      </c>
      <c r="J335" s="409" t="str">
        <f t="shared" ca="1" si="193"/>
        <v/>
      </c>
      <c r="K335" s="408" t="str">
        <f t="shared" ca="1" si="193"/>
        <v/>
      </c>
      <c r="L335" s="408" t="str">
        <f t="shared" ca="1" si="193"/>
        <v/>
      </c>
      <c r="M335" s="408" t="str">
        <f t="shared" ca="1" si="193"/>
        <v/>
      </c>
      <c r="N335" s="408" t="str">
        <f t="shared" ca="1" si="193"/>
        <v/>
      </c>
      <c r="O335" s="408" t="str">
        <f t="shared" ca="1" si="193"/>
        <v/>
      </c>
      <c r="P335" s="408" t="str">
        <f t="shared" ca="1" si="193"/>
        <v/>
      </c>
      <c r="Q335" s="408" t="str">
        <f t="shared" ca="1" si="193"/>
        <v/>
      </c>
      <c r="R335" s="410" t="str">
        <f ca="1">Cluster!J354</f>
        <v>Selection</v>
      </c>
      <c r="S335" s="411" t="str">
        <f t="shared" ca="1" si="194"/>
        <v>-</v>
      </c>
      <c r="T335" s="412" t="str">
        <f t="shared" ca="1" si="195"/>
        <v/>
      </c>
      <c r="U335" s="411" t="str">
        <f t="shared" ca="1" si="196"/>
        <v>-</v>
      </c>
      <c r="V335" s="411" t="str">
        <f t="shared" ca="1" si="197"/>
        <v>-</v>
      </c>
      <c r="W335" s="413">
        <f>Cluster!N354</f>
        <v>0</v>
      </c>
      <c r="X335" s="414" t="str">
        <f t="shared" ca="1" si="198"/>
        <v>-</v>
      </c>
      <c r="Y335" s="411" t="str">
        <f t="shared" ca="1" si="199"/>
        <v>-</v>
      </c>
      <c r="Z335" s="415" t="str">
        <f t="shared" ca="1" si="200"/>
        <v>-</v>
      </c>
      <c r="AA335" s="416" t="str">
        <f t="shared" ca="1" si="201"/>
        <v>-</v>
      </c>
      <c r="AB335" s="416" t="str">
        <f t="shared" ca="1" si="202"/>
        <v/>
      </c>
      <c r="AC335" s="434">
        <f>Cluster!Q354</f>
        <v>0</v>
      </c>
      <c r="AD335" s="435" t="str">
        <f t="shared" ca="1" si="203"/>
        <v/>
      </c>
      <c r="AE335" s="436" t="str">
        <f t="shared" ca="1" si="203"/>
        <v/>
      </c>
      <c r="AF335" s="437" t="str">
        <f t="shared" ca="1" si="204"/>
        <v>-</v>
      </c>
      <c r="AG335" s="438" t="str">
        <f t="shared" ca="1" si="205"/>
        <v>-</v>
      </c>
      <c r="AH335" s="437" t="str">
        <f t="shared" ca="1" si="206"/>
        <v>-</v>
      </c>
      <c r="AI335" s="438" t="str">
        <f t="shared" ca="1" si="207"/>
        <v>-</v>
      </c>
      <c r="AJ335" s="438" t="str">
        <f t="shared" ca="1" si="208"/>
        <v>-</v>
      </c>
      <c r="AK335" s="439" t="str">
        <f ca="1">IFERROR(AE335*AD335*AL335/(IF(Cluster!AA354=Cluster!$W$8,Cluster!$W$10,IF(Cluster!AA354=Cluster!$X$8,Cluster!$X$10,IF(Cluster!AA354=Cluster!$Y$8,Cluster!$Y$10,0)))*10^3),"-")</f>
        <v>-</v>
      </c>
      <c r="AL335" s="440" t="str">
        <f ca="1">IFERROR(IF(OR(Calculation!T335&lt;(Calculation!$U$8+2),Calculation!AC335="Bypass"),IF((IF(Calculation!$O$6/((Calculation!AD335*10^-12)/(Calculation!T335*10^-9)*50)&lt;=1,1,ROUNDUP(Calculation!$O$6/((Calculation!AD335*10^-12)/(Calculation!T335*10^-9)*50),0))*50)&lt;Calculation!$AK$6,Calculation!$AK$6,IF(Calculation!$O$6/((Calculation!AD335*10^-12)/(Calculation!T335*10^-9)*50)&lt;=1,1,ROUNDUP(Calculation!$O$6/((Calculation!AD335*10^-12)/(Calculation!T335*10^-9)*50),0))*50),"-"),"-")</f>
        <v>-</v>
      </c>
      <c r="AM335" s="441" t="str">
        <f t="shared" ca="1" si="209"/>
        <v/>
      </c>
      <c r="AN335" s="442" t="str">
        <f t="shared" ca="1" si="209"/>
        <v/>
      </c>
      <c r="AO335" s="432">
        <f t="shared" ca="1" si="210"/>
        <v>384</v>
      </c>
      <c r="AP335" s="427" t="str">
        <f t="shared" ca="1" si="211"/>
        <v>-</v>
      </c>
      <c r="AQ335" s="443" t="str">
        <f t="shared" ca="1" si="212"/>
        <v>-</v>
      </c>
      <c r="AR335" s="444" t="str">
        <f t="shared" ca="1" si="213"/>
        <v>-</v>
      </c>
      <c r="AS335" s="430" t="str">
        <f t="shared" ca="1" si="214"/>
        <v>-</v>
      </c>
    </row>
    <row r="336" spans="1:45" ht="14.25" x14ac:dyDescent="0.65">
      <c r="A336" s="407">
        <v>328</v>
      </c>
      <c r="B336" s="408" t="str">
        <f t="shared" ca="1" si="191"/>
        <v/>
      </c>
      <c r="C336" s="408" t="str">
        <f ca="1">IFERROR(IF(G336="","",CONCATENATE(E336,"-",INDEX(Coordinate,MATCH(F336,ListAndConversion!$X$4:$X$99,0),2))),"")</f>
        <v/>
      </c>
      <c r="D336" s="408" t="str">
        <f t="shared" ca="1" si="192"/>
        <v/>
      </c>
      <c r="E336" s="408" t="str">
        <f t="shared" ca="1" si="192"/>
        <v/>
      </c>
      <c r="F336" s="408" t="str">
        <f t="shared" ca="1" si="192"/>
        <v/>
      </c>
      <c r="G336" s="408" t="str">
        <f ca="1">IFERROR(INDEX(ListAndConversion!A:B,MATCH(Calculation!E336,ListAndConversion!A:A,0),2),"")</f>
        <v/>
      </c>
      <c r="H336" s="408" t="str">
        <f>IF(TrackIT_Lines!AD328="","",TrackIT_Lines!AD328)</f>
        <v/>
      </c>
      <c r="I336" s="408" t="str">
        <f>IF(TrackIT_Lines!AD328="","",CONCATENATE(TrackIT_Lines!AD328,"-",TrackIT_Lines!AG328))</f>
        <v/>
      </c>
      <c r="J336" s="409" t="str">
        <f t="shared" ca="1" si="193"/>
        <v/>
      </c>
      <c r="K336" s="408" t="str">
        <f t="shared" ca="1" si="193"/>
        <v/>
      </c>
      <c r="L336" s="408" t="str">
        <f t="shared" ca="1" si="193"/>
        <v/>
      </c>
      <c r="M336" s="408" t="str">
        <f t="shared" ca="1" si="193"/>
        <v/>
      </c>
      <c r="N336" s="408" t="str">
        <f t="shared" ca="1" si="193"/>
        <v/>
      </c>
      <c r="O336" s="408" t="str">
        <f t="shared" ca="1" si="193"/>
        <v/>
      </c>
      <c r="P336" s="408" t="str">
        <f t="shared" ca="1" si="193"/>
        <v/>
      </c>
      <c r="Q336" s="408" t="str">
        <f t="shared" ca="1" si="193"/>
        <v/>
      </c>
      <c r="R336" s="410" t="str">
        <f ca="1">Cluster!J355</f>
        <v>Selection</v>
      </c>
      <c r="S336" s="411" t="str">
        <f t="shared" ca="1" si="194"/>
        <v>-</v>
      </c>
      <c r="T336" s="412" t="str">
        <f t="shared" ca="1" si="195"/>
        <v/>
      </c>
      <c r="U336" s="411" t="str">
        <f t="shared" ca="1" si="196"/>
        <v>-</v>
      </c>
      <c r="V336" s="411" t="str">
        <f t="shared" ca="1" si="197"/>
        <v>-</v>
      </c>
      <c r="W336" s="413">
        <f>Cluster!N355</f>
        <v>0</v>
      </c>
      <c r="X336" s="414" t="str">
        <f t="shared" ca="1" si="198"/>
        <v>-</v>
      </c>
      <c r="Y336" s="411" t="str">
        <f t="shared" ca="1" si="199"/>
        <v>-</v>
      </c>
      <c r="Z336" s="415" t="str">
        <f t="shared" ca="1" si="200"/>
        <v>-</v>
      </c>
      <c r="AA336" s="416" t="str">
        <f t="shared" ca="1" si="201"/>
        <v>-</v>
      </c>
      <c r="AB336" s="416" t="str">
        <f t="shared" ca="1" si="202"/>
        <v/>
      </c>
      <c r="AC336" s="434">
        <f>Cluster!Q355</f>
        <v>0</v>
      </c>
      <c r="AD336" s="435" t="str">
        <f t="shared" ca="1" si="203"/>
        <v/>
      </c>
      <c r="AE336" s="436" t="str">
        <f t="shared" ca="1" si="203"/>
        <v/>
      </c>
      <c r="AF336" s="437" t="str">
        <f t="shared" ca="1" si="204"/>
        <v>-</v>
      </c>
      <c r="AG336" s="438" t="str">
        <f t="shared" ca="1" si="205"/>
        <v>-</v>
      </c>
      <c r="AH336" s="437" t="str">
        <f t="shared" ca="1" si="206"/>
        <v>-</v>
      </c>
      <c r="AI336" s="438" t="str">
        <f t="shared" ca="1" si="207"/>
        <v>-</v>
      </c>
      <c r="AJ336" s="438" t="str">
        <f t="shared" ca="1" si="208"/>
        <v>-</v>
      </c>
      <c r="AK336" s="439" t="str">
        <f ca="1">IFERROR(AE336*AD336*AL336/(IF(Cluster!AA355=Cluster!$W$8,Cluster!$W$10,IF(Cluster!AA355=Cluster!$X$8,Cluster!$X$10,IF(Cluster!AA355=Cluster!$Y$8,Cluster!$Y$10,0)))*10^3),"-")</f>
        <v>-</v>
      </c>
      <c r="AL336" s="440" t="str">
        <f ca="1">IFERROR(IF(OR(Calculation!T336&lt;(Calculation!$U$8+2),Calculation!AC336="Bypass"),IF((IF(Calculation!$O$6/((Calculation!AD336*10^-12)/(Calculation!T336*10^-9)*50)&lt;=1,1,ROUNDUP(Calculation!$O$6/((Calculation!AD336*10^-12)/(Calculation!T336*10^-9)*50),0))*50)&lt;Calculation!$AK$6,Calculation!$AK$6,IF(Calculation!$O$6/((Calculation!AD336*10^-12)/(Calculation!T336*10^-9)*50)&lt;=1,1,ROUNDUP(Calculation!$O$6/((Calculation!AD336*10^-12)/(Calculation!T336*10^-9)*50),0))*50),"-"),"-")</f>
        <v>-</v>
      </c>
      <c r="AM336" s="441" t="str">
        <f t="shared" ca="1" si="209"/>
        <v/>
      </c>
      <c r="AN336" s="442" t="str">
        <f t="shared" ca="1" si="209"/>
        <v/>
      </c>
      <c r="AO336" s="432">
        <f t="shared" ca="1" si="210"/>
        <v>384</v>
      </c>
      <c r="AP336" s="427" t="str">
        <f t="shared" ca="1" si="211"/>
        <v>-</v>
      </c>
      <c r="AQ336" s="443" t="str">
        <f t="shared" ca="1" si="212"/>
        <v>-</v>
      </c>
      <c r="AR336" s="444" t="str">
        <f t="shared" ca="1" si="213"/>
        <v>-</v>
      </c>
      <c r="AS336" s="430" t="str">
        <f t="shared" ca="1" si="214"/>
        <v>-</v>
      </c>
    </row>
    <row r="337" spans="1:45" ht="14.25" x14ac:dyDescent="0.65">
      <c r="A337" s="407">
        <v>329</v>
      </c>
      <c r="B337" s="408" t="str">
        <f t="shared" ca="1" si="191"/>
        <v/>
      </c>
      <c r="C337" s="408" t="str">
        <f ca="1">IFERROR(IF(G337="","",CONCATENATE(E337,"-",INDEX(Coordinate,MATCH(F337,ListAndConversion!$X$4:$X$99,0),2))),"")</f>
        <v/>
      </c>
      <c r="D337" s="408" t="str">
        <f t="shared" ca="1" si="192"/>
        <v/>
      </c>
      <c r="E337" s="408" t="str">
        <f t="shared" ca="1" si="192"/>
        <v/>
      </c>
      <c r="F337" s="408" t="str">
        <f t="shared" ca="1" si="192"/>
        <v/>
      </c>
      <c r="G337" s="408" t="str">
        <f ca="1">IFERROR(INDEX(ListAndConversion!A:B,MATCH(Calculation!E337,ListAndConversion!A:A,0),2),"")</f>
        <v/>
      </c>
      <c r="H337" s="408" t="str">
        <f>IF(TrackIT_Lines!AD329="","",TrackIT_Lines!AD329)</f>
        <v/>
      </c>
      <c r="I337" s="408" t="str">
        <f>IF(TrackIT_Lines!AD329="","",CONCATENATE(TrackIT_Lines!AD329,"-",TrackIT_Lines!AG329))</f>
        <v/>
      </c>
      <c r="J337" s="409" t="str">
        <f t="shared" ca="1" si="193"/>
        <v/>
      </c>
      <c r="K337" s="408" t="str">
        <f t="shared" ca="1" si="193"/>
        <v/>
      </c>
      <c r="L337" s="408" t="str">
        <f t="shared" ca="1" si="193"/>
        <v/>
      </c>
      <c r="M337" s="408" t="str">
        <f t="shared" ca="1" si="193"/>
        <v/>
      </c>
      <c r="N337" s="408" t="str">
        <f t="shared" ca="1" si="193"/>
        <v/>
      </c>
      <c r="O337" s="408" t="str">
        <f t="shared" ca="1" si="193"/>
        <v/>
      </c>
      <c r="P337" s="408" t="str">
        <f t="shared" ca="1" si="193"/>
        <v/>
      </c>
      <c r="Q337" s="408" t="str">
        <f t="shared" ca="1" si="193"/>
        <v/>
      </c>
      <c r="R337" s="410" t="str">
        <f ca="1">Cluster!J356</f>
        <v>Selection</v>
      </c>
      <c r="S337" s="411" t="str">
        <f t="shared" ca="1" si="194"/>
        <v>-</v>
      </c>
      <c r="T337" s="412" t="str">
        <f t="shared" ca="1" si="195"/>
        <v/>
      </c>
      <c r="U337" s="411" t="str">
        <f t="shared" ca="1" si="196"/>
        <v>-</v>
      </c>
      <c r="V337" s="411" t="str">
        <f t="shared" ca="1" si="197"/>
        <v>-</v>
      </c>
      <c r="W337" s="413">
        <f>Cluster!N356</f>
        <v>0</v>
      </c>
      <c r="X337" s="414" t="str">
        <f t="shared" ca="1" si="198"/>
        <v>-</v>
      </c>
      <c r="Y337" s="411" t="str">
        <f t="shared" ca="1" si="199"/>
        <v>-</v>
      </c>
      <c r="Z337" s="415" t="str">
        <f t="shared" ca="1" si="200"/>
        <v>-</v>
      </c>
      <c r="AA337" s="416" t="str">
        <f t="shared" ca="1" si="201"/>
        <v>-</v>
      </c>
      <c r="AB337" s="416" t="str">
        <f t="shared" ca="1" si="202"/>
        <v/>
      </c>
      <c r="AC337" s="434">
        <f>Cluster!Q356</f>
        <v>0</v>
      </c>
      <c r="AD337" s="435" t="str">
        <f t="shared" ca="1" si="203"/>
        <v/>
      </c>
      <c r="AE337" s="436" t="str">
        <f t="shared" ca="1" si="203"/>
        <v/>
      </c>
      <c r="AF337" s="437" t="str">
        <f t="shared" ca="1" si="204"/>
        <v>-</v>
      </c>
      <c r="AG337" s="438" t="str">
        <f t="shared" ca="1" si="205"/>
        <v>-</v>
      </c>
      <c r="AH337" s="437" t="str">
        <f t="shared" ca="1" si="206"/>
        <v>-</v>
      </c>
      <c r="AI337" s="438" t="str">
        <f t="shared" ca="1" si="207"/>
        <v>-</v>
      </c>
      <c r="AJ337" s="438" t="str">
        <f t="shared" ca="1" si="208"/>
        <v>-</v>
      </c>
      <c r="AK337" s="439" t="str">
        <f ca="1">IFERROR(AE337*AD337*AL337/(IF(Cluster!AA356=Cluster!$W$8,Cluster!$W$10,IF(Cluster!AA356=Cluster!$X$8,Cluster!$X$10,IF(Cluster!AA356=Cluster!$Y$8,Cluster!$Y$10,0)))*10^3),"-")</f>
        <v>-</v>
      </c>
      <c r="AL337" s="440" t="str">
        <f ca="1">IFERROR(IF(OR(Calculation!T337&lt;(Calculation!$U$8+2),Calculation!AC337="Bypass"),IF((IF(Calculation!$O$6/((Calculation!AD337*10^-12)/(Calculation!T337*10^-9)*50)&lt;=1,1,ROUNDUP(Calculation!$O$6/((Calculation!AD337*10^-12)/(Calculation!T337*10^-9)*50),0))*50)&lt;Calculation!$AK$6,Calculation!$AK$6,IF(Calculation!$O$6/((Calculation!AD337*10^-12)/(Calculation!T337*10^-9)*50)&lt;=1,1,ROUNDUP(Calculation!$O$6/((Calculation!AD337*10^-12)/(Calculation!T337*10^-9)*50),0))*50),"-"),"-")</f>
        <v>-</v>
      </c>
      <c r="AM337" s="441" t="str">
        <f t="shared" ca="1" si="209"/>
        <v/>
      </c>
      <c r="AN337" s="442" t="str">
        <f t="shared" ca="1" si="209"/>
        <v/>
      </c>
      <c r="AO337" s="432">
        <f t="shared" ca="1" si="210"/>
        <v>384</v>
      </c>
      <c r="AP337" s="427" t="str">
        <f t="shared" ca="1" si="211"/>
        <v>-</v>
      </c>
      <c r="AQ337" s="443" t="str">
        <f t="shared" ca="1" si="212"/>
        <v>-</v>
      </c>
      <c r="AR337" s="444" t="str">
        <f t="shared" ca="1" si="213"/>
        <v>-</v>
      </c>
      <c r="AS337" s="430" t="str">
        <f t="shared" ca="1" si="214"/>
        <v>-</v>
      </c>
    </row>
    <row r="338" spans="1:45" ht="14.25" x14ac:dyDescent="0.65">
      <c r="A338" s="407">
        <v>330</v>
      </c>
      <c r="B338" s="408" t="str">
        <f t="shared" ca="1" si="191"/>
        <v/>
      </c>
      <c r="C338" s="408" t="str">
        <f ca="1">IFERROR(IF(G338="","",CONCATENATE(E338,"-",INDEX(Coordinate,MATCH(F338,ListAndConversion!$X$4:$X$99,0),2))),"")</f>
        <v/>
      </c>
      <c r="D338" s="408" t="str">
        <f t="shared" ca="1" si="192"/>
        <v/>
      </c>
      <c r="E338" s="408" t="str">
        <f t="shared" ca="1" si="192"/>
        <v/>
      </c>
      <c r="F338" s="408" t="str">
        <f t="shared" ca="1" si="192"/>
        <v/>
      </c>
      <c r="G338" s="408" t="str">
        <f ca="1">IFERROR(INDEX(ListAndConversion!A:B,MATCH(Calculation!E338,ListAndConversion!A:A,0),2),"")</f>
        <v/>
      </c>
      <c r="H338" s="408" t="str">
        <f>IF(TrackIT_Lines!AD330="","",TrackIT_Lines!AD330)</f>
        <v/>
      </c>
      <c r="I338" s="408" t="str">
        <f>IF(TrackIT_Lines!AD330="","",CONCATENATE(TrackIT_Lines!AD330,"-",TrackIT_Lines!AG330))</f>
        <v/>
      </c>
      <c r="J338" s="409" t="str">
        <f t="shared" ca="1" si="193"/>
        <v/>
      </c>
      <c r="K338" s="408" t="str">
        <f t="shared" ca="1" si="193"/>
        <v/>
      </c>
      <c r="L338" s="408" t="str">
        <f t="shared" ca="1" si="193"/>
        <v/>
      </c>
      <c r="M338" s="408" t="str">
        <f t="shared" ca="1" si="193"/>
        <v/>
      </c>
      <c r="N338" s="408" t="str">
        <f t="shared" ca="1" si="193"/>
        <v/>
      </c>
      <c r="O338" s="408" t="str">
        <f t="shared" ca="1" si="193"/>
        <v/>
      </c>
      <c r="P338" s="408" t="str">
        <f t="shared" ca="1" si="193"/>
        <v/>
      </c>
      <c r="Q338" s="408" t="str">
        <f t="shared" ca="1" si="193"/>
        <v/>
      </c>
      <c r="R338" s="410" t="str">
        <f ca="1">Cluster!J357</f>
        <v>Selection</v>
      </c>
      <c r="S338" s="411" t="str">
        <f t="shared" ca="1" si="194"/>
        <v>-</v>
      </c>
      <c r="T338" s="412" t="str">
        <f t="shared" ca="1" si="195"/>
        <v/>
      </c>
      <c r="U338" s="411" t="str">
        <f t="shared" ca="1" si="196"/>
        <v>-</v>
      </c>
      <c r="V338" s="411" t="str">
        <f t="shared" ca="1" si="197"/>
        <v>-</v>
      </c>
      <c r="W338" s="413">
        <f>Cluster!N357</f>
        <v>0</v>
      </c>
      <c r="X338" s="414" t="str">
        <f t="shared" ca="1" si="198"/>
        <v>-</v>
      </c>
      <c r="Y338" s="411" t="str">
        <f t="shared" ca="1" si="199"/>
        <v>-</v>
      </c>
      <c r="Z338" s="415" t="str">
        <f t="shared" ca="1" si="200"/>
        <v>-</v>
      </c>
      <c r="AA338" s="416" t="str">
        <f t="shared" ca="1" si="201"/>
        <v>-</v>
      </c>
      <c r="AB338" s="416" t="str">
        <f t="shared" ca="1" si="202"/>
        <v/>
      </c>
      <c r="AC338" s="434">
        <f>Cluster!Q357</f>
        <v>0</v>
      </c>
      <c r="AD338" s="435" t="str">
        <f t="shared" ca="1" si="203"/>
        <v/>
      </c>
      <c r="AE338" s="436" t="str">
        <f t="shared" ca="1" si="203"/>
        <v/>
      </c>
      <c r="AF338" s="437" t="str">
        <f t="shared" ca="1" si="204"/>
        <v>-</v>
      </c>
      <c r="AG338" s="438" t="str">
        <f t="shared" ca="1" si="205"/>
        <v>-</v>
      </c>
      <c r="AH338" s="437" t="str">
        <f t="shared" ca="1" si="206"/>
        <v>-</v>
      </c>
      <c r="AI338" s="438" t="str">
        <f t="shared" ca="1" si="207"/>
        <v>-</v>
      </c>
      <c r="AJ338" s="438" t="str">
        <f t="shared" ca="1" si="208"/>
        <v>-</v>
      </c>
      <c r="AK338" s="439" t="str">
        <f ca="1">IFERROR(AE338*AD338*AL338/(IF(Cluster!AA357=Cluster!$W$8,Cluster!$W$10,IF(Cluster!AA357=Cluster!$X$8,Cluster!$X$10,IF(Cluster!AA357=Cluster!$Y$8,Cluster!$Y$10,0)))*10^3),"-")</f>
        <v>-</v>
      </c>
      <c r="AL338" s="440" t="str">
        <f ca="1">IFERROR(IF(OR(Calculation!T338&lt;(Calculation!$U$8+2),Calculation!AC338="Bypass"),IF((IF(Calculation!$O$6/((Calculation!AD338*10^-12)/(Calculation!T338*10^-9)*50)&lt;=1,1,ROUNDUP(Calculation!$O$6/((Calculation!AD338*10^-12)/(Calculation!T338*10^-9)*50),0))*50)&lt;Calculation!$AK$6,Calculation!$AK$6,IF(Calculation!$O$6/((Calculation!AD338*10^-12)/(Calculation!T338*10^-9)*50)&lt;=1,1,ROUNDUP(Calculation!$O$6/((Calculation!AD338*10^-12)/(Calculation!T338*10^-9)*50),0))*50),"-"),"-")</f>
        <v>-</v>
      </c>
      <c r="AM338" s="441" t="str">
        <f t="shared" ca="1" si="209"/>
        <v/>
      </c>
      <c r="AN338" s="442" t="str">
        <f t="shared" ca="1" si="209"/>
        <v/>
      </c>
      <c r="AO338" s="432">
        <f t="shared" ca="1" si="210"/>
        <v>384</v>
      </c>
      <c r="AP338" s="427" t="str">
        <f t="shared" ca="1" si="211"/>
        <v>-</v>
      </c>
      <c r="AQ338" s="443" t="str">
        <f t="shared" ca="1" si="212"/>
        <v>-</v>
      </c>
      <c r="AR338" s="444" t="str">
        <f t="shared" ca="1" si="213"/>
        <v>-</v>
      </c>
      <c r="AS338" s="430" t="str">
        <f t="shared" ca="1" si="214"/>
        <v>-</v>
      </c>
    </row>
    <row r="339" spans="1:45" ht="14.25" x14ac:dyDescent="0.65">
      <c r="A339" s="407">
        <v>331</v>
      </c>
      <c r="B339" s="408" t="str">
        <f t="shared" ca="1" si="191"/>
        <v/>
      </c>
      <c r="C339" s="408" t="str">
        <f ca="1">IFERROR(IF(G339="","",CONCATENATE(E339,"-",INDEX(Coordinate,MATCH(F339,ListAndConversion!$X$4:$X$99,0),2))),"")</f>
        <v/>
      </c>
      <c r="D339" s="408" t="str">
        <f t="shared" ca="1" si="192"/>
        <v/>
      </c>
      <c r="E339" s="408" t="str">
        <f t="shared" ca="1" si="192"/>
        <v/>
      </c>
      <c r="F339" s="408" t="str">
        <f t="shared" ca="1" si="192"/>
        <v/>
      </c>
      <c r="G339" s="408" t="str">
        <f ca="1">IFERROR(INDEX(ListAndConversion!A:B,MATCH(Calculation!E339,ListAndConversion!A:A,0),2),"")</f>
        <v/>
      </c>
      <c r="H339" s="408" t="str">
        <f>IF(TrackIT_Lines!AD331="","",TrackIT_Lines!AD331)</f>
        <v/>
      </c>
      <c r="I339" s="408" t="str">
        <f>IF(TrackIT_Lines!AD331="","",CONCATENATE(TrackIT_Lines!AD331,"-",TrackIT_Lines!AG331))</f>
        <v/>
      </c>
      <c r="J339" s="409" t="str">
        <f t="shared" ca="1" si="193"/>
        <v/>
      </c>
      <c r="K339" s="408" t="str">
        <f t="shared" ca="1" si="193"/>
        <v/>
      </c>
      <c r="L339" s="408" t="str">
        <f t="shared" ca="1" si="193"/>
        <v/>
      </c>
      <c r="M339" s="408" t="str">
        <f t="shared" ca="1" si="193"/>
        <v/>
      </c>
      <c r="N339" s="408" t="str">
        <f t="shared" ca="1" si="193"/>
        <v/>
      </c>
      <c r="O339" s="408" t="str">
        <f t="shared" ca="1" si="193"/>
        <v/>
      </c>
      <c r="P339" s="408" t="str">
        <f t="shared" ca="1" si="193"/>
        <v/>
      </c>
      <c r="Q339" s="408" t="str">
        <f t="shared" ca="1" si="193"/>
        <v/>
      </c>
      <c r="R339" s="410" t="str">
        <f ca="1">Cluster!J358</f>
        <v>Selection</v>
      </c>
      <c r="S339" s="411" t="str">
        <f t="shared" ca="1" si="194"/>
        <v>-</v>
      </c>
      <c r="T339" s="412" t="str">
        <f t="shared" ca="1" si="195"/>
        <v/>
      </c>
      <c r="U339" s="411" t="str">
        <f t="shared" ca="1" si="196"/>
        <v>-</v>
      </c>
      <c r="V339" s="411" t="str">
        <f t="shared" ca="1" si="197"/>
        <v>-</v>
      </c>
      <c r="W339" s="413">
        <f>Cluster!N358</f>
        <v>0</v>
      </c>
      <c r="X339" s="414" t="str">
        <f t="shared" ca="1" si="198"/>
        <v>-</v>
      </c>
      <c r="Y339" s="411" t="str">
        <f t="shared" ca="1" si="199"/>
        <v>-</v>
      </c>
      <c r="Z339" s="415" t="str">
        <f t="shared" ca="1" si="200"/>
        <v>-</v>
      </c>
      <c r="AA339" s="416" t="str">
        <f t="shared" ca="1" si="201"/>
        <v>-</v>
      </c>
      <c r="AB339" s="416" t="str">
        <f t="shared" ca="1" si="202"/>
        <v/>
      </c>
      <c r="AC339" s="434">
        <f>Cluster!Q358</f>
        <v>0</v>
      </c>
      <c r="AD339" s="435" t="str">
        <f t="shared" ca="1" si="203"/>
        <v/>
      </c>
      <c r="AE339" s="436" t="str">
        <f t="shared" ca="1" si="203"/>
        <v/>
      </c>
      <c r="AF339" s="437" t="str">
        <f t="shared" ca="1" si="204"/>
        <v>-</v>
      </c>
      <c r="AG339" s="438" t="str">
        <f t="shared" ca="1" si="205"/>
        <v>-</v>
      </c>
      <c r="AH339" s="437" t="str">
        <f t="shared" ca="1" si="206"/>
        <v>-</v>
      </c>
      <c r="AI339" s="438" t="str">
        <f t="shared" ca="1" si="207"/>
        <v>-</v>
      </c>
      <c r="AJ339" s="438" t="str">
        <f t="shared" ca="1" si="208"/>
        <v>-</v>
      </c>
      <c r="AK339" s="439" t="str">
        <f ca="1">IFERROR(AE339*AD339*AL339/(IF(Cluster!AA358=Cluster!$W$8,Cluster!$W$10,IF(Cluster!AA358=Cluster!$X$8,Cluster!$X$10,IF(Cluster!AA358=Cluster!$Y$8,Cluster!$Y$10,0)))*10^3),"-")</f>
        <v>-</v>
      </c>
      <c r="AL339" s="440" t="str">
        <f ca="1">IFERROR(IF(OR(Calculation!T339&lt;(Calculation!$U$8+2),Calculation!AC339="Bypass"),IF((IF(Calculation!$O$6/((Calculation!AD339*10^-12)/(Calculation!T339*10^-9)*50)&lt;=1,1,ROUNDUP(Calculation!$O$6/((Calculation!AD339*10^-12)/(Calculation!T339*10^-9)*50),0))*50)&lt;Calculation!$AK$6,Calculation!$AK$6,IF(Calculation!$O$6/((Calculation!AD339*10^-12)/(Calculation!T339*10^-9)*50)&lt;=1,1,ROUNDUP(Calculation!$O$6/((Calculation!AD339*10^-12)/(Calculation!T339*10^-9)*50),0))*50),"-"),"-")</f>
        <v>-</v>
      </c>
      <c r="AM339" s="441" t="str">
        <f t="shared" ca="1" si="209"/>
        <v/>
      </c>
      <c r="AN339" s="442" t="str">
        <f t="shared" ca="1" si="209"/>
        <v/>
      </c>
      <c r="AO339" s="432">
        <f t="shared" ca="1" si="210"/>
        <v>384</v>
      </c>
      <c r="AP339" s="427" t="str">
        <f t="shared" ca="1" si="211"/>
        <v>-</v>
      </c>
      <c r="AQ339" s="443" t="str">
        <f t="shared" ca="1" si="212"/>
        <v>-</v>
      </c>
      <c r="AR339" s="444" t="str">
        <f t="shared" ca="1" si="213"/>
        <v>-</v>
      </c>
      <c r="AS339" s="430" t="str">
        <f t="shared" ca="1" si="214"/>
        <v>-</v>
      </c>
    </row>
    <row r="340" spans="1:45" ht="14.25" x14ac:dyDescent="0.65">
      <c r="A340" s="407">
        <v>332</v>
      </c>
      <c r="B340" s="408" t="str">
        <f t="shared" ca="1" si="191"/>
        <v/>
      </c>
      <c r="C340" s="408" t="str">
        <f ca="1">IFERROR(IF(G340="","",CONCATENATE(E340,"-",INDEX(Coordinate,MATCH(F340,ListAndConversion!$X$4:$X$99,0),2))),"")</f>
        <v/>
      </c>
      <c r="D340" s="408" t="str">
        <f t="shared" ca="1" si="192"/>
        <v/>
      </c>
      <c r="E340" s="408" t="str">
        <f t="shared" ca="1" si="192"/>
        <v/>
      </c>
      <c r="F340" s="408" t="str">
        <f t="shared" ca="1" si="192"/>
        <v/>
      </c>
      <c r="G340" s="408" t="str">
        <f ca="1">IFERROR(INDEX(ListAndConversion!A:B,MATCH(Calculation!E340,ListAndConversion!A:A,0),2),"")</f>
        <v/>
      </c>
      <c r="H340" s="408" t="str">
        <f>IF(TrackIT_Lines!AD332="","",TrackIT_Lines!AD332)</f>
        <v/>
      </c>
      <c r="I340" s="408" t="str">
        <f>IF(TrackIT_Lines!AD332="","",CONCATENATE(TrackIT_Lines!AD332,"-",TrackIT_Lines!AG332))</f>
        <v/>
      </c>
      <c r="J340" s="409" t="str">
        <f t="shared" ref="J340:Q349" ca="1" si="215">IF((INDIRECT("TrackIT_Lines!"&amp;J$2&amp;$A340))="","", (INDIRECT("TrackIT_Lines!"&amp;J$2&amp;$A340)))</f>
        <v/>
      </c>
      <c r="K340" s="408" t="str">
        <f t="shared" ca="1" si="215"/>
        <v/>
      </c>
      <c r="L340" s="408" t="str">
        <f t="shared" ca="1" si="215"/>
        <v/>
      </c>
      <c r="M340" s="408" t="str">
        <f t="shared" ca="1" si="215"/>
        <v/>
      </c>
      <c r="N340" s="408" t="str">
        <f t="shared" ca="1" si="215"/>
        <v/>
      </c>
      <c r="O340" s="408" t="str">
        <f t="shared" ca="1" si="215"/>
        <v/>
      </c>
      <c r="P340" s="408" t="str">
        <f t="shared" ca="1" si="215"/>
        <v/>
      </c>
      <c r="Q340" s="408" t="str">
        <f t="shared" ca="1" si="215"/>
        <v/>
      </c>
      <c r="R340" s="410" t="str">
        <f ca="1">Cluster!J359</f>
        <v>Selection</v>
      </c>
      <c r="S340" s="411" t="str">
        <f t="shared" ca="1" si="194"/>
        <v>-</v>
      </c>
      <c r="T340" s="412" t="str">
        <f t="shared" ca="1" si="195"/>
        <v/>
      </c>
      <c r="U340" s="411" t="str">
        <f t="shared" ca="1" si="196"/>
        <v>-</v>
      </c>
      <c r="V340" s="411" t="str">
        <f t="shared" ca="1" si="197"/>
        <v>-</v>
      </c>
      <c r="W340" s="413">
        <f>Cluster!N359</f>
        <v>0</v>
      </c>
      <c r="X340" s="414" t="str">
        <f t="shared" ca="1" si="198"/>
        <v>-</v>
      </c>
      <c r="Y340" s="411" t="str">
        <f t="shared" ca="1" si="199"/>
        <v>-</v>
      </c>
      <c r="Z340" s="415" t="str">
        <f t="shared" ca="1" si="200"/>
        <v>-</v>
      </c>
      <c r="AA340" s="416" t="str">
        <f t="shared" ca="1" si="201"/>
        <v>-</v>
      </c>
      <c r="AB340" s="416" t="str">
        <f t="shared" ca="1" si="202"/>
        <v/>
      </c>
      <c r="AC340" s="434">
        <f>Cluster!Q359</f>
        <v>0</v>
      </c>
      <c r="AD340" s="435" t="str">
        <f t="shared" ca="1" si="203"/>
        <v/>
      </c>
      <c r="AE340" s="436" t="str">
        <f t="shared" ca="1" si="203"/>
        <v/>
      </c>
      <c r="AF340" s="437" t="str">
        <f t="shared" ca="1" si="204"/>
        <v>-</v>
      </c>
      <c r="AG340" s="438" t="str">
        <f t="shared" ca="1" si="205"/>
        <v>-</v>
      </c>
      <c r="AH340" s="437" t="str">
        <f t="shared" ca="1" si="206"/>
        <v>-</v>
      </c>
      <c r="AI340" s="438" t="str">
        <f t="shared" ca="1" si="207"/>
        <v>-</v>
      </c>
      <c r="AJ340" s="438" t="str">
        <f t="shared" ca="1" si="208"/>
        <v>-</v>
      </c>
      <c r="AK340" s="439" t="str">
        <f ca="1">IFERROR(AE340*AD340*AL340/(IF(Cluster!AA359=Cluster!$W$8,Cluster!$W$10,IF(Cluster!AA359=Cluster!$X$8,Cluster!$X$10,IF(Cluster!AA359=Cluster!$Y$8,Cluster!$Y$10,0)))*10^3),"-")</f>
        <v>-</v>
      </c>
      <c r="AL340" s="440" t="str">
        <f ca="1">IFERROR(IF(OR(Calculation!T340&lt;(Calculation!$U$8+2),Calculation!AC340="Bypass"),IF((IF(Calculation!$O$6/((Calculation!AD340*10^-12)/(Calculation!T340*10^-9)*50)&lt;=1,1,ROUNDUP(Calculation!$O$6/((Calculation!AD340*10^-12)/(Calculation!T340*10^-9)*50),0))*50)&lt;Calculation!$AK$6,Calculation!$AK$6,IF(Calculation!$O$6/((Calculation!AD340*10^-12)/(Calculation!T340*10^-9)*50)&lt;=1,1,ROUNDUP(Calculation!$O$6/((Calculation!AD340*10^-12)/(Calculation!T340*10^-9)*50),0))*50),"-"),"-")</f>
        <v>-</v>
      </c>
      <c r="AM340" s="441" t="str">
        <f t="shared" ca="1" si="209"/>
        <v/>
      </c>
      <c r="AN340" s="442" t="str">
        <f t="shared" ca="1" si="209"/>
        <v/>
      </c>
      <c r="AO340" s="432">
        <f t="shared" ca="1" si="210"/>
        <v>384</v>
      </c>
      <c r="AP340" s="427" t="str">
        <f t="shared" ca="1" si="211"/>
        <v>-</v>
      </c>
      <c r="AQ340" s="443" t="str">
        <f t="shared" ca="1" si="212"/>
        <v>-</v>
      </c>
      <c r="AR340" s="444" t="str">
        <f t="shared" ca="1" si="213"/>
        <v>-</v>
      </c>
      <c r="AS340" s="430" t="str">
        <f t="shared" ca="1" si="214"/>
        <v>-</v>
      </c>
    </row>
    <row r="341" spans="1:45" ht="14.25" x14ac:dyDescent="0.65">
      <c r="A341" s="407">
        <v>333</v>
      </c>
      <c r="B341" s="408" t="str">
        <f t="shared" ca="1" si="191"/>
        <v/>
      </c>
      <c r="C341" s="408" t="str">
        <f ca="1">IFERROR(IF(G341="","",CONCATENATE(E341,"-",INDEX(Coordinate,MATCH(F341,ListAndConversion!$X$4:$X$99,0),2))),"")</f>
        <v/>
      </c>
      <c r="D341" s="408" t="str">
        <f t="shared" ca="1" si="192"/>
        <v/>
      </c>
      <c r="E341" s="408" t="str">
        <f t="shared" ca="1" si="192"/>
        <v/>
      </c>
      <c r="F341" s="408" t="str">
        <f t="shared" ca="1" si="192"/>
        <v/>
      </c>
      <c r="G341" s="408" t="str">
        <f ca="1">IFERROR(INDEX(ListAndConversion!A:B,MATCH(Calculation!E341,ListAndConversion!A:A,0),2),"")</f>
        <v/>
      </c>
      <c r="H341" s="408" t="str">
        <f>IF(TrackIT_Lines!AD333="","",TrackIT_Lines!AD333)</f>
        <v/>
      </c>
      <c r="I341" s="408" t="str">
        <f>IF(TrackIT_Lines!AD333="","",CONCATENATE(TrackIT_Lines!AD333,"-",TrackIT_Lines!AG333))</f>
        <v/>
      </c>
      <c r="J341" s="409" t="str">
        <f t="shared" ca="1" si="215"/>
        <v/>
      </c>
      <c r="K341" s="408" t="str">
        <f t="shared" ca="1" si="215"/>
        <v/>
      </c>
      <c r="L341" s="408" t="str">
        <f t="shared" ca="1" si="215"/>
        <v/>
      </c>
      <c r="M341" s="408" t="str">
        <f t="shared" ca="1" si="215"/>
        <v/>
      </c>
      <c r="N341" s="408" t="str">
        <f t="shared" ca="1" si="215"/>
        <v/>
      </c>
      <c r="O341" s="408" t="str">
        <f t="shared" ca="1" si="215"/>
        <v/>
      </c>
      <c r="P341" s="408" t="str">
        <f t="shared" ca="1" si="215"/>
        <v/>
      </c>
      <c r="Q341" s="408" t="str">
        <f t="shared" ca="1" si="215"/>
        <v/>
      </c>
      <c r="R341" s="410" t="str">
        <f ca="1">Cluster!J360</f>
        <v>Selection</v>
      </c>
      <c r="S341" s="411" t="str">
        <f t="shared" ca="1" si="194"/>
        <v>-</v>
      </c>
      <c r="T341" s="412" t="str">
        <f t="shared" ca="1" si="195"/>
        <v/>
      </c>
      <c r="U341" s="411" t="str">
        <f t="shared" ca="1" si="196"/>
        <v>-</v>
      </c>
      <c r="V341" s="411" t="str">
        <f t="shared" ca="1" si="197"/>
        <v>-</v>
      </c>
      <c r="W341" s="413">
        <f>Cluster!N360</f>
        <v>0</v>
      </c>
      <c r="X341" s="414" t="str">
        <f t="shared" ca="1" si="198"/>
        <v>-</v>
      </c>
      <c r="Y341" s="411" t="str">
        <f t="shared" ca="1" si="199"/>
        <v>-</v>
      </c>
      <c r="Z341" s="415" t="str">
        <f t="shared" ca="1" si="200"/>
        <v>-</v>
      </c>
      <c r="AA341" s="416" t="str">
        <f t="shared" ca="1" si="201"/>
        <v>-</v>
      </c>
      <c r="AB341" s="416" t="str">
        <f t="shared" ca="1" si="202"/>
        <v/>
      </c>
      <c r="AC341" s="434">
        <f>Cluster!Q360</f>
        <v>0</v>
      </c>
      <c r="AD341" s="435" t="str">
        <f t="shared" ca="1" si="203"/>
        <v/>
      </c>
      <c r="AE341" s="436" t="str">
        <f t="shared" ca="1" si="203"/>
        <v/>
      </c>
      <c r="AF341" s="437" t="str">
        <f t="shared" ca="1" si="204"/>
        <v>-</v>
      </c>
      <c r="AG341" s="438" t="str">
        <f t="shared" ca="1" si="205"/>
        <v>-</v>
      </c>
      <c r="AH341" s="437" t="str">
        <f t="shared" ca="1" si="206"/>
        <v>-</v>
      </c>
      <c r="AI341" s="438" t="str">
        <f t="shared" ca="1" si="207"/>
        <v>-</v>
      </c>
      <c r="AJ341" s="438" t="str">
        <f t="shared" ca="1" si="208"/>
        <v>-</v>
      </c>
      <c r="AK341" s="439" t="str">
        <f ca="1">IFERROR(AE341*AD341*AL341/(IF(Cluster!AA360=Cluster!$W$8,Cluster!$W$10,IF(Cluster!AA360=Cluster!$X$8,Cluster!$X$10,IF(Cluster!AA360=Cluster!$Y$8,Cluster!$Y$10,0)))*10^3),"-")</f>
        <v>-</v>
      </c>
      <c r="AL341" s="440" t="str">
        <f ca="1">IFERROR(IF(OR(Calculation!T341&lt;(Calculation!$U$8+2),Calculation!AC341="Bypass"),IF((IF(Calculation!$O$6/((Calculation!AD341*10^-12)/(Calculation!T341*10^-9)*50)&lt;=1,1,ROUNDUP(Calculation!$O$6/((Calculation!AD341*10^-12)/(Calculation!T341*10^-9)*50),0))*50)&lt;Calculation!$AK$6,Calculation!$AK$6,IF(Calculation!$O$6/((Calculation!AD341*10^-12)/(Calculation!T341*10^-9)*50)&lt;=1,1,ROUNDUP(Calculation!$O$6/((Calculation!AD341*10^-12)/(Calculation!T341*10^-9)*50),0))*50),"-"),"-")</f>
        <v>-</v>
      </c>
      <c r="AM341" s="441" t="str">
        <f t="shared" ca="1" si="209"/>
        <v/>
      </c>
      <c r="AN341" s="442" t="str">
        <f t="shared" ca="1" si="209"/>
        <v/>
      </c>
      <c r="AO341" s="432">
        <f t="shared" ca="1" si="210"/>
        <v>384</v>
      </c>
      <c r="AP341" s="427" t="str">
        <f t="shared" ca="1" si="211"/>
        <v>-</v>
      </c>
      <c r="AQ341" s="443" t="str">
        <f t="shared" ca="1" si="212"/>
        <v>-</v>
      </c>
      <c r="AR341" s="444" t="str">
        <f t="shared" ca="1" si="213"/>
        <v>-</v>
      </c>
      <c r="AS341" s="430" t="str">
        <f t="shared" ca="1" si="214"/>
        <v>-</v>
      </c>
    </row>
    <row r="342" spans="1:45" ht="14.25" x14ac:dyDescent="0.65">
      <c r="A342" s="407">
        <v>334</v>
      </c>
      <c r="B342" s="408" t="str">
        <f t="shared" ca="1" si="191"/>
        <v/>
      </c>
      <c r="C342" s="408" t="str">
        <f ca="1">IFERROR(IF(G342="","",CONCATENATE(E342,"-",INDEX(Coordinate,MATCH(F342,ListAndConversion!$X$4:$X$99,0),2))),"")</f>
        <v/>
      </c>
      <c r="D342" s="408" t="str">
        <f t="shared" ca="1" si="192"/>
        <v/>
      </c>
      <c r="E342" s="408" t="str">
        <f t="shared" ca="1" si="192"/>
        <v/>
      </c>
      <c r="F342" s="408" t="str">
        <f t="shared" ca="1" si="192"/>
        <v/>
      </c>
      <c r="G342" s="408" t="str">
        <f ca="1">IFERROR(INDEX(ListAndConversion!A:B,MATCH(Calculation!E342,ListAndConversion!A:A,0),2),"")</f>
        <v/>
      </c>
      <c r="H342" s="408" t="str">
        <f>IF(TrackIT_Lines!AD334="","",TrackIT_Lines!AD334)</f>
        <v/>
      </c>
      <c r="I342" s="408" t="str">
        <f>IF(TrackIT_Lines!AD334="","",CONCATENATE(TrackIT_Lines!AD334,"-",TrackIT_Lines!AG334))</f>
        <v/>
      </c>
      <c r="J342" s="409" t="str">
        <f t="shared" ca="1" si="215"/>
        <v/>
      </c>
      <c r="K342" s="408" t="str">
        <f t="shared" ca="1" si="215"/>
        <v/>
      </c>
      <c r="L342" s="408" t="str">
        <f t="shared" ca="1" si="215"/>
        <v/>
      </c>
      <c r="M342" s="408" t="str">
        <f t="shared" ca="1" si="215"/>
        <v/>
      </c>
      <c r="N342" s="408" t="str">
        <f t="shared" ca="1" si="215"/>
        <v/>
      </c>
      <c r="O342" s="408" t="str">
        <f t="shared" ca="1" si="215"/>
        <v/>
      </c>
      <c r="P342" s="408" t="str">
        <f t="shared" ca="1" si="215"/>
        <v/>
      </c>
      <c r="Q342" s="408" t="str">
        <f t="shared" ca="1" si="215"/>
        <v/>
      </c>
      <c r="R342" s="410" t="str">
        <f ca="1">Cluster!J361</f>
        <v>Selection</v>
      </c>
      <c r="S342" s="411" t="str">
        <f t="shared" ca="1" si="194"/>
        <v>-</v>
      </c>
      <c r="T342" s="412" t="str">
        <f t="shared" ca="1" si="195"/>
        <v/>
      </c>
      <c r="U342" s="411" t="str">
        <f t="shared" ca="1" si="196"/>
        <v>-</v>
      </c>
      <c r="V342" s="411" t="str">
        <f t="shared" ca="1" si="197"/>
        <v>-</v>
      </c>
      <c r="W342" s="413">
        <f>Cluster!N361</f>
        <v>0</v>
      </c>
      <c r="X342" s="414" t="str">
        <f t="shared" ca="1" si="198"/>
        <v>-</v>
      </c>
      <c r="Y342" s="411" t="str">
        <f t="shared" ca="1" si="199"/>
        <v>-</v>
      </c>
      <c r="Z342" s="415" t="str">
        <f t="shared" ca="1" si="200"/>
        <v>-</v>
      </c>
      <c r="AA342" s="416" t="str">
        <f t="shared" ca="1" si="201"/>
        <v>-</v>
      </c>
      <c r="AB342" s="416" t="str">
        <f t="shared" ca="1" si="202"/>
        <v/>
      </c>
      <c r="AC342" s="434">
        <f>Cluster!Q361</f>
        <v>0</v>
      </c>
      <c r="AD342" s="435" t="str">
        <f t="shared" ca="1" si="203"/>
        <v/>
      </c>
      <c r="AE342" s="436" t="str">
        <f t="shared" ca="1" si="203"/>
        <v/>
      </c>
      <c r="AF342" s="437" t="str">
        <f t="shared" ca="1" si="204"/>
        <v>-</v>
      </c>
      <c r="AG342" s="438" t="str">
        <f t="shared" ca="1" si="205"/>
        <v>-</v>
      </c>
      <c r="AH342" s="437" t="str">
        <f t="shared" ca="1" si="206"/>
        <v>-</v>
      </c>
      <c r="AI342" s="438" t="str">
        <f t="shared" ca="1" si="207"/>
        <v>-</v>
      </c>
      <c r="AJ342" s="438" t="str">
        <f t="shared" ca="1" si="208"/>
        <v>-</v>
      </c>
      <c r="AK342" s="439" t="str">
        <f ca="1">IFERROR(AE342*AD342*AL342/(IF(Cluster!AA361=Cluster!$W$8,Cluster!$W$10,IF(Cluster!AA361=Cluster!$X$8,Cluster!$X$10,IF(Cluster!AA361=Cluster!$Y$8,Cluster!$Y$10,0)))*10^3),"-")</f>
        <v>-</v>
      </c>
      <c r="AL342" s="440" t="str">
        <f ca="1">IFERROR(IF(OR(Calculation!T342&lt;(Calculation!$U$8+2),Calculation!AC342="Bypass"),IF((IF(Calculation!$O$6/((Calculation!AD342*10^-12)/(Calculation!T342*10^-9)*50)&lt;=1,1,ROUNDUP(Calculation!$O$6/((Calculation!AD342*10^-12)/(Calculation!T342*10^-9)*50),0))*50)&lt;Calculation!$AK$6,Calculation!$AK$6,IF(Calculation!$O$6/((Calculation!AD342*10^-12)/(Calculation!T342*10^-9)*50)&lt;=1,1,ROUNDUP(Calculation!$O$6/((Calculation!AD342*10^-12)/(Calculation!T342*10^-9)*50),0))*50),"-"),"-")</f>
        <v>-</v>
      </c>
      <c r="AM342" s="441" t="str">
        <f t="shared" ca="1" si="209"/>
        <v/>
      </c>
      <c r="AN342" s="442" t="str">
        <f t="shared" ca="1" si="209"/>
        <v/>
      </c>
      <c r="AO342" s="432">
        <f t="shared" ca="1" si="210"/>
        <v>384</v>
      </c>
      <c r="AP342" s="427" t="str">
        <f t="shared" ca="1" si="211"/>
        <v>-</v>
      </c>
      <c r="AQ342" s="443" t="str">
        <f t="shared" ca="1" si="212"/>
        <v>-</v>
      </c>
      <c r="AR342" s="444" t="str">
        <f t="shared" ca="1" si="213"/>
        <v>-</v>
      </c>
      <c r="AS342" s="430" t="str">
        <f t="shared" ca="1" si="214"/>
        <v>-</v>
      </c>
    </row>
    <row r="343" spans="1:45" ht="14.25" x14ac:dyDescent="0.65">
      <c r="A343" s="407">
        <v>335</v>
      </c>
      <c r="B343" s="408" t="str">
        <f t="shared" ca="1" si="191"/>
        <v/>
      </c>
      <c r="C343" s="408" t="str">
        <f ca="1">IFERROR(IF(G343="","",CONCATENATE(E343,"-",INDEX(Coordinate,MATCH(F343,ListAndConversion!$X$4:$X$99,0),2))),"")</f>
        <v/>
      </c>
      <c r="D343" s="408" t="str">
        <f t="shared" ca="1" si="192"/>
        <v/>
      </c>
      <c r="E343" s="408" t="str">
        <f t="shared" ca="1" si="192"/>
        <v/>
      </c>
      <c r="F343" s="408" t="str">
        <f t="shared" ca="1" si="192"/>
        <v/>
      </c>
      <c r="G343" s="408" t="str">
        <f ca="1">IFERROR(INDEX(ListAndConversion!A:B,MATCH(Calculation!E343,ListAndConversion!A:A,0),2),"")</f>
        <v/>
      </c>
      <c r="H343" s="408" t="str">
        <f>IF(TrackIT_Lines!AD335="","",TrackIT_Lines!AD335)</f>
        <v/>
      </c>
      <c r="I343" s="408" t="str">
        <f>IF(TrackIT_Lines!AD335="","",CONCATENATE(TrackIT_Lines!AD335,"-",TrackIT_Lines!AG335))</f>
        <v/>
      </c>
      <c r="J343" s="409" t="str">
        <f t="shared" ca="1" si="215"/>
        <v/>
      </c>
      <c r="K343" s="408" t="str">
        <f t="shared" ca="1" si="215"/>
        <v/>
      </c>
      <c r="L343" s="408" t="str">
        <f t="shared" ca="1" si="215"/>
        <v/>
      </c>
      <c r="M343" s="408" t="str">
        <f t="shared" ca="1" si="215"/>
        <v/>
      </c>
      <c r="N343" s="408" t="str">
        <f t="shared" ca="1" si="215"/>
        <v/>
      </c>
      <c r="O343" s="408" t="str">
        <f t="shared" ca="1" si="215"/>
        <v/>
      </c>
      <c r="P343" s="408" t="str">
        <f t="shared" ca="1" si="215"/>
        <v/>
      </c>
      <c r="Q343" s="408" t="str">
        <f t="shared" ca="1" si="215"/>
        <v/>
      </c>
      <c r="R343" s="410" t="str">
        <f ca="1">Cluster!J362</f>
        <v>Selection</v>
      </c>
      <c r="S343" s="411" t="str">
        <f t="shared" ca="1" si="194"/>
        <v>-</v>
      </c>
      <c r="T343" s="412" t="str">
        <f t="shared" ca="1" si="195"/>
        <v/>
      </c>
      <c r="U343" s="411" t="str">
        <f t="shared" ca="1" si="196"/>
        <v>-</v>
      </c>
      <c r="V343" s="411" t="str">
        <f t="shared" ca="1" si="197"/>
        <v>-</v>
      </c>
      <c r="W343" s="413">
        <f>Cluster!N362</f>
        <v>0</v>
      </c>
      <c r="X343" s="414" t="str">
        <f t="shared" ca="1" si="198"/>
        <v>-</v>
      </c>
      <c r="Y343" s="411" t="str">
        <f t="shared" ca="1" si="199"/>
        <v>-</v>
      </c>
      <c r="Z343" s="415" t="str">
        <f t="shared" ca="1" si="200"/>
        <v>-</v>
      </c>
      <c r="AA343" s="416" t="str">
        <f t="shared" ca="1" si="201"/>
        <v>-</v>
      </c>
      <c r="AB343" s="416" t="str">
        <f t="shared" ca="1" si="202"/>
        <v/>
      </c>
      <c r="AC343" s="434">
        <f>Cluster!Q362</f>
        <v>0</v>
      </c>
      <c r="AD343" s="435" t="str">
        <f t="shared" ca="1" si="203"/>
        <v/>
      </c>
      <c r="AE343" s="436" t="str">
        <f t="shared" ca="1" si="203"/>
        <v/>
      </c>
      <c r="AF343" s="437" t="str">
        <f t="shared" ca="1" si="204"/>
        <v>-</v>
      </c>
      <c r="AG343" s="438" t="str">
        <f t="shared" ca="1" si="205"/>
        <v>-</v>
      </c>
      <c r="AH343" s="437" t="str">
        <f t="shared" ca="1" si="206"/>
        <v>-</v>
      </c>
      <c r="AI343" s="438" t="str">
        <f t="shared" ca="1" si="207"/>
        <v>-</v>
      </c>
      <c r="AJ343" s="438" t="str">
        <f t="shared" ca="1" si="208"/>
        <v>-</v>
      </c>
      <c r="AK343" s="439" t="str">
        <f ca="1">IFERROR(AE343*AD343*AL343/(IF(Cluster!AA362=Cluster!$W$8,Cluster!$W$10,IF(Cluster!AA362=Cluster!$X$8,Cluster!$X$10,IF(Cluster!AA362=Cluster!$Y$8,Cluster!$Y$10,0)))*10^3),"-")</f>
        <v>-</v>
      </c>
      <c r="AL343" s="440" t="str">
        <f ca="1">IFERROR(IF(OR(Calculation!T343&lt;(Calculation!$U$8+2),Calculation!AC343="Bypass"),IF((IF(Calculation!$O$6/((Calculation!AD343*10^-12)/(Calculation!T343*10^-9)*50)&lt;=1,1,ROUNDUP(Calculation!$O$6/((Calculation!AD343*10^-12)/(Calculation!T343*10^-9)*50),0))*50)&lt;Calculation!$AK$6,Calculation!$AK$6,IF(Calculation!$O$6/((Calculation!AD343*10^-12)/(Calculation!T343*10^-9)*50)&lt;=1,1,ROUNDUP(Calculation!$O$6/((Calculation!AD343*10^-12)/(Calculation!T343*10^-9)*50),0))*50),"-"),"-")</f>
        <v>-</v>
      </c>
      <c r="AM343" s="441" t="str">
        <f t="shared" ca="1" si="209"/>
        <v/>
      </c>
      <c r="AN343" s="442" t="str">
        <f t="shared" ca="1" si="209"/>
        <v/>
      </c>
      <c r="AO343" s="432">
        <f t="shared" ca="1" si="210"/>
        <v>384</v>
      </c>
      <c r="AP343" s="427" t="str">
        <f t="shared" ca="1" si="211"/>
        <v>-</v>
      </c>
      <c r="AQ343" s="443" t="str">
        <f t="shared" ca="1" si="212"/>
        <v>-</v>
      </c>
      <c r="AR343" s="444" t="str">
        <f t="shared" ca="1" si="213"/>
        <v>-</v>
      </c>
      <c r="AS343" s="430" t="str">
        <f t="shared" ca="1" si="214"/>
        <v>-</v>
      </c>
    </row>
    <row r="344" spans="1:45" ht="14.25" x14ac:dyDescent="0.65">
      <c r="A344" s="407">
        <v>336</v>
      </c>
      <c r="B344" s="408" t="str">
        <f t="shared" ca="1" si="191"/>
        <v/>
      </c>
      <c r="C344" s="408" t="str">
        <f ca="1">IFERROR(IF(G344="","",CONCATENATE(E344,"-",INDEX(Coordinate,MATCH(F344,ListAndConversion!$X$4:$X$99,0),2))),"")</f>
        <v/>
      </c>
      <c r="D344" s="408" t="str">
        <f t="shared" ca="1" si="192"/>
        <v/>
      </c>
      <c r="E344" s="408" t="str">
        <f t="shared" ca="1" si="192"/>
        <v/>
      </c>
      <c r="F344" s="408" t="str">
        <f t="shared" ca="1" si="192"/>
        <v/>
      </c>
      <c r="G344" s="408" t="str">
        <f ca="1">IFERROR(INDEX(ListAndConversion!A:B,MATCH(Calculation!E344,ListAndConversion!A:A,0),2),"")</f>
        <v/>
      </c>
      <c r="H344" s="408" t="str">
        <f>IF(TrackIT_Lines!AD336="","",TrackIT_Lines!AD336)</f>
        <v/>
      </c>
      <c r="I344" s="408" t="str">
        <f>IF(TrackIT_Lines!AD336="","",CONCATENATE(TrackIT_Lines!AD336,"-",TrackIT_Lines!AG336))</f>
        <v/>
      </c>
      <c r="J344" s="409" t="str">
        <f t="shared" ca="1" si="215"/>
        <v/>
      </c>
      <c r="K344" s="408" t="str">
        <f t="shared" ca="1" si="215"/>
        <v/>
      </c>
      <c r="L344" s="408" t="str">
        <f t="shared" ca="1" si="215"/>
        <v/>
      </c>
      <c r="M344" s="408" t="str">
        <f t="shared" ca="1" si="215"/>
        <v/>
      </c>
      <c r="N344" s="408" t="str">
        <f t="shared" ca="1" si="215"/>
        <v/>
      </c>
      <c r="O344" s="408" t="str">
        <f t="shared" ca="1" si="215"/>
        <v/>
      </c>
      <c r="P344" s="408" t="str">
        <f t="shared" ca="1" si="215"/>
        <v/>
      </c>
      <c r="Q344" s="408" t="str">
        <f t="shared" ca="1" si="215"/>
        <v/>
      </c>
      <c r="R344" s="410" t="str">
        <f ca="1">Cluster!J363</f>
        <v>Selection</v>
      </c>
      <c r="S344" s="411" t="str">
        <f t="shared" ca="1" si="194"/>
        <v>-</v>
      </c>
      <c r="T344" s="412" t="str">
        <f t="shared" ca="1" si="195"/>
        <v/>
      </c>
      <c r="U344" s="411" t="str">
        <f t="shared" ca="1" si="196"/>
        <v>-</v>
      </c>
      <c r="V344" s="411" t="str">
        <f t="shared" ca="1" si="197"/>
        <v>-</v>
      </c>
      <c r="W344" s="413">
        <f>Cluster!N363</f>
        <v>0</v>
      </c>
      <c r="X344" s="414" t="str">
        <f t="shared" ca="1" si="198"/>
        <v>-</v>
      </c>
      <c r="Y344" s="411" t="str">
        <f t="shared" ca="1" si="199"/>
        <v>-</v>
      </c>
      <c r="Z344" s="415" t="str">
        <f t="shared" ca="1" si="200"/>
        <v>-</v>
      </c>
      <c r="AA344" s="416" t="str">
        <f t="shared" ca="1" si="201"/>
        <v>-</v>
      </c>
      <c r="AB344" s="416" t="str">
        <f t="shared" ca="1" si="202"/>
        <v/>
      </c>
      <c r="AC344" s="434">
        <f>Cluster!Q363</f>
        <v>0</v>
      </c>
      <c r="AD344" s="435" t="str">
        <f t="shared" ca="1" si="203"/>
        <v/>
      </c>
      <c r="AE344" s="436" t="str">
        <f t="shared" ca="1" si="203"/>
        <v/>
      </c>
      <c r="AF344" s="437" t="str">
        <f t="shared" ca="1" si="204"/>
        <v>-</v>
      </c>
      <c r="AG344" s="438" t="str">
        <f t="shared" ca="1" si="205"/>
        <v>-</v>
      </c>
      <c r="AH344" s="437" t="str">
        <f t="shared" ca="1" si="206"/>
        <v>-</v>
      </c>
      <c r="AI344" s="438" t="str">
        <f t="shared" ca="1" si="207"/>
        <v>-</v>
      </c>
      <c r="AJ344" s="438" t="str">
        <f t="shared" ca="1" si="208"/>
        <v>-</v>
      </c>
      <c r="AK344" s="439" t="str">
        <f ca="1">IFERROR(AE344*AD344*AL344/(IF(Cluster!AA363=Cluster!$W$8,Cluster!$W$10,IF(Cluster!AA363=Cluster!$X$8,Cluster!$X$10,IF(Cluster!AA363=Cluster!$Y$8,Cluster!$Y$10,0)))*10^3),"-")</f>
        <v>-</v>
      </c>
      <c r="AL344" s="440" t="str">
        <f ca="1">IFERROR(IF(OR(Calculation!T344&lt;(Calculation!$U$8+2),Calculation!AC344="Bypass"),IF((IF(Calculation!$O$6/((Calculation!AD344*10^-12)/(Calculation!T344*10^-9)*50)&lt;=1,1,ROUNDUP(Calculation!$O$6/((Calculation!AD344*10^-12)/(Calculation!T344*10^-9)*50),0))*50)&lt;Calculation!$AK$6,Calculation!$AK$6,IF(Calculation!$O$6/((Calculation!AD344*10^-12)/(Calculation!T344*10^-9)*50)&lt;=1,1,ROUNDUP(Calculation!$O$6/((Calculation!AD344*10^-12)/(Calculation!T344*10^-9)*50),0))*50),"-"),"-")</f>
        <v>-</v>
      </c>
      <c r="AM344" s="441" t="str">
        <f t="shared" ca="1" si="209"/>
        <v/>
      </c>
      <c r="AN344" s="442" t="str">
        <f t="shared" ca="1" si="209"/>
        <v/>
      </c>
      <c r="AO344" s="432">
        <f t="shared" ca="1" si="210"/>
        <v>384</v>
      </c>
      <c r="AP344" s="427" t="str">
        <f t="shared" ca="1" si="211"/>
        <v>-</v>
      </c>
      <c r="AQ344" s="443" t="str">
        <f t="shared" ca="1" si="212"/>
        <v>-</v>
      </c>
      <c r="AR344" s="444" t="str">
        <f t="shared" ca="1" si="213"/>
        <v>-</v>
      </c>
      <c r="AS344" s="430" t="str">
        <f t="shared" ca="1" si="214"/>
        <v>-</v>
      </c>
    </row>
    <row r="345" spans="1:45" ht="14.25" x14ac:dyDescent="0.65">
      <c r="A345" s="407">
        <v>337</v>
      </c>
      <c r="B345" s="408" t="str">
        <f t="shared" ca="1" si="191"/>
        <v/>
      </c>
      <c r="C345" s="408" t="str">
        <f ca="1">IFERROR(IF(G345="","",CONCATENATE(E345,"-",INDEX(Coordinate,MATCH(F345,ListAndConversion!$X$4:$X$99,0),2))),"")</f>
        <v/>
      </c>
      <c r="D345" s="408" t="str">
        <f t="shared" ca="1" si="192"/>
        <v/>
      </c>
      <c r="E345" s="408" t="str">
        <f t="shared" ca="1" si="192"/>
        <v/>
      </c>
      <c r="F345" s="408" t="str">
        <f t="shared" ca="1" si="192"/>
        <v/>
      </c>
      <c r="G345" s="408" t="str">
        <f ca="1">IFERROR(INDEX(ListAndConversion!A:B,MATCH(Calculation!E345,ListAndConversion!A:A,0),2),"")</f>
        <v/>
      </c>
      <c r="H345" s="408" t="str">
        <f>IF(TrackIT_Lines!AD337="","",TrackIT_Lines!AD337)</f>
        <v/>
      </c>
      <c r="I345" s="408" t="str">
        <f>IF(TrackIT_Lines!AD337="","",CONCATENATE(TrackIT_Lines!AD337,"-",TrackIT_Lines!AG337))</f>
        <v/>
      </c>
      <c r="J345" s="409" t="str">
        <f t="shared" ca="1" si="215"/>
        <v/>
      </c>
      <c r="K345" s="408" t="str">
        <f t="shared" ca="1" si="215"/>
        <v/>
      </c>
      <c r="L345" s="408" t="str">
        <f t="shared" ca="1" si="215"/>
        <v/>
      </c>
      <c r="M345" s="408" t="str">
        <f t="shared" ca="1" si="215"/>
        <v/>
      </c>
      <c r="N345" s="408" t="str">
        <f t="shared" ca="1" si="215"/>
        <v/>
      </c>
      <c r="O345" s="408" t="str">
        <f t="shared" ca="1" si="215"/>
        <v/>
      </c>
      <c r="P345" s="408" t="str">
        <f t="shared" ca="1" si="215"/>
        <v/>
      </c>
      <c r="Q345" s="408" t="str">
        <f t="shared" ca="1" si="215"/>
        <v/>
      </c>
      <c r="R345" s="410" t="str">
        <f ca="1">Cluster!J364</f>
        <v>Selection</v>
      </c>
      <c r="S345" s="411" t="str">
        <f t="shared" ca="1" si="194"/>
        <v>-</v>
      </c>
      <c r="T345" s="412" t="str">
        <f t="shared" ca="1" si="195"/>
        <v/>
      </c>
      <c r="U345" s="411" t="str">
        <f t="shared" ca="1" si="196"/>
        <v>-</v>
      </c>
      <c r="V345" s="411" t="str">
        <f t="shared" ca="1" si="197"/>
        <v>-</v>
      </c>
      <c r="W345" s="413">
        <f>Cluster!N364</f>
        <v>0</v>
      </c>
      <c r="X345" s="414" t="str">
        <f t="shared" ca="1" si="198"/>
        <v>-</v>
      </c>
      <c r="Y345" s="411" t="str">
        <f t="shared" ca="1" si="199"/>
        <v>-</v>
      </c>
      <c r="Z345" s="415" t="str">
        <f t="shared" ca="1" si="200"/>
        <v>-</v>
      </c>
      <c r="AA345" s="416" t="str">
        <f t="shared" ca="1" si="201"/>
        <v>-</v>
      </c>
      <c r="AB345" s="416" t="str">
        <f t="shared" ca="1" si="202"/>
        <v/>
      </c>
      <c r="AC345" s="434">
        <f>Cluster!Q364</f>
        <v>0</v>
      </c>
      <c r="AD345" s="435" t="str">
        <f t="shared" ca="1" si="203"/>
        <v/>
      </c>
      <c r="AE345" s="436" t="str">
        <f t="shared" ca="1" si="203"/>
        <v/>
      </c>
      <c r="AF345" s="437" t="str">
        <f t="shared" ca="1" si="204"/>
        <v>-</v>
      </c>
      <c r="AG345" s="438" t="str">
        <f t="shared" ca="1" si="205"/>
        <v>-</v>
      </c>
      <c r="AH345" s="437" t="str">
        <f t="shared" ca="1" si="206"/>
        <v>-</v>
      </c>
      <c r="AI345" s="438" t="str">
        <f t="shared" ca="1" si="207"/>
        <v>-</v>
      </c>
      <c r="AJ345" s="438" t="str">
        <f t="shared" ca="1" si="208"/>
        <v>-</v>
      </c>
      <c r="AK345" s="439" t="str">
        <f ca="1">IFERROR(AE345*AD345*AL345/(IF(Cluster!AA364=Cluster!$W$8,Cluster!$W$10,IF(Cluster!AA364=Cluster!$X$8,Cluster!$X$10,IF(Cluster!AA364=Cluster!$Y$8,Cluster!$Y$10,0)))*10^3),"-")</f>
        <v>-</v>
      </c>
      <c r="AL345" s="440" t="str">
        <f ca="1">IFERROR(IF(OR(Calculation!T345&lt;(Calculation!$U$8+2),Calculation!AC345="Bypass"),IF((IF(Calculation!$O$6/((Calculation!AD345*10^-12)/(Calculation!T345*10^-9)*50)&lt;=1,1,ROUNDUP(Calculation!$O$6/((Calculation!AD345*10^-12)/(Calculation!T345*10^-9)*50),0))*50)&lt;Calculation!$AK$6,Calculation!$AK$6,IF(Calculation!$O$6/((Calculation!AD345*10^-12)/(Calculation!T345*10^-9)*50)&lt;=1,1,ROUNDUP(Calculation!$O$6/((Calculation!AD345*10^-12)/(Calculation!T345*10^-9)*50),0))*50),"-"),"-")</f>
        <v>-</v>
      </c>
      <c r="AM345" s="441" t="str">
        <f t="shared" ca="1" si="209"/>
        <v/>
      </c>
      <c r="AN345" s="442" t="str">
        <f t="shared" ca="1" si="209"/>
        <v/>
      </c>
      <c r="AO345" s="432">
        <f t="shared" ca="1" si="210"/>
        <v>384</v>
      </c>
      <c r="AP345" s="427" t="str">
        <f t="shared" ca="1" si="211"/>
        <v>-</v>
      </c>
      <c r="AQ345" s="443" t="str">
        <f t="shared" ca="1" si="212"/>
        <v>-</v>
      </c>
      <c r="AR345" s="444" t="str">
        <f t="shared" ca="1" si="213"/>
        <v>-</v>
      </c>
      <c r="AS345" s="430" t="str">
        <f t="shared" ca="1" si="214"/>
        <v>-</v>
      </c>
    </row>
    <row r="346" spans="1:45" ht="14.25" x14ac:dyDescent="0.65">
      <c r="A346" s="407">
        <v>338</v>
      </c>
      <c r="B346" s="408" t="str">
        <f t="shared" ca="1" si="191"/>
        <v/>
      </c>
      <c r="C346" s="408" t="str">
        <f ca="1">IFERROR(IF(G346="","",CONCATENATE(E346,"-",INDEX(Coordinate,MATCH(F346,ListAndConversion!$X$4:$X$99,0),2))),"")</f>
        <v/>
      </c>
      <c r="D346" s="408" t="str">
        <f t="shared" ca="1" si="192"/>
        <v/>
      </c>
      <c r="E346" s="408" t="str">
        <f t="shared" ca="1" si="192"/>
        <v/>
      </c>
      <c r="F346" s="408" t="str">
        <f t="shared" ca="1" si="192"/>
        <v/>
      </c>
      <c r="G346" s="408" t="str">
        <f ca="1">IFERROR(INDEX(ListAndConversion!A:B,MATCH(Calculation!E346,ListAndConversion!A:A,0),2),"")</f>
        <v/>
      </c>
      <c r="H346" s="408" t="str">
        <f>IF(TrackIT_Lines!AD338="","",TrackIT_Lines!AD338)</f>
        <v/>
      </c>
      <c r="I346" s="408" t="str">
        <f>IF(TrackIT_Lines!AD338="","",CONCATENATE(TrackIT_Lines!AD338,"-",TrackIT_Lines!AG338))</f>
        <v/>
      </c>
      <c r="J346" s="409" t="str">
        <f t="shared" ca="1" si="215"/>
        <v/>
      </c>
      <c r="K346" s="408" t="str">
        <f t="shared" ca="1" si="215"/>
        <v/>
      </c>
      <c r="L346" s="408" t="str">
        <f t="shared" ca="1" si="215"/>
        <v/>
      </c>
      <c r="M346" s="408" t="str">
        <f t="shared" ca="1" si="215"/>
        <v/>
      </c>
      <c r="N346" s="408" t="str">
        <f t="shared" ca="1" si="215"/>
        <v/>
      </c>
      <c r="O346" s="408" t="str">
        <f t="shared" ca="1" si="215"/>
        <v/>
      </c>
      <c r="P346" s="408" t="str">
        <f t="shared" ca="1" si="215"/>
        <v/>
      </c>
      <c r="Q346" s="408" t="str">
        <f t="shared" ca="1" si="215"/>
        <v/>
      </c>
      <c r="R346" s="410" t="str">
        <f ca="1">Cluster!J365</f>
        <v>Selection</v>
      </c>
      <c r="S346" s="411" t="str">
        <f t="shared" ca="1" si="194"/>
        <v>-</v>
      </c>
      <c r="T346" s="412" t="str">
        <f t="shared" ca="1" si="195"/>
        <v/>
      </c>
      <c r="U346" s="411" t="str">
        <f t="shared" ca="1" si="196"/>
        <v>-</v>
      </c>
      <c r="V346" s="411" t="str">
        <f t="shared" ca="1" si="197"/>
        <v>-</v>
      </c>
      <c r="W346" s="413">
        <f>Cluster!N365</f>
        <v>0</v>
      </c>
      <c r="X346" s="414" t="str">
        <f t="shared" ca="1" si="198"/>
        <v>-</v>
      </c>
      <c r="Y346" s="411" t="str">
        <f t="shared" ca="1" si="199"/>
        <v>-</v>
      </c>
      <c r="Z346" s="415" t="str">
        <f t="shared" ca="1" si="200"/>
        <v>-</v>
      </c>
      <c r="AA346" s="416" t="str">
        <f t="shared" ca="1" si="201"/>
        <v>-</v>
      </c>
      <c r="AB346" s="416" t="str">
        <f t="shared" ca="1" si="202"/>
        <v/>
      </c>
      <c r="AC346" s="434">
        <f>Cluster!Q365</f>
        <v>0</v>
      </c>
      <c r="AD346" s="435" t="str">
        <f t="shared" ca="1" si="203"/>
        <v/>
      </c>
      <c r="AE346" s="436" t="str">
        <f t="shared" ca="1" si="203"/>
        <v/>
      </c>
      <c r="AF346" s="437" t="str">
        <f t="shared" ca="1" si="204"/>
        <v>-</v>
      </c>
      <c r="AG346" s="438" t="str">
        <f t="shared" ca="1" si="205"/>
        <v>-</v>
      </c>
      <c r="AH346" s="437" t="str">
        <f t="shared" ca="1" si="206"/>
        <v>-</v>
      </c>
      <c r="AI346" s="438" t="str">
        <f t="shared" ca="1" si="207"/>
        <v>-</v>
      </c>
      <c r="AJ346" s="438" t="str">
        <f t="shared" ca="1" si="208"/>
        <v>-</v>
      </c>
      <c r="AK346" s="439" t="str">
        <f ca="1">IFERROR(AE346*AD346*AL346/(IF(Cluster!AA365=Cluster!$W$8,Cluster!$W$10,IF(Cluster!AA365=Cluster!$X$8,Cluster!$X$10,IF(Cluster!AA365=Cluster!$Y$8,Cluster!$Y$10,0)))*10^3),"-")</f>
        <v>-</v>
      </c>
      <c r="AL346" s="440" t="str">
        <f ca="1">IFERROR(IF(OR(Calculation!T346&lt;(Calculation!$U$8+2),Calculation!AC346="Bypass"),IF((IF(Calculation!$O$6/((Calculation!AD346*10^-12)/(Calculation!T346*10^-9)*50)&lt;=1,1,ROUNDUP(Calculation!$O$6/((Calculation!AD346*10^-12)/(Calculation!T346*10^-9)*50),0))*50)&lt;Calculation!$AK$6,Calculation!$AK$6,IF(Calculation!$O$6/((Calculation!AD346*10^-12)/(Calculation!T346*10^-9)*50)&lt;=1,1,ROUNDUP(Calculation!$O$6/((Calculation!AD346*10^-12)/(Calculation!T346*10^-9)*50),0))*50),"-"),"-")</f>
        <v>-</v>
      </c>
      <c r="AM346" s="441" t="str">
        <f t="shared" ca="1" si="209"/>
        <v/>
      </c>
      <c r="AN346" s="442" t="str">
        <f t="shared" ca="1" si="209"/>
        <v/>
      </c>
      <c r="AO346" s="432">
        <f t="shared" ca="1" si="210"/>
        <v>384</v>
      </c>
      <c r="AP346" s="427" t="str">
        <f t="shared" ca="1" si="211"/>
        <v>-</v>
      </c>
      <c r="AQ346" s="443" t="str">
        <f t="shared" ca="1" si="212"/>
        <v>-</v>
      </c>
      <c r="AR346" s="444" t="str">
        <f t="shared" ca="1" si="213"/>
        <v>-</v>
      </c>
      <c r="AS346" s="430" t="str">
        <f t="shared" ca="1" si="214"/>
        <v>-</v>
      </c>
    </row>
    <row r="347" spans="1:45" ht="14.25" x14ac:dyDescent="0.65">
      <c r="A347" s="407">
        <v>339</v>
      </c>
      <c r="B347" s="408" t="str">
        <f t="shared" ca="1" si="191"/>
        <v/>
      </c>
      <c r="C347" s="408" t="str">
        <f ca="1">IFERROR(IF(G347="","",CONCATENATE(E347,"-",INDEX(Coordinate,MATCH(F347,ListAndConversion!$X$4:$X$99,0),2))),"")</f>
        <v/>
      </c>
      <c r="D347" s="408" t="str">
        <f t="shared" ca="1" si="192"/>
        <v/>
      </c>
      <c r="E347" s="408" t="str">
        <f t="shared" ca="1" si="192"/>
        <v/>
      </c>
      <c r="F347" s="408" t="str">
        <f t="shared" ca="1" si="192"/>
        <v/>
      </c>
      <c r="G347" s="408" t="str">
        <f ca="1">IFERROR(INDEX(ListAndConversion!A:B,MATCH(Calculation!E347,ListAndConversion!A:A,0),2),"")</f>
        <v/>
      </c>
      <c r="H347" s="408" t="str">
        <f>IF(TrackIT_Lines!AD339="","",TrackIT_Lines!AD339)</f>
        <v/>
      </c>
      <c r="I347" s="408" t="str">
        <f>IF(TrackIT_Lines!AD339="","",CONCATENATE(TrackIT_Lines!AD339,"-",TrackIT_Lines!AG339))</f>
        <v/>
      </c>
      <c r="J347" s="409" t="str">
        <f t="shared" ca="1" si="215"/>
        <v/>
      </c>
      <c r="K347" s="408" t="str">
        <f t="shared" ca="1" si="215"/>
        <v/>
      </c>
      <c r="L347" s="408" t="str">
        <f t="shared" ca="1" si="215"/>
        <v/>
      </c>
      <c r="M347" s="408" t="str">
        <f t="shared" ca="1" si="215"/>
        <v/>
      </c>
      <c r="N347" s="408" t="str">
        <f t="shared" ca="1" si="215"/>
        <v/>
      </c>
      <c r="O347" s="408" t="str">
        <f t="shared" ca="1" si="215"/>
        <v/>
      </c>
      <c r="P347" s="408" t="str">
        <f t="shared" ca="1" si="215"/>
        <v/>
      </c>
      <c r="Q347" s="408" t="str">
        <f t="shared" ca="1" si="215"/>
        <v/>
      </c>
      <c r="R347" s="410" t="str">
        <f ca="1">Cluster!J366</f>
        <v>Selection</v>
      </c>
      <c r="S347" s="411" t="str">
        <f t="shared" ca="1" si="194"/>
        <v>-</v>
      </c>
      <c r="T347" s="412" t="str">
        <f t="shared" ca="1" si="195"/>
        <v/>
      </c>
      <c r="U347" s="411" t="str">
        <f t="shared" ca="1" si="196"/>
        <v>-</v>
      </c>
      <c r="V347" s="411" t="str">
        <f t="shared" ca="1" si="197"/>
        <v>-</v>
      </c>
      <c r="W347" s="413">
        <f>Cluster!N366</f>
        <v>0</v>
      </c>
      <c r="X347" s="414" t="str">
        <f t="shared" ca="1" si="198"/>
        <v>-</v>
      </c>
      <c r="Y347" s="411" t="str">
        <f t="shared" ca="1" si="199"/>
        <v>-</v>
      </c>
      <c r="Z347" s="415" t="str">
        <f t="shared" ca="1" si="200"/>
        <v>-</v>
      </c>
      <c r="AA347" s="416" t="str">
        <f t="shared" ca="1" si="201"/>
        <v>-</v>
      </c>
      <c r="AB347" s="416" t="str">
        <f t="shared" ca="1" si="202"/>
        <v/>
      </c>
      <c r="AC347" s="434">
        <f>Cluster!Q366</f>
        <v>0</v>
      </c>
      <c r="AD347" s="435" t="str">
        <f t="shared" ca="1" si="203"/>
        <v/>
      </c>
      <c r="AE347" s="436" t="str">
        <f t="shared" ca="1" si="203"/>
        <v/>
      </c>
      <c r="AF347" s="437" t="str">
        <f t="shared" ca="1" si="204"/>
        <v>-</v>
      </c>
      <c r="AG347" s="438" t="str">
        <f t="shared" ca="1" si="205"/>
        <v>-</v>
      </c>
      <c r="AH347" s="437" t="str">
        <f t="shared" ca="1" si="206"/>
        <v>-</v>
      </c>
      <c r="AI347" s="438" t="str">
        <f t="shared" ca="1" si="207"/>
        <v>-</v>
      </c>
      <c r="AJ347" s="438" t="str">
        <f t="shared" ca="1" si="208"/>
        <v>-</v>
      </c>
      <c r="AK347" s="439" t="str">
        <f ca="1">IFERROR(AE347*AD347*AL347/(IF(Cluster!AA366=Cluster!$W$8,Cluster!$W$10,IF(Cluster!AA366=Cluster!$X$8,Cluster!$X$10,IF(Cluster!AA366=Cluster!$Y$8,Cluster!$Y$10,0)))*10^3),"-")</f>
        <v>-</v>
      </c>
      <c r="AL347" s="440" t="str">
        <f ca="1">IFERROR(IF(OR(Calculation!T347&lt;(Calculation!$U$8+2),Calculation!AC347="Bypass"),IF((IF(Calculation!$O$6/((Calculation!AD347*10^-12)/(Calculation!T347*10^-9)*50)&lt;=1,1,ROUNDUP(Calculation!$O$6/((Calculation!AD347*10^-12)/(Calculation!T347*10^-9)*50),0))*50)&lt;Calculation!$AK$6,Calculation!$AK$6,IF(Calculation!$O$6/((Calculation!AD347*10^-12)/(Calculation!T347*10^-9)*50)&lt;=1,1,ROUNDUP(Calculation!$O$6/((Calculation!AD347*10^-12)/(Calculation!T347*10^-9)*50),0))*50),"-"),"-")</f>
        <v>-</v>
      </c>
      <c r="AM347" s="441" t="str">
        <f t="shared" ca="1" si="209"/>
        <v/>
      </c>
      <c r="AN347" s="442" t="str">
        <f t="shared" ca="1" si="209"/>
        <v/>
      </c>
      <c r="AO347" s="432">
        <f t="shared" ca="1" si="210"/>
        <v>384</v>
      </c>
      <c r="AP347" s="427" t="str">
        <f t="shared" ca="1" si="211"/>
        <v>-</v>
      </c>
      <c r="AQ347" s="443" t="str">
        <f t="shared" ca="1" si="212"/>
        <v>-</v>
      </c>
      <c r="AR347" s="444" t="str">
        <f t="shared" ca="1" si="213"/>
        <v>-</v>
      </c>
      <c r="AS347" s="430" t="str">
        <f t="shared" ca="1" si="214"/>
        <v>-</v>
      </c>
    </row>
    <row r="348" spans="1:45" ht="14.25" x14ac:dyDescent="0.65">
      <c r="A348" s="407">
        <v>340</v>
      </c>
      <c r="B348" s="408" t="str">
        <f t="shared" ca="1" si="191"/>
        <v/>
      </c>
      <c r="C348" s="408" t="str">
        <f ca="1">IFERROR(IF(G348="","",CONCATENATE(E348,"-",INDEX(Coordinate,MATCH(F348,ListAndConversion!$X$4:$X$99,0),2))),"")</f>
        <v/>
      </c>
      <c r="D348" s="408" t="str">
        <f t="shared" ca="1" si="192"/>
        <v/>
      </c>
      <c r="E348" s="408" t="str">
        <f t="shared" ca="1" si="192"/>
        <v/>
      </c>
      <c r="F348" s="408" t="str">
        <f t="shared" ca="1" si="192"/>
        <v/>
      </c>
      <c r="G348" s="408" t="str">
        <f ca="1">IFERROR(INDEX(ListAndConversion!A:B,MATCH(Calculation!E348,ListAndConversion!A:A,0),2),"")</f>
        <v/>
      </c>
      <c r="H348" s="408" t="str">
        <f>IF(TrackIT_Lines!AD340="","",TrackIT_Lines!AD340)</f>
        <v/>
      </c>
      <c r="I348" s="408" t="str">
        <f>IF(TrackIT_Lines!AD340="","",CONCATENATE(TrackIT_Lines!AD340,"-",TrackIT_Lines!AG340))</f>
        <v/>
      </c>
      <c r="J348" s="409" t="str">
        <f t="shared" ca="1" si="215"/>
        <v/>
      </c>
      <c r="K348" s="408" t="str">
        <f t="shared" ca="1" si="215"/>
        <v/>
      </c>
      <c r="L348" s="408" t="str">
        <f t="shared" ca="1" si="215"/>
        <v/>
      </c>
      <c r="M348" s="408" t="str">
        <f t="shared" ca="1" si="215"/>
        <v/>
      </c>
      <c r="N348" s="408" t="str">
        <f t="shared" ca="1" si="215"/>
        <v/>
      </c>
      <c r="O348" s="408" t="str">
        <f t="shared" ca="1" si="215"/>
        <v/>
      </c>
      <c r="P348" s="408" t="str">
        <f t="shared" ca="1" si="215"/>
        <v/>
      </c>
      <c r="Q348" s="408" t="str">
        <f t="shared" ca="1" si="215"/>
        <v/>
      </c>
      <c r="R348" s="410" t="str">
        <f ca="1">Cluster!J367</f>
        <v>Selection</v>
      </c>
      <c r="S348" s="411" t="str">
        <f t="shared" ca="1" si="194"/>
        <v>-</v>
      </c>
      <c r="T348" s="412" t="str">
        <f t="shared" ca="1" si="195"/>
        <v/>
      </c>
      <c r="U348" s="411" t="str">
        <f t="shared" ca="1" si="196"/>
        <v>-</v>
      </c>
      <c r="V348" s="411" t="str">
        <f t="shared" ca="1" si="197"/>
        <v>-</v>
      </c>
      <c r="W348" s="413">
        <f>Cluster!N367</f>
        <v>0</v>
      </c>
      <c r="X348" s="414" t="str">
        <f t="shared" ca="1" si="198"/>
        <v>-</v>
      </c>
      <c r="Y348" s="411" t="str">
        <f t="shared" ca="1" si="199"/>
        <v>-</v>
      </c>
      <c r="Z348" s="415" t="str">
        <f t="shared" ca="1" si="200"/>
        <v>-</v>
      </c>
      <c r="AA348" s="416" t="str">
        <f t="shared" ca="1" si="201"/>
        <v>-</v>
      </c>
      <c r="AB348" s="416" t="str">
        <f t="shared" ca="1" si="202"/>
        <v/>
      </c>
      <c r="AC348" s="434">
        <f>Cluster!Q367</f>
        <v>0</v>
      </c>
      <c r="AD348" s="435" t="str">
        <f t="shared" ca="1" si="203"/>
        <v/>
      </c>
      <c r="AE348" s="436" t="str">
        <f t="shared" ca="1" si="203"/>
        <v/>
      </c>
      <c r="AF348" s="437" t="str">
        <f t="shared" ca="1" si="204"/>
        <v>-</v>
      </c>
      <c r="AG348" s="438" t="str">
        <f t="shared" ca="1" si="205"/>
        <v>-</v>
      </c>
      <c r="AH348" s="437" t="str">
        <f t="shared" ca="1" si="206"/>
        <v>-</v>
      </c>
      <c r="AI348" s="438" t="str">
        <f t="shared" ca="1" si="207"/>
        <v>-</v>
      </c>
      <c r="AJ348" s="438" t="str">
        <f t="shared" ca="1" si="208"/>
        <v>-</v>
      </c>
      <c r="AK348" s="439" t="str">
        <f ca="1">IFERROR(AE348*AD348*AL348/(IF(Cluster!AA367=Cluster!$W$8,Cluster!$W$10,IF(Cluster!AA367=Cluster!$X$8,Cluster!$X$10,IF(Cluster!AA367=Cluster!$Y$8,Cluster!$Y$10,0)))*10^3),"-")</f>
        <v>-</v>
      </c>
      <c r="AL348" s="440" t="str">
        <f ca="1">IFERROR(IF(OR(Calculation!T348&lt;(Calculation!$U$8+2),Calculation!AC348="Bypass"),IF((IF(Calculation!$O$6/((Calculation!AD348*10^-12)/(Calculation!T348*10^-9)*50)&lt;=1,1,ROUNDUP(Calculation!$O$6/((Calculation!AD348*10^-12)/(Calculation!T348*10^-9)*50),0))*50)&lt;Calculation!$AK$6,Calculation!$AK$6,IF(Calculation!$O$6/((Calculation!AD348*10^-12)/(Calculation!T348*10^-9)*50)&lt;=1,1,ROUNDUP(Calculation!$O$6/((Calculation!AD348*10^-12)/(Calculation!T348*10^-9)*50),0))*50),"-"),"-")</f>
        <v>-</v>
      </c>
      <c r="AM348" s="441" t="str">
        <f t="shared" ca="1" si="209"/>
        <v/>
      </c>
      <c r="AN348" s="442" t="str">
        <f t="shared" ca="1" si="209"/>
        <v/>
      </c>
      <c r="AO348" s="432">
        <f t="shared" ca="1" si="210"/>
        <v>384</v>
      </c>
      <c r="AP348" s="427" t="str">
        <f t="shared" ca="1" si="211"/>
        <v>-</v>
      </c>
      <c r="AQ348" s="443" t="str">
        <f t="shared" ca="1" si="212"/>
        <v>-</v>
      </c>
      <c r="AR348" s="444" t="str">
        <f t="shared" ca="1" si="213"/>
        <v>-</v>
      </c>
      <c r="AS348" s="430" t="str">
        <f t="shared" ca="1" si="214"/>
        <v>-</v>
      </c>
    </row>
    <row r="349" spans="1:45" ht="14.25" x14ac:dyDescent="0.65">
      <c r="A349" s="407">
        <v>341</v>
      </c>
      <c r="B349" s="408" t="str">
        <f t="shared" ca="1" si="191"/>
        <v/>
      </c>
      <c r="C349" s="408" t="str">
        <f ca="1">IFERROR(IF(G349="","",CONCATENATE(E349,"-",INDEX(Coordinate,MATCH(F349,ListAndConversion!$X$4:$X$99,0),2))),"")</f>
        <v/>
      </c>
      <c r="D349" s="408" t="str">
        <f t="shared" ca="1" si="192"/>
        <v/>
      </c>
      <c r="E349" s="408" t="str">
        <f t="shared" ca="1" si="192"/>
        <v/>
      </c>
      <c r="F349" s="408" t="str">
        <f t="shared" ca="1" si="192"/>
        <v/>
      </c>
      <c r="G349" s="408" t="str">
        <f ca="1">IFERROR(INDEX(ListAndConversion!A:B,MATCH(Calculation!E349,ListAndConversion!A:A,0),2),"")</f>
        <v/>
      </c>
      <c r="H349" s="408" t="str">
        <f>IF(TrackIT_Lines!AD341="","",TrackIT_Lines!AD341)</f>
        <v/>
      </c>
      <c r="I349" s="408" t="str">
        <f>IF(TrackIT_Lines!AD341="","",CONCATENATE(TrackIT_Lines!AD341,"-",TrackIT_Lines!AG341))</f>
        <v/>
      </c>
      <c r="J349" s="409" t="str">
        <f t="shared" ca="1" si="215"/>
        <v/>
      </c>
      <c r="K349" s="408" t="str">
        <f t="shared" ca="1" si="215"/>
        <v/>
      </c>
      <c r="L349" s="408" t="str">
        <f t="shared" ca="1" si="215"/>
        <v/>
      </c>
      <c r="M349" s="408" t="str">
        <f t="shared" ca="1" si="215"/>
        <v/>
      </c>
      <c r="N349" s="408" t="str">
        <f t="shared" ca="1" si="215"/>
        <v/>
      </c>
      <c r="O349" s="408" t="str">
        <f t="shared" ca="1" si="215"/>
        <v/>
      </c>
      <c r="P349" s="408" t="str">
        <f t="shared" ca="1" si="215"/>
        <v/>
      </c>
      <c r="Q349" s="408" t="str">
        <f t="shared" ca="1" si="215"/>
        <v/>
      </c>
      <c r="R349" s="410" t="str">
        <f ca="1">Cluster!J368</f>
        <v>Selection</v>
      </c>
      <c r="S349" s="411" t="str">
        <f t="shared" ca="1" si="194"/>
        <v>-</v>
      </c>
      <c r="T349" s="412" t="str">
        <f t="shared" ca="1" si="195"/>
        <v/>
      </c>
      <c r="U349" s="411" t="str">
        <f t="shared" ca="1" si="196"/>
        <v>-</v>
      </c>
      <c r="V349" s="411" t="str">
        <f t="shared" ca="1" si="197"/>
        <v>-</v>
      </c>
      <c r="W349" s="413">
        <f>Cluster!N368</f>
        <v>0</v>
      </c>
      <c r="X349" s="414" t="str">
        <f t="shared" ca="1" si="198"/>
        <v>-</v>
      </c>
      <c r="Y349" s="411" t="str">
        <f t="shared" ca="1" si="199"/>
        <v>-</v>
      </c>
      <c r="Z349" s="415" t="str">
        <f t="shared" ca="1" si="200"/>
        <v>-</v>
      </c>
      <c r="AA349" s="416" t="str">
        <f t="shared" ca="1" si="201"/>
        <v>-</v>
      </c>
      <c r="AB349" s="416" t="str">
        <f t="shared" ca="1" si="202"/>
        <v/>
      </c>
      <c r="AC349" s="434">
        <f>Cluster!Q368</f>
        <v>0</v>
      </c>
      <c r="AD349" s="435" t="str">
        <f t="shared" ca="1" si="203"/>
        <v/>
      </c>
      <c r="AE349" s="436" t="str">
        <f t="shared" ca="1" si="203"/>
        <v/>
      </c>
      <c r="AF349" s="437" t="str">
        <f t="shared" ca="1" si="204"/>
        <v>-</v>
      </c>
      <c r="AG349" s="438" t="str">
        <f t="shared" ca="1" si="205"/>
        <v>-</v>
      </c>
      <c r="AH349" s="437" t="str">
        <f t="shared" ca="1" si="206"/>
        <v>-</v>
      </c>
      <c r="AI349" s="438" t="str">
        <f t="shared" ca="1" si="207"/>
        <v>-</v>
      </c>
      <c r="AJ349" s="438" t="str">
        <f t="shared" ca="1" si="208"/>
        <v>-</v>
      </c>
      <c r="AK349" s="439" t="str">
        <f ca="1">IFERROR(AE349*AD349*AL349/(IF(Cluster!AA368=Cluster!$W$8,Cluster!$W$10,IF(Cluster!AA368=Cluster!$X$8,Cluster!$X$10,IF(Cluster!AA368=Cluster!$Y$8,Cluster!$Y$10,0)))*10^3),"-")</f>
        <v>-</v>
      </c>
      <c r="AL349" s="440" t="str">
        <f ca="1">IFERROR(IF(OR(Calculation!T349&lt;(Calculation!$U$8+2),Calculation!AC349="Bypass"),IF((IF(Calculation!$O$6/((Calculation!AD349*10^-12)/(Calculation!T349*10^-9)*50)&lt;=1,1,ROUNDUP(Calculation!$O$6/((Calculation!AD349*10^-12)/(Calculation!T349*10^-9)*50),0))*50)&lt;Calculation!$AK$6,Calculation!$AK$6,IF(Calculation!$O$6/((Calculation!AD349*10^-12)/(Calculation!T349*10^-9)*50)&lt;=1,1,ROUNDUP(Calculation!$O$6/((Calculation!AD349*10^-12)/(Calculation!T349*10^-9)*50),0))*50),"-"),"-")</f>
        <v>-</v>
      </c>
      <c r="AM349" s="441" t="str">
        <f t="shared" ca="1" si="209"/>
        <v/>
      </c>
      <c r="AN349" s="442" t="str">
        <f t="shared" ca="1" si="209"/>
        <v/>
      </c>
      <c r="AO349" s="432">
        <f t="shared" ca="1" si="210"/>
        <v>384</v>
      </c>
      <c r="AP349" s="427" t="str">
        <f t="shared" ca="1" si="211"/>
        <v>-</v>
      </c>
      <c r="AQ349" s="443" t="str">
        <f t="shared" ca="1" si="212"/>
        <v>-</v>
      </c>
      <c r="AR349" s="444" t="str">
        <f t="shared" ca="1" si="213"/>
        <v>-</v>
      </c>
      <c r="AS349" s="430" t="str">
        <f t="shared" ca="1" si="214"/>
        <v>-</v>
      </c>
    </row>
    <row r="350" spans="1:45" ht="14.25" x14ac:dyDescent="0.65">
      <c r="A350" s="407">
        <v>342</v>
      </c>
      <c r="B350" s="408" t="str">
        <f t="shared" ca="1" si="191"/>
        <v/>
      </c>
      <c r="C350" s="408" t="str">
        <f ca="1">IFERROR(IF(G350="","",CONCATENATE(E350,"-",INDEX(Coordinate,MATCH(F350,ListAndConversion!$X$4:$X$99,0),2))),"")</f>
        <v/>
      </c>
      <c r="D350" s="408" t="str">
        <f t="shared" ref="D350:F369" ca="1" si="216">IF((INDIRECT("TrackIT_Lines!"&amp;D$2&amp;$A350))="","", (INDIRECT("TrackIT_Lines!"&amp;D$2&amp;$A350)))</f>
        <v/>
      </c>
      <c r="E350" s="408" t="str">
        <f t="shared" ca="1" si="216"/>
        <v/>
      </c>
      <c r="F350" s="408" t="str">
        <f t="shared" ca="1" si="216"/>
        <v/>
      </c>
      <c r="G350" s="408" t="str">
        <f ca="1">IFERROR(INDEX(ListAndConversion!A:B,MATCH(Calculation!E350,ListAndConversion!A:A,0),2),"")</f>
        <v/>
      </c>
      <c r="H350" s="408" t="str">
        <f>IF(TrackIT_Lines!AD342="","",TrackIT_Lines!AD342)</f>
        <v/>
      </c>
      <c r="I350" s="408" t="str">
        <f>IF(TrackIT_Lines!AD342="","",CONCATENATE(TrackIT_Lines!AD342,"-",TrackIT_Lines!AG342))</f>
        <v/>
      </c>
      <c r="J350" s="409" t="str">
        <f t="shared" ref="J350:Q359" ca="1" si="217">IF((INDIRECT("TrackIT_Lines!"&amp;J$2&amp;$A350))="","", (INDIRECT("TrackIT_Lines!"&amp;J$2&amp;$A350)))</f>
        <v/>
      </c>
      <c r="K350" s="408" t="str">
        <f t="shared" ca="1" si="217"/>
        <v/>
      </c>
      <c r="L350" s="408" t="str">
        <f t="shared" ca="1" si="217"/>
        <v/>
      </c>
      <c r="M350" s="408" t="str">
        <f t="shared" ca="1" si="217"/>
        <v/>
      </c>
      <c r="N350" s="408" t="str">
        <f t="shared" ca="1" si="217"/>
        <v/>
      </c>
      <c r="O350" s="408" t="str">
        <f t="shared" ca="1" si="217"/>
        <v/>
      </c>
      <c r="P350" s="408" t="str">
        <f t="shared" ca="1" si="217"/>
        <v/>
      </c>
      <c r="Q350" s="408" t="str">
        <f t="shared" ca="1" si="217"/>
        <v/>
      </c>
      <c r="R350" s="410" t="str">
        <f ca="1">Cluster!J369</f>
        <v>Selection</v>
      </c>
      <c r="S350" s="411" t="str">
        <f t="shared" ca="1" si="194"/>
        <v>-</v>
      </c>
      <c r="T350" s="412" t="str">
        <f t="shared" ca="1" si="195"/>
        <v/>
      </c>
      <c r="U350" s="411" t="str">
        <f t="shared" ca="1" si="196"/>
        <v>-</v>
      </c>
      <c r="V350" s="411" t="str">
        <f t="shared" ca="1" si="197"/>
        <v>-</v>
      </c>
      <c r="W350" s="413">
        <f>Cluster!N369</f>
        <v>0</v>
      </c>
      <c r="X350" s="414" t="str">
        <f t="shared" ca="1" si="198"/>
        <v>-</v>
      </c>
      <c r="Y350" s="411" t="str">
        <f t="shared" ca="1" si="199"/>
        <v>-</v>
      </c>
      <c r="Z350" s="415" t="str">
        <f t="shared" ca="1" si="200"/>
        <v>-</v>
      </c>
      <c r="AA350" s="416" t="str">
        <f t="shared" ca="1" si="201"/>
        <v>-</v>
      </c>
      <c r="AB350" s="416" t="str">
        <f t="shared" ca="1" si="202"/>
        <v/>
      </c>
      <c r="AC350" s="434">
        <f>Cluster!Q369</f>
        <v>0</v>
      </c>
      <c r="AD350" s="435" t="str">
        <f t="shared" ref="AD350:AE369" ca="1" si="218">IF((INDIRECT("TrackIT_Lines!"&amp;AD$2&amp;$A350))="","", (INDIRECT("TrackIT_Lines!"&amp;AD$2&amp;$A350)))</f>
        <v/>
      </c>
      <c r="AE350" s="436" t="str">
        <f t="shared" ca="1" si="218"/>
        <v/>
      </c>
      <c r="AF350" s="437" t="str">
        <f t="shared" ca="1" si="204"/>
        <v>-</v>
      </c>
      <c r="AG350" s="438" t="str">
        <f t="shared" ca="1" si="205"/>
        <v>-</v>
      </c>
      <c r="AH350" s="437" t="str">
        <f t="shared" ca="1" si="206"/>
        <v>-</v>
      </c>
      <c r="AI350" s="438" t="str">
        <f t="shared" ca="1" si="207"/>
        <v>-</v>
      </c>
      <c r="AJ350" s="438" t="str">
        <f t="shared" ca="1" si="208"/>
        <v>-</v>
      </c>
      <c r="AK350" s="439" t="str">
        <f ca="1">IFERROR(AE350*AD350*AL350/(IF(Cluster!AA369=Cluster!$W$8,Cluster!$W$10,IF(Cluster!AA369=Cluster!$X$8,Cluster!$X$10,IF(Cluster!AA369=Cluster!$Y$8,Cluster!$Y$10,0)))*10^3),"-")</f>
        <v>-</v>
      </c>
      <c r="AL350" s="440" t="str">
        <f ca="1">IFERROR(IF(OR(Calculation!T350&lt;(Calculation!$U$8+2),Calculation!AC350="Bypass"),IF((IF(Calculation!$O$6/((Calculation!AD350*10^-12)/(Calculation!T350*10^-9)*50)&lt;=1,1,ROUNDUP(Calculation!$O$6/((Calculation!AD350*10^-12)/(Calculation!T350*10^-9)*50),0))*50)&lt;Calculation!$AK$6,Calculation!$AK$6,IF(Calculation!$O$6/((Calculation!AD350*10^-12)/(Calculation!T350*10^-9)*50)&lt;=1,1,ROUNDUP(Calculation!$O$6/((Calculation!AD350*10^-12)/(Calculation!T350*10^-9)*50),0))*50),"-"),"-")</f>
        <v>-</v>
      </c>
      <c r="AM350" s="441" t="str">
        <f t="shared" ref="AM350:AN369" ca="1" si="219">IF((INDIRECT("TrackIT_Lines!"&amp;AM$2&amp;$A350))="","", (INDIRECT("TrackIT_Lines!"&amp;AM$2&amp;$A350)))</f>
        <v/>
      </c>
      <c r="AN350" s="442" t="str">
        <f t="shared" ca="1" si="219"/>
        <v/>
      </c>
      <c r="AO350" s="432">
        <f t="shared" ca="1" si="210"/>
        <v>384</v>
      </c>
      <c r="AP350" s="427" t="str">
        <f t="shared" ca="1" si="211"/>
        <v>-</v>
      </c>
      <c r="AQ350" s="443" t="str">
        <f t="shared" ca="1" si="212"/>
        <v>-</v>
      </c>
      <c r="AR350" s="444" t="str">
        <f t="shared" ca="1" si="213"/>
        <v>-</v>
      </c>
      <c r="AS350" s="430" t="str">
        <f t="shared" ca="1" si="214"/>
        <v>-</v>
      </c>
    </row>
    <row r="351" spans="1:45" ht="14.25" x14ac:dyDescent="0.65">
      <c r="A351" s="407">
        <v>343</v>
      </c>
      <c r="B351" s="408" t="str">
        <f t="shared" ca="1" si="191"/>
        <v/>
      </c>
      <c r="C351" s="408" t="str">
        <f ca="1">IFERROR(IF(G351="","",CONCATENATE(E351,"-",INDEX(Coordinate,MATCH(F351,ListAndConversion!$X$4:$X$99,0),2))),"")</f>
        <v/>
      </c>
      <c r="D351" s="408" t="str">
        <f t="shared" ca="1" si="216"/>
        <v/>
      </c>
      <c r="E351" s="408" t="str">
        <f t="shared" ca="1" si="216"/>
        <v/>
      </c>
      <c r="F351" s="408" t="str">
        <f t="shared" ca="1" si="216"/>
        <v/>
      </c>
      <c r="G351" s="408" t="str">
        <f ca="1">IFERROR(INDEX(ListAndConversion!A:B,MATCH(Calculation!E351,ListAndConversion!A:A,0),2),"")</f>
        <v/>
      </c>
      <c r="H351" s="408" t="str">
        <f>IF(TrackIT_Lines!AD343="","",TrackIT_Lines!AD343)</f>
        <v/>
      </c>
      <c r="I351" s="408" t="str">
        <f>IF(TrackIT_Lines!AD343="","",CONCATENATE(TrackIT_Lines!AD343,"-",TrackIT_Lines!AG343))</f>
        <v/>
      </c>
      <c r="J351" s="409" t="str">
        <f t="shared" ca="1" si="217"/>
        <v/>
      </c>
      <c r="K351" s="408" t="str">
        <f t="shared" ca="1" si="217"/>
        <v/>
      </c>
      <c r="L351" s="408" t="str">
        <f t="shared" ca="1" si="217"/>
        <v/>
      </c>
      <c r="M351" s="408" t="str">
        <f t="shared" ca="1" si="217"/>
        <v/>
      </c>
      <c r="N351" s="408" t="str">
        <f t="shared" ca="1" si="217"/>
        <v/>
      </c>
      <c r="O351" s="408" t="str">
        <f t="shared" ca="1" si="217"/>
        <v/>
      </c>
      <c r="P351" s="408" t="str">
        <f t="shared" ca="1" si="217"/>
        <v/>
      </c>
      <c r="Q351" s="408" t="str">
        <f t="shared" ca="1" si="217"/>
        <v/>
      </c>
      <c r="R351" s="410" t="str">
        <f ca="1">Cluster!J370</f>
        <v>Selection</v>
      </c>
      <c r="S351" s="411" t="str">
        <f t="shared" ca="1" si="194"/>
        <v>-</v>
      </c>
      <c r="T351" s="412" t="str">
        <f t="shared" ca="1" si="195"/>
        <v/>
      </c>
      <c r="U351" s="411" t="str">
        <f t="shared" ca="1" si="196"/>
        <v>-</v>
      </c>
      <c r="V351" s="411" t="str">
        <f t="shared" ca="1" si="197"/>
        <v>-</v>
      </c>
      <c r="W351" s="413">
        <f>Cluster!N370</f>
        <v>0</v>
      </c>
      <c r="X351" s="414" t="str">
        <f t="shared" ca="1" si="198"/>
        <v>-</v>
      </c>
      <c r="Y351" s="411" t="str">
        <f t="shared" ca="1" si="199"/>
        <v>-</v>
      </c>
      <c r="Z351" s="415" t="str">
        <f t="shared" ca="1" si="200"/>
        <v>-</v>
      </c>
      <c r="AA351" s="416" t="str">
        <f t="shared" ca="1" si="201"/>
        <v>-</v>
      </c>
      <c r="AB351" s="416" t="str">
        <f t="shared" ca="1" si="202"/>
        <v/>
      </c>
      <c r="AC351" s="434">
        <f>Cluster!Q370</f>
        <v>0</v>
      </c>
      <c r="AD351" s="435" t="str">
        <f t="shared" ca="1" si="218"/>
        <v/>
      </c>
      <c r="AE351" s="436" t="str">
        <f t="shared" ca="1" si="218"/>
        <v/>
      </c>
      <c r="AF351" s="437" t="str">
        <f t="shared" ca="1" si="204"/>
        <v>-</v>
      </c>
      <c r="AG351" s="438" t="str">
        <f t="shared" ca="1" si="205"/>
        <v>-</v>
      </c>
      <c r="AH351" s="437" t="str">
        <f t="shared" ca="1" si="206"/>
        <v>-</v>
      </c>
      <c r="AI351" s="438" t="str">
        <f t="shared" ca="1" si="207"/>
        <v>-</v>
      </c>
      <c r="AJ351" s="438" t="str">
        <f t="shared" ca="1" si="208"/>
        <v>-</v>
      </c>
      <c r="AK351" s="439" t="str">
        <f ca="1">IFERROR(AE351*AD351*AL351/(IF(Cluster!AA370=Cluster!$W$8,Cluster!$W$10,IF(Cluster!AA370=Cluster!$X$8,Cluster!$X$10,IF(Cluster!AA370=Cluster!$Y$8,Cluster!$Y$10,0)))*10^3),"-")</f>
        <v>-</v>
      </c>
      <c r="AL351" s="440" t="str">
        <f ca="1">IFERROR(IF(OR(Calculation!T351&lt;(Calculation!$U$8+2),Calculation!AC351="Bypass"),IF((IF(Calculation!$O$6/((Calculation!AD351*10^-12)/(Calculation!T351*10^-9)*50)&lt;=1,1,ROUNDUP(Calculation!$O$6/((Calculation!AD351*10^-12)/(Calculation!T351*10^-9)*50),0))*50)&lt;Calculation!$AK$6,Calculation!$AK$6,IF(Calculation!$O$6/((Calculation!AD351*10^-12)/(Calculation!T351*10^-9)*50)&lt;=1,1,ROUNDUP(Calculation!$O$6/((Calculation!AD351*10^-12)/(Calculation!T351*10^-9)*50),0))*50),"-"),"-")</f>
        <v>-</v>
      </c>
      <c r="AM351" s="441" t="str">
        <f t="shared" ca="1" si="219"/>
        <v/>
      </c>
      <c r="AN351" s="442" t="str">
        <f t="shared" ca="1" si="219"/>
        <v/>
      </c>
      <c r="AO351" s="432">
        <f t="shared" ca="1" si="210"/>
        <v>384</v>
      </c>
      <c r="AP351" s="427" t="str">
        <f t="shared" ca="1" si="211"/>
        <v>-</v>
      </c>
      <c r="AQ351" s="443" t="str">
        <f t="shared" ca="1" si="212"/>
        <v>-</v>
      </c>
      <c r="AR351" s="444" t="str">
        <f t="shared" ca="1" si="213"/>
        <v>-</v>
      </c>
      <c r="AS351" s="430" t="str">
        <f t="shared" ca="1" si="214"/>
        <v>-</v>
      </c>
    </row>
    <row r="352" spans="1:45" ht="14.25" x14ac:dyDescent="0.65">
      <c r="A352" s="407">
        <v>344</v>
      </c>
      <c r="B352" s="408" t="str">
        <f t="shared" ca="1" si="191"/>
        <v/>
      </c>
      <c r="C352" s="408" t="str">
        <f ca="1">IFERROR(IF(G352="","",CONCATENATE(E352,"-",INDEX(Coordinate,MATCH(F352,ListAndConversion!$X$4:$X$99,0),2))),"")</f>
        <v/>
      </c>
      <c r="D352" s="408" t="str">
        <f t="shared" ca="1" si="216"/>
        <v/>
      </c>
      <c r="E352" s="408" t="str">
        <f t="shared" ca="1" si="216"/>
        <v/>
      </c>
      <c r="F352" s="408" t="str">
        <f t="shared" ca="1" si="216"/>
        <v/>
      </c>
      <c r="G352" s="408" t="str">
        <f ca="1">IFERROR(INDEX(ListAndConversion!A:B,MATCH(Calculation!E352,ListAndConversion!A:A,0),2),"")</f>
        <v/>
      </c>
      <c r="H352" s="408" t="str">
        <f>IF(TrackIT_Lines!AD344="","",TrackIT_Lines!AD344)</f>
        <v/>
      </c>
      <c r="I352" s="408" t="str">
        <f>IF(TrackIT_Lines!AD344="","",CONCATENATE(TrackIT_Lines!AD344,"-",TrackIT_Lines!AG344))</f>
        <v/>
      </c>
      <c r="J352" s="409" t="str">
        <f t="shared" ca="1" si="217"/>
        <v/>
      </c>
      <c r="K352" s="408" t="str">
        <f t="shared" ca="1" si="217"/>
        <v/>
      </c>
      <c r="L352" s="408" t="str">
        <f t="shared" ca="1" si="217"/>
        <v/>
      </c>
      <c r="M352" s="408" t="str">
        <f t="shared" ca="1" si="217"/>
        <v/>
      </c>
      <c r="N352" s="408" t="str">
        <f t="shared" ca="1" si="217"/>
        <v/>
      </c>
      <c r="O352" s="408" t="str">
        <f t="shared" ca="1" si="217"/>
        <v/>
      </c>
      <c r="P352" s="408" t="str">
        <f t="shared" ca="1" si="217"/>
        <v/>
      </c>
      <c r="Q352" s="408" t="str">
        <f t="shared" ca="1" si="217"/>
        <v/>
      </c>
      <c r="R352" s="410" t="str">
        <f ca="1">Cluster!J371</f>
        <v>Selection</v>
      </c>
      <c r="S352" s="411" t="str">
        <f t="shared" ca="1" si="194"/>
        <v>-</v>
      </c>
      <c r="T352" s="412" t="str">
        <f t="shared" ca="1" si="195"/>
        <v/>
      </c>
      <c r="U352" s="411" t="str">
        <f t="shared" ca="1" si="196"/>
        <v>-</v>
      </c>
      <c r="V352" s="411" t="str">
        <f t="shared" ca="1" si="197"/>
        <v>-</v>
      </c>
      <c r="W352" s="413">
        <f>Cluster!N371</f>
        <v>0</v>
      </c>
      <c r="X352" s="414" t="str">
        <f t="shared" ca="1" si="198"/>
        <v>-</v>
      </c>
      <c r="Y352" s="411" t="str">
        <f t="shared" ca="1" si="199"/>
        <v>-</v>
      </c>
      <c r="Z352" s="415" t="str">
        <f t="shared" ca="1" si="200"/>
        <v>-</v>
      </c>
      <c r="AA352" s="416" t="str">
        <f t="shared" ca="1" si="201"/>
        <v>-</v>
      </c>
      <c r="AB352" s="416" t="str">
        <f t="shared" ca="1" si="202"/>
        <v/>
      </c>
      <c r="AC352" s="434">
        <f>Cluster!Q371</f>
        <v>0</v>
      </c>
      <c r="AD352" s="435" t="str">
        <f t="shared" ca="1" si="218"/>
        <v/>
      </c>
      <c r="AE352" s="436" t="str">
        <f t="shared" ca="1" si="218"/>
        <v/>
      </c>
      <c r="AF352" s="437" t="str">
        <f t="shared" ca="1" si="204"/>
        <v>-</v>
      </c>
      <c r="AG352" s="438" t="str">
        <f t="shared" ca="1" si="205"/>
        <v>-</v>
      </c>
      <c r="AH352" s="437" t="str">
        <f t="shared" ca="1" si="206"/>
        <v>-</v>
      </c>
      <c r="AI352" s="438" t="str">
        <f t="shared" ca="1" si="207"/>
        <v>-</v>
      </c>
      <c r="AJ352" s="438" t="str">
        <f t="shared" ca="1" si="208"/>
        <v>-</v>
      </c>
      <c r="AK352" s="439" t="str">
        <f ca="1">IFERROR(AE352*AD352*AL352/(IF(Cluster!AA371=Cluster!$W$8,Cluster!$W$10,IF(Cluster!AA371=Cluster!$X$8,Cluster!$X$10,IF(Cluster!AA371=Cluster!$Y$8,Cluster!$Y$10,0)))*10^3),"-")</f>
        <v>-</v>
      </c>
      <c r="AL352" s="440" t="str">
        <f ca="1">IFERROR(IF(OR(Calculation!T352&lt;(Calculation!$U$8+2),Calculation!AC352="Bypass"),IF((IF(Calculation!$O$6/((Calculation!AD352*10^-12)/(Calculation!T352*10^-9)*50)&lt;=1,1,ROUNDUP(Calculation!$O$6/((Calculation!AD352*10^-12)/(Calculation!T352*10^-9)*50),0))*50)&lt;Calculation!$AK$6,Calculation!$AK$6,IF(Calculation!$O$6/((Calculation!AD352*10^-12)/(Calculation!T352*10^-9)*50)&lt;=1,1,ROUNDUP(Calculation!$O$6/((Calculation!AD352*10^-12)/(Calculation!T352*10^-9)*50),0))*50),"-"),"-")</f>
        <v>-</v>
      </c>
      <c r="AM352" s="441" t="str">
        <f t="shared" ca="1" si="219"/>
        <v/>
      </c>
      <c r="AN352" s="442" t="str">
        <f t="shared" ca="1" si="219"/>
        <v/>
      </c>
      <c r="AO352" s="432">
        <f t="shared" ca="1" si="210"/>
        <v>384</v>
      </c>
      <c r="AP352" s="427" t="str">
        <f t="shared" ca="1" si="211"/>
        <v>-</v>
      </c>
      <c r="AQ352" s="443" t="str">
        <f t="shared" ca="1" si="212"/>
        <v>-</v>
      </c>
      <c r="AR352" s="444" t="str">
        <f t="shared" ca="1" si="213"/>
        <v>-</v>
      </c>
      <c r="AS352" s="430" t="str">
        <f t="shared" ca="1" si="214"/>
        <v>-</v>
      </c>
    </row>
    <row r="353" spans="1:45" ht="14.25" x14ac:dyDescent="0.65">
      <c r="A353" s="407">
        <v>345</v>
      </c>
      <c r="B353" s="408" t="str">
        <f t="shared" ca="1" si="191"/>
        <v/>
      </c>
      <c r="C353" s="408" t="str">
        <f ca="1">IFERROR(IF(G353="","",CONCATENATE(E353,"-",INDEX(Coordinate,MATCH(F353,ListAndConversion!$X$4:$X$99,0),2))),"")</f>
        <v/>
      </c>
      <c r="D353" s="408" t="str">
        <f t="shared" ca="1" si="216"/>
        <v/>
      </c>
      <c r="E353" s="408" t="str">
        <f t="shared" ca="1" si="216"/>
        <v/>
      </c>
      <c r="F353" s="408" t="str">
        <f t="shared" ca="1" si="216"/>
        <v/>
      </c>
      <c r="G353" s="408" t="str">
        <f ca="1">IFERROR(INDEX(ListAndConversion!A:B,MATCH(Calculation!E353,ListAndConversion!A:A,0),2),"")</f>
        <v/>
      </c>
      <c r="H353" s="408" t="str">
        <f>IF(TrackIT_Lines!AD345="","",TrackIT_Lines!AD345)</f>
        <v/>
      </c>
      <c r="I353" s="408" t="str">
        <f>IF(TrackIT_Lines!AD345="","",CONCATENATE(TrackIT_Lines!AD345,"-",TrackIT_Lines!AG345))</f>
        <v/>
      </c>
      <c r="J353" s="409" t="str">
        <f t="shared" ca="1" si="217"/>
        <v/>
      </c>
      <c r="K353" s="408" t="str">
        <f t="shared" ca="1" si="217"/>
        <v/>
      </c>
      <c r="L353" s="408" t="str">
        <f t="shared" ca="1" si="217"/>
        <v/>
      </c>
      <c r="M353" s="408" t="str">
        <f t="shared" ca="1" si="217"/>
        <v/>
      </c>
      <c r="N353" s="408" t="str">
        <f t="shared" ca="1" si="217"/>
        <v/>
      </c>
      <c r="O353" s="408" t="str">
        <f t="shared" ca="1" si="217"/>
        <v/>
      </c>
      <c r="P353" s="408" t="str">
        <f t="shared" ca="1" si="217"/>
        <v/>
      </c>
      <c r="Q353" s="408" t="str">
        <f t="shared" ca="1" si="217"/>
        <v/>
      </c>
      <c r="R353" s="410" t="str">
        <f ca="1">Cluster!J372</f>
        <v>Selection</v>
      </c>
      <c r="S353" s="411" t="str">
        <f t="shared" ca="1" si="194"/>
        <v>-</v>
      </c>
      <c r="T353" s="412" t="str">
        <f t="shared" ca="1" si="195"/>
        <v/>
      </c>
      <c r="U353" s="411" t="str">
        <f t="shared" ca="1" si="196"/>
        <v>-</v>
      </c>
      <c r="V353" s="411" t="str">
        <f t="shared" ca="1" si="197"/>
        <v>-</v>
      </c>
      <c r="W353" s="413">
        <f>Cluster!N372</f>
        <v>0</v>
      </c>
      <c r="X353" s="414" t="str">
        <f t="shared" ca="1" si="198"/>
        <v>-</v>
      </c>
      <c r="Y353" s="411" t="str">
        <f t="shared" ca="1" si="199"/>
        <v>-</v>
      </c>
      <c r="Z353" s="415" t="str">
        <f t="shared" ca="1" si="200"/>
        <v>-</v>
      </c>
      <c r="AA353" s="416" t="str">
        <f t="shared" ca="1" si="201"/>
        <v>-</v>
      </c>
      <c r="AB353" s="416" t="str">
        <f t="shared" ca="1" si="202"/>
        <v/>
      </c>
      <c r="AC353" s="434">
        <f>Cluster!Q372</f>
        <v>0</v>
      </c>
      <c r="AD353" s="435" t="str">
        <f t="shared" ca="1" si="218"/>
        <v/>
      </c>
      <c r="AE353" s="436" t="str">
        <f t="shared" ca="1" si="218"/>
        <v/>
      </c>
      <c r="AF353" s="437" t="str">
        <f t="shared" ca="1" si="204"/>
        <v>-</v>
      </c>
      <c r="AG353" s="438" t="str">
        <f t="shared" ca="1" si="205"/>
        <v>-</v>
      </c>
      <c r="AH353" s="437" t="str">
        <f t="shared" ca="1" si="206"/>
        <v>-</v>
      </c>
      <c r="AI353" s="438" t="str">
        <f t="shared" ca="1" si="207"/>
        <v>-</v>
      </c>
      <c r="AJ353" s="438" t="str">
        <f t="shared" ca="1" si="208"/>
        <v>-</v>
      </c>
      <c r="AK353" s="439" t="str">
        <f ca="1">IFERROR(AE353*AD353*AL353/(IF(Cluster!AA372=Cluster!$W$8,Cluster!$W$10,IF(Cluster!AA372=Cluster!$X$8,Cluster!$X$10,IF(Cluster!AA372=Cluster!$Y$8,Cluster!$Y$10,0)))*10^3),"-")</f>
        <v>-</v>
      </c>
      <c r="AL353" s="440" t="str">
        <f ca="1">IFERROR(IF(OR(Calculation!T353&lt;(Calculation!$U$8+2),Calculation!AC353="Bypass"),IF((IF(Calculation!$O$6/((Calculation!AD353*10^-12)/(Calculation!T353*10^-9)*50)&lt;=1,1,ROUNDUP(Calculation!$O$6/((Calculation!AD353*10^-12)/(Calculation!T353*10^-9)*50),0))*50)&lt;Calculation!$AK$6,Calculation!$AK$6,IF(Calculation!$O$6/((Calculation!AD353*10^-12)/(Calculation!T353*10^-9)*50)&lt;=1,1,ROUNDUP(Calculation!$O$6/((Calculation!AD353*10^-12)/(Calculation!T353*10^-9)*50),0))*50),"-"),"-")</f>
        <v>-</v>
      </c>
      <c r="AM353" s="441" t="str">
        <f t="shared" ca="1" si="219"/>
        <v/>
      </c>
      <c r="AN353" s="442" t="str">
        <f t="shared" ca="1" si="219"/>
        <v/>
      </c>
      <c r="AO353" s="432">
        <f t="shared" ca="1" si="210"/>
        <v>384</v>
      </c>
      <c r="AP353" s="427" t="str">
        <f t="shared" ca="1" si="211"/>
        <v>-</v>
      </c>
      <c r="AQ353" s="443" t="str">
        <f t="shared" ca="1" si="212"/>
        <v>-</v>
      </c>
      <c r="AR353" s="444" t="str">
        <f t="shared" ca="1" si="213"/>
        <v>-</v>
      </c>
      <c r="AS353" s="430" t="str">
        <f t="shared" ca="1" si="214"/>
        <v>-</v>
      </c>
    </row>
    <row r="354" spans="1:45" ht="14.25" x14ac:dyDescent="0.65">
      <c r="A354" s="407">
        <v>346</v>
      </c>
      <c r="B354" s="408" t="str">
        <f t="shared" ca="1" si="191"/>
        <v/>
      </c>
      <c r="C354" s="408" t="str">
        <f ca="1">IFERROR(IF(G354="","",CONCATENATE(E354,"-",INDEX(Coordinate,MATCH(F354,ListAndConversion!$X$4:$X$99,0),2))),"")</f>
        <v/>
      </c>
      <c r="D354" s="408" t="str">
        <f t="shared" ca="1" si="216"/>
        <v/>
      </c>
      <c r="E354" s="408" t="str">
        <f t="shared" ca="1" si="216"/>
        <v/>
      </c>
      <c r="F354" s="408" t="str">
        <f t="shared" ca="1" si="216"/>
        <v/>
      </c>
      <c r="G354" s="408" t="str">
        <f ca="1">IFERROR(INDEX(ListAndConversion!A:B,MATCH(Calculation!E354,ListAndConversion!A:A,0),2),"")</f>
        <v/>
      </c>
      <c r="H354" s="408" t="str">
        <f>IF(TrackIT_Lines!AD346="","",TrackIT_Lines!AD346)</f>
        <v/>
      </c>
      <c r="I354" s="408" t="str">
        <f>IF(TrackIT_Lines!AD346="","",CONCATENATE(TrackIT_Lines!AD346,"-",TrackIT_Lines!AG346))</f>
        <v/>
      </c>
      <c r="J354" s="409" t="str">
        <f t="shared" ca="1" si="217"/>
        <v/>
      </c>
      <c r="K354" s="408" t="str">
        <f t="shared" ca="1" si="217"/>
        <v/>
      </c>
      <c r="L354" s="408" t="str">
        <f t="shared" ca="1" si="217"/>
        <v/>
      </c>
      <c r="M354" s="408" t="str">
        <f t="shared" ca="1" si="217"/>
        <v/>
      </c>
      <c r="N354" s="408" t="str">
        <f t="shared" ca="1" si="217"/>
        <v/>
      </c>
      <c r="O354" s="408" t="str">
        <f t="shared" ca="1" si="217"/>
        <v/>
      </c>
      <c r="P354" s="408" t="str">
        <f t="shared" ca="1" si="217"/>
        <v/>
      </c>
      <c r="Q354" s="408" t="str">
        <f t="shared" ca="1" si="217"/>
        <v/>
      </c>
      <c r="R354" s="410" t="str">
        <f ca="1">Cluster!J373</f>
        <v>Selection</v>
      </c>
      <c r="S354" s="411" t="str">
        <f t="shared" ca="1" si="194"/>
        <v>-</v>
      </c>
      <c r="T354" s="412" t="str">
        <f t="shared" ca="1" si="195"/>
        <v/>
      </c>
      <c r="U354" s="411" t="str">
        <f t="shared" ca="1" si="196"/>
        <v>-</v>
      </c>
      <c r="V354" s="411" t="str">
        <f t="shared" ca="1" si="197"/>
        <v>-</v>
      </c>
      <c r="W354" s="413">
        <f>Cluster!N373</f>
        <v>0</v>
      </c>
      <c r="X354" s="414" t="str">
        <f t="shared" ca="1" si="198"/>
        <v>-</v>
      </c>
      <c r="Y354" s="411" t="str">
        <f t="shared" ca="1" si="199"/>
        <v>-</v>
      </c>
      <c r="Z354" s="415" t="str">
        <f t="shared" ca="1" si="200"/>
        <v>-</v>
      </c>
      <c r="AA354" s="416" t="str">
        <f t="shared" ca="1" si="201"/>
        <v>-</v>
      </c>
      <c r="AB354" s="416" t="str">
        <f t="shared" ca="1" si="202"/>
        <v/>
      </c>
      <c r="AC354" s="434">
        <f>Cluster!Q373</f>
        <v>0</v>
      </c>
      <c r="AD354" s="435" t="str">
        <f t="shared" ca="1" si="218"/>
        <v/>
      </c>
      <c r="AE354" s="436" t="str">
        <f t="shared" ca="1" si="218"/>
        <v/>
      </c>
      <c r="AF354" s="437" t="str">
        <f t="shared" ca="1" si="204"/>
        <v>-</v>
      </c>
      <c r="AG354" s="438" t="str">
        <f t="shared" ca="1" si="205"/>
        <v>-</v>
      </c>
      <c r="AH354" s="437" t="str">
        <f t="shared" ca="1" si="206"/>
        <v>-</v>
      </c>
      <c r="AI354" s="438" t="str">
        <f t="shared" ca="1" si="207"/>
        <v>-</v>
      </c>
      <c r="AJ354" s="438" t="str">
        <f t="shared" ca="1" si="208"/>
        <v>-</v>
      </c>
      <c r="AK354" s="439" t="str">
        <f ca="1">IFERROR(AE354*AD354*AL354/(IF(Cluster!AA373=Cluster!$W$8,Cluster!$W$10,IF(Cluster!AA373=Cluster!$X$8,Cluster!$X$10,IF(Cluster!AA373=Cluster!$Y$8,Cluster!$Y$10,0)))*10^3),"-")</f>
        <v>-</v>
      </c>
      <c r="AL354" s="440" t="str">
        <f ca="1">IFERROR(IF(OR(Calculation!T354&lt;(Calculation!$U$8+2),Calculation!AC354="Bypass"),IF((IF(Calculation!$O$6/((Calculation!AD354*10^-12)/(Calculation!T354*10^-9)*50)&lt;=1,1,ROUNDUP(Calculation!$O$6/((Calculation!AD354*10^-12)/(Calculation!T354*10^-9)*50),0))*50)&lt;Calculation!$AK$6,Calculation!$AK$6,IF(Calculation!$O$6/((Calculation!AD354*10^-12)/(Calculation!T354*10^-9)*50)&lt;=1,1,ROUNDUP(Calculation!$O$6/((Calculation!AD354*10^-12)/(Calculation!T354*10^-9)*50),0))*50),"-"),"-")</f>
        <v>-</v>
      </c>
      <c r="AM354" s="441" t="str">
        <f t="shared" ca="1" si="219"/>
        <v/>
      </c>
      <c r="AN354" s="442" t="str">
        <f t="shared" ca="1" si="219"/>
        <v/>
      </c>
      <c r="AO354" s="432">
        <f t="shared" ca="1" si="210"/>
        <v>384</v>
      </c>
      <c r="AP354" s="427" t="str">
        <f t="shared" ca="1" si="211"/>
        <v>-</v>
      </c>
      <c r="AQ354" s="443" t="str">
        <f t="shared" ca="1" si="212"/>
        <v>-</v>
      </c>
      <c r="AR354" s="444" t="str">
        <f t="shared" ca="1" si="213"/>
        <v>-</v>
      </c>
      <c r="AS354" s="430" t="str">
        <f t="shared" ca="1" si="214"/>
        <v>-</v>
      </c>
    </row>
    <row r="355" spans="1:45" ht="14.25" x14ac:dyDescent="0.65">
      <c r="A355" s="407">
        <v>347</v>
      </c>
      <c r="B355" s="408" t="str">
        <f t="shared" ca="1" si="191"/>
        <v/>
      </c>
      <c r="C355" s="408" t="str">
        <f ca="1">IFERROR(IF(G355="","",CONCATENATE(E355,"-",INDEX(Coordinate,MATCH(F355,ListAndConversion!$X$4:$X$99,0),2))),"")</f>
        <v/>
      </c>
      <c r="D355" s="408" t="str">
        <f t="shared" ca="1" si="216"/>
        <v/>
      </c>
      <c r="E355" s="408" t="str">
        <f t="shared" ca="1" si="216"/>
        <v/>
      </c>
      <c r="F355" s="408" t="str">
        <f t="shared" ca="1" si="216"/>
        <v/>
      </c>
      <c r="G355" s="408" t="str">
        <f ca="1">IFERROR(INDEX(ListAndConversion!A:B,MATCH(Calculation!E355,ListAndConversion!A:A,0),2),"")</f>
        <v/>
      </c>
      <c r="H355" s="408" t="str">
        <f>IF(TrackIT_Lines!AD347="","",TrackIT_Lines!AD347)</f>
        <v/>
      </c>
      <c r="I355" s="408" t="str">
        <f>IF(TrackIT_Lines!AD347="","",CONCATENATE(TrackIT_Lines!AD347,"-",TrackIT_Lines!AG347))</f>
        <v/>
      </c>
      <c r="J355" s="409" t="str">
        <f t="shared" ca="1" si="217"/>
        <v/>
      </c>
      <c r="K355" s="408" t="str">
        <f t="shared" ca="1" si="217"/>
        <v/>
      </c>
      <c r="L355" s="408" t="str">
        <f t="shared" ca="1" si="217"/>
        <v/>
      </c>
      <c r="M355" s="408" t="str">
        <f t="shared" ca="1" si="217"/>
        <v/>
      </c>
      <c r="N355" s="408" t="str">
        <f t="shared" ca="1" si="217"/>
        <v/>
      </c>
      <c r="O355" s="408" t="str">
        <f t="shared" ca="1" si="217"/>
        <v/>
      </c>
      <c r="P355" s="408" t="str">
        <f t="shared" ca="1" si="217"/>
        <v/>
      </c>
      <c r="Q355" s="408" t="str">
        <f t="shared" ca="1" si="217"/>
        <v/>
      </c>
      <c r="R355" s="410" t="str">
        <f ca="1">Cluster!J374</f>
        <v>Selection</v>
      </c>
      <c r="S355" s="411" t="str">
        <f t="shared" ca="1" si="194"/>
        <v>-</v>
      </c>
      <c r="T355" s="412" t="str">
        <f t="shared" ca="1" si="195"/>
        <v/>
      </c>
      <c r="U355" s="411" t="str">
        <f t="shared" ca="1" si="196"/>
        <v>-</v>
      </c>
      <c r="V355" s="411" t="str">
        <f t="shared" ca="1" si="197"/>
        <v>-</v>
      </c>
      <c r="W355" s="413">
        <f>Cluster!N374</f>
        <v>0</v>
      </c>
      <c r="X355" s="414" t="str">
        <f t="shared" ca="1" si="198"/>
        <v>-</v>
      </c>
      <c r="Y355" s="411" t="str">
        <f t="shared" ca="1" si="199"/>
        <v>-</v>
      </c>
      <c r="Z355" s="415" t="str">
        <f t="shared" ca="1" si="200"/>
        <v>-</v>
      </c>
      <c r="AA355" s="416" t="str">
        <f t="shared" ca="1" si="201"/>
        <v>-</v>
      </c>
      <c r="AB355" s="416" t="str">
        <f t="shared" ca="1" si="202"/>
        <v/>
      </c>
      <c r="AC355" s="434">
        <f>Cluster!Q374</f>
        <v>0</v>
      </c>
      <c r="AD355" s="435" t="str">
        <f t="shared" ca="1" si="218"/>
        <v/>
      </c>
      <c r="AE355" s="436" t="str">
        <f t="shared" ca="1" si="218"/>
        <v/>
      </c>
      <c r="AF355" s="437" t="str">
        <f t="shared" ca="1" si="204"/>
        <v>-</v>
      </c>
      <c r="AG355" s="438" t="str">
        <f t="shared" ca="1" si="205"/>
        <v>-</v>
      </c>
      <c r="AH355" s="437" t="str">
        <f t="shared" ca="1" si="206"/>
        <v>-</v>
      </c>
      <c r="AI355" s="438" t="str">
        <f t="shared" ca="1" si="207"/>
        <v>-</v>
      </c>
      <c r="AJ355" s="438" t="str">
        <f t="shared" ca="1" si="208"/>
        <v>-</v>
      </c>
      <c r="AK355" s="439" t="str">
        <f ca="1">IFERROR(AE355*AD355*AL355/(IF(Cluster!AA374=Cluster!$W$8,Cluster!$W$10,IF(Cluster!AA374=Cluster!$X$8,Cluster!$X$10,IF(Cluster!AA374=Cluster!$Y$8,Cluster!$Y$10,0)))*10^3),"-")</f>
        <v>-</v>
      </c>
      <c r="AL355" s="440" t="str">
        <f ca="1">IFERROR(IF(OR(Calculation!T355&lt;(Calculation!$U$8+2),Calculation!AC355="Bypass"),IF((IF(Calculation!$O$6/((Calculation!AD355*10^-12)/(Calculation!T355*10^-9)*50)&lt;=1,1,ROUNDUP(Calculation!$O$6/((Calculation!AD355*10^-12)/(Calculation!T355*10^-9)*50),0))*50)&lt;Calculation!$AK$6,Calculation!$AK$6,IF(Calculation!$O$6/((Calculation!AD355*10^-12)/(Calculation!T355*10^-9)*50)&lt;=1,1,ROUNDUP(Calculation!$O$6/((Calculation!AD355*10^-12)/(Calculation!T355*10^-9)*50),0))*50),"-"),"-")</f>
        <v>-</v>
      </c>
      <c r="AM355" s="441" t="str">
        <f t="shared" ca="1" si="219"/>
        <v/>
      </c>
      <c r="AN355" s="442" t="str">
        <f t="shared" ca="1" si="219"/>
        <v/>
      </c>
      <c r="AO355" s="432">
        <f t="shared" ca="1" si="210"/>
        <v>384</v>
      </c>
      <c r="AP355" s="427" t="str">
        <f t="shared" ca="1" si="211"/>
        <v>-</v>
      </c>
      <c r="AQ355" s="443" t="str">
        <f t="shared" ca="1" si="212"/>
        <v>-</v>
      </c>
      <c r="AR355" s="444" t="str">
        <f t="shared" ca="1" si="213"/>
        <v>-</v>
      </c>
      <c r="AS355" s="430" t="str">
        <f t="shared" ca="1" si="214"/>
        <v>-</v>
      </c>
    </row>
    <row r="356" spans="1:45" ht="14.25" x14ac:dyDescent="0.65">
      <c r="A356" s="407">
        <v>348</v>
      </c>
      <c r="B356" s="408" t="str">
        <f t="shared" ca="1" si="191"/>
        <v/>
      </c>
      <c r="C356" s="408" t="str">
        <f ca="1">IFERROR(IF(G356="","",CONCATENATE(E356,"-",INDEX(Coordinate,MATCH(F356,ListAndConversion!$X$4:$X$99,0),2))),"")</f>
        <v/>
      </c>
      <c r="D356" s="408" t="str">
        <f t="shared" ca="1" si="216"/>
        <v/>
      </c>
      <c r="E356" s="408" t="str">
        <f t="shared" ca="1" si="216"/>
        <v/>
      </c>
      <c r="F356" s="408" t="str">
        <f t="shared" ca="1" si="216"/>
        <v/>
      </c>
      <c r="G356" s="408" t="str">
        <f ca="1">IFERROR(INDEX(ListAndConversion!A:B,MATCH(Calculation!E356,ListAndConversion!A:A,0),2),"")</f>
        <v/>
      </c>
      <c r="H356" s="408" t="str">
        <f>IF(TrackIT_Lines!AD348="","",TrackIT_Lines!AD348)</f>
        <v/>
      </c>
      <c r="I356" s="408" t="str">
        <f>IF(TrackIT_Lines!AD348="","",CONCATENATE(TrackIT_Lines!AD348,"-",TrackIT_Lines!AG348))</f>
        <v/>
      </c>
      <c r="J356" s="409" t="str">
        <f t="shared" ca="1" si="217"/>
        <v/>
      </c>
      <c r="K356" s="408" t="str">
        <f t="shared" ca="1" si="217"/>
        <v/>
      </c>
      <c r="L356" s="408" t="str">
        <f t="shared" ca="1" si="217"/>
        <v/>
      </c>
      <c r="M356" s="408" t="str">
        <f t="shared" ca="1" si="217"/>
        <v/>
      </c>
      <c r="N356" s="408" t="str">
        <f t="shared" ca="1" si="217"/>
        <v/>
      </c>
      <c r="O356" s="408" t="str">
        <f t="shared" ca="1" si="217"/>
        <v/>
      </c>
      <c r="P356" s="408" t="str">
        <f t="shared" ca="1" si="217"/>
        <v/>
      </c>
      <c r="Q356" s="408" t="str">
        <f t="shared" ca="1" si="217"/>
        <v/>
      </c>
      <c r="R356" s="410" t="str">
        <f ca="1">Cluster!J375</f>
        <v>Selection</v>
      </c>
      <c r="S356" s="411" t="str">
        <f t="shared" ca="1" si="194"/>
        <v>-</v>
      </c>
      <c r="T356" s="412" t="str">
        <f t="shared" ca="1" si="195"/>
        <v/>
      </c>
      <c r="U356" s="411" t="str">
        <f t="shared" ca="1" si="196"/>
        <v>-</v>
      </c>
      <c r="V356" s="411" t="str">
        <f t="shared" ca="1" si="197"/>
        <v>-</v>
      </c>
      <c r="W356" s="413">
        <f>Cluster!N375</f>
        <v>0</v>
      </c>
      <c r="X356" s="414" t="str">
        <f t="shared" ca="1" si="198"/>
        <v>-</v>
      </c>
      <c r="Y356" s="411" t="str">
        <f t="shared" ca="1" si="199"/>
        <v>-</v>
      </c>
      <c r="Z356" s="415" t="str">
        <f t="shared" ca="1" si="200"/>
        <v>-</v>
      </c>
      <c r="AA356" s="416" t="str">
        <f t="shared" ca="1" si="201"/>
        <v>-</v>
      </c>
      <c r="AB356" s="416" t="str">
        <f t="shared" ca="1" si="202"/>
        <v/>
      </c>
      <c r="AC356" s="434">
        <f>Cluster!Q375</f>
        <v>0</v>
      </c>
      <c r="AD356" s="435" t="str">
        <f t="shared" ca="1" si="218"/>
        <v/>
      </c>
      <c r="AE356" s="436" t="str">
        <f t="shared" ca="1" si="218"/>
        <v/>
      </c>
      <c r="AF356" s="437" t="str">
        <f t="shared" ca="1" si="204"/>
        <v>-</v>
      </c>
      <c r="AG356" s="438" t="str">
        <f t="shared" ca="1" si="205"/>
        <v>-</v>
      </c>
      <c r="AH356" s="437" t="str">
        <f t="shared" ca="1" si="206"/>
        <v>-</v>
      </c>
      <c r="AI356" s="438" t="str">
        <f t="shared" ca="1" si="207"/>
        <v>-</v>
      </c>
      <c r="AJ356" s="438" t="str">
        <f t="shared" ca="1" si="208"/>
        <v>-</v>
      </c>
      <c r="AK356" s="439" t="str">
        <f ca="1">IFERROR(AE356*AD356*AL356/(IF(Cluster!AA375=Cluster!$W$8,Cluster!$W$10,IF(Cluster!AA375=Cluster!$X$8,Cluster!$X$10,IF(Cluster!AA375=Cluster!$Y$8,Cluster!$Y$10,0)))*10^3),"-")</f>
        <v>-</v>
      </c>
      <c r="AL356" s="440" t="str">
        <f ca="1">IFERROR(IF(OR(Calculation!T356&lt;(Calculation!$U$8+2),Calculation!AC356="Bypass"),IF((IF(Calculation!$O$6/((Calculation!AD356*10^-12)/(Calculation!T356*10^-9)*50)&lt;=1,1,ROUNDUP(Calculation!$O$6/((Calculation!AD356*10^-12)/(Calculation!T356*10^-9)*50),0))*50)&lt;Calculation!$AK$6,Calculation!$AK$6,IF(Calculation!$O$6/((Calculation!AD356*10^-12)/(Calculation!T356*10^-9)*50)&lt;=1,1,ROUNDUP(Calculation!$O$6/((Calculation!AD356*10^-12)/(Calculation!T356*10^-9)*50),0))*50),"-"),"-")</f>
        <v>-</v>
      </c>
      <c r="AM356" s="441" t="str">
        <f t="shared" ca="1" si="219"/>
        <v/>
      </c>
      <c r="AN356" s="442" t="str">
        <f t="shared" ca="1" si="219"/>
        <v/>
      </c>
      <c r="AO356" s="432">
        <f t="shared" ca="1" si="210"/>
        <v>384</v>
      </c>
      <c r="AP356" s="427" t="str">
        <f t="shared" ca="1" si="211"/>
        <v>-</v>
      </c>
      <c r="AQ356" s="443" t="str">
        <f t="shared" ca="1" si="212"/>
        <v>-</v>
      </c>
      <c r="AR356" s="444" t="str">
        <f t="shared" ca="1" si="213"/>
        <v>-</v>
      </c>
      <c r="AS356" s="430" t="str">
        <f t="shared" ca="1" si="214"/>
        <v>-</v>
      </c>
    </row>
    <row r="357" spans="1:45" ht="14.25" x14ac:dyDescent="0.65">
      <c r="A357" s="407">
        <v>349</v>
      </c>
      <c r="B357" s="408" t="str">
        <f t="shared" ca="1" si="191"/>
        <v/>
      </c>
      <c r="C357" s="408" t="str">
        <f ca="1">IFERROR(IF(G357="","",CONCATENATE(E357,"-",INDEX(Coordinate,MATCH(F357,ListAndConversion!$X$4:$X$99,0),2))),"")</f>
        <v/>
      </c>
      <c r="D357" s="408" t="str">
        <f t="shared" ca="1" si="216"/>
        <v/>
      </c>
      <c r="E357" s="408" t="str">
        <f t="shared" ca="1" si="216"/>
        <v/>
      </c>
      <c r="F357" s="408" t="str">
        <f t="shared" ca="1" si="216"/>
        <v/>
      </c>
      <c r="G357" s="408" t="str">
        <f ca="1">IFERROR(INDEX(ListAndConversion!A:B,MATCH(Calculation!E357,ListAndConversion!A:A,0),2),"")</f>
        <v/>
      </c>
      <c r="H357" s="408" t="str">
        <f>IF(TrackIT_Lines!AD349="","",TrackIT_Lines!AD349)</f>
        <v/>
      </c>
      <c r="I357" s="408" t="str">
        <f>IF(TrackIT_Lines!AD349="","",CONCATENATE(TrackIT_Lines!AD349,"-",TrackIT_Lines!AG349))</f>
        <v/>
      </c>
      <c r="J357" s="409" t="str">
        <f t="shared" ca="1" si="217"/>
        <v/>
      </c>
      <c r="K357" s="408" t="str">
        <f t="shared" ca="1" si="217"/>
        <v/>
      </c>
      <c r="L357" s="408" t="str">
        <f t="shared" ca="1" si="217"/>
        <v/>
      </c>
      <c r="M357" s="408" t="str">
        <f t="shared" ca="1" si="217"/>
        <v/>
      </c>
      <c r="N357" s="408" t="str">
        <f t="shared" ca="1" si="217"/>
        <v/>
      </c>
      <c r="O357" s="408" t="str">
        <f t="shared" ca="1" si="217"/>
        <v/>
      </c>
      <c r="P357" s="408" t="str">
        <f t="shared" ca="1" si="217"/>
        <v/>
      </c>
      <c r="Q357" s="408" t="str">
        <f t="shared" ca="1" si="217"/>
        <v/>
      </c>
      <c r="R357" s="410" t="str">
        <f ca="1">Cluster!J376</f>
        <v>Selection</v>
      </c>
      <c r="S357" s="411" t="str">
        <f t="shared" ca="1" si="194"/>
        <v>-</v>
      </c>
      <c r="T357" s="412" t="str">
        <f t="shared" ca="1" si="195"/>
        <v/>
      </c>
      <c r="U357" s="411" t="str">
        <f t="shared" ca="1" si="196"/>
        <v>-</v>
      </c>
      <c r="V357" s="411" t="str">
        <f t="shared" ca="1" si="197"/>
        <v>-</v>
      </c>
      <c r="W357" s="413">
        <f>Cluster!N376</f>
        <v>0</v>
      </c>
      <c r="X357" s="414" t="str">
        <f t="shared" ca="1" si="198"/>
        <v>-</v>
      </c>
      <c r="Y357" s="411" t="str">
        <f t="shared" ca="1" si="199"/>
        <v>-</v>
      </c>
      <c r="Z357" s="415" t="str">
        <f t="shared" ca="1" si="200"/>
        <v>-</v>
      </c>
      <c r="AA357" s="416" t="str">
        <f t="shared" ca="1" si="201"/>
        <v>-</v>
      </c>
      <c r="AB357" s="416" t="str">
        <f t="shared" ca="1" si="202"/>
        <v/>
      </c>
      <c r="AC357" s="434">
        <f>Cluster!Q376</f>
        <v>0</v>
      </c>
      <c r="AD357" s="435" t="str">
        <f t="shared" ca="1" si="218"/>
        <v/>
      </c>
      <c r="AE357" s="436" t="str">
        <f t="shared" ca="1" si="218"/>
        <v/>
      </c>
      <c r="AF357" s="437" t="str">
        <f t="shared" ca="1" si="204"/>
        <v>-</v>
      </c>
      <c r="AG357" s="438" t="str">
        <f t="shared" ca="1" si="205"/>
        <v>-</v>
      </c>
      <c r="AH357" s="437" t="str">
        <f t="shared" ca="1" si="206"/>
        <v>-</v>
      </c>
      <c r="AI357" s="438" t="str">
        <f t="shared" ca="1" si="207"/>
        <v>-</v>
      </c>
      <c r="AJ357" s="438" t="str">
        <f t="shared" ca="1" si="208"/>
        <v>-</v>
      </c>
      <c r="AK357" s="439" t="str">
        <f ca="1">IFERROR(AE357*AD357*AL357/(IF(Cluster!AA376=Cluster!$W$8,Cluster!$W$10,IF(Cluster!AA376=Cluster!$X$8,Cluster!$X$10,IF(Cluster!AA376=Cluster!$Y$8,Cluster!$Y$10,0)))*10^3),"-")</f>
        <v>-</v>
      </c>
      <c r="AL357" s="440" t="str">
        <f ca="1">IFERROR(IF(OR(Calculation!T357&lt;(Calculation!$U$8+2),Calculation!AC357="Bypass"),IF((IF(Calculation!$O$6/((Calculation!AD357*10^-12)/(Calculation!T357*10^-9)*50)&lt;=1,1,ROUNDUP(Calculation!$O$6/((Calculation!AD357*10^-12)/(Calculation!T357*10^-9)*50),0))*50)&lt;Calculation!$AK$6,Calculation!$AK$6,IF(Calculation!$O$6/((Calculation!AD357*10^-12)/(Calculation!T357*10^-9)*50)&lt;=1,1,ROUNDUP(Calculation!$O$6/((Calculation!AD357*10^-12)/(Calculation!T357*10^-9)*50),0))*50),"-"),"-")</f>
        <v>-</v>
      </c>
      <c r="AM357" s="441" t="str">
        <f t="shared" ca="1" si="219"/>
        <v/>
      </c>
      <c r="AN357" s="442" t="str">
        <f t="shared" ca="1" si="219"/>
        <v/>
      </c>
      <c r="AO357" s="432">
        <f t="shared" ca="1" si="210"/>
        <v>384</v>
      </c>
      <c r="AP357" s="427" t="str">
        <f t="shared" ca="1" si="211"/>
        <v>-</v>
      </c>
      <c r="AQ357" s="443" t="str">
        <f t="shared" ca="1" si="212"/>
        <v>-</v>
      </c>
      <c r="AR357" s="444" t="str">
        <f t="shared" ca="1" si="213"/>
        <v>-</v>
      </c>
      <c r="AS357" s="430" t="str">
        <f t="shared" ca="1" si="214"/>
        <v>-</v>
      </c>
    </row>
    <row r="358" spans="1:45" ht="14.25" x14ac:dyDescent="0.65">
      <c r="A358" s="407">
        <v>350</v>
      </c>
      <c r="B358" s="408" t="str">
        <f t="shared" ca="1" si="191"/>
        <v/>
      </c>
      <c r="C358" s="408" t="str">
        <f ca="1">IFERROR(IF(G358="","",CONCATENATE(E358,"-",INDEX(Coordinate,MATCH(F358,ListAndConversion!$X$4:$X$99,0),2))),"")</f>
        <v/>
      </c>
      <c r="D358" s="408" t="str">
        <f t="shared" ca="1" si="216"/>
        <v/>
      </c>
      <c r="E358" s="408" t="str">
        <f t="shared" ca="1" si="216"/>
        <v/>
      </c>
      <c r="F358" s="408" t="str">
        <f t="shared" ca="1" si="216"/>
        <v/>
      </c>
      <c r="G358" s="408" t="str">
        <f ca="1">IFERROR(INDEX(ListAndConversion!A:B,MATCH(Calculation!E358,ListAndConversion!A:A,0),2),"")</f>
        <v/>
      </c>
      <c r="H358" s="408" t="str">
        <f>IF(TrackIT_Lines!AD350="","",TrackIT_Lines!AD350)</f>
        <v/>
      </c>
      <c r="I358" s="408" t="str">
        <f>IF(TrackIT_Lines!AD350="","",CONCATENATE(TrackIT_Lines!AD350,"-",TrackIT_Lines!AG350))</f>
        <v/>
      </c>
      <c r="J358" s="409" t="str">
        <f t="shared" ca="1" si="217"/>
        <v/>
      </c>
      <c r="K358" s="408" t="str">
        <f t="shared" ca="1" si="217"/>
        <v/>
      </c>
      <c r="L358" s="408" t="str">
        <f t="shared" ca="1" si="217"/>
        <v/>
      </c>
      <c r="M358" s="408" t="str">
        <f t="shared" ca="1" si="217"/>
        <v/>
      </c>
      <c r="N358" s="408" t="str">
        <f t="shared" ca="1" si="217"/>
        <v/>
      </c>
      <c r="O358" s="408" t="str">
        <f t="shared" ca="1" si="217"/>
        <v/>
      </c>
      <c r="P358" s="408" t="str">
        <f t="shared" ca="1" si="217"/>
        <v/>
      </c>
      <c r="Q358" s="408" t="str">
        <f t="shared" ca="1" si="217"/>
        <v/>
      </c>
      <c r="R358" s="410" t="str">
        <f ca="1">Cluster!J377</f>
        <v>Selection</v>
      </c>
      <c r="S358" s="411" t="str">
        <f t="shared" ca="1" si="194"/>
        <v>-</v>
      </c>
      <c r="T358" s="412" t="str">
        <f t="shared" ca="1" si="195"/>
        <v/>
      </c>
      <c r="U358" s="411" t="str">
        <f t="shared" ca="1" si="196"/>
        <v>-</v>
      </c>
      <c r="V358" s="411" t="str">
        <f t="shared" ca="1" si="197"/>
        <v>-</v>
      </c>
      <c r="W358" s="413">
        <f>Cluster!N377</f>
        <v>0</v>
      </c>
      <c r="X358" s="414" t="str">
        <f t="shared" ca="1" si="198"/>
        <v>-</v>
      </c>
      <c r="Y358" s="411" t="str">
        <f t="shared" ca="1" si="199"/>
        <v>-</v>
      </c>
      <c r="Z358" s="415" t="str">
        <f t="shared" ca="1" si="200"/>
        <v>-</v>
      </c>
      <c r="AA358" s="416" t="str">
        <f t="shared" ca="1" si="201"/>
        <v>-</v>
      </c>
      <c r="AB358" s="416" t="str">
        <f t="shared" ca="1" si="202"/>
        <v/>
      </c>
      <c r="AC358" s="434">
        <f>Cluster!Q377</f>
        <v>0</v>
      </c>
      <c r="AD358" s="435" t="str">
        <f t="shared" ca="1" si="218"/>
        <v/>
      </c>
      <c r="AE358" s="436" t="str">
        <f t="shared" ca="1" si="218"/>
        <v/>
      </c>
      <c r="AF358" s="437" t="str">
        <f t="shared" ca="1" si="204"/>
        <v>-</v>
      </c>
      <c r="AG358" s="438" t="str">
        <f t="shared" ca="1" si="205"/>
        <v>-</v>
      </c>
      <c r="AH358" s="437" t="str">
        <f t="shared" ca="1" si="206"/>
        <v>-</v>
      </c>
      <c r="AI358" s="438" t="str">
        <f t="shared" ca="1" si="207"/>
        <v>-</v>
      </c>
      <c r="AJ358" s="438" t="str">
        <f t="shared" ca="1" si="208"/>
        <v>-</v>
      </c>
      <c r="AK358" s="439" t="str">
        <f ca="1">IFERROR(AE358*AD358*AL358/(IF(Cluster!AA377=Cluster!$W$8,Cluster!$W$10,IF(Cluster!AA377=Cluster!$X$8,Cluster!$X$10,IF(Cluster!AA377=Cluster!$Y$8,Cluster!$Y$10,0)))*10^3),"-")</f>
        <v>-</v>
      </c>
      <c r="AL358" s="440" t="str">
        <f ca="1">IFERROR(IF(OR(Calculation!T358&lt;(Calculation!$U$8+2),Calculation!AC358="Bypass"),IF((IF(Calculation!$O$6/((Calculation!AD358*10^-12)/(Calculation!T358*10^-9)*50)&lt;=1,1,ROUNDUP(Calculation!$O$6/((Calculation!AD358*10^-12)/(Calculation!T358*10^-9)*50),0))*50)&lt;Calculation!$AK$6,Calculation!$AK$6,IF(Calculation!$O$6/((Calculation!AD358*10^-12)/(Calculation!T358*10^-9)*50)&lt;=1,1,ROUNDUP(Calculation!$O$6/((Calculation!AD358*10^-12)/(Calculation!T358*10^-9)*50),0))*50),"-"),"-")</f>
        <v>-</v>
      </c>
      <c r="AM358" s="441" t="str">
        <f t="shared" ca="1" si="219"/>
        <v/>
      </c>
      <c r="AN358" s="442" t="str">
        <f t="shared" ca="1" si="219"/>
        <v/>
      </c>
      <c r="AO358" s="432">
        <f t="shared" ca="1" si="210"/>
        <v>384</v>
      </c>
      <c r="AP358" s="427" t="str">
        <f t="shared" ca="1" si="211"/>
        <v>-</v>
      </c>
      <c r="AQ358" s="443" t="str">
        <f t="shared" ca="1" si="212"/>
        <v>-</v>
      </c>
      <c r="AR358" s="444" t="str">
        <f t="shared" ca="1" si="213"/>
        <v>-</v>
      </c>
      <c r="AS358" s="430" t="str">
        <f t="shared" ca="1" si="214"/>
        <v>-</v>
      </c>
    </row>
    <row r="359" spans="1:45" ht="14.25" x14ac:dyDescent="0.65">
      <c r="A359" s="407">
        <v>351</v>
      </c>
      <c r="B359" s="408" t="str">
        <f t="shared" ca="1" si="191"/>
        <v/>
      </c>
      <c r="C359" s="408" t="str">
        <f ca="1">IFERROR(IF(G359="","",CONCATENATE(E359,"-",INDEX(Coordinate,MATCH(F359,ListAndConversion!$X$4:$X$99,0),2))),"")</f>
        <v/>
      </c>
      <c r="D359" s="408" t="str">
        <f t="shared" ca="1" si="216"/>
        <v/>
      </c>
      <c r="E359" s="408" t="str">
        <f t="shared" ca="1" si="216"/>
        <v/>
      </c>
      <c r="F359" s="408" t="str">
        <f t="shared" ca="1" si="216"/>
        <v/>
      </c>
      <c r="G359" s="408" t="str">
        <f ca="1">IFERROR(INDEX(ListAndConversion!A:B,MATCH(Calculation!E359,ListAndConversion!A:A,0),2),"")</f>
        <v/>
      </c>
      <c r="H359" s="408" t="str">
        <f>IF(TrackIT_Lines!AD351="","",TrackIT_Lines!AD351)</f>
        <v/>
      </c>
      <c r="I359" s="408" t="str">
        <f>IF(TrackIT_Lines!AD351="","",CONCATENATE(TrackIT_Lines!AD351,"-",TrackIT_Lines!AG351))</f>
        <v/>
      </c>
      <c r="J359" s="409" t="str">
        <f t="shared" ca="1" si="217"/>
        <v/>
      </c>
      <c r="K359" s="408" t="str">
        <f t="shared" ca="1" si="217"/>
        <v/>
      </c>
      <c r="L359" s="408" t="str">
        <f t="shared" ca="1" si="217"/>
        <v/>
      </c>
      <c r="M359" s="408" t="str">
        <f t="shared" ca="1" si="217"/>
        <v/>
      </c>
      <c r="N359" s="408" t="str">
        <f t="shared" ca="1" si="217"/>
        <v/>
      </c>
      <c r="O359" s="408" t="str">
        <f t="shared" ca="1" si="217"/>
        <v/>
      </c>
      <c r="P359" s="408" t="str">
        <f t="shared" ca="1" si="217"/>
        <v/>
      </c>
      <c r="Q359" s="408" t="str">
        <f t="shared" ca="1" si="217"/>
        <v/>
      </c>
      <c r="R359" s="410" t="str">
        <f ca="1">Cluster!J378</f>
        <v>Selection</v>
      </c>
      <c r="S359" s="411" t="str">
        <f t="shared" ca="1" si="194"/>
        <v>-</v>
      </c>
      <c r="T359" s="412" t="str">
        <f t="shared" ca="1" si="195"/>
        <v/>
      </c>
      <c r="U359" s="411" t="str">
        <f t="shared" ca="1" si="196"/>
        <v>-</v>
      </c>
      <c r="V359" s="411" t="str">
        <f t="shared" ca="1" si="197"/>
        <v>-</v>
      </c>
      <c r="W359" s="413">
        <f>Cluster!N378</f>
        <v>0</v>
      </c>
      <c r="X359" s="414" t="str">
        <f t="shared" ca="1" si="198"/>
        <v>-</v>
      </c>
      <c r="Y359" s="411" t="str">
        <f t="shared" ca="1" si="199"/>
        <v>-</v>
      </c>
      <c r="Z359" s="415" t="str">
        <f t="shared" ca="1" si="200"/>
        <v>-</v>
      </c>
      <c r="AA359" s="416" t="str">
        <f t="shared" ca="1" si="201"/>
        <v>-</v>
      </c>
      <c r="AB359" s="416" t="str">
        <f t="shared" ca="1" si="202"/>
        <v/>
      </c>
      <c r="AC359" s="434">
        <f>Cluster!Q378</f>
        <v>0</v>
      </c>
      <c r="AD359" s="435" t="str">
        <f t="shared" ca="1" si="218"/>
        <v/>
      </c>
      <c r="AE359" s="436" t="str">
        <f t="shared" ca="1" si="218"/>
        <v/>
      </c>
      <c r="AF359" s="437" t="str">
        <f t="shared" ca="1" si="204"/>
        <v>-</v>
      </c>
      <c r="AG359" s="438" t="str">
        <f t="shared" ca="1" si="205"/>
        <v>-</v>
      </c>
      <c r="AH359" s="437" t="str">
        <f t="shared" ca="1" si="206"/>
        <v>-</v>
      </c>
      <c r="AI359" s="438" t="str">
        <f t="shared" ca="1" si="207"/>
        <v>-</v>
      </c>
      <c r="AJ359" s="438" t="str">
        <f t="shared" ca="1" si="208"/>
        <v>-</v>
      </c>
      <c r="AK359" s="439" t="str">
        <f ca="1">IFERROR(AE359*AD359*AL359/(IF(Cluster!AA378=Cluster!$W$8,Cluster!$W$10,IF(Cluster!AA378=Cluster!$X$8,Cluster!$X$10,IF(Cluster!AA378=Cluster!$Y$8,Cluster!$Y$10,0)))*10^3),"-")</f>
        <v>-</v>
      </c>
      <c r="AL359" s="440" t="str">
        <f ca="1">IFERROR(IF(OR(Calculation!T359&lt;(Calculation!$U$8+2),Calculation!AC359="Bypass"),IF((IF(Calculation!$O$6/((Calculation!AD359*10^-12)/(Calculation!T359*10^-9)*50)&lt;=1,1,ROUNDUP(Calculation!$O$6/((Calculation!AD359*10^-12)/(Calculation!T359*10^-9)*50),0))*50)&lt;Calculation!$AK$6,Calculation!$AK$6,IF(Calculation!$O$6/((Calculation!AD359*10^-12)/(Calculation!T359*10^-9)*50)&lt;=1,1,ROUNDUP(Calculation!$O$6/((Calculation!AD359*10^-12)/(Calculation!T359*10^-9)*50),0))*50),"-"),"-")</f>
        <v>-</v>
      </c>
      <c r="AM359" s="441" t="str">
        <f t="shared" ca="1" si="219"/>
        <v/>
      </c>
      <c r="AN359" s="442" t="str">
        <f t="shared" ca="1" si="219"/>
        <v/>
      </c>
      <c r="AO359" s="432">
        <f t="shared" ca="1" si="210"/>
        <v>384</v>
      </c>
      <c r="AP359" s="427" t="str">
        <f t="shared" ca="1" si="211"/>
        <v>-</v>
      </c>
      <c r="AQ359" s="443" t="str">
        <f t="shared" ca="1" si="212"/>
        <v>-</v>
      </c>
      <c r="AR359" s="444" t="str">
        <f t="shared" ca="1" si="213"/>
        <v>-</v>
      </c>
      <c r="AS359" s="430" t="str">
        <f t="shared" ca="1" si="214"/>
        <v>-</v>
      </c>
    </row>
    <row r="360" spans="1:45" ht="14.25" x14ac:dyDescent="0.65">
      <c r="A360" s="407">
        <v>352</v>
      </c>
      <c r="B360" s="408" t="str">
        <f t="shared" ca="1" si="191"/>
        <v/>
      </c>
      <c r="C360" s="408" t="str">
        <f ca="1">IFERROR(IF(G360="","",CONCATENATE(E360,"-",INDEX(Coordinate,MATCH(F360,ListAndConversion!$X$4:$X$99,0),2))),"")</f>
        <v/>
      </c>
      <c r="D360" s="408" t="str">
        <f t="shared" ca="1" si="216"/>
        <v/>
      </c>
      <c r="E360" s="408" t="str">
        <f t="shared" ca="1" si="216"/>
        <v/>
      </c>
      <c r="F360" s="408" t="str">
        <f t="shared" ca="1" si="216"/>
        <v/>
      </c>
      <c r="G360" s="408" t="str">
        <f ca="1">IFERROR(INDEX(ListAndConversion!A:B,MATCH(Calculation!E360,ListAndConversion!A:A,0),2),"")</f>
        <v/>
      </c>
      <c r="H360" s="408" t="str">
        <f>IF(TrackIT_Lines!AD352="","",TrackIT_Lines!AD352)</f>
        <v/>
      </c>
      <c r="I360" s="408" t="str">
        <f>IF(TrackIT_Lines!AD352="","",CONCATENATE(TrackIT_Lines!AD352,"-",TrackIT_Lines!AG352))</f>
        <v/>
      </c>
      <c r="J360" s="409" t="str">
        <f t="shared" ref="J360:Q369" ca="1" si="220">IF((INDIRECT("TrackIT_Lines!"&amp;J$2&amp;$A360))="","", (INDIRECT("TrackIT_Lines!"&amp;J$2&amp;$A360)))</f>
        <v/>
      </c>
      <c r="K360" s="408" t="str">
        <f t="shared" ca="1" si="220"/>
        <v/>
      </c>
      <c r="L360" s="408" t="str">
        <f t="shared" ca="1" si="220"/>
        <v/>
      </c>
      <c r="M360" s="408" t="str">
        <f t="shared" ca="1" si="220"/>
        <v/>
      </c>
      <c r="N360" s="408" t="str">
        <f t="shared" ca="1" si="220"/>
        <v/>
      </c>
      <c r="O360" s="408" t="str">
        <f t="shared" ca="1" si="220"/>
        <v/>
      </c>
      <c r="P360" s="408" t="str">
        <f t="shared" ca="1" si="220"/>
        <v/>
      </c>
      <c r="Q360" s="408" t="str">
        <f t="shared" ca="1" si="220"/>
        <v/>
      </c>
      <c r="R360" s="410" t="str">
        <f ca="1">Cluster!J379</f>
        <v>Selection</v>
      </c>
      <c r="S360" s="411" t="str">
        <f t="shared" ca="1" si="194"/>
        <v>-</v>
      </c>
      <c r="T360" s="412" t="str">
        <f t="shared" ca="1" si="195"/>
        <v/>
      </c>
      <c r="U360" s="411" t="str">
        <f t="shared" ca="1" si="196"/>
        <v>-</v>
      </c>
      <c r="V360" s="411" t="str">
        <f t="shared" ca="1" si="197"/>
        <v>-</v>
      </c>
      <c r="W360" s="413">
        <f>Cluster!N379</f>
        <v>0</v>
      </c>
      <c r="X360" s="414" t="str">
        <f t="shared" ca="1" si="198"/>
        <v>-</v>
      </c>
      <c r="Y360" s="411" t="str">
        <f t="shared" ca="1" si="199"/>
        <v>-</v>
      </c>
      <c r="Z360" s="415" t="str">
        <f t="shared" ca="1" si="200"/>
        <v>-</v>
      </c>
      <c r="AA360" s="416" t="str">
        <f t="shared" ca="1" si="201"/>
        <v>-</v>
      </c>
      <c r="AB360" s="416" t="str">
        <f t="shared" ca="1" si="202"/>
        <v/>
      </c>
      <c r="AC360" s="434">
        <f>Cluster!Q379</f>
        <v>0</v>
      </c>
      <c r="AD360" s="435" t="str">
        <f t="shared" ca="1" si="218"/>
        <v/>
      </c>
      <c r="AE360" s="436" t="str">
        <f t="shared" ca="1" si="218"/>
        <v/>
      </c>
      <c r="AF360" s="437" t="str">
        <f t="shared" ca="1" si="204"/>
        <v>-</v>
      </c>
      <c r="AG360" s="438" t="str">
        <f t="shared" ca="1" si="205"/>
        <v>-</v>
      </c>
      <c r="AH360" s="437" t="str">
        <f t="shared" ca="1" si="206"/>
        <v>-</v>
      </c>
      <c r="AI360" s="438" t="str">
        <f t="shared" ca="1" si="207"/>
        <v>-</v>
      </c>
      <c r="AJ360" s="438" t="str">
        <f t="shared" ca="1" si="208"/>
        <v>-</v>
      </c>
      <c r="AK360" s="439" t="str">
        <f ca="1">IFERROR(AE360*AD360*AL360/(IF(Cluster!AA379=Cluster!$W$8,Cluster!$W$10,IF(Cluster!AA379=Cluster!$X$8,Cluster!$X$10,IF(Cluster!AA379=Cluster!$Y$8,Cluster!$Y$10,0)))*10^3),"-")</f>
        <v>-</v>
      </c>
      <c r="AL360" s="440" t="str">
        <f ca="1">IFERROR(IF(OR(Calculation!T360&lt;(Calculation!$U$8+2),Calculation!AC360="Bypass"),IF((IF(Calculation!$O$6/((Calculation!AD360*10^-12)/(Calculation!T360*10^-9)*50)&lt;=1,1,ROUNDUP(Calculation!$O$6/((Calculation!AD360*10^-12)/(Calculation!T360*10^-9)*50),0))*50)&lt;Calculation!$AK$6,Calculation!$AK$6,IF(Calculation!$O$6/((Calculation!AD360*10^-12)/(Calculation!T360*10^-9)*50)&lt;=1,1,ROUNDUP(Calculation!$O$6/((Calculation!AD360*10^-12)/(Calculation!T360*10^-9)*50),0))*50),"-"),"-")</f>
        <v>-</v>
      </c>
      <c r="AM360" s="441" t="str">
        <f t="shared" ca="1" si="219"/>
        <v/>
      </c>
      <c r="AN360" s="442" t="str">
        <f t="shared" ca="1" si="219"/>
        <v/>
      </c>
      <c r="AO360" s="432">
        <f t="shared" ca="1" si="210"/>
        <v>384</v>
      </c>
      <c r="AP360" s="427" t="str">
        <f t="shared" ca="1" si="211"/>
        <v>-</v>
      </c>
      <c r="AQ360" s="443" t="str">
        <f t="shared" ca="1" si="212"/>
        <v>-</v>
      </c>
      <c r="AR360" s="444" t="str">
        <f t="shared" ca="1" si="213"/>
        <v>-</v>
      </c>
      <c r="AS360" s="430" t="str">
        <f t="shared" ca="1" si="214"/>
        <v>-</v>
      </c>
    </row>
    <row r="361" spans="1:45" ht="14.25" x14ac:dyDescent="0.65">
      <c r="A361" s="407">
        <v>353</v>
      </c>
      <c r="B361" s="408" t="str">
        <f t="shared" ca="1" si="191"/>
        <v/>
      </c>
      <c r="C361" s="408" t="str">
        <f ca="1">IFERROR(IF(G361="","",CONCATENATE(E361,"-",INDEX(Coordinate,MATCH(F361,ListAndConversion!$X$4:$X$99,0),2))),"")</f>
        <v/>
      </c>
      <c r="D361" s="408" t="str">
        <f t="shared" ca="1" si="216"/>
        <v/>
      </c>
      <c r="E361" s="408" t="str">
        <f t="shared" ca="1" si="216"/>
        <v/>
      </c>
      <c r="F361" s="408" t="str">
        <f t="shared" ca="1" si="216"/>
        <v/>
      </c>
      <c r="G361" s="408" t="str">
        <f ca="1">IFERROR(INDEX(ListAndConversion!A:B,MATCH(Calculation!E361,ListAndConversion!A:A,0),2),"")</f>
        <v/>
      </c>
      <c r="H361" s="408" t="str">
        <f>IF(TrackIT_Lines!AD353="","",TrackIT_Lines!AD353)</f>
        <v/>
      </c>
      <c r="I361" s="408" t="str">
        <f>IF(TrackIT_Lines!AD353="","",CONCATENATE(TrackIT_Lines!AD353,"-",TrackIT_Lines!AG353))</f>
        <v/>
      </c>
      <c r="J361" s="409" t="str">
        <f t="shared" ca="1" si="220"/>
        <v/>
      </c>
      <c r="K361" s="408" t="str">
        <f t="shared" ca="1" si="220"/>
        <v/>
      </c>
      <c r="L361" s="408" t="str">
        <f t="shared" ca="1" si="220"/>
        <v/>
      </c>
      <c r="M361" s="408" t="str">
        <f t="shared" ca="1" si="220"/>
        <v/>
      </c>
      <c r="N361" s="408" t="str">
        <f t="shared" ca="1" si="220"/>
        <v/>
      </c>
      <c r="O361" s="408" t="str">
        <f t="shared" ca="1" si="220"/>
        <v/>
      </c>
      <c r="P361" s="408" t="str">
        <f t="shared" ca="1" si="220"/>
        <v/>
      </c>
      <c r="Q361" s="408" t="str">
        <f t="shared" ca="1" si="220"/>
        <v/>
      </c>
      <c r="R361" s="410" t="str">
        <f ca="1">Cluster!J380</f>
        <v>Selection</v>
      </c>
      <c r="S361" s="411" t="str">
        <f t="shared" ca="1" si="194"/>
        <v>-</v>
      </c>
      <c r="T361" s="412" t="str">
        <f t="shared" ca="1" si="195"/>
        <v/>
      </c>
      <c r="U361" s="411" t="str">
        <f t="shared" ca="1" si="196"/>
        <v>-</v>
      </c>
      <c r="V361" s="411" t="str">
        <f t="shared" ca="1" si="197"/>
        <v>-</v>
      </c>
      <c r="W361" s="413">
        <f>Cluster!N380</f>
        <v>0</v>
      </c>
      <c r="X361" s="414" t="str">
        <f t="shared" ca="1" si="198"/>
        <v>-</v>
      </c>
      <c r="Y361" s="411" t="str">
        <f t="shared" ca="1" si="199"/>
        <v>-</v>
      </c>
      <c r="Z361" s="415" t="str">
        <f t="shared" ca="1" si="200"/>
        <v>-</v>
      </c>
      <c r="AA361" s="416" t="str">
        <f t="shared" ca="1" si="201"/>
        <v>-</v>
      </c>
      <c r="AB361" s="416" t="str">
        <f t="shared" ca="1" si="202"/>
        <v/>
      </c>
      <c r="AC361" s="434">
        <f>Cluster!Q380</f>
        <v>0</v>
      </c>
      <c r="AD361" s="435" t="str">
        <f t="shared" ca="1" si="218"/>
        <v/>
      </c>
      <c r="AE361" s="436" t="str">
        <f t="shared" ca="1" si="218"/>
        <v/>
      </c>
      <c r="AF361" s="437" t="str">
        <f t="shared" ca="1" si="204"/>
        <v>-</v>
      </c>
      <c r="AG361" s="438" t="str">
        <f t="shared" ca="1" si="205"/>
        <v>-</v>
      </c>
      <c r="AH361" s="437" t="str">
        <f t="shared" ca="1" si="206"/>
        <v>-</v>
      </c>
      <c r="AI361" s="438" t="str">
        <f t="shared" ca="1" si="207"/>
        <v>-</v>
      </c>
      <c r="AJ361" s="438" t="str">
        <f t="shared" ca="1" si="208"/>
        <v>-</v>
      </c>
      <c r="AK361" s="439" t="str">
        <f ca="1">IFERROR(AE361*AD361*AL361/(IF(Cluster!AA380=Cluster!$W$8,Cluster!$W$10,IF(Cluster!AA380=Cluster!$X$8,Cluster!$X$10,IF(Cluster!AA380=Cluster!$Y$8,Cluster!$Y$10,0)))*10^3),"-")</f>
        <v>-</v>
      </c>
      <c r="AL361" s="440" t="str">
        <f ca="1">IFERROR(IF(OR(Calculation!T361&lt;(Calculation!$U$8+2),Calculation!AC361="Bypass"),IF((IF(Calculation!$O$6/((Calculation!AD361*10^-12)/(Calculation!T361*10^-9)*50)&lt;=1,1,ROUNDUP(Calculation!$O$6/((Calculation!AD361*10^-12)/(Calculation!T361*10^-9)*50),0))*50)&lt;Calculation!$AK$6,Calculation!$AK$6,IF(Calculation!$O$6/((Calculation!AD361*10^-12)/(Calculation!T361*10^-9)*50)&lt;=1,1,ROUNDUP(Calculation!$O$6/((Calculation!AD361*10^-12)/(Calculation!T361*10^-9)*50),0))*50),"-"),"-")</f>
        <v>-</v>
      </c>
      <c r="AM361" s="441" t="str">
        <f t="shared" ca="1" si="219"/>
        <v/>
      </c>
      <c r="AN361" s="442" t="str">
        <f t="shared" ca="1" si="219"/>
        <v/>
      </c>
      <c r="AO361" s="432">
        <f t="shared" ca="1" si="210"/>
        <v>384</v>
      </c>
      <c r="AP361" s="427" t="str">
        <f t="shared" ca="1" si="211"/>
        <v>-</v>
      </c>
      <c r="AQ361" s="443" t="str">
        <f t="shared" ca="1" si="212"/>
        <v>-</v>
      </c>
      <c r="AR361" s="444" t="str">
        <f t="shared" ca="1" si="213"/>
        <v>-</v>
      </c>
      <c r="AS361" s="430" t="str">
        <f t="shared" ca="1" si="214"/>
        <v>-</v>
      </c>
    </row>
    <row r="362" spans="1:45" ht="14.25" x14ac:dyDescent="0.65">
      <c r="A362" s="407">
        <v>354</v>
      </c>
      <c r="B362" s="408" t="str">
        <f t="shared" ca="1" si="191"/>
        <v/>
      </c>
      <c r="C362" s="408" t="str">
        <f ca="1">IFERROR(IF(G362="","",CONCATENATE(E362,"-",INDEX(Coordinate,MATCH(F362,ListAndConversion!$X$4:$X$99,0),2))),"")</f>
        <v/>
      </c>
      <c r="D362" s="408" t="str">
        <f t="shared" ca="1" si="216"/>
        <v/>
      </c>
      <c r="E362" s="408" t="str">
        <f t="shared" ca="1" si="216"/>
        <v/>
      </c>
      <c r="F362" s="408" t="str">
        <f t="shared" ca="1" si="216"/>
        <v/>
      </c>
      <c r="G362" s="408" t="str">
        <f ca="1">IFERROR(INDEX(ListAndConversion!A:B,MATCH(Calculation!E362,ListAndConversion!A:A,0),2),"")</f>
        <v/>
      </c>
      <c r="H362" s="408" t="str">
        <f>IF(TrackIT_Lines!AD354="","",TrackIT_Lines!AD354)</f>
        <v/>
      </c>
      <c r="I362" s="408" t="str">
        <f>IF(TrackIT_Lines!AD354="","",CONCATENATE(TrackIT_Lines!AD354,"-",TrackIT_Lines!AG354))</f>
        <v/>
      </c>
      <c r="J362" s="409" t="str">
        <f t="shared" ca="1" si="220"/>
        <v/>
      </c>
      <c r="K362" s="408" t="str">
        <f t="shared" ca="1" si="220"/>
        <v/>
      </c>
      <c r="L362" s="408" t="str">
        <f t="shared" ca="1" si="220"/>
        <v/>
      </c>
      <c r="M362" s="408" t="str">
        <f t="shared" ca="1" si="220"/>
        <v/>
      </c>
      <c r="N362" s="408" t="str">
        <f t="shared" ca="1" si="220"/>
        <v/>
      </c>
      <c r="O362" s="408" t="str">
        <f t="shared" ca="1" si="220"/>
        <v/>
      </c>
      <c r="P362" s="408" t="str">
        <f t="shared" ca="1" si="220"/>
        <v/>
      </c>
      <c r="Q362" s="408" t="str">
        <f t="shared" ca="1" si="220"/>
        <v/>
      </c>
      <c r="R362" s="410" t="str">
        <f ca="1">Cluster!J381</f>
        <v>Selection</v>
      </c>
      <c r="S362" s="411" t="str">
        <f t="shared" ca="1" si="194"/>
        <v>-</v>
      </c>
      <c r="T362" s="412" t="str">
        <f t="shared" ca="1" si="195"/>
        <v/>
      </c>
      <c r="U362" s="411" t="str">
        <f t="shared" ca="1" si="196"/>
        <v>-</v>
      </c>
      <c r="V362" s="411" t="str">
        <f t="shared" ca="1" si="197"/>
        <v>-</v>
      </c>
      <c r="W362" s="413">
        <f>Cluster!N381</f>
        <v>0</v>
      </c>
      <c r="X362" s="414" t="str">
        <f t="shared" ca="1" si="198"/>
        <v>-</v>
      </c>
      <c r="Y362" s="411" t="str">
        <f t="shared" ca="1" si="199"/>
        <v>-</v>
      </c>
      <c r="Z362" s="415" t="str">
        <f t="shared" ca="1" si="200"/>
        <v>-</v>
      </c>
      <c r="AA362" s="416" t="str">
        <f t="shared" ca="1" si="201"/>
        <v>-</v>
      </c>
      <c r="AB362" s="416" t="str">
        <f t="shared" ca="1" si="202"/>
        <v/>
      </c>
      <c r="AC362" s="434">
        <f>Cluster!Q381</f>
        <v>0</v>
      </c>
      <c r="AD362" s="435" t="str">
        <f t="shared" ca="1" si="218"/>
        <v/>
      </c>
      <c r="AE362" s="436" t="str">
        <f t="shared" ca="1" si="218"/>
        <v/>
      </c>
      <c r="AF362" s="437" t="str">
        <f t="shared" ca="1" si="204"/>
        <v>-</v>
      </c>
      <c r="AG362" s="438" t="str">
        <f t="shared" ca="1" si="205"/>
        <v>-</v>
      </c>
      <c r="AH362" s="437" t="str">
        <f t="shared" ca="1" si="206"/>
        <v>-</v>
      </c>
      <c r="AI362" s="438" t="str">
        <f t="shared" ca="1" si="207"/>
        <v>-</v>
      </c>
      <c r="AJ362" s="438" t="str">
        <f t="shared" ca="1" si="208"/>
        <v>-</v>
      </c>
      <c r="AK362" s="439" t="str">
        <f ca="1">IFERROR(AE362*AD362*AL362/(IF(Cluster!AA381=Cluster!$W$8,Cluster!$W$10,IF(Cluster!AA381=Cluster!$X$8,Cluster!$X$10,IF(Cluster!AA381=Cluster!$Y$8,Cluster!$Y$10,0)))*10^3),"-")</f>
        <v>-</v>
      </c>
      <c r="AL362" s="440" t="str">
        <f ca="1">IFERROR(IF(OR(Calculation!T362&lt;(Calculation!$U$8+2),Calculation!AC362="Bypass"),IF((IF(Calculation!$O$6/((Calculation!AD362*10^-12)/(Calculation!T362*10^-9)*50)&lt;=1,1,ROUNDUP(Calculation!$O$6/((Calculation!AD362*10^-12)/(Calculation!T362*10^-9)*50),0))*50)&lt;Calculation!$AK$6,Calculation!$AK$6,IF(Calculation!$O$6/((Calculation!AD362*10^-12)/(Calculation!T362*10^-9)*50)&lt;=1,1,ROUNDUP(Calculation!$O$6/((Calculation!AD362*10^-12)/(Calculation!T362*10^-9)*50),0))*50),"-"),"-")</f>
        <v>-</v>
      </c>
      <c r="AM362" s="441" t="str">
        <f t="shared" ca="1" si="219"/>
        <v/>
      </c>
      <c r="AN362" s="442" t="str">
        <f t="shared" ca="1" si="219"/>
        <v/>
      </c>
      <c r="AO362" s="432">
        <f t="shared" ca="1" si="210"/>
        <v>384</v>
      </c>
      <c r="AP362" s="427" t="str">
        <f t="shared" ca="1" si="211"/>
        <v>-</v>
      </c>
      <c r="AQ362" s="443" t="str">
        <f t="shared" ca="1" si="212"/>
        <v>-</v>
      </c>
      <c r="AR362" s="444" t="str">
        <f t="shared" ca="1" si="213"/>
        <v>-</v>
      </c>
      <c r="AS362" s="430" t="str">
        <f t="shared" ca="1" si="214"/>
        <v>-</v>
      </c>
    </row>
    <row r="363" spans="1:45" ht="14.25" x14ac:dyDescent="0.65">
      <c r="A363" s="407">
        <v>355</v>
      </c>
      <c r="B363" s="408" t="str">
        <f t="shared" ca="1" si="191"/>
        <v/>
      </c>
      <c r="C363" s="408" t="str">
        <f ca="1">IFERROR(IF(G363="","",CONCATENATE(E363,"-",INDEX(Coordinate,MATCH(F363,ListAndConversion!$X$4:$X$99,0),2))),"")</f>
        <v/>
      </c>
      <c r="D363" s="408" t="str">
        <f t="shared" ca="1" si="216"/>
        <v/>
      </c>
      <c r="E363" s="408" t="str">
        <f t="shared" ca="1" si="216"/>
        <v/>
      </c>
      <c r="F363" s="408" t="str">
        <f t="shared" ca="1" si="216"/>
        <v/>
      </c>
      <c r="G363" s="408" t="str">
        <f ca="1">IFERROR(INDEX(ListAndConversion!A:B,MATCH(Calculation!E363,ListAndConversion!A:A,0),2),"")</f>
        <v/>
      </c>
      <c r="H363" s="408" t="str">
        <f>IF(TrackIT_Lines!AD355="","",TrackIT_Lines!AD355)</f>
        <v/>
      </c>
      <c r="I363" s="408" t="str">
        <f>IF(TrackIT_Lines!AD355="","",CONCATENATE(TrackIT_Lines!AD355,"-",TrackIT_Lines!AG355))</f>
        <v/>
      </c>
      <c r="J363" s="409" t="str">
        <f t="shared" ca="1" si="220"/>
        <v/>
      </c>
      <c r="K363" s="408" t="str">
        <f t="shared" ca="1" si="220"/>
        <v/>
      </c>
      <c r="L363" s="408" t="str">
        <f t="shared" ca="1" si="220"/>
        <v/>
      </c>
      <c r="M363" s="408" t="str">
        <f t="shared" ca="1" si="220"/>
        <v/>
      </c>
      <c r="N363" s="408" t="str">
        <f t="shared" ca="1" si="220"/>
        <v/>
      </c>
      <c r="O363" s="408" t="str">
        <f t="shared" ca="1" si="220"/>
        <v/>
      </c>
      <c r="P363" s="408" t="str">
        <f t="shared" ca="1" si="220"/>
        <v/>
      </c>
      <c r="Q363" s="408" t="str">
        <f t="shared" ca="1" si="220"/>
        <v/>
      </c>
      <c r="R363" s="410" t="str">
        <f ca="1">Cluster!J382</f>
        <v>Selection</v>
      </c>
      <c r="S363" s="411" t="str">
        <f t="shared" ca="1" si="194"/>
        <v>-</v>
      </c>
      <c r="T363" s="412" t="str">
        <f t="shared" ca="1" si="195"/>
        <v/>
      </c>
      <c r="U363" s="411" t="str">
        <f t="shared" ca="1" si="196"/>
        <v>-</v>
      </c>
      <c r="V363" s="411" t="str">
        <f t="shared" ca="1" si="197"/>
        <v>-</v>
      </c>
      <c r="W363" s="413">
        <f>Cluster!N382</f>
        <v>0</v>
      </c>
      <c r="X363" s="414" t="str">
        <f t="shared" ca="1" si="198"/>
        <v>-</v>
      </c>
      <c r="Y363" s="411" t="str">
        <f t="shared" ca="1" si="199"/>
        <v>-</v>
      </c>
      <c r="Z363" s="415" t="str">
        <f t="shared" ca="1" si="200"/>
        <v>-</v>
      </c>
      <c r="AA363" s="416" t="str">
        <f t="shared" ca="1" si="201"/>
        <v>-</v>
      </c>
      <c r="AB363" s="416" t="str">
        <f t="shared" ca="1" si="202"/>
        <v/>
      </c>
      <c r="AC363" s="434">
        <f>Cluster!Q382</f>
        <v>0</v>
      </c>
      <c r="AD363" s="435" t="str">
        <f t="shared" ca="1" si="218"/>
        <v/>
      </c>
      <c r="AE363" s="436" t="str">
        <f t="shared" ca="1" si="218"/>
        <v/>
      </c>
      <c r="AF363" s="437" t="str">
        <f t="shared" ca="1" si="204"/>
        <v>-</v>
      </c>
      <c r="AG363" s="438" t="str">
        <f t="shared" ca="1" si="205"/>
        <v>-</v>
      </c>
      <c r="AH363" s="437" t="str">
        <f t="shared" ca="1" si="206"/>
        <v>-</v>
      </c>
      <c r="AI363" s="438" t="str">
        <f t="shared" ca="1" si="207"/>
        <v>-</v>
      </c>
      <c r="AJ363" s="438" t="str">
        <f t="shared" ca="1" si="208"/>
        <v>-</v>
      </c>
      <c r="AK363" s="439" t="str">
        <f ca="1">IFERROR(AE363*AD363*AL363/(IF(Cluster!AA382=Cluster!$W$8,Cluster!$W$10,IF(Cluster!AA382=Cluster!$X$8,Cluster!$X$10,IF(Cluster!AA382=Cluster!$Y$8,Cluster!$Y$10,0)))*10^3),"-")</f>
        <v>-</v>
      </c>
      <c r="AL363" s="440" t="str">
        <f ca="1">IFERROR(IF(OR(Calculation!T363&lt;(Calculation!$U$8+2),Calculation!AC363="Bypass"),IF((IF(Calculation!$O$6/((Calculation!AD363*10^-12)/(Calculation!T363*10^-9)*50)&lt;=1,1,ROUNDUP(Calculation!$O$6/((Calculation!AD363*10^-12)/(Calculation!T363*10^-9)*50),0))*50)&lt;Calculation!$AK$6,Calculation!$AK$6,IF(Calculation!$O$6/((Calculation!AD363*10^-12)/(Calculation!T363*10^-9)*50)&lt;=1,1,ROUNDUP(Calculation!$O$6/((Calculation!AD363*10^-12)/(Calculation!T363*10^-9)*50),0))*50),"-"),"-")</f>
        <v>-</v>
      </c>
      <c r="AM363" s="441" t="str">
        <f t="shared" ca="1" si="219"/>
        <v/>
      </c>
      <c r="AN363" s="442" t="str">
        <f t="shared" ca="1" si="219"/>
        <v/>
      </c>
      <c r="AO363" s="432">
        <f t="shared" ca="1" si="210"/>
        <v>384</v>
      </c>
      <c r="AP363" s="427" t="str">
        <f t="shared" ca="1" si="211"/>
        <v>-</v>
      </c>
      <c r="AQ363" s="443" t="str">
        <f t="shared" ca="1" si="212"/>
        <v>-</v>
      </c>
      <c r="AR363" s="444" t="str">
        <f t="shared" ca="1" si="213"/>
        <v>-</v>
      </c>
      <c r="AS363" s="430" t="str">
        <f t="shared" ca="1" si="214"/>
        <v>-</v>
      </c>
    </row>
    <row r="364" spans="1:45" ht="14.25" x14ac:dyDescent="0.65">
      <c r="A364" s="407">
        <v>356</v>
      </c>
      <c r="B364" s="408" t="str">
        <f t="shared" ca="1" si="191"/>
        <v/>
      </c>
      <c r="C364" s="408" t="str">
        <f ca="1">IFERROR(IF(G364="","",CONCATENATE(E364,"-",INDEX(Coordinate,MATCH(F364,ListAndConversion!$X$4:$X$99,0),2))),"")</f>
        <v/>
      </c>
      <c r="D364" s="408" t="str">
        <f t="shared" ca="1" si="216"/>
        <v/>
      </c>
      <c r="E364" s="408" t="str">
        <f t="shared" ca="1" si="216"/>
        <v/>
      </c>
      <c r="F364" s="408" t="str">
        <f t="shared" ca="1" si="216"/>
        <v/>
      </c>
      <c r="G364" s="408" t="str">
        <f ca="1">IFERROR(INDEX(ListAndConversion!A:B,MATCH(Calculation!E364,ListAndConversion!A:A,0),2),"")</f>
        <v/>
      </c>
      <c r="H364" s="408" t="str">
        <f>IF(TrackIT_Lines!AD356="","",TrackIT_Lines!AD356)</f>
        <v/>
      </c>
      <c r="I364" s="408" t="str">
        <f>IF(TrackIT_Lines!AD356="","",CONCATENATE(TrackIT_Lines!AD356,"-",TrackIT_Lines!AG356))</f>
        <v/>
      </c>
      <c r="J364" s="409" t="str">
        <f t="shared" ca="1" si="220"/>
        <v/>
      </c>
      <c r="K364" s="408" t="str">
        <f t="shared" ca="1" si="220"/>
        <v/>
      </c>
      <c r="L364" s="408" t="str">
        <f t="shared" ca="1" si="220"/>
        <v/>
      </c>
      <c r="M364" s="408" t="str">
        <f t="shared" ca="1" si="220"/>
        <v/>
      </c>
      <c r="N364" s="408" t="str">
        <f t="shared" ca="1" si="220"/>
        <v/>
      </c>
      <c r="O364" s="408" t="str">
        <f t="shared" ca="1" si="220"/>
        <v/>
      </c>
      <c r="P364" s="408" t="str">
        <f t="shared" ca="1" si="220"/>
        <v/>
      </c>
      <c r="Q364" s="408" t="str">
        <f t="shared" ca="1" si="220"/>
        <v/>
      </c>
      <c r="R364" s="410" t="str">
        <f ca="1">Cluster!J383</f>
        <v>Selection</v>
      </c>
      <c r="S364" s="411" t="str">
        <f t="shared" ca="1" si="194"/>
        <v>-</v>
      </c>
      <c r="T364" s="412" t="str">
        <f t="shared" ca="1" si="195"/>
        <v/>
      </c>
      <c r="U364" s="411" t="str">
        <f t="shared" ca="1" si="196"/>
        <v>-</v>
      </c>
      <c r="V364" s="411" t="str">
        <f t="shared" ca="1" si="197"/>
        <v>-</v>
      </c>
      <c r="W364" s="413">
        <f>Cluster!N383</f>
        <v>0</v>
      </c>
      <c r="X364" s="414" t="str">
        <f t="shared" ca="1" si="198"/>
        <v>-</v>
      </c>
      <c r="Y364" s="411" t="str">
        <f t="shared" ca="1" si="199"/>
        <v>-</v>
      </c>
      <c r="Z364" s="415" t="str">
        <f t="shared" ca="1" si="200"/>
        <v>-</v>
      </c>
      <c r="AA364" s="416" t="str">
        <f t="shared" ca="1" si="201"/>
        <v>-</v>
      </c>
      <c r="AB364" s="416" t="str">
        <f t="shared" ca="1" si="202"/>
        <v/>
      </c>
      <c r="AC364" s="434">
        <f>Cluster!Q383</f>
        <v>0</v>
      </c>
      <c r="AD364" s="435" t="str">
        <f t="shared" ca="1" si="218"/>
        <v/>
      </c>
      <c r="AE364" s="436" t="str">
        <f t="shared" ca="1" si="218"/>
        <v/>
      </c>
      <c r="AF364" s="437" t="str">
        <f t="shared" ca="1" si="204"/>
        <v>-</v>
      </c>
      <c r="AG364" s="438" t="str">
        <f t="shared" ca="1" si="205"/>
        <v>-</v>
      </c>
      <c r="AH364" s="437" t="str">
        <f t="shared" ca="1" si="206"/>
        <v>-</v>
      </c>
      <c r="AI364" s="438" t="str">
        <f t="shared" ca="1" si="207"/>
        <v>-</v>
      </c>
      <c r="AJ364" s="438" t="str">
        <f t="shared" ca="1" si="208"/>
        <v>-</v>
      </c>
      <c r="AK364" s="439" t="str">
        <f ca="1">IFERROR(AE364*AD364*AL364/(IF(Cluster!AA383=Cluster!$W$8,Cluster!$W$10,IF(Cluster!AA383=Cluster!$X$8,Cluster!$X$10,IF(Cluster!AA383=Cluster!$Y$8,Cluster!$Y$10,0)))*10^3),"-")</f>
        <v>-</v>
      </c>
      <c r="AL364" s="440" t="str">
        <f ca="1">IFERROR(IF(OR(Calculation!T364&lt;(Calculation!$U$8+2),Calculation!AC364="Bypass"),IF((IF(Calculation!$O$6/((Calculation!AD364*10^-12)/(Calculation!T364*10^-9)*50)&lt;=1,1,ROUNDUP(Calculation!$O$6/((Calculation!AD364*10^-12)/(Calculation!T364*10^-9)*50),0))*50)&lt;Calculation!$AK$6,Calculation!$AK$6,IF(Calculation!$O$6/((Calculation!AD364*10^-12)/(Calculation!T364*10^-9)*50)&lt;=1,1,ROUNDUP(Calculation!$O$6/((Calculation!AD364*10^-12)/(Calculation!T364*10^-9)*50),0))*50),"-"),"-")</f>
        <v>-</v>
      </c>
      <c r="AM364" s="441" t="str">
        <f t="shared" ca="1" si="219"/>
        <v/>
      </c>
      <c r="AN364" s="442" t="str">
        <f t="shared" ca="1" si="219"/>
        <v/>
      </c>
      <c r="AO364" s="432">
        <f t="shared" ca="1" si="210"/>
        <v>384</v>
      </c>
      <c r="AP364" s="427" t="str">
        <f t="shared" ca="1" si="211"/>
        <v>-</v>
      </c>
      <c r="AQ364" s="443" t="str">
        <f t="shared" ca="1" si="212"/>
        <v>-</v>
      </c>
      <c r="AR364" s="444" t="str">
        <f t="shared" ca="1" si="213"/>
        <v>-</v>
      </c>
      <c r="AS364" s="430" t="str">
        <f t="shared" ca="1" si="214"/>
        <v>-</v>
      </c>
    </row>
    <row r="365" spans="1:45" ht="14.25" x14ac:dyDescent="0.65">
      <c r="A365" s="407">
        <v>357</v>
      </c>
      <c r="B365" s="408" t="str">
        <f t="shared" ca="1" si="191"/>
        <v/>
      </c>
      <c r="C365" s="408" t="str">
        <f ca="1">IFERROR(IF(G365="","",CONCATENATE(E365,"-",INDEX(Coordinate,MATCH(F365,ListAndConversion!$X$4:$X$99,0),2))),"")</f>
        <v/>
      </c>
      <c r="D365" s="408" t="str">
        <f t="shared" ca="1" si="216"/>
        <v/>
      </c>
      <c r="E365" s="408" t="str">
        <f t="shared" ca="1" si="216"/>
        <v/>
      </c>
      <c r="F365" s="408" t="str">
        <f t="shared" ca="1" si="216"/>
        <v/>
      </c>
      <c r="G365" s="408" t="str">
        <f ca="1">IFERROR(INDEX(ListAndConversion!A:B,MATCH(Calculation!E365,ListAndConversion!A:A,0),2),"")</f>
        <v/>
      </c>
      <c r="H365" s="408" t="str">
        <f>IF(TrackIT_Lines!AD357="","",TrackIT_Lines!AD357)</f>
        <v/>
      </c>
      <c r="I365" s="408" t="str">
        <f>IF(TrackIT_Lines!AD357="","",CONCATENATE(TrackIT_Lines!AD357,"-",TrackIT_Lines!AG357))</f>
        <v/>
      </c>
      <c r="J365" s="409" t="str">
        <f t="shared" ca="1" si="220"/>
        <v/>
      </c>
      <c r="K365" s="408" t="str">
        <f t="shared" ca="1" si="220"/>
        <v/>
      </c>
      <c r="L365" s="408" t="str">
        <f t="shared" ca="1" si="220"/>
        <v/>
      </c>
      <c r="M365" s="408" t="str">
        <f t="shared" ca="1" si="220"/>
        <v/>
      </c>
      <c r="N365" s="408" t="str">
        <f t="shared" ca="1" si="220"/>
        <v/>
      </c>
      <c r="O365" s="408" t="str">
        <f t="shared" ca="1" si="220"/>
        <v/>
      </c>
      <c r="P365" s="408" t="str">
        <f t="shared" ca="1" si="220"/>
        <v/>
      </c>
      <c r="Q365" s="408" t="str">
        <f t="shared" ca="1" si="220"/>
        <v/>
      </c>
      <c r="R365" s="410" t="str">
        <f ca="1">Cluster!J384</f>
        <v>Selection</v>
      </c>
      <c r="S365" s="411" t="str">
        <f t="shared" ca="1" si="194"/>
        <v>-</v>
      </c>
      <c r="T365" s="412" t="str">
        <f t="shared" ca="1" si="195"/>
        <v/>
      </c>
      <c r="U365" s="411" t="str">
        <f t="shared" ca="1" si="196"/>
        <v>-</v>
      </c>
      <c r="V365" s="411" t="str">
        <f t="shared" ca="1" si="197"/>
        <v>-</v>
      </c>
      <c r="W365" s="413">
        <f>Cluster!N384</f>
        <v>0</v>
      </c>
      <c r="X365" s="414" t="str">
        <f t="shared" ca="1" si="198"/>
        <v>-</v>
      </c>
      <c r="Y365" s="411" t="str">
        <f t="shared" ca="1" si="199"/>
        <v>-</v>
      </c>
      <c r="Z365" s="415" t="str">
        <f t="shared" ca="1" si="200"/>
        <v>-</v>
      </c>
      <c r="AA365" s="416" t="str">
        <f t="shared" ca="1" si="201"/>
        <v>-</v>
      </c>
      <c r="AB365" s="416" t="str">
        <f t="shared" ca="1" si="202"/>
        <v/>
      </c>
      <c r="AC365" s="434">
        <f>Cluster!Q384</f>
        <v>0</v>
      </c>
      <c r="AD365" s="435" t="str">
        <f t="shared" ca="1" si="218"/>
        <v/>
      </c>
      <c r="AE365" s="436" t="str">
        <f t="shared" ca="1" si="218"/>
        <v/>
      </c>
      <c r="AF365" s="437" t="str">
        <f t="shared" ca="1" si="204"/>
        <v>-</v>
      </c>
      <c r="AG365" s="438" t="str">
        <f t="shared" ca="1" si="205"/>
        <v>-</v>
      </c>
      <c r="AH365" s="437" t="str">
        <f t="shared" ca="1" si="206"/>
        <v>-</v>
      </c>
      <c r="AI365" s="438" t="str">
        <f t="shared" ca="1" si="207"/>
        <v>-</v>
      </c>
      <c r="AJ365" s="438" t="str">
        <f t="shared" ca="1" si="208"/>
        <v>-</v>
      </c>
      <c r="AK365" s="439" t="str">
        <f ca="1">IFERROR(AE365*AD365*AL365/(IF(Cluster!AA384=Cluster!$W$8,Cluster!$W$10,IF(Cluster!AA384=Cluster!$X$8,Cluster!$X$10,IF(Cluster!AA384=Cluster!$Y$8,Cluster!$Y$10,0)))*10^3),"-")</f>
        <v>-</v>
      </c>
      <c r="AL365" s="440" t="str">
        <f ca="1">IFERROR(IF(OR(Calculation!T365&lt;(Calculation!$U$8+2),Calculation!AC365="Bypass"),IF((IF(Calculation!$O$6/((Calculation!AD365*10^-12)/(Calculation!T365*10^-9)*50)&lt;=1,1,ROUNDUP(Calculation!$O$6/((Calculation!AD365*10^-12)/(Calculation!T365*10^-9)*50),0))*50)&lt;Calculation!$AK$6,Calculation!$AK$6,IF(Calculation!$O$6/((Calculation!AD365*10^-12)/(Calculation!T365*10^-9)*50)&lt;=1,1,ROUNDUP(Calculation!$O$6/((Calculation!AD365*10^-12)/(Calculation!T365*10^-9)*50),0))*50),"-"),"-")</f>
        <v>-</v>
      </c>
      <c r="AM365" s="441" t="str">
        <f t="shared" ca="1" si="219"/>
        <v/>
      </c>
      <c r="AN365" s="442" t="str">
        <f t="shared" ca="1" si="219"/>
        <v/>
      </c>
      <c r="AO365" s="432">
        <f t="shared" ca="1" si="210"/>
        <v>384</v>
      </c>
      <c r="AP365" s="427" t="str">
        <f t="shared" ca="1" si="211"/>
        <v>-</v>
      </c>
      <c r="AQ365" s="443" t="str">
        <f t="shared" ca="1" si="212"/>
        <v>-</v>
      </c>
      <c r="AR365" s="444" t="str">
        <f t="shared" ca="1" si="213"/>
        <v>-</v>
      </c>
      <c r="AS365" s="430" t="str">
        <f t="shared" ca="1" si="214"/>
        <v>-</v>
      </c>
    </row>
    <row r="366" spans="1:45" ht="14.25" x14ac:dyDescent="0.65">
      <c r="A366" s="407">
        <v>358</v>
      </c>
      <c r="B366" s="408" t="str">
        <f t="shared" ca="1" si="191"/>
        <v/>
      </c>
      <c r="C366" s="408" t="str">
        <f ca="1">IFERROR(IF(G366="","",CONCATENATE(E366,"-",INDEX(Coordinate,MATCH(F366,ListAndConversion!$X$4:$X$99,0),2))),"")</f>
        <v/>
      </c>
      <c r="D366" s="408" t="str">
        <f t="shared" ca="1" si="216"/>
        <v/>
      </c>
      <c r="E366" s="408" t="str">
        <f t="shared" ca="1" si="216"/>
        <v/>
      </c>
      <c r="F366" s="408" t="str">
        <f t="shared" ca="1" si="216"/>
        <v/>
      </c>
      <c r="G366" s="408" t="str">
        <f ca="1">IFERROR(INDEX(ListAndConversion!A:B,MATCH(Calculation!E366,ListAndConversion!A:A,0),2),"")</f>
        <v/>
      </c>
      <c r="H366" s="408" t="str">
        <f>IF(TrackIT_Lines!AD358="","",TrackIT_Lines!AD358)</f>
        <v/>
      </c>
      <c r="I366" s="408" t="str">
        <f>IF(TrackIT_Lines!AD358="","",CONCATENATE(TrackIT_Lines!AD358,"-",TrackIT_Lines!AG358))</f>
        <v/>
      </c>
      <c r="J366" s="409" t="str">
        <f t="shared" ca="1" si="220"/>
        <v/>
      </c>
      <c r="K366" s="408" t="str">
        <f t="shared" ca="1" si="220"/>
        <v/>
      </c>
      <c r="L366" s="408" t="str">
        <f t="shared" ca="1" si="220"/>
        <v/>
      </c>
      <c r="M366" s="408" t="str">
        <f t="shared" ca="1" si="220"/>
        <v/>
      </c>
      <c r="N366" s="408" t="str">
        <f t="shared" ca="1" si="220"/>
        <v/>
      </c>
      <c r="O366" s="408" t="str">
        <f t="shared" ca="1" si="220"/>
        <v/>
      </c>
      <c r="P366" s="408" t="str">
        <f t="shared" ca="1" si="220"/>
        <v/>
      </c>
      <c r="Q366" s="408" t="str">
        <f t="shared" ca="1" si="220"/>
        <v/>
      </c>
      <c r="R366" s="410" t="str">
        <f ca="1">Cluster!J385</f>
        <v>Selection</v>
      </c>
      <c r="S366" s="411" t="str">
        <f t="shared" ca="1" si="194"/>
        <v>-</v>
      </c>
      <c r="T366" s="412" t="str">
        <f t="shared" ca="1" si="195"/>
        <v/>
      </c>
      <c r="U366" s="411" t="str">
        <f t="shared" ca="1" si="196"/>
        <v>-</v>
      </c>
      <c r="V366" s="411" t="str">
        <f t="shared" ca="1" si="197"/>
        <v>-</v>
      </c>
      <c r="W366" s="413">
        <f>Cluster!N385</f>
        <v>0</v>
      </c>
      <c r="X366" s="414" t="str">
        <f t="shared" ca="1" si="198"/>
        <v>-</v>
      </c>
      <c r="Y366" s="411" t="str">
        <f t="shared" ca="1" si="199"/>
        <v>-</v>
      </c>
      <c r="Z366" s="415" t="str">
        <f t="shared" ca="1" si="200"/>
        <v>-</v>
      </c>
      <c r="AA366" s="416" t="str">
        <f t="shared" ca="1" si="201"/>
        <v>-</v>
      </c>
      <c r="AB366" s="416" t="str">
        <f t="shared" ca="1" si="202"/>
        <v/>
      </c>
      <c r="AC366" s="434">
        <f>Cluster!Q385</f>
        <v>0</v>
      </c>
      <c r="AD366" s="435" t="str">
        <f t="shared" ca="1" si="218"/>
        <v/>
      </c>
      <c r="AE366" s="436" t="str">
        <f t="shared" ca="1" si="218"/>
        <v/>
      </c>
      <c r="AF366" s="437" t="str">
        <f t="shared" ca="1" si="204"/>
        <v>-</v>
      </c>
      <c r="AG366" s="438" t="str">
        <f t="shared" ca="1" si="205"/>
        <v>-</v>
      </c>
      <c r="AH366" s="437" t="str">
        <f t="shared" ca="1" si="206"/>
        <v>-</v>
      </c>
      <c r="AI366" s="438" t="str">
        <f t="shared" ca="1" si="207"/>
        <v>-</v>
      </c>
      <c r="AJ366" s="438" t="str">
        <f t="shared" ca="1" si="208"/>
        <v>-</v>
      </c>
      <c r="AK366" s="439" t="str">
        <f ca="1">IFERROR(AE366*AD366*AL366/(IF(Cluster!AA385=Cluster!$W$8,Cluster!$W$10,IF(Cluster!AA385=Cluster!$X$8,Cluster!$X$10,IF(Cluster!AA385=Cluster!$Y$8,Cluster!$Y$10,0)))*10^3),"-")</f>
        <v>-</v>
      </c>
      <c r="AL366" s="440" t="str">
        <f ca="1">IFERROR(IF(OR(Calculation!T366&lt;(Calculation!$U$8+2),Calculation!AC366="Bypass"),IF((IF(Calculation!$O$6/((Calculation!AD366*10^-12)/(Calculation!T366*10^-9)*50)&lt;=1,1,ROUNDUP(Calculation!$O$6/((Calculation!AD366*10^-12)/(Calculation!T366*10^-9)*50),0))*50)&lt;Calculation!$AK$6,Calculation!$AK$6,IF(Calculation!$O$6/((Calculation!AD366*10^-12)/(Calculation!T366*10^-9)*50)&lt;=1,1,ROUNDUP(Calculation!$O$6/((Calculation!AD366*10^-12)/(Calculation!T366*10^-9)*50),0))*50),"-"),"-")</f>
        <v>-</v>
      </c>
      <c r="AM366" s="441" t="str">
        <f t="shared" ca="1" si="219"/>
        <v/>
      </c>
      <c r="AN366" s="442" t="str">
        <f t="shared" ca="1" si="219"/>
        <v/>
      </c>
      <c r="AO366" s="432">
        <f t="shared" ca="1" si="210"/>
        <v>384</v>
      </c>
      <c r="AP366" s="427" t="str">
        <f t="shared" ca="1" si="211"/>
        <v>-</v>
      </c>
      <c r="AQ366" s="443" t="str">
        <f t="shared" ca="1" si="212"/>
        <v>-</v>
      </c>
      <c r="AR366" s="444" t="str">
        <f t="shared" ca="1" si="213"/>
        <v>-</v>
      </c>
      <c r="AS366" s="430" t="str">
        <f t="shared" ca="1" si="214"/>
        <v>-</v>
      </c>
    </row>
    <row r="367" spans="1:45" ht="14.25" x14ac:dyDescent="0.65">
      <c r="A367" s="407">
        <v>359</v>
      </c>
      <c r="B367" s="408" t="str">
        <f t="shared" ca="1" si="191"/>
        <v/>
      </c>
      <c r="C367" s="408" t="str">
        <f ca="1">IFERROR(IF(G367="","",CONCATENATE(E367,"-",INDEX(Coordinate,MATCH(F367,ListAndConversion!$X$4:$X$99,0),2))),"")</f>
        <v/>
      </c>
      <c r="D367" s="408" t="str">
        <f t="shared" ca="1" si="216"/>
        <v/>
      </c>
      <c r="E367" s="408" t="str">
        <f t="shared" ca="1" si="216"/>
        <v/>
      </c>
      <c r="F367" s="408" t="str">
        <f t="shared" ca="1" si="216"/>
        <v/>
      </c>
      <c r="G367" s="408" t="str">
        <f ca="1">IFERROR(INDEX(ListAndConversion!A:B,MATCH(Calculation!E367,ListAndConversion!A:A,0),2),"")</f>
        <v/>
      </c>
      <c r="H367" s="408" t="str">
        <f>IF(TrackIT_Lines!AD359="","",TrackIT_Lines!AD359)</f>
        <v/>
      </c>
      <c r="I367" s="408" t="str">
        <f>IF(TrackIT_Lines!AD359="","",CONCATENATE(TrackIT_Lines!AD359,"-",TrackIT_Lines!AG359))</f>
        <v/>
      </c>
      <c r="J367" s="409" t="str">
        <f t="shared" ca="1" si="220"/>
        <v/>
      </c>
      <c r="K367" s="408" t="str">
        <f t="shared" ca="1" si="220"/>
        <v/>
      </c>
      <c r="L367" s="408" t="str">
        <f t="shared" ca="1" si="220"/>
        <v/>
      </c>
      <c r="M367" s="408" t="str">
        <f t="shared" ca="1" si="220"/>
        <v/>
      </c>
      <c r="N367" s="408" t="str">
        <f t="shared" ca="1" si="220"/>
        <v/>
      </c>
      <c r="O367" s="408" t="str">
        <f t="shared" ca="1" si="220"/>
        <v/>
      </c>
      <c r="P367" s="408" t="str">
        <f t="shared" ca="1" si="220"/>
        <v/>
      </c>
      <c r="Q367" s="408" t="str">
        <f t="shared" ca="1" si="220"/>
        <v/>
      </c>
      <c r="R367" s="410" t="str">
        <f ca="1">Cluster!J386</f>
        <v>Selection</v>
      </c>
      <c r="S367" s="411" t="str">
        <f t="shared" ca="1" si="194"/>
        <v>-</v>
      </c>
      <c r="T367" s="412" t="str">
        <f t="shared" ca="1" si="195"/>
        <v/>
      </c>
      <c r="U367" s="411" t="str">
        <f t="shared" ca="1" si="196"/>
        <v>-</v>
      </c>
      <c r="V367" s="411" t="str">
        <f t="shared" ca="1" si="197"/>
        <v>-</v>
      </c>
      <c r="W367" s="413">
        <f>Cluster!N386</f>
        <v>0</v>
      </c>
      <c r="X367" s="414" t="str">
        <f t="shared" ca="1" si="198"/>
        <v>-</v>
      </c>
      <c r="Y367" s="411" t="str">
        <f t="shared" ca="1" si="199"/>
        <v>-</v>
      </c>
      <c r="Z367" s="415" t="str">
        <f t="shared" ca="1" si="200"/>
        <v>-</v>
      </c>
      <c r="AA367" s="416" t="str">
        <f t="shared" ca="1" si="201"/>
        <v>-</v>
      </c>
      <c r="AB367" s="416" t="str">
        <f t="shared" ca="1" si="202"/>
        <v/>
      </c>
      <c r="AC367" s="434">
        <f>Cluster!Q386</f>
        <v>0</v>
      </c>
      <c r="AD367" s="435" t="str">
        <f t="shared" ca="1" si="218"/>
        <v/>
      </c>
      <c r="AE367" s="436" t="str">
        <f t="shared" ca="1" si="218"/>
        <v/>
      </c>
      <c r="AF367" s="437" t="str">
        <f t="shared" ca="1" si="204"/>
        <v>-</v>
      </c>
      <c r="AG367" s="438" t="str">
        <f t="shared" ca="1" si="205"/>
        <v>-</v>
      </c>
      <c r="AH367" s="437" t="str">
        <f t="shared" ca="1" si="206"/>
        <v>-</v>
      </c>
      <c r="AI367" s="438" t="str">
        <f t="shared" ca="1" si="207"/>
        <v>-</v>
      </c>
      <c r="AJ367" s="438" t="str">
        <f t="shared" ca="1" si="208"/>
        <v>-</v>
      </c>
      <c r="AK367" s="439" t="str">
        <f ca="1">IFERROR(AE367*AD367*AL367/(IF(Cluster!AA386=Cluster!$W$8,Cluster!$W$10,IF(Cluster!AA386=Cluster!$X$8,Cluster!$X$10,IF(Cluster!AA386=Cluster!$Y$8,Cluster!$Y$10,0)))*10^3),"-")</f>
        <v>-</v>
      </c>
      <c r="AL367" s="440" t="str">
        <f ca="1">IFERROR(IF(OR(Calculation!T367&lt;(Calculation!$U$8+2),Calculation!AC367="Bypass"),IF((IF(Calculation!$O$6/((Calculation!AD367*10^-12)/(Calculation!T367*10^-9)*50)&lt;=1,1,ROUNDUP(Calculation!$O$6/((Calculation!AD367*10^-12)/(Calculation!T367*10^-9)*50),0))*50)&lt;Calculation!$AK$6,Calculation!$AK$6,IF(Calculation!$O$6/((Calculation!AD367*10^-12)/(Calculation!T367*10^-9)*50)&lt;=1,1,ROUNDUP(Calculation!$O$6/((Calculation!AD367*10^-12)/(Calculation!T367*10^-9)*50),0))*50),"-"),"-")</f>
        <v>-</v>
      </c>
      <c r="AM367" s="441" t="str">
        <f t="shared" ca="1" si="219"/>
        <v/>
      </c>
      <c r="AN367" s="442" t="str">
        <f t="shared" ca="1" si="219"/>
        <v/>
      </c>
      <c r="AO367" s="432">
        <f t="shared" ca="1" si="210"/>
        <v>384</v>
      </c>
      <c r="AP367" s="427" t="str">
        <f t="shared" ca="1" si="211"/>
        <v>-</v>
      </c>
      <c r="AQ367" s="443" t="str">
        <f t="shared" ca="1" si="212"/>
        <v>-</v>
      </c>
      <c r="AR367" s="444" t="str">
        <f t="shared" ca="1" si="213"/>
        <v>-</v>
      </c>
      <c r="AS367" s="430" t="str">
        <f t="shared" ca="1" si="214"/>
        <v>-</v>
      </c>
    </row>
    <row r="368" spans="1:45" ht="14.25" x14ac:dyDescent="0.65">
      <c r="A368" s="407">
        <v>360</v>
      </c>
      <c r="B368" s="408" t="str">
        <f t="shared" ca="1" si="191"/>
        <v/>
      </c>
      <c r="C368" s="408" t="str">
        <f ca="1">IFERROR(IF(G368="","",CONCATENATE(E368,"-",INDEX(Coordinate,MATCH(F368,ListAndConversion!$X$4:$X$99,0),2))),"")</f>
        <v/>
      </c>
      <c r="D368" s="408" t="str">
        <f t="shared" ca="1" si="216"/>
        <v/>
      </c>
      <c r="E368" s="408" t="str">
        <f t="shared" ca="1" si="216"/>
        <v/>
      </c>
      <c r="F368" s="408" t="str">
        <f t="shared" ca="1" si="216"/>
        <v/>
      </c>
      <c r="G368" s="408" t="str">
        <f ca="1">IFERROR(INDEX(ListAndConversion!A:B,MATCH(Calculation!E368,ListAndConversion!A:A,0),2),"")</f>
        <v/>
      </c>
      <c r="H368" s="408" t="str">
        <f>IF(TrackIT_Lines!AD360="","",TrackIT_Lines!AD360)</f>
        <v/>
      </c>
      <c r="I368" s="408" t="str">
        <f>IF(TrackIT_Lines!AD360="","",CONCATENATE(TrackIT_Lines!AD360,"-",TrackIT_Lines!AG360))</f>
        <v/>
      </c>
      <c r="J368" s="409" t="str">
        <f t="shared" ca="1" si="220"/>
        <v/>
      </c>
      <c r="K368" s="408" t="str">
        <f t="shared" ca="1" si="220"/>
        <v/>
      </c>
      <c r="L368" s="408" t="str">
        <f t="shared" ca="1" si="220"/>
        <v/>
      </c>
      <c r="M368" s="408" t="str">
        <f t="shared" ca="1" si="220"/>
        <v/>
      </c>
      <c r="N368" s="408" t="str">
        <f t="shared" ca="1" si="220"/>
        <v/>
      </c>
      <c r="O368" s="408" t="str">
        <f t="shared" ca="1" si="220"/>
        <v/>
      </c>
      <c r="P368" s="408" t="str">
        <f t="shared" ca="1" si="220"/>
        <v/>
      </c>
      <c r="Q368" s="408" t="str">
        <f t="shared" ca="1" si="220"/>
        <v/>
      </c>
      <c r="R368" s="410" t="str">
        <f ca="1">Cluster!J387</f>
        <v>Selection</v>
      </c>
      <c r="S368" s="411" t="str">
        <f t="shared" ca="1" si="194"/>
        <v>-</v>
      </c>
      <c r="T368" s="412" t="str">
        <f t="shared" ca="1" si="195"/>
        <v/>
      </c>
      <c r="U368" s="411" t="str">
        <f t="shared" ca="1" si="196"/>
        <v>-</v>
      </c>
      <c r="V368" s="411" t="str">
        <f t="shared" ca="1" si="197"/>
        <v>-</v>
      </c>
      <c r="W368" s="413">
        <f>Cluster!N387</f>
        <v>0</v>
      </c>
      <c r="X368" s="414" t="str">
        <f t="shared" ca="1" si="198"/>
        <v>-</v>
      </c>
      <c r="Y368" s="411" t="str">
        <f t="shared" ca="1" si="199"/>
        <v>-</v>
      </c>
      <c r="Z368" s="415" t="str">
        <f t="shared" ca="1" si="200"/>
        <v>-</v>
      </c>
      <c r="AA368" s="416" t="str">
        <f t="shared" ca="1" si="201"/>
        <v>-</v>
      </c>
      <c r="AB368" s="416" t="str">
        <f t="shared" ca="1" si="202"/>
        <v/>
      </c>
      <c r="AC368" s="434">
        <f>Cluster!Q387</f>
        <v>0</v>
      </c>
      <c r="AD368" s="435" t="str">
        <f t="shared" ca="1" si="218"/>
        <v/>
      </c>
      <c r="AE368" s="436" t="str">
        <f t="shared" ca="1" si="218"/>
        <v/>
      </c>
      <c r="AF368" s="437" t="str">
        <f t="shared" ca="1" si="204"/>
        <v>-</v>
      </c>
      <c r="AG368" s="438" t="str">
        <f t="shared" ca="1" si="205"/>
        <v>-</v>
      </c>
      <c r="AH368" s="437" t="str">
        <f t="shared" ca="1" si="206"/>
        <v>-</v>
      </c>
      <c r="AI368" s="438" t="str">
        <f t="shared" ca="1" si="207"/>
        <v>-</v>
      </c>
      <c r="AJ368" s="438" t="str">
        <f t="shared" ca="1" si="208"/>
        <v>-</v>
      </c>
      <c r="AK368" s="439" t="str">
        <f ca="1">IFERROR(AE368*AD368*AL368/(IF(Cluster!AA387=Cluster!$W$8,Cluster!$W$10,IF(Cluster!AA387=Cluster!$X$8,Cluster!$X$10,IF(Cluster!AA387=Cluster!$Y$8,Cluster!$Y$10,0)))*10^3),"-")</f>
        <v>-</v>
      </c>
      <c r="AL368" s="440" t="str">
        <f ca="1">IFERROR(IF(OR(Calculation!T368&lt;(Calculation!$U$8+2),Calculation!AC368="Bypass"),IF((IF(Calculation!$O$6/((Calculation!AD368*10^-12)/(Calculation!T368*10^-9)*50)&lt;=1,1,ROUNDUP(Calculation!$O$6/((Calculation!AD368*10^-12)/(Calculation!T368*10^-9)*50),0))*50)&lt;Calculation!$AK$6,Calculation!$AK$6,IF(Calculation!$O$6/((Calculation!AD368*10^-12)/(Calculation!T368*10^-9)*50)&lt;=1,1,ROUNDUP(Calculation!$O$6/((Calculation!AD368*10^-12)/(Calculation!T368*10^-9)*50),0))*50),"-"),"-")</f>
        <v>-</v>
      </c>
      <c r="AM368" s="441" t="str">
        <f t="shared" ca="1" si="219"/>
        <v/>
      </c>
      <c r="AN368" s="442" t="str">
        <f t="shared" ca="1" si="219"/>
        <v/>
      </c>
      <c r="AO368" s="432">
        <f t="shared" ca="1" si="210"/>
        <v>384</v>
      </c>
      <c r="AP368" s="427" t="str">
        <f t="shared" ca="1" si="211"/>
        <v>-</v>
      </c>
      <c r="AQ368" s="443" t="str">
        <f t="shared" ca="1" si="212"/>
        <v>-</v>
      </c>
      <c r="AR368" s="444" t="str">
        <f t="shared" ca="1" si="213"/>
        <v>-</v>
      </c>
      <c r="AS368" s="430" t="str">
        <f t="shared" ca="1" si="214"/>
        <v>-</v>
      </c>
    </row>
    <row r="369" spans="1:45" ht="14.25" x14ac:dyDescent="0.65">
      <c r="A369" s="407">
        <v>361</v>
      </c>
      <c r="B369" s="408" t="str">
        <f t="shared" ca="1" si="191"/>
        <v/>
      </c>
      <c r="C369" s="408" t="str">
        <f ca="1">IFERROR(IF(G369="","",CONCATENATE(E369,"-",INDEX(Coordinate,MATCH(F369,ListAndConversion!$X$4:$X$99,0),2))),"")</f>
        <v/>
      </c>
      <c r="D369" s="408" t="str">
        <f t="shared" ca="1" si="216"/>
        <v/>
      </c>
      <c r="E369" s="408" t="str">
        <f t="shared" ca="1" si="216"/>
        <v/>
      </c>
      <c r="F369" s="408" t="str">
        <f t="shared" ca="1" si="216"/>
        <v/>
      </c>
      <c r="G369" s="408" t="str">
        <f ca="1">IFERROR(INDEX(ListAndConversion!A:B,MATCH(Calculation!E369,ListAndConversion!A:A,0),2),"")</f>
        <v/>
      </c>
      <c r="H369" s="408" t="str">
        <f>IF(TrackIT_Lines!AD361="","",TrackIT_Lines!AD361)</f>
        <v/>
      </c>
      <c r="I369" s="408" t="str">
        <f>IF(TrackIT_Lines!AD361="","",CONCATENATE(TrackIT_Lines!AD361,"-",TrackIT_Lines!AG361))</f>
        <v/>
      </c>
      <c r="J369" s="409" t="str">
        <f t="shared" ca="1" si="220"/>
        <v/>
      </c>
      <c r="K369" s="408" t="str">
        <f t="shared" ca="1" si="220"/>
        <v/>
      </c>
      <c r="L369" s="408" t="str">
        <f t="shared" ca="1" si="220"/>
        <v/>
      </c>
      <c r="M369" s="408" t="str">
        <f t="shared" ca="1" si="220"/>
        <v/>
      </c>
      <c r="N369" s="408" t="str">
        <f t="shared" ca="1" si="220"/>
        <v/>
      </c>
      <c r="O369" s="408" t="str">
        <f t="shared" ca="1" si="220"/>
        <v/>
      </c>
      <c r="P369" s="408" t="str">
        <f t="shared" ca="1" si="220"/>
        <v/>
      </c>
      <c r="Q369" s="408" t="str">
        <f t="shared" ca="1" si="220"/>
        <v/>
      </c>
      <c r="R369" s="410" t="str">
        <f ca="1">Cluster!J388</f>
        <v>Selection</v>
      </c>
      <c r="S369" s="411" t="str">
        <f t="shared" ca="1" si="194"/>
        <v>-</v>
      </c>
      <c r="T369" s="412" t="str">
        <f t="shared" ca="1" si="195"/>
        <v/>
      </c>
      <c r="U369" s="411" t="str">
        <f t="shared" ca="1" si="196"/>
        <v>-</v>
      </c>
      <c r="V369" s="411" t="str">
        <f t="shared" ca="1" si="197"/>
        <v>-</v>
      </c>
      <c r="W369" s="413">
        <f>Cluster!N388</f>
        <v>0</v>
      </c>
      <c r="X369" s="414" t="str">
        <f t="shared" ca="1" si="198"/>
        <v>-</v>
      </c>
      <c r="Y369" s="411" t="str">
        <f t="shared" ca="1" si="199"/>
        <v>-</v>
      </c>
      <c r="Z369" s="415" t="str">
        <f t="shared" ca="1" si="200"/>
        <v>-</v>
      </c>
      <c r="AA369" s="416" t="str">
        <f t="shared" ca="1" si="201"/>
        <v>-</v>
      </c>
      <c r="AB369" s="416" t="str">
        <f t="shared" ca="1" si="202"/>
        <v/>
      </c>
      <c r="AC369" s="434">
        <f>Cluster!Q388</f>
        <v>0</v>
      </c>
      <c r="AD369" s="435" t="str">
        <f t="shared" ca="1" si="218"/>
        <v/>
      </c>
      <c r="AE369" s="436" t="str">
        <f t="shared" ca="1" si="218"/>
        <v/>
      </c>
      <c r="AF369" s="437" t="str">
        <f t="shared" ca="1" si="204"/>
        <v>-</v>
      </c>
      <c r="AG369" s="438" t="str">
        <f t="shared" ca="1" si="205"/>
        <v>-</v>
      </c>
      <c r="AH369" s="437" t="str">
        <f t="shared" ca="1" si="206"/>
        <v>-</v>
      </c>
      <c r="AI369" s="438" t="str">
        <f t="shared" ca="1" si="207"/>
        <v>-</v>
      </c>
      <c r="AJ369" s="438" t="str">
        <f t="shared" ca="1" si="208"/>
        <v>-</v>
      </c>
      <c r="AK369" s="439" t="str">
        <f ca="1">IFERROR(AE369*AD369*AL369/(IF(Cluster!AA388=Cluster!$W$8,Cluster!$W$10,IF(Cluster!AA388=Cluster!$X$8,Cluster!$X$10,IF(Cluster!AA388=Cluster!$Y$8,Cluster!$Y$10,0)))*10^3),"-")</f>
        <v>-</v>
      </c>
      <c r="AL369" s="440" t="str">
        <f ca="1">IFERROR(IF(OR(Calculation!T369&lt;(Calculation!$U$8+2),Calculation!AC369="Bypass"),IF((IF(Calculation!$O$6/((Calculation!AD369*10^-12)/(Calculation!T369*10^-9)*50)&lt;=1,1,ROUNDUP(Calculation!$O$6/((Calculation!AD369*10^-12)/(Calculation!T369*10^-9)*50),0))*50)&lt;Calculation!$AK$6,Calculation!$AK$6,IF(Calculation!$O$6/((Calculation!AD369*10^-12)/(Calculation!T369*10^-9)*50)&lt;=1,1,ROUNDUP(Calculation!$O$6/((Calculation!AD369*10^-12)/(Calculation!T369*10^-9)*50),0))*50),"-"),"-")</f>
        <v>-</v>
      </c>
      <c r="AM369" s="441" t="str">
        <f t="shared" ca="1" si="219"/>
        <v/>
      </c>
      <c r="AN369" s="442" t="str">
        <f t="shared" ca="1" si="219"/>
        <v/>
      </c>
      <c r="AO369" s="432">
        <f t="shared" ca="1" si="210"/>
        <v>384</v>
      </c>
      <c r="AP369" s="427" t="str">
        <f t="shared" ca="1" si="211"/>
        <v>-</v>
      </c>
      <c r="AQ369" s="443" t="str">
        <f t="shared" ca="1" si="212"/>
        <v>-</v>
      </c>
      <c r="AR369" s="444" t="str">
        <f t="shared" ca="1" si="213"/>
        <v>-</v>
      </c>
      <c r="AS369" s="430" t="str">
        <f t="shared" ca="1" si="214"/>
        <v>-</v>
      </c>
    </row>
    <row r="370" spans="1:45" ht="14.25" x14ac:dyDescent="0.65">
      <c r="A370" s="407">
        <v>362</v>
      </c>
      <c r="B370" s="408" t="str">
        <f t="shared" ca="1" si="191"/>
        <v/>
      </c>
      <c r="C370" s="408" t="str">
        <f ca="1">IFERROR(IF(G370="","",CONCATENATE(E370,"-",INDEX(Coordinate,MATCH(F370,ListAndConversion!$X$4:$X$99,0),2))),"")</f>
        <v/>
      </c>
      <c r="D370" s="408" t="str">
        <f t="shared" ref="D370:F393" ca="1" si="221">IF((INDIRECT("TrackIT_Lines!"&amp;D$2&amp;$A370))="","", (INDIRECT("TrackIT_Lines!"&amp;D$2&amp;$A370)))</f>
        <v/>
      </c>
      <c r="E370" s="408" t="str">
        <f t="shared" ca="1" si="221"/>
        <v/>
      </c>
      <c r="F370" s="408" t="str">
        <f t="shared" ca="1" si="221"/>
        <v/>
      </c>
      <c r="G370" s="408" t="str">
        <f ca="1">IFERROR(INDEX(ListAndConversion!A:B,MATCH(Calculation!E370,ListAndConversion!A:A,0),2),"")</f>
        <v/>
      </c>
      <c r="H370" s="408" t="str">
        <f>IF(TrackIT_Lines!AD362="","",TrackIT_Lines!AD362)</f>
        <v/>
      </c>
      <c r="I370" s="408" t="str">
        <f>IF(TrackIT_Lines!AD362="","",CONCATENATE(TrackIT_Lines!AD362,"-",TrackIT_Lines!AG362))</f>
        <v/>
      </c>
      <c r="J370" s="409" t="str">
        <f t="shared" ref="J370:Q379" ca="1" si="222">IF((INDIRECT("TrackIT_Lines!"&amp;J$2&amp;$A370))="","", (INDIRECT("TrackIT_Lines!"&amp;J$2&amp;$A370)))</f>
        <v/>
      </c>
      <c r="K370" s="408" t="str">
        <f t="shared" ca="1" si="222"/>
        <v/>
      </c>
      <c r="L370" s="408" t="str">
        <f t="shared" ca="1" si="222"/>
        <v/>
      </c>
      <c r="M370" s="408" t="str">
        <f t="shared" ca="1" si="222"/>
        <v/>
      </c>
      <c r="N370" s="408" t="str">
        <f t="shared" ca="1" si="222"/>
        <v/>
      </c>
      <c r="O370" s="408" t="str">
        <f t="shared" ca="1" si="222"/>
        <v/>
      </c>
      <c r="P370" s="408" t="str">
        <f t="shared" ca="1" si="222"/>
        <v/>
      </c>
      <c r="Q370" s="408" t="str">
        <f t="shared" ca="1" si="222"/>
        <v/>
      </c>
      <c r="R370" s="410" t="str">
        <f ca="1">Cluster!J389</f>
        <v>Selection</v>
      </c>
      <c r="S370" s="411" t="str">
        <f t="shared" ca="1" si="194"/>
        <v>-</v>
      </c>
      <c r="T370" s="412" t="str">
        <f t="shared" ca="1" si="195"/>
        <v/>
      </c>
      <c r="U370" s="411" t="str">
        <f t="shared" ca="1" si="196"/>
        <v>-</v>
      </c>
      <c r="V370" s="411" t="str">
        <f t="shared" ca="1" si="197"/>
        <v>-</v>
      </c>
      <c r="W370" s="413">
        <f>Cluster!N389</f>
        <v>0</v>
      </c>
      <c r="X370" s="414" t="str">
        <f t="shared" ca="1" si="198"/>
        <v>-</v>
      </c>
      <c r="Y370" s="411" t="str">
        <f t="shared" ca="1" si="199"/>
        <v>-</v>
      </c>
      <c r="Z370" s="415" t="str">
        <f t="shared" ca="1" si="200"/>
        <v>-</v>
      </c>
      <c r="AA370" s="416" t="str">
        <f t="shared" ca="1" si="201"/>
        <v>-</v>
      </c>
      <c r="AB370" s="416" t="str">
        <f t="shared" ca="1" si="202"/>
        <v/>
      </c>
      <c r="AC370" s="434">
        <f>Cluster!Q389</f>
        <v>0</v>
      </c>
      <c r="AD370" s="435" t="str">
        <f t="shared" ref="AD370:AE393" ca="1" si="223">IF((INDIRECT("TrackIT_Lines!"&amp;AD$2&amp;$A370))="","", (INDIRECT("TrackIT_Lines!"&amp;AD$2&amp;$A370)))</f>
        <v/>
      </c>
      <c r="AE370" s="436" t="str">
        <f t="shared" ca="1" si="223"/>
        <v/>
      </c>
      <c r="AF370" s="437" t="str">
        <f t="shared" ca="1" si="204"/>
        <v>-</v>
      </c>
      <c r="AG370" s="438" t="str">
        <f t="shared" ca="1" si="205"/>
        <v>-</v>
      </c>
      <c r="AH370" s="437" t="str">
        <f t="shared" ca="1" si="206"/>
        <v>-</v>
      </c>
      <c r="AI370" s="438" t="str">
        <f t="shared" ca="1" si="207"/>
        <v>-</v>
      </c>
      <c r="AJ370" s="438" t="str">
        <f t="shared" ca="1" si="208"/>
        <v>-</v>
      </c>
      <c r="AK370" s="439" t="str">
        <f ca="1">IFERROR(AE370*AD370*AL370/(IF(Cluster!AA389=Cluster!$W$8,Cluster!$W$10,IF(Cluster!AA389=Cluster!$X$8,Cluster!$X$10,IF(Cluster!AA389=Cluster!$Y$8,Cluster!$Y$10,0)))*10^3),"-")</f>
        <v>-</v>
      </c>
      <c r="AL370" s="440" t="str">
        <f ca="1">IFERROR(IF(OR(Calculation!T370&lt;(Calculation!$U$8+2),Calculation!AC370="Bypass"),IF((IF(Calculation!$O$6/((Calculation!AD370*10^-12)/(Calculation!T370*10^-9)*50)&lt;=1,1,ROUNDUP(Calculation!$O$6/((Calculation!AD370*10^-12)/(Calculation!T370*10^-9)*50),0))*50)&lt;Calculation!$AK$6,Calculation!$AK$6,IF(Calculation!$O$6/((Calculation!AD370*10^-12)/(Calculation!T370*10^-9)*50)&lt;=1,1,ROUNDUP(Calculation!$O$6/((Calculation!AD370*10^-12)/(Calculation!T370*10^-9)*50),0))*50),"-"),"-")</f>
        <v>-</v>
      </c>
      <c r="AM370" s="441" t="str">
        <f t="shared" ref="AM370:AN393" ca="1" si="224">IF((INDIRECT("TrackIT_Lines!"&amp;AM$2&amp;$A370))="","", (INDIRECT("TrackIT_Lines!"&amp;AM$2&amp;$A370)))</f>
        <v/>
      </c>
      <c r="AN370" s="442" t="str">
        <f t="shared" ca="1" si="224"/>
        <v/>
      </c>
      <c r="AO370" s="432">
        <f t="shared" ca="1" si="210"/>
        <v>384</v>
      </c>
      <c r="AP370" s="427" t="str">
        <f t="shared" ca="1" si="211"/>
        <v>-</v>
      </c>
      <c r="AQ370" s="443" t="str">
        <f t="shared" ca="1" si="212"/>
        <v>-</v>
      </c>
      <c r="AR370" s="444" t="str">
        <f t="shared" ca="1" si="213"/>
        <v>-</v>
      </c>
      <c r="AS370" s="430" t="str">
        <f t="shared" ca="1" si="214"/>
        <v>-</v>
      </c>
    </row>
    <row r="371" spans="1:45" ht="14.25" x14ac:dyDescent="0.65">
      <c r="A371" s="407">
        <v>363</v>
      </c>
      <c r="B371" s="408" t="str">
        <f t="shared" ca="1" si="191"/>
        <v/>
      </c>
      <c r="C371" s="408" t="str">
        <f ca="1">IFERROR(IF(G371="","",CONCATENATE(E371,"-",INDEX(Coordinate,MATCH(F371,ListAndConversion!$X$4:$X$99,0),2))),"")</f>
        <v/>
      </c>
      <c r="D371" s="408" t="str">
        <f t="shared" ca="1" si="221"/>
        <v/>
      </c>
      <c r="E371" s="408" t="str">
        <f t="shared" ca="1" si="221"/>
        <v/>
      </c>
      <c r="F371" s="408" t="str">
        <f t="shared" ca="1" si="221"/>
        <v/>
      </c>
      <c r="G371" s="408" t="str">
        <f ca="1">IFERROR(INDEX(ListAndConversion!A:B,MATCH(Calculation!E371,ListAndConversion!A:A,0),2),"")</f>
        <v/>
      </c>
      <c r="H371" s="408" t="str">
        <f>IF(TrackIT_Lines!AD363="","",TrackIT_Lines!AD363)</f>
        <v/>
      </c>
      <c r="I371" s="408" t="str">
        <f>IF(TrackIT_Lines!AD363="","",CONCATENATE(TrackIT_Lines!AD363,"-",TrackIT_Lines!AG363))</f>
        <v/>
      </c>
      <c r="J371" s="409" t="str">
        <f t="shared" ca="1" si="222"/>
        <v/>
      </c>
      <c r="K371" s="408" t="str">
        <f t="shared" ca="1" si="222"/>
        <v/>
      </c>
      <c r="L371" s="408" t="str">
        <f t="shared" ca="1" si="222"/>
        <v/>
      </c>
      <c r="M371" s="408" t="str">
        <f t="shared" ca="1" si="222"/>
        <v/>
      </c>
      <c r="N371" s="408" t="str">
        <f t="shared" ca="1" si="222"/>
        <v/>
      </c>
      <c r="O371" s="408" t="str">
        <f t="shared" ca="1" si="222"/>
        <v/>
      </c>
      <c r="P371" s="408" t="str">
        <f t="shared" ca="1" si="222"/>
        <v/>
      </c>
      <c r="Q371" s="408" t="str">
        <f t="shared" ca="1" si="222"/>
        <v/>
      </c>
      <c r="R371" s="410" t="str">
        <f ca="1">Cluster!J390</f>
        <v>Selection</v>
      </c>
      <c r="S371" s="411" t="str">
        <f t="shared" ca="1" si="194"/>
        <v>-</v>
      </c>
      <c r="T371" s="412" t="str">
        <f t="shared" ca="1" si="195"/>
        <v/>
      </c>
      <c r="U371" s="411" t="str">
        <f t="shared" ca="1" si="196"/>
        <v>-</v>
      </c>
      <c r="V371" s="411" t="str">
        <f t="shared" ca="1" si="197"/>
        <v>-</v>
      </c>
      <c r="W371" s="413">
        <f>Cluster!N390</f>
        <v>0</v>
      </c>
      <c r="X371" s="414" t="str">
        <f t="shared" ca="1" si="198"/>
        <v>-</v>
      </c>
      <c r="Y371" s="411" t="str">
        <f t="shared" ca="1" si="199"/>
        <v>-</v>
      </c>
      <c r="Z371" s="415" t="str">
        <f t="shared" ca="1" si="200"/>
        <v>-</v>
      </c>
      <c r="AA371" s="416" t="str">
        <f t="shared" ca="1" si="201"/>
        <v>-</v>
      </c>
      <c r="AB371" s="416" t="str">
        <f t="shared" ca="1" si="202"/>
        <v/>
      </c>
      <c r="AC371" s="434">
        <f>Cluster!Q390</f>
        <v>0</v>
      </c>
      <c r="AD371" s="435" t="str">
        <f t="shared" ca="1" si="223"/>
        <v/>
      </c>
      <c r="AE371" s="436" t="str">
        <f t="shared" ca="1" si="223"/>
        <v/>
      </c>
      <c r="AF371" s="437" t="str">
        <f t="shared" ca="1" si="204"/>
        <v>-</v>
      </c>
      <c r="AG371" s="438" t="str">
        <f t="shared" ca="1" si="205"/>
        <v>-</v>
      </c>
      <c r="AH371" s="437" t="str">
        <f t="shared" ca="1" si="206"/>
        <v>-</v>
      </c>
      <c r="AI371" s="438" t="str">
        <f t="shared" ca="1" si="207"/>
        <v>-</v>
      </c>
      <c r="AJ371" s="438" t="str">
        <f t="shared" ca="1" si="208"/>
        <v>-</v>
      </c>
      <c r="AK371" s="439" t="str">
        <f ca="1">IFERROR(AE371*AD371*AL371/(IF(Cluster!AA390=Cluster!$W$8,Cluster!$W$10,IF(Cluster!AA390=Cluster!$X$8,Cluster!$X$10,IF(Cluster!AA390=Cluster!$Y$8,Cluster!$Y$10,0)))*10^3),"-")</f>
        <v>-</v>
      </c>
      <c r="AL371" s="440" t="str">
        <f ca="1">IFERROR(IF(OR(Calculation!T371&lt;(Calculation!$U$8+2),Calculation!AC371="Bypass"),IF((IF(Calculation!$O$6/((Calculation!AD371*10^-12)/(Calculation!T371*10^-9)*50)&lt;=1,1,ROUNDUP(Calculation!$O$6/((Calculation!AD371*10^-12)/(Calculation!T371*10^-9)*50),0))*50)&lt;Calculation!$AK$6,Calculation!$AK$6,IF(Calculation!$O$6/((Calculation!AD371*10^-12)/(Calculation!T371*10^-9)*50)&lt;=1,1,ROUNDUP(Calculation!$O$6/((Calculation!AD371*10^-12)/(Calculation!T371*10^-9)*50),0))*50),"-"),"-")</f>
        <v>-</v>
      </c>
      <c r="AM371" s="441" t="str">
        <f t="shared" ca="1" si="224"/>
        <v/>
      </c>
      <c r="AN371" s="442" t="str">
        <f t="shared" ca="1" si="224"/>
        <v/>
      </c>
      <c r="AO371" s="432">
        <f t="shared" ca="1" si="210"/>
        <v>384</v>
      </c>
      <c r="AP371" s="427" t="str">
        <f t="shared" ca="1" si="211"/>
        <v>-</v>
      </c>
      <c r="AQ371" s="443" t="str">
        <f t="shared" ca="1" si="212"/>
        <v>-</v>
      </c>
      <c r="AR371" s="444" t="str">
        <f t="shared" ca="1" si="213"/>
        <v>-</v>
      </c>
      <c r="AS371" s="430" t="str">
        <f t="shared" ca="1" si="214"/>
        <v>-</v>
      </c>
    </row>
    <row r="372" spans="1:45" ht="14.25" x14ac:dyDescent="0.65">
      <c r="A372" s="407">
        <v>364</v>
      </c>
      <c r="B372" s="408" t="str">
        <f t="shared" ca="1" si="191"/>
        <v/>
      </c>
      <c r="C372" s="408" t="str">
        <f ca="1">IFERROR(IF(G372="","",CONCATENATE(E372,"-",INDEX(Coordinate,MATCH(F372,ListAndConversion!$X$4:$X$99,0),2))),"")</f>
        <v/>
      </c>
      <c r="D372" s="408" t="str">
        <f t="shared" ca="1" si="221"/>
        <v/>
      </c>
      <c r="E372" s="408" t="str">
        <f t="shared" ca="1" si="221"/>
        <v/>
      </c>
      <c r="F372" s="408" t="str">
        <f t="shared" ca="1" si="221"/>
        <v/>
      </c>
      <c r="G372" s="408" t="str">
        <f ca="1">IFERROR(INDEX(ListAndConversion!A:B,MATCH(Calculation!E372,ListAndConversion!A:A,0),2),"")</f>
        <v/>
      </c>
      <c r="H372" s="408" t="str">
        <f>IF(TrackIT_Lines!AD364="","",TrackIT_Lines!AD364)</f>
        <v/>
      </c>
      <c r="I372" s="408" t="str">
        <f>IF(TrackIT_Lines!AD364="","",CONCATENATE(TrackIT_Lines!AD364,"-",TrackIT_Lines!AG364))</f>
        <v/>
      </c>
      <c r="J372" s="409" t="str">
        <f t="shared" ca="1" si="222"/>
        <v/>
      </c>
      <c r="K372" s="408" t="str">
        <f t="shared" ca="1" si="222"/>
        <v/>
      </c>
      <c r="L372" s="408" t="str">
        <f t="shared" ca="1" si="222"/>
        <v/>
      </c>
      <c r="M372" s="408" t="str">
        <f t="shared" ca="1" si="222"/>
        <v/>
      </c>
      <c r="N372" s="408" t="str">
        <f t="shared" ca="1" si="222"/>
        <v/>
      </c>
      <c r="O372" s="408" t="str">
        <f t="shared" ca="1" si="222"/>
        <v/>
      </c>
      <c r="P372" s="408" t="str">
        <f t="shared" ca="1" si="222"/>
        <v/>
      </c>
      <c r="Q372" s="408" t="str">
        <f t="shared" ca="1" si="222"/>
        <v/>
      </c>
      <c r="R372" s="410" t="str">
        <f ca="1">Cluster!J391</f>
        <v>Selection</v>
      </c>
      <c r="S372" s="411" t="str">
        <f t="shared" ca="1" si="194"/>
        <v>-</v>
      </c>
      <c r="T372" s="412" t="str">
        <f t="shared" ca="1" si="195"/>
        <v/>
      </c>
      <c r="U372" s="411" t="str">
        <f t="shared" ca="1" si="196"/>
        <v>-</v>
      </c>
      <c r="V372" s="411" t="str">
        <f t="shared" ca="1" si="197"/>
        <v>-</v>
      </c>
      <c r="W372" s="413">
        <f>Cluster!N391</f>
        <v>0</v>
      </c>
      <c r="X372" s="414" t="str">
        <f t="shared" ca="1" si="198"/>
        <v>-</v>
      </c>
      <c r="Y372" s="411" t="str">
        <f t="shared" ca="1" si="199"/>
        <v>-</v>
      </c>
      <c r="Z372" s="415" t="str">
        <f t="shared" ca="1" si="200"/>
        <v>-</v>
      </c>
      <c r="AA372" s="416" t="str">
        <f t="shared" ca="1" si="201"/>
        <v>-</v>
      </c>
      <c r="AB372" s="416" t="str">
        <f t="shared" ca="1" si="202"/>
        <v/>
      </c>
      <c r="AC372" s="434">
        <f>Cluster!Q391</f>
        <v>0</v>
      </c>
      <c r="AD372" s="435" t="str">
        <f t="shared" ca="1" si="223"/>
        <v/>
      </c>
      <c r="AE372" s="436" t="str">
        <f t="shared" ca="1" si="223"/>
        <v/>
      </c>
      <c r="AF372" s="437" t="str">
        <f t="shared" ca="1" si="204"/>
        <v>-</v>
      </c>
      <c r="AG372" s="438" t="str">
        <f t="shared" ca="1" si="205"/>
        <v>-</v>
      </c>
      <c r="AH372" s="437" t="str">
        <f t="shared" ca="1" si="206"/>
        <v>-</v>
      </c>
      <c r="AI372" s="438" t="str">
        <f t="shared" ca="1" si="207"/>
        <v>-</v>
      </c>
      <c r="AJ372" s="438" t="str">
        <f t="shared" ca="1" si="208"/>
        <v>-</v>
      </c>
      <c r="AK372" s="439" t="str">
        <f ca="1">IFERROR(AE372*AD372*AL372/(IF(Cluster!AA391=Cluster!$W$8,Cluster!$W$10,IF(Cluster!AA391=Cluster!$X$8,Cluster!$X$10,IF(Cluster!AA391=Cluster!$Y$8,Cluster!$Y$10,0)))*10^3),"-")</f>
        <v>-</v>
      </c>
      <c r="AL372" s="440" t="str">
        <f ca="1">IFERROR(IF(OR(Calculation!T372&lt;(Calculation!$U$8+2),Calculation!AC372="Bypass"),IF((IF(Calculation!$O$6/((Calculation!AD372*10^-12)/(Calculation!T372*10^-9)*50)&lt;=1,1,ROUNDUP(Calculation!$O$6/((Calculation!AD372*10^-12)/(Calculation!T372*10^-9)*50),0))*50)&lt;Calculation!$AK$6,Calculation!$AK$6,IF(Calculation!$O$6/((Calculation!AD372*10^-12)/(Calculation!T372*10^-9)*50)&lt;=1,1,ROUNDUP(Calculation!$O$6/((Calculation!AD372*10^-12)/(Calculation!T372*10^-9)*50),0))*50),"-"),"-")</f>
        <v>-</v>
      </c>
      <c r="AM372" s="441" t="str">
        <f t="shared" ca="1" si="224"/>
        <v/>
      </c>
      <c r="AN372" s="442" t="str">
        <f t="shared" ca="1" si="224"/>
        <v/>
      </c>
      <c r="AO372" s="432">
        <f t="shared" ca="1" si="210"/>
        <v>384</v>
      </c>
      <c r="AP372" s="427" t="str">
        <f t="shared" ca="1" si="211"/>
        <v>-</v>
      </c>
      <c r="AQ372" s="443" t="str">
        <f t="shared" ca="1" si="212"/>
        <v>-</v>
      </c>
      <c r="AR372" s="444" t="str">
        <f t="shared" ca="1" si="213"/>
        <v>-</v>
      </c>
      <c r="AS372" s="430" t="str">
        <f t="shared" ca="1" si="214"/>
        <v>-</v>
      </c>
    </row>
    <row r="373" spans="1:45" ht="14.25" x14ac:dyDescent="0.65">
      <c r="A373" s="407">
        <v>365</v>
      </c>
      <c r="B373" s="408" t="str">
        <f t="shared" ca="1" si="191"/>
        <v/>
      </c>
      <c r="C373" s="408" t="str">
        <f ca="1">IFERROR(IF(G373="","",CONCATENATE(E373,"-",INDEX(Coordinate,MATCH(F373,ListAndConversion!$X$4:$X$99,0),2))),"")</f>
        <v/>
      </c>
      <c r="D373" s="408" t="str">
        <f t="shared" ca="1" si="221"/>
        <v/>
      </c>
      <c r="E373" s="408" t="str">
        <f t="shared" ca="1" si="221"/>
        <v/>
      </c>
      <c r="F373" s="408" t="str">
        <f t="shared" ca="1" si="221"/>
        <v/>
      </c>
      <c r="G373" s="408" t="str">
        <f ca="1">IFERROR(INDEX(ListAndConversion!A:B,MATCH(Calculation!E373,ListAndConversion!A:A,0),2),"")</f>
        <v/>
      </c>
      <c r="H373" s="408" t="str">
        <f>IF(TrackIT_Lines!AD365="","",TrackIT_Lines!AD365)</f>
        <v/>
      </c>
      <c r="I373" s="408" t="str">
        <f>IF(TrackIT_Lines!AD365="","",CONCATENATE(TrackIT_Lines!AD365,"-",TrackIT_Lines!AG365))</f>
        <v/>
      </c>
      <c r="J373" s="409" t="str">
        <f t="shared" ca="1" si="222"/>
        <v/>
      </c>
      <c r="K373" s="408" t="str">
        <f t="shared" ca="1" si="222"/>
        <v/>
      </c>
      <c r="L373" s="408" t="str">
        <f t="shared" ca="1" si="222"/>
        <v/>
      </c>
      <c r="M373" s="408" t="str">
        <f t="shared" ca="1" si="222"/>
        <v/>
      </c>
      <c r="N373" s="408" t="str">
        <f t="shared" ca="1" si="222"/>
        <v/>
      </c>
      <c r="O373" s="408" t="str">
        <f t="shared" ca="1" si="222"/>
        <v/>
      </c>
      <c r="P373" s="408" t="str">
        <f t="shared" ca="1" si="222"/>
        <v/>
      </c>
      <c r="Q373" s="408" t="str">
        <f t="shared" ca="1" si="222"/>
        <v/>
      </c>
      <c r="R373" s="410" t="str">
        <f ca="1">Cluster!J392</f>
        <v>Selection</v>
      </c>
      <c r="S373" s="411" t="str">
        <f t="shared" ca="1" si="194"/>
        <v>-</v>
      </c>
      <c r="T373" s="412" t="str">
        <f t="shared" ca="1" si="195"/>
        <v/>
      </c>
      <c r="U373" s="411" t="str">
        <f t="shared" ca="1" si="196"/>
        <v>-</v>
      </c>
      <c r="V373" s="411" t="str">
        <f t="shared" ca="1" si="197"/>
        <v>-</v>
      </c>
      <c r="W373" s="413">
        <f>Cluster!N392</f>
        <v>0</v>
      </c>
      <c r="X373" s="414" t="str">
        <f t="shared" ca="1" si="198"/>
        <v>-</v>
      </c>
      <c r="Y373" s="411" t="str">
        <f t="shared" ca="1" si="199"/>
        <v>-</v>
      </c>
      <c r="Z373" s="415" t="str">
        <f t="shared" ca="1" si="200"/>
        <v>-</v>
      </c>
      <c r="AA373" s="416" t="str">
        <f t="shared" ca="1" si="201"/>
        <v>-</v>
      </c>
      <c r="AB373" s="416" t="str">
        <f t="shared" ca="1" si="202"/>
        <v/>
      </c>
      <c r="AC373" s="434">
        <f>Cluster!Q392</f>
        <v>0</v>
      </c>
      <c r="AD373" s="435" t="str">
        <f t="shared" ca="1" si="223"/>
        <v/>
      </c>
      <c r="AE373" s="436" t="str">
        <f t="shared" ca="1" si="223"/>
        <v/>
      </c>
      <c r="AF373" s="437" t="str">
        <f t="shared" ca="1" si="204"/>
        <v>-</v>
      </c>
      <c r="AG373" s="438" t="str">
        <f t="shared" ca="1" si="205"/>
        <v>-</v>
      </c>
      <c r="AH373" s="437" t="str">
        <f t="shared" ca="1" si="206"/>
        <v>-</v>
      </c>
      <c r="AI373" s="438" t="str">
        <f t="shared" ca="1" si="207"/>
        <v>-</v>
      </c>
      <c r="AJ373" s="438" t="str">
        <f t="shared" ca="1" si="208"/>
        <v>-</v>
      </c>
      <c r="AK373" s="439" t="str">
        <f ca="1">IFERROR(AE373*AD373*AL373/(IF(Cluster!AA392=Cluster!$W$8,Cluster!$W$10,IF(Cluster!AA392=Cluster!$X$8,Cluster!$X$10,IF(Cluster!AA392=Cluster!$Y$8,Cluster!$Y$10,0)))*10^3),"-")</f>
        <v>-</v>
      </c>
      <c r="AL373" s="440" t="str">
        <f ca="1">IFERROR(IF(OR(Calculation!T373&lt;(Calculation!$U$8+2),Calculation!AC373="Bypass"),IF((IF(Calculation!$O$6/((Calculation!AD373*10^-12)/(Calculation!T373*10^-9)*50)&lt;=1,1,ROUNDUP(Calculation!$O$6/((Calculation!AD373*10^-12)/(Calculation!T373*10^-9)*50),0))*50)&lt;Calculation!$AK$6,Calculation!$AK$6,IF(Calculation!$O$6/((Calculation!AD373*10^-12)/(Calculation!T373*10^-9)*50)&lt;=1,1,ROUNDUP(Calculation!$O$6/((Calculation!AD373*10^-12)/(Calculation!T373*10^-9)*50),0))*50),"-"),"-")</f>
        <v>-</v>
      </c>
      <c r="AM373" s="441" t="str">
        <f t="shared" ca="1" si="224"/>
        <v/>
      </c>
      <c r="AN373" s="442" t="str">
        <f t="shared" ca="1" si="224"/>
        <v/>
      </c>
      <c r="AO373" s="432">
        <f t="shared" ca="1" si="210"/>
        <v>384</v>
      </c>
      <c r="AP373" s="427" t="str">
        <f t="shared" ca="1" si="211"/>
        <v>-</v>
      </c>
      <c r="AQ373" s="443" t="str">
        <f t="shared" ca="1" si="212"/>
        <v>-</v>
      </c>
      <c r="AR373" s="444" t="str">
        <f t="shared" ca="1" si="213"/>
        <v>-</v>
      </c>
      <c r="AS373" s="430" t="str">
        <f t="shared" ca="1" si="214"/>
        <v>-</v>
      </c>
    </row>
    <row r="374" spans="1:45" ht="14.25" x14ac:dyDescent="0.65">
      <c r="A374" s="407">
        <v>366</v>
      </c>
      <c r="B374" s="408" t="str">
        <f t="shared" ca="1" si="191"/>
        <v/>
      </c>
      <c r="C374" s="408" t="str">
        <f ca="1">IFERROR(IF(G374="","",CONCATENATE(E374,"-",INDEX(Coordinate,MATCH(F374,ListAndConversion!$X$4:$X$99,0),2))),"")</f>
        <v/>
      </c>
      <c r="D374" s="408" t="str">
        <f t="shared" ca="1" si="221"/>
        <v/>
      </c>
      <c r="E374" s="408" t="str">
        <f t="shared" ca="1" si="221"/>
        <v/>
      </c>
      <c r="F374" s="408" t="str">
        <f t="shared" ca="1" si="221"/>
        <v/>
      </c>
      <c r="G374" s="408" t="str">
        <f ca="1">IFERROR(INDEX(ListAndConversion!A:B,MATCH(Calculation!E374,ListAndConversion!A:A,0),2),"")</f>
        <v/>
      </c>
      <c r="H374" s="408" t="str">
        <f>IF(TrackIT_Lines!AD366="","",TrackIT_Lines!AD366)</f>
        <v/>
      </c>
      <c r="I374" s="408" t="str">
        <f>IF(TrackIT_Lines!AD366="","",CONCATENATE(TrackIT_Lines!AD366,"-",TrackIT_Lines!AG366))</f>
        <v/>
      </c>
      <c r="J374" s="409" t="str">
        <f t="shared" ca="1" si="222"/>
        <v/>
      </c>
      <c r="K374" s="408" t="str">
        <f t="shared" ca="1" si="222"/>
        <v/>
      </c>
      <c r="L374" s="408" t="str">
        <f t="shared" ca="1" si="222"/>
        <v/>
      </c>
      <c r="M374" s="408" t="str">
        <f t="shared" ca="1" si="222"/>
        <v/>
      </c>
      <c r="N374" s="408" t="str">
        <f t="shared" ca="1" si="222"/>
        <v/>
      </c>
      <c r="O374" s="408" t="str">
        <f t="shared" ca="1" si="222"/>
        <v/>
      </c>
      <c r="P374" s="408" t="str">
        <f t="shared" ca="1" si="222"/>
        <v/>
      </c>
      <c r="Q374" s="408" t="str">
        <f t="shared" ca="1" si="222"/>
        <v/>
      </c>
      <c r="R374" s="410" t="str">
        <f ca="1">Cluster!J393</f>
        <v>Selection</v>
      </c>
      <c r="S374" s="411" t="str">
        <f t="shared" ca="1" si="194"/>
        <v>-</v>
      </c>
      <c r="T374" s="412" t="str">
        <f t="shared" ca="1" si="195"/>
        <v/>
      </c>
      <c r="U374" s="411" t="str">
        <f t="shared" ca="1" si="196"/>
        <v>-</v>
      </c>
      <c r="V374" s="411" t="str">
        <f t="shared" ca="1" si="197"/>
        <v>-</v>
      </c>
      <c r="W374" s="413">
        <f>Cluster!N393</f>
        <v>0</v>
      </c>
      <c r="X374" s="414" t="str">
        <f t="shared" ca="1" si="198"/>
        <v>-</v>
      </c>
      <c r="Y374" s="411" t="str">
        <f t="shared" ca="1" si="199"/>
        <v>-</v>
      </c>
      <c r="Z374" s="415" t="str">
        <f t="shared" ca="1" si="200"/>
        <v>-</v>
      </c>
      <c r="AA374" s="416" t="str">
        <f t="shared" ca="1" si="201"/>
        <v>-</v>
      </c>
      <c r="AB374" s="416" t="str">
        <f t="shared" ca="1" si="202"/>
        <v/>
      </c>
      <c r="AC374" s="434">
        <f>Cluster!Q393</f>
        <v>0</v>
      </c>
      <c r="AD374" s="435" t="str">
        <f t="shared" ca="1" si="223"/>
        <v/>
      </c>
      <c r="AE374" s="436" t="str">
        <f t="shared" ca="1" si="223"/>
        <v/>
      </c>
      <c r="AF374" s="437" t="str">
        <f t="shared" ca="1" si="204"/>
        <v>-</v>
      </c>
      <c r="AG374" s="438" t="str">
        <f t="shared" ca="1" si="205"/>
        <v>-</v>
      </c>
      <c r="AH374" s="437" t="str">
        <f t="shared" ca="1" si="206"/>
        <v>-</v>
      </c>
      <c r="AI374" s="438" t="str">
        <f t="shared" ca="1" si="207"/>
        <v>-</v>
      </c>
      <c r="AJ374" s="438" t="str">
        <f t="shared" ca="1" si="208"/>
        <v>-</v>
      </c>
      <c r="AK374" s="439" t="str">
        <f ca="1">IFERROR(AE374*AD374*AL374/(IF(Cluster!AA393=Cluster!$W$8,Cluster!$W$10,IF(Cluster!AA393=Cluster!$X$8,Cluster!$X$10,IF(Cluster!AA393=Cluster!$Y$8,Cluster!$Y$10,0)))*10^3),"-")</f>
        <v>-</v>
      </c>
      <c r="AL374" s="440" t="str">
        <f ca="1">IFERROR(IF(OR(Calculation!T374&lt;(Calculation!$U$8+2),Calculation!AC374="Bypass"),IF((IF(Calculation!$O$6/((Calculation!AD374*10^-12)/(Calculation!T374*10^-9)*50)&lt;=1,1,ROUNDUP(Calculation!$O$6/((Calculation!AD374*10^-12)/(Calculation!T374*10^-9)*50),0))*50)&lt;Calculation!$AK$6,Calculation!$AK$6,IF(Calculation!$O$6/((Calculation!AD374*10^-12)/(Calculation!T374*10^-9)*50)&lt;=1,1,ROUNDUP(Calculation!$O$6/((Calculation!AD374*10^-12)/(Calculation!T374*10^-9)*50),0))*50),"-"),"-")</f>
        <v>-</v>
      </c>
      <c r="AM374" s="441" t="str">
        <f t="shared" ca="1" si="224"/>
        <v/>
      </c>
      <c r="AN374" s="442" t="str">
        <f t="shared" ca="1" si="224"/>
        <v/>
      </c>
      <c r="AO374" s="432">
        <f t="shared" ca="1" si="210"/>
        <v>384</v>
      </c>
      <c r="AP374" s="427" t="str">
        <f t="shared" ca="1" si="211"/>
        <v>-</v>
      </c>
      <c r="AQ374" s="443" t="str">
        <f t="shared" ca="1" si="212"/>
        <v>-</v>
      </c>
      <c r="AR374" s="444" t="str">
        <f t="shared" ca="1" si="213"/>
        <v>-</v>
      </c>
      <c r="AS374" s="430" t="str">
        <f t="shared" ca="1" si="214"/>
        <v>-</v>
      </c>
    </row>
    <row r="375" spans="1:45" ht="14.25" x14ac:dyDescent="0.65">
      <c r="A375" s="407">
        <v>367</v>
      </c>
      <c r="B375" s="408" t="str">
        <f t="shared" ca="1" si="191"/>
        <v/>
      </c>
      <c r="C375" s="408" t="str">
        <f ca="1">IFERROR(IF(G375="","",CONCATENATE(E375,"-",INDEX(Coordinate,MATCH(F375,ListAndConversion!$X$4:$X$99,0),2))),"")</f>
        <v/>
      </c>
      <c r="D375" s="408" t="str">
        <f t="shared" ca="1" si="221"/>
        <v/>
      </c>
      <c r="E375" s="408" t="str">
        <f t="shared" ca="1" si="221"/>
        <v/>
      </c>
      <c r="F375" s="408" t="str">
        <f t="shared" ca="1" si="221"/>
        <v/>
      </c>
      <c r="G375" s="408" t="str">
        <f ca="1">IFERROR(INDEX(ListAndConversion!A:B,MATCH(Calculation!E375,ListAndConversion!A:A,0),2),"")</f>
        <v/>
      </c>
      <c r="H375" s="408" t="str">
        <f>IF(TrackIT_Lines!AD367="","",TrackIT_Lines!AD367)</f>
        <v/>
      </c>
      <c r="I375" s="408" t="str">
        <f>IF(TrackIT_Lines!AD367="","",CONCATENATE(TrackIT_Lines!AD367,"-",TrackIT_Lines!AG367))</f>
        <v/>
      </c>
      <c r="J375" s="409" t="str">
        <f t="shared" ca="1" si="222"/>
        <v/>
      </c>
      <c r="K375" s="408" t="str">
        <f t="shared" ca="1" si="222"/>
        <v/>
      </c>
      <c r="L375" s="408" t="str">
        <f t="shared" ca="1" si="222"/>
        <v/>
      </c>
      <c r="M375" s="408" t="str">
        <f t="shared" ca="1" si="222"/>
        <v/>
      </c>
      <c r="N375" s="408" t="str">
        <f t="shared" ca="1" si="222"/>
        <v/>
      </c>
      <c r="O375" s="408" t="str">
        <f t="shared" ca="1" si="222"/>
        <v/>
      </c>
      <c r="P375" s="408" t="str">
        <f t="shared" ca="1" si="222"/>
        <v/>
      </c>
      <c r="Q375" s="408" t="str">
        <f t="shared" ca="1" si="222"/>
        <v/>
      </c>
      <c r="R375" s="410" t="str">
        <f ca="1">Cluster!J394</f>
        <v>Selection</v>
      </c>
      <c r="S375" s="411" t="str">
        <f t="shared" ca="1" si="194"/>
        <v>-</v>
      </c>
      <c r="T375" s="412" t="str">
        <f t="shared" ca="1" si="195"/>
        <v/>
      </c>
      <c r="U375" s="411" t="str">
        <f t="shared" ca="1" si="196"/>
        <v>-</v>
      </c>
      <c r="V375" s="411" t="str">
        <f t="shared" ca="1" si="197"/>
        <v>-</v>
      </c>
      <c r="W375" s="413">
        <f>Cluster!N394</f>
        <v>0</v>
      </c>
      <c r="X375" s="414" t="str">
        <f t="shared" ca="1" si="198"/>
        <v>-</v>
      </c>
      <c r="Y375" s="411" t="str">
        <f t="shared" ca="1" si="199"/>
        <v>-</v>
      </c>
      <c r="Z375" s="415" t="str">
        <f t="shared" ca="1" si="200"/>
        <v>-</v>
      </c>
      <c r="AA375" s="416" t="str">
        <f t="shared" ca="1" si="201"/>
        <v>-</v>
      </c>
      <c r="AB375" s="416" t="str">
        <f t="shared" ca="1" si="202"/>
        <v/>
      </c>
      <c r="AC375" s="434">
        <f>Cluster!Q394</f>
        <v>0</v>
      </c>
      <c r="AD375" s="435" t="str">
        <f t="shared" ca="1" si="223"/>
        <v/>
      </c>
      <c r="AE375" s="436" t="str">
        <f t="shared" ca="1" si="223"/>
        <v/>
      </c>
      <c r="AF375" s="437" t="str">
        <f t="shared" ca="1" si="204"/>
        <v>-</v>
      </c>
      <c r="AG375" s="438" t="str">
        <f t="shared" ca="1" si="205"/>
        <v>-</v>
      </c>
      <c r="AH375" s="437" t="str">
        <f t="shared" ca="1" si="206"/>
        <v>-</v>
      </c>
      <c r="AI375" s="438" t="str">
        <f t="shared" ca="1" si="207"/>
        <v>-</v>
      </c>
      <c r="AJ375" s="438" t="str">
        <f t="shared" ca="1" si="208"/>
        <v>-</v>
      </c>
      <c r="AK375" s="439" t="str">
        <f ca="1">IFERROR(AE375*AD375*AL375/(IF(Cluster!AA394=Cluster!$W$8,Cluster!$W$10,IF(Cluster!AA394=Cluster!$X$8,Cluster!$X$10,IF(Cluster!AA394=Cluster!$Y$8,Cluster!$Y$10,0)))*10^3),"-")</f>
        <v>-</v>
      </c>
      <c r="AL375" s="440" t="str">
        <f ca="1">IFERROR(IF(OR(Calculation!T375&lt;(Calculation!$U$8+2),Calculation!AC375="Bypass"),IF((IF(Calculation!$O$6/((Calculation!AD375*10^-12)/(Calculation!T375*10^-9)*50)&lt;=1,1,ROUNDUP(Calculation!$O$6/((Calculation!AD375*10^-12)/(Calculation!T375*10^-9)*50),0))*50)&lt;Calculation!$AK$6,Calculation!$AK$6,IF(Calculation!$O$6/((Calculation!AD375*10^-12)/(Calculation!T375*10^-9)*50)&lt;=1,1,ROUNDUP(Calculation!$O$6/((Calculation!AD375*10^-12)/(Calculation!T375*10^-9)*50),0))*50),"-"),"-")</f>
        <v>-</v>
      </c>
      <c r="AM375" s="441" t="str">
        <f t="shared" ca="1" si="224"/>
        <v/>
      </c>
      <c r="AN375" s="442" t="str">
        <f t="shared" ca="1" si="224"/>
        <v/>
      </c>
      <c r="AO375" s="432">
        <f t="shared" ca="1" si="210"/>
        <v>384</v>
      </c>
      <c r="AP375" s="427" t="str">
        <f t="shared" ca="1" si="211"/>
        <v>-</v>
      </c>
      <c r="AQ375" s="443" t="str">
        <f t="shared" ca="1" si="212"/>
        <v>-</v>
      </c>
      <c r="AR375" s="444" t="str">
        <f t="shared" ca="1" si="213"/>
        <v>-</v>
      </c>
      <c r="AS375" s="430" t="str">
        <f t="shared" ca="1" si="214"/>
        <v>-</v>
      </c>
    </row>
    <row r="376" spans="1:45" ht="14.25" x14ac:dyDescent="0.65">
      <c r="A376" s="407">
        <v>368</v>
      </c>
      <c r="B376" s="408" t="str">
        <f t="shared" ca="1" si="191"/>
        <v/>
      </c>
      <c r="C376" s="408" t="str">
        <f ca="1">IFERROR(IF(G376="","",CONCATENATE(E376,"-",INDEX(Coordinate,MATCH(F376,ListAndConversion!$X$4:$X$99,0),2))),"")</f>
        <v/>
      </c>
      <c r="D376" s="408" t="str">
        <f t="shared" ca="1" si="221"/>
        <v/>
      </c>
      <c r="E376" s="408" t="str">
        <f t="shared" ca="1" si="221"/>
        <v/>
      </c>
      <c r="F376" s="408" t="str">
        <f t="shared" ca="1" si="221"/>
        <v/>
      </c>
      <c r="G376" s="408" t="str">
        <f ca="1">IFERROR(INDEX(ListAndConversion!A:B,MATCH(Calculation!E376,ListAndConversion!A:A,0),2),"")</f>
        <v/>
      </c>
      <c r="H376" s="408" t="str">
        <f>IF(TrackIT_Lines!AD368="","",TrackIT_Lines!AD368)</f>
        <v/>
      </c>
      <c r="I376" s="408" t="str">
        <f>IF(TrackIT_Lines!AD368="","",CONCATENATE(TrackIT_Lines!AD368,"-",TrackIT_Lines!AG368))</f>
        <v/>
      </c>
      <c r="J376" s="409" t="str">
        <f t="shared" ca="1" si="222"/>
        <v/>
      </c>
      <c r="K376" s="408" t="str">
        <f t="shared" ca="1" si="222"/>
        <v/>
      </c>
      <c r="L376" s="408" t="str">
        <f t="shared" ca="1" si="222"/>
        <v/>
      </c>
      <c r="M376" s="408" t="str">
        <f t="shared" ca="1" si="222"/>
        <v/>
      </c>
      <c r="N376" s="408" t="str">
        <f t="shared" ca="1" si="222"/>
        <v/>
      </c>
      <c r="O376" s="408" t="str">
        <f t="shared" ca="1" si="222"/>
        <v/>
      </c>
      <c r="P376" s="408" t="str">
        <f t="shared" ca="1" si="222"/>
        <v/>
      </c>
      <c r="Q376" s="408" t="str">
        <f t="shared" ca="1" si="222"/>
        <v/>
      </c>
      <c r="R376" s="410" t="str">
        <f ca="1">Cluster!J395</f>
        <v>Selection</v>
      </c>
      <c r="S376" s="411" t="str">
        <f t="shared" ca="1" si="194"/>
        <v>-</v>
      </c>
      <c r="T376" s="412" t="str">
        <f t="shared" ca="1" si="195"/>
        <v/>
      </c>
      <c r="U376" s="411" t="str">
        <f t="shared" ca="1" si="196"/>
        <v>-</v>
      </c>
      <c r="V376" s="411" t="str">
        <f t="shared" ca="1" si="197"/>
        <v>-</v>
      </c>
      <c r="W376" s="413">
        <f>Cluster!N395</f>
        <v>0</v>
      </c>
      <c r="X376" s="414" t="str">
        <f t="shared" ca="1" si="198"/>
        <v>-</v>
      </c>
      <c r="Y376" s="411" t="str">
        <f t="shared" ca="1" si="199"/>
        <v>-</v>
      </c>
      <c r="Z376" s="415" t="str">
        <f t="shared" ca="1" si="200"/>
        <v>-</v>
      </c>
      <c r="AA376" s="416" t="str">
        <f t="shared" ca="1" si="201"/>
        <v>-</v>
      </c>
      <c r="AB376" s="416" t="str">
        <f t="shared" ca="1" si="202"/>
        <v/>
      </c>
      <c r="AC376" s="434">
        <f>Cluster!Q395</f>
        <v>0</v>
      </c>
      <c r="AD376" s="435" t="str">
        <f t="shared" ca="1" si="223"/>
        <v/>
      </c>
      <c r="AE376" s="436" t="str">
        <f t="shared" ca="1" si="223"/>
        <v/>
      </c>
      <c r="AF376" s="437" t="str">
        <f t="shared" ca="1" si="204"/>
        <v>-</v>
      </c>
      <c r="AG376" s="438" t="str">
        <f t="shared" ca="1" si="205"/>
        <v>-</v>
      </c>
      <c r="AH376" s="437" t="str">
        <f t="shared" ca="1" si="206"/>
        <v>-</v>
      </c>
      <c r="AI376" s="438" t="str">
        <f t="shared" ca="1" si="207"/>
        <v>-</v>
      </c>
      <c r="AJ376" s="438" t="str">
        <f t="shared" ca="1" si="208"/>
        <v>-</v>
      </c>
      <c r="AK376" s="439" t="str">
        <f ca="1">IFERROR(AE376*AD376*AL376/(IF(Cluster!AA395=Cluster!$W$8,Cluster!$W$10,IF(Cluster!AA395=Cluster!$X$8,Cluster!$X$10,IF(Cluster!AA395=Cluster!$Y$8,Cluster!$Y$10,0)))*10^3),"-")</f>
        <v>-</v>
      </c>
      <c r="AL376" s="440" t="str">
        <f ca="1">IFERROR(IF(OR(Calculation!T376&lt;(Calculation!$U$8+2),Calculation!AC376="Bypass"),IF((IF(Calculation!$O$6/((Calculation!AD376*10^-12)/(Calculation!T376*10^-9)*50)&lt;=1,1,ROUNDUP(Calculation!$O$6/((Calculation!AD376*10^-12)/(Calculation!T376*10^-9)*50),0))*50)&lt;Calculation!$AK$6,Calculation!$AK$6,IF(Calculation!$O$6/((Calculation!AD376*10^-12)/(Calculation!T376*10^-9)*50)&lt;=1,1,ROUNDUP(Calculation!$O$6/((Calculation!AD376*10^-12)/(Calculation!T376*10^-9)*50),0))*50),"-"),"-")</f>
        <v>-</v>
      </c>
      <c r="AM376" s="441" t="str">
        <f t="shared" ca="1" si="224"/>
        <v/>
      </c>
      <c r="AN376" s="442" t="str">
        <f t="shared" ca="1" si="224"/>
        <v/>
      </c>
      <c r="AO376" s="432">
        <f t="shared" ca="1" si="210"/>
        <v>384</v>
      </c>
      <c r="AP376" s="427" t="str">
        <f t="shared" ca="1" si="211"/>
        <v>-</v>
      </c>
      <c r="AQ376" s="443" t="str">
        <f t="shared" ca="1" si="212"/>
        <v>-</v>
      </c>
      <c r="AR376" s="444" t="str">
        <f t="shared" ca="1" si="213"/>
        <v>-</v>
      </c>
      <c r="AS376" s="430" t="str">
        <f t="shared" ca="1" si="214"/>
        <v>-</v>
      </c>
    </row>
    <row r="377" spans="1:45" ht="14.25" x14ac:dyDescent="0.65">
      <c r="A377" s="407">
        <v>369</v>
      </c>
      <c r="B377" s="408" t="str">
        <f t="shared" ca="1" si="191"/>
        <v/>
      </c>
      <c r="C377" s="408" t="str">
        <f ca="1">IFERROR(IF(G377="","",CONCATENATE(E377,"-",INDEX(Coordinate,MATCH(F377,ListAndConversion!$X$4:$X$99,0),2))),"")</f>
        <v/>
      </c>
      <c r="D377" s="408" t="str">
        <f t="shared" ca="1" si="221"/>
        <v/>
      </c>
      <c r="E377" s="408" t="str">
        <f t="shared" ca="1" si="221"/>
        <v/>
      </c>
      <c r="F377" s="408" t="str">
        <f t="shared" ca="1" si="221"/>
        <v/>
      </c>
      <c r="G377" s="408" t="str">
        <f ca="1">IFERROR(INDEX(ListAndConversion!A:B,MATCH(Calculation!E377,ListAndConversion!A:A,0),2),"")</f>
        <v/>
      </c>
      <c r="H377" s="408" t="str">
        <f>IF(TrackIT_Lines!AD369="","",TrackIT_Lines!AD369)</f>
        <v/>
      </c>
      <c r="I377" s="408" t="str">
        <f>IF(TrackIT_Lines!AD369="","",CONCATENATE(TrackIT_Lines!AD369,"-",TrackIT_Lines!AG369))</f>
        <v/>
      </c>
      <c r="J377" s="409" t="str">
        <f t="shared" ca="1" si="222"/>
        <v/>
      </c>
      <c r="K377" s="408" t="str">
        <f t="shared" ca="1" si="222"/>
        <v/>
      </c>
      <c r="L377" s="408" t="str">
        <f t="shared" ca="1" si="222"/>
        <v/>
      </c>
      <c r="M377" s="408" t="str">
        <f t="shared" ca="1" si="222"/>
        <v/>
      </c>
      <c r="N377" s="408" t="str">
        <f t="shared" ca="1" si="222"/>
        <v/>
      </c>
      <c r="O377" s="408" t="str">
        <f t="shared" ca="1" si="222"/>
        <v/>
      </c>
      <c r="P377" s="408" t="str">
        <f t="shared" ca="1" si="222"/>
        <v/>
      </c>
      <c r="Q377" s="408" t="str">
        <f t="shared" ca="1" si="222"/>
        <v/>
      </c>
      <c r="R377" s="410" t="str">
        <f ca="1">Cluster!J396</f>
        <v>Selection</v>
      </c>
      <c r="S377" s="411" t="str">
        <f t="shared" ca="1" si="194"/>
        <v>-</v>
      </c>
      <c r="T377" s="412" t="str">
        <f t="shared" ca="1" si="195"/>
        <v/>
      </c>
      <c r="U377" s="411" t="str">
        <f t="shared" ca="1" si="196"/>
        <v>-</v>
      </c>
      <c r="V377" s="411" t="str">
        <f t="shared" ca="1" si="197"/>
        <v>-</v>
      </c>
      <c r="W377" s="413">
        <f>Cluster!N396</f>
        <v>0</v>
      </c>
      <c r="X377" s="414" t="str">
        <f t="shared" ca="1" si="198"/>
        <v>-</v>
      </c>
      <c r="Y377" s="411" t="str">
        <f t="shared" ca="1" si="199"/>
        <v>-</v>
      </c>
      <c r="Z377" s="415" t="str">
        <f t="shared" ca="1" si="200"/>
        <v>-</v>
      </c>
      <c r="AA377" s="416" t="str">
        <f t="shared" ca="1" si="201"/>
        <v>-</v>
      </c>
      <c r="AB377" s="416" t="str">
        <f t="shared" ca="1" si="202"/>
        <v/>
      </c>
      <c r="AC377" s="434">
        <f>Cluster!Q396</f>
        <v>0</v>
      </c>
      <c r="AD377" s="435" t="str">
        <f t="shared" ca="1" si="223"/>
        <v/>
      </c>
      <c r="AE377" s="436" t="str">
        <f t="shared" ca="1" si="223"/>
        <v/>
      </c>
      <c r="AF377" s="437" t="str">
        <f t="shared" ca="1" si="204"/>
        <v>-</v>
      </c>
      <c r="AG377" s="438" t="str">
        <f t="shared" ca="1" si="205"/>
        <v>-</v>
      </c>
      <c r="AH377" s="437" t="str">
        <f t="shared" ca="1" si="206"/>
        <v>-</v>
      </c>
      <c r="AI377" s="438" t="str">
        <f t="shared" ca="1" si="207"/>
        <v>-</v>
      </c>
      <c r="AJ377" s="438" t="str">
        <f t="shared" ca="1" si="208"/>
        <v>-</v>
      </c>
      <c r="AK377" s="439" t="str">
        <f ca="1">IFERROR(AE377*AD377*AL377/(IF(Cluster!AA396=Cluster!$W$8,Cluster!$W$10,IF(Cluster!AA396=Cluster!$X$8,Cluster!$X$10,IF(Cluster!AA396=Cluster!$Y$8,Cluster!$Y$10,0)))*10^3),"-")</f>
        <v>-</v>
      </c>
      <c r="AL377" s="440" t="str">
        <f ca="1">IFERROR(IF(OR(Calculation!T377&lt;(Calculation!$U$8+2),Calculation!AC377="Bypass"),IF((IF(Calculation!$O$6/((Calculation!AD377*10^-12)/(Calculation!T377*10^-9)*50)&lt;=1,1,ROUNDUP(Calculation!$O$6/((Calculation!AD377*10^-12)/(Calculation!T377*10^-9)*50),0))*50)&lt;Calculation!$AK$6,Calculation!$AK$6,IF(Calculation!$O$6/((Calculation!AD377*10^-12)/(Calculation!T377*10^-9)*50)&lt;=1,1,ROUNDUP(Calculation!$O$6/((Calculation!AD377*10^-12)/(Calculation!T377*10^-9)*50),0))*50),"-"),"-")</f>
        <v>-</v>
      </c>
      <c r="AM377" s="441" t="str">
        <f t="shared" ca="1" si="224"/>
        <v/>
      </c>
      <c r="AN377" s="442" t="str">
        <f t="shared" ca="1" si="224"/>
        <v/>
      </c>
      <c r="AO377" s="432">
        <f t="shared" ca="1" si="210"/>
        <v>384</v>
      </c>
      <c r="AP377" s="427" t="str">
        <f t="shared" ca="1" si="211"/>
        <v>-</v>
      </c>
      <c r="AQ377" s="443" t="str">
        <f t="shared" ca="1" si="212"/>
        <v>-</v>
      </c>
      <c r="AR377" s="444" t="str">
        <f t="shared" ca="1" si="213"/>
        <v>-</v>
      </c>
      <c r="AS377" s="430" t="str">
        <f t="shared" ca="1" si="214"/>
        <v>-</v>
      </c>
    </row>
    <row r="378" spans="1:45" ht="14.25" x14ac:dyDescent="0.65">
      <c r="A378" s="407">
        <v>370</v>
      </c>
      <c r="B378" s="408" t="str">
        <f t="shared" ca="1" si="191"/>
        <v/>
      </c>
      <c r="C378" s="408" t="str">
        <f ca="1">IFERROR(IF(G378="","",CONCATENATE(E378,"-",INDEX(Coordinate,MATCH(F378,ListAndConversion!$X$4:$X$99,0),2))),"")</f>
        <v/>
      </c>
      <c r="D378" s="408" t="str">
        <f t="shared" ca="1" si="221"/>
        <v/>
      </c>
      <c r="E378" s="408" t="str">
        <f t="shared" ca="1" si="221"/>
        <v/>
      </c>
      <c r="F378" s="408" t="str">
        <f t="shared" ca="1" si="221"/>
        <v/>
      </c>
      <c r="G378" s="408" t="str">
        <f ca="1">IFERROR(INDEX(ListAndConversion!A:B,MATCH(Calculation!E378,ListAndConversion!A:A,0),2),"")</f>
        <v/>
      </c>
      <c r="H378" s="408" t="str">
        <f>IF(TrackIT_Lines!AD370="","",TrackIT_Lines!AD370)</f>
        <v/>
      </c>
      <c r="I378" s="408" t="str">
        <f>IF(TrackIT_Lines!AD370="","",CONCATENATE(TrackIT_Lines!AD370,"-",TrackIT_Lines!AG370))</f>
        <v/>
      </c>
      <c r="J378" s="409" t="str">
        <f t="shared" ca="1" si="222"/>
        <v/>
      </c>
      <c r="K378" s="408" t="str">
        <f t="shared" ca="1" si="222"/>
        <v/>
      </c>
      <c r="L378" s="408" t="str">
        <f t="shared" ca="1" si="222"/>
        <v/>
      </c>
      <c r="M378" s="408" t="str">
        <f t="shared" ca="1" si="222"/>
        <v/>
      </c>
      <c r="N378" s="408" t="str">
        <f t="shared" ca="1" si="222"/>
        <v/>
      </c>
      <c r="O378" s="408" t="str">
        <f t="shared" ca="1" si="222"/>
        <v/>
      </c>
      <c r="P378" s="408" t="str">
        <f t="shared" ca="1" si="222"/>
        <v/>
      </c>
      <c r="Q378" s="408" t="str">
        <f t="shared" ca="1" si="222"/>
        <v/>
      </c>
      <c r="R378" s="410" t="str">
        <f ca="1">Cluster!J397</f>
        <v>Selection</v>
      </c>
      <c r="S378" s="411" t="str">
        <f t="shared" ca="1" si="194"/>
        <v>-</v>
      </c>
      <c r="T378" s="412" t="str">
        <f t="shared" ca="1" si="195"/>
        <v/>
      </c>
      <c r="U378" s="411" t="str">
        <f t="shared" ca="1" si="196"/>
        <v>-</v>
      </c>
      <c r="V378" s="411" t="str">
        <f t="shared" ca="1" si="197"/>
        <v>-</v>
      </c>
      <c r="W378" s="413">
        <f>Cluster!N397</f>
        <v>0</v>
      </c>
      <c r="X378" s="414" t="str">
        <f t="shared" ca="1" si="198"/>
        <v>-</v>
      </c>
      <c r="Y378" s="411" t="str">
        <f t="shared" ca="1" si="199"/>
        <v>-</v>
      </c>
      <c r="Z378" s="415" t="str">
        <f t="shared" ca="1" si="200"/>
        <v>-</v>
      </c>
      <c r="AA378" s="416" t="str">
        <f t="shared" ca="1" si="201"/>
        <v>-</v>
      </c>
      <c r="AB378" s="416" t="str">
        <f t="shared" ca="1" si="202"/>
        <v/>
      </c>
      <c r="AC378" s="434">
        <f>Cluster!Q397</f>
        <v>0</v>
      </c>
      <c r="AD378" s="435" t="str">
        <f t="shared" ca="1" si="223"/>
        <v/>
      </c>
      <c r="AE378" s="436" t="str">
        <f t="shared" ca="1" si="223"/>
        <v/>
      </c>
      <c r="AF378" s="437" t="str">
        <f t="shared" ca="1" si="204"/>
        <v>-</v>
      </c>
      <c r="AG378" s="438" t="str">
        <f t="shared" ca="1" si="205"/>
        <v>-</v>
      </c>
      <c r="AH378" s="437" t="str">
        <f t="shared" ca="1" si="206"/>
        <v>-</v>
      </c>
      <c r="AI378" s="438" t="str">
        <f t="shared" ca="1" si="207"/>
        <v>-</v>
      </c>
      <c r="AJ378" s="438" t="str">
        <f t="shared" ca="1" si="208"/>
        <v>-</v>
      </c>
      <c r="AK378" s="439" t="str">
        <f ca="1">IFERROR(AE378*AD378*AL378/(IF(Cluster!AA397=Cluster!$W$8,Cluster!$W$10,IF(Cluster!AA397=Cluster!$X$8,Cluster!$X$10,IF(Cluster!AA397=Cluster!$Y$8,Cluster!$Y$10,0)))*10^3),"-")</f>
        <v>-</v>
      </c>
      <c r="AL378" s="440" t="str">
        <f ca="1">IFERROR(IF(OR(Calculation!T378&lt;(Calculation!$U$8+2),Calculation!AC378="Bypass"),IF((IF(Calculation!$O$6/((Calculation!AD378*10^-12)/(Calculation!T378*10^-9)*50)&lt;=1,1,ROUNDUP(Calculation!$O$6/((Calculation!AD378*10^-12)/(Calculation!T378*10^-9)*50),0))*50)&lt;Calculation!$AK$6,Calculation!$AK$6,IF(Calculation!$O$6/((Calculation!AD378*10^-12)/(Calculation!T378*10^-9)*50)&lt;=1,1,ROUNDUP(Calculation!$O$6/((Calculation!AD378*10^-12)/(Calculation!T378*10^-9)*50),0))*50),"-"),"-")</f>
        <v>-</v>
      </c>
      <c r="AM378" s="441" t="str">
        <f t="shared" ca="1" si="224"/>
        <v/>
      </c>
      <c r="AN378" s="442" t="str">
        <f t="shared" ca="1" si="224"/>
        <v/>
      </c>
      <c r="AO378" s="432">
        <f t="shared" ca="1" si="210"/>
        <v>384</v>
      </c>
      <c r="AP378" s="427" t="str">
        <f t="shared" ca="1" si="211"/>
        <v>-</v>
      </c>
      <c r="AQ378" s="443" t="str">
        <f t="shared" ca="1" si="212"/>
        <v>-</v>
      </c>
      <c r="AR378" s="444" t="str">
        <f t="shared" ca="1" si="213"/>
        <v>-</v>
      </c>
      <c r="AS378" s="430" t="str">
        <f t="shared" ca="1" si="214"/>
        <v>-</v>
      </c>
    </row>
    <row r="379" spans="1:45" ht="14.25" x14ac:dyDescent="0.65">
      <c r="A379" s="407">
        <v>371</v>
      </c>
      <c r="B379" s="408" t="str">
        <f t="shared" ca="1" si="191"/>
        <v/>
      </c>
      <c r="C379" s="408" t="str">
        <f ca="1">IFERROR(IF(G379="","",CONCATENATE(E379,"-",INDEX(Coordinate,MATCH(F379,ListAndConversion!$X$4:$X$99,0),2))),"")</f>
        <v/>
      </c>
      <c r="D379" s="408" t="str">
        <f t="shared" ca="1" si="221"/>
        <v/>
      </c>
      <c r="E379" s="408" t="str">
        <f t="shared" ca="1" si="221"/>
        <v/>
      </c>
      <c r="F379" s="408" t="str">
        <f t="shared" ca="1" si="221"/>
        <v/>
      </c>
      <c r="G379" s="408" t="str">
        <f ca="1">IFERROR(INDEX(ListAndConversion!A:B,MATCH(Calculation!E379,ListAndConversion!A:A,0),2),"")</f>
        <v/>
      </c>
      <c r="H379" s="408" t="str">
        <f>IF(TrackIT_Lines!AD371="","",TrackIT_Lines!AD371)</f>
        <v/>
      </c>
      <c r="I379" s="408" t="str">
        <f>IF(TrackIT_Lines!AD371="","",CONCATENATE(TrackIT_Lines!AD371,"-",TrackIT_Lines!AG371))</f>
        <v/>
      </c>
      <c r="J379" s="409" t="str">
        <f t="shared" ca="1" si="222"/>
        <v/>
      </c>
      <c r="K379" s="408" t="str">
        <f t="shared" ca="1" si="222"/>
        <v/>
      </c>
      <c r="L379" s="408" t="str">
        <f t="shared" ca="1" si="222"/>
        <v/>
      </c>
      <c r="M379" s="408" t="str">
        <f t="shared" ca="1" si="222"/>
        <v/>
      </c>
      <c r="N379" s="408" t="str">
        <f t="shared" ca="1" si="222"/>
        <v/>
      </c>
      <c r="O379" s="408" t="str">
        <f t="shared" ca="1" si="222"/>
        <v/>
      </c>
      <c r="P379" s="408" t="str">
        <f t="shared" ca="1" si="222"/>
        <v/>
      </c>
      <c r="Q379" s="408" t="str">
        <f t="shared" ca="1" si="222"/>
        <v/>
      </c>
      <c r="R379" s="410" t="str">
        <f ca="1">Cluster!J398</f>
        <v>Selection</v>
      </c>
      <c r="S379" s="411" t="str">
        <f t="shared" ca="1" si="194"/>
        <v>-</v>
      </c>
      <c r="T379" s="412" t="str">
        <f t="shared" ca="1" si="195"/>
        <v/>
      </c>
      <c r="U379" s="411" t="str">
        <f t="shared" ca="1" si="196"/>
        <v>-</v>
      </c>
      <c r="V379" s="411" t="str">
        <f t="shared" ca="1" si="197"/>
        <v>-</v>
      </c>
      <c r="W379" s="413">
        <f>Cluster!N398</f>
        <v>0</v>
      </c>
      <c r="X379" s="414" t="str">
        <f t="shared" ca="1" si="198"/>
        <v>-</v>
      </c>
      <c r="Y379" s="411" t="str">
        <f t="shared" ca="1" si="199"/>
        <v>-</v>
      </c>
      <c r="Z379" s="415" t="str">
        <f t="shared" ca="1" si="200"/>
        <v>-</v>
      </c>
      <c r="AA379" s="416" t="str">
        <f t="shared" ca="1" si="201"/>
        <v>-</v>
      </c>
      <c r="AB379" s="416" t="str">
        <f t="shared" ca="1" si="202"/>
        <v/>
      </c>
      <c r="AC379" s="434">
        <f>Cluster!Q398</f>
        <v>0</v>
      </c>
      <c r="AD379" s="435" t="str">
        <f t="shared" ca="1" si="223"/>
        <v/>
      </c>
      <c r="AE379" s="436" t="str">
        <f t="shared" ca="1" si="223"/>
        <v/>
      </c>
      <c r="AF379" s="437" t="str">
        <f t="shared" ca="1" si="204"/>
        <v>-</v>
      </c>
      <c r="AG379" s="438" t="str">
        <f t="shared" ca="1" si="205"/>
        <v>-</v>
      </c>
      <c r="AH379" s="437" t="str">
        <f t="shared" ca="1" si="206"/>
        <v>-</v>
      </c>
      <c r="AI379" s="438" t="str">
        <f t="shared" ca="1" si="207"/>
        <v>-</v>
      </c>
      <c r="AJ379" s="438" t="str">
        <f t="shared" ca="1" si="208"/>
        <v>-</v>
      </c>
      <c r="AK379" s="439" t="str">
        <f ca="1">IFERROR(AE379*AD379*AL379/(IF(Cluster!AA398=Cluster!$W$8,Cluster!$W$10,IF(Cluster!AA398=Cluster!$X$8,Cluster!$X$10,IF(Cluster!AA398=Cluster!$Y$8,Cluster!$Y$10,0)))*10^3),"-")</f>
        <v>-</v>
      </c>
      <c r="AL379" s="440" t="str">
        <f ca="1">IFERROR(IF(OR(Calculation!T379&lt;(Calculation!$U$8+2),Calculation!AC379="Bypass"),IF((IF(Calculation!$O$6/((Calculation!AD379*10^-12)/(Calculation!T379*10^-9)*50)&lt;=1,1,ROUNDUP(Calculation!$O$6/((Calculation!AD379*10^-12)/(Calculation!T379*10^-9)*50),0))*50)&lt;Calculation!$AK$6,Calculation!$AK$6,IF(Calculation!$O$6/((Calculation!AD379*10^-12)/(Calculation!T379*10^-9)*50)&lt;=1,1,ROUNDUP(Calculation!$O$6/((Calculation!AD379*10^-12)/(Calculation!T379*10^-9)*50),0))*50),"-"),"-")</f>
        <v>-</v>
      </c>
      <c r="AM379" s="441" t="str">
        <f t="shared" ca="1" si="224"/>
        <v/>
      </c>
      <c r="AN379" s="442" t="str">
        <f t="shared" ca="1" si="224"/>
        <v/>
      </c>
      <c r="AO379" s="432">
        <f t="shared" ca="1" si="210"/>
        <v>384</v>
      </c>
      <c r="AP379" s="427" t="str">
        <f t="shared" ca="1" si="211"/>
        <v>-</v>
      </c>
      <c r="AQ379" s="443" t="str">
        <f t="shared" ca="1" si="212"/>
        <v>-</v>
      </c>
      <c r="AR379" s="444" t="str">
        <f t="shared" ca="1" si="213"/>
        <v>-</v>
      </c>
      <c r="AS379" s="430" t="str">
        <f t="shared" ca="1" si="214"/>
        <v>-</v>
      </c>
    </row>
    <row r="380" spans="1:45" ht="14.25" x14ac:dyDescent="0.65">
      <c r="A380" s="407">
        <v>372</v>
      </c>
      <c r="B380" s="408" t="str">
        <f t="shared" ca="1" si="191"/>
        <v/>
      </c>
      <c r="C380" s="408" t="str">
        <f ca="1">IFERROR(IF(G380="","",CONCATENATE(E380,"-",INDEX(Coordinate,MATCH(F380,ListAndConversion!$X$4:$X$99,0),2))),"")</f>
        <v/>
      </c>
      <c r="D380" s="408" t="str">
        <f t="shared" ca="1" si="221"/>
        <v/>
      </c>
      <c r="E380" s="408" t="str">
        <f t="shared" ca="1" si="221"/>
        <v/>
      </c>
      <c r="F380" s="408" t="str">
        <f t="shared" ca="1" si="221"/>
        <v/>
      </c>
      <c r="G380" s="408" t="str">
        <f ca="1">IFERROR(INDEX(ListAndConversion!A:B,MATCH(Calculation!E380,ListAndConversion!A:A,0),2),"")</f>
        <v/>
      </c>
      <c r="H380" s="408" t="str">
        <f>IF(TrackIT_Lines!AD372="","",TrackIT_Lines!AD372)</f>
        <v/>
      </c>
      <c r="I380" s="408" t="str">
        <f>IF(TrackIT_Lines!AD372="","",CONCATENATE(TrackIT_Lines!AD372,"-",TrackIT_Lines!AG372))</f>
        <v/>
      </c>
      <c r="J380" s="409" t="str">
        <f t="shared" ref="J380:Q393" ca="1" si="225">IF((INDIRECT("TrackIT_Lines!"&amp;J$2&amp;$A380))="","", (INDIRECT("TrackIT_Lines!"&amp;J$2&amp;$A380)))</f>
        <v/>
      </c>
      <c r="K380" s="408" t="str">
        <f t="shared" ca="1" si="225"/>
        <v/>
      </c>
      <c r="L380" s="408" t="str">
        <f t="shared" ca="1" si="225"/>
        <v/>
      </c>
      <c r="M380" s="408" t="str">
        <f t="shared" ca="1" si="225"/>
        <v/>
      </c>
      <c r="N380" s="408" t="str">
        <f t="shared" ca="1" si="225"/>
        <v/>
      </c>
      <c r="O380" s="408" t="str">
        <f t="shared" ca="1" si="225"/>
        <v/>
      </c>
      <c r="P380" s="408" t="str">
        <f t="shared" ca="1" si="225"/>
        <v/>
      </c>
      <c r="Q380" s="408" t="str">
        <f t="shared" ca="1" si="225"/>
        <v/>
      </c>
      <c r="R380" s="410" t="str">
        <f ca="1">Cluster!J399</f>
        <v>Selection</v>
      </c>
      <c r="S380" s="411" t="str">
        <f t="shared" ca="1" si="194"/>
        <v>-</v>
      </c>
      <c r="T380" s="412" t="str">
        <f t="shared" ca="1" si="195"/>
        <v/>
      </c>
      <c r="U380" s="411" t="str">
        <f t="shared" ca="1" si="196"/>
        <v>-</v>
      </c>
      <c r="V380" s="411" t="str">
        <f t="shared" ca="1" si="197"/>
        <v>-</v>
      </c>
      <c r="W380" s="413">
        <f>Cluster!N399</f>
        <v>0</v>
      </c>
      <c r="X380" s="414" t="str">
        <f t="shared" ca="1" si="198"/>
        <v>-</v>
      </c>
      <c r="Y380" s="411" t="str">
        <f t="shared" ca="1" si="199"/>
        <v>-</v>
      </c>
      <c r="Z380" s="415" t="str">
        <f t="shared" ca="1" si="200"/>
        <v>-</v>
      </c>
      <c r="AA380" s="416" t="str">
        <f t="shared" ca="1" si="201"/>
        <v>-</v>
      </c>
      <c r="AB380" s="416" t="str">
        <f t="shared" ca="1" si="202"/>
        <v/>
      </c>
      <c r="AC380" s="434">
        <f>Cluster!Q399</f>
        <v>0</v>
      </c>
      <c r="AD380" s="435" t="str">
        <f t="shared" ca="1" si="223"/>
        <v/>
      </c>
      <c r="AE380" s="436" t="str">
        <f t="shared" ca="1" si="223"/>
        <v/>
      </c>
      <c r="AF380" s="437" t="str">
        <f t="shared" ca="1" si="204"/>
        <v>-</v>
      </c>
      <c r="AG380" s="438" t="str">
        <f t="shared" ca="1" si="205"/>
        <v>-</v>
      </c>
      <c r="AH380" s="437" t="str">
        <f t="shared" ca="1" si="206"/>
        <v>-</v>
      </c>
      <c r="AI380" s="438" t="str">
        <f t="shared" ca="1" si="207"/>
        <v>-</v>
      </c>
      <c r="AJ380" s="438" t="str">
        <f t="shared" ca="1" si="208"/>
        <v>-</v>
      </c>
      <c r="AK380" s="439" t="str">
        <f ca="1">IFERROR(AE380*AD380*AL380/(IF(Cluster!AA399=Cluster!$W$8,Cluster!$W$10,IF(Cluster!AA399=Cluster!$X$8,Cluster!$X$10,IF(Cluster!AA399=Cluster!$Y$8,Cluster!$Y$10,0)))*10^3),"-")</f>
        <v>-</v>
      </c>
      <c r="AL380" s="440" t="str">
        <f ca="1">IFERROR(IF(OR(Calculation!T380&lt;(Calculation!$U$8+2),Calculation!AC380="Bypass"),IF((IF(Calculation!$O$6/((Calculation!AD380*10^-12)/(Calculation!T380*10^-9)*50)&lt;=1,1,ROUNDUP(Calculation!$O$6/((Calculation!AD380*10^-12)/(Calculation!T380*10^-9)*50),0))*50)&lt;Calculation!$AK$6,Calculation!$AK$6,IF(Calculation!$O$6/((Calculation!AD380*10^-12)/(Calculation!T380*10^-9)*50)&lt;=1,1,ROUNDUP(Calculation!$O$6/((Calculation!AD380*10^-12)/(Calculation!T380*10^-9)*50),0))*50),"-"),"-")</f>
        <v>-</v>
      </c>
      <c r="AM380" s="441" t="str">
        <f t="shared" ca="1" si="224"/>
        <v/>
      </c>
      <c r="AN380" s="442" t="str">
        <f t="shared" ca="1" si="224"/>
        <v/>
      </c>
      <c r="AO380" s="432">
        <f t="shared" ca="1" si="210"/>
        <v>384</v>
      </c>
      <c r="AP380" s="427" t="str">
        <f t="shared" ca="1" si="211"/>
        <v>-</v>
      </c>
      <c r="AQ380" s="443" t="str">
        <f t="shared" ca="1" si="212"/>
        <v>-</v>
      </c>
      <c r="AR380" s="444" t="str">
        <f t="shared" ca="1" si="213"/>
        <v>-</v>
      </c>
      <c r="AS380" s="430" t="str">
        <f t="shared" ca="1" si="214"/>
        <v>-</v>
      </c>
    </row>
    <row r="381" spans="1:45" ht="14.25" x14ac:dyDescent="0.65">
      <c r="A381" s="407">
        <v>373</v>
      </c>
      <c r="B381" s="408" t="str">
        <f t="shared" ca="1" si="191"/>
        <v/>
      </c>
      <c r="C381" s="408" t="str">
        <f ca="1">IFERROR(IF(G381="","",CONCATENATE(E381,"-",INDEX(Coordinate,MATCH(F381,ListAndConversion!$X$4:$X$99,0),2))),"")</f>
        <v/>
      </c>
      <c r="D381" s="408" t="str">
        <f t="shared" ca="1" si="221"/>
        <v/>
      </c>
      <c r="E381" s="408" t="str">
        <f t="shared" ca="1" si="221"/>
        <v/>
      </c>
      <c r="F381" s="408" t="str">
        <f t="shared" ca="1" si="221"/>
        <v/>
      </c>
      <c r="G381" s="408" t="str">
        <f ca="1">IFERROR(INDEX(ListAndConversion!A:B,MATCH(Calculation!E381,ListAndConversion!A:A,0),2),"")</f>
        <v/>
      </c>
      <c r="H381" s="408" t="str">
        <f>IF(TrackIT_Lines!AD373="","",TrackIT_Lines!AD373)</f>
        <v/>
      </c>
      <c r="I381" s="408" t="str">
        <f>IF(TrackIT_Lines!AD373="","",CONCATENATE(TrackIT_Lines!AD373,"-",TrackIT_Lines!AG373))</f>
        <v/>
      </c>
      <c r="J381" s="409" t="str">
        <f t="shared" ca="1" si="225"/>
        <v/>
      </c>
      <c r="K381" s="408" t="str">
        <f t="shared" ca="1" si="225"/>
        <v/>
      </c>
      <c r="L381" s="408" t="str">
        <f t="shared" ca="1" si="225"/>
        <v/>
      </c>
      <c r="M381" s="408" t="str">
        <f t="shared" ca="1" si="225"/>
        <v/>
      </c>
      <c r="N381" s="408" t="str">
        <f t="shared" ca="1" si="225"/>
        <v/>
      </c>
      <c r="O381" s="408" t="str">
        <f t="shared" ca="1" si="225"/>
        <v/>
      </c>
      <c r="P381" s="408" t="str">
        <f t="shared" ca="1" si="225"/>
        <v/>
      </c>
      <c r="Q381" s="408" t="str">
        <f t="shared" ca="1" si="225"/>
        <v/>
      </c>
      <c r="R381" s="410" t="str">
        <f ca="1">Cluster!J400</f>
        <v>Selection</v>
      </c>
      <c r="S381" s="411" t="str">
        <f t="shared" ca="1" si="194"/>
        <v>-</v>
      </c>
      <c r="T381" s="412" t="str">
        <f t="shared" ca="1" si="195"/>
        <v/>
      </c>
      <c r="U381" s="411" t="str">
        <f t="shared" ca="1" si="196"/>
        <v>-</v>
      </c>
      <c r="V381" s="411" t="str">
        <f t="shared" ca="1" si="197"/>
        <v>-</v>
      </c>
      <c r="W381" s="413">
        <f>Cluster!N400</f>
        <v>0</v>
      </c>
      <c r="X381" s="414" t="str">
        <f t="shared" ca="1" si="198"/>
        <v>-</v>
      </c>
      <c r="Y381" s="411" t="str">
        <f t="shared" ca="1" si="199"/>
        <v>-</v>
      </c>
      <c r="Z381" s="415" t="str">
        <f t="shared" ca="1" si="200"/>
        <v>-</v>
      </c>
      <c r="AA381" s="416" t="str">
        <f t="shared" ca="1" si="201"/>
        <v>-</v>
      </c>
      <c r="AB381" s="416" t="str">
        <f t="shared" ca="1" si="202"/>
        <v/>
      </c>
      <c r="AC381" s="434">
        <f>Cluster!Q400</f>
        <v>0</v>
      </c>
      <c r="AD381" s="435" t="str">
        <f t="shared" ca="1" si="223"/>
        <v/>
      </c>
      <c r="AE381" s="436" t="str">
        <f t="shared" ca="1" si="223"/>
        <v/>
      </c>
      <c r="AF381" s="437" t="str">
        <f t="shared" ca="1" si="204"/>
        <v>-</v>
      </c>
      <c r="AG381" s="438" t="str">
        <f t="shared" ca="1" si="205"/>
        <v>-</v>
      </c>
      <c r="AH381" s="437" t="str">
        <f t="shared" ca="1" si="206"/>
        <v>-</v>
      </c>
      <c r="AI381" s="438" t="str">
        <f t="shared" ca="1" si="207"/>
        <v>-</v>
      </c>
      <c r="AJ381" s="438" t="str">
        <f t="shared" ca="1" si="208"/>
        <v>-</v>
      </c>
      <c r="AK381" s="439" t="str">
        <f ca="1">IFERROR(AE381*AD381*AL381/(IF(Cluster!AA400=Cluster!$W$8,Cluster!$W$10,IF(Cluster!AA400=Cluster!$X$8,Cluster!$X$10,IF(Cluster!AA400=Cluster!$Y$8,Cluster!$Y$10,0)))*10^3),"-")</f>
        <v>-</v>
      </c>
      <c r="AL381" s="440" t="str">
        <f ca="1">IFERROR(IF(OR(Calculation!T381&lt;(Calculation!$U$8+2),Calculation!AC381="Bypass"),IF((IF(Calculation!$O$6/((Calculation!AD381*10^-12)/(Calculation!T381*10^-9)*50)&lt;=1,1,ROUNDUP(Calculation!$O$6/((Calculation!AD381*10^-12)/(Calculation!T381*10^-9)*50),0))*50)&lt;Calculation!$AK$6,Calculation!$AK$6,IF(Calculation!$O$6/((Calculation!AD381*10^-12)/(Calculation!T381*10^-9)*50)&lt;=1,1,ROUNDUP(Calculation!$O$6/((Calculation!AD381*10^-12)/(Calculation!T381*10^-9)*50),0))*50),"-"),"-")</f>
        <v>-</v>
      </c>
      <c r="AM381" s="441" t="str">
        <f t="shared" ca="1" si="224"/>
        <v/>
      </c>
      <c r="AN381" s="442" t="str">
        <f t="shared" ca="1" si="224"/>
        <v/>
      </c>
      <c r="AO381" s="432">
        <f t="shared" ca="1" si="210"/>
        <v>384</v>
      </c>
      <c r="AP381" s="427" t="str">
        <f t="shared" ca="1" si="211"/>
        <v>-</v>
      </c>
      <c r="AQ381" s="443" t="str">
        <f t="shared" ca="1" si="212"/>
        <v>-</v>
      </c>
      <c r="AR381" s="444" t="str">
        <f t="shared" ca="1" si="213"/>
        <v>-</v>
      </c>
      <c r="AS381" s="430" t="str">
        <f t="shared" ca="1" si="214"/>
        <v>-</v>
      </c>
    </row>
    <row r="382" spans="1:45" ht="14.25" x14ac:dyDescent="0.65">
      <c r="A382" s="407">
        <v>374</v>
      </c>
      <c r="B382" s="408" t="str">
        <f t="shared" ca="1" si="191"/>
        <v/>
      </c>
      <c r="C382" s="408" t="str">
        <f ca="1">IFERROR(IF(G382="","",CONCATENATE(E382,"-",INDEX(Coordinate,MATCH(F382,ListAndConversion!$X$4:$X$99,0),2))),"")</f>
        <v/>
      </c>
      <c r="D382" s="408" t="str">
        <f t="shared" ca="1" si="221"/>
        <v/>
      </c>
      <c r="E382" s="408" t="str">
        <f t="shared" ca="1" si="221"/>
        <v/>
      </c>
      <c r="F382" s="408" t="str">
        <f t="shared" ca="1" si="221"/>
        <v/>
      </c>
      <c r="G382" s="408" t="str">
        <f ca="1">IFERROR(INDEX(ListAndConversion!A:B,MATCH(Calculation!E382,ListAndConversion!A:A,0),2),"")</f>
        <v/>
      </c>
      <c r="H382" s="408" t="str">
        <f>IF(TrackIT_Lines!AD374="","",TrackIT_Lines!AD374)</f>
        <v/>
      </c>
      <c r="I382" s="408" t="str">
        <f>IF(TrackIT_Lines!AD374="","",CONCATENATE(TrackIT_Lines!AD374,"-",TrackIT_Lines!AG374))</f>
        <v/>
      </c>
      <c r="J382" s="409" t="str">
        <f t="shared" ca="1" si="225"/>
        <v/>
      </c>
      <c r="K382" s="408" t="str">
        <f t="shared" ca="1" si="225"/>
        <v/>
      </c>
      <c r="L382" s="408" t="str">
        <f t="shared" ca="1" si="225"/>
        <v/>
      </c>
      <c r="M382" s="408" t="str">
        <f t="shared" ca="1" si="225"/>
        <v/>
      </c>
      <c r="N382" s="408" t="str">
        <f t="shared" ca="1" si="225"/>
        <v/>
      </c>
      <c r="O382" s="408" t="str">
        <f t="shared" ca="1" si="225"/>
        <v/>
      </c>
      <c r="P382" s="408" t="str">
        <f t="shared" ca="1" si="225"/>
        <v/>
      </c>
      <c r="Q382" s="408" t="str">
        <f t="shared" ca="1" si="225"/>
        <v/>
      </c>
      <c r="R382" s="410" t="str">
        <f ca="1">Cluster!J401</f>
        <v>Selection</v>
      </c>
      <c r="S382" s="411" t="str">
        <f t="shared" ca="1" si="194"/>
        <v>-</v>
      </c>
      <c r="T382" s="412" t="str">
        <f t="shared" ca="1" si="195"/>
        <v/>
      </c>
      <c r="U382" s="411" t="str">
        <f t="shared" ca="1" si="196"/>
        <v>-</v>
      </c>
      <c r="V382" s="411" t="str">
        <f t="shared" ca="1" si="197"/>
        <v>-</v>
      </c>
      <c r="W382" s="413">
        <f>Cluster!N401</f>
        <v>0</v>
      </c>
      <c r="X382" s="414" t="str">
        <f t="shared" ca="1" si="198"/>
        <v>-</v>
      </c>
      <c r="Y382" s="411" t="str">
        <f t="shared" ca="1" si="199"/>
        <v>-</v>
      </c>
      <c r="Z382" s="415" t="str">
        <f t="shared" ca="1" si="200"/>
        <v>-</v>
      </c>
      <c r="AA382" s="416" t="str">
        <f t="shared" ca="1" si="201"/>
        <v>-</v>
      </c>
      <c r="AB382" s="416" t="str">
        <f t="shared" ca="1" si="202"/>
        <v/>
      </c>
      <c r="AC382" s="434">
        <f>Cluster!Q401</f>
        <v>0</v>
      </c>
      <c r="AD382" s="435" t="str">
        <f t="shared" ca="1" si="223"/>
        <v/>
      </c>
      <c r="AE382" s="436" t="str">
        <f t="shared" ca="1" si="223"/>
        <v/>
      </c>
      <c r="AF382" s="437" t="str">
        <f t="shared" ca="1" si="204"/>
        <v>-</v>
      </c>
      <c r="AG382" s="438" t="str">
        <f t="shared" ca="1" si="205"/>
        <v>-</v>
      </c>
      <c r="AH382" s="437" t="str">
        <f t="shared" ca="1" si="206"/>
        <v>-</v>
      </c>
      <c r="AI382" s="438" t="str">
        <f t="shared" ca="1" si="207"/>
        <v>-</v>
      </c>
      <c r="AJ382" s="438" t="str">
        <f t="shared" ca="1" si="208"/>
        <v>-</v>
      </c>
      <c r="AK382" s="439" t="str">
        <f ca="1">IFERROR(AE382*AD382*AL382/(IF(Cluster!AA401=Cluster!$W$8,Cluster!$W$10,IF(Cluster!AA401=Cluster!$X$8,Cluster!$X$10,IF(Cluster!AA401=Cluster!$Y$8,Cluster!$Y$10,0)))*10^3),"-")</f>
        <v>-</v>
      </c>
      <c r="AL382" s="440" t="str">
        <f ca="1">IFERROR(IF(OR(Calculation!T382&lt;(Calculation!$U$8+2),Calculation!AC382="Bypass"),IF((IF(Calculation!$O$6/((Calculation!AD382*10^-12)/(Calculation!T382*10^-9)*50)&lt;=1,1,ROUNDUP(Calculation!$O$6/((Calculation!AD382*10^-12)/(Calculation!T382*10^-9)*50),0))*50)&lt;Calculation!$AK$6,Calculation!$AK$6,IF(Calculation!$O$6/((Calculation!AD382*10^-12)/(Calculation!T382*10^-9)*50)&lt;=1,1,ROUNDUP(Calculation!$O$6/((Calculation!AD382*10^-12)/(Calculation!T382*10^-9)*50),0))*50),"-"),"-")</f>
        <v>-</v>
      </c>
      <c r="AM382" s="441" t="str">
        <f t="shared" ca="1" si="224"/>
        <v/>
      </c>
      <c r="AN382" s="442" t="str">
        <f t="shared" ca="1" si="224"/>
        <v/>
      </c>
      <c r="AO382" s="432">
        <f t="shared" ca="1" si="210"/>
        <v>384</v>
      </c>
      <c r="AP382" s="427" t="str">
        <f t="shared" ca="1" si="211"/>
        <v>-</v>
      </c>
      <c r="AQ382" s="443" t="str">
        <f t="shared" ca="1" si="212"/>
        <v>-</v>
      </c>
      <c r="AR382" s="444" t="str">
        <f t="shared" ca="1" si="213"/>
        <v>-</v>
      </c>
      <c r="AS382" s="430" t="str">
        <f t="shared" ca="1" si="214"/>
        <v>-</v>
      </c>
    </row>
    <row r="383" spans="1:45" ht="14.25" x14ac:dyDescent="0.65">
      <c r="A383" s="407">
        <v>375</v>
      </c>
      <c r="B383" s="408" t="str">
        <f t="shared" ca="1" si="191"/>
        <v/>
      </c>
      <c r="C383" s="408" t="str">
        <f ca="1">IFERROR(IF(G383="","",CONCATENATE(E383,"-",INDEX(Coordinate,MATCH(F383,ListAndConversion!$X$4:$X$99,0),2))),"")</f>
        <v/>
      </c>
      <c r="D383" s="408" t="str">
        <f t="shared" ca="1" si="221"/>
        <v/>
      </c>
      <c r="E383" s="408" t="str">
        <f t="shared" ca="1" si="221"/>
        <v/>
      </c>
      <c r="F383" s="408" t="str">
        <f t="shared" ca="1" si="221"/>
        <v/>
      </c>
      <c r="G383" s="408" t="str">
        <f ca="1">IFERROR(INDEX(ListAndConversion!A:B,MATCH(Calculation!E383,ListAndConversion!A:A,0),2),"")</f>
        <v/>
      </c>
      <c r="H383" s="408" t="str">
        <f>IF(TrackIT_Lines!AD375="","",TrackIT_Lines!AD375)</f>
        <v/>
      </c>
      <c r="I383" s="408" t="str">
        <f>IF(TrackIT_Lines!AD375="","",CONCATENATE(TrackIT_Lines!AD375,"-",TrackIT_Lines!AG375))</f>
        <v/>
      </c>
      <c r="J383" s="409" t="str">
        <f t="shared" ca="1" si="225"/>
        <v/>
      </c>
      <c r="K383" s="408" t="str">
        <f t="shared" ca="1" si="225"/>
        <v/>
      </c>
      <c r="L383" s="408" t="str">
        <f t="shared" ca="1" si="225"/>
        <v/>
      </c>
      <c r="M383" s="408" t="str">
        <f t="shared" ca="1" si="225"/>
        <v/>
      </c>
      <c r="N383" s="408" t="str">
        <f t="shared" ca="1" si="225"/>
        <v/>
      </c>
      <c r="O383" s="408" t="str">
        <f t="shared" ca="1" si="225"/>
        <v/>
      </c>
      <c r="P383" s="408" t="str">
        <f t="shared" ca="1" si="225"/>
        <v/>
      </c>
      <c r="Q383" s="408" t="str">
        <f t="shared" ca="1" si="225"/>
        <v/>
      </c>
      <c r="R383" s="410" t="str">
        <f ca="1">Cluster!J402</f>
        <v>Selection</v>
      </c>
      <c r="S383" s="411" t="str">
        <f t="shared" ca="1" si="194"/>
        <v>-</v>
      </c>
      <c r="T383" s="412" t="str">
        <f t="shared" ca="1" si="195"/>
        <v/>
      </c>
      <c r="U383" s="411" t="str">
        <f t="shared" ca="1" si="196"/>
        <v>-</v>
      </c>
      <c r="V383" s="411" t="str">
        <f t="shared" ca="1" si="197"/>
        <v>-</v>
      </c>
      <c r="W383" s="413">
        <f>Cluster!N402</f>
        <v>0</v>
      </c>
      <c r="X383" s="414" t="str">
        <f t="shared" ca="1" si="198"/>
        <v>-</v>
      </c>
      <c r="Y383" s="411" t="str">
        <f t="shared" ca="1" si="199"/>
        <v>-</v>
      </c>
      <c r="Z383" s="415" t="str">
        <f t="shared" ca="1" si="200"/>
        <v>-</v>
      </c>
      <c r="AA383" s="416" t="str">
        <f t="shared" ca="1" si="201"/>
        <v>-</v>
      </c>
      <c r="AB383" s="416" t="str">
        <f t="shared" ca="1" si="202"/>
        <v/>
      </c>
      <c r="AC383" s="434">
        <f>Cluster!Q402</f>
        <v>0</v>
      </c>
      <c r="AD383" s="435" t="str">
        <f t="shared" ca="1" si="223"/>
        <v/>
      </c>
      <c r="AE383" s="436" t="str">
        <f t="shared" ca="1" si="223"/>
        <v/>
      </c>
      <c r="AF383" s="437" t="str">
        <f t="shared" ca="1" si="204"/>
        <v>-</v>
      </c>
      <c r="AG383" s="438" t="str">
        <f t="shared" ca="1" si="205"/>
        <v>-</v>
      </c>
      <c r="AH383" s="437" t="str">
        <f t="shared" ca="1" si="206"/>
        <v>-</v>
      </c>
      <c r="AI383" s="438" t="str">
        <f t="shared" ca="1" si="207"/>
        <v>-</v>
      </c>
      <c r="AJ383" s="438" t="str">
        <f t="shared" ca="1" si="208"/>
        <v>-</v>
      </c>
      <c r="AK383" s="439" t="str">
        <f ca="1">IFERROR(AE383*AD383*AL383/(IF(Cluster!AA402=Cluster!$W$8,Cluster!$W$10,IF(Cluster!AA402=Cluster!$X$8,Cluster!$X$10,IF(Cluster!AA402=Cluster!$Y$8,Cluster!$Y$10,0)))*10^3),"-")</f>
        <v>-</v>
      </c>
      <c r="AL383" s="440" t="str">
        <f ca="1">IFERROR(IF(OR(Calculation!T383&lt;(Calculation!$U$8+2),Calculation!AC383="Bypass"),IF((IF(Calculation!$O$6/((Calculation!AD383*10^-12)/(Calculation!T383*10^-9)*50)&lt;=1,1,ROUNDUP(Calculation!$O$6/((Calculation!AD383*10^-12)/(Calculation!T383*10^-9)*50),0))*50)&lt;Calculation!$AK$6,Calculation!$AK$6,IF(Calculation!$O$6/((Calculation!AD383*10^-12)/(Calculation!T383*10^-9)*50)&lt;=1,1,ROUNDUP(Calculation!$O$6/((Calculation!AD383*10^-12)/(Calculation!T383*10^-9)*50),0))*50),"-"),"-")</f>
        <v>-</v>
      </c>
      <c r="AM383" s="441" t="str">
        <f t="shared" ca="1" si="224"/>
        <v/>
      </c>
      <c r="AN383" s="442" t="str">
        <f t="shared" ca="1" si="224"/>
        <v/>
      </c>
      <c r="AO383" s="432">
        <f t="shared" ca="1" si="210"/>
        <v>384</v>
      </c>
      <c r="AP383" s="427" t="str">
        <f t="shared" ca="1" si="211"/>
        <v>-</v>
      </c>
      <c r="AQ383" s="443" t="str">
        <f t="shared" ca="1" si="212"/>
        <v>-</v>
      </c>
      <c r="AR383" s="444" t="str">
        <f t="shared" ca="1" si="213"/>
        <v>-</v>
      </c>
      <c r="AS383" s="430" t="str">
        <f t="shared" ca="1" si="214"/>
        <v>-</v>
      </c>
    </row>
    <row r="384" spans="1:45" ht="14.25" x14ac:dyDescent="0.65">
      <c r="A384" s="407">
        <v>376</v>
      </c>
      <c r="B384" s="408" t="str">
        <f t="shared" ca="1" si="191"/>
        <v/>
      </c>
      <c r="C384" s="408" t="str">
        <f ca="1">IFERROR(IF(G384="","",CONCATENATE(E384,"-",INDEX(Coordinate,MATCH(F384,ListAndConversion!$X$4:$X$99,0),2))),"")</f>
        <v/>
      </c>
      <c r="D384" s="408" t="str">
        <f t="shared" ca="1" si="221"/>
        <v/>
      </c>
      <c r="E384" s="408" t="str">
        <f t="shared" ca="1" si="221"/>
        <v/>
      </c>
      <c r="F384" s="408" t="str">
        <f t="shared" ca="1" si="221"/>
        <v/>
      </c>
      <c r="G384" s="408" t="str">
        <f ca="1">IFERROR(INDEX(ListAndConversion!A:B,MATCH(Calculation!E384,ListAndConversion!A:A,0),2),"")</f>
        <v/>
      </c>
      <c r="H384" s="408" t="str">
        <f>IF(TrackIT_Lines!AD376="","",TrackIT_Lines!AD376)</f>
        <v/>
      </c>
      <c r="I384" s="408" t="str">
        <f>IF(TrackIT_Lines!AD376="","",CONCATENATE(TrackIT_Lines!AD376,"-",TrackIT_Lines!AG376))</f>
        <v/>
      </c>
      <c r="J384" s="409" t="str">
        <f t="shared" ca="1" si="225"/>
        <v/>
      </c>
      <c r="K384" s="408" t="str">
        <f t="shared" ca="1" si="225"/>
        <v/>
      </c>
      <c r="L384" s="408" t="str">
        <f t="shared" ca="1" si="225"/>
        <v/>
      </c>
      <c r="M384" s="408" t="str">
        <f t="shared" ca="1" si="225"/>
        <v/>
      </c>
      <c r="N384" s="408" t="str">
        <f t="shared" ca="1" si="225"/>
        <v/>
      </c>
      <c r="O384" s="408" t="str">
        <f t="shared" ca="1" si="225"/>
        <v/>
      </c>
      <c r="P384" s="408" t="str">
        <f t="shared" ca="1" si="225"/>
        <v/>
      </c>
      <c r="Q384" s="408" t="str">
        <f t="shared" ca="1" si="225"/>
        <v/>
      </c>
      <c r="R384" s="410" t="str">
        <f ca="1">Cluster!J403</f>
        <v>Selection</v>
      </c>
      <c r="S384" s="411" t="str">
        <f t="shared" ca="1" si="194"/>
        <v>-</v>
      </c>
      <c r="T384" s="412" t="str">
        <f t="shared" ca="1" si="195"/>
        <v/>
      </c>
      <c r="U384" s="411" t="str">
        <f t="shared" ca="1" si="196"/>
        <v>-</v>
      </c>
      <c r="V384" s="411" t="str">
        <f t="shared" ca="1" si="197"/>
        <v>-</v>
      </c>
      <c r="W384" s="413">
        <f>Cluster!N403</f>
        <v>0</v>
      </c>
      <c r="X384" s="414" t="str">
        <f t="shared" ca="1" si="198"/>
        <v>-</v>
      </c>
      <c r="Y384" s="411" t="str">
        <f t="shared" ca="1" si="199"/>
        <v>-</v>
      </c>
      <c r="Z384" s="415" t="str">
        <f t="shared" ca="1" si="200"/>
        <v>-</v>
      </c>
      <c r="AA384" s="416" t="str">
        <f t="shared" ca="1" si="201"/>
        <v>-</v>
      </c>
      <c r="AB384" s="416" t="str">
        <f t="shared" ca="1" si="202"/>
        <v/>
      </c>
      <c r="AC384" s="434">
        <f>Cluster!Q403</f>
        <v>0</v>
      </c>
      <c r="AD384" s="435" t="str">
        <f t="shared" ca="1" si="223"/>
        <v/>
      </c>
      <c r="AE384" s="436" t="str">
        <f t="shared" ca="1" si="223"/>
        <v/>
      </c>
      <c r="AF384" s="437" t="str">
        <f t="shared" ca="1" si="204"/>
        <v>-</v>
      </c>
      <c r="AG384" s="438" t="str">
        <f t="shared" ca="1" si="205"/>
        <v>-</v>
      </c>
      <c r="AH384" s="437" t="str">
        <f t="shared" ca="1" si="206"/>
        <v>-</v>
      </c>
      <c r="AI384" s="438" t="str">
        <f t="shared" ca="1" si="207"/>
        <v>-</v>
      </c>
      <c r="AJ384" s="438" t="str">
        <f t="shared" ca="1" si="208"/>
        <v>-</v>
      </c>
      <c r="AK384" s="439" t="str">
        <f ca="1">IFERROR(AE384*AD384*AL384/(IF(Cluster!AA403=Cluster!$W$8,Cluster!$W$10,IF(Cluster!AA403=Cluster!$X$8,Cluster!$X$10,IF(Cluster!AA403=Cluster!$Y$8,Cluster!$Y$10,0)))*10^3),"-")</f>
        <v>-</v>
      </c>
      <c r="AL384" s="440" t="str">
        <f ca="1">IFERROR(IF(OR(Calculation!T384&lt;(Calculation!$U$8+2),Calculation!AC384="Bypass"),IF((IF(Calculation!$O$6/((Calculation!AD384*10^-12)/(Calculation!T384*10^-9)*50)&lt;=1,1,ROUNDUP(Calculation!$O$6/((Calculation!AD384*10^-12)/(Calculation!T384*10^-9)*50),0))*50)&lt;Calculation!$AK$6,Calculation!$AK$6,IF(Calculation!$O$6/((Calculation!AD384*10^-12)/(Calculation!T384*10^-9)*50)&lt;=1,1,ROUNDUP(Calculation!$O$6/((Calculation!AD384*10^-12)/(Calculation!T384*10^-9)*50),0))*50),"-"),"-")</f>
        <v>-</v>
      </c>
      <c r="AM384" s="441" t="str">
        <f t="shared" ca="1" si="224"/>
        <v/>
      </c>
      <c r="AN384" s="442" t="str">
        <f t="shared" ca="1" si="224"/>
        <v/>
      </c>
      <c r="AO384" s="432">
        <f t="shared" ca="1" si="210"/>
        <v>384</v>
      </c>
      <c r="AP384" s="427" t="str">
        <f t="shared" ca="1" si="211"/>
        <v>-</v>
      </c>
      <c r="AQ384" s="443" t="str">
        <f t="shared" ca="1" si="212"/>
        <v>-</v>
      </c>
      <c r="AR384" s="444" t="str">
        <f t="shared" ca="1" si="213"/>
        <v>-</v>
      </c>
      <c r="AS384" s="430" t="str">
        <f t="shared" ca="1" si="214"/>
        <v>-</v>
      </c>
    </row>
    <row r="385" spans="1:45" ht="14.25" x14ac:dyDescent="0.65">
      <c r="A385" s="407">
        <v>377</v>
      </c>
      <c r="B385" s="408" t="str">
        <f t="shared" ca="1" si="191"/>
        <v/>
      </c>
      <c r="C385" s="408" t="str">
        <f ca="1">IFERROR(IF(G385="","",CONCATENATE(E385,"-",INDEX(Coordinate,MATCH(F385,ListAndConversion!$X$4:$X$99,0),2))),"")</f>
        <v/>
      </c>
      <c r="D385" s="408" t="str">
        <f t="shared" ca="1" si="221"/>
        <v/>
      </c>
      <c r="E385" s="408" t="str">
        <f t="shared" ca="1" si="221"/>
        <v/>
      </c>
      <c r="F385" s="408" t="str">
        <f t="shared" ca="1" si="221"/>
        <v/>
      </c>
      <c r="G385" s="408" t="str">
        <f ca="1">IFERROR(INDEX(ListAndConversion!A:B,MATCH(Calculation!E385,ListAndConversion!A:A,0),2),"")</f>
        <v/>
      </c>
      <c r="H385" s="408" t="str">
        <f>IF(TrackIT_Lines!AD377="","",TrackIT_Lines!AD377)</f>
        <v/>
      </c>
      <c r="I385" s="408" t="str">
        <f>IF(TrackIT_Lines!AD377="","",CONCATENATE(TrackIT_Lines!AD377,"-",TrackIT_Lines!AG377))</f>
        <v/>
      </c>
      <c r="J385" s="409" t="str">
        <f t="shared" ca="1" si="225"/>
        <v/>
      </c>
      <c r="K385" s="408" t="str">
        <f t="shared" ca="1" si="225"/>
        <v/>
      </c>
      <c r="L385" s="408" t="str">
        <f t="shared" ca="1" si="225"/>
        <v/>
      </c>
      <c r="M385" s="408" t="str">
        <f t="shared" ca="1" si="225"/>
        <v/>
      </c>
      <c r="N385" s="408" t="str">
        <f t="shared" ca="1" si="225"/>
        <v/>
      </c>
      <c r="O385" s="408" t="str">
        <f t="shared" ca="1" si="225"/>
        <v/>
      </c>
      <c r="P385" s="408" t="str">
        <f t="shared" ca="1" si="225"/>
        <v/>
      </c>
      <c r="Q385" s="408" t="str">
        <f t="shared" ca="1" si="225"/>
        <v/>
      </c>
      <c r="R385" s="410" t="str">
        <f ca="1">Cluster!J404</f>
        <v>Selection</v>
      </c>
      <c r="S385" s="411" t="str">
        <f t="shared" ca="1" si="194"/>
        <v>-</v>
      </c>
      <c r="T385" s="412" t="str">
        <f t="shared" ca="1" si="195"/>
        <v/>
      </c>
      <c r="U385" s="411" t="str">
        <f t="shared" ca="1" si="196"/>
        <v>-</v>
      </c>
      <c r="V385" s="411" t="str">
        <f t="shared" ca="1" si="197"/>
        <v>-</v>
      </c>
      <c r="W385" s="413">
        <f>Cluster!N404</f>
        <v>0</v>
      </c>
      <c r="X385" s="414" t="str">
        <f t="shared" ca="1" si="198"/>
        <v>-</v>
      </c>
      <c r="Y385" s="411" t="str">
        <f t="shared" ca="1" si="199"/>
        <v>-</v>
      </c>
      <c r="Z385" s="415" t="str">
        <f t="shared" ca="1" si="200"/>
        <v>-</v>
      </c>
      <c r="AA385" s="416" t="str">
        <f t="shared" ca="1" si="201"/>
        <v>-</v>
      </c>
      <c r="AB385" s="416" t="str">
        <f t="shared" ca="1" si="202"/>
        <v/>
      </c>
      <c r="AC385" s="434">
        <f>Cluster!Q404</f>
        <v>0</v>
      </c>
      <c r="AD385" s="435" t="str">
        <f t="shared" ca="1" si="223"/>
        <v/>
      </c>
      <c r="AE385" s="436" t="str">
        <f t="shared" ca="1" si="223"/>
        <v/>
      </c>
      <c r="AF385" s="437" t="str">
        <f t="shared" ca="1" si="204"/>
        <v>-</v>
      </c>
      <c r="AG385" s="438" t="str">
        <f t="shared" ca="1" si="205"/>
        <v>-</v>
      </c>
      <c r="AH385" s="437" t="str">
        <f t="shared" ca="1" si="206"/>
        <v>-</v>
      </c>
      <c r="AI385" s="438" t="str">
        <f t="shared" ca="1" si="207"/>
        <v>-</v>
      </c>
      <c r="AJ385" s="438" t="str">
        <f t="shared" ca="1" si="208"/>
        <v>-</v>
      </c>
      <c r="AK385" s="439" t="str">
        <f ca="1">IFERROR(AE385*AD385*AL385/(IF(Cluster!AA404=Cluster!$W$8,Cluster!$W$10,IF(Cluster!AA404=Cluster!$X$8,Cluster!$X$10,IF(Cluster!AA404=Cluster!$Y$8,Cluster!$Y$10,0)))*10^3),"-")</f>
        <v>-</v>
      </c>
      <c r="AL385" s="440" t="str">
        <f ca="1">IFERROR(IF(OR(Calculation!T385&lt;(Calculation!$U$8+2),Calculation!AC385="Bypass"),IF((IF(Calculation!$O$6/((Calculation!AD385*10^-12)/(Calculation!T385*10^-9)*50)&lt;=1,1,ROUNDUP(Calculation!$O$6/((Calculation!AD385*10^-12)/(Calculation!T385*10^-9)*50),0))*50)&lt;Calculation!$AK$6,Calculation!$AK$6,IF(Calculation!$O$6/((Calculation!AD385*10^-12)/(Calculation!T385*10^-9)*50)&lt;=1,1,ROUNDUP(Calculation!$O$6/((Calculation!AD385*10^-12)/(Calculation!T385*10^-9)*50),0))*50),"-"),"-")</f>
        <v>-</v>
      </c>
      <c r="AM385" s="441" t="str">
        <f t="shared" ca="1" si="224"/>
        <v/>
      </c>
      <c r="AN385" s="442" t="str">
        <f t="shared" ca="1" si="224"/>
        <v/>
      </c>
      <c r="AO385" s="432">
        <f t="shared" ca="1" si="210"/>
        <v>384</v>
      </c>
      <c r="AP385" s="427" t="str">
        <f t="shared" ca="1" si="211"/>
        <v>-</v>
      </c>
      <c r="AQ385" s="443" t="str">
        <f t="shared" ca="1" si="212"/>
        <v>-</v>
      </c>
      <c r="AR385" s="444" t="str">
        <f t="shared" ca="1" si="213"/>
        <v>-</v>
      </c>
      <c r="AS385" s="430" t="str">
        <f t="shared" ca="1" si="214"/>
        <v>-</v>
      </c>
    </row>
    <row r="386" spans="1:45" ht="14.25" x14ac:dyDescent="0.65">
      <c r="A386" s="407">
        <v>378</v>
      </c>
      <c r="B386" s="408" t="str">
        <f t="shared" ca="1" si="191"/>
        <v/>
      </c>
      <c r="C386" s="408" t="str">
        <f ca="1">IFERROR(IF(G386="","",CONCATENATE(E386,"-",INDEX(Coordinate,MATCH(F386,ListAndConversion!$X$4:$X$99,0),2))),"")</f>
        <v/>
      </c>
      <c r="D386" s="408" t="str">
        <f t="shared" ca="1" si="221"/>
        <v/>
      </c>
      <c r="E386" s="408" t="str">
        <f t="shared" ca="1" si="221"/>
        <v/>
      </c>
      <c r="F386" s="408" t="str">
        <f t="shared" ca="1" si="221"/>
        <v/>
      </c>
      <c r="G386" s="408" t="str">
        <f ca="1">IFERROR(INDEX(ListAndConversion!A:B,MATCH(Calculation!E386,ListAndConversion!A:A,0),2),"")</f>
        <v/>
      </c>
      <c r="H386" s="408" t="str">
        <f>IF(TrackIT_Lines!AD378="","",TrackIT_Lines!AD378)</f>
        <v/>
      </c>
      <c r="I386" s="408" t="str">
        <f>IF(TrackIT_Lines!AD378="","",CONCATENATE(TrackIT_Lines!AD378,"-",TrackIT_Lines!AG378))</f>
        <v/>
      </c>
      <c r="J386" s="409" t="str">
        <f t="shared" ca="1" si="225"/>
        <v/>
      </c>
      <c r="K386" s="408" t="str">
        <f t="shared" ca="1" si="225"/>
        <v/>
      </c>
      <c r="L386" s="408" t="str">
        <f t="shared" ca="1" si="225"/>
        <v/>
      </c>
      <c r="M386" s="408" t="str">
        <f t="shared" ca="1" si="225"/>
        <v/>
      </c>
      <c r="N386" s="408" t="str">
        <f t="shared" ca="1" si="225"/>
        <v/>
      </c>
      <c r="O386" s="408" t="str">
        <f t="shared" ca="1" si="225"/>
        <v/>
      </c>
      <c r="P386" s="408" t="str">
        <f t="shared" ca="1" si="225"/>
        <v/>
      </c>
      <c r="Q386" s="408" t="str">
        <f t="shared" ca="1" si="225"/>
        <v/>
      </c>
      <c r="R386" s="410" t="str">
        <f ca="1">Cluster!J405</f>
        <v>Selection</v>
      </c>
      <c r="S386" s="411" t="str">
        <f t="shared" ca="1" si="194"/>
        <v>-</v>
      </c>
      <c r="T386" s="412" t="str">
        <f t="shared" ca="1" si="195"/>
        <v/>
      </c>
      <c r="U386" s="411" t="str">
        <f t="shared" ca="1" si="196"/>
        <v>-</v>
      </c>
      <c r="V386" s="411" t="str">
        <f t="shared" ca="1" si="197"/>
        <v>-</v>
      </c>
      <c r="W386" s="413">
        <f>Cluster!N405</f>
        <v>0</v>
      </c>
      <c r="X386" s="414" t="str">
        <f t="shared" ca="1" si="198"/>
        <v>-</v>
      </c>
      <c r="Y386" s="411" t="str">
        <f t="shared" ca="1" si="199"/>
        <v>-</v>
      </c>
      <c r="Z386" s="415" t="str">
        <f t="shared" ca="1" si="200"/>
        <v>-</v>
      </c>
      <c r="AA386" s="416" t="str">
        <f t="shared" ca="1" si="201"/>
        <v>-</v>
      </c>
      <c r="AB386" s="416" t="str">
        <f t="shared" ca="1" si="202"/>
        <v/>
      </c>
      <c r="AC386" s="434">
        <f>Cluster!Q405</f>
        <v>0</v>
      </c>
      <c r="AD386" s="435" t="str">
        <f t="shared" ca="1" si="223"/>
        <v/>
      </c>
      <c r="AE386" s="436" t="str">
        <f t="shared" ca="1" si="223"/>
        <v/>
      </c>
      <c r="AF386" s="437" t="str">
        <f t="shared" ca="1" si="204"/>
        <v>-</v>
      </c>
      <c r="AG386" s="438" t="str">
        <f t="shared" ca="1" si="205"/>
        <v>-</v>
      </c>
      <c r="AH386" s="437" t="str">
        <f t="shared" ca="1" si="206"/>
        <v>-</v>
      </c>
      <c r="AI386" s="438" t="str">
        <f t="shared" ca="1" si="207"/>
        <v>-</v>
      </c>
      <c r="AJ386" s="438" t="str">
        <f t="shared" ca="1" si="208"/>
        <v>-</v>
      </c>
      <c r="AK386" s="439" t="str">
        <f ca="1">IFERROR(AE386*AD386*AL386/(IF(Cluster!AA405=Cluster!$W$8,Cluster!$W$10,IF(Cluster!AA405=Cluster!$X$8,Cluster!$X$10,IF(Cluster!AA405=Cluster!$Y$8,Cluster!$Y$10,0)))*10^3),"-")</f>
        <v>-</v>
      </c>
      <c r="AL386" s="440" t="str">
        <f ca="1">IFERROR(IF(OR(Calculation!T386&lt;(Calculation!$U$8+2),Calculation!AC386="Bypass"),IF((IF(Calculation!$O$6/((Calculation!AD386*10^-12)/(Calculation!T386*10^-9)*50)&lt;=1,1,ROUNDUP(Calculation!$O$6/((Calculation!AD386*10^-12)/(Calculation!T386*10^-9)*50),0))*50)&lt;Calculation!$AK$6,Calculation!$AK$6,IF(Calculation!$O$6/((Calculation!AD386*10^-12)/(Calculation!T386*10^-9)*50)&lt;=1,1,ROUNDUP(Calculation!$O$6/((Calculation!AD386*10^-12)/(Calculation!T386*10^-9)*50),0))*50),"-"),"-")</f>
        <v>-</v>
      </c>
      <c r="AM386" s="441" t="str">
        <f t="shared" ca="1" si="224"/>
        <v/>
      </c>
      <c r="AN386" s="442" t="str">
        <f t="shared" ca="1" si="224"/>
        <v/>
      </c>
      <c r="AO386" s="432">
        <f t="shared" ca="1" si="210"/>
        <v>384</v>
      </c>
      <c r="AP386" s="427" t="str">
        <f t="shared" ca="1" si="211"/>
        <v>-</v>
      </c>
      <c r="AQ386" s="443" t="str">
        <f t="shared" ca="1" si="212"/>
        <v>-</v>
      </c>
      <c r="AR386" s="444" t="str">
        <f t="shared" ca="1" si="213"/>
        <v>-</v>
      </c>
      <c r="AS386" s="430" t="str">
        <f t="shared" ca="1" si="214"/>
        <v>-</v>
      </c>
    </row>
    <row r="387" spans="1:45" ht="14.25" x14ac:dyDescent="0.65">
      <c r="A387" s="407">
        <v>379</v>
      </c>
      <c r="B387" s="408" t="str">
        <f t="shared" ca="1" si="191"/>
        <v/>
      </c>
      <c r="C387" s="408" t="str">
        <f ca="1">IFERROR(IF(G387="","",CONCATENATE(E387,"-",INDEX(Coordinate,MATCH(F387,ListAndConversion!$X$4:$X$99,0),2))),"")</f>
        <v/>
      </c>
      <c r="D387" s="408" t="str">
        <f t="shared" ca="1" si="221"/>
        <v/>
      </c>
      <c r="E387" s="408" t="str">
        <f t="shared" ca="1" si="221"/>
        <v/>
      </c>
      <c r="F387" s="408" t="str">
        <f t="shared" ca="1" si="221"/>
        <v/>
      </c>
      <c r="G387" s="408" t="str">
        <f ca="1">IFERROR(INDEX(ListAndConversion!A:B,MATCH(Calculation!E387,ListAndConversion!A:A,0),2),"")</f>
        <v/>
      </c>
      <c r="H387" s="408" t="str">
        <f>IF(TrackIT_Lines!AD379="","",TrackIT_Lines!AD379)</f>
        <v/>
      </c>
      <c r="I387" s="408" t="str">
        <f>IF(TrackIT_Lines!AD379="","",CONCATENATE(TrackIT_Lines!AD379,"-",TrackIT_Lines!AG379))</f>
        <v/>
      </c>
      <c r="J387" s="409" t="str">
        <f t="shared" ca="1" si="225"/>
        <v/>
      </c>
      <c r="K387" s="408" t="str">
        <f t="shared" ca="1" si="225"/>
        <v/>
      </c>
      <c r="L387" s="408" t="str">
        <f t="shared" ca="1" si="225"/>
        <v/>
      </c>
      <c r="M387" s="408" t="str">
        <f t="shared" ca="1" si="225"/>
        <v/>
      </c>
      <c r="N387" s="408" t="str">
        <f t="shared" ca="1" si="225"/>
        <v/>
      </c>
      <c r="O387" s="408" t="str">
        <f t="shared" ca="1" si="225"/>
        <v/>
      </c>
      <c r="P387" s="408" t="str">
        <f t="shared" ca="1" si="225"/>
        <v/>
      </c>
      <c r="Q387" s="408" t="str">
        <f t="shared" ca="1" si="225"/>
        <v/>
      </c>
      <c r="R387" s="410" t="str">
        <f ca="1">Cluster!J406</f>
        <v>Selection</v>
      </c>
      <c r="S387" s="411" t="str">
        <f t="shared" ca="1" si="194"/>
        <v>-</v>
      </c>
      <c r="T387" s="412" t="str">
        <f t="shared" ca="1" si="195"/>
        <v/>
      </c>
      <c r="U387" s="411" t="str">
        <f t="shared" ca="1" si="196"/>
        <v>-</v>
      </c>
      <c r="V387" s="411" t="str">
        <f t="shared" ca="1" si="197"/>
        <v>-</v>
      </c>
      <c r="W387" s="413">
        <f>Cluster!N406</f>
        <v>0</v>
      </c>
      <c r="X387" s="414" t="str">
        <f t="shared" ca="1" si="198"/>
        <v>-</v>
      </c>
      <c r="Y387" s="411" t="str">
        <f t="shared" ca="1" si="199"/>
        <v>-</v>
      </c>
      <c r="Z387" s="415" t="str">
        <f t="shared" ca="1" si="200"/>
        <v>-</v>
      </c>
      <c r="AA387" s="416" t="str">
        <f t="shared" ca="1" si="201"/>
        <v>-</v>
      </c>
      <c r="AB387" s="416" t="str">
        <f t="shared" ca="1" si="202"/>
        <v/>
      </c>
      <c r="AC387" s="434">
        <f>Cluster!Q406</f>
        <v>0</v>
      </c>
      <c r="AD387" s="435" t="str">
        <f t="shared" ca="1" si="223"/>
        <v/>
      </c>
      <c r="AE387" s="436" t="str">
        <f t="shared" ca="1" si="223"/>
        <v/>
      </c>
      <c r="AF387" s="437" t="str">
        <f t="shared" ca="1" si="204"/>
        <v>-</v>
      </c>
      <c r="AG387" s="438" t="str">
        <f t="shared" ca="1" si="205"/>
        <v>-</v>
      </c>
      <c r="AH387" s="437" t="str">
        <f t="shared" ca="1" si="206"/>
        <v>-</v>
      </c>
      <c r="AI387" s="438" t="str">
        <f t="shared" ca="1" si="207"/>
        <v>-</v>
      </c>
      <c r="AJ387" s="438" t="str">
        <f t="shared" ca="1" si="208"/>
        <v>-</v>
      </c>
      <c r="AK387" s="439" t="str">
        <f ca="1">IFERROR(AE387*AD387*AL387/(IF(Cluster!AA406=Cluster!$W$8,Cluster!$W$10,IF(Cluster!AA406=Cluster!$X$8,Cluster!$X$10,IF(Cluster!AA406=Cluster!$Y$8,Cluster!$Y$10,0)))*10^3),"-")</f>
        <v>-</v>
      </c>
      <c r="AL387" s="440" t="str">
        <f ca="1">IFERROR(IF(OR(Calculation!T387&lt;(Calculation!$U$8+2),Calculation!AC387="Bypass"),IF((IF(Calculation!$O$6/((Calculation!AD387*10^-12)/(Calculation!T387*10^-9)*50)&lt;=1,1,ROUNDUP(Calculation!$O$6/((Calculation!AD387*10^-12)/(Calculation!T387*10^-9)*50),0))*50)&lt;Calculation!$AK$6,Calculation!$AK$6,IF(Calculation!$O$6/((Calculation!AD387*10^-12)/(Calculation!T387*10^-9)*50)&lt;=1,1,ROUNDUP(Calculation!$O$6/((Calculation!AD387*10^-12)/(Calculation!T387*10^-9)*50),0))*50),"-"),"-")</f>
        <v>-</v>
      </c>
      <c r="AM387" s="441" t="str">
        <f t="shared" ca="1" si="224"/>
        <v/>
      </c>
      <c r="AN387" s="442" t="str">
        <f t="shared" ca="1" si="224"/>
        <v/>
      </c>
      <c r="AO387" s="432">
        <f t="shared" ca="1" si="210"/>
        <v>384</v>
      </c>
      <c r="AP387" s="427" t="str">
        <f t="shared" ca="1" si="211"/>
        <v>-</v>
      </c>
      <c r="AQ387" s="443" t="str">
        <f t="shared" ca="1" si="212"/>
        <v>-</v>
      </c>
      <c r="AR387" s="444" t="str">
        <f t="shared" ca="1" si="213"/>
        <v>-</v>
      </c>
      <c r="AS387" s="430" t="str">
        <f t="shared" ca="1" si="214"/>
        <v>-</v>
      </c>
    </row>
    <row r="388" spans="1:45" ht="14.25" x14ac:dyDescent="0.65">
      <c r="A388" s="407">
        <v>380</v>
      </c>
      <c r="B388" s="408" t="str">
        <f t="shared" ca="1" si="191"/>
        <v/>
      </c>
      <c r="C388" s="408" t="str">
        <f ca="1">IFERROR(IF(G388="","",CONCATENATE(E388,"-",INDEX(Coordinate,MATCH(F388,ListAndConversion!$X$4:$X$99,0),2))),"")</f>
        <v/>
      </c>
      <c r="D388" s="408" t="str">
        <f t="shared" ca="1" si="221"/>
        <v/>
      </c>
      <c r="E388" s="408" t="str">
        <f t="shared" ca="1" si="221"/>
        <v/>
      </c>
      <c r="F388" s="408" t="str">
        <f t="shared" ca="1" si="221"/>
        <v/>
      </c>
      <c r="G388" s="408" t="str">
        <f ca="1">IFERROR(INDEX(ListAndConversion!A:B,MATCH(Calculation!E388,ListAndConversion!A:A,0),2),"")</f>
        <v/>
      </c>
      <c r="H388" s="408" t="str">
        <f>IF(TrackIT_Lines!AD380="","",TrackIT_Lines!AD380)</f>
        <v/>
      </c>
      <c r="I388" s="408" t="str">
        <f>IF(TrackIT_Lines!AD380="","",CONCATENATE(TrackIT_Lines!AD380,"-",TrackIT_Lines!AG380))</f>
        <v/>
      </c>
      <c r="J388" s="409" t="str">
        <f t="shared" ca="1" si="225"/>
        <v/>
      </c>
      <c r="K388" s="408" t="str">
        <f t="shared" ca="1" si="225"/>
        <v/>
      </c>
      <c r="L388" s="408" t="str">
        <f t="shared" ca="1" si="225"/>
        <v/>
      </c>
      <c r="M388" s="408" t="str">
        <f t="shared" ca="1" si="225"/>
        <v/>
      </c>
      <c r="N388" s="408" t="str">
        <f t="shared" ca="1" si="225"/>
        <v/>
      </c>
      <c r="O388" s="408" t="str">
        <f t="shared" ca="1" si="225"/>
        <v/>
      </c>
      <c r="P388" s="408" t="str">
        <f t="shared" ca="1" si="225"/>
        <v/>
      </c>
      <c r="Q388" s="408" t="str">
        <f t="shared" ca="1" si="225"/>
        <v/>
      </c>
      <c r="R388" s="410" t="str">
        <f ca="1">Cluster!J407</f>
        <v>Selection</v>
      </c>
      <c r="S388" s="411" t="str">
        <f t="shared" ca="1" si="194"/>
        <v>-</v>
      </c>
      <c r="T388" s="412" t="str">
        <f t="shared" ca="1" si="195"/>
        <v/>
      </c>
      <c r="U388" s="411" t="str">
        <f t="shared" ca="1" si="196"/>
        <v>-</v>
      </c>
      <c r="V388" s="411" t="str">
        <f t="shared" ca="1" si="197"/>
        <v>-</v>
      </c>
      <c r="W388" s="413">
        <f>Cluster!N407</f>
        <v>0</v>
      </c>
      <c r="X388" s="414" t="str">
        <f t="shared" ca="1" si="198"/>
        <v>-</v>
      </c>
      <c r="Y388" s="411" t="str">
        <f t="shared" ca="1" si="199"/>
        <v>-</v>
      </c>
      <c r="Z388" s="415" t="str">
        <f t="shared" ca="1" si="200"/>
        <v>-</v>
      </c>
      <c r="AA388" s="416" t="str">
        <f t="shared" ca="1" si="201"/>
        <v>-</v>
      </c>
      <c r="AB388" s="416" t="str">
        <f t="shared" ca="1" si="202"/>
        <v/>
      </c>
      <c r="AC388" s="434">
        <f>Cluster!Q407</f>
        <v>0</v>
      </c>
      <c r="AD388" s="435" t="str">
        <f t="shared" ca="1" si="223"/>
        <v/>
      </c>
      <c r="AE388" s="436" t="str">
        <f t="shared" ca="1" si="223"/>
        <v/>
      </c>
      <c r="AF388" s="437" t="str">
        <f t="shared" ca="1" si="204"/>
        <v>-</v>
      </c>
      <c r="AG388" s="438" t="str">
        <f t="shared" ca="1" si="205"/>
        <v>-</v>
      </c>
      <c r="AH388" s="437" t="str">
        <f t="shared" ca="1" si="206"/>
        <v>-</v>
      </c>
      <c r="AI388" s="438" t="str">
        <f t="shared" ca="1" si="207"/>
        <v>-</v>
      </c>
      <c r="AJ388" s="438" t="str">
        <f t="shared" ca="1" si="208"/>
        <v>-</v>
      </c>
      <c r="AK388" s="439" t="str">
        <f ca="1">IFERROR(AE388*AD388*AL388/(IF(Cluster!AA407=Cluster!$W$8,Cluster!$W$10,IF(Cluster!AA407=Cluster!$X$8,Cluster!$X$10,IF(Cluster!AA407=Cluster!$Y$8,Cluster!$Y$10,0)))*10^3),"-")</f>
        <v>-</v>
      </c>
      <c r="AL388" s="440" t="str">
        <f ca="1">IFERROR(IF(OR(Calculation!T388&lt;(Calculation!$U$8+2),Calculation!AC388="Bypass"),IF((IF(Calculation!$O$6/((Calculation!AD388*10^-12)/(Calculation!T388*10^-9)*50)&lt;=1,1,ROUNDUP(Calculation!$O$6/((Calculation!AD388*10^-12)/(Calculation!T388*10^-9)*50),0))*50)&lt;Calculation!$AK$6,Calculation!$AK$6,IF(Calculation!$O$6/((Calculation!AD388*10^-12)/(Calculation!T388*10^-9)*50)&lt;=1,1,ROUNDUP(Calculation!$O$6/((Calculation!AD388*10^-12)/(Calculation!T388*10^-9)*50),0))*50),"-"),"-")</f>
        <v>-</v>
      </c>
      <c r="AM388" s="441" t="str">
        <f t="shared" ca="1" si="224"/>
        <v/>
      </c>
      <c r="AN388" s="442" t="str">
        <f t="shared" ca="1" si="224"/>
        <v/>
      </c>
      <c r="AO388" s="432">
        <f t="shared" ca="1" si="210"/>
        <v>384</v>
      </c>
      <c r="AP388" s="427" t="str">
        <f t="shared" ca="1" si="211"/>
        <v>-</v>
      </c>
      <c r="AQ388" s="443" t="str">
        <f t="shared" ca="1" si="212"/>
        <v>-</v>
      </c>
      <c r="AR388" s="444" t="str">
        <f t="shared" ca="1" si="213"/>
        <v>-</v>
      </c>
      <c r="AS388" s="430" t="str">
        <f t="shared" ca="1" si="214"/>
        <v>-</v>
      </c>
    </row>
    <row r="389" spans="1:45" ht="14.25" x14ac:dyDescent="0.65">
      <c r="A389" s="407">
        <v>381</v>
      </c>
      <c r="B389" s="408" t="str">
        <f t="shared" ca="1" si="191"/>
        <v/>
      </c>
      <c r="C389" s="408" t="str">
        <f ca="1">IFERROR(IF(G389="","",CONCATENATE(E389,"-",INDEX(Coordinate,MATCH(F389,ListAndConversion!$X$4:$X$99,0),2))),"")</f>
        <v/>
      </c>
      <c r="D389" s="408" t="str">
        <f t="shared" ca="1" si="221"/>
        <v/>
      </c>
      <c r="E389" s="408" t="str">
        <f t="shared" ca="1" si="221"/>
        <v/>
      </c>
      <c r="F389" s="408" t="str">
        <f t="shared" ca="1" si="221"/>
        <v/>
      </c>
      <c r="G389" s="408" t="str">
        <f ca="1">IFERROR(INDEX(ListAndConversion!A:B,MATCH(Calculation!E389,ListAndConversion!A:A,0),2),"")</f>
        <v/>
      </c>
      <c r="H389" s="408" t="str">
        <f>IF(TrackIT_Lines!AD381="","",TrackIT_Lines!AD381)</f>
        <v/>
      </c>
      <c r="I389" s="408" t="str">
        <f>IF(TrackIT_Lines!AD381="","",CONCATENATE(TrackIT_Lines!AD381,"-",TrackIT_Lines!AG381))</f>
        <v/>
      </c>
      <c r="J389" s="409" t="str">
        <f t="shared" ca="1" si="225"/>
        <v/>
      </c>
      <c r="K389" s="408" t="str">
        <f t="shared" ca="1" si="225"/>
        <v/>
      </c>
      <c r="L389" s="408" t="str">
        <f t="shared" ca="1" si="225"/>
        <v/>
      </c>
      <c r="M389" s="408" t="str">
        <f t="shared" ca="1" si="225"/>
        <v/>
      </c>
      <c r="N389" s="408" t="str">
        <f t="shared" ca="1" si="225"/>
        <v/>
      </c>
      <c r="O389" s="408" t="str">
        <f t="shared" ca="1" si="225"/>
        <v/>
      </c>
      <c r="P389" s="408" t="str">
        <f t="shared" ca="1" si="225"/>
        <v/>
      </c>
      <c r="Q389" s="408" t="str">
        <f t="shared" ca="1" si="225"/>
        <v/>
      </c>
      <c r="R389" s="410" t="str">
        <f ca="1">Cluster!J408</f>
        <v>Selection</v>
      </c>
      <c r="S389" s="411" t="str">
        <f t="shared" ca="1" si="194"/>
        <v>-</v>
      </c>
      <c r="T389" s="412" t="str">
        <f t="shared" ca="1" si="195"/>
        <v/>
      </c>
      <c r="U389" s="411" t="str">
        <f t="shared" ca="1" si="196"/>
        <v>-</v>
      </c>
      <c r="V389" s="411" t="str">
        <f t="shared" ca="1" si="197"/>
        <v>-</v>
      </c>
      <c r="W389" s="413">
        <f>Cluster!N408</f>
        <v>0</v>
      </c>
      <c r="X389" s="414" t="str">
        <f t="shared" ca="1" si="198"/>
        <v>-</v>
      </c>
      <c r="Y389" s="411" t="str">
        <f t="shared" ca="1" si="199"/>
        <v>-</v>
      </c>
      <c r="Z389" s="415" t="str">
        <f t="shared" ca="1" si="200"/>
        <v>-</v>
      </c>
      <c r="AA389" s="416" t="str">
        <f t="shared" ca="1" si="201"/>
        <v>-</v>
      </c>
      <c r="AB389" s="416" t="str">
        <f t="shared" ca="1" si="202"/>
        <v/>
      </c>
      <c r="AC389" s="434">
        <f>Cluster!Q408</f>
        <v>0</v>
      </c>
      <c r="AD389" s="435" t="str">
        <f t="shared" ca="1" si="223"/>
        <v/>
      </c>
      <c r="AE389" s="436" t="str">
        <f t="shared" ca="1" si="223"/>
        <v/>
      </c>
      <c r="AF389" s="437" t="str">
        <f t="shared" ca="1" si="204"/>
        <v>-</v>
      </c>
      <c r="AG389" s="438" t="str">
        <f t="shared" ca="1" si="205"/>
        <v>-</v>
      </c>
      <c r="AH389" s="437" t="str">
        <f t="shared" ca="1" si="206"/>
        <v>-</v>
      </c>
      <c r="AI389" s="438" t="str">
        <f t="shared" ca="1" si="207"/>
        <v>-</v>
      </c>
      <c r="AJ389" s="438" t="str">
        <f t="shared" ca="1" si="208"/>
        <v>-</v>
      </c>
      <c r="AK389" s="439" t="str">
        <f ca="1">IFERROR(AE389*AD389*AL389/(IF(Cluster!AA408=Cluster!$W$8,Cluster!$W$10,IF(Cluster!AA408=Cluster!$X$8,Cluster!$X$10,IF(Cluster!AA408=Cluster!$Y$8,Cluster!$Y$10,0)))*10^3),"-")</f>
        <v>-</v>
      </c>
      <c r="AL389" s="440" t="str">
        <f ca="1">IFERROR(IF(OR(Calculation!T389&lt;(Calculation!$U$8+2),Calculation!AC389="Bypass"),IF((IF(Calculation!$O$6/((Calculation!AD389*10^-12)/(Calculation!T389*10^-9)*50)&lt;=1,1,ROUNDUP(Calculation!$O$6/((Calculation!AD389*10^-12)/(Calculation!T389*10^-9)*50),0))*50)&lt;Calculation!$AK$6,Calculation!$AK$6,IF(Calculation!$O$6/((Calculation!AD389*10^-12)/(Calculation!T389*10^-9)*50)&lt;=1,1,ROUNDUP(Calculation!$O$6/((Calculation!AD389*10^-12)/(Calculation!T389*10^-9)*50),0))*50),"-"),"-")</f>
        <v>-</v>
      </c>
      <c r="AM389" s="441" t="str">
        <f t="shared" ca="1" si="224"/>
        <v/>
      </c>
      <c r="AN389" s="442" t="str">
        <f t="shared" ca="1" si="224"/>
        <v/>
      </c>
      <c r="AO389" s="432">
        <f t="shared" ca="1" si="210"/>
        <v>384</v>
      </c>
      <c r="AP389" s="427" t="str">
        <f t="shared" ca="1" si="211"/>
        <v>-</v>
      </c>
      <c r="AQ389" s="443" t="str">
        <f t="shared" ca="1" si="212"/>
        <v>-</v>
      </c>
      <c r="AR389" s="444" t="str">
        <f t="shared" ca="1" si="213"/>
        <v>-</v>
      </c>
      <c r="AS389" s="430" t="str">
        <f t="shared" ca="1" si="214"/>
        <v>-</v>
      </c>
    </row>
    <row r="390" spans="1:45" ht="14.25" x14ac:dyDescent="0.65">
      <c r="A390" s="407">
        <v>382</v>
      </c>
      <c r="B390" s="408" t="str">
        <f t="shared" ca="1" si="191"/>
        <v/>
      </c>
      <c r="C390" s="408" t="str">
        <f ca="1">IFERROR(IF(G390="","",CONCATENATE(E390,"-",INDEX(Coordinate,MATCH(F390,ListAndConversion!$X$4:$X$99,0),2))),"")</f>
        <v/>
      </c>
      <c r="D390" s="408" t="str">
        <f t="shared" ca="1" si="221"/>
        <v/>
      </c>
      <c r="E390" s="408" t="str">
        <f t="shared" ca="1" si="221"/>
        <v/>
      </c>
      <c r="F390" s="408" t="str">
        <f t="shared" ca="1" si="221"/>
        <v/>
      </c>
      <c r="G390" s="408" t="str">
        <f ca="1">IFERROR(INDEX(ListAndConversion!A:B,MATCH(Calculation!E390,ListAndConversion!A:A,0),2),"")</f>
        <v/>
      </c>
      <c r="H390" s="408" t="str">
        <f>IF(TrackIT_Lines!AD382="","",TrackIT_Lines!AD382)</f>
        <v/>
      </c>
      <c r="I390" s="408" t="str">
        <f>IF(TrackIT_Lines!AD382="","",CONCATENATE(TrackIT_Lines!AD382,"-",TrackIT_Lines!AG382))</f>
        <v/>
      </c>
      <c r="J390" s="409" t="str">
        <f t="shared" ca="1" si="225"/>
        <v/>
      </c>
      <c r="K390" s="408" t="str">
        <f t="shared" ca="1" si="225"/>
        <v/>
      </c>
      <c r="L390" s="408" t="str">
        <f t="shared" ca="1" si="225"/>
        <v/>
      </c>
      <c r="M390" s="408" t="str">
        <f t="shared" ca="1" si="225"/>
        <v/>
      </c>
      <c r="N390" s="408" t="str">
        <f t="shared" ca="1" si="225"/>
        <v/>
      </c>
      <c r="O390" s="408" t="str">
        <f t="shared" ca="1" si="225"/>
        <v/>
      </c>
      <c r="P390" s="408" t="str">
        <f t="shared" ca="1" si="225"/>
        <v/>
      </c>
      <c r="Q390" s="408" t="str">
        <f t="shared" ca="1" si="225"/>
        <v/>
      </c>
      <c r="R390" s="410" t="str">
        <f ca="1">Cluster!J409</f>
        <v>Selection</v>
      </c>
      <c r="S390" s="411" t="str">
        <f t="shared" ca="1" si="194"/>
        <v>-</v>
      </c>
      <c r="T390" s="412" t="str">
        <f t="shared" ca="1" si="195"/>
        <v/>
      </c>
      <c r="U390" s="411" t="str">
        <f t="shared" ca="1" si="196"/>
        <v>-</v>
      </c>
      <c r="V390" s="411" t="str">
        <f t="shared" ca="1" si="197"/>
        <v>-</v>
      </c>
      <c r="W390" s="413">
        <f>Cluster!N409</f>
        <v>0</v>
      </c>
      <c r="X390" s="414" t="str">
        <f t="shared" ca="1" si="198"/>
        <v>-</v>
      </c>
      <c r="Y390" s="411" t="str">
        <f t="shared" ca="1" si="199"/>
        <v>-</v>
      </c>
      <c r="Z390" s="415" t="str">
        <f t="shared" ca="1" si="200"/>
        <v>-</v>
      </c>
      <c r="AA390" s="416" t="str">
        <f t="shared" ca="1" si="201"/>
        <v>-</v>
      </c>
      <c r="AB390" s="416" t="str">
        <f t="shared" ca="1" si="202"/>
        <v/>
      </c>
      <c r="AC390" s="434">
        <f>Cluster!Q409</f>
        <v>0</v>
      </c>
      <c r="AD390" s="435" t="str">
        <f t="shared" ca="1" si="223"/>
        <v/>
      </c>
      <c r="AE390" s="436" t="str">
        <f t="shared" ca="1" si="223"/>
        <v/>
      </c>
      <c r="AF390" s="437" t="str">
        <f t="shared" ca="1" si="204"/>
        <v>-</v>
      </c>
      <c r="AG390" s="438" t="str">
        <f t="shared" ca="1" si="205"/>
        <v>-</v>
      </c>
      <c r="AH390" s="437" t="str">
        <f t="shared" ca="1" si="206"/>
        <v>-</v>
      </c>
      <c r="AI390" s="438" t="str">
        <f t="shared" ca="1" si="207"/>
        <v>-</v>
      </c>
      <c r="AJ390" s="438" t="str">
        <f t="shared" ca="1" si="208"/>
        <v>-</v>
      </c>
      <c r="AK390" s="439" t="str">
        <f ca="1">IFERROR(AE390*AD390*AL390/(IF(Cluster!AA409=Cluster!$W$8,Cluster!$W$10,IF(Cluster!AA409=Cluster!$X$8,Cluster!$X$10,IF(Cluster!AA409=Cluster!$Y$8,Cluster!$Y$10,0)))*10^3),"-")</f>
        <v>-</v>
      </c>
      <c r="AL390" s="440" t="str">
        <f ca="1">IFERROR(IF(OR(Calculation!T390&lt;(Calculation!$U$8+2),Calculation!AC390="Bypass"),IF((IF(Calculation!$O$6/((Calculation!AD390*10^-12)/(Calculation!T390*10^-9)*50)&lt;=1,1,ROUNDUP(Calculation!$O$6/((Calculation!AD390*10^-12)/(Calculation!T390*10^-9)*50),0))*50)&lt;Calculation!$AK$6,Calculation!$AK$6,IF(Calculation!$O$6/((Calculation!AD390*10^-12)/(Calculation!T390*10^-9)*50)&lt;=1,1,ROUNDUP(Calculation!$O$6/((Calculation!AD390*10^-12)/(Calculation!T390*10^-9)*50),0))*50),"-"),"-")</f>
        <v>-</v>
      </c>
      <c r="AM390" s="441" t="str">
        <f t="shared" ca="1" si="224"/>
        <v/>
      </c>
      <c r="AN390" s="442" t="str">
        <f t="shared" ca="1" si="224"/>
        <v/>
      </c>
      <c r="AO390" s="432">
        <f t="shared" ca="1" si="210"/>
        <v>384</v>
      </c>
      <c r="AP390" s="427" t="str">
        <f t="shared" ca="1" si="211"/>
        <v>-</v>
      </c>
      <c r="AQ390" s="443" t="str">
        <f t="shared" ca="1" si="212"/>
        <v>-</v>
      </c>
      <c r="AR390" s="444" t="str">
        <f t="shared" ca="1" si="213"/>
        <v>-</v>
      </c>
      <c r="AS390" s="430" t="str">
        <f t="shared" ca="1" si="214"/>
        <v>-</v>
      </c>
    </row>
    <row r="391" spans="1:45" ht="14.25" x14ac:dyDescent="0.65">
      <c r="A391" s="407">
        <v>383</v>
      </c>
      <c r="B391" s="408" t="str">
        <f t="shared" ca="1" si="191"/>
        <v/>
      </c>
      <c r="C391" s="408" t="str">
        <f ca="1">IFERROR(IF(G391="","",CONCATENATE(E391,"-",INDEX(Coordinate,MATCH(F391,ListAndConversion!$X$4:$X$99,0),2))),"")</f>
        <v/>
      </c>
      <c r="D391" s="408" t="str">
        <f t="shared" ca="1" si="221"/>
        <v/>
      </c>
      <c r="E391" s="408" t="str">
        <f t="shared" ca="1" si="221"/>
        <v/>
      </c>
      <c r="F391" s="408" t="str">
        <f t="shared" ca="1" si="221"/>
        <v/>
      </c>
      <c r="G391" s="408" t="str">
        <f ca="1">IFERROR(INDEX(ListAndConversion!A:B,MATCH(Calculation!E391,ListAndConversion!A:A,0),2),"")</f>
        <v/>
      </c>
      <c r="H391" s="408" t="str">
        <f>IF(TrackIT_Lines!AD383="","",TrackIT_Lines!AD383)</f>
        <v/>
      </c>
      <c r="I391" s="408" t="str">
        <f>IF(TrackIT_Lines!AD383="","",CONCATENATE(TrackIT_Lines!AD383,"-",TrackIT_Lines!AG383))</f>
        <v/>
      </c>
      <c r="J391" s="409" t="str">
        <f t="shared" ca="1" si="225"/>
        <v/>
      </c>
      <c r="K391" s="408" t="str">
        <f t="shared" ca="1" si="225"/>
        <v/>
      </c>
      <c r="L391" s="408" t="str">
        <f t="shared" ca="1" si="225"/>
        <v/>
      </c>
      <c r="M391" s="408" t="str">
        <f t="shared" ca="1" si="225"/>
        <v/>
      </c>
      <c r="N391" s="408" t="str">
        <f t="shared" ca="1" si="225"/>
        <v/>
      </c>
      <c r="O391" s="408" t="str">
        <f t="shared" ca="1" si="225"/>
        <v/>
      </c>
      <c r="P391" s="408" t="str">
        <f t="shared" ca="1" si="225"/>
        <v/>
      </c>
      <c r="Q391" s="408" t="str">
        <f t="shared" ca="1" si="225"/>
        <v/>
      </c>
      <c r="R391" s="410" t="str">
        <f ca="1">Cluster!J410</f>
        <v>Selection</v>
      </c>
      <c r="S391" s="411" t="str">
        <f t="shared" ca="1" si="194"/>
        <v>-</v>
      </c>
      <c r="T391" s="412" t="str">
        <f t="shared" ca="1" si="195"/>
        <v/>
      </c>
      <c r="U391" s="411" t="str">
        <f t="shared" ca="1" si="196"/>
        <v>-</v>
      </c>
      <c r="V391" s="411" t="str">
        <f t="shared" ca="1" si="197"/>
        <v>-</v>
      </c>
      <c r="W391" s="413">
        <f>Cluster!N410</f>
        <v>0</v>
      </c>
      <c r="X391" s="414" t="str">
        <f t="shared" ca="1" si="198"/>
        <v>-</v>
      </c>
      <c r="Y391" s="411" t="str">
        <f t="shared" ca="1" si="199"/>
        <v>-</v>
      </c>
      <c r="Z391" s="415" t="str">
        <f t="shared" ca="1" si="200"/>
        <v>-</v>
      </c>
      <c r="AA391" s="416" t="str">
        <f t="shared" ca="1" si="201"/>
        <v>-</v>
      </c>
      <c r="AB391" s="416" t="str">
        <f t="shared" ca="1" si="202"/>
        <v/>
      </c>
      <c r="AC391" s="434">
        <f>Cluster!Q410</f>
        <v>0</v>
      </c>
      <c r="AD391" s="435" t="str">
        <f t="shared" ca="1" si="223"/>
        <v/>
      </c>
      <c r="AE391" s="436" t="str">
        <f t="shared" ca="1" si="223"/>
        <v/>
      </c>
      <c r="AF391" s="437" t="str">
        <f t="shared" ca="1" si="204"/>
        <v>-</v>
      </c>
      <c r="AG391" s="438" t="str">
        <f t="shared" ca="1" si="205"/>
        <v>-</v>
      </c>
      <c r="AH391" s="437" t="str">
        <f t="shared" ca="1" si="206"/>
        <v>-</v>
      </c>
      <c r="AI391" s="438" t="str">
        <f t="shared" ca="1" si="207"/>
        <v>-</v>
      </c>
      <c r="AJ391" s="438" t="str">
        <f t="shared" ca="1" si="208"/>
        <v>-</v>
      </c>
      <c r="AK391" s="439" t="str">
        <f ca="1">IFERROR(AE391*AD391*AL391/(IF(Cluster!AA410=Cluster!$W$8,Cluster!$W$10,IF(Cluster!AA410=Cluster!$X$8,Cluster!$X$10,IF(Cluster!AA410=Cluster!$Y$8,Cluster!$Y$10,0)))*10^3),"-")</f>
        <v>-</v>
      </c>
      <c r="AL391" s="440" t="str">
        <f ca="1">IFERROR(IF(OR(Calculation!T391&lt;(Calculation!$U$8+2),Calculation!AC391="Bypass"),IF((IF(Calculation!$O$6/((Calculation!AD391*10^-12)/(Calculation!T391*10^-9)*50)&lt;=1,1,ROUNDUP(Calculation!$O$6/((Calculation!AD391*10^-12)/(Calculation!T391*10^-9)*50),0))*50)&lt;Calculation!$AK$6,Calculation!$AK$6,IF(Calculation!$O$6/((Calculation!AD391*10^-12)/(Calculation!T391*10^-9)*50)&lt;=1,1,ROUNDUP(Calculation!$O$6/((Calculation!AD391*10^-12)/(Calculation!T391*10^-9)*50),0))*50),"-"),"-")</f>
        <v>-</v>
      </c>
      <c r="AM391" s="441" t="str">
        <f t="shared" ca="1" si="224"/>
        <v/>
      </c>
      <c r="AN391" s="442" t="str">
        <f t="shared" ca="1" si="224"/>
        <v/>
      </c>
      <c r="AO391" s="432">
        <f t="shared" ca="1" si="210"/>
        <v>384</v>
      </c>
      <c r="AP391" s="427" t="str">
        <f t="shared" ca="1" si="211"/>
        <v>-</v>
      </c>
      <c r="AQ391" s="443" t="str">
        <f t="shared" ca="1" si="212"/>
        <v>-</v>
      </c>
      <c r="AR391" s="444" t="str">
        <f t="shared" ca="1" si="213"/>
        <v>-</v>
      </c>
      <c r="AS391" s="430" t="str">
        <f t="shared" ca="1" si="214"/>
        <v>-</v>
      </c>
    </row>
    <row r="392" spans="1:45" ht="14.25" x14ac:dyDescent="0.65">
      <c r="A392" s="407">
        <v>384</v>
      </c>
      <c r="B392" s="408" t="str">
        <f t="shared" ca="1" si="191"/>
        <v/>
      </c>
      <c r="C392" s="408" t="str">
        <f ca="1">IFERROR(IF(G392="","",CONCATENATE(E392,"-",INDEX(Coordinate,MATCH(F392,ListAndConversion!$X$4:$X$99,0),2))),"")</f>
        <v/>
      </c>
      <c r="D392" s="408" t="str">
        <f t="shared" ca="1" si="221"/>
        <v/>
      </c>
      <c r="E392" s="408" t="str">
        <f t="shared" ca="1" si="221"/>
        <v/>
      </c>
      <c r="F392" s="408" t="str">
        <f t="shared" ca="1" si="221"/>
        <v/>
      </c>
      <c r="G392" s="408" t="str">
        <f ca="1">IFERROR(INDEX(ListAndConversion!A:B,MATCH(Calculation!E392,ListAndConversion!A:A,0),2),"")</f>
        <v/>
      </c>
      <c r="H392" s="408" t="str">
        <f>IF(TrackIT_Lines!AD384="","",TrackIT_Lines!AD384)</f>
        <v/>
      </c>
      <c r="I392" s="408" t="str">
        <f>IF(TrackIT_Lines!AD384="","",CONCATENATE(TrackIT_Lines!AD384,"-",TrackIT_Lines!AG384))</f>
        <v/>
      </c>
      <c r="J392" s="409" t="str">
        <f t="shared" ca="1" si="225"/>
        <v/>
      </c>
      <c r="K392" s="408" t="str">
        <f t="shared" ca="1" si="225"/>
        <v/>
      </c>
      <c r="L392" s="408" t="str">
        <f t="shared" ca="1" si="225"/>
        <v/>
      </c>
      <c r="M392" s="408" t="str">
        <f t="shared" ca="1" si="225"/>
        <v/>
      </c>
      <c r="N392" s="408" t="str">
        <f t="shared" ca="1" si="225"/>
        <v/>
      </c>
      <c r="O392" s="408" t="str">
        <f t="shared" ca="1" si="225"/>
        <v/>
      </c>
      <c r="P392" s="408" t="str">
        <f t="shared" ca="1" si="225"/>
        <v/>
      </c>
      <c r="Q392" s="408" t="str">
        <f t="shared" ca="1" si="225"/>
        <v/>
      </c>
      <c r="R392" s="410" t="str">
        <f ca="1">Cluster!J411</f>
        <v>Selection</v>
      </c>
      <c r="S392" s="411" t="str">
        <f t="shared" ca="1" si="194"/>
        <v>-</v>
      </c>
      <c r="T392" s="412" t="str">
        <f t="shared" ca="1" si="195"/>
        <v/>
      </c>
      <c r="U392" s="411" t="str">
        <f t="shared" ca="1" si="196"/>
        <v>-</v>
      </c>
      <c r="V392" s="411" t="str">
        <f t="shared" ca="1" si="197"/>
        <v>-</v>
      </c>
      <c r="W392" s="413">
        <f>Cluster!N411</f>
        <v>0</v>
      </c>
      <c r="X392" s="414" t="str">
        <f t="shared" ca="1" si="198"/>
        <v>-</v>
      </c>
      <c r="Y392" s="411" t="str">
        <f t="shared" ca="1" si="199"/>
        <v>-</v>
      </c>
      <c r="Z392" s="415" t="str">
        <f t="shared" ca="1" si="200"/>
        <v>-</v>
      </c>
      <c r="AA392" s="416" t="str">
        <f t="shared" ca="1" si="201"/>
        <v>-</v>
      </c>
      <c r="AB392" s="416" t="str">
        <f t="shared" ca="1" si="202"/>
        <v/>
      </c>
      <c r="AC392" s="434">
        <f>Cluster!Q411</f>
        <v>0</v>
      </c>
      <c r="AD392" s="435" t="str">
        <f t="shared" ca="1" si="223"/>
        <v/>
      </c>
      <c r="AE392" s="436" t="str">
        <f t="shared" ca="1" si="223"/>
        <v/>
      </c>
      <c r="AF392" s="437" t="str">
        <f t="shared" ca="1" si="204"/>
        <v>-</v>
      </c>
      <c r="AG392" s="438" t="str">
        <f t="shared" ca="1" si="205"/>
        <v>-</v>
      </c>
      <c r="AH392" s="437" t="str">
        <f t="shared" ca="1" si="206"/>
        <v>-</v>
      </c>
      <c r="AI392" s="438" t="str">
        <f t="shared" ca="1" si="207"/>
        <v>-</v>
      </c>
      <c r="AJ392" s="438" t="str">
        <f t="shared" ca="1" si="208"/>
        <v>-</v>
      </c>
      <c r="AK392" s="439" t="str">
        <f ca="1">IFERROR(AE392*AD392*AL392/(IF(Cluster!AA411=Cluster!$W$8,Cluster!$W$10,IF(Cluster!AA411=Cluster!$X$8,Cluster!$X$10,IF(Cluster!AA411=Cluster!$Y$8,Cluster!$Y$10,0)))*10^3),"-")</f>
        <v>-</v>
      </c>
      <c r="AL392" s="440" t="str">
        <f ca="1">IFERROR(IF(OR(Calculation!T392&lt;(Calculation!$U$8+2),Calculation!AC392="Bypass"),IF((IF(Calculation!$O$6/((Calculation!AD392*10^-12)/(Calculation!T392*10^-9)*50)&lt;=1,1,ROUNDUP(Calculation!$O$6/((Calculation!AD392*10^-12)/(Calculation!T392*10^-9)*50),0))*50)&lt;Calculation!$AK$6,Calculation!$AK$6,IF(Calculation!$O$6/((Calculation!AD392*10^-12)/(Calculation!T392*10^-9)*50)&lt;=1,1,ROUNDUP(Calculation!$O$6/((Calculation!AD392*10^-12)/(Calculation!T392*10^-9)*50),0))*50),"-"),"-")</f>
        <v>-</v>
      </c>
      <c r="AM392" s="441" t="str">
        <f t="shared" ca="1" si="224"/>
        <v/>
      </c>
      <c r="AN392" s="442" t="str">
        <f t="shared" ca="1" si="224"/>
        <v/>
      </c>
      <c r="AO392" s="432">
        <f t="shared" ca="1" si="210"/>
        <v>384</v>
      </c>
      <c r="AP392" s="427" t="str">
        <f t="shared" ca="1" si="211"/>
        <v>-</v>
      </c>
      <c r="AQ392" s="443" t="str">
        <f t="shared" ca="1" si="212"/>
        <v>-</v>
      </c>
      <c r="AR392" s="444" t="str">
        <f t="shared" ca="1" si="213"/>
        <v>-</v>
      </c>
      <c r="AS392" s="430" t="str">
        <f t="shared" ca="1" si="214"/>
        <v>-</v>
      </c>
    </row>
    <row r="393" spans="1:45" ht="14.25" x14ac:dyDescent="0.65">
      <c r="A393" s="407">
        <v>385</v>
      </c>
      <c r="B393" s="408" t="str">
        <f t="shared" ca="1" si="191"/>
        <v/>
      </c>
      <c r="C393" s="408" t="str">
        <f ca="1">IFERROR(IF(G393="","",CONCATENATE(E393,"-",INDEX(Coordinate,MATCH(F393,ListAndConversion!$X$4:$X$99,0),2))),"")</f>
        <v/>
      </c>
      <c r="D393" s="408" t="str">
        <f t="shared" ca="1" si="221"/>
        <v/>
      </c>
      <c r="E393" s="408" t="str">
        <f t="shared" ca="1" si="221"/>
        <v/>
      </c>
      <c r="F393" s="408" t="str">
        <f t="shared" ca="1" si="221"/>
        <v/>
      </c>
      <c r="G393" s="408" t="str">
        <f ca="1">IFERROR(INDEX(ListAndConversion!A:B,MATCH(Calculation!E393,ListAndConversion!A:A,0),2),"")</f>
        <v/>
      </c>
      <c r="H393" s="408" t="str">
        <f>IF(TrackIT_Lines!AD385="","",TrackIT_Lines!AD385)</f>
        <v/>
      </c>
      <c r="I393" s="408" t="str">
        <f>IF(TrackIT_Lines!AD385="","",CONCATENATE(TrackIT_Lines!AD385,"-",TrackIT_Lines!AG385))</f>
        <v/>
      </c>
      <c r="J393" s="409" t="str">
        <f t="shared" ca="1" si="225"/>
        <v/>
      </c>
      <c r="K393" s="408" t="str">
        <f t="shared" ca="1" si="225"/>
        <v/>
      </c>
      <c r="L393" s="408" t="str">
        <f t="shared" ca="1" si="225"/>
        <v/>
      </c>
      <c r="M393" s="408" t="str">
        <f t="shared" ca="1" si="225"/>
        <v/>
      </c>
      <c r="N393" s="408" t="str">
        <f t="shared" ca="1" si="225"/>
        <v/>
      </c>
      <c r="O393" s="408" t="str">
        <f t="shared" ca="1" si="225"/>
        <v/>
      </c>
      <c r="P393" s="408" t="str">
        <f t="shared" ca="1" si="225"/>
        <v/>
      </c>
      <c r="Q393" s="408" t="str">
        <f t="shared" ca="1" si="225"/>
        <v/>
      </c>
      <c r="R393" s="410" t="str">
        <f ca="1">Cluster!J412</f>
        <v>Selection</v>
      </c>
      <c r="S393" s="411" t="str">
        <f t="shared" ca="1" si="194"/>
        <v>-</v>
      </c>
      <c r="T393" s="412" t="str">
        <f t="shared" ca="1" si="195"/>
        <v/>
      </c>
      <c r="U393" s="411" t="str">
        <f t="shared" ca="1" si="196"/>
        <v>-</v>
      </c>
      <c r="V393" s="411" t="str">
        <f t="shared" ca="1" si="197"/>
        <v>-</v>
      </c>
      <c r="W393" s="413">
        <f>Cluster!N412</f>
        <v>0</v>
      </c>
      <c r="X393" s="414" t="str">
        <f t="shared" ca="1" si="198"/>
        <v>-</v>
      </c>
      <c r="Y393" s="411" t="str">
        <f t="shared" ca="1" si="199"/>
        <v>-</v>
      </c>
      <c r="Z393" s="415" t="str">
        <f t="shared" ca="1" si="200"/>
        <v>-</v>
      </c>
      <c r="AA393" s="416" t="str">
        <f t="shared" ca="1" si="201"/>
        <v>-</v>
      </c>
      <c r="AB393" s="416" t="str">
        <f t="shared" ca="1" si="202"/>
        <v/>
      </c>
      <c r="AC393" s="434">
        <f>Cluster!Q412</f>
        <v>0</v>
      </c>
      <c r="AD393" s="445" t="str">
        <f t="shared" ca="1" si="223"/>
        <v/>
      </c>
      <c r="AE393" s="446" t="str">
        <f t="shared" ca="1" si="223"/>
        <v/>
      </c>
      <c r="AF393" s="447" t="str">
        <f t="shared" ca="1" si="204"/>
        <v>-</v>
      </c>
      <c r="AG393" s="448" t="str">
        <f t="shared" ca="1" si="205"/>
        <v>-</v>
      </c>
      <c r="AH393" s="447" t="str">
        <f t="shared" ca="1" si="206"/>
        <v>-</v>
      </c>
      <c r="AI393" s="448" t="str">
        <f t="shared" ca="1" si="207"/>
        <v>-</v>
      </c>
      <c r="AJ393" s="448" t="str">
        <f t="shared" ca="1" si="208"/>
        <v>-</v>
      </c>
      <c r="AK393" s="449" t="str">
        <f ca="1">IFERROR(AE393*AD393*AL393/(IF(Cluster!AA412=Cluster!$W$8,Cluster!$W$10,IF(Cluster!AA412=Cluster!$X$8,Cluster!$X$10,IF(Cluster!AA412=Cluster!$Y$8,Cluster!$Y$10,0)))*10^3),"-")</f>
        <v>-</v>
      </c>
      <c r="AL393" s="450" t="str">
        <f ca="1">IFERROR(IF(OR(Calculation!T393&lt;(Calculation!$U$8+2),Calculation!AC393="Bypass"),IF((IF(Calculation!$O$6/((Calculation!AD393*10^-12)/(Calculation!T393*10^-9)*50)&lt;=1,1,ROUNDUP(Calculation!$O$6/((Calculation!AD393*10^-12)/(Calculation!T393*10^-9)*50),0))*50)&lt;Calculation!$AK$6,Calculation!$AK$6,IF(Calculation!$O$6/((Calculation!AD393*10^-12)/(Calculation!T393*10^-9)*50)&lt;=1,1,ROUNDUP(Calculation!$O$6/((Calculation!AD393*10^-12)/(Calculation!T393*10^-9)*50),0))*50),"-"),"-")</f>
        <v>-</v>
      </c>
      <c r="AM393" s="451" t="str">
        <f t="shared" ca="1" si="224"/>
        <v/>
      </c>
      <c r="AN393" s="452" t="str">
        <f t="shared" ca="1" si="224"/>
        <v/>
      </c>
      <c r="AO393" s="453">
        <f t="shared" ca="1" si="210"/>
        <v>384</v>
      </c>
      <c r="AP393" s="427" t="str">
        <f t="shared" ca="1" si="211"/>
        <v>-</v>
      </c>
      <c r="AQ393" s="454" t="str">
        <f t="shared" ca="1" si="212"/>
        <v>-</v>
      </c>
      <c r="AR393" s="455" t="str">
        <f t="shared" ca="1" si="213"/>
        <v>-</v>
      </c>
      <c r="AS393" s="430" t="str">
        <f t="shared" ca="1" si="214"/>
        <v>-</v>
      </c>
    </row>
    <row r="394" spans="1:45" ht="14.25" x14ac:dyDescent="0.65">
      <c r="B394" s="282"/>
      <c r="C394" s="408"/>
      <c r="D394" s="282"/>
      <c r="E394" s="282"/>
      <c r="F394" s="282"/>
      <c r="G394" s="282"/>
      <c r="H394" s="282"/>
      <c r="I394" s="282"/>
      <c r="J394" s="10"/>
      <c r="K394" s="282"/>
      <c r="L394" s="282"/>
      <c r="M394" s="282"/>
      <c r="N394" s="282"/>
      <c r="O394" s="282"/>
      <c r="P394" s="282"/>
      <c r="Q394" s="282"/>
      <c r="R394" s="282"/>
      <c r="S394" s="411" t="str">
        <f t="shared" ref="S394" si="226">IFERROR(HLOOKUP(R394,$L$9:$Q$393,$A394,0),"-")</f>
        <v>-</v>
      </c>
      <c r="T394" s="412" t="str">
        <f t="shared" si="195"/>
        <v/>
      </c>
      <c r="U394" s="411" t="str">
        <f t="shared" ref="U394" si="227">IFERROR(IF(AND(T394&gt;($U$8+2),T394&lt;=($X$8+400),W394=0,AC394=0),ROUNDUP($O$6/($U$8*$U$6/T394),0)*($U$8*$U$6/T394),"-"),"-")</f>
        <v>-</v>
      </c>
      <c r="V394" s="411" t="str">
        <f t="shared" ref="V394" si="228">IFERROR(IF(AND(T394&gt;=($U$8+2),T394&lt;=($X$8+400), W394=0, AC394=0),ROUNDUP($O$6/($U$8*$U$6/T394),0)*($U$6-($U$8*$U$6/T394)),"-"),"-")</f>
        <v>-</v>
      </c>
      <c r="W394" s="282"/>
      <c r="X394" s="414" t="str">
        <f t="shared" ref="X394" si="229">IFERROR(IF(AND(AC394=0,OR(W394="Bypass",OR(T394&gt;($X$8+400)))),ROUNDUP($O$6/($X$8*$X$6/T394),0)*($X$8*$X$6/T394),"-"),"-")</f>
        <v>-</v>
      </c>
      <c r="Y394" s="411" t="str">
        <f t="shared" si="199"/>
        <v>-</v>
      </c>
      <c r="Z394" s="415" t="str">
        <f t="shared" si="200"/>
        <v>-</v>
      </c>
      <c r="AA394" s="416" t="str">
        <f t="shared" si="201"/>
        <v>-</v>
      </c>
      <c r="AB394" s="416" t="str">
        <f t="shared" si="202"/>
        <v/>
      </c>
      <c r="AC394" s="282"/>
      <c r="AD394" s="10"/>
      <c r="AE394" s="456"/>
      <c r="AF394" s="457" t="str">
        <f t="shared" ref="AF394" si="230">IFERROR(AL394*((AD394*10^-12-AD394*10^-12*AE394)/(T394*10^-9)),"-")</f>
        <v>-</v>
      </c>
      <c r="AG394" s="458" t="str">
        <f t="shared" si="205"/>
        <v>-</v>
      </c>
      <c r="AH394" s="458" t="str">
        <f>IFERROR(IF((AG394*$AG$6/0.05)-SUM(AF394:AG394)&gt;0,(AG394*$AG$6/0.05)-SUM(AF394:AG394),0),"-")</f>
        <v>-</v>
      </c>
      <c r="AI394" s="458"/>
      <c r="AJ394" s="459"/>
      <c r="AK394" s="460" t="str">
        <f>IFERROR(AE394*AD394*AL394/(IF(Cluster!Z413=Cluster!$W$8,Cluster!$W$10,IF(Cluster!Z413=Cluster!$X$8,Cluster!$X$10,IF(Cluster!Z413=Cluster!$Y$8,Cluster!$Y$10,0)))*10^3),"-")</f>
        <v>-</v>
      </c>
      <c r="AL394" s="461" t="str">
        <f>IFERROR(IF(OR(Calculation!T394&lt;(Calculation!$U$8+2),Calculation!AC394="Bypass"),IF((IF(Calculation!$O$6/((Calculation!AD394*10^-12)/(Calculation!T394*10^-9)*50)&lt;=1,1,ROUNDUP(Calculation!$O$6/((Calculation!AD394*10^-12)/(Calculation!T394*10^-9)*50),0))*50)&lt;Calculation!$AK$6,Calculation!$AK$6,IF(Calculation!$O$6/((Calculation!AD394*10^-12)/(Calculation!T394*10^-9)*50)&lt;=1,1,ROUNDUP(Calculation!$O$6/((Calculation!AD394*10^-12)/(Calculation!T394*10^-9)*50),0))*50),"-"),"-")</f>
        <v>-</v>
      </c>
      <c r="AM394" s="282"/>
      <c r="AN394" s="282"/>
      <c r="AO394" s="282"/>
      <c r="AP394" s="427" t="str">
        <f t="shared" si="211"/>
        <v>-</v>
      </c>
      <c r="AQ394" s="282"/>
      <c r="AR394" s="282"/>
      <c r="AS394" s="430" t="str">
        <f t="shared" ref="AS394" si="231">IF(AND(AR394&lt;1,AL394="-",COUNTIFS($I$10:$I$393,I394,Direct_Denaturation,"-")&gt;1),C394,"-")</f>
        <v>-</v>
      </c>
    </row>
  </sheetData>
  <mergeCells count="12">
    <mergeCell ref="Q6:R6"/>
    <mergeCell ref="X7:AA7"/>
    <mergeCell ref="E4:E5"/>
    <mergeCell ref="H4:H5"/>
    <mergeCell ref="I4:I5"/>
    <mergeCell ref="O4:P5"/>
    <mergeCell ref="Q4:R5"/>
    <mergeCell ref="AD8:AK8"/>
    <mergeCell ref="AW8:BB8"/>
    <mergeCell ref="U4:V5"/>
    <mergeCell ref="X4:Y5"/>
    <mergeCell ref="Z4:AA5"/>
  </mergeCells>
  <conditionalFormatting sqref="T10:T394">
    <cfRule type="cellIs" dxfId="8" priority="2" operator="lessThan">
      <formula>3</formula>
    </cfRule>
  </conditionalFormatting>
  <conditionalFormatting sqref="AC10:AC393">
    <cfRule type="containsText" dxfId="7" priority="4" operator="containsText" text="Bypass"/>
  </conditionalFormatting>
  <conditionalFormatting sqref="E6">
    <cfRule type="cellIs" dxfId="6" priority="5" operator="greaterThan">
      <formula>10</formula>
    </cfRule>
  </conditionalFormatting>
  <conditionalFormatting sqref="H6:J6">
    <cfRule type="cellIs" dxfId="5" priority="6" operator="greaterThan">
      <formula>96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88"/>
  <sheetViews>
    <sheetView zoomScale="85" zoomScaleNormal="85" workbookViewId="0">
      <pane ySplit="3" topLeftCell="A4" activePane="bottomLeft" state="frozen"/>
      <selection pane="bottomLeft" sqref="A1:B1"/>
    </sheetView>
  </sheetViews>
  <sheetFormatPr defaultRowHeight="12.5" x14ac:dyDescent="0.5"/>
  <cols>
    <col min="1" max="1" width="21.453125"/>
    <col min="2" max="2" width="8.6328125"/>
    <col min="3" max="3" width="4.453125"/>
    <col min="4" max="4" width="6.86328125"/>
    <col min="5" max="5" width="27.1328125" style="338"/>
    <col min="6" max="6" width="9.04296875" style="9"/>
    <col min="7" max="7" width="9.7265625" style="9"/>
    <col min="8" max="13" width="9.04296875" style="9"/>
    <col min="14" max="14" width="9.58984375"/>
    <col min="15" max="15" width="10.54296875"/>
    <col min="16" max="16" width="17.6796875" style="9"/>
    <col min="17" max="17" width="10.81640625" style="9"/>
    <col min="18" max="18" width="9.453125" style="9"/>
    <col min="19" max="19" width="25.2265625" style="9"/>
    <col min="20" max="20" width="7" style="9"/>
    <col min="21" max="21" width="16.453125" style="9"/>
    <col min="22" max="22" width="3.08984375"/>
    <col min="23" max="24" width="11.31640625"/>
    <col min="25" max="25" width="5.26953125"/>
    <col min="26" max="26" width="15.5"/>
    <col min="27" max="27" width="12.953125"/>
    <col min="28" max="28" width="17.6796875"/>
    <col min="29" max="29" width="14.7265625"/>
    <col min="30" max="30" width="11.453125" style="9"/>
    <col min="31" max="31" width="10.81640625"/>
    <col min="32" max="32" width="17.6796875"/>
    <col min="33" max="33" width="12.40625"/>
    <col min="34" max="34" width="6.7265625"/>
    <col min="35" max="35" width="4.04296875"/>
    <col min="36" max="36" width="11.31640625"/>
    <col min="37" max="37" width="16.31640625" style="9"/>
    <col min="38" max="38" width="24.81640625" style="9"/>
    <col min="39" max="39" width="13.90625" style="9"/>
    <col min="40" max="40" width="17.6796875" style="9"/>
    <col min="41" max="41" width="14.7265625" style="9"/>
    <col min="42" max="42" width="11.453125" style="9"/>
    <col min="43" max="43" width="10.81640625"/>
    <col min="44" max="44" width="13.5"/>
    <col min="45" max="45" width="4.04296875"/>
    <col min="46" max="46" width="11.31640625"/>
    <col min="47" max="48" width="16.31640625"/>
    <col min="49" max="49" width="13.90625" style="9"/>
    <col min="50" max="50" width="17.6796875" style="9"/>
    <col min="51" max="51" width="14.7265625" style="9"/>
    <col min="52" max="53" width="13.5" style="9"/>
    <col min="54" max="55" width="11.1796875"/>
    <col min="56" max="56" width="12.953125"/>
    <col min="57" max="57" width="10.26953125"/>
    <col min="58" max="58" width="11.1796875"/>
    <col min="59" max="59" width="13.5"/>
    <col min="60" max="60" width="8.5"/>
    <col min="61" max="61" width="28.6328125"/>
    <col min="62" max="62" width="19.1796875"/>
    <col min="63" max="63" width="11.31640625" style="9"/>
    <col min="64" max="64" width="16.31640625" style="9"/>
    <col min="65" max="65" width="15.5" style="9"/>
    <col min="66" max="66" width="26.04296875" style="9"/>
    <col min="67" max="67" width="14.7265625" style="9"/>
    <col min="68" max="68" width="17.6796875" style="9"/>
    <col min="69" max="69" width="14.7265625" style="9"/>
    <col min="70" max="70" width="11.453125" style="9"/>
    <col min="71" max="71" width="13.76953125"/>
    <col min="72" max="72" width="12.26953125" style="9"/>
    <col min="73" max="73" width="16.31640625" style="9"/>
    <col min="74" max="74" width="22.953125"/>
    <col min="75" max="75" width="21.7265625"/>
    <col min="76" max="76" width="14.7265625"/>
    <col min="77" max="77" width="11.453125"/>
    <col min="78" max="78" width="12.81640625"/>
    <col min="79" max="79" width="14.1796875"/>
    <col min="80" max="80" width="22.953125"/>
    <col min="81" max="81" width="18.6328125" style="9"/>
    <col min="82" max="82" width="16.86328125" style="9"/>
    <col min="83" max="83" width="15.36328125" style="9"/>
    <col min="84" max="84" width="16.453125" style="9"/>
    <col min="85" max="85" width="18.2265625" style="9"/>
    <col min="86" max="86" width="12.26953125" style="9"/>
    <col min="87" max="87" width="14.453125"/>
    <col min="88" max="95" width="3.6328125"/>
    <col min="96" max="96" width="14.31640625"/>
    <col min="97" max="1025" width="11.1796875"/>
  </cols>
  <sheetData>
    <row r="1" spans="1:97" ht="14.25" x14ac:dyDescent="0.65">
      <c r="A1" s="631" t="s">
        <v>230</v>
      </c>
      <c r="B1" s="631"/>
      <c r="D1" s="632" t="s">
        <v>231</v>
      </c>
      <c r="E1" s="632"/>
      <c r="F1" s="632"/>
      <c r="G1" s="632"/>
      <c r="H1" s="632"/>
      <c r="I1" s="632"/>
      <c r="J1" s="632"/>
      <c r="K1" s="632"/>
      <c r="L1" s="632"/>
      <c r="M1" s="632"/>
      <c r="N1" s="632"/>
      <c r="O1" s="632"/>
      <c r="P1" s="632"/>
      <c r="Q1" s="463"/>
      <c r="R1" s="633" t="s">
        <v>232</v>
      </c>
      <c r="S1" s="633"/>
      <c r="T1" s="633"/>
      <c r="U1" s="633"/>
      <c r="V1" s="634" t="s">
        <v>233</v>
      </c>
      <c r="W1" s="634"/>
      <c r="X1" s="634"/>
      <c r="Y1" s="634"/>
      <c r="Z1" s="634"/>
      <c r="AA1" s="634"/>
      <c r="AB1" s="634"/>
      <c r="AC1" s="634"/>
      <c r="AD1" s="634"/>
      <c r="AE1" s="634"/>
      <c r="AF1" s="634"/>
      <c r="AG1" s="634"/>
      <c r="AI1" s="635" t="s">
        <v>234</v>
      </c>
      <c r="AJ1" s="635"/>
      <c r="AK1" s="635"/>
      <c r="AL1" s="635"/>
      <c r="AM1" s="635"/>
      <c r="AN1" s="635"/>
      <c r="AO1" s="635"/>
      <c r="AP1" s="635"/>
      <c r="AQ1" s="635"/>
      <c r="AR1" s="626" t="s">
        <v>235</v>
      </c>
      <c r="AS1" s="626"/>
      <c r="AT1" s="626"/>
      <c r="AU1" s="626"/>
      <c r="AV1" s="626"/>
      <c r="AW1" s="626"/>
      <c r="AX1" s="626"/>
      <c r="AY1" s="626"/>
      <c r="AZ1" s="626"/>
      <c r="BA1" s="626"/>
      <c r="BB1" s="626"/>
      <c r="BC1" s="626"/>
      <c r="BD1" s="626"/>
      <c r="BE1" s="627" t="s">
        <v>236</v>
      </c>
      <c r="BF1" s="627"/>
      <c r="BG1" s="627"/>
      <c r="BH1" s="627"/>
      <c r="BI1" s="627"/>
      <c r="BJ1" s="627"/>
      <c r="BK1" s="628" t="s">
        <v>237</v>
      </c>
      <c r="BL1" s="628"/>
      <c r="BM1" s="628"/>
      <c r="BN1" s="628"/>
      <c r="BO1" s="628"/>
      <c r="BP1" s="628"/>
      <c r="BQ1" s="628"/>
      <c r="BR1" s="628"/>
      <c r="BS1" s="464"/>
      <c r="BT1" s="629" t="s">
        <v>238</v>
      </c>
      <c r="BU1" s="629"/>
      <c r="BV1" s="629"/>
      <c r="BW1" s="629"/>
      <c r="BX1" s="629"/>
      <c r="BY1" s="629"/>
      <c r="BZ1" s="629"/>
      <c r="CA1" s="629"/>
      <c r="CB1" s="629"/>
      <c r="CC1" s="629"/>
      <c r="CD1" s="629"/>
      <c r="CE1" s="629"/>
      <c r="CF1" s="629"/>
      <c r="CG1" s="629"/>
      <c r="CH1" s="465"/>
      <c r="CI1" s="630" t="s">
        <v>239</v>
      </c>
      <c r="CJ1" s="630"/>
      <c r="CK1" s="630"/>
      <c r="CL1" s="630"/>
      <c r="CM1" s="630"/>
      <c r="CN1" s="630"/>
      <c r="CO1" s="630"/>
      <c r="CP1" s="630"/>
      <c r="CQ1" s="630"/>
      <c r="CR1" s="630"/>
      <c r="CS1" s="630"/>
    </row>
    <row r="2" spans="1:97" ht="14.25" x14ac:dyDescent="0.65">
      <c r="A2" s="466" t="s">
        <v>4</v>
      </c>
      <c r="B2" s="370" t="s">
        <v>240</v>
      </c>
      <c r="C2" s="281"/>
      <c r="D2" s="369" t="s">
        <v>241</v>
      </c>
      <c r="E2" s="467" t="s">
        <v>242</v>
      </c>
      <c r="F2" s="468">
        <v>1</v>
      </c>
      <c r="G2" s="468">
        <v>2</v>
      </c>
      <c r="H2" s="468">
        <v>3</v>
      </c>
      <c r="I2" s="468">
        <v>4</v>
      </c>
      <c r="J2" s="468">
        <v>5</v>
      </c>
      <c r="K2" s="468">
        <v>6</v>
      </c>
      <c r="L2" s="468">
        <v>7</v>
      </c>
      <c r="M2" s="468">
        <v>8</v>
      </c>
      <c r="N2" s="371" t="s">
        <v>243</v>
      </c>
      <c r="O2" s="371" t="s">
        <v>100</v>
      </c>
      <c r="P2" s="469" t="s">
        <v>244</v>
      </c>
      <c r="Q2" s="470"/>
      <c r="R2" s="462" t="s">
        <v>171</v>
      </c>
      <c r="S2" s="471" t="s">
        <v>245</v>
      </c>
      <c r="T2" s="471" t="s">
        <v>246</v>
      </c>
      <c r="U2" s="469" t="s">
        <v>247</v>
      </c>
      <c r="V2" s="369"/>
      <c r="W2" s="621" t="s">
        <v>248</v>
      </c>
      <c r="X2" s="621"/>
      <c r="Y2" s="621"/>
      <c r="Z2" s="468"/>
      <c r="AA2" s="472" t="s">
        <v>249</v>
      </c>
      <c r="AB2" s="473">
        <f ca="1">COUNTIF(Calculation!X10:X393,"&lt;&gt;-")</f>
        <v>0</v>
      </c>
      <c r="AC2" s="468"/>
      <c r="AD2" s="468"/>
      <c r="AE2" s="468"/>
      <c r="AF2" s="468"/>
      <c r="AG2" s="474"/>
      <c r="AH2" s="475"/>
      <c r="AI2" s="369"/>
      <c r="AJ2" s="621" t="s">
        <v>250</v>
      </c>
      <c r="AK2" s="621"/>
      <c r="AL2" s="468"/>
      <c r="AM2" s="472" t="s">
        <v>251</v>
      </c>
      <c r="AN2" s="473">
        <f ca="1">COUNTIF(Calculation!U10:U393,"&lt;&gt;-")</f>
        <v>0</v>
      </c>
      <c r="AO2" s="476"/>
      <c r="AP2" s="476"/>
      <c r="AQ2" s="477"/>
      <c r="AR2" s="623" t="s">
        <v>252</v>
      </c>
      <c r="AS2" s="623"/>
      <c r="AT2" s="623"/>
      <c r="AU2" s="623"/>
      <c r="AV2" s="465"/>
      <c r="AW2" s="478" t="s">
        <v>251</v>
      </c>
      <c r="AX2" s="479">
        <f ca="1">COUNTIF(Calculation!AL10:AL393,"&lt;&gt;-")</f>
        <v>0</v>
      </c>
      <c r="AY2" s="378"/>
      <c r="AZ2" s="378"/>
      <c r="BA2" s="378"/>
      <c r="BB2" s="365"/>
      <c r="BC2" s="480"/>
      <c r="BD2" s="481"/>
      <c r="BE2" s="462"/>
      <c r="BF2" s="468"/>
      <c r="BG2" s="482" t="s">
        <v>249</v>
      </c>
      <c r="BH2" s="483">
        <f>COUNTIF(BG4:BG99,"&lt;&gt;-")</f>
        <v>0</v>
      </c>
      <c r="BI2" s="484"/>
      <c r="BJ2" s="485"/>
      <c r="BK2" s="624" t="s">
        <v>253</v>
      </c>
      <c r="BL2" s="624"/>
      <c r="BM2" s="487"/>
      <c r="BN2" s="488" t="s">
        <v>254</v>
      </c>
      <c r="BO2" s="489">
        <f ca="1">COUNTIF(BM4:BM387,"&lt;&gt;-")</f>
        <v>0</v>
      </c>
      <c r="BP2" s="378"/>
      <c r="BQ2" s="378"/>
      <c r="BR2" s="378"/>
      <c r="BS2" s="387"/>
      <c r="BT2" s="625" t="s">
        <v>253</v>
      </c>
      <c r="BU2" s="625"/>
      <c r="BV2" s="115"/>
      <c r="BW2" s="491" t="s">
        <v>255</v>
      </c>
      <c r="BX2" s="492">
        <f ca="1">SUM(AB2,AN2,AX2)-BO2</f>
        <v>0</v>
      </c>
      <c r="BY2" s="373"/>
      <c r="BZ2" s="373"/>
      <c r="CA2" s="491" t="s">
        <v>256</v>
      </c>
      <c r="CB2" s="493"/>
      <c r="CC2" s="489">
        <f ca="1">COUNTIF(BW4:BW387,"&lt;&gt;-")</f>
        <v>0</v>
      </c>
      <c r="CD2" s="465"/>
      <c r="CE2"/>
      <c r="CF2" s="465"/>
      <c r="CG2" s="486"/>
      <c r="CH2" s="465"/>
      <c r="CI2" s="369"/>
      <c r="CJ2" s="621" t="s">
        <v>253</v>
      </c>
      <c r="CK2" s="621"/>
      <c r="CL2" s="621"/>
      <c r="CM2" s="621"/>
      <c r="CN2" s="621"/>
      <c r="CO2" s="621"/>
      <c r="CP2" s="621"/>
      <c r="CQ2" s="621"/>
      <c r="CR2" s="480"/>
      <c r="CS2" s="481"/>
    </row>
    <row r="3" spans="1:97" x14ac:dyDescent="0.5">
      <c r="A3" s="494" t="e">
        <f t="array" aca="1" ref="A3" ca="1">IF(IF((ROW(A3)-2)&lt;(Calculation!$E$6+1),INDEX(Plate_Barcode,MIN(IF(COUNTIF($A$2:A2,Plate_Barcode)=0,ROW(Plate_Barcode)-9))),"-")="","-",IF((ROW(A3)-2)&lt;(Calculation!$E$6+1),INDEX(Plate_Barcode,MIN(IF(COUNTIF($A$2:A2,Plate_Barcode)=0,ROW(Plate_Barcode)-9))),"-"))</f>
        <v>#DIV/0!</v>
      </c>
      <c r="B3" s="495" t="s">
        <v>257</v>
      </c>
      <c r="C3" s="282"/>
      <c r="D3" s="487" t="e">
        <f t="shared" ref="D3:D66" si="0">LEN(E3)</f>
        <v>#DIV/0!</v>
      </c>
      <c r="E3" s="496" t="e">
        <f t="array" ref="E3">IF(IF((ROW(E3)-3)&lt;(ListAndConversion!$A$15),INDEX(Flow_Cell_Lane,MIN(IF(COUNTIF($E$2:E2,Flow_Cell_Lane)=0,ROW(Flow_Cell_Lane)-9))),"-")="","-",IF((ROW(E3)-3)&lt;(ListAndConversion!$A$15),INDEX(Flow_Cell_Lane,MIN(IF(COUNTIF($E$2:E2,Flow_Cell_Lane)=0,ROW(Flow_Cell_Lane)-9))),"-"))</f>
        <v>#DIV/0!</v>
      </c>
      <c r="F3" s="378" t="e">
        <f t="shared" ref="F3:F66" si="1">IF(D3&gt;=8,LEFT(E3,8),"")</f>
        <v>#DIV/0!</v>
      </c>
      <c r="G3" s="378" t="e">
        <f t="shared" ref="G3:M12" si="2">IF($D3&gt;8,IF($D3&gt;=(8+G$2),CONCATENATE(LEFT($E3,7),RIGHT(LEFT($E3,8+G$2),1)),""),"")</f>
        <v>#DIV/0!</v>
      </c>
      <c r="H3" s="378" t="e">
        <f t="shared" si="2"/>
        <v>#DIV/0!</v>
      </c>
      <c r="I3" s="378" t="e">
        <f t="shared" si="2"/>
        <v>#DIV/0!</v>
      </c>
      <c r="J3" s="378" t="e">
        <f t="shared" si="2"/>
        <v>#DIV/0!</v>
      </c>
      <c r="K3" s="378" t="e">
        <f t="shared" si="2"/>
        <v>#DIV/0!</v>
      </c>
      <c r="L3" s="378" t="e">
        <f t="shared" si="2"/>
        <v>#DIV/0!</v>
      </c>
      <c r="M3" s="378" t="e">
        <f t="shared" si="2"/>
        <v>#DIV/0!</v>
      </c>
      <c r="N3" s="497" t="e">
        <f t="shared" ref="N3:N66" si="3">IF(E3="-","-",RIGHT(E3,D3-7))</f>
        <v>#DIV/0!</v>
      </c>
      <c r="O3" s="497" t="str">
        <f t="array" ref="O3">IFERROR(INDEX(Calculation!I:AN,MATCH(ListAndConversion!E3,Calculation!I:I,0),31),"-")</f>
        <v>-</v>
      </c>
      <c r="P3" s="498">
        <f>IF(COUNTIFS(Calculation!$I$10:$I$393,E3,Direct_Denaturation,"-")&lt;&gt;1,COUNTIFS(Calculation!$I$10:$I$393,E3,Direct_Denaturation,"-"),0)</f>
        <v>0</v>
      </c>
      <c r="Q3" s="378"/>
      <c r="R3" s="487" t="e">
        <f t="array" ref="R3">IF(IF((ROW(R3)-3)&lt;(Calculation!$H$6),INDEX(Flow_Cell,MIN(IF(COUNTIF($R$2:R2,Flow_Cell)=0,ROW(Flow_Cell)-9))),"-")="","-",IF((ROW(R3)-3)&lt;(Calculation!$H$6),INDEX(Flow_Cell,MIN(IF(COUNTIF($R$2:R2,Flow_Cell)=0,ROW(Flow_Cell)-9))),"-"))</f>
        <v>#DIV/0!</v>
      </c>
      <c r="S3" s="378" t="e">
        <f t="shared" ref="S3:S10" si="4">IF($R$3="-","-",CONCATENATE($R$3,"-",T3))</f>
        <v>#DIV/0!</v>
      </c>
      <c r="T3" s="378">
        <v>1</v>
      </c>
      <c r="U3" s="498">
        <v>1</v>
      </c>
      <c r="V3" s="478"/>
      <c r="W3" s="499" t="s">
        <v>258</v>
      </c>
      <c r="X3" s="622" t="s">
        <v>259</v>
      </c>
      <c r="Y3" s="622"/>
      <c r="Z3" s="499" t="s">
        <v>102</v>
      </c>
      <c r="AA3" s="493" t="s">
        <v>260</v>
      </c>
      <c r="AB3" s="499" t="s">
        <v>261</v>
      </c>
      <c r="AC3" s="500" t="s">
        <v>262</v>
      </c>
      <c r="AD3" s="500" t="s">
        <v>263</v>
      </c>
      <c r="AE3" s="500" t="s">
        <v>264</v>
      </c>
      <c r="AF3" s="500" t="s">
        <v>265</v>
      </c>
      <c r="AG3" s="501" t="s">
        <v>266</v>
      </c>
      <c r="AH3" s="502"/>
      <c r="AI3" s="478"/>
      <c r="AJ3" s="499" t="s">
        <v>258</v>
      </c>
      <c r="AK3" s="499" t="s">
        <v>259</v>
      </c>
      <c r="AL3" s="499" t="s">
        <v>102</v>
      </c>
      <c r="AM3" s="499" t="s">
        <v>260</v>
      </c>
      <c r="AN3" s="499" t="s">
        <v>261</v>
      </c>
      <c r="AO3" s="500" t="s">
        <v>262</v>
      </c>
      <c r="AP3" s="500" t="s">
        <v>267</v>
      </c>
      <c r="AQ3" s="501" t="s">
        <v>264</v>
      </c>
      <c r="AR3" s="478" t="s">
        <v>268</v>
      </c>
      <c r="AS3" s="499"/>
      <c r="AT3" s="499" t="s">
        <v>258</v>
      </c>
      <c r="AU3" s="489" t="s">
        <v>259</v>
      </c>
      <c r="AV3" s="465" t="s">
        <v>102</v>
      </c>
      <c r="AW3" s="465" t="s">
        <v>260</v>
      </c>
      <c r="AX3" s="465" t="s">
        <v>261</v>
      </c>
      <c r="AY3" s="503" t="s">
        <v>262</v>
      </c>
      <c r="AZ3" s="503" t="s">
        <v>267</v>
      </c>
      <c r="BA3" s="503" t="s">
        <v>264</v>
      </c>
      <c r="BB3" s="503" t="s">
        <v>269</v>
      </c>
      <c r="BC3" s="500" t="s">
        <v>270</v>
      </c>
      <c r="BD3" s="504" t="s">
        <v>271</v>
      </c>
      <c r="BE3" s="478" t="s">
        <v>272</v>
      </c>
      <c r="BF3" s="499" t="s">
        <v>273</v>
      </c>
      <c r="BG3" s="505" t="s">
        <v>0</v>
      </c>
      <c r="BH3" s="506" t="s">
        <v>274</v>
      </c>
      <c r="BI3" s="506" t="s">
        <v>275</v>
      </c>
      <c r="BJ3" s="507" t="s">
        <v>276</v>
      </c>
      <c r="BK3" s="499" t="s">
        <v>258</v>
      </c>
      <c r="BL3" s="489" t="s">
        <v>259</v>
      </c>
      <c r="BM3" s="478" t="s">
        <v>102</v>
      </c>
      <c r="BN3" s="499" t="s">
        <v>261</v>
      </c>
      <c r="BO3" s="500" t="s">
        <v>262</v>
      </c>
      <c r="BP3" s="506" t="s">
        <v>276</v>
      </c>
      <c r="BQ3" s="500" t="s">
        <v>277</v>
      </c>
      <c r="BR3" s="500" t="s">
        <v>267</v>
      </c>
      <c r="BS3" s="504" t="s">
        <v>271</v>
      </c>
      <c r="BT3" s="478" t="s">
        <v>258</v>
      </c>
      <c r="BU3" s="465" t="s">
        <v>259</v>
      </c>
      <c r="BV3" s="490" t="s">
        <v>102</v>
      </c>
      <c r="BW3" s="465" t="s">
        <v>261</v>
      </c>
      <c r="BX3" s="503" t="s">
        <v>262</v>
      </c>
      <c r="BY3" s="373" t="s">
        <v>267</v>
      </c>
      <c r="BZ3" s="373" t="s">
        <v>187</v>
      </c>
      <c r="CA3" s="373" t="s">
        <v>112</v>
      </c>
      <c r="CB3" s="373" t="s">
        <v>278</v>
      </c>
      <c r="CC3" s="465" t="s">
        <v>114</v>
      </c>
      <c r="CD3" s="465" t="s">
        <v>279</v>
      </c>
      <c r="CE3" s="465" t="s">
        <v>280</v>
      </c>
      <c r="CF3" s="465" t="s">
        <v>281</v>
      </c>
      <c r="CG3" s="486" t="s">
        <v>282</v>
      </c>
      <c r="CH3" s="465"/>
      <c r="CI3" s="491" t="s">
        <v>283</v>
      </c>
      <c r="CJ3" s="499">
        <v>1</v>
      </c>
      <c r="CK3" s="499">
        <v>2</v>
      </c>
      <c r="CL3" s="499">
        <v>3</v>
      </c>
      <c r="CM3" s="499">
        <v>4</v>
      </c>
      <c r="CN3" s="499">
        <v>5</v>
      </c>
      <c r="CO3" s="499">
        <v>6</v>
      </c>
      <c r="CP3" s="499">
        <v>7</v>
      </c>
      <c r="CQ3" s="499">
        <v>8</v>
      </c>
      <c r="CR3" s="499" t="s">
        <v>284</v>
      </c>
      <c r="CS3" s="489" t="s">
        <v>285</v>
      </c>
    </row>
    <row r="4" spans="1:97" x14ac:dyDescent="0.5">
      <c r="A4" s="494" t="e">
        <f t="array" aca="1" ref="A4" ca="1">IF(IF((ROW(A4)-2)&lt;(Calculation!$E$6+1),INDEX(Plate_Barcode,MIN(IF(COUNTIF($A$2:A3,Plate_Barcode)=0,ROW(Plate_Barcode)-9))),"-")="","-",IF((ROW(A4)-2)&lt;(Calculation!$E$6+1),INDEX(Plate_Barcode,MIN(IF(COUNTIF($A$2:A3,Plate_Barcode)=0,ROW(Plate_Barcode)-9))),"-"))</f>
        <v>#DIV/0!</v>
      </c>
      <c r="B4" s="495" t="s">
        <v>286</v>
      </c>
      <c r="C4" s="282"/>
      <c r="D4" s="487" t="e">
        <f t="shared" si="0"/>
        <v>#DIV/0!</v>
      </c>
      <c r="E4" s="496" t="e">
        <f t="array" ref="E4">IF(IF((ROW(E4)-3)&lt;(ListAndConversion!$A$15),INDEX(Flow_Cell_Lane,MIN(IF(COUNTIF($E$2:E3,Flow_Cell_Lane)=0,ROW(Flow_Cell_Lane)-9))),"-")="","-",IF((ROW(E4)-3)&lt;(ListAndConversion!$A$15),INDEX(Flow_Cell_Lane,MIN(IF(COUNTIF($E$2:E3,Flow_Cell_Lane)=0,ROW(Flow_Cell_Lane)-9))),"-"))</f>
        <v>#DIV/0!</v>
      </c>
      <c r="F4" s="378" t="e">
        <f t="shared" si="1"/>
        <v>#DIV/0!</v>
      </c>
      <c r="G4" s="378" t="e">
        <f t="shared" si="2"/>
        <v>#DIV/0!</v>
      </c>
      <c r="H4" s="378" t="e">
        <f t="shared" si="2"/>
        <v>#DIV/0!</v>
      </c>
      <c r="I4" s="378" t="e">
        <f t="shared" si="2"/>
        <v>#DIV/0!</v>
      </c>
      <c r="J4" s="378" t="e">
        <f t="shared" si="2"/>
        <v>#DIV/0!</v>
      </c>
      <c r="K4" s="378" t="e">
        <f t="shared" si="2"/>
        <v>#DIV/0!</v>
      </c>
      <c r="L4" s="378" t="e">
        <f t="shared" si="2"/>
        <v>#DIV/0!</v>
      </c>
      <c r="M4" s="378" t="e">
        <f t="shared" si="2"/>
        <v>#DIV/0!</v>
      </c>
      <c r="N4" s="497" t="e">
        <f t="shared" si="3"/>
        <v>#DIV/0!</v>
      </c>
      <c r="O4" s="497" t="str">
        <f t="array" ref="O4">IFERROR(INDEX(Calculation!I:AN,MATCH(ListAndConversion!E4,Calculation!I:I,0),31),"-")</f>
        <v>-</v>
      </c>
      <c r="P4" s="498">
        <f>IF(COUNTIFS(Calculation!$I$10:$I$393,E4,Direct_Denaturation,"-")&lt;&gt;1,COUNTIFS(Calculation!$I$10:$I$393,E4,Direct_Denaturation,"-"),0)</f>
        <v>0</v>
      </c>
      <c r="Q4" s="378"/>
      <c r="R4" s="487" t="e">
        <f t="array" ref="R4">IF(IF((ROW(R4)-3)&lt;(Calculation!$H$6),INDEX(Flow_Cell,MIN(IF(COUNTIF($R$2:R3,Flow_Cell)=0,ROW(Flow_Cell)-9))),"-")="","-",IF((ROW(R4)-3)&lt;(Calculation!$H$6),INDEX(Flow_Cell,MIN(IF(COUNTIF($R$2:R3,Flow_Cell)=0,ROW(Flow_Cell)-9))),"-"))</f>
        <v>#DIV/0!</v>
      </c>
      <c r="S4" s="378" t="e">
        <f t="shared" si="4"/>
        <v>#DIV/0!</v>
      </c>
      <c r="T4" s="378">
        <v>2</v>
      </c>
      <c r="U4" s="498">
        <v>2</v>
      </c>
      <c r="V4" s="487">
        <v>1</v>
      </c>
      <c r="W4" s="497" t="s">
        <v>287</v>
      </c>
      <c r="X4" s="497" t="s">
        <v>288</v>
      </c>
      <c r="Y4" s="378">
        <v>1</v>
      </c>
      <c r="Z4" s="378" t="str">
        <f t="shared" ref="Z4:Z35" ca="1" si="5">IF(AA4&lt;&gt;"-",CONCATENATE(AA4,"-",AC4),"-")</f>
        <v>-</v>
      </c>
      <c r="AA4" s="508" t="str">
        <f t="array" aca="1" ref="AA4" ca="1">IFERROR(INDEX(Calculation_Tab,SMALL(ROW(Sample_Intermediate_Dil)*(Sample_Intermediate_Dil&lt;&gt;"-"),COUNTIF(Sample_Intermediate_Dil,"-")+ROW()-3)-9,5),"-")</f>
        <v>-</v>
      </c>
      <c r="AB4" s="378" t="str">
        <f t="array" aca="1" ref="AB4" ca="1">IFERROR(INDEX($A$3:$B$12,MATCH(INDEX(Calculation_Tab,SMALL(ROW(Sample_Intermediate_Dil)*(Sample_Intermediate_Dil&lt;&gt;"-"),COUNTIF(Sample_Intermediate_Dil,"-")+ROW()-3)-9,5),$A$3:$A$12,0),2),"-")</f>
        <v>-</v>
      </c>
      <c r="AC4" s="509" t="str">
        <f t="array" aca="1" ref="AC4" ca="1">IFERROR(INDEX(Coordinate,MATCH(INDEX(Calculation_Tab,SMALL(ROW(Sample_Intermediate_Dil)*(Sample_Intermediate_Dil&lt;&gt;"-"),COUNTIF(Sample_Intermediate_Dil,"-")+ROW()-3)-9,6),$X$4:$X$99,0),2),"-")</f>
        <v>-</v>
      </c>
      <c r="AD4" s="510" t="str">
        <f t="array" aca="1" ref="AD4" ca="1">IFERROR(INDEX(Calculation_Tab,SMALL(ROW(Sample_Intermediate_Dil)*(Sample_Intermediate_Dil&lt;&gt;"-"),COUNTIF(Sample_Intermediate_Dil,"-")+ROW()-3)-9,24),"-")</f>
        <v>-</v>
      </c>
      <c r="AE4" s="510" t="str">
        <f t="array" aca="1" ref="AE4" ca="1">IFERROR(INDEX(Calculation_Tab,SMALL(ROW(Sample_Intermediate_Dil)*(Sample_Intermediate_Dil&lt;&gt;"-"),COUNTIF(Sample_Intermediate_Dil,"-")+ROW()-3)-9,25),"-")</f>
        <v>-</v>
      </c>
      <c r="AF4" s="510" t="str">
        <f t="array" aca="1" ref="AF4" ca="1">IFERROR(INDEX(Calculation_Tab,SMALL(ROW(Sample_Intermediate_Dil)*(Sample_Intermediate_Dil&lt;&gt;"-"),COUNTIF(Sample_Intermediate_Dil,"-")+ROW()-3)-9,26),"-")</f>
        <v>-</v>
      </c>
      <c r="AG4" s="511" t="str">
        <f t="array" aca="1" ref="AG4" ca="1">IFERROR(INDEX(Calculation_Tab,SMALL(ROW(Sample_Intermediate_Dil)*(Sample_Intermediate_Dil&lt;&gt;"-"),COUNTIF(Sample_Intermediate_Dil,"-")+ROW()-3)-9,27),"-")</f>
        <v>-</v>
      </c>
      <c r="AI4" s="487">
        <v>1</v>
      </c>
      <c r="AJ4" s="497" t="s">
        <v>160</v>
      </c>
      <c r="AK4" s="378">
        <v>1</v>
      </c>
      <c r="AL4" s="378" t="str">
        <f t="shared" ref="AL4:AL67" ca="1" si="6">IF(AM4&lt;&gt;"-",CONCATENATE(AM4,"-",AO4),"-")</f>
        <v>-</v>
      </c>
      <c r="AM4" s="378" t="str">
        <f t="array" aca="1" ref="AM4" ca="1">IFERROR(IF(AI4&lt;=$AB$2,"-",INDEX(Calculation_Tab,SMALL(ROW(Main_Dil)*(Main_Dil&lt;&gt;"-"),COUNTIF(Main_Dil,"-")+ROW()-3-$AB$2)-9,5)),"-")</f>
        <v>-</v>
      </c>
      <c r="AN4" s="378" t="str">
        <f t="array" aca="1" ref="AN4" ca="1">IFERROR(IF(AI4&lt;=$AB$2,"-",INDEX($A$3:$B$12,MATCH(INDEX(Calculation_Tab,SMALL(ROW(Main_Dil)*(Main_Dil&lt;&gt;"-"),COUNTIF(Main_Dil,"-")+ROW()-3-$AB$2)-9,5),$A$3:$A$12,0),2)),"-")</f>
        <v>-</v>
      </c>
      <c r="AO4" s="378" t="str">
        <f t="array" aca="1" ref="AO4" ca="1">IFERROR(IF(AI4&lt;=$AB$2,"-",INDEX(Coordinate,MATCH(INDEX(Calculation_Tab,SMALL(ROW(Main_Dil)*(Main_Dil&lt;&gt;"-"),COUNTIF(Main_Dil,"-")+ROW()-3-$AB$2)-9,6),$X$4:$X$99,0),2)),"-")</f>
        <v>-</v>
      </c>
      <c r="AP4" s="510" t="str">
        <f t="array" aca="1" ref="AP4" ca="1">IFERROR(IF(AI4&lt;=$AB$2,"-",INDEX(Calculation_Tab,SMALL(ROW(Main_Dil)*(Main_Dil&lt;&gt;"-"),COUNTIF(Main_Dil,"-")+ROW()-3-$AB$2)-9,21)),"-")</f>
        <v>-</v>
      </c>
      <c r="AQ4" s="511" t="str">
        <f t="array" aca="1" ref="AQ4" ca="1">IFERROR(IF(AI4&lt;=$AB$2,"-",INDEX(Calculation_Tab,SMALL(ROW(Main_Dil)*(Main_Dil&lt;&gt;"-"),COUNTIF(Main_Dil,"-")+ROW()-3-$AB$2)-9,22)),"-")</f>
        <v>-</v>
      </c>
      <c r="AR4" s="487" t="str">
        <f t="shared" ref="AR4:AR67" ca="1" si="7">IFERROR(INDEX(Calculation_Tab,MATCH(AV4,Identifier,0),9),"-")</f>
        <v>-</v>
      </c>
      <c r="AS4" s="378">
        <v>1</v>
      </c>
      <c r="AT4" s="497" t="s">
        <v>160</v>
      </c>
      <c r="AU4" s="498">
        <v>1</v>
      </c>
      <c r="AV4" s="476" t="str">
        <f t="shared" ref="AV4:AV67" ca="1" si="8">IF(AW4&lt;&gt;"-",CONCATENATE(AW4,"-",AY4),"-")</f>
        <v>-</v>
      </c>
      <c r="AW4" s="476" t="str">
        <f t="array" aca="1" ref="AW4" ca="1">IFERROR(IF(AS4&lt;=$AB$2+$AN$2,"-",INDEX(Calculation_Tab,SMALL(ROW(Direct_Denaturation)*(Direct_Denaturation&lt;&gt;"-"),COUNTIF(Direct_Denaturation,"-")+ROW()-3-$AB$2-$AN$2)-9,5)),"-")</f>
        <v>-</v>
      </c>
      <c r="AX4" s="476" t="str">
        <f t="array" aca="1" ref="AX4" ca="1">IFERROR(IF(AS4&lt;=$AB$2+$AN$2,"-",INDEX($A$3:$B$12,MATCH(INDEX(Calculation_Tab,SMALL(ROW(Direct_Denaturation)*(Direct_Denaturation&lt;&gt;"-"),COUNTIF(Direct_Denaturation,"-")+ROW()-3-$AB$2-$AN$2)-9,5),$A$3:$A$12,0),2)),"-")</f>
        <v>-</v>
      </c>
      <c r="AY4" s="476" t="str">
        <f t="array" aca="1" ref="AY4" ca="1">IFERROR(IF(AS4&lt;=$AB$2+$AN$2,"-",INDEX(Coordinate,MATCH(INDEX(Calculation_Tab,SMALL(ROW(Direct_Denaturation)*(Direct_Denaturation&lt;&gt;"-"),COUNTIF(Direct_Denaturation,"-")+ROW()-3-$AB$2-$AN$2)-9,6),$X$4:$X$99,0),2)),"-")</f>
        <v>-</v>
      </c>
      <c r="AZ4" s="512" t="str">
        <f t="array" aca="1" ref="AZ4" ca="1">IFERROR(IF(AS4&lt;=$AB$2+$AN$2,"-",INDEX(Calculation_Tab,SMALL(ROW(Direct_Denaturation)*(Direct_Denaturation&lt;&gt;"-"),COUNTIF(Direct_Denaturation,"-")+ROW()-3-$AB$2-$AN$2)-9,32)),"-")</f>
        <v>-</v>
      </c>
      <c r="BA4" s="512" t="str">
        <f t="array" aca="1" ref="BA4" ca="1">IFERROR(IF(AS4&lt;=$AB$2+$AN$2,"-",INDEX(Calculation_Tab,SMALL(ROW(Direct_Denaturation)*(Direct_Denaturation&lt;&gt;"-"),COUNTIF(Direct_Denaturation,"-")+ROW()-3-$AB$2-$AN$2)-9,34)),"-")</f>
        <v>-</v>
      </c>
      <c r="BB4" s="512" t="str">
        <f t="array" aca="1" ref="BB4" ca="1">IFERROR(IF(AS4&lt;=$AB$2+$AN$2,"-",INDEX(Calculation_Tab,SMALL(ROW(Direct_Denaturation)*(Direct_Denaturation&lt;&gt;"-"),COUNTIF(Direct_Denaturation,"-")+ROW()-3-$AB$2-$AN$2)-9,33)),"-")</f>
        <v>-</v>
      </c>
      <c r="BC4" s="512" t="str">
        <f t="array" aca="1" ref="BC4" ca="1">IFERROR(IF(AS4&lt;=$AB$2+$AN$2,"-",INDEX(Calculation_Tab,SMALL(ROW(Direct_Denaturation)*(Direct_Denaturation&lt;&gt;"-"),COUNTIF(Direct_Denaturation,"-")+ROW()-3-$AB$2-$AN$2)-9,35)),"-")</f>
        <v>-</v>
      </c>
      <c r="BD4" s="513" t="str">
        <f t="shared" ref="BD4:BD67" ca="1" si="9">IFERROR((INDEX(Calculation_Tab,MATCH($AV4,Identifier,0),10))/(IF(LEN(INDEX(Calculation_Tab,MATCH($AV4,Identifier,0),9))&gt;8,LEN(INDEX(Calculation_Tab,MATCH($AV4,Identifier,0),9))-8,1))*INDEX(Calculation_Tab,MATCH($AV4,Identifier,0),30),"-")</f>
        <v>-</v>
      </c>
      <c r="BE4" s="514" t="s">
        <v>289</v>
      </c>
      <c r="BF4" s="476">
        <v>1</v>
      </c>
      <c r="BG4" s="515" t="str">
        <f t="array" ref="BG4:BG99">IFERROR(INDEX($E$3:$P$387,SMALL(ROW($P$3:$P$387)*($P$3:$P$387&gt;1),COUNTIF($P$3:$P$387,"&lt;=1")+ROW()-3)-2,1),"-")</f>
        <v>-</v>
      </c>
      <c r="BH4" s="516" t="str">
        <f>IFERROR(IF((Calculation!$AR$6/INDEX(ListAndConversion!D:P,MATCH(BG4,E:E,0),13))&lt;Calculation!$O$6,INDEX(ListAndConversion!D:P,MATCH(BG4,E:E,0),13)*Calculation!$O$6,Calculation!$AR$6),"-")</f>
        <v>-</v>
      </c>
      <c r="BI4" s="517" t="str">
        <f t="shared" ref="BI4:BI35" si="10">IF(BG4="-","-",SUMIF($BQ$4:$BQ$387,BF4,$BS$4:$BS$387)+SUMIF($AR$4:$AR$387,BG4,$BD$4:$BD$387))</f>
        <v>-</v>
      </c>
      <c r="BJ4" s="518" t="str">
        <f t="shared" ref="BJ4:BJ35" si="11">IF(BG4="-","-",SUMIF($BQ$4:$BQ$387,BF4,$BP$4:$BP$387))</f>
        <v>-</v>
      </c>
      <c r="BK4" s="378" t="s">
        <v>158</v>
      </c>
      <c r="BL4" s="378">
        <v>1</v>
      </c>
      <c r="BM4" s="519" t="str">
        <f t="array" aca="1" ref="BM4" ca="1">IFERROR(INDEX(Calculation_Tab,SMALL(ROW(ToPool)*(ToPool&lt;&gt;"-"),COUNTIF(ToPool,"-")+ROW()-3)-9,3),"-")</f>
        <v>-</v>
      </c>
      <c r="BN4" s="476" t="str">
        <f t="shared" ref="BN4:BN67" ca="1" si="12">IF(BM4="-","-",IFERROR(IFERROR(INDEX(AI:AQ,MATCH(BM4,AL:AL,0),2),INDEX(V:AQ,MATCH(BM4,Z:Z,0),15)),"-"))</f>
        <v>-</v>
      </c>
      <c r="BO4" s="476" t="str">
        <f t="shared" ref="BO4:BO67" ca="1" si="13">IF(BM4="-","-",IFERROR(IFERROR(INDEX(AI:AQ,MATCH(BM4,AL:AL,0),3),INDEX(V:AQ,MATCH(BM4,Z:Z,0),16)),"-"))</f>
        <v>-</v>
      </c>
      <c r="BP4" s="520" t="str">
        <f t="shared" ref="BP4:BP67" ca="1" si="14">IFERROR((INDEX(Calculation_Tab,MATCH($BM4,Identifier,0),10))/(IF(LEN(INDEX(Calculation_Tab,MATCH($BM4,Identifier,0),9))&gt;8,LEN(INDEX(Calculation_Tab,MATCH($BM4,Identifier,0),9))-8,1)),"-")</f>
        <v>-</v>
      </c>
      <c r="BQ4" s="476" t="str">
        <f t="array" aca="1" ref="BQ4" ca="1">IFERROR(INDEX(BE:BG,MATCH(INDEX(Calculation_Tab,SMALL(ROW(ToPool)*(ToPool&lt;&gt;"-"),COUNTIF(ToPool,"-")+ROW()-3)-9,9),BG:BG,0),2),"-")</f>
        <v>-</v>
      </c>
      <c r="BR4" s="512" t="str">
        <f t="shared" ref="BR4:BR67" ca="1" si="15">IFERROR(BS4/SUMIF($BQ$4:$BQ$387,BQ4,$BS$4:$BS$387)*(INDEX($BE$1:$BH$99,MATCH(INDEX(Calculation_Tab,MATCH(BM4,Identifier,0),9),BG:BG,0),4)),"-")</f>
        <v>-</v>
      </c>
      <c r="BS4" s="513" t="str">
        <f t="shared" ref="BS4:BS67" ca="1" si="16">IFERROR((INDEX(Calculation_Tab,MATCH($BM4,Identifier,0),10))/(IF(LEN(INDEX(Calculation_Tab,MATCH($BM4,Identifier,0),9))&gt;8,LEN(INDEX(Calculation_Tab,MATCH($BM4,Identifier,0),9))-8,1))*INDEX(Calculation_Tab,MATCH($BM4,Identifier,0),30),"-")</f>
        <v>-</v>
      </c>
      <c r="BT4" s="476" t="s">
        <v>164</v>
      </c>
      <c r="BU4" s="519" t="str">
        <f ca="1">IF(BW4="-","-",IF(OR(LEFT(BW4,3)="Dil",LEFT(BW4,3)="Poo"),1,0))</f>
        <v>-</v>
      </c>
      <c r="BV4" s="519" t="str">
        <f t="array" aca="1" ref="BV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4" s="476" t="str">
        <f t="shared" ref="BW4:BW67" ca="1" si="17">IF($BV4="-","-",IFERROR(INDEX($AJ$4:$AL$387,MATCH($BV4,$AL$4:$AL$387,0),1),IFERROR(INDEX($Y$4:$AJ$99,MATCH($BV4,$Z$4:$Z$99,0),12),IFERROR(INDEX($AV$4:$AY$387,MATCH($BV4,$AV$4:$AV$387,0),3),IFERROR(INDEX($BE$4:$BK$99,MATCH($BV4,$BE$4:$BE$99,0),7),"-")))))</f>
        <v>-</v>
      </c>
      <c r="BX4" s="476" t="str">
        <f t="shared" ref="BX4:BX67" ca="1" si="18">IF($BV4="-","-",IFERROR(INDEX($AJ$4:$AL$387,MATCH($BV4,$AL$4:$AL$387,0),2),IFERROR(INDEX($Y$4:$AJ$99,MATCH($BV4,$Z$4:$Z$99,0),1),IFERROR(INDEX($AV$4:$AY$387,MATCH($BV4,$AV$4:$AV$387,0),4),IFERROR(INDEX($BE$4:$BK$99,MATCH($BV4,$BE$4:$BE$99,0),2),"-")))))</f>
        <v>-</v>
      </c>
      <c r="BY4" s="512" t="str">
        <f ca="1">IFERROR(ROUND(INDEX(Cluster,MATCH(IF(LEFT(BV4,4)="Pool",INDEX(Cluster,MATCH(INDEX(Calculation_Tab,MATCH(INDEX($BE$4:$BJ$99,MATCH(BV4,$BE$4:$BE$99,0),3),Flow_Cell_Lane,0),3),Cluster!$F$29:$F$412,0),6),BV4),Identifier_Cluster,0),19)*IF(LEFT(BV4,4)="pool",IF(LEN(INDEX($BE$4:$BJ$99,MATCH(BV4,$BE$4:$BE$99,0),3))=10,2,IF(LEN(INDEX($BE$4:$BJ$99,MATCH(BV4,$BE$4:$BE$99,0),3))&gt;10,LEN(INDEX($BE$4:$BJ$99,MATCH(BV4,$BE$4:$BE$99,0),3))-8,1)),1)*IF(LEFT(BV4,4)="pool",IF(INDEX($BE$4:$BJ$99,MATCH(BV4,$BE$4:$BE$99,0),6)&lt;1,1,INDEX($BE$4:$BJ$99,MATCH(BV4,$BE$4:$BE$99,0),6)),INDEX(Calculation_Tab,MATCH(BV4,Identifier,0),10)),1)*(1+Calculation!$Q$6),"-")</f>
        <v>-</v>
      </c>
      <c r="BZ4" s="476" t="str">
        <f ca="1">IFERROR((0.5/50)*CE4/Calculation!$AG$6*(IF(LEFT(BV4,4)="Pool",IF(LEN(INDEX($BE$4:$BJ$99,MATCH(BV4,$BE$4:$BE$99,0),3))=10,2,IF(LEN(INDEX($BE$4:$BJ$99,MATCH(BV4,$BE$4:$BE$99,0),3))&gt;10,LEN(INDEX($BE$4:$BJ$99,MATCH(BV4,$BE$4:$BE$99,0),3))-8,1)),IF(INDEX(Calculation_Tab,MATCH(BV4,Identifier,0),10)&gt;1,INDEX(Calculation_Tab,MATCH(BV4,Identifier,0),10),1)))*(1+Calculation!$Q$6),"-")</f>
        <v>-</v>
      </c>
      <c r="CA4" s="512" t="str">
        <f ca="1">IFERROR(IF((BZ4*Calculation!$AG$6/0.05)-SUM(BY4:BZ4,CC4)&gt;0,(BZ4*Calculation!$AG$6/0.05)-SUM(BY4:BZ4,CC4),0),"-")</f>
        <v>-</v>
      </c>
      <c r="CB4" s="512" t="str">
        <f ca="1">IFERROR(5/50*CE4*(IF(LEFT(BV4,4)="Pool",IF(LEN(INDEX($BE$4:$BJ$99,MATCH(BV4,$BE$4:$BE$99,0),3))=10,2,IF(LEN(INDEX($BE$4:$BJ$99,MATCH(BV4,$BE$4:$BE$99,0),3))&gt;10,LEN(INDEX($BE$4:$BJ$99,MATCH(BV4,$BE$4:$BE$99,0),3))-8,1)),IF(INDEX(Calculation_Tab,MATCH(BV4,Identifier,0),10)&gt;1,INDEX(Calculation_Tab,MATCH(BV4,Identifier,0),10),1)))*(1+Calculation!$Q$6),"-")</f>
        <v>-</v>
      </c>
      <c r="CC4" s="521" t="str">
        <f ca="1">IFERROR(ROUND(INDEX(Cluster,MATCH(IF(LEFT(BV4,4)="Pool",INDEX(Cluster,MATCH(INDEX(Calculation_Tab,MATCH(INDEX($BE$4:$BJ$99,MATCH(BV4,$BE$4:$BE$99,0),3),Flow_Cell_Lane,0),3),Cluster!$F$29:$F$412,0),6),BV4),Identifier_Cluster,0),20)*IF(LEFT(BV4,4)="pool",IF(LEN(INDEX($BE$4:$BJ$99,MATCH(BV4,$BE$4:$BE$99,0),3))=10,2,IF(LEN(INDEX($BE$4:$BJ$99,MATCH(BV4,$BE$4:$BE$99,0),3))&gt;10,LEN(INDEX($BE$4:$BJ$99,MATCH(BV4,$BE$4:$BE$99,0),3))-8,1)),1)*IF(LEFT(BV4,4)="pool",IF(INDEX($BE$4:$BJ$99,MATCH(BV4,$BE$4:$BE$99,0),6)&lt;1,1,INDEX($BE$4:$BJ$99,MATCH(BV4,$BE$4:$BE$99,0),6)),INDEX(Calculation_Tab,MATCH(BV4,Identifier,0),10)),1)*(1+Calculation!$Q$6),"-")</f>
        <v>-</v>
      </c>
      <c r="CD4" s="522" t="str">
        <f ca="1">IFERROR(INDEX(Cluster!AC:AD,MATCH(IF(LEFT(BV4,4)="Pool",INDEX(Cluster!$D$29:$AA$412,MATCH(INDEX(Calculation_Tab,MATCH(INDEX($BE$4:$BJ$99,MATCH(BV4,$BE$4:$BE$99,0),3),Flow_Cell_Lane,0),3),Cluster!$F$29:$F$412,0),24),INDEX(Cluster!$D$29:$AA$412,MATCH(BV4,Cluster!$F$29:$F$412,0),24)),Cluster!AC:AC,0),2),"-")</f>
        <v>-</v>
      </c>
      <c r="CE4" s="476" t="str">
        <f ca="1">IFERROR(IF(BV4&lt;&gt;"-",Calculation!$AK$6,"-"),"-")</f>
        <v>-</v>
      </c>
      <c r="CF4" s="476" t="str">
        <f ca="1">IF(OR(LEFT(ListAndConversion!BW4,3)="Dil",LEFT(ListAndConversion!BW4,3)="Poo"),ListAndConversion!$BT$4,IF(LEFT(ListAndConversion!BW4,3)="Sou",INDEX(ListAndConversion!$AT$3:$AV$387,MATCH(ListAndConversion!BV4,ListAndConversion!$AV$3:$AV$387,0),1),"-"))</f>
        <v>-</v>
      </c>
      <c r="CG4" s="477" t="str">
        <f ca="1">IF(OR(LEFT(ListAndConversion!BW4,3)="Dil",LEFT(ListAndConversion!BW4,3)="Poo"),ListAndConversion!BU4,IF(LEFT(ListAndConversion!BW4,3)="Sou",INDEX(ListAndConversion!$AT$4:$AV$387,MATCH(ListAndConversion!BV4,ListAndConversion!$AV$4:$AV$387,0),2),"-"))</f>
        <v>-</v>
      </c>
      <c r="CH4"/>
      <c r="CI4" s="487" t="str">
        <f t="shared" ref="CI4:CI67" ca="1" si="19">IFERROR(IF(LEFT(BV4,3)="poo",INDEX($BE$4:$BI$99,MATCH(BV4,$BE$4:$BE$99,0),3),INDEX(Calculation_Tab,MATCH(BV4,Identifier,0),9)),"-")</f>
        <v>-</v>
      </c>
      <c r="CJ4" s="378" t="str">
        <f t="shared" ref="CJ4:CQ13" ca="1" si="20">IFERROR(INDEX($R$3:$U$98,MATCH(INDEX($F$3:$M$387,MATCH($CI4,$E$3:$E$386,0),CJ$3),$S$3:$S$98,0),4),"-")</f>
        <v>-</v>
      </c>
      <c r="CK4" s="378" t="str">
        <f t="shared" ca="1" si="20"/>
        <v>-</v>
      </c>
      <c r="CL4" s="378" t="str">
        <f t="shared" ca="1" si="20"/>
        <v>-</v>
      </c>
      <c r="CM4" s="378" t="str">
        <f t="shared" ca="1" si="20"/>
        <v>-</v>
      </c>
      <c r="CN4" s="378" t="str">
        <f t="shared" ca="1" si="20"/>
        <v>-</v>
      </c>
      <c r="CO4" s="378" t="str">
        <f t="shared" ca="1" si="20"/>
        <v>-</v>
      </c>
      <c r="CP4" s="378" t="str">
        <f t="shared" ca="1" si="20"/>
        <v>-</v>
      </c>
      <c r="CQ4" s="378" t="str">
        <f t="shared" ca="1" si="20"/>
        <v>-</v>
      </c>
      <c r="CR4" s="510" t="str">
        <f ca="1">IFERROR(IF(LEFT(BW4,3)="Poo",INDEX($BE$4:$BJ$99,MATCH(CI4,$BG$4:$BG$99,0),6)*((15/50))*Calculation!$AK$6,INDEX(Calculation_Tab,MATCH(BV4,Identifier,0),10)/(IF(LEN(INDEX(Calculation_Tab,MATCH(BV4,Identifier,0),9))&gt;8,LEN(INDEX(Calculation_Tab,MATCH(BV4,Identifier,0),9))-8,1))*((15/50)*Calculation!$AK$6)),"-")</f>
        <v>-</v>
      </c>
      <c r="CS4" s="498" t="str">
        <f ca="1">IF(CI4="-","-",IF(COUNTIF($CI$3:CI4,CI4)&gt;1,0,IFERROR((35/50)*Calculation!$AK$6,"-")))</f>
        <v>-</v>
      </c>
    </row>
    <row r="5" spans="1:97" x14ac:dyDescent="0.5">
      <c r="A5" s="494" t="e">
        <f t="array" aca="1" ref="A5" ca="1">IF(IF((ROW(A5)-2)&lt;(Calculation!$E$6+1),INDEX(Plate_Barcode,MIN(IF(COUNTIF($A$2:A4,Plate_Barcode)=0,ROW(Plate_Barcode)-9))),"-")="","-",IF((ROW(A5)-2)&lt;(Calculation!$E$6+1),INDEX(Plate_Barcode,MIN(IF(COUNTIF($A$2:A4,Plate_Barcode)=0,ROW(Plate_Barcode)-9))),"-"))</f>
        <v>#DIV/0!</v>
      </c>
      <c r="B5" s="495" t="s">
        <v>290</v>
      </c>
      <c r="C5" s="282"/>
      <c r="D5" s="487" t="e">
        <f t="shared" si="0"/>
        <v>#DIV/0!</v>
      </c>
      <c r="E5" s="496" t="e">
        <f t="array" ref="E5">IF(IF((ROW(E5)-3)&lt;(ListAndConversion!$A$15),INDEX(Flow_Cell_Lane,MIN(IF(COUNTIF($E$2:E4,Flow_Cell_Lane)=0,ROW(Flow_Cell_Lane)-9))),"-")="","-",IF((ROW(E5)-3)&lt;(ListAndConversion!$A$15),INDEX(Flow_Cell_Lane,MIN(IF(COUNTIF($E$2:E4,Flow_Cell_Lane)=0,ROW(Flow_Cell_Lane)-9))),"-"))</f>
        <v>#DIV/0!</v>
      </c>
      <c r="F5" s="378" t="e">
        <f t="shared" si="1"/>
        <v>#DIV/0!</v>
      </c>
      <c r="G5" s="378" t="e">
        <f t="shared" si="2"/>
        <v>#DIV/0!</v>
      </c>
      <c r="H5" s="378" t="e">
        <f t="shared" si="2"/>
        <v>#DIV/0!</v>
      </c>
      <c r="I5" s="378" t="e">
        <f t="shared" si="2"/>
        <v>#DIV/0!</v>
      </c>
      <c r="J5" s="378" t="e">
        <f t="shared" si="2"/>
        <v>#DIV/0!</v>
      </c>
      <c r="K5" s="378" t="e">
        <f t="shared" si="2"/>
        <v>#DIV/0!</v>
      </c>
      <c r="L5" s="378" t="e">
        <f t="shared" si="2"/>
        <v>#DIV/0!</v>
      </c>
      <c r="M5" s="378" t="e">
        <f t="shared" si="2"/>
        <v>#DIV/0!</v>
      </c>
      <c r="N5" s="497" t="e">
        <f t="shared" si="3"/>
        <v>#DIV/0!</v>
      </c>
      <c r="O5" s="497" t="str">
        <f t="array" ref="O5">IFERROR(INDEX(Calculation!I:AN,MATCH(ListAndConversion!E5,Calculation!I:I,0),31),"-")</f>
        <v>-</v>
      </c>
      <c r="P5" s="498">
        <f>IF(COUNTIFS(Calculation!$I$10:$I$393,E5,Direct_Denaturation,"-")&lt;&gt;1,COUNTIFS(Calculation!$I$10:$I$393,E5,Direct_Denaturation,"-"),0)</f>
        <v>0</v>
      </c>
      <c r="Q5" s="378"/>
      <c r="R5" s="487" t="e">
        <f t="array" ref="R5">IF(IF((ROW(R5)-3)&lt;(Calculation!$H$6),INDEX(Flow_Cell,MIN(IF(COUNTIF($R$2:R4,Flow_Cell)=0,ROW(Flow_Cell)-9))),"-")="","-",IF((ROW(R5)-3)&lt;(Calculation!$H$6),INDEX(Flow_Cell,MIN(IF(COUNTIF($R$2:R4,Flow_Cell)=0,ROW(Flow_Cell)-9))),"-"))</f>
        <v>#DIV/0!</v>
      </c>
      <c r="S5" s="378" t="e">
        <f t="shared" si="4"/>
        <v>#DIV/0!</v>
      </c>
      <c r="T5" s="378">
        <v>3</v>
      </c>
      <c r="U5" s="498">
        <v>3</v>
      </c>
      <c r="V5" s="487">
        <v>2</v>
      </c>
      <c r="W5" s="497" t="s">
        <v>287</v>
      </c>
      <c r="X5" s="497" t="s">
        <v>21</v>
      </c>
      <c r="Y5" s="378">
        <v>2</v>
      </c>
      <c r="Z5" s="378" t="str">
        <f t="shared" ca="1" si="5"/>
        <v>-</v>
      </c>
      <c r="AA5" s="508" t="str">
        <f t="array" aca="1" ref="AA5" ca="1">IFERROR(INDEX(Calculation_Tab,SMALL(ROW(Sample_Intermediate_Dil)*(Sample_Intermediate_Dil&lt;&gt;"-"),COUNTIF(Sample_Intermediate_Dil,"-")+ROW()-3)-9,5),"-")</f>
        <v>-</v>
      </c>
      <c r="AB5" s="378" t="str">
        <f t="array" aca="1" ref="AB5" ca="1">IFERROR(INDEX($A$3:$B$12,MATCH(INDEX(Calculation_Tab,SMALL(ROW(Sample_Intermediate_Dil)*(Sample_Intermediate_Dil&lt;&gt;"-"),COUNTIF(Sample_Intermediate_Dil,"-")+ROW()-3)-9,5),$A$3:$A$12,0),2),"-")</f>
        <v>-</v>
      </c>
      <c r="AC5" s="509" t="str">
        <f t="array" aca="1" ref="AC5" ca="1">IFERROR(INDEX(Coordinate,MATCH(INDEX(Calculation_Tab,SMALL(ROW(Sample_Intermediate_Dil)*(Sample_Intermediate_Dil&lt;&gt;"-"),COUNTIF(Sample_Intermediate_Dil,"-")+ROW()-3)-9,6),$X$4:$X$99,0),2),"-")</f>
        <v>-</v>
      </c>
      <c r="AD5" s="510" t="str">
        <f t="array" aca="1" ref="AD5" ca="1">IFERROR(INDEX(Calculation_Tab,SMALL(ROW(Sample_Intermediate_Dil)*(Sample_Intermediate_Dil&lt;&gt;"-"),COUNTIF(Sample_Intermediate_Dil,"-")+ROW()-3)-9,24),"-")</f>
        <v>-</v>
      </c>
      <c r="AE5" s="510" t="str">
        <f t="array" aca="1" ref="AE5" ca="1">IFERROR(INDEX(Calculation_Tab,SMALL(ROW(Sample_Intermediate_Dil)*(Sample_Intermediate_Dil&lt;&gt;"-"),COUNTIF(Sample_Intermediate_Dil,"-")+ROW()-3)-9,25),"-")</f>
        <v>-</v>
      </c>
      <c r="AF5" s="510" t="str">
        <f t="array" aca="1" ref="AF5" ca="1">IFERROR(INDEX(Calculation_Tab,SMALL(ROW(Sample_Intermediate_Dil)*(Sample_Intermediate_Dil&lt;&gt;"-"),COUNTIF(Sample_Intermediate_Dil,"-")+ROW()-3)-9,26),"-")</f>
        <v>-</v>
      </c>
      <c r="AG5" s="511" t="str">
        <f t="array" aca="1" ref="AG5" ca="1">IFERROR(INDEX(Calculation_Tab,SMALL(ROW(Sample_Intermediate_Dil)*(Sample_Intermediate_Dil&lt;&gt;"-"),COUNTIF(Sample_Intermediate_Dil,"-")+ROW()-3)-9,27),"-")</f>
        <v>-</v>
      </c>
      <c r="AI5" s="487">
        <v>2</v>
      </c>
      <c r="AJ5" s="497" t="s">
        <v>160</v>
      </c>
      <c r="AK5" s="378">
        <v>2</v>
      </c>
      <c r="AL5" s="378" t="str">
        <f t="shared" ca="1" si="6"/>
        <v>-</v>
      </c>
      <c r="AM5" s="378" t="str">
        <f t="array" aca="1" ref="AM5" ca="1">IFERROR(IF(AI5&lt;=$AB$2,"-",INDEX(Calculation_Tab,SMALL(ROW(Main_Dil)*(Main_Dil&lt;&gt;"-"),COUNTIF(Main_Dil,"-")+ROW()-3-$AB$2)-9,5)),"-")</f>
        <v>-</v>
      </c>
      <c r="AN5" s="378" t="str">
        <f t="array" aca="1" ref="AN5" ca="1">IFERROR(IF(AI5&lt;=$AB$2,"-",INDEX($A$3:$B$12,MATCH(INDEX(Calculation_Tab,SMALL(ROW(Main_Dil)*(Main_Dil&lt;&gt;"-"),COUNTIF(Main_Dil,"-")+ROW()-3-$AB$2)-9,5),$A$3:$A$12,0),2)),"-")</f>
        <v>-</v>
      </c>
      <c r="AO5" s="378" t="str">
        <f t="array" aca="1" ref="AO5" ca="1">IFERROR(IF(AI5&lt;=$AB$2,"-",INDEX(Coordinate,MATCH(INDEX(Calculation_Tab,SMALL(ROW(Main_Dil)*(Main_Dil&lt;&gt;"-"),COUNTIF(Main_Dil,"-")+ROW()-3-$AB$2)-9,6),$X$4:$X$99,0),2)),"-")</f>
        <v>-</v>
      </c>
      <c r="AP5" s="510" t="str">
        <f t="array" aca="1" ref="AP5" ca="1">IFERROR(IF(AI5&lt;=$AB$2,"-",INDEX(Calculation_Tab,SMALL(ROW(Main_Dil)*(Main_Dil&lt;&gt;"-"),COUNTIF(Main_Dil,"-")+ROW()-3-$AB$2)-9,21)),"-")</f>
        <v>-</v>
      </c>
      <c r="AQ5" s="511" t="str">
        <f t="array" aca="1" ref="AQ5" ca="1">IFERROR(IF(AI5&lt;=$AB$2,"-",INDEX(Calculation_Tab,SMALL(ROW(Main_Dil)*(Main_Dil&lt;&gt;"-"),COUNTIF(Main_Dil,"-")+ROW()-3-$AB$2)-9,22)),"-")</f>
        <v>-</v>
      </c>
      <c r="AR5" s="487" t="str">
        <f t="shared" ca="1" si="7"/>
        <v>-</v>
      </c>
      <c r="AS5" s="378">
        <v>2</v>
      </c>
      <c r="AT5" s="497" t="s">
        <v>160</v>
      </c>
      <c r="AU5" s="498">
        <v>2</v>
      </c>
      <c r="AV5" s="378" t="str">
        <f t="shared" ca="1" si="8"/>
        <v>-</v>
      </c>
      <c r="AW5" s="378" t="str">
        <f t="array" aca="1" ref="AW5" ca="1">IFERROR(IF(AS5&lt;=$AB$2+$AN$2,"-",INDEX(Calculation_Tab,SMALL(ROW(Direct_Denaturation)*(Direct_Denaturation&lt;&gt;"-"),COUNTIF(Direct_Denaturation,"-")+ROW()-3-$AB$2-$AN$2)-9,5)),"-")</f>
        <v>-</v>
      </c>
      <c r="AX5" s="378" t="str">
        <f t="array" aca="1" ref="AX5" ca="1">IFERROR(IF(AS5&lt;=$AB$2+$AN$2,"-",INDEX($A$3:$B$12,MATCH(INDEX(Calculation_Tab,SMALL(ROW(Direct_Denaturation)*(Direct_Denaturation&lt;&gt;"-"),COUNTIF(Direct_Denaturation,"-")+ROW()-3-$AB$2-$AN$2)-9,5),$A$3:$A$12,0),2)),"-")</f>
        <v>-</v>
      </c>
      <c r="AY5" s="378" t="str">
        <f t="array" aca="1" ref="AY5" ca="1">IFERROR(IF(AS5&lt;=$AB$2+$AN$2,"-",INDEX(Coordinate,MATCH(INDEX(Calculation_Tab,SMALL(ROW(Direct_Denaturation)*(Direct_Denaturation&lt;&gt;"-"),COUNTIF(Direct_Denaturation,"-")+ROW()-3-$AB$2-$AN$2)-9,6),$X$4:$X$99,0),2)),"-")</f>
        <v>-</v>
      </c>
      <c r="AZ5" s="510" t="str">
        <f t="array" aca="1" ref="AZ5" ca="1">IFERROR(IF(AS5&lt;=$AB$2+$AN$2,"-",INDEX(Calculation_Tab,SMALL(ROW(Direct_Denaturation)*(Direct_Denaturation&lt;&gt;"-"),COUNTIF(Direct_Denaturation,"-")+ROW()-3-$AB$2-$AN$2)-9,32)),"-")</f>
        <v>-</v>
      </c>
      <c r="BA5" s="510" t="str">
        <f t="array" aca="1" ref="BA5" ca="1">IFERROR(IF(AS5&lt;=$AB$2+$AN$2,"-",INDEX(Calculation_Tab,SMALL(ROW(Direct_Denaturation)*(Direct_Denaturation&lt;&gt;"-"),COUNTIF(Direct_Denaturation,"-")+ROW()-3-$AB$2-$AN$2)-9,34)),"-")</f>
        <v>-</v>
      </c>
      <c r="BB5" s="510" t="str">
        <f t="array" aca="1" ref="BB5" ca="1">IFERROR(IF(AS5&lt;=$AB$2+$AN$2,"-",INDEX(Calculation_Tab,SMALL(ROW(Direct_Denaturation)*(Direct_Denaturation&lt;&gt;"-"),COUNTIF(Direct_Denaturation,"-")+ROW()-3-$AB$2-$AN$2)-9,33)),"-")</f>
        <v>-</v>
      </c>
      <c r="BC5" s="510" t="str">
        <f t="array" aca="1" ref="BC5" ca="1">IFERROR(IF(AS5&lt;=$AB$2+$AN$2,"-",INDEX(Calculation_Tab,SMALL(ROW(Direct_Denaturation)*(Direct_Denaturation&lt;&gt;"-"),COUNTIF(Direct_Denaturation,"-")+ROW()-3-$AB$2-$AN$2)-9,35)),"-")</f>
        <v>-</v>
      </c>
      <c r="BD5" s="511" t="str">
        <f t="shared" ca="1" si="9"/>
        <v>-</v>
      </c>
      <c r="BE5" s="494" t="s">
        <v>291</v>
      </c>
      <c r="BF5" s="378">
        <v>2</v>
      </c>
      <c r="BG5" s="515" t="str">
        <v>-</v>
      </c>
      <c r="BH5" s="516" t="str">
        <f>IFERROR(IF((Calculation!$AR$6/INDEX(ListAndConversion!D:P,MATCH(BG5,E:E,0),13))&lt;Calculation!$O$6,INDEX(ListAndConversion!D:P,MATCH(BG5,E:E,0),13)*Calculation!$O$6,Calculation!$AR$6),"-")</f>
        <v>-</v>
      </c>
      <c r="BI5" s="517" t="str">
        <f t="shared" si="10"/>
        <v>-</v>
      </c>
      <c r="BJ5" s="518" t="str">
        <f t="shared" si="11"/>
        <v>-</v>
      </c>
      <c r="BK5" s="378" t="s">
        <v>158</v>
      </c>
      <c r="BL5" s="378">
        <v>2</v>
      </c>
      <c r="BM5" s="487" t="str">
        <f t="array" aca="1" ref="BM5" ca="1">IFERROR(INDEX(Calculation_Tab,SMALL(ROW(ToPool)*(ToPool&lt;&gt;"-"),COUNTIF(ToPool,"-")+ROW()-3)-9,3),"-")</f>
        <v>-</v>
      </c>
      <c r="BN5" s="378" t="str">
        <f t="shared" ca="1" si="12"/>
        <v>-</v>
      </c>
      <c r="BO5" s="378" t="str">
        <f t="shared" ca="1" si="13"/>
        <v>-</v>
      </c>
      <c r="BP5" s="523" t="str">
        <f t="shared" ca="1" si="14"/>
        <v>-</v>
      </c>
      <c r="BQ5" s="378" t="str">
        <f t="array" aca="1" ref="BQ5" ca="1">IFERROR(INDEX(BE:BG,MATCH(INDEX(Calculation_Tab,SMALL(ROW(ToPool)*(ToPool&lt;&gt;"-"),COUNTIF(ToPool,"-")+ROW()-3)-9,9),BG:BG,0),2),"-")</f>
        <v>-</v>
      </c>
      <c r="BR5" s="510" t="str">
        <f t="shared" ca="1" si="15"/>
        <v>-</v>
      </c>
      <c r="BS5" s="511" t="str">
        <f t="shared" ca="1" si="16"/>
        <v>-</v>
      </c>
      <c r="BT5" s="378" t="s">
        <v>164</v>
      </c>
      <c r="BU5" s="487" t="str">
        <f t="shared" ref="BU5:BU68" ca="1" si="21">IF(BW5="-","-",IF(OR(LEFT(BW5,3)="Dil",LEFT(BW5,3)="Poo"),BU4+1,BU4))</f>
        <v>-</v>
      </c>
      <c r="BV5" s="487" t="str">
        <f t="array" aca="1" ref="BV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5" s="378" t="str">
        <f t="shared" ca="1" si="17"/>
        <v>-</v>
      </c>
      <c r="BX5" s="378" t="str">
        <f t="shared" ca="1" si="18"/>
        <v>-</v>
      </c>
      <c r="BY5" s="510" t="str">
        <f ca="1">IFERROR(ROUND(INDEX(Cluster,MATCH(IF(LEFT(BV5,4)="Pool",INDEX(Cluster,MATCH(INDEX(Calculation_Tab,MATCH(INDEX($BE$4:$BJ$99,MATCH(BV5,$BE$4:$BE$99,0),3),Flow_Cell_Lane,0),3),Cluster!$F$29:$F$412,0),6),BV5),Identifier_Cluster,0),19)*IF(LEFT(BV5,4)="pool",IF(LEN(INDEX($BE$4:$BJ$99,MATCH(BV5,$BE$4:$BE$99,0),3))=10,2,IF(LEN(INDEX($BE$4:$BJ$99,MATCH(BV5,$BE$4:$BE$99,0),3))&gt;10,LEN(INDEX($BE$4:$BJ$99,MATCH(BV5,$BE$4:$BE$99,0),3))-8,1)),1)*IF(LEFT(BV5,4)="pool",IF(INDEX($BE$4:$BJ$99,MATCH(BV5,$BE$4:$BE$99,0),6)&lt;1,1,INDEX($BE$4:$BJ$99,MATCH(BV5,$BE$4:$BE$99,0),6)),INDEX(Calculation_Tab,MATCH(BV5,Identifier,0),10)),1)*(1+Calculation!$Q$6),"-")</f>
        <v>-</v>
      </c>
      <c r="BZ5" s="378" t="str">
        <f ca="1">IFERROR((0.5/50)*CE5/Calculation!$AG$6*(IF(LEFT(BV5,4)="Pool",IF(LEN(INDEX($BE$4:$BJ$99,MATCH(BV5,$BE$4:$BE$99,0),3))=10,2,IF(LEN(INDEX($BE$4:$BJ$99,MATCH(BV5,$BE$4:$BE$99,0),3))&gt;10,LEN(INDEX($BE$4:$BJ$99,MATCH(BV5,$BE$4:$BE$99,0),3))-8,1)),IF(INDEX(Calculation_Tab,MATCH(BV5,Identifier,0),10)&gt;1,INDEX(Calculation_Tab,MATCH(BV5,Identifier,0),10),1)))*(1+Calculation!$Q$6),"-")</f>
        <v>-</v>
      </c>
      <c r="CA5" s="510" t="str">
        <f ca="1">IFERROR(IF((BZ5*Calculation!$AG$6/0.05)-SUM(BY5:BZ5,CC5)&gt;0,(BZ5*Calculation!$AG$6/0.05)-SUM(BY5:BZ5,CC5),0),"-")</f>
        <v>-</v>
      </c>
      <c r="CB5" s="510" t="str">
        <f ca="1">IFERROR(5/50*CE5*(IF(LEFT(BV5,4)="Pool",IF(LEN(INDEX($BE$4:$BJ$99,MATCH(BV5,$BE$4:$BE$99,0),3))=10,2,IF(LEN(INDEX($BE$4:$BJ$99,MATCH(BV5,$BE$4:$BE$99,0),3))&gt;10,LEN(INDEX($BE$4:$BJ$99,MATCH(BV5,$BE$4:$BE$99,0),3))-8,1)),IF(INDEX(Calculation_Tab,MATCH(BV5,Identifier,0),10)&gt;1,INDEX(Calculation_Tab,MATCH(BV5,Identifier,0),10),1)))*(1+Calculation!$Q$6),"-")</f>
        <v>-</v>
      </c>
      <c r="CC5" s="508" t="str">
        <f ca="1">IFERROR(ROUND(INDEX(Cluster,MATCH(IF(LEFT(BV5,4)="Pool",INDEX(Cluster,MATCH(INDEX(Calculation_Tab,MATCH(INDEX($BE$4:$BJ$99,MATCH(BV5,$BE$4:$BE$99,0),3),Flow_Cell_Lane,0),3),Cluster!$F$29:$F$412,0),6),BV5),Identifier_Cluster,0),20)*IF(LEFT(BV5,4)="pool",IF(LEN(INDEX($BE$4:$BJ$99,MATCH(BV5,$BE$4:$BE$99,0),3))=10,2,IF(LEN(INDEX($BE$4:$BJ$99,MATCH(BV5,$BE$4:$BE$99,0),3))&gt;10,LEN(INDEX($BE$4:$BJ$99,MATCH(BV5,$BE$4:$BE$99,0),3))-8,1)),1)*IF(LEFT(BV5,4)="pool",IF(INDEX($BE$4:$BJ$99,MATCH(BV5,$BE$4:$BE$99,0),6)&lt;1,1,INDEX($BE$4:$BJ$99,MATCH(BV5,$BE$4:$BE$99,0),6)),INDEX(Calculation_Tab,MATCH(BV5,Identifier,0),10)),1)*(1+Calculation!$Q$6),"-")</f>
        <v>-</v>
      </c>
      <c r="CD5" s="509" t="str">
        <f ca="1">IFERROR(INDEX(Cluster!AC:AD,MATCH(IF(LEFT(BV5,4)="Pool",INDEX(Cluster!$D$29:$AA$412,MATCH(INDEX(Calculation_Tab,MATCH(INDEX($BE$4:$BJ$99,MATCH(BV5,$BE$4:$BE$99,0),3),Flow_Cell_Lane,0),3),Cluster!$F$29:$F$412,0),24),INDEX(Cluster!$D$29:$AA$412,MATCH(BV5,Cluster!$F$29:$F$412,0),24)),Cluster!AC:AC,0),2),"-")</f>
        <v>-</v>
      </c>
      <c r="CE5" s="378" t="str">
        <f ca="1">IFERROR(IF(BV5&lt;&gt;"-",Calculation!$AK$6,"-"),"-")</f>
        <v>-</v>
      </c>
      <c r="CF5" s="378" t="str">
        <f ca="1">IF(OR(LEFT(ListAndConversion!BW5,3)="Dil",LEFT(ListAndConversion!BW5,3)="Poo"),ListAndConversion!$BT$4,IF(LEFT(ListAndConversion!BW5,3)="Sou",INDEX(ListAndConversion!$AT$3:$AV$387,MATCH(ListAndConversion!BV5,ListAndConversion!$AV$3:$AV$387,0),1),"-"))</f>
        <v>-</v>
      </c>
      <c r="CG5" s="498" t="str">
        <f ca="1">IF(OR(LEFT(ListAndConversion!BW5,3)="Dil",LEFT(ListAndConversion!BW5,3)="Poo"),ListAndConversion!BU5,IF(LEFT(ListAndConversion!BW5,3)="Sou",INDEX(ListAndConversion!$AT$4:$AV$387,MATCH(ListAndConversion!BV5,ListAndConversion!$AV$4:$AV$387,0),2),"-"))</f>
        <v>-</v>
      </c>
      <c r="CI5" s="487" t="str">
        <f t="shared" ca="1" si="19"/>
        <v>-</v>
      </c>
      <c r="CJ5" s="378" t="str">
        <f t="shared" ca="1" si="20"/>
        <v>-</v>
      </c>
      <c r="CK5" s="378" t="str">
        <f t="shared" ca="1" si="20"/>
        <v>-</v>
      </c>
      <c r="CL5" s="378" t="str">
        <f t="shared" ca="1" si="20"/>
        <v>-</v>
      </c>
      <c r="CM5" s="378" t="str">
        <f t="shared" ca="1" si="20"/>
        <v>-</v>
      </c>
      <c r="CN5" s="378" t="str">
        <f t="shared" ca="1" si="20"/>
        <v>-</v>
      </c>
      <c r="CO5" s="378" t="str">
        <f t="shared" ca="1" si="20"/>
        <v>-</v>
      </c>
      <c r="CP5" s="378" t="str">
        <f t="shared" ca="1" si="20"/>
        <v>-</v>
      </c>
      <c r="CQ5" s="378" t="str">
        <f t="shared" ca="1" si="20"/>
        <v>-</v>
      </c>
      <c r="CR5" s="510" t="str">
        <f ca="1">IFERROR(IF(LEFT(BW5,3)="Poo",INDEX($BE$4:$BJ$99,MATCH(CI5,$BG$4:$BG$99,0),6)*((15/50))*Calculation!$AK$6,INDEX(Calculation_Tab,MATCH(BV5,Identifier,0),10)/(IF(LEN(INDEX(Calculation_Tab,MATCH(BV5,Identifier,0),9))&gt;8,LEN(INDEX(Calculation_Tab,MATCH(BV5,Identifier,0),9))-8,1))*((15/50)*Calculation!$AK$6)),"-")</f>
        <v>-</v>
      </c>
      <c r="CS5" s="498" t="str">
        <f ca="1">IF(CI5="-","-",IF(COUNTIF($CI$3:CI5,CI5)&gt;1,0,IFERROR((35/50)*Calculation!$AK$6,"-")))</f>
        <v>-</v>
      </c>
    </row>
    <row r="6" spans="1:97" x14ac:dyDescent="0.5">
      <c r="A6" s="494" t="e">
        <f t="array" aca="1" ref="A6" ca="1">IF(IF((ROW(A6)-2)&lt;(Calculation!$E$6+1),INDEX(Plate_Barcode,MIN(IF(COUNTIF($A$2:A5,Plate_Barcode)=0,ROW(Plate_Barcode)-9))),"-")="","-",IF((ROW(A6)-2)&lt;(Calculation!$E$6+1),INDEX(Plate_Barcode,MIN(IF(COUNTIF($A$2:A5,Plate_Barcode)=0,ROW(Plate_Barcode)-9))),"-"))</f>
        <v>#DIV/0!</v>
      </c>
      <c r="B6" s="495" t="s">
        <v>292</v>
      </c>
      <c r="C6" s="282"/>
      <c r="D6" s="487" t="e">
        <f t="shared" si="0"/>
        <v>#DIV/0!</v>
      </c>
      <c r="E6" s="496" t="e">
        <f t="array" ref="E6">IF(IF((ROW(E6)-3)&lt;(ListAndConversion!$A$15),INDEX(Flow_Cell_Lane,MIN(IF(COUNTIF($E$2:E5,Flow_Cell_Lane)=0,ROW(Flow_Cell_Lane)-9))),"-")="","-",IF((ROW(E6)-3)&lt;(ListAndConversion!$A$15),INDEX(Flow_Cell_Lane,MIN(IF(COUNTIF($E$2:E5,Flow_Cell_Lane)=0,ROW(Flow_Cell_Lane)-9))),"-"))</f>
        <v>#DIV/0!</v>
      </c>
      <c r="F6" s="378" t="e">
        <f t="shared" si="1"/>
        <v>#DIV/0!</v>
      </c>
      <c r="G6" s="378" t="e">
        <f t="shared" si="2"/>
        <v>#DIV/0!</v>
      </c>
      <c r="H6" s="378" t="e">
        <f t="shared" si="2"/>
        <v>#DIV/0!</v>
      </c>
      <c r="I6" s="378" t="e">
        <f t="shared" si="2"/>
        <v>#DIV/0!</v>
      </c>
      <c r="J6" s="378" t="e">
        <f t="shared" si="2"/>
        <v>#DIV/0!</v>
      </c>
      <c r="K6" s="378" t="e">
        <f t="shared" si="2"/>
        <v>#DIV/0!</v>
      </c>
      <c r="L6" s="378" t="e">
        <f t="shared" si="2"/>
        <v>#DIV/0!</v>
      </c>
      <c r="M6" s="378" t="e">
        <f t="shared" si="2"/>
        <v>#DIV/0!</v>
      </c>
      <c r="N6" s="497" t="e">
        <f t="shared" si="3"/>
        <v>#DIV/0!</v>
      </c>
      <c r="O6" s="497" t="str">
        <f t="array" ref="O6">IFERROR(INDEX(Calculation!I:AN,MATCH(ListAndConversion!E6,Calculation!I:I,0),31),"-")</f>
        <v>-</v>
      </c>
      <c r="P6" s="498">
        <f>IF(COUNTIFS(Calculation!$I$10:$I$393,E6,Direct_Denaturation,"-")&lt;&gt;1,COUNTIFS(Calculation!$I$10:$I$393,E6,Direct_Denaturation,"-"),0)</f>
        <v>0</v>
      </c>
      <c r="Q6" s="378"/>
      <c r="R6" s="487" t="e">
        <f t="array" ref="R6">IF(IF((ROW(R6)-3)&lt;(Calculation!$H$6),INDEX(Flow_Cell,MIN(IF(COUNTIF($R$2:R5,Flow_Cell)=0,ROW(Flow_Cell)-9))),"-")="","-",IF((ROW(R6)-3)&lt;(Calculation!$H$6),INDEX(Flow_Cell,MIN(IF(COUNTIF($R$2:R5,Flow_Cell)=0,ROW(Flow_Cell)-9))),"-"))</f>
        <v>#DIV/0!</v>
      </c>
      <c r="S6" s="378" t="e">
        <f t="shared" si="4"/>
        <v>#DIV/0!</v>
      </c>
      <c r="T6" s="378">
        <v>4</v>
      </c>
      <c r="U6" s="498">
        <v>4</v>
      </c>
      <c r="V6" s="487">
        <v>3</v>
      </c>
      <c r="W6" s="497" t="s">
        <v>287</v>
      </c>
      <c r="X6" s="497" t="s">
        <v>293</v>
      </c>
      <c r="Y6" s="378">
        <v>3</v>
      </c>
      <c r="Z6" s="378" t="str">
        <f t="shared" ca="1" si="5"/>
        <v>-</v>
      </c>
      <c r="AA6" s="508" t="str">
        <f t="array" aca="1" ref="AA6" ca="1">IFERROR(INDEX(Calculation_Tab,SMALL(ROW(Sample_Intermediate_Dil)*(Sample_Intermediate_Dil&lt;&gt;"-"),COUNTIF(Sample_Intermediate_Dil,"-")+ROW()-3)-9,5),"-")</f>
        <v>-</v>
      </c>
      <c r="AB6" s="378" t="str">
        <f t="array" aca="1" ref="AB6" ca="1">IFERROR(INDEX($A$3:$B$12,MATCH(INDEX(Calculation_Tab,SMALL(ROW(Sample_Intermediate_Dil)*(Sample_Intermediate_Dil&lt;&gt;"-"),COUNTIF(Sample_Intermediate_Dil,"-")+ROW()-3)-9,5),$A$3:$A$12,0),2),"-")</f>
        <v>-</v>
      </c>
      <c r="AC6" s="509" t="str">
        <f t="array" aca="1" ref="AC6" ca="1">IFERROR(INDEX(Coordinate,MATCH(INDEX(Calculation_Tab,SMALL(ROW(Sample_Intermediate_Dil)*(Sample_Intermediate_Dil&lt;&gt;"-"),COUNTIF(Sample_Intermediate_Dil,"-")+ROW()-3)-9,6),$X$4:$X$99,0),2),"-")</f>
        <v>-</v>
      </c>
      <c r="AD6" s="510" t="str">
        <f t="array" aca="1" ref="AD6" ca="1">IFERROR(INDEX(Calculation_Tab,SMALL(ROW(Sample_Intermediate_Dil)*(Sample_Intermediate_Dil&lt;&gt;"-"),COUNTIF(Sample_Intermediate_Dil,"-")+ROW()-3)-9,24),"-")</f>
        <v>-</v>
      </c>
      <c r="AE6" s="510" t="str">
        <f t="array" aca="1" ref="AE6" ca="1">IFERROR(INDEX(Calculation_Tab,SMALL(ROW(Sample_Intermediate_Dil)*(Sample_Intermediate_Dil&lt;&gt;"-"),COUNTIF(Sample_Intermediate_Dil,"-")+ROW()-3)-9,25),"-")</f>
        <v>-</v>
      </c>
      <c r="AF6" s="510" t="str">
        <f t="array" aca="1" ref="AF6" ca="1">IFERROR(INDEX(Calculation_Tab,SMALL(ROW(Sample_Intermediate_Dil)*(Sample_Intermediate_Dil&lt;&gt;"-"),COUNTIF(Sample_Intermediate_Dil,"-")+ROW()-3)-9,26),"-")</f>
        <v>-</v>
      </c>
      <c r="AG6" s="511" t="str">
        <f t="array" aca="1" ref="AG6" ca="1">IFERROR(INDEX(Calculation_Tab,SMALL(ROW(Sample_Intermediate_Dil)*(Sample_Intermediate_Dil&lt;&gt;"-"),COUNTIF(Sample_Intermediate_Dil,"-")+ROW()-3)-9,27),"-")</f>
        <v>-</v>
      </c>
      <c r="AI6" s="487">
        <v>3</v>
      </c>
      <c r="AJ6" s="497" t="s">
        <v>160</v>
      </c>
      <c r="AK6" s="378">
        <v>3</v>
      </c>
      <c r="AL6" s="378" t="str">
        <f t="shared" ca="1" si="6"/>
        <v>-</v>
      </c>
      <c r="AM6" s="378" t="str">
        <f t="array" aca="1" ref="AM6" ca="1">IFERROR(IF(AI6&lt;=$AB$2,"-",INDEX(Calculation_Tab,SMALL(ROW(Main_Dil)*(Main_Dil&lt;&gt;"-"),COUNTIF(Main_Dil,"-")+ROW()-3-$AB$2)-9,5)),"-")</f>
        <v>-</v>
      </c>
      <c r="AN6" s="378" t="str">
        <f t="array" aca="1" ref="AN6" ca="1">IFERROR(IF(AI6&lt;=$AB$2,"-",INDEX($A$3:$B$12,MATCH(INDEX(Calculation_Tab,SMALL(ROW(Main_Dil)*(Main_Dil&lt;&gt;"-"),COUNTIF(Main_Dil,"-")+ROW()-3-$AB$2)-9,5),$A$3:$A$12,0),2)),"-")</f>
        <v>-</v>
      </c>
      <c r="AO6" s="378" t="str">
        <f t="array" aca="1" ref="AO6" ca="1">IFERROR(IF(AI6&lt;=$AB$2,"-",INDEX(Coordinate,MATCH(INDEX(Calculation_Tab,SMALL(ROW(Main_Dil)*(Main_Dil&lt;&gt;"-"),COUNTIF(Main_Dil,"-")+ROW()-3-$AB$2)-9,6),$X$4:$X$99,0),2)),"-")</f>
        <v>-</v>
      </c>
      <c r="AP6" s="510" t="str">
        <f t="array" aca="1" ref="AP6" ca="1">IFERROR(IF(AI6&lt;=$AB$2,"-",INDEX(Calculation_Tab,SMALL(ROW(Main_Dil)*(Main_Dil&lt;&gt;"-"),COUNTIF(Main_Dil,"-")+ROW()-3-$AB$2)-9,21)),"-")</f>
        <v>-</v>
      </c>
      <c r="AQ6" s="511" t="str">
        <f t="array" aca="1" ref="AQ6" ca="1">IFERROR(IF(AI6&lt;=$AB$2,"-",INDEX(Calculation_Tab,SMALL(ROW(Main_Dil)*(Main_Dil&lt;&gt;"-"),COUNTIF(Main_Dil,"-")+ROW()-3-$AB$2)-9,22)),"-")</f>
        <v>-</v>
      </c>
      <c r="AR6" s="487" t="str">
        <f t="shared" ca="1" si="7"/>
        <v>-</v>
      </c>
      <c r="AS6" s="378">
        <v>3</v>
      </c>
      <c r="AT6" s="497" t="s">
        <v>160</v>
      </c>
      <c r="AU6" s="498">
        <v>3</v>
      </c>
      <c r="AV6" s="378" t="str">
        <f t="shared" ca="1" si="8"/>
        <v>-</v>
      </c>
      <c r="AW6" s="378" t="str">
        <f t="array" aca="1" ref="AW6" ca="1">IFERROR(IF(AS6&lt;=$AB$2+$AN$2,"-",INDEX(Calculation_Tab,SMALL(ROW(Direct_Denaturation)*(Direct_Denaturation&lt;&gt;"-"),COUNTIF(Direct_Denaturation,"-")+ROW()-3-$AB$2-$AN$2)-9,5)),"-")</f>
        <v>-</v>
      </c>
      <c r="AX6" s="378" t="str">
        <f t="array" aca="1" ref="AX6" ca="1">IFERROR(IF(AS6&lt;=$AB$2+$AN$2,"-",INDEX($A$3:$B$12,MATCH(INDEX(Calculation_Tab,SMALL(ROW(Direct_Denaturation)*(Direct_Denaturation&lt;&gt;"-"),COUNTIF(Direct_Denaturation,"-")+ROW()-3-$AB$2-$AN$2)-9,5),$A$3:$A$12,0),2)),"-")</f>
        <v>-</v>
      </c>
      <c r="AY6" s="378" t="str">
        <f t="array" aca="1" ref="AY6" ca="1">IFERROR(IF(AS6&lt;=$AB$2+$AN$2,"-",INDEX(Coordinate,MATCH(INDEX(Calculation_Tab,SMALL(ROW(Direct_Denaturation)*(Direct_Denaturation&lt;&gt;"-"),COUNTIF(Direct_Denaturation,"-")+ROW()-3-$AB$2-$AN$2)-9,6),$X$4:$X$99,0),2)),"-")</f>
        <v>-</v>
      </c>
      <c r="AZ6" s="510" t="str">
        <f t="array" aca="1" ref="AZ6" ca="1">IFERROR(IF(AS6&lt;=$AB$2+$AN$2,"-",INDEX(Calculation_Tab,SMALL(ROW(Direct_Denaturation)*(Direct_Denaturation&lt;&gt;"-"),COUNTIF(Direct_Denaturation,"-")+ROW()-3-$AB$2-$AN$2)-9,32)),"-")</f>
        <v>-</v>
      </c>
      <c r="BA6" s="510" t="str">
        <f t="array" aca="1" ref="BA6" ca="1">IFERROR(IF(AS6&lt;=$AB$2+$AN$2,"-",INDEX(Calculation_Tab,SMALL(ROW(Direct_Denaturation)*(Direct_Denaturation&lt;&gt;"-"),COUNTIF(Direct_Denaturation,"-")+ROW()-3-$AB$2-$AN$2)-9,34)),"-")</f>
        <v>-</v>
      </c>
      <c r="BB6" s="510" t="str">
        <f t="array" aca="1" ref="BB6" ca="1">IFERROR(IF(AS6&lt;=$AB$2+$AN$2,"-",INDEX(Calculation_Tab,SMALL(ROW(Direct_Denaturation)*(Direct_Denaturation&lt;&gt;"-"),COUNTIF(Direct_Denaturation,"-")+ROW()-3-$AB$2-$AN$2)-9,33)),"-")</f>
        <v>-</v>
      </c>
      <c r="BC6" s="510" t="str">
        <f t="array" aca="1" ref="BC6" ca="1">IFERROR(IF(AS6&lt;=$AB$2+$AN$2,"-",INDEX(Calculation_Tab,SMALL(ROW(Direct_Denaturation)*(Direct_Denaturation&lt;&gt;"-"),COUNTIF(Direct_Denaturation,"-")+ROW()-3-$AB$2-$AN$2)-9,35)),"-")</f>
        <v>-</v>
      </c>
      <c r="BD6" s="511" t="str">
        <f t="shared" ca="1" si="9"/>
        <v>-</v>
      </c>
      <c r="BE6" s="494" t="s">
        <v>294</v>
      </c>
      <c r="BF6" s="378">
        <v>3</v>
      </c>
      <c r="BG6" s="515" t="str">
        <v>-</v>
      </c>
      <c r="BH6" s="516" t="str">
        <f>IFERROR(IF((Calculation!$AR$6/INDEX(ListAndConversion!D:P,MATCH(BG6,E:E,0),13))&lt;Calculation!$O$6,INDEX(ListAndConversion!D:P,MATCH(BG6,E:E,0),13)*Calculation!$O$6,Calculation!$AR$6),"-")</f>
        <v>-</v>
      </c>
      <c r="BI6" s="517" t="str">
        <f t="shared" si="10"/>
        <v>-</v>
      </c>
      <c r="BJ6" s="518" t="str">
        <f t="shared" si="11"/>
        <v>-</v>
      </c>
      <c r="BK6" s="378" t="s">
        <v>158</v>
      </c>
      <c r="BL6" s="378">
        <v>3</v>
      </c>
      <c r="BM6" s="487" t="str">
        <f t="array" aca="1" ref="BM6" ca="1">IFERROR(INDEX(Calculation_Tab,SMALL(ROW(ToPool)*(ToPool&lt;&gt;"-"),COUNTIF(ToPool,"-")+ROW()-3)-9,3),"-")</f>
        <v>-</v>
      </c>
      <c r="BN6" s="378" t="str">
        <f t="shared" ca="1" si="12"/>
        <v>-</v>
      </c>
      <c r="BO6" s="378" t="str">
        <f t="shared" ca="1" si="13"/>
        <v>-</v>
      </c>
      <c r="BP6" s="523" t="str">
        <f t="shared" ca="1" si="14"/>
        <v>-</v>
      </c>
      <c r="BQ6" s="378" t="str">
        <f t="array" aca="1" ref="BQ6" ca="1">IFERROR(INDEX(BE:BG,MATCH(INDEX(Calculation_Tab,SMALL(ROW(ToPool)*(ToPool&lt;&gt;"-"),COUNTIF(ToPool,"-")+ROW()-3)-9,9),BG:BG,0),2),"-")</f>
        <v>-</v>
      </c>
      <c r="BR6" s="510" t="str">
        <f t="shared" ca="1" si="15"/>
        <v>-</v>
      </c>
      <c r="BS6" s="511" t="str">
        <f t="shared" ca="1" si="16"/>
        <v>-</v>
      </c>
      <c r="BT6" s="378" t="s">
        <v>164</v>
      </c>
      <c r="BU6" s="487" t="str">
        <f t="shared" ca="1" si="21"/>
        <v>-</v>
      </c>
      <c r="BV6" s="487" t="str">
        <f t="array" aca="1" ref="BV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6" s="378" t="str">
        <f t="shared" ca="1" si="17"/>
        <v>-</v>
      </c>
      <c r="BX6" s="378" t="str">
        <f t="shared" ca="1" si="18"/>
        <v>-</v>
      </c>
      <c r="BY6" s="510" t="str">
        <f ca="1">IFERROR(ROUND(INDEX(Cluster,MATCH(IF(LEFT(BV6,4)="Pool",INDEX(Cluster,MATCH(INDEX(Calculation_Tab,MATCH(INDEX($BE$4:$BJ$99,MATCH(BV6,$BE$4:$BE$99,0),3),Flow_Cell_Lane,0),3),Cluster!$F$29:$F$412,0),6),BV6),Identifier_Cluster,0),19)*IF(LEFT(BV6,4)="pool",IF(LEN(INDEX($BE$4:$BJ$99,MATCH(BV6,$BE$4:$BE$99,0),3))=10,2,IF(LEN(INDEX($BE$4:$BJ$99,MATCH(BV6,$BE$4:$BE$99,0),3))&gt;10,LEN(INDEX($BE$4:$BJ$99,MATCH(BV6,$BE$4:$BE$99,0),3))-8,1)),1)*IF(LEFT(BV6,4)="pool",IF(INDEX($BE$4:$BJ$99,MATCH(BV6,$BE$4:$BE$99,0),6)&lt;1,1,INDEX($BE$4:$BJ$99,MATCH(BV6,$BE$4:$BE$99,0),6)),INDEX(Calculation_Tab,MATCH(BV6,Identifier,0),10)),1)*(1+Calculation!$Q$6),"-")</f>
        <v>-</v>
      </c>
      <c r="BZ6" s="378" t="str">
        <f ca="1">IFERROR((0.5/50)*CE6/Calculation!$AG$6*(IF(LEFT(BV6,4)="Pool",IF(LEN(INDEX($BE$4:$BJ$99,MATCH(BV6,$BE$4:$BE$99,0),3))=10,2,IF(LEN(INDEX($BE$4:$BJ$99,MATCH(BV6,$BE$4:$BE$99,0),3))&gt;10,LEN(INDEX($BE$4:$BJ$99,MATCH(BV6,$BE$4:$BE$99,0),3))-8,1)),IF(INDEX(Calculation_Tab,MATCH(BV6,Identifier,0),10)&gt;1,INDEX(Calculation_Tab,MATCH(BV6,Identifier,0),10),1)))*(1+Calculation!$Q$6),"-")</f>
        <v>-</v>
      </c>
      <c r="CA6" s="510" t="str">
        <f ca="1">IFERROR(IF((BZ6*Calculation!$AG$6/0.05)-SUM(BY6:BZ6,CC6)&gt;0,(BZ6*Calculation!$AG$6/0.05)-SUM(BY6:BZ6,CC6),0),"-")</f>
        <v>-</v>
      </c>
      <c r="CB6" s="510" t="str">
        <f ca="1">IFERROR(5/50*CE6*(IF(LEFT(BV6,4)="Pool",IF(LEN(INDEX($BE$4:$BJ$99,MATCH(BV6,$BE$4:$BE$99,0),3))=10,2,IF(LEN(INDEX($BE$4:$BJ$99,MATCH(BV6,$BE$4:$BE$99,0),3))&gt;10,LEN(INDEX($BE$4:$BJ$99,MATCH(BV6,$BE$4:$BE$99,0),3))-8,1)),IF(INDEX(Calculation_Tab,MATCH(BV6,Identifier,0),10)&gt;1,INDEX(Calculation_Tab,MATCH(BV6,Identifier,0),10),1)))*(1+Calculation!$Q$6),"-")</f>
        <v>-</v>
      </c>
      <c r="CC6" s="508" t="str">
        <f ca="1">IFERROR(ROUND(INDEX(Cluster,MATCH(IF(LEFT(BV6,4)="Pool",INDEX(Cluster,MATCH(INDEX(Calculation_Tab,MATCH(INDEX($BE$4:$BJ$99,MATCH(BV6,$BE$4:$BE$99,0),3),Flow_Cell_Lane,0),3),Cluster!$F$29:$F$412,0),6),BV6),Identifier_Cluster,0),20)*IF(LEFT(BV6,4)="pool",IF(LEN(INDEX($BE$4:$BJ$99,MATCH(BV6,$BE$4:$BE$99,0),3))=10,2,IF(LEN(INDEX($BE$4:$BJ$99,MATCH(BV6,$BE$4:$BE$99,0),3))&gt;10,LEN(INDEX($BE$4:$BJ$99,MATCH(BV6,$BE$4:$BE$99,0),3))-8,1)),1)*IF(LEFT(BV6,4)="pool",IF(INDEX($BE$4:$BJ$99,MATCH(BV6,$BE$4:$BE$99,0),6)&lt;1,1,INDEX($BE$4:$BJ$99,MATCH(BV6,$BE$4:$BE$99,0),6)),INDEX(Calculation_Tab,MATCH(BV6,Identifier,0),10)),1)*(1+Calculation!$Q$6),"-")</f>
        <v>-</v>
      </c>
      <c r="CD6" s="509" t="str">
        <f ca="1">IFERROR(INDEX(Cluster!AC:AD,MATCH(IF(LEFT(BV6,4)="Pool",INDEX(Cluster!$D$29:$AA$412,MATCH(INDEX(Calculation_Tab,MATCH(INDEX($BE$4:$BJ$99,MATCH(BV6,$BE$4:$BE$99,0),3),Flow_Cell_Lane,0),3),Cluster!$F$29:$F$412,0),24),INDEX(Cluster!$D$29:$AA$412,MATCH(BV6,Cluster!$F$29:$F$412,0),24)),Cluster!AC:AC,0),2),"-")</f>
        <v>-</v>
      </c>
      <c r="CE6" s="378" t="str">
        <f ca="1">IFERROR(IF(BV6&lt;&gt;"-",Calculation!$AK$6,"-"),"-")</f>
        <v>-</v>
      </c>
      <c r="CF6" s="378" t="str">
        <f ca="1">IF(OR(LEFT(ListAndConversion!BW6,3)="Dil",LEFT(ListAndConversion!BW6,3)="Poo"),ListAndConversion!$BT$4,IF(LEFT(ListAndConversion!BW6,3)="Sou",INDEX(ListAndConversion!$AT$3:$AV$387,MATCH(ListAndConversion!BV6,ListAndConversion!$AV$3:$AV$387,0),1),"-"))</f>
        <v>-</v>
      </c>
      <c r="CG6" s="498" t="str">
        <f ca="1">IF(OR(LEFT(ListAndConversion!BW6,3)="Dil",LEFT(ListAndConversion!BW6,3)="Poo"),ListAndConversion!BU6,IF(LEFT(ListAndConversion!BW6,3)="Sou",INDEX(ListAndConversion!$AT$4:$AV$387,MATCH(ListAndConversion!BV6,ListAndConversion!$AV$4:$AV$387,0),2),"-"))</f>
        <v>-</v>
      </c>
      <c r="CI6" s="487" t="str">
        <f t="shared" ca="1" si="19"/>
        <v>-</v>
      </c>
      <c r="CJ6" s="378" t="str">
        <f t="shared" ca="1" si="20"/>
        <v>-</v>
      </c>
      <c r="CK6" s="378" t="str">
        <f t="shared" ca="1" si="20"/>
        <v>-</v>
      </c>
      <c r="CL6" s="378" t="str">
        <f t="shared" ca="1" si="20"/>
        <v>-</v>
      </c>
      <c r="CM6" s="378" t="str">
        <f t="shared" ca="1" si="20"/>
        <v>-</v>
      </c>
      <c r="CN6" s="378" t="str">
        <f t="shared" ca="1" si="20"/>
        <v>-</v>
      </c>
      <c r="CO6" s="378" t="str">
        <f t="shared" ca="1" si="20"/>
        <v>-</v>
      </c>
      <c r="CP6" s="378" t="str">
        <f t="shared" ca="1" si="20"/>
        <v>-</v>
      </c>
      <c r="CQ6" s="378" t="str">
        <f t="shared" ca="1" si="20"/>
        <v>-</v>
      </c>
      <c r="CR6" s="510" t="str">
        <f ca="1">IFERROR(IF(LEFT(BW6,3)="Poo",INDEX($BE$4:$BJ$99,MATCH(CI6,$BG$4:$BG$99,0),6)*((15/50))*Calculation!$AK$6,INDEX(Calculation_Tab,MATCH(BV6,Identifier,0),10)/(IF(LEN(INDEX(Calculation_Tab,MATCH(BV6,Identifier,0),9))&gt;8,LEN(INDEX(Calculation_Tab,MATCH(BV6,Identifier,0),9))-8,1))*((15/50)*Calculation!$AK$6)),"-")</f>
        <v>-</v>
      </c>
      <c r="CS6" s="498" t="str">
        <f ca="1">IF(CI6="-","-",IF(COUNTIF($CI$3:CI6,CI6)&gt;1,0,IFERROR((35/50)*Calculation!$AK$6,"-")))</f>
        <v>-</v>
      </c>
    </row>
    <row r="7" spans="1:97" x14ac:dyDescent="0.5">
      <c r="A7" s="494" t="e">
        <f t="array" aca="1" ref="A7" ca="1">IF(IF((ROW(A7)-2)&lt;(Calculation!$E$6+1),INDEX(Plate_Barcode,MIN(IF(COUNTIF($A$2:A6,Plate_Barcode)=0,ROW(Plate_Barcode)-9))),"-")="","-",IF((ROW(A7)-2)&lt;(Calculation!$E$6+1),INDEX(Plate_Barcode,MIN(IF(COUNTIF($A$2:A6,Plate_Barcode)=0,ROW(Plate_Barcode)-9))),"-"))</f>
        <v>#DIV/0!</v>
      </c>
      <c r="B7" s="495" t="s">
        <v>295</v>
      </c>
      <c r="C7" s="282"/>
      <c r="D7" s="487" t="e">
        <f t="shared" si="0"/>
        <v>#DIV/0!</v>
      </c>
      <c r="E7" s="496" t="e">
        <f t="array" ref="E7">IF(IF((ROW(E7)-3)&lt;(ListAndConversion!$A$15),INDEX(Flow_Cell_Lane,MIN(IF(COUNTIF($E$2:E6,Flow_Cell_Lane)=0,ROW(Flow_Cell_Lane)-9))),"-")="","-",IF((ROW(E7)-3)&lt;(ListAndConversion!$A$15),INDEX(Flow_Cell_Lane,MIN(IF(COUNTIF($E$2:E6,Flow_Cell_Lane)=0,ROW(Flow_Cell_Lane)-9))),"-"))</f>
        <v>#DIV/0!</v>
      </c>
      <c r="F7" s="378" t="e">
        <f t="shared" si="1"/>
        <v>#DIV/0!</v>
      </c>
      <c r="G7" s="378" t="e">
        <f t="shared" si="2"/>
        <v>#DIV/0!</v>
      </c>
      <c r="H7" s="378" t="e">
        <f t="shared" si="2"/>
        <v>#DIV/0!</v>
      </c>
      <c r="I7" s="378" t="e">
        <f t="shared" si="2"/>
        <v>#DIV/0!</v>
      </c>
      <c r="J7" s="378" t="e">
        <f t="shared" si="2"/>
        <v>#DIV/0!</v>
      </c>
      <c r="K7" s="378" t="e">
        <f t="shared" si="2"/>
        <v>#DIV/0!</v>
      </c>
      <c r="L7" s="378" t="e">
        <f t="shared" si="2"/>
        <v>#DIV/0!</v>
      </c>
      <c r="M7" s="378" t="e">
        <f t="shared" si="2"/>
        <v>#DIV/0!</v>
      </c>
      <c r="N7" s="497" t="e">
        <f t="shared" si="3"/>
        <v>#DIV/0!</v>
      </c>
      <c r="O7" s="497" t="str">
        <f t="array" ref="O7">IFERROR(INDEX(Calculation!I:AN,MATCH(ListAndConversion!E7,Calculation!I:I,0),31),"-")</f>
        <v>-</v>
      </c>
      <c r="P7" s="498">
        <f>IF(COUNTIFS(Calculation!$I$10:$I$393,E7,Direct_Denaturation,"-")&lt;&gt;1,COUNTIFS(Calculation!$I$10:$I$393,E7,Direct_Denaturation,"-"),0)</f>
        <v>0</v>
      </c>
      <c r="Q7" s="378"/>
      <c r="R7" s="487" t="e">
        <f t="array" ref="R7">IF(IF((ROW(R7)-3)&lt;(Calculation!$H$6),INDEX(Flow_Cell,MIN(IF(COUNTIF($R$2:R6,Flow_Cell)=0,ROW(Flow_Cell)-9))),"-")="","-",IF((ROW(R7)-3)&lt;(Calculation!$H$6),INDEX(Flow_Cell,MIN(IF(COUNTIF($R$2:R6,Flow_Cell)=0,ROW(Flow_Cell)-9))),"-"))</f>
        <v>#DIV/0!</v>
      </c>
      <c r="S7" s="378" t="e">
        <f t="shared" si="4"/>
        <v>#DIV/0!</v>
      </c>
      <c r="T7" s="378">
        <v>5</v>
      </c>
      <c r="U7" s="498">
        <v>5</v>
      </c>
      <c r="V7" s="487">
        <v>4</v>
      </c>
      <c r="W7" s="497" t="s">
        <v>287</v>
      </c>
      <c r="X7" s="497" t="s">
        <v>296</v>
      </c>
      <c r="Y7" s="378">
        <v>4</v>
      </c>
      <c r="Z7" s="378" t="str">
        <f t="shared" ca="1" si="5"/>
        <v>-</v>
      </c>
      <c r="AA7" s="508" t="str">
        <f t="array" aca="1" ref="AA7" ca="1">IFERROR(INDEX(Calculation_Tab,SMALL(ROW(Sample_Intermediate_Dil)*(Sample_Intermediate_Dil&lt;&gt;"-"),COUNTIF(Sample_Intermediate_Dil,"-")+ROW()-3)-9,5),"-")</f>
        <v>-</v>
      </c>
      <c r="AB7" s="378" t="str">
        <f t="array" aca="1" ref="AB7" ca="1">IFERROR(INDEX($A$3:$B$12,MATCH(INDEX(Calculation_Tab,SMALL(ROW(Sample_Intermediate_Dil)*(Sample_Intermediate_Dil&lt;&gt;"-"),COUNTIF(Sample_Intermediate_Dil,"-")+ROW()-3)-9,5),$A$3:$A$12,0),2),"-")</f>
        <v>-</v>
      </c>
      <c r="AC7" s="509" t="str">
        <f t="array" aca="1" ref="AC7" ca="1">IFERROR(INDEX(Coordinate,MATCH(INDEX(Calculation_Tab,SMALL(ROW(Sample_Intermediate_Dil)*(Sample_Intermediate_Dil&lt;&gt;"-"),COUNTIF(Sample_Intermediate_Dil,"-")+ROW()-3)-9,6),$X$4:$X$99,0),2),"-")</f>
        <v>-</v>
      </c>
      <c r="AD7" s="510" t="str">
        <f t="array" aca="1" ref="AD7" ca="1">IFERROR(INDEX(Calculation_Tab,SMALL(ROW(Sample_Intermediate_Dil)*(Sample_Intermediate_Dil&lt;&gt;"-"),COUNTIF(Sample_Intermediate_Dil,"-")+ROW()-3)-9,24),"-")</f>
        <v>-</v>
      </c>
      <c r="AE7" s="510" t="str">
        <f t="array" aca="1" ref="AE7" ca="1">IFERROR(INDEX(Calculation_Tab,SMALL(ROW(Sample_Intermediate_Dil)*(Sample_Intermediate_Dil&lt;&gt;"-"),COUNTIF(Sample_Intermediate_Dil,"-")+ROW()-3)-9,25),"-")</f>
        <v>-</v>
      </c>
      <c r="AF7" s="510" t="str">
        <f t="array" aca="1" ref="AF7" ca="1">IFERROR(INDEX(Calculation_Tab,SMALL(ROW(Sample_Intermediate_Dil)*(Sample_Intermediate_Dil&lt;&gt;"-"),COUNTIF(Sample_Intermediate_Dil,"-")+ROW()-3)-9,26),"-")</f>
        <v>-</v>
      </c>
      <c r="AG7" s="511" t="str">
        <f t="array" aca="1" ref="AG7" ca="1">IFERROR(INDEX(Calculation_Tab,SMALL(ROW(Sample_Intermediate_Dil)*(Sample_Intermediate_Dil&lt;&gt;"-"),COUNTIF(Sample_Intermediate_Dil,"-")+ROW()-3)-9,27),"-")</f>
        <v>-</v>
      </c>
      <c r="AI7" s="487">
        <v>4</v>
      </c>
      <c r="AJ7" s="497" t="s">
        <v>160</v>
      </c>
      <c r="AK7" s="378">
        <v>4</v>
      </c>
      <c r="AL7" s="378" t="str">
        <f t="shared" ca="1" si="6"/>
        <v>-</v>
      </c>
      <c r="AM7" s="378" t="str">
        <f t="array" aca="1" ref="AM7" ca="1">IFERROR(IF(AI7&lt;=$AB$2,"-",INDEX(Calculation_Tab,SMALL(ROW(Main_Dil)*(Main_Dil&lt;&gt;"-"),COUNTIF(Main_Dil,"-")+ROW()-3-$AB$2)-9,5)),"-")</f>
        <v>-</v>
      </c>
      <c r="AN7" s="378" t="str">
        <f t="array" aca="1" ref="AN7" ca="1">IFERROR(IF(AI7&lt;=$AB$2,"-",INDEX($A$3:$B$12,MATCH(INDEX(Calculation_Tab,SMALL(ROW(Main_Dil)*(Main_Dil&lt;&gt;"-"),COUNTIF(Main_Dil,"-")+ROW()-3-$AB$2)-9,5),$A$3:$A$12,0),2)),"-")</f>
        <v>-</v>
      </c>
      <c r="AO7" s="378" t="str">
        <f t="array" aca="1" ref="AO7" ca="1">IFERROR(IF(AI7&lt;=$AB$2,"-",INDEX(Coordinate,MATCH(INDEX(Calculation_Tab,SMALL(ROW(Main_Dil)*(Main_Dil&lt;&gt;"-"),COUNTIF(Main_Dil,"-")+ROW()-3-$AB$2)-9,6),$X$4:$X$99,0),2)),"-")</f>
        <v>-</v>
      </c>
      <c r="AP7" s="510" t="str">
        <f t="array" aca="1" ref="AP7" ca="1">IFERROR(IF(AI7&lt;=$AB$2,"-",INDEX(Calculation_Tab,SMALL(ROW(Main_Dil)*(Main_Dil&lt;&gt;"-"),COUNTIF(Main_Dil,"-")+ROW()-3-$AB$2)-9,21)),"-")</f>
        <v>-</v>
      </c>
      <c r="AQ7" s="511" t="str">
        <f t="array" aca="1" ref="AQ7" ca="1">IFERROR(IF(AI7&lt;=$AB$2,"-",INDEX(Calculation_Tab,SMALL(ROW(Main_Dil)*(Main_Dil&lt;&gt;"-"),COUNTIF(Main_Dil,"-")+ROW()-3-$AB$2)-9,22)),"-")</f>
        <v>-</v>
      </c>
      <c r="AR7" s="487" t="str">
        <f t="shared" ca="1" si="7"/>
        <v>-</v>
      </c>
      <c r="AS7" s="378">
        <v>4</v>
      </c>
      <c r="AT7" s="497" t="s">
        <v>160</v>
      </c>
      <c r="AU7" s="498">
        <v>4</v>
      </c>
      <c r="AV7" s="378" t="str">
        <f t="shared" ca="1" si="8"/>
        <v>-</v>
      </c>
      <c r="AW7" s="378" t="str">
        <f t="array" aca="1" ref="AW7" ca="1">IFERROR(IF(AS7&lt;=$AB$2+$AN$2,"-",INDEX(Calculation_Tab,SMALL(ROW(Direct_Denaturation)*(Direct_Denaturation&lt;&gt;"-"),COUNTIF(Direct_Denaturation,"-")+ROW()-3-$AB$2-$AN$2)-9,5)),"-")</f>
        <v>-</v>
      </c>
      <c r="AX7" s="378" t="str">
        <f t="array" aca="1" ref="AX7" ca="1">IFERROR(IF(AS7&lt;=$AB$2+$AN$2,"-",INDEX($A$3:$B$12,MATCH(INDEX(Calculation_Tab,SMALL(ROW(Direct_Denaturation)*(Direct_Denaturation&lt;&gt;"-"),COUNTIF(Direct_Denaturation,"-")+ROW()-3-$AB$2-$AN$2)-9,5),$A$3:$A$12,0),2)),"-")</f>
        <v>-</v>
      </c>
      <c r="AY7" s="378" t="str">
        <f t="array" aca="1" ref="AY7" ca="1">IFERROR(IF(AS7&lt;=$AB$2+$AN$2,"-",INDEX(Coordinate,MATCH(INDEX(Calculation_Tab,SMALL(ROW(Direct_Denaturation)*(Direct_Denaturation&lt;&gt;"-"),COUNTIF(Direct_Denaturation,"-")+ROW()-3-$AB$2-$AN$2)-9,6),$X$4:$X$99,0),2)),"-")</f>
        <v>-</v>
      </c>
      <c r="AZ7" s="510" t="str">
        <f t="array" aca="1" ref="AZ7" ca="1">IFERROR(IF(AS7&lt;=$AB$2+$AN$2,"-",INDEX(Calculation_Tab,SMALL(ROW(Direct_Denaturation)*(Direct_Denaturation&lt;&gt;"-"),COUNTIF(Direct_Denaturation,"-")+ROW()-3-$AB$2-$AN$2)-9,32)),"-")</f>
        <v>-</v>
      </c>
      <c r="BA7" s="510" t="str">
        <f t="array" aca="1" ref="BA7" ca="1">IFERROR(IF(AS7&lt;=$AB$2+$AN$2,"-",INDEX(Calculation_Tab,SMALL(ROW(Direct_Denaturation)*(Direct_Denaturation&lt;&gt;"-"),COUNTIF(Direct_Denaturation,"-")+ROW()-3-$AB$2-$AN$2)-9,34)),"-")</f>
        <v>-</v>
      </c>
      <c r="BB7" s="510" t="str">
        <f t="array" aca="1" ref="BB7" ca="1">IFERROR(IF(AS7&lt;=$AB$2+$AN$2,"-",INDEX(Calculation_Tab,SMALL(ROW(Direct_Denaturation)*(Direct_Denaturation&lt;&gt;"-"),COUNTIF(Direct_Denaturation,"-")+ROW()-3-$AB$2-$AN$2)-9,33)),"-")</f>
        <v>-</v>
      </c>
      <c r="BC7" s="510" t="str">
        <f t="array" aca="1" ref="BC7" ca="1">IFERROR(IF(AS7&lt;=$AB$2+$AN$2,"-",INDEX(Calculation_Tab,SMALL(ROW(Direct_Denaturation)*(Direct_Denaturation&lt;&gt;"-"),COUNTIF(Direct_Denaturation,"-")+ROW()-3-$AB$2-$AN$2)-9,35)),"-")</f>
        <v>-</v>
      </c>
      <c r="BD7" s="511" t="str">
        <f t="shared" ca="1" si="9"/>
        <v>-</v>
      </c>
      <c r="BE7" s="494" t="s">
        <v>297</v>
      </c>
      <c r="BF7" s="378">
        <v>4</v>
      </c>
      <c r="BG7" s="515" t="str">
        <v>-</v>
      </c>
      <c r="BH7" s="516" t="str">
        <f>IFERROR(IF((Calculation!$AR$6/INDEX(ListAndConversion!D:P,MATCH(BG7,E:E,0),13))&lt;Calculation!$O$6,INDEX(ListAndConversion!D:P,MATCH(BG7,E:E,0),13)*Calculation!$O$6,Calculation!$AR$6),"-")</f>
        <v>-</v>
      </c>
      <c r="BI7" s="517" t="str">
        <f t="shared" si="10"/>
        <v>-</v>
      </c>
      <c r="BJ7" s="518" t="str">
        <f t="shared" si="11"/>
        <v>-</v>
      </c>
      <c r="BK7" s="378" t="s">
        <v>158</v>
      </c>
      <c r="BL7" s="378">
        <v>4</v>
      </c>
      <c r="BM7" s="487" t="str">
        <f t="array" aca="1" ref="BM7" ca="1">IFERROR(INDEX(Calculation_Tab,SMALL(ROW(ToPool)*(ToPool&lt;&gt;"-"),COUNTIF(ToPool,"-")+ROW()-3)-9,3),"-")</f>
        <v>-</v>
      </c>
      <c r="BN7" s="378" t="str">
        <f t="shared" ca="1" si="12"/>
        <v>-</v>
      </c>
      <c r="BO7" s="378" t="str">
        <f t="shared" ca="1" si="13"/>
        <v>-</v>
      </c>
      <c r="BP7" s="523" t="str">
        <f t="shared" ca="1" si="14"/>
        <v>-</v>
      </c>
      <c r="BQ7" s="378" t="str">
        <f t="array" aca="1" ref="BQ7" ca="1">IFERROR(INDEX(BE:BG,MATCH(INDEX(Calculation_Tab,SMALL(ROW(ToPool)*(ToPool&lt;&gt;"-"),COUNTIF(ToPool,"-")+ROW()-3)-9,9),BG:BG,0),2),"-")</f>
        <v>-</v>
      </c>
      <c r="BR7" s="510" t="str">
        <f t="shared" ca="1" si="15"/>
        <v>-</v>
      </c>
      <c r="BS7" s="511" t="str">
        <f t="shared" ca="1" si="16"/>
        <v>-</v>
      </c>
      <c r="BT7" s="378" t="s">
        <v>164</v>
      </c>
      <c r="BU7" s="487" t="str">
        <f t="shared" ca="1" si="21"/>
        <v>-</v>
      </c>
      <c r="BV7" s="487" t="str">
        <f t="array" aca="1" ref="BV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7" s="378" t="str">
        <f t="shared" ca="1" si="17"/>
        <v>-</v>
      </c>
      <c r="BX7" s="378" t="str">
        <f t="shared" ca="1" si="18"/>
        <v>-</v>
      </c>
      <c r="BY7" s="510" t="str">
        <f ca="1">IFERROR(ROUND(INDEX(Cluster,MATCH(IF(LEFT(BV7,4)="Pool",INDEX(Cluster,MATCH(INDEX(Calculation_Tab,MATCH(INDEX($BE$4:$BJ$99,MATCH(BV7,$BE$4:$BE$99,0),3),Flow_Cell_Lane,0),3),Cluster!$F$29:$F$412,0),6),BV7),Identifier_Cluster,0),19)*IF(LEFT(BV7,4)="pool",IF(LEN(INDEX($BE$4:$BJ$99,MATCH(BV7,$BE$4:$BE$99,0),3))=10,2,IF(LEN(INDEX($BE$4:$BJ$99,MATCH(BV7,$BE$4:$BE$99,0),3))&gt;10,LEN(INDEX($BE$4:$BJ$99,MATCH(BV7,$BE$4:$BE$99,0),3))-8,1)),1)*IF(LEFT(BV7,4)="pool",IF(INDEX($BE$4:$BJ$99,MATCH(BV7,$BE$4:$BE$99,0),6)&lt;1,1,INDEX($BE$4:$BJ$99,MATCH(BV7,$BE$4:$BE$99,0),6)),INDEX(Calculation_Tab,MATCH(BV7,Identifier,0),10)),1)*(1+Calculation!$Q$6),"-")</f>
        <v>-</v>
      </c>
      <c r="BZ7" s="378" t="str">
        <f ca="1">IFERROR((0.5/50)*CE7/Calculation!$AG$6*(IF(LEFT(BV7,4)="Pool",IF(LEN(INDEX($BE$4:$BJ$99,MATCH(BV7,$BE$4:$BE$99,0),3))=10,2,IF(LEN(INDEX($BE$4:$BJ$99,MATCH(BV7,$BE$4:$BE$99,0),3))&gt;10,LEN(INDEX($BE$4:$BJ$99,MATCH(BV7,$BE$4:$BE$99,0),3))-8,1)),IF(INDEX(Calculation_Tab,MATCH(BV7,Identifier,0),10)&gt;1,INDEX(Calculation_Tab,MATCH(BV7,Identifier,0),10),1)))*(1+Calculation!$Q$6),"-")</f>
        <v>-</v>
      </c>
      <c r="CA7" s="510" t="str">
        <f ca="1">IFERROR(IF((BZ7*Calculation!$AG$6/0.05)-SUM(BY7:BZ7,CC7)&gt;0,(BZ7*Calculation!$AG$6/0.05)-SUM(BY7:BZ7,CC7),0),"-")</f>
        <v>-</v>
      </c>
      <c r="CB7" s="510" t="str">
        <f ca="1">IFERROR(5/50*CE7*(IF(LEFT(BV7,4)="Pool",IF(LEN(INDEX($BE$4:$BJ$99,MATCH(BV7,$BE$4:$BE$99,0),3))=10,2,IF(LEN(INDEX($BE$4:$BJ$99,MATCH(BV7,$BE$4:$BE$99,0),3))&gt;10,LEN(INDEX($BE$4:$BJ$99,MATCH(BV7,$BE$4:$BE$99,0),3))-8,1)),IF(INDEX(Calculation_Tab,MATCH(BV7,Identifier,0),10)&gt;1,INDEX(Calculation_Tab,MATCH(BV7,Identifier,0),10),1)))*(1+Calculation!$Q$6),"-")</f>
        <v>-</v>
      </c>
      <c r="CC7" s="508" t="str">
        <f ca="1">IFERROR(ROUND(INDEX(Cluster,MATCH(IF(LEFT(BV7,4)="Pool",INDEX(Cluster,MATCH(INDEX(Calculation_Tab,MATCH(INDEX($BE$4:$BJ$99,MATCH(BV7,$BE$4:$BE$99,0),3),Flow_Cell_Lane,0),3),Cluster!$F$29:$F$412,0),6),BV7),Identifier_Cluster,0),20)*IF(LEFT(BV7,4)="pool",IF(LEN(INDEX($BE$4:$BJ$99,MATCH(BV7,$BE$4:$BE$99,0),3))=10,2,IF(LEN(INDEX($BE$4:$BJ$99,MATCH(BV7,$BE$4:$BE$99,0),3))&gt;10,LEN(INDEX($BE$4:$BJ$99,MATCH(BV7,$BE$4:$BE$99,0),3))-8,1)),1)*IF(LEFT(BV7,4)="pool",IF(INDEX($BE$4:$BJ$99,MATCH(BV7,$BE$4:$BE$99,0),6)&lt;1,1,INDEX($BE$4:$BJ$99,MATCH(BV7,$BE$4:$BE$99,0),6)),INDEX(Calculation_Tab,MATCH(BV7,Identifier,0),10)),1)*(1+Calculation!$Q$6),"-")</f>
        <v>-</v>
      </c>
      <c r="CD7" s="509" t="str">
        <f ca="1">IFERROR(INDEX(Cluster!AC:AD,MATCH(IF(LEFT(BV7,4)="Pool",INDEX(Cluster!$D$29:$AA$412,MATCH(INDEX(Calculation_Tab,MATCH(INDEX($BE$4:$BJ$99,MATCH(BV7,$BE$4:$BE$99,0),3),Flow_Cell_Lane,0),3),Cluster!$F$29:$F$412,0),24),INDEX(Cluster!$D$29:$AA$412,MATCH(BV7,Cluster!$F$29:$F$412,0),24)),Cluster!AC:AC,0),2),"-")</f>
        <v>-</v>
      </c>
      <c r="CE7" s="378" t="str">
        <f ca="1">IFERROR(IF(BV7&lt;&gt;"-",Calculation!$AK$6,"-"),"-")</f>
        <v>-</v>
      </c>
      <c r="CF7" s="378" t="str">
        <f ca="1">IF(OR(LEFT(ListAndConversion!BW7,3)="Dil",LEFT(ListAndConversion!BW7,3)="Poo"),ListAndConversion!$BT$4,IF(LEFT(ListAndConversion!BW7,3)="Sou",INDEX(ListAndConversion!$AT$3:$AV$387,MATCH(ListAndConversion!BV7,ListAndConversion!$AV$3:$AV$387,0),1),"-"))</f>
        <v>-</v>
      </c>
      <c r="CG7" s="498" t="str">
        <f ca="1">IF(OR(LEFT(ListAndConversion!BW7,3)="Dil",LEFT(ListAndConversion!BW7,3)="Poo"),ListAndConversion!BU7,IF(LEFT(ListAndConversion!BW7,3)="Sou",INDEX(ListAndConversion!$AT$4:$AV$387,MATCH(ListAndConversion!BV7,ListAndConversion!$AV$4:$AV$387,0),2),"-"))</f>
        <v>-</v>
      </c>
      <c r="CH7" s="378"/>
      <c r="CI7" s="487" t="str">
        <f t="shared" ca="1" si="19"/>
        <v>-</v>
      </c>
      <c r="CJ7" s="378" t="str">
        <f t="shared" ca="1" si="20"/>
        <v>-</v>
      </c>
      <c r="CK7" s="378" t="str">
        <f t="shared" ca="1" si="20"/>
        <v>-</v>
      </c>
      <c r="CL7" s="378" t="str">
        <f t="shared" ca="1" si="20"/>
        <v>-</v>
      </c>
      <c r="CM7" s="378" t="str">
        <f t="shared" ca="1" si="20"/>
        <v>-</v>
      </c>
      <c r="CN7" s="378" t="str">
        <f t="shared" ca="1" si="20"/>
        <v>-</v>
      </c>
      <c r="CO7" s="378" t="str">
        <f t="shared" ca="1" si="20"/>
        <v>-</v>
      </c>
      <c r="CP7" s="378" t="str">
        <f t="shared" ca="1" si="20"/>
        <v>-</v>
      </c>
      <c r="CQ7" s="378" t="str">
        <f t="shared" ca="1" si="20"/>
        <v>-</v>
      </c>
      <c r="CR7" s="510" t="str">
        <f ca="1">IFERROR(IF(LEFT(BW7,3)="Poo",INDEX($BE$4:$BJ$99,MATCH(CI7,$BG$4:$BG$99,0),6)*((15/50))*Calculation!$AK$6,INDEX(Calculation_Tab,MATCH(BV7,Identifier,0),10)/(IF(LEN(INDEX(Calculation_Tab,MATCH(BV7,Identifier,0),9))&gt;8,LEN(INDEX(Calculation_Tab,MATCH(BV7,Identifier,0),9))-8,1))*((15/50)*Calculation!$AK$6)),"-")</f>
        <v>-</v>
      </c>
      <c r="CS7" s="498" t="str">
        <f ca="1">IF(CI7="-","-",IF(COUNTIF($CI$3:CI7,CI7)&gt;1,0,IFERROR((35/50)*Calculation!$AK$6,"-")))</f>
        <v>-</v>
      </c>
    </row>
    <row r="8" spans="1:97" x14ac:dyDescent="0.5">
      <c r="A8" s="494" t="e">
        <f t="array" aca="1" ref="A8" ca="1">IF(IF((ROW(A8)-2)&lt;(Calculation!$E$6+1),INDEX(Plate_Barcode,MIN(IF(COUNTIF($A$2:A7,Plate_Barcode)=0,ROW(Plate_Barcode)-9))),"-")="","-",IF((ROW(A8)-2)&lt;(Calculation!$E$6+1),INDEX(Plate_Barcode,MIN(IF(COUNTIF($A$2:A7,Plate_Barcode)=0,ROW(Plate_Barcode)-9))),"-"))</f>
        <v>#DIV/0!</v>
      </c>
      <c r="B8" s="495" t="s">
        <v>298</v>
      </c>
      <c r="C8" s="282"/>
      <c r="D8" s="487" t="e">
        <f t="shared" si="0"/>
        <v>#DIV/0!</v>
      </c>
      <c r="E8" s="496" t="e">
        <f t="array" ref="E8">IF(IF((ROW(E8)-3)&lt;(ListAndConversion!$A$15),INDEX(Flow_Cell_Lane,MIN(IF(COUNTIF($E$2:E7,Flow_Cell_Lane)=0,ROW(Flow_Cell_Lane)-9))),"-")="","-",IF((ROW(E8)-3)&lt;(ListAndConversion!$A$15),INDEX(Flow_Cell_Lane,MIN(IF(COUNTIF($E$2:E7,Flow_Cell_Lane)=0,ROW(Flow_Cell_Lane)-9))),"-"))</f>
        <v>#DIV/0!</v>
      </c>
      <c r="F8" s="378" t="e">
        <f t="shared" si="1"/>
        <v>#DIV/0!</v>
      </c>
      <c r="G8" s="378" t="e">
        <f t="shared" si="2"/>
        <v>#DIV/0!</v>
      </c>
      <c r="H8" s="378" t="e">
        <f t="shared" si="2"/>
        <v>#DIV/0!</v>
      </c>
      <c r="I8" s="378" t="e">
        <f t="shared" si="2"/>
        <v>#DIV/0!</v>
      </c>
      <c r="J8" s="378" t="e">
        <f t="shared" si="2"/>
        <v>#DIV/0!</v>
      </c>
      <c r="K8" s="378" t="e">
        <f t="shared" si="2"/>
        <v>#DIV/0!</v>
      </c>
      <c r="L8" s="378" t="e">
        <f t="shared" si="2"/>
        <v>#DIV/0!</v>
      </c>
      <c r="M8" s="378" t="e">
        <f t="shared" si="2"/>
        <v>#DIV/0!</v>
      </c>
      <c r="N8" s="497" t="e">
        <f t="shared" si="3"/>
        <v>#DIV/0!</v>
      </c>
      <c r="O8" s="497" t="str">
        <f t="array" ref="O8">IFERROR(INDEX(Calculation!I:AN,MATCH(ListAndConversion!E8,Calculation!I:I,0),31),"-")</f>
        <v>-</v>
      </c>
      <c r="P8" s="498">
        <f>IF(COUNTIFS(Calculation!$I$10:$I$393,E8,Direct_Denaturation,"-")&lt;&gt;1,COUNTIFS(Calculation!$I$10:$I$393,E8,Direct_Denaturation,"-"),0)</f>
        <v>0</v>
      </c>
      <c r="Q8" s="378"/>
      <c r="R8" s="487" t="e">
        <f t="array" ref="R8">IF(IF((ROW(R8)-3)&lt;(Calculation!$H$6),INDEX(Flow_Cell,MIN(IF(COUNTIF($R$2:R7,Flow_Cell)=0,ROW(Flow_Cell)-9))),"-")="","-",IF((ROW(R8)-3)&lt;(Calculation!$H$6),INDEX(Flow_Cell,MIN(IF(COUNTIF($R$2:R7,Flow_Cell)=0,ROW(Flow_Cell)-9))),"-"))</f>
        <v>#DIV/0!</v>
      </c>
      <c r="S8" s="378" t="e">
        <f t="shared" si="4"/>
        <v>#DIV/0!</v>
      </c>
      <c r="T8" s="378">
        <v>6</v>
      </c>
      <c r="U8" s="498">
        <v>6</v>
      </c>
      <c r="V8" s="487">
        <v>5</v>
      </c>
      <c r="W8" s="497" t="s">
        <v>287</v>
      </c>
      <c r="X8" s="497" t="s">
        <v>299</v>
      </c>
      <c r="Y8" s="378">
        <v>5</v>
      </c>
      <c r="Z8" s="378" t="str">
        <f t="shared" ca="1" si="5"/>
        <v>-</v>
      </c>
      <c r="AA8" s="508" t="str">
        <f t="array" aca="1" ref="AA8" ca="1">IFERROR(INDEX(Calculation_Tab,SMALL(ROW(Sample_Intermediate_Dil)*(Sample_Intermediate_Dil&lt;&gt;"-"),COUNTIF(Sample_Intermediate_Dil,"-")+ROW()-3)-9,5),"-")</f>
        <v>-</v>
      </c>
      <c r="AB8" s="378" t="str">
        <f t="array" aca="1" ref="AB8" ca="1">IFERROR(INDEX($A$3:$B$12,MATCH(INDEX(Calculation_Tab,SMALL(ROW(Sample_Intermediate_Dil)*(Sample_Intermediate_Dil&lt;&gt;"-"),COUNTIF(Sample_Intermediate_Dil,"-")+ROW()-3)-9,5),$A$3:$A$12,0),2),"-")</f>
        <v>-</v>
      </c>
      <c r="AC8" s="509" t="str">
        <f t="array" aca="1" ref="AC8" ca="1">IFERROR(INDEX(Coordinate,MATCH(INDEX(Calculation_Tab,SMALL(ROW(Sample_Intermediate_Dil)*(Sample_Intermediate_Dil&lt;&gt;"-"),COUNTIF(Sample_Intermediate_Dil,"-")+ROW()-3)-9,6),$X$4:$X$99,0),2),"-")</f>
        <v>-</v>
      </c>
      <c r="AD8" s="510" t="str">
        <f t="array" aca="1" ref="AD8" ca="1">IFERROR(INDEX(Calculation_Tab,SMALL(ROW(Sample_Intermediate_Dil)*(Sample_Intermediate_Dil&lt;&gt;"-"),COUNTIF(Sample_Intermediate_Dil,"-")+ROW()-3)-9,24),"-")</f>
        <v>-</v>
      </c>
      <c r="AE8" s="510" t="str">
        <f t="array" aca="1" ref="AE8" ca="1">IFERROR(INDEX(Calculation_Tab,SMALL(ROW(Sample_Intermediate_Dil)*(Sample_Intermediate_Dil&lt;&gt;"-"),COUNTIF(Sample_Intermediate_Dil,"-")+ROW()-3)-9,25),"-")</f>
        <v>-</v>
      </c>
      <c r="AF8" s="510" t="str">
        <f t="array" aca="1" ref="AF8" ca="1">IFERROR(INDEX(Calculation_Tab,SMALL(ROW(Sample_Intermediate_Dil)*(Sample_Intermediate_Dil&lt;&gt;"-"),COUNTIF(Sample_Intermediate_Dil,"-")+ROW()-3)-9,26),"-")</f>
        <v>-</v>
      </c>
      <c r="AG8" s="511" t="str">
        <f t="array" aca="1" ref="AG8" ca="1">IFERROR(INDEX(Calculation_Tab,SMALL(ROW(Sample_Intermediate_Dil)*(Sample_Intermediate_Dil&lt;&gt;"-"),COUNTIF(Sample_Intermediate_Dil,"-")+ROW()-3)-9,27),"-")</f>
        <v>-</v>
      </c>
      <c r="AI8" s="487">
        <v>5</v>
      </c>
      <c r="AJ8" s="497" t="s">
        <v>160</v>
      </c>
      <c r="AK8" s="378">
        <v>5</v>
      </c>
      <c r="AL8" s="378" t="str">
        <f t="shared" ca="1" si="6"/>
        <v>-</v>
      </c>
      <c r="AM8" s="378" t="str">
        <f t="array" aca="1" ref="AM8" ca="1">IFERROR(IF(AI8&lt;=$AB$2,"-",INDEX(Calculation_Tab,SMALL(ROW(Main_Dil)*(Main_Dil&lt;&gt;"-"),COUNTIF(Main_Dil,"-")+ROW()-3-$AB$2)-9,5)),"-")</f>
        <v>-</v>
      </c>
      <c r="AN8" s="378" t="str">
        <f t="array" aca="1" ref="AN8" ca="1">IFERROR(IF(AI8&lt;=$AB$2,"-",INDEX($A$3:$B$12,MATCH(INDEX(Calculation_Tab,SMALL(ROW(Main_Dil)*(Main_Dil&lt;&gt;"-"),COUNTIF(Main_Dil,"-")+ROW()-3-$AB$2)-9,5),$A$3:$A$12,0),2)),"-")</f>
        <v>-</v>
      </c>
      <c r="AO8" s="378" t="str">
        <f t="array" aca="1" ref="AO8" ca="1">IFERROR(IF(AI8&lt;=$AB$2,"-",INDEX(Coordinate,MATCH(INDEX(Calculation_Tab,SMALL(ROW(Main_Dil)*(Main_Dil&lt;&gt;"-"),COUNTIF(Main_Dil,"-")+ROW()-3-$AB$2)-9,6),$X$4:$X$99,0),2)),"-")</f>
        <v>-</v>
      </c>
      <c r="AP8" s="510" t="str">
        <f t="array" aca="1" ref="AP8" ca="1">IFERROR(IF(AI8&lt;=$AB$2,"-",INDEX(Calculation_Tab,SMALL(ROW(Main_Dil)*(Main_Dil&lt;&gt;"-"),COUNTIF(Main_Dil,"-")+ROW()-3-$AB$2)-9,21)),"-")</f>
        <v>-</v>
      </c>
      <c r="AQ8" s="511" t="str">
        <f t="array" aca="1" ref="AQ8" ca="1">IFERROR(IF(AI8&lt;=$AB$2,"-",INDEX(Calculation_Tab,SMALL(ROW(Main_Dil)*(Main_Dil&lt;&gt;"-"),COUNTIF(Main_Dil,"-")+ROW()-3-$AB$2)-9,22)),"-")</f>
        <v>-</v>
      </c>
      <c r="AR8" s="487" t="str">
        <f t="shared" ca="1" si="7"/>
        <v>-</v>
      </c>
      <c r="AS8" s="378">
        <v>5</v>
      </c>
      <c r="AT8" s="497" t="s">
        <v>160</v>
      </c>
      <c r="AU8" s="498">
        <v>5</v>
      </c>
      <c r="AV8" s="378" t="str">
        <f t="shared" ca="1" si="8"/>
        <v>-</v>
      </c>
      <c r="AW8" s="378" t="str">
        <f t="array" aca="1" ref="AW8" ca="1">IFERROR(IF(AS8&lt;=$AB$2+$AN$2,"-",INDEX(Calculation_Tab,SMALL(ROW(Direct_Denaturation)*(Direct_Denaturation&lt;&gt;"-"),COUNTIF(Direct_Denaturation,"-")+ROW()-3-$AB$2-$AN$2)-9,5)),"-")</f>
        <v>-</v>
      </c>
      <c r="AX8" s="378" t="str">
        <f t="array" aca="1" ref="AX8" ca="1">IFERROR(IF(AS8&lt;=$AB$2+$AN$2,"-",INDEX($A$3:$B$12,MATCH(INDEX(Calculation_Tab,SMALL(ROW(Direct_Denaturation)*(Direct_Denaturation&lt;&gt;"-"),COUNTIF(Direct_Denaturation,"-")+ROW()-3-$AB$2-$AN$2)-9,5),$A$3:$A$12,0),2)),"-")</f>
        <v>-</v>
      </c>
      <c r="AY8" s="378" t="str">
        <f t="array" aca="1" ref="AY8" ca="1">IFERROR(IF(AS8&lt;=$AB$2+$AN$2,"-",INDEX(Coordinate,MATCH(INDEX(Calculation_Tab,SMALL(ROW(Direct_Denaturation)*(Direct_Denaturation&lt;&gt;"-"),COUNTIF(Direct_Denaturation,"-")+ROW()-3-$AB$2-$AN$2)-9,6),$X$4:$X$99,0),2)),"-")</f>
        <v>-</v>
      </c>
      <c r="AZ8" s="510" t="str">
        <f t="array" aca="1" ref="AZ8" ca="1">IFERROR(IF(AS8&lt;=$AB$2+$AN$2,"-",INDEX(Calculation_Tab,SMALL(ROW(Direct_Denaturation)*(Direct_Denaturation&lt;&gt;"-"),COUNTIF(Direct_Denaturation,"-")+ROW()-3-$AB$2-$AN$2)-9,32)),"-")</f>
        <v>-</v>
      </c>
      <c r="BA8" s="510" t="str">
        <f t="array" aca="1" ref="BA8" ca="1">IFERROR(IF(AS8&lt;=$AB$2+$AN$2,"-",INDEX(Calculation_Tab,SMALL(ROW(Direct_Denaturation)*(Direct_Denaturation&lt;&gt;"-"),COUNTIF(Direct_Denaturation,"-")+ROW()-3-$AB$2-$AN$2)-9,34)),"-")</f>
        <v>-</v>
      </c>
      <c r="BB8" s="510" t="str">
        <f t="array" aca="1" ref="BB8" ca="1">IFERROR(IF(AS8&lt;=$AB$2+$AN$2,"-",INDEX(Calculation_Tab,SMALL(ROW(Direct_Denaturation)*(Direct_Denaturation&lt;&gt;"-"),COUNTIF(Direct_Denaturation,"-")+ROW()-3-$AB$2-$AN$2)-9,33)),"-")</f>
        <v>-</v>
      </c>
      <c r="BC8" s="510" t="str">
        <f t="array" aca="1" ref="BC8" ca="1">IFERROR(IF(AS8&lt;=$AB$2+$AN$2,"-",INDEX(Calculation_Tab,SMALL(ROW(Direct_Denaturation)*(Direct_Denaturation&lt;&gt;"-"),COUNTIF(Direct_Denaturation,"-")+ROW()-3-$AB$2-$AN$2)-9,35)),"-")</f>
        <v>-</v>
      </c>
      <c r="BD8" s="511" t="str">
        <f t="shared" ca="1" si="9"/>
        <v>-</v>
      </c>
      <c r="BE8" s="494" t="s">
        <v>300</v>
      </c>
      <c r="BF8" s="378">
        <v>5</v>
      </c>
      <c r="BG8" s="515" t="str">
        <v>-</v>
      </c>
      <c r="BH8" s="516" t="str">
        <f>IFERROR(IF((Calculation!$AR$6/INDEX(ListAndConversion!D:P,MATCH(BG8,E:E,0),13))&lt;Calculation!$O$6,INDEX(ListAndConversion!D:P,MATCH(BG8,E:E,0),13)*Calculation!$O$6,Calculation!$AR$6),"-")</f>
        <v>-</v>
      </c>
      <c r="BI8" s="517" t="str">
        <f t="shared" si="10"/>
        <v>-</v>
      </c>
      <c r="BJ8" s="518" t="str">
        <f t="shared" si="11"/>
        <v>-</v>
      </c>
      <c r="BK8" s="378" t="s">
        <v>158</v>
      </c>
      <c r="BL8" s="378">
        <v>5</v>
      </c>
      <c r="BM8" s="487" t="str">
        <f t="array" aca="1" ref="BM8" ca="1">IFERROR(INDEX(Calculation_Tab,SMALL(ROW(ToPool)*(ToPool&lt;&gt;"-"),COUNTIF(ToPool,"-")+ROW()-3)-9,3),"-")</f>
        <v>-</v>
      </c>
      <c r="BN8" s="378" t="str">
        <f t="shared" ca="1" si="12"/>
        <v>-</v>
      </c>
      <c r="BO8" s="378" t="str">
        <f t="shared" ca="1" si="13"/>
        <v>-</v>
      </c>
      <c r="BP8" s="523" t="str">
        <f t="shared" ca="1" si="14"/>
        <v>-</v>
      </c>
      <c r="BQ8" s="378" t="str">
        <f t="array" aca="1" ref="BQ8" ca="1">IFERROR(INDEX(BE:BG,MATCH(INDEX(Calculation_Tab,SMALL(ROW(ToPool)*(ToPool&lt;&gt;"-"),COUNTIF(ToPool,"-")+ROW()-3)-9,9),BG:BG,0),2),"-")</f>
        <v>-</v>
      </c>
      <c r="BR8" s="510" t="str">
        <f t="shared" ca="1" si="15"/>
        <v>-</v>
      </c>
      <c r="BS8" s="511" t="str">
        <f t="shared" ca="1" si="16"/>
        <v>-</v>
      </c>
      <c r="BT8" s="378" t="s">
        <v>164</v>
      </c>
      <c r="BU8" s="487" t="str">
        <f t="shared" ca="1" si="21"/>
        <v>-</v>
      </c>
      <c r="BV8" s="487" t="str">
        <f t="array" aca="1" ref="BV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8" s="378" t="str">
        <f t="shared" ca="1" si="17"/>
        <v>-</v>
      </c>
      <c r="BX8" s="378" t="str">
        <f t="shared" ca="1" si="18"/>
        <v>-</v>
      </c>
      <c r="BY8" s="510" t="str">
        <f ca="1">IFERROR(ROUND(INDEX(Cluster,MATCH(IF(LEFT(BV8,4)="Pool",INDEX(Cluster,MATCH(INDEX(Calculation_Tab,MATCH(INDEX($BE$4:$BJ$99,MATCH(BV8,$BE$4:$BE$99,0),3),Flow_Cell_Lane,0),3),Cluster!$F$29:$F$412,0),6),BV8),Identifier_Cluster,0),19)*IF(LEFT(BV8,4)="pool",IF(LEN(INDEX($BE$4:$BJ$99,MATCH(BV8,$BE$4:$BE$99,0),3))=10,2,IF(LEN(INDEX($BE$4:$BJ$99,MATCH(BV8,$BE$4:$BE$99,0),3))&gt;10,LEN(INDEX($BE$4:$BJ$99,MATCH(BV8,$BE$4:$BE$99,0),3))-8,1)),1)*IF(LEFT(BV8,4)="pool",IF(INDEX($BE$4:$BJ$99,MATCH(BV8,$BE$4:$BE$99,0),6)&lt;1,1,INDEX($BE$4:$BJ$99,MATCH(BV8,$BE$4:$BE$99,0),6)),INDEX(Calculation_Tab,MATCH(BV8,Identifier,0),10)),1)*(1+Calculation!$Q$6),"-")</f>
        <v>-</v>
      </c>
      <c r="BZ8" s="378" t="str">
        <f ca="1">IFERROR((0.5/50)*CE8/Calculation!$AG$6*(IF(LEFT(BV8,4)="Pool",IF(LEN(INDEX($BE$4:$BJ$99,MATCH(BV8,$BE$4:$BE$99,0),3))=10,2,IF(LEN(INDEX($BE$4:$BJ$99,MATCH(BV8,$BE$4:$BE$99,0),3))&gt;10,LEN(INDEX($BE$4:$BJ$99,MATCH(BV8,$BE$4:$BE$99,0),3))-8,1)),IF(INDEX(Calculation_Tab,MATCH(BV8,Identifier,0),10)&gt;1,INDEX(Calculation_Tab,MATCH(BV8,Identifier,0),10),1)))*(1+Calculation!$Q$6),"-")</f>
        <v>-</v>
      </c>
      <c r="CA8" s="510" t="str">
        <f ca="1">IFERROR(IF((BZ8*Calculation!$AG$6/0.05)-SUM(BY8:BZ8,CC8)&gt;0,(BZ8*Calculation!$AG$6/0.05)-SUM(BY8:BZ8,CC8),0),"-")</f>
        <v>-</v>
      </c>
      <c r="CB8" s="510" t="str">
        <f ca="1">IFERROR(5/50*CE8*(IF(LEFT(BV8,4)="Pool",IF(LEN(INDEX($BE$4:$BJ$99,MATCH(BV8,$BE$4:$BE$99,0),3))=10,2,IF(LEN(INDEX($BE$4:$BJ$99,MATCH(BV8,$BE$4:$BE$99,0),3))&gt;10,LEN(INDEX($BE$4:$BJ$99,MATCH(BV8,$BE$4:$BE$99,0),3))-8,1)),IF(INDEX(Calculation_Tab,MATCH(BV8,Identifier,0),10)&gt;1,INDEX(Calculation_Tab,MATCH(BV8,Identifier,0),10),1)))*(1+Calculation!$Q$6),"-")</f>
        <v>-</v>
      </c>
      <c r="CC8" s="508" t="str">
        <f ca="1">IFERROR(ROUND(INDEX(Cluster,MATCH(IF(LEFT(BV8,4)="Pool",INDEX(Cluster,MATCH(INDEX(Calculation_Tab,MATCH(INDEX($BE$4:$BJ$99,MATCH(BV8,$BE$4:$BE$99,0),3),Flow_Cell_Lane,0),3),Cluster!$F$29:$F$412,0),6),BV8),Identifier_Cluster,0),20)*IF(LEFT(BV8,4)="pool",IF(LEN(INDEX($BE$4:$BJ$99,MATCH(BV8,$BE$4:$BE$99,0),3))=10,2,IF(LEN(INDEX($BE$4:$BJ$99,MATCH(BV8,$BE$4:$BE$99,0),3))&gt;10,LEN(INDEX($BE$4:$BJ$99,MATCH(BV8,$BE$4:$BE$99,0),3))-8,1)),1)*IF(LEFT(BV8,4)="pool",IF(INDEX($BE$4:$BJ$99,MATCH(BV8,$BE$4:$BE$99,0),6)&lt;1,1,INDEX($BE$4:$BJ$99,MATCH(BV8,$BE$4:$BE$99,0),6)),INDEX(Calculation_Tab,MATCH(BV8,Identifier,0),10)),1)*(1+Calculation!$Q$6),"-")</f>
        <v>-</v>
      </c>
      <c r="CD8" s="509" t="str">
        <f ca="1">IFERROR(INDEX(Cluster!AC:AD,MATCH(IF(LEFT(BV8,4)="Pool",INDEX(Cluster!$D$29:$AA$412,MATCH(INDEX(Calculation_Tab,MATCH(INDEX($BE$4:$BJ$99,MATCH(BV8,$BE$4:$BE$99,0),3),Flow_Cell_Lane,0),3),Cluster!$F$29:$F$412,0),24),INDEX(Cluster!$D$29:$AA$412,MATCH(BV8,Cluster!$F$29:$F$412,0),24)),Cluster!AC:AC,0),2),"-")</f>
        <v>-</v>
      </c>
      <c r="CE8" s="378" t="str">
        <f ca="1">IFERROR(IF(BV8&lt;&gt;"-",Calculation!$AK$6,"-"),"-")</f>
        <v>-</v>
      </c>
      <c r="CF8" s="378" t="str">
        <f ca="1">IF(OR(LEFT(ListAndConversion!BW8,3)="Dil",LEFT(ListAndConversion!BW8,3)="Poo"),ListAndConversion!$BT$4,IF(LEFT(ListAndConversion!BW8,3)="Sou",INDEX(ListAndConversion!$AT$3:$AV$387,MATCH(ListAndConversion!BV8,ListAndConversion!$AV$3:$AV$387,0),1),"-"))</f>
        <v>-</v>
      </c>
      <c r="CG8" s="498" t="str">
        <f ca="1">IF(OR(LEFT(ListAndConversion!BW8,3)="Dil",LEFT(ListAndConversion!BW8,3)="Poo"),ListAndConversion!BU8,IF(LEFT(ListAndConversion!BW8,3)="Sou",INDEX(ListAndConversion!$AT$4:$AV$387,MATCH(ListAndConversion!BV8,ListAndConversion!$AV$4:$AV$387,0),2),"-"))</f>
        <v>-</v>
      </c>
      <c r="CH8"/>
      <c r="CI8" s="487" t="str">
        <f t="shared" ca="1" si="19"/>
        <v>-</v>
      </c>
      <c r="CJ8" s="378" t="str">
        <f t="shared" ca="1" si="20"/>
        <v>-</v>
      </c>
      <c r="CK8" s="378" t="str">
        <f t="shared" ca="1" si="20"/>
        <v>-</v>
      </c>
      <c r="CL8" s="378" t="str">
        <f t="shared" ca="1" si="20"/>
        <v>-</v>
      </c>
      <c r="CM8" s="378" t="str">
        <f t="shared" ca="1" si="20"/>
        <v>-</v>
      </c>
      <c r="CN8" s="378" t="str">
        <f t="shared" ca="1" si="20"/>
        <v>-</v>
      </c>
      <c r="CO8" s="378" t="str">
        <f t="shared" ca="1" si="20"/>
        <v>-</v>
      </c>
      <c r="CP8" s="378" t="str">
        <f t="shared" ca="1" si="20"/>
        <v>-</v>
      </c>
      <c r="CQ8" s="378" t="str">
        <f t="shared" ca="1" si="20"/>
        <v>-</v>
      </c>
      <c r="CR8" s="510" t="str">
        <f ca="1">IFERROR(IF(LEFT(BW8,3)="Poo",INDEX($BE$4:$BJ$99,MATCH(CI8,$BG$4:$BG$99,0),6)*((15/50))*Calculation!$AK$6,INDEX(Calculation_Tab,MATCH(BV8,Identifier,0),10)/(IF(LEN(INDEX(Calculation_Tab,MATCH(BV8,Identifier,0),9))&gt;8,LEN(INDEX(Calculation_Tab,MATCH(BV8,Identifier,0),9))-8,1))*((15/50)*Calculation!$AK$6)),"-")</f>
        <v>-</v>
      </c>
      <c r="CS8" s="498" t="str">
        <f ca="1">IF(CI8="-","-",IF(COUNTIF($CI$3:CI8,CI8)&gt;1,0,IFERROR((35/50)*Calculation!$AK$6,"-")))</f>
        <v>-</v>
      </c>
    </row>
    <row r="9" spans="1:97" x14ac:dyDescent="0.5">
      <c r="A9" s="494" t="e">
        <f t="array" aca="1" ref="A9" ca="1">IF(IF((ROW(A9)-2)&lt;(Calculation!$E$6+1),INDEX(Plate_Barcode,MIN(IF(COUNTIF($A$2:A8,Plate_Barcode)=0,ROW(Plate_Barcode)-9))),"-")="","-",IF((ROW(A9)-2)&lt;(Calculation!$E$6+1),INDEX(Plate_Barcode,MIN(IF(COUNTIF($A$2:A8,Plate_Barcode)=0,ROW(Plate_Barcode)-9))),"-"))</f>
        <v>#DIV/0!</v>
      </c>
      <c r="B9" s="495" t="s">
        <v>301</v>
      </c>
      <c r="C9" s="282"/>
      <c r="D9" s="487" t="e">
        <f t="shared" si="0"/>
        <v>#DIV/0!</v>
      </c>
      <c r="E9" s="496" t="e">
        <f t="array" ref="E9">IF(IF((ROW(E9)-3)&lt;(ListAndConversion!$A$15),INDEX(Flow_Cell_Lane,MIN(IF(COUNTIF($E$2:E8,Flow_Cell_Lane)=0,ROW(Flow_Cell_Lane)-9))),"-")="","-",IF((ROW(E9)-3)&lt;(ListAndConversion!$A$15),INDEX(Flow_Cell_Lane,MIN(IF(COUNTIF($E$2:E8,Flow_Cell_Lane)=0,ROW(Flow_Cell_Lane)-9))),"-"))</f>
        <v>#DIV/0!</v>
      </c>
      <c r="F9" s="378" t="e">
        <f t="shared" si="1"/>
        <v>#DIV/0!</v>
      </c>
      <c r="G9" s="378" t="e">
        <f t="shared" si="2"/>
        <v>#DIV/0!</v>
      </c>
      <c r="H9" s="378" t="e">
        <f t="shared" si="2"/>
        <v>#DIV/0!</v>
      </c>
      <c r="I9" s="378" t="e">
        <f t="shared" si="2"/>
        <v>#DIV/0!</v>
      </c>
      <c r="J9" s="378" t="e">
        <f t="shared" si="2"/>
        <v>#DIV/0!</v>
      </c>
      <c r="K9" s="378" t="e">
        <f t="shared" si="2"/>
        <v>#DIV/0!</v>
      </c>
      <c r="L9" s="378" t="e">
        <f t="shared" si="2"/>
        <v>#DIV/0!</v>
      </c>
      <c r="M9" s="378" t="e">
        <f t="shared" si="2"/>
        <v>#DIV/0!</v>
      </c>
      <c r="N9" s="497" t="e">
        <f t="shared" si="3"/>
        <v>#DIV/0!</v>
      </c>
      <c r="O9" s="497" t="str">
        <f t="array" ref="O9">IFERROR(INDEX(Calculation!I:AN,MATCH(ListAndConversion!E9,Calculation!I:I,0),31),"-")</f>
        <v>-</v>
      </c>
      <c r="P9" s="498">
        <f>IF(COUNTIFS(Calculation!$I$10:$I$393,E9,Direct_Denaturation,"-")&lt;&gt;1,COUNTIFS(Calculation!$I$10:$I$393,E9,Direct_Denaturation,"-"),0)</f>
        <v>0</v>
      </c>
      <c r="Q9" s="378"/>
      <c r="R9" s="487" t="e">
        <f t="array" ref="R9">IF(IF((ROW(R9)-3)&lt;(Calculation!$H$6),INDEX(Flow_Cell,MIN(IF(COUNTIF($R$2:R8,Flow_Cell)=0,ROW(Flow_Cell)-9))),"-")="","-",IF((ROW(R9)-3)&lt;(Calculation!$H$6),INDEX(Flow_Cell,MIN(IF(COUNTIF($R$2:R8,Flow_Cell)=0,ROW(Flow_Cell)-9))),"-"))</f>
        <v>#DIV/0!</v>
      </c>
      <c r="S9" s="378" t="e">
        <f t="shared" si="4"/>
        <v>#DIV/0!</v>
      </c>
      <c r="T9" s="378">
        <v>7</v>
      </c>
      <c r="U9" s="498">
        <v>7</v>
      </c>
      <c r="V9" s="487">
        <v>6</v>
      </c>
      <c r="W9" s="497" t="s">
        <v>287</v>
      </c>
      <c r="X9" s="497" t="s">
        <v>302</v>
      </c>
      <c r="Y9" s="378">
        <v>6</v>
      </c>
      <c r="Z9" s="378" t="str">
        <f t="shared" ca="1" si="5"/>
        <v>-</v>
      </c>
      <c r="AA9" s="508" t="str">
        <f t="array" aca="1" ref="AA9" ca="1">IFERROR(INDEX(Calculation_Tab,SMALL(ROW(Sample_Intermediate_Dil)*(Sample_Intermediate_Dil&lt;&gt;"-"),COUNTIF(Sample_Intermediate_Dil,"-")+ROW()-3)-9,5),"-")</f>
        <v>-</v>
      </c>
      <c r="AB9" s="378" t="str">
        <f t="array" aca="1" ref="AB9" ca="1">IFERROR(INDEX($A$3:$B$12,MATCH(INDEX(Calculation_Tab,SMALL(ROW(Sample_Intermediate_Dil)*(Sample_Intermediate_Dil&lt;&gt;"-"),COUNTIF(Sample_Intermediate_Dil,"-")+ROW()-3)-9,5),$A$3:$A$12,0),2),"-")</f>
        <v>-</v>
      </c>
      <c r="AC9" s="509" t="str">
        <f t="array" aca="1" ref="AC9" ca="1">IFERROR(INDEX(Coordinate,MATCH(INDEX(Calculation_Tab,SMALL(ROW(Sample_Intermediate_Dil)*(Sample_Intermediate_Dil&lt;&gt;"-"),COUNTIF(Sample_Intermediate_Dil,"-")+ROW()-3)-9,6),$X$4:$X$99,0),2),"-")</f>
        <v>-</v>
      </c>
      <c r="AD9" s="510" t="str">
        <f t="array" aca="1" ref="AD9" ca="1">IFERROR(INDEX(Calculation_Tab,SMALL(ROW(Sample_Intermediate_Dil)*(Sample_Intermediate_Dil&lt;&gt;"-"),COUNTIF(Sample_Intermediate_Dil,"-")+ROW()-3)-9,24),"-")</f>
        <v>-</v>
      </c>
      <c r="AE9" s="510" t="str">
        <f t="array" aca="1" ref="AE9" ca="1">IFERROR(INDEX(Calculation_Tab,SMALL(ROW(Sample_Intermediate_Dil)*(Sample_Intermediate_Dil&lt;&gt;"-"),COUNTIF(Sample_Intermediate_Dil,"-")+ROW()-3)-9,25),"-")</f>
        <v>-</v>
      </c>
      <c r="AF9" s="510" t="str">
        <f t="array" aca="1" ref="AF9" ca="1">IFERROR(INDEX(Calculation_Tab,SMALL(ROW(Sample_Intermediate_Dil)*(Sample_Intermediate_Dil&lt;&gt;"-"),COUNTIF(Sample_Intermediate_Dil,"-")+ROW()-3)-9,26),"-")</f>
        <v>-</v>
      </c>
      <c r="AG9" s="511" t="str">
        <f t="array" aca="1" ref="AG9" ca="1">IFERROR(INDEX(Calculation_Tab,SMALL(ROW(Sample_Intermediate_Dil)*(Sample_Intermediate_Dil&lt;&gt;"-"),COUNTIF(Sample_Intermediate_Dil,"-")+ROW()-3)-9,27),"-")</f>
        <v>-</v>
      </c>
      <c r="AI9" s="487">
        <v>6</v>
      </c>
      <c r="AJ9" s="497" t="s">
        <v>160</v>
      </c>
      <c r="AK9" s="378">
        <v>6</v>
      </c>
      <c r="AL9" s="378" t="str">
        <f t="shared" ca="1" si="6"/>
        <v>-</v>
      </c>
      <c r="AM9" s="378" t="str">
        <f t="array" aca="1" ref="AM9" ca="1">IFERROR(IF(AI9&lt;=$AB$2,"-",INDEX(Calculation_Tab,SMALL(ROW(Main_Dil)*(Main_Dil&lt;&gt;"-"),COUNTIF(Main_Dil,"-")+ROW()-3-$AB$2)-9,5)),"-")</f>
        <v>-</v>
      </c>
      <c r="AN9" s="378" t="str">
        <f t="array" aca="1" ref="AN9" ca="1">IFERROR(IF(AI9&lt;=$AB$2,"-",INDEX($A$3:$B$12,MATCH(INDEX(Calculation_Tab,SMALL(ROW(Main_Dil)*(Main_Dil&lt;&gt;"-"),COUNTIF(Main_Dil,"-")+ROW()-3-$AB$2)-9,5),$A$3:$A$12,0),2)),"-")</f>
        <v>-</v>
      </c>
      <c r="AO9" s="378" t="str">
        <f t="array" aca="1" ref="AO9" ca="1">IFERROR(IF(AI9&lt;=$AB$2,"-",INDEX(Coordinate,MATCH(INDEX(Calculation_Tab,SMALL(ROW(Main_Dil)*(Main_Dil&lt;&gt;"-"),COUNTIF(Main_Dil,"-")+ROW()-3-$AB$2)-9,6),$X$4:$X$99,0),2)),"-")</f>
        <v>-</v>
      </c>
      <c r="AP9" s="510" t="str">
        <f t="array" aca="1" ref="AP9" ca="1">IFERROR(IF(AI9&lt;=$AB$2,"-",INDEX(Calculation_Tab,SMALL(ROW(Main_Dil)*(Main_Dil&lt;&gt;"-"),COUNTIF(Main_Dil,"-")+ROW()-3-$AB$2)-9,21)),"-")</f>
        <v>-</v>
      </c>
      <c r="AQ9" s="511" t="str">
        <f t="array" aca="1" ref="AQ9" ca="1">IFERROR(IF(AI9&lt;=$AB$2,"-",INDEX(Calculation_Tab,SMALL(ROW(Main_Dil)*(Main_Dil&lt;&gt;"-"),COUNTIF(Main_Dil,"-")+ROW()-3-$AB$2)-9,22)),"-")</f>
        <v>-</v>
      </c>
      <c r="AR9" s="487" t="str">
        <f t="shared" ca="1" si="7"/>
        <v>-</v>
      </c>
      <c r="AS9" s="378">
        <v>6</v>
      </c>
      <c r="AT9" s="497" t="s">
        <v>160</v>
      </c>
      <c r="AU9" s="498">
        <v>6</v>
      </c>
      <c r="AV9" s="378" t="str">
        <f t="shared" ca="1" si="8"/>
        <v>-</v>
      </c>
      <c r="AW9" s="378" t="str">
        <f t="array" aca="1" ref="AW9" ca="1">IFERROR(IF(AS9&lt;=$AB$2+$AN$2,"-",INDEX(Calculation_Tab,SMALL(ROW(Direct_Denaturation)*(Direct_Denaturation&lt;&gt;"-"),COUNTIF(Direct_Denaturation,"-")+ROW()-3-$AB$2-$AN$2)-9,5)),"-")</f>
        <v>-</v>
      </c>
      <c r="AX9" s="378" t="str">
        <f t="array" aca="1" ref="AX9" ca="1">IFERROR(IF(AS9&lt;=$AB$2+$AN$2,"-",INDEX($A$3:$B$12,MATCH(INDEX(Calculation_Tab,SMALL(ROW(Direct_Denaturation)*(Direct_Denaturation&lt;&gt;"-"),COUNTIF(Direct_Denaturation,"-")+ROW()-3-$AB$2-$AN$2)-9,5),$A$3:$A$12,0),2)),"-")</f>
        <v>-</v>
      </c>
      <c r="AY9" s="378" t="str">
        <f t="array" aca="1" ref="AY9" ca="1">IFERROR(IF(AS9&lt;=$AB$2+$AN$2,"-",INDEX(Coordinate,MATCH(INDEX(Calculation_Tab,SMALL(ROW(Direct_Denaturation)*(Direct_Denaturation&lt;&gt;"-"),COUNTIF(Direct_Denaturation,"-")+ROW()-3-$AB$2-$AN$2)-9,6),$X$4:$X$99,0),2)),"-")</f>
        <v>-</v>
      </c>
      <c r="AZ9" s="510" t="str">
        <f t="array" aca="1" ref="AZ9" ca="1">IFERROR(IF(AS9&lt;=$AB$2+$AN$2,"-",INDEX(Calculation_Tab,SMALL(ROW(Direct_Denaturation)*(Direct_Denaturation&lt;&gt;"-"),COUNTIF(Direct_Denaturation,"-")+ROW()-3-$AB$2-$AN$2)-9,32)),"-")</f>
        <v>-</v>
      </c>
      <c r="BA9" s="510" t="str">
        <f t="array" aca="1" ref="BA9" ca="1">IFERROR(IF(AS9&lt;=$AB$2+$AN$2,"-",INDEX(Calculation_Tab,SMALL(ROW(Direct_Denaturation)*(Direct_Denaturation&lt;&gt;"-"),COUNTIF(Direct_Denaturation,"-")+ROW()-3-$AB$2-$AN$2)-9,34)),"-")</f>
        <v>-</v>
      </c>
      <c r="BB9" s="510" t="str">
        <f t="array" aca="1" ref="BB9" ca="1">IFERROR(IF(AS9&lt;=$AB$2+$AN$2,"-",INDEX(Calculation_Tab,SMALL(ROW(Direct_Denaturation)*(Direct_Denaturation&lt;&gt;"-"),COUNTIF(Direct_Denaturation,"-")+ROW()-3-$AB$2-$AN$2)-9,33)),"-")</f>
        <v>-</v>
      </c>
      <c r="BC9" s="510" t="str">
        <f t="array" aca="1" ref="BC9" ca="1">IFERROR(IF(AS9&lt;=$AB$2+$AN$2,"-",INDEX(Calculation_Tab,SMALL(ROW(Direct_Denaturation)*(Direct_Denaturation&lt;&gt;"-"),COUNTIF(Direct_Denaturation,"-")+ROW()-3-$AB$2-$AN$2)-9,35)),"-")</f>
        <v>-</v>
      </c>
      <c r="BD9" s="511" t="str">
        <f t="shared" ca="1" si="9"/>
        <v>-</v>
      </c>
      <c r="BE9" s="494" t="s">
        <v>303</v>
      </c>
      <c r="BF9" s="378">
        <v>6</v>
      </c>
      <c r="BG9" s="515" t="str">
        <v>-</v>
      </c>
      <c r="BH9" s="516" t="str">
        <f>IFERROR(IF((Calculation!$AR$6/INDEX(ListAndConversion!D:P,MATCH(BG9,E:E,0),13))&lt;Calculation!$O$6,INDEX(ListAndConversion!D:P,MATCH(BG9,E:E,0),13)*Calculation!$O$6,Calculation!$AR$6),"-")</f>
        <v>-</v>
      </c>
      <c r="BI9" s="517" t="str">
        <f t="shared" si="10"/>
        <v>-</v>
      </c>
      <c r="BJ9" s="518" t="str">
        <f t="shared" si="11"/>
        <v>-</v>
      </c>
      <c r="BK9" s="378" t="s">
        <v>158</v>
      </c>
      <c r="BL9" s="378">
        <v>6</v>
      </c>
      <c r="BM9" s="487" t="str">
        <f t="array" aca="1" ref="BM9" ca="1">IFERROR(INDEX(Calculation_Tab,SMALL(ROW(ToPool)*(ToPool&lt;&gt;"-"),COUNTIF(ToPool,"-")+ROW()-3)-9,3),"-")</f>
        <v>-</v>
      </c>
      <c r="BN9" s="378" t="str">
        <f t="shared" ca="1" si="12"/>
        <v>-</v>
      </c>
      <c r="BO9" s="378" t="str">
        <f t="shared" ca="1" si="13"/>
        <v>-</v>
      </c>
      <c r="BP9" s="523" t="str">
        <f t="shared" ca="1" si="14"/>
        <v>-</v>
      </c>
      <c r="BQ9" s="378" t="str">
        <f t="array" aca="1" ref="BQ9" ca="1">IFERROR(INDEX(BE:BG,MATCH(INDEX(Calculation_Tab,SMALL(ROW(ToPool)*(ToPool&lt;&gt;"-"),COUNTIF(ToPool,"-")+ROW()-3)-9,9),BG:BG,0),2),"-")</f>
        <v>-</v>
      </c>
      <c r="BR9" s="510" t="str">
        <f t="shared" ca="1" si="15"/>
        <v>-</v>
      </c>
      <c r="BS9" s="511" t="str">
        <f t="shared" ca="1" si="16"/>
        <v>-</v>
      </c>
      <c r="BT9" s="378" t="s">
        <v>164</v>
      </c>
      <c r="BU9" s="487" t="str">
        <f t="shared" ca="1" si="21"/>
        <v>-</v>
      </c>
      <c r="BV9" s="487" t="str">
        <f t="array" aca="1" ref="BV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9" s="378" t="str">
        <f t="shared" ca="1" si="17"/>
        <v>-</v>
      </c>
      <c r="BX9" s="378" t="str">
        <f t="shared" ca="1" si="18"/>
        <v>-</v>
      </c>
      <c r="BY9" s="510" t="str">
        <f ca="1">IFERROR(ROUND(INDEX(Cluster,MATCH(IF(LEFT(BV9,4)="Pool",INDEX(Cluster,MATCH(INDEX(Calculation_Tab,MATCH(INDEX($BE$4:$BJ$99,MATCH(BV9,$BE$4:$BE$99,0),3),Flow_Cell_Lane,0),3),Cluster!$F$29:$F$412,0),6),BV9),Identifier_Cluster,0),19)*IF(LEFT(BV9,4)="pool",IF(LEN(INDEX($BE$4:$BJ$99,MATCH(BV9,$BE$4:$BE$99,0),3))=10,2,IF(LEN(INDEX($BE$4:$BJ$99,MATCH(BV9,$BE$4:$BE$99,0),3))&gt;10,LEN(INDEX($BE$4:$BJ$99,MATCH(BV9,$BE$4:$BE$99,0),3))-8,1)),1)*IF(LEFT(BV9,4)="pool",IF(INDEX($BE$4:$BJ$99,MATCH(BV9,$BE$4:$BE$99,0),6)&lt;1,1,INDEX($BE$4:$BJ$99,MATCH(BV9,$BE$4:$BE$99,0),6)),INDEX(Calculation_Tab,MATCH(BV9,Identifier,0),10)),1)*(1+Calculation!$Q$6),"-")</f>
        <v>-</v>
      </c>
      <c r="BZ9" s="378" t="str">
        <f ca="1">IFERROR((0.5/50)*CE9/Calculation!$AG$6*(IF(LEFT(BV9,4)="Pool",IF(LEN(INDEX($BE$4:$BJ$99,MATCH(BV9,$BE$4:$BE$99,0),3))=10,2,IF(LEN(INDEX($BE$4:$BJ$99,MATCH(BV9,$BE$4:$BE$99,0),3))&gt;10,LEN(INDEX($BE$4:$BJ$99,MATCH(BV9,$BE$4:$BE$99,0),3))-8,1)),IF(INDEX(Calculation_Tab,MATCH(BV9,Identifier,0),10)&gt;1,INDEX(Calculation_Tab,MATCH(BV9,Identifier,0),10),1)))*(1+Calculation!$Q$6),"-")</f>
        <v>-</v>
      </c>
      <c r="CA9" s="510" t="str">
        <f ca="1">IFERROR(IF((BZ9*Calculation!$AG$6/0.05)-SUM(BY9:BZ9,CC9)&gt;0,(BZ9*Calculation!$AG$6/0.05)-SUM(BY9:BZ9,CC9),0),"-")</f>
        <v>-</v>
      </c>
      <c r="CB9" s="510" t="str">
        <f ca="1">IFERROR(5/50*CE9*(IF(LEFT(BV9,4)="Pool",IF(LEN(INDEX($BE$4:$BJ$99,MATCH(BV9,$BE$4:$BE$99,0),3))=10,2,IF(LEN(INDEX($BE$4:$BJ$99,MATCH(BV9,$BE$4:$BE$99,0),3))&gt;10,LEN(INDEX($BE$4:$BJ$99,MATCH(BV9,$BE$4:$BE$99,0),3))-8,1)),IF(INDEX(Calculation_Tab,MATCH(BV9,Identifier,0),10)&gt;1,INDEX(Calculation_Tab,MATCH(BV9,Identifier,0),10),1)))*(1+Calculation!$Q$6),"-")</f>
        <v>-</v>
      </c>
      <c r="CC9" s="508" t="str">
        <f ca="1">IFERROR(ROUND(INDEX(Cluster,MATCH(IF(LEFT(BV9,4)="Pool",INDEX(Cluster,MATCH(INDEX(Calculation_Tab,MATCH(INDEX($BE$4:$BJ$99,MATCH(BV9,$BE$4:$BE$99,0),3),Flow_Cell_Lane,0),3),Cluster!$F$29:$F$412,0),6),BV9),Identifier_Cluster,0),20)*IF(LEFT(BV9,4)="pool",IF(LEN(INDEX($BE$4:$BJ$99,MATCH(BV9,$BE$4:$BE$99,0),3))=10,2,IF(LEN(INDEX($BE$4:$BJ$99,MATCH(BV9,$BE$4:$BE$99,0),3))&gt;10,LEN(INDEX($BE$4:$BJ$99,MATCH(BV9,$BE$4:$BE$99,0),3))-8,1)),1)*IF(LEFT(BV9,4)="pool",IF(INDEX($BE$4:$BJ$99,MATCH(BV9,$BE$4:$BE$99,0),6)&lt;1,1,INDEX($BE$4:$BJ$99,MATCH(BV9,$BE$4:$BE$99,0),6)),INDEX(Calculation_Tab,MATCH(BV9,Identifier,0),10)),1)*(1+Calculation!$Q$6),"-")</f>
        <v>-</v>
      </c>
      <c r="CD9" s="509" t="str">
        <f ca="1">IFERROR(INDEX(Cluster!AC:AD,MATCH(IF(LEFT(BV9,4)="Pool",INDEX(Cluster!$D$29:$AA$412,MATCH(INDEX(Calculation_Tab,MATCH(INDEX($BE$4:$BJ$99,MATCH(BV9,$BE$4:$BE$99,0),3),Flow_Cell_Lane,0),3),Cluster!$F$29:$F$412,0),24),INDEX(Cluster!$D$29:$AA$412,MATCH(BV9,Cluster!$F$29:$F$412,0),24)),Cluster!AC:AC,0),2),"-")</f>
        <v>-</v>
      </c>
      <c r="CE9" s="378" t="str">
        <f ca="1">IFERROR(IF(BV9&lt;&gt;"-",Calculation!$AK$6,"-"),"-")</f>
        <v>-</v>
      </c>
      <c r="CF9" s="378" t="str">
        <f ca="1">IF(OR(LEFT(ListAndConversion!BW9,3)="Dil",LEFT(ListAndConversion!BW9,3)="Poo"),ListAndConversion!$BT$4,IF(LEFT(ListAndConversion!BW9,3)="Sou",INDEX(ListAndConversion!$AT$3:$AV$387,MATCH(ListAndConversion!BV9,ListAndConversion!$AV$3:$AV$387,0),1),"-"))</f>
        <v>-</v>
      </c>
      <c r="CG9" s="498" t="str">
        <f ca="1">IF(OR(LEFT(ListAndConversion!BW9,3)="Dil",LEFT(ListAndConversion!BW9,3)="Poo"),ListAndConversion!BU9,IF(LEFT(ListAndConversion!BW9,3)="Sou",INDEX(ListAndConversion!$AT$4:$AV$387,MATCH(ListAndConversion!BV9,ListAndConversion!$AV$4:$AV$387,0),2),"-"))</f>
        <v>-</v>
      </c>
      <c r="CH9"/>
      <c r="CI9" s="487" t="str">
        <f t="shared" ca="1" si="19"/>
        <v>-</v>
      </c>
      <c r="CJ9" s="378" t="str">
        <f t="shared" ca="1" si="20"/>
        <v>-</v>
      </c>
      <c r="CK9" s="378" t="str">
        <f t="shared" ca="1" si="20"/>
        <v>-</v>
      </c>
      <c r="CL9" s="378" t="str">
        <f t="shared" ca="1" si="20"/>
        <v>-</v>
      </c>
      <c r="CM9" s="378" t="str">
        <f t="shared" ca="1" si="20"/>
        <v>-</v>
      </c>
      <c r="CN9" s="378" t="str">
        <f t="shared" ca="1" si="20"/>
        <v>-</v>
      </c>
      <c r="CO9" s="378" t="str">
        <f t="shared" ca="1" si="20"/>
        <v>-</v>
      </c>
      <c r="CP9" s="378" t="str">
        <f t="shared" ca="1" si="20"/>
        <v>-</v>
      </c>
      <c r="CQ9" s="378" t="str">
        <f t="shared" ca="1" si="20"/>
        <v>-</v>
      </c>
      <c r="CR9" s="510" t="str">
        <f ca="1">IFERROR(IF(LEFT(BW9,3)="Poo",INDEX($BE$4:$BJ$99,MATCH(CI9,$BG$4:$BG$99,0),6)*((15/50))*Calculation!$AK$6,INDEX(Calculation_Tab,MATCH(BV9,Identifier,0),10)/(IF(LEN(INDEX(Calculation_Tab,MATCH(BV9,Identifier,0),9))&gt;8,LEN(INDEX(Calculation_Tab,MATCH(BV9,Identifier,0),9))-8,1))*((15/50)*Calculation!$AK$6)),"-")</f>
        <v>-</v>
      </c>
      <c r="CS9" s="498" t="str">
        <f ca="1">IF(CI9="-","-",IF(COUNTIF($CI$3:CI9,CI9)&gt;1,0,IFERROR((35/50)*Calculation!$AK$6,"-")))</f>
        <v>-</v>
      </c>
    </row>
    <row r="10" spans="1:97" x14ac:dyDescent="0.5">
      <c r="A10" s="494" t="e">
        <f t="array" aca="1" ref="A10" ca="1">IF(IF((ROW(A10)-2)&lt;(Calculation!$E$6+1),INDEX(Plate_Barcode,MIN(IF(COUNTIF($A$2:A9,Plate_Barcode)=0,ROW(Plate_Barcode)-9))),"-")="","-",IF((ROW(A10)-2)&lt;(Calculation!$E$6+1),INDEX(Plate_Barcode,MIN(IF(COUNTIF($A$2:A9,Plate_Barcode)=0,ROW(Plate_Barcode)-9))),"-"))</f>
        <v>#DIV/0!</v>
      </c>
      <c r="B10" s="495" t="s">
        <v>304</v>
      </c>
      <c r="C10" s="282"/>
      <c r="D10" s="487" t="e">
        <f t="shared" si="0"/>
        <v>#DIV/0!</v>
      </c>
      <c r="E10" s="496" t="e">
        <f t="array" ref="E10">IF(IF((ROW(E10)-3)&lt;(ListAndConversion!$A$15),INDEX(Flow_Cell_Lane,MIN(IF(COUNTIF($E$2:E9,Flow_Cell_Lane)=0,ROW(Flow_Cell_Lane)-9))),"-")="","-",IF((ROW(E10)-3)&lt;(ListAndConversion!$A$15),INDEX(Flow_Cell_Lane,MIN(IF(COUNTIF($E$2:E9,Flow_Cell_Lane)=0,ROW(Flow_Cell_Lane)-9))),"-"))</f>
        <v>#DIV/0!</v>
      </c>
      <c r="F10" s="378" t="e">
        <f t="shared" si="1"/>
        <v>#DIV/0!</v>
      </c>
      <c r="G10" s="378" t="e">
        <f t="shared" si="2"/>
        <v>#DIV/0!</v>
      </c>
      <c r="H10" s="378" t="e">
        <f t="shared" si="2"/>
        <v>#DIV/0!</v>
      </c>
      <c r="I10" s="378" t="e">
        <f t="shared" si="2"/>
        <v>#DIV/0!</v>
      </c>
      <c r="J10" s="378" t="e">
        <f t="shared" si="2"/>
        <v>#DIV/0!</v>
      </c>
      <c r="K10" s="378" t="e">
        <f t="shared" si="2"/>
        <v>#DIV/0!</v>
      </c>
      <c r="L10" s="378" t="e">
        <f t="shared" si="2"/>
        <v>#DIV/0!</v>
      </c>
      <c r="M10" s="378" t="e">
        <f t="shared" si="2"/>
        <v>#DIV/0!</v>
      </c>
      <c r="N10" s="497" t="e">
        <f t="shared" si="3"/>
        <v>#DIV/0!</v>
      </c>
      <c r="O10" s="497" t="str">
        <f t="array" ref="O10">IFERROR(INDEX(Calculation!I:AN,MATCH(ListAndConversion!E10,Calculation!I:I,0),31),"-")</f>
        <v>-</v>
      </c>
      <c r="P10" s="498">
        <f>IF(COUNTIFS(Calculation!$I$10:$I$393,E10,Direct_Denaturation,"-")&lt;&gt;1,COUNTIFS(Calculation!$I$10:$I$393,E10,Direct_Denaturation,"-"),0)</f>
        <v>0</v>
      </c>
      <c r="Q10" s="378"/>
      <c r="R10" s="487" t="e">
        <f t="array" ref="R10">IF(IF((ROW(R10)-3)&lt;(Calculation!$H$6),INDEX(Flow_Cell,MIN(IF(COUNTIF($R$2:R9,Flow_Cell)=0,ROW(Flow_Cell)-9))),"-")="","-",IF((ROW(R10)-3)&lt;(Calculation!$H$6),INDEX(Flow_Cell,MIN(IF(COUNTIF($R$2:R9,Flow_Cell)=0,ROW(Flow_Cell)-9))),"-"))</f>
        <v>#DIV/0!</v>
      </c>
      <c r="S10" s="378" t="e">
        <f t="shared" si="4"/>
        <v>#DIV/0!</v>
      </c>
      <c r="T10" s="378">
        <v>8</v>
      </c>
      <c r="U10" s="498">
        <v>8</v>
      </c>
      <c r="V10" s="487">
        <v>7</v>
      </c>
      <c r="W10" s="497" t="s">
        <v>287</v>
      </c>
      <c r="X10" s="497" t="s">
        <v>305</v>
      </c>
      <c r="Y10" s="378">
        <v>7</v>
      </c>
      <c r="Z10" s="378" t="str">
        <f t="shared" ca="1" si="5"/>
        <v>-</v>
      </c>
      <c r="AA10" s="508" t="str">
        <f t="array" aca="1" ref="AA10" ca="1">IFERROR(INDEX(Calculation_Tab,SMALL(ROW(Sample_Intermediate_Dil)*(Sample_Intermediate_Dil&lt;&gt;"-"),COUNTIF(Sample_Intermediate_Dil,"-")+ROW()-3)-9,5),"-")</f>
        <v>-</v>
      </c>
      <c r="AB10" s="378" t="str">
        <f t="array" aca="1" ref="AB10" ca="1">IFERROR(INDEX($A$3:$B$12,MATCH(INDEX(Calculation_Tab,SMALL(ROW(Sample_Intermediate_Dil)*(Sample_Intermediate_Dil&lt;&gt;"-"),COUNTIF(Sample_Intermediate_Dil,"-")+ROW()-3)-9,5),$A$3:$A$12,0),2),"-")</f>
        <v>-</v>
      </c>
      <c r="AC10" s="509" t="str">
        <f t="array" aca="1" ref="AC10" ca="1">IFERROR(INDEX(Coordinate,MATCH(INDEX(Calculation_Tab,SMALL(ROW(Sample_Intermediate_Dil)*(Sample_Intermediate_Dil&lt;&gt;"-"),COUNTIF(Sample_Intermediate_Dil,"-")+ROW()-3)-9,6),$X$4:$X$99,0),2),"-")</f>
        <v>-</v>
      </c>
      <c r="AD10" s="510" t="str">
        <f t="array" aca="1" ref="AD10" ca="1">IFERROR(INDEX(Calculation_Tab,SMALL(ROW(Sample_Intermediate_Dil)*(Sample_Intermediate_Dil&lt;&gt;"-"),COUNTIF(Sample_Intermediate_Dil,"-")+ROW()-3)-9,24),"-")</f>
        <v>-</v>
      </c>
      <c r="AE10" s="510" t="str">
        <f t="array" aca="1" ref="AE10" ca="1">IFERROR(INDEX(Calculation_Tab,SMALL(ROW(Sample_Intermediate_Dil)*(Sample_Intermediate_Dil&lt;&gt;"-"),COUNTIF(Sample_Intermediate_Dil,"-")+ROW()-3)-9,25),"-")</f>
        <v>-</v>
      </c>
      <c r="AF10" s="510" t="str">
        <f t="array" aca="1" ref="AF10" ca="1">IFERROR(INDEX(Calculation_Tab,SMALL(ROW(Sample_Intermediate_Dil)*(Sample_Intermediate_Dil&lt;&gt;"-"),COUNTIF(Sample_Intermediate_Dil,"-")+ROW()-3)-9,26),"-")</f>
        <v>-</v>
      </c>
      <c r="AG10" s="511" t="str">
        <f t="array" aca="1" ref="AG10" ca="1">IFERROR(INDEX(Calculation_Tab,SMALL(ROW(Sample_Intermediate_Dil)*(Sample_Intermediate_Dil&lt;&gt;"-"),COUNTIF(Sample_Intermediate_Dil,"-")+ROW()-3)-9,27),"-")</f>
        <v>-</v>
      </c>
      <c r="AI10" s="487">
        <v>7</v>
      </c>
      <c r="AJ10" s="497" t="s">
        <v>160</v>
      </c>
      <c r="AK10" s="378">
        <v>7</v>
      </c>
      <c r="AL10" s="378" t="str">
        <f t="shared" ca="1" si="6"/>
        <v>-</v>
      </c>
      <c r="AM10" s="378" t="str">
        <f t="array" aca="1" ref="AM10" ca="1">IFERROR(IF(AI10&lt;=$AB$2,"-",INDEX(Calculation_Tab,SMALL(ROW(Main_Dil)*(Main_Dil&lt;&gt;"-"),COUNTIF(Main_Dil,"-")+ROW()-3-$AB$2)-9,5)),"-")</f>
        <v>-</v>
      </c>
      <c r="AN10" s="378" t="str">
        <f t="array" aca="1" ref="AN10" ca="1">IFERROR(IF(AI10&lt;=$AB$2,"-",INDEX($A$3:$B$12,MATCH(INDEX(Calculation_Tab,SMALL(ROW(Main_Dil)*(Main_Dil&lt;&gt;"-"),COUNTIF(Main_Dil,"-")+ROW()-3-$AB$2)-9,5),$A$3:$A$12,0),2)),"-")</f>
        <v>-</v>
      </c>
      <c r="AO10" s="378" t="str">
        <f t="array" aca="1" ref="AO10" ca="1">IFERROR(IF(AI10&lt;=$AB$2,"-",INDEX(Coordinate,MATCH(INDEX(Calculation_Tab,SMALL(ROW(Main_Dil)*(Main_Dil&lt;&gt;"-"),COUNTIF(Main_Dil,"-")+ROW()-3-$AB$2)-9,6),$X$4:$X$99,0),2)),"-")</f>
        <v>-</v>
      </c>
      <c r="AP10" s="510" t="str">
        <f t="array" aca="1" ref="AP10" ca="1">IFERROR(IF(AI10&lt;=$AB$2,"-",INDEX(Calculation_Tab,SMALL(ROW(Main_Dil)*(Main_Dil&lt;&gt;"-"),COUNTIF(Main_Dil,"-")+ROW()-3-$AB$2)-9,21)),"-")</f>
        <v>-</v>
      </c>
      <c r="AQ10" s="511" t="str">
        <f t="array" aca="1" ref="AQ10" ca="1">IFERROR(IF(AI10&lt;=$AB$2,"-",INDEX(Calculation_Tab,SMALL(ROW(Main_Dil)*(Main_Dil&lt;&gt;"-"),COUNTIF(Main_Dil,"-")+ROW()-3-$AB$2)-9,22)),"-")</f>
        <v>-</v>
      </c>
      <c r="AR10" s="487" t="str">
        <f t="shared" ca="1" si="7"/>
        <v>-</v>
      </c>
      <c r="AS10" s="378">
        <v>7</v>
      </c>
      <c r="AT10" s="497" t="s">
        <v>160</v>
      </c>
      <c r="AU10" s="498">
        <v>7</v>
      </c>
      <c r="AV10" s="378" t="str">
        <f t="shared" ca="1" si="8"/>
        <v>-</v>
      </c>
      <c r="AW10" s="378" t="str">
        <f t="array" aca="1" ref="AW10" ca="1">IFERROR(IF(AS10&lt;=$AB$2+$AN$2,"-",INDEX(Calculation_Tab,SMALL(ROW(Direct_Denaturation)*(Direct_Denaturation&lt;&gt;"-"),COUNTIF(Direct_Denaturation,"-")+ROW()-3-$AB$2-$AN$2)-9,5)),"-")</f>
        <v>-</v>
      </c>
      <c r="AX10" s="378" t="str">
        <f t="array" aca="1" ref="AX10" ca="1">IFERROR(IF(AS10&lt;=$AB$2+$AN$2,"-",INDEX($A$3:$B$12,MATCH(INDEX(Calculation_Tab,SMALL(ROW(Direct_Denaturation)*(Direct_Denaturation&lt;&gt;"-"),COUNTIF(Direct_Denaturation,"-")+ROW()-3-$AB$2-$AN$2)-9,5),$A$3:$A$12,0),2)),"-")</f>
        <v>-</v>
      </c>
      <c r="AY10" s="378" t="str">
        <f t="array" aca="1" ref="AY10" ca="1">IFERROR(IF(AS10&lt;=$AB$2+$AN$2,"-",INDEX(Coordinate,MATCH(INDEX(Calculation_Tab,SMALL(ROW(Direct_Denaturation)*(Direct_Denaturation&lt;&gt;"-"),COUNTIF(Direct_Denaturation,"-")+ROW()-3-$AB$2-$AN$2)-9,6),$X$4:$X$99,0),2)),"-")</f>
        <v>-</v>
      </c>
      <c r="AZ10" s="510" t="str">
        <f t="array" aca="1" ref="AZ10" ca="1">IFERROR(IF(AS10&lt;=$AB$2+$AN$2,"-",INDEX(Calculation_Tab,SMALL(ROW(Direct_Denaturation)*(Direct_Denaturation&lt;&gt;"-"),COUNTIF(Direct_Denaturation,"-")+ROW()-3-$AB$2-$AN$2)-9,32)),"-")</f>
        <v>-</v>
      </c>
      <c r="BA10" s="510" t="str">
        <f t="array" aca="1" ref="BA10" ca="1">IFERROR(IF(AS10&lt;=$AB$2+$AN$2,"-",INDEX(Calculation_Tab,SMALL(ROW(Direct_Denaturation)*(Direct_Denaturation&lt;&gt;"-"),COUNTIF(Direct_Denaturation,"-")+ROW()-3-$AB$2-$AN$2)-9,34)),"-")</f>
        <v>-</v>
      </c>
      <c r="BB10" s="510" t="str">
        <f t="array" aca="1" ref="BB10" ca="1">IFERROR(IF(AS10&lt;=$AB$2+$AN$2,"-",INDEX(Calculation_Tab,SMALL(ROW(Direct_Denaturation)*(Direct_Denaturation&lt;&gt;"-"),COUNTIF(Direct_Denaturation,"-")+ROW()-3-$AB$2-$AN$2)-9,33)),"-")</f>
        <v>-</v>
      </c>
      <c r="BC10" s="510" t="str">
        <f t="array" aca="1" ref="BC10" ca="1">IFERROR(IF(AS10&lt;=$AB$2+$AN$2,"-",INDEX(Calculation_Tab,SMALL(ROW(Direct_Denaturation)*(Direct_Denaturation&lt;&gt;"-"),COUNTIF(Direct_Denaturation,"-")+ROW()-3-$AB$2-$AN$2)-9,35)),"-")</f>
        <v>-</v>
      </c>
      <c r="BD10" s="511" t="str">
        <f t="shared" ca="1" si="9"/>
        <v>-</v>
      </c>
      <c r="BE10" s="494" t="s">
        <v>306</v>
      </c>
      <c r="BF10" s="378">
        <v>7</v>
      </c>
      <c r="BG10" s="515" t="str">
        <v>-</v>
      </c>
      <c r="BH10" s="516" t="str">
        <f>IFERROR(IF((Calculation!$AR$6/INDEX(ListAndConversion!D:P,MATCH(BG10,E:E,0),13))&lt;Calculation!$O$6,INDEX(ListAndConversion!D:P,MATCH(BG10,E:E,0),13)*Calculation!$O$6,Calculation!$AR$6),"-")</f>
        <v>-</v>
      </c>
      <c r="BI10" s="517" t="str">
        <f t="shared" si="10"/>
        <v>-</v>
      </c>
      <c r="BJ10" s="518" t="str">
        <f t="shared" si="11"/>
        <v>-</v>
      </c>
      <c r="BK10" s="378" t="s">
        <v>158</v>
      </c>
      <c r="BL10" s="378">
        <v>7</v>
      </c>
      <c r="BM10" s="487" t="str">
        <f t="array" aca="1" ref="BM10" ca="1">IFERROR(INDEX(Calculation_Tab,SMALL(ROW(ToPool)*(ToPool&lt;&gt;"-"),COUNTIF(ToPool,"-")+ROW()-3)-9,3),"-")</f>
        <v>-</v>
      </c>
      <c r="BN10" s="378" t="str">
        <f t="shared" ca="1" si="12"/>
        <v>-</v>
      </c>
      <c r="BO10" s="378" t="str">
        <f t="shared" ca="1" si="13"/>
        <v>-</v>
      </c>
      <c r="BP10" s="523" t="str">
        <f t="shared" ca="1" si="14"/>
        <v>-</v>
      </c>
      <c r="BQ10" s="378" t="str">
        <f t="array" aca="1" ref="BQ10" ca="1">IFERROR(INDEX(BE:BG,MATCH(INDEX(Calculation_Tab,SMALL(ROW(ToPool)*(ToPool&lt;&gt;"-"),COUNTIF(ToPool,"-")+ROW()-3)-9,9),BG:BG,0),2),"-")</f>
        <v>-</v>
      </c>
      <c r="BR10" s="510" t="str">
        <f t="shared" ca="1" si="15"/>
        <v>-</v>
      </c>
      <c r="BS10" s="511" t="str">
        <f t="shared" ca="1" si="16"/>
        <v>-</v>
      </c>
      <c r="BT10" s="378" t="s">
        <v>164</v>
      </c>
      <c r="BU10" s="487" t="str">
        <f t="shared" ca="1" si="21"/>
        <v>-</v>
      </c>
      <c r="BV10" s="487" t="str">
        <f t="array" aca="1" ref="BV1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0" s="378" t="str">
        <f t="shared" ca="1" si="17"/>
        <v>-</v>
      </c>
      <c r="BX10" s="378" t="str">
        <f t="shared" ca="1" si="18"/>
        <v>-</v>
      </c>
      <c r="BY10" s="510" t="str">
        <f ca="1">IFERROR(ROUND(INDEX(Cluster,MATCH(IF(LEFT(BV10,4)="Pool",INDEX(Cluster,MATCH(INDEX(Calculation_Tab,MATCH(INDEX($BE$4:$BJ$99,MATCH(BV10,$BE$4:$BE$99,0),3),Flow_Cell_Lane,0),3),Cluster!$F$29:$F$412,0),6),BV10),Identifier_Cluster,0),19)*IF(LEFT(BV10,4)="pool",IF(LEN(INDEX($BE$4:$BJ$99,MATCH(BV10,$BE$4:$BE$99,0),3))=10,2,IF(LEN(INDEX($BE$4:$BJ$99,MATCH(BV10,$BE$4:$BE$99,0),3))&gt;10,LEN(INDEX($BE$4:$BJ$99,MATCH(BV10,$BE$4:$BE$99,0),3))-8,1)),1)*IF(LEFT(BV10,4)="pool",IF(INDEX($BE$4:$BJ$99,MATCH(BV10,$BE$4:$BE$99,0),6)&lt;1,1,INDEX($BE$4:$BJ$99,MATCH(BV10,$BE$4:$BE$99,0),6)),INDEX(Calculation_Tab,MATCH(BV10,Identifier,0),10)),1)*(1+Calculation!$Q$6),"-")</f>
        <v>-</v>
      </c>
      <c r="BZ10" s="378" t="str">
        <f ca="1">IFERROR((0.5/50)*CE10/Calculation!$AG$6*(IF(LEFT(BV10,4)="Pool",IF(LEN(INDEX($BE$4:$BJ$99,MATCH(BV10,$BE$4:$BE$99,0),3))=10,2,IF(LEN(INDEX($BE$4:$BJ$99,MATCH(BV10,$BE$4:$BE$99,0),3))&gt;10,LEN(INDEX($BE$4:$BJ$99,MATCH(BV10,$BE$4:$BE$99,0),3))-8,1)),IF(INDEX(Calculation_Tab,MATCH(BV10,Identifier,0),10)&gt;1,INDEX(Calculation_Tab,MATCH(BV10,Identifier,0),10),1)))*(1+Calculation!$Q$6),"-")</f>
        <v>-</v>
      </c>
      <c r="CA10" s="510" t="str">
        <f ca="1">IFERROR(IF((BZ10*Calculation!$AG$6/0.05)-SUM(BY10:BZ10,CC10)&gt;0,(BZ10*Calculation!$AG$6/0.05)-SUM(BY10:BZ10,CC10),0),"-")</f>
        <v>-</v>
      </c>
      <c r="CB10" s="510" t="str">
        <f ca="1">IFERROR(5/50*CE10*(IF(LEFT(BV10,4)="Pool",IF(LEN(INDEX($BE$4:$BJ$99,MATCH(BV10,$BE$4:$BE$99,0),3))=10,2,IF(LEN(INDEX($BE$4:$BJ$99,MATCH(BV10,$BE$4:$BE$99,0),3))&gt;10,LEN(INDEX($BE$4:$BJ$99,MATCH(BV10,$BE$4:$BE$99,0),3))-8,1)),IF(INDEX(Calculation_Tab,MATCH(BV10,Identifier,0),10)&gt;1,INDEX(Calculation_Tab,MATCH(BV10,Identifier,0),10),1)))*(1+Calculation!$Q$6),"-")</f>
        <v>-</v>
      </c>
      <c r="CC10" s="508" t="str">
        <f ca="1">IFERROR(ROUND(INDEX(Cluster,MATCH(IF(LEFT(BV10,4)="Pool",INDEX(Cluster,MATCH(INDEX(Calculation_Tab,MATCH(INDEX($BE$4:$BJ$99,MATCH(BV10,$BE$4:$BE$99,0),3),Flow_Cell_Lane,0),3),Cluster!$F$29:$F$412,0),6),BV10),Identifier_Cluster,0),20)*IF(LEFT(BV10,4)="pool",IF(LEN(INDEX($BE$4:$BJ$99,MATCH(BV10,$BE$4:$BE$99,0),3))=10,2,IF(LEN(INDEX($BE$4:$BJ$99,MATCH(BV10,$BE$4:$BE$99,0),3))&gt;10,LEN(INDEX($BE$4:$BJ$99,MATCH(BV10,$BE$4:$BE$99,0),3))-8,1)),1)*IF(LEFT(BV10,4)="pool",IF(INDEX($BE$4:$BJ$99,MATCH(BV10,$BE$4:$BE$99,0),6)&lt;1,1,INDEX($BE$4:$BJ$99,MATCH(BV10,$BE$4:$BE$99,0),6)),INDEX(Calculation_Tab,MATCH(BV10,Identifier,0),10)),1)*(1+Calculation!$Q$6),"-")</f>
        <v>-</v>
      </c>
      <c r="CD10" s="509" t="str">
        <f ca="1">IFERROR(INDEX(Cluster!AC:AD,MATCH(IF(LEFT(BV10,4)="Pool",INDEX(Cluster!$D$29:$AA$412,MATCH(INDEX(Calculation_Tab,MATCH(INDEX($BE$4:$BJ$99,MATCH(BV10,$BE$4:$BE$99,0),3),Flow_Cell_Lane,0),3),Cluster!$F$29:$F$412,0),24),INDEX(Cluster!$D$29:$AA$412,MATCH(BV10,Cluster!$F$29:$F$412,0),24)),Cluster!AC:AC,0),2),"-")</f>
        <v>-</v>
      </c>
      <c r="CE10" s="378" t="str">
        <f ca="1">IFERROR(IF(BV10&lt;&gt;"-",Calculation!$AK$6,"-"),"-")</f>
        <v>-</v>
      </c>
      <c r="CF10" s="378" t="str">
        <f ca="1">IF(OR(LEFT(ListAndConversion!BW10,3)="Dil",LEFT(ListAndConversion!BW10,3)="Poo"),ListAndConversion!$BT$4,IF(LEFT(ListAndConversion!BW10,3)="Sou",INDEX(ListAndConversion!$AT$3:$AV$387,MATCH(ListAndConversion!BV10,ListAndConversion!$AV$3:$AV$387,0),1),"-"))</f>
        <v>-</v>
      </c>
      <c r="CG10" s="498" t="str">
        <f ca="1">IF(OR(LEFT(ListAndConversion!BW10,3)="Dil",LEFT(ListAndConversion!BW10,3)="Poo"),ListAndConversion!BU10,IF(LEFT(ListAndConversion!BW10,3)="Sou",INDEX(ListAndConversion!$AT$4:$AV$387,MATCH(ListAndConversion!BV10,ListAndConversion!$AV$4:$AV$387,0),2),"-"))</f>
        <v>-</v>
      </c>
      <c r="CH10" s="378"/>
      <c r="CI10" s="487" t="str">
        <f t="shared" ca="1" si="19"/>
        <v>-</v>
      </c>
      <c r="CJ10" s="378" t="str">
        <f t="shared" ca="1" si="20"/>
        <v>-</v>
      </c>
      <c r="CK10" s="378" t="str">
        <f t="shared" ca="1" si="20"/>
        <v>-</v>
      </c>
      <c r="CL10" s="378" t="str">
        <f t="shared" ca="1" si="20"/>
        <v>-</v>
      </c>
      <c r="CM10" s="378" t="str">
        <f t="shared" ca="1" si="20"/>
        <v>-</v>
      </c>
      <c r="CN10" s="378" t="str">
        <f t="shared" ca="1" si="20"/>
        <v>-</v>
      </c>
      <c r="CO10" s="378" t="str">
        <f t="shared" ca="1" si="20"/>
        <v>-</v>
      </c>
      <c r="CP10" s="378" t="str">
        <f t="shared" ca="1" si="20"/>
        <v>-</v>
      </c>
      <c r="CQ10" s="378" t="str">
        <f t="shared" ca="1" si="20"/>
        <v>-</v>
      </c>
      <c r="CR10" s="510" t="str">
        <f ca="1">IFERROR(IF(LEFT(BW10,3)="Poo",INDEX($BE$4:$BJ$99,MATCH(CI10,$BG$4:$BG$99,0),6)*((15/50))*Calculation!$AK$6,INDEX(Calculation_Tab,MATCH(BV10,Identifier,0),10)/(IF(LEN(INDEX(Calculation_Tab,MATCH(BV10,Identifier,0),9))&gt;8,LEN(INDEX(Calculation_Tab,MATCH(BV10,Identifier,0),9))-8,1))*((15/50)*Calculation!$AK$6)),"-")</f>
        <v>-</v>
      </c>
      <c r="CS10" s="498" t="str">
        <f ca="1">IF(CI10="-","-",IF(COUNTIF($CI$3:CI10,CI10)&gt;1,0,IFERROR((35/50)*Calculation!$AK$6,"-")))</f>
        <v>-</v>
      </c>
    </row>
    <row r="11" spans="1:97" x14ac:dyDescent="0.5">
      <c r="A11" s="494" t="e">
        <f t="array" aca="1" ref="A11" ca="1">IF(IF((ROW(A11)-2)&lt;(Calculation!$E$6+1),INDEX(Plate_Barcode,MIN(IF(COUNTIF($A$2:A10,Plate_Barcode)=0,ROW(Plate_Barcode)-9))),"-")="","-",IF((ROW(A11)-2)&lt;(Calculation!$E$6+1),INDEX(Plate_Barcode,MIN(IF(COUNTIF($A$2:A10,Plate_Barcode)=0,ROW(Plate_Barcode)-9))),"-"))</f>
        <v>#DIV/0!</v>
      </c>
      <c r="B11" s="495" t="s">
        <v>307</v>
      </c>
      <c r="C11" s="282"/>
      <c r="D11" s="487" t="e">
        <f t="shared" si="0"/>
        <v>#DIV/0!</v>
      </c>
      <c r="E11" s="496" t="e">
        <f t="array" ref="E11">IF(IF((ROW(E11)-3)&lt;(ListAndConversion!$A$15),INDEX(Flow_Cell_Lane,MIN(IF(COUNTIF($E$2:E10,Flow_Cell_Lane)=0,ROW(Flow_Cell_Lane)-9))),"-")="","-",IF((ROW(E11)-3)&lt;(ListAndConversion!$A$15),INDEX(Flow_Cell_Lane,MIN(IF(COUNTIF($E$2:E10,Flow_Cell_Lane)=0,ROW(Flow_Cell_Lane)-9))),"-"))</f>
        <v>#DIV/0!</v>
      </c>
      <c r="F11" s="378" t="e">
        <f t="shared" si="1"/>
        <v>#DIV/0!</v>
      </c>
      <c r="G11" s="378" t="e">
        <f t="shared" si="2"/>
        <v>#DIV/0!</v>
      </c>
      <c r="H11" s="378" t="e">
        <f t="shared" si="2"/>
        <v>#DIV/0!</v>
      </c>
      <c r="I11" s="378" t="e">
        <f t="shared" si="2"/>
        <v>#DIV/0!</v>
      </c>
      <c r="J11" s="378" t="e">
        <f t="shared" si="2"/>
        <v>#DIV/0!</v>
      </c>
      <c r="K11" s="378" t="e">
        <f t="shared" si="2"/>
        <v>#DIV/0!</v>
      </c>
      <c r="L11" s="378" t="e">
        <f t="shared" si="2"/>
        <v>#DIV/0!</v>
      </c>
      <c r="M11" s="378" t="e">
        <f t="shared" si="2"/>
        <v>#DIV/0!</v>
      </c>
      <c r="N11" s="497" t="e">
        <f t="shared" si="3"/>
        <v>#DIV/0!</v>
      </c>
      <c r="O11" s="497" t="str">
        <f t="array" ref="O11">IFERROR(INDEX(Calculation!I:AN,MATCH(ListAndConversion!E11,Calculation!I:I,0),31),"-")</f>
        <v>-</v>
      </c>
      <c r="P11" s="498">
        <f>IF(COUNTIFS(Calculation!$I$10:$I$393,E11,Direct_Denaturation,"-")&lt;&gt;1,COUNTIFS(Calculation!$I$10:$I$393,E11,Direct_Denaturation,"-"),0)</f>
        <v>0</v>
      </c>
      <c r="Q11" s="378"/>
      <c r="R11" s="487" t="e">
        <f t="array" ref="R11">IF(IF((ROW(R11)-3)&lt;(Calculation!$H$6),INDEX(Flow_Cell,MIN(IF(COUNTIF($R$2:R10,Flow_Cell)=0,ROW(Flow_Cell)-9))),"-")="","-",IF((ROW(R11)-3)&lt;(Calculation!$H$6),INDEX(Flow_Cell,MIN(IF(COUNTIF($R$2:R10,Flow_Cell)=0,ROW(Flow_Cell)-9))),"-"))</f>
        <v>#DIV/0!</v>
      </c>
      <c r="S11" s="378" t="e">
        <f t="shared" ref="S11:S18" si="22">IF($R$4="-","-",CONCATENATE($R$4,"-",T11))</f>
        <v>#DIV/0!</v>
      </c>
      <c r="T11" s="378">
        <v>1</v>
      </c>
      <c r="U11" s="498">
        <v>9</v>
      </c>
      <c r="V11" s="487">
        <v>8</v>
      </c>
      <c r="W11" s="497" t="s">
        <v>287</v>
      </c>
      <c r="X11" s="497" t="s">
        <v>308</v>
      </c>
      <c r="Y11" s="378">
        <v>8</v>
      </c>
      <c r="Z11" s="378" t="str">
        <f t="shared" ca="1" si="5"/>
        <v>-</v>
      </c>
      <c r="AA11" s="508" t="str">
        <f t="array" aca="1" ref="AA11" ca="1">IFERROR(INDEX(Calculation_Tab,SMALL(ROW(Sample_Intermediate_Dil)*(Sample_Intermediate_Dil&lt;&gt;"-"),COUNTIF(Sample_Intermediate_Dil,"-")+ROW()-3)-9,5),"-")</f>
        <v>-</v>
      </c>
      <c r="AB11" s="378" t="str">
        <f t="array" aca="1" ref="AB11" ca="1">IFERROR(INDEX($A$3:$B$12,MATCH(INDEX(Calculation_Tab,SMALL(ROW(Sample_Intermediate_Dil)*(Sample_Intermediate_Dil&lt;&gt;"-"),COUNTIF(Sample_Intermediate_Dil,"-")+ROW()-3)-9,5),$A$3:$A$12,0),2),"-")</f>
        <v>-</v>
      </c>
      <c r="AC11" s="509" t="str">
        <f t="array" aca="1" ref="AC11" ca="1">IFERROR(INDEX(Coordinate,MATCH(INDEX(Calculation_Tab,SMALL(ROW(Sample_Intermediate_Dil)*(Sample_Intermediate_Dil&lt;&gt;"-"),COUNTIF(Sample_Intermediate_Dil,"-")+ROW()-3)-9,6),$X$4:$X$99,0),2),"-")</f>
        <v>-</v>
      </c>
      <c r="AD11" s="510" t="str">
        <f t="array" aca="1" ref="AD11" ca="1">IFERROR(INDEX(Calculation_Tab,SMALL(ROW(Sample_Intermediate_Dil)*(Sample_Intermediate_Dil&lt;&gt;"-"),COUNTIF(Sample_Intermediate_Dil,"-")+ROW()-3)-9,24),"-")</f>
        <v>-</v>
      </c>
      <c r="AE11" s="510" t="str">
        <f t="array" aca="1" ref="AE11" ca="1">IFERROR(INDEX(Calculation_Tab,SMALL(ROW(Sample_Intermediate_Dil)*(Sample_Intermediate_Dil&lt;&gt;"-"),COUNTIF(Sample_Intermediate_Dil,"-")+ROW()-3)-9,25),"-")</f>
        <v>-</v>
      </c>
      <c r="AF11" s="510" t="str">
        <f t="array" aca="1" ref="AF11" ca="1">IFERROR(INDEX(Calculation_Tab,SMALL(ROW(Sample_Intermediate_Dil)*(Sample_Intermediate_Dil&lt;&gt;"-"),COUNTIF(Sample_Intermediate_Dil,"-")+ROW()-3)-9,26),"-")</f>
        <v>-</v>
      </c>
      <c r="AG11" s="511" t="str">
        <f t="array" aca="1" ref="AG11" ca="1">IFERROR(INDEX(Calculation_Tab,SMALL(ROW(Sample_Intermediate_Dil)*(Sample_Intermediate_Dil&lt;&gt;"-"),COUNTIF(Sample_Intermediate_Dil,"-")+ROW()-3)-9,27),"-")</f>
        <v>-</v>
      </c>
      <c r="AI11" s="487">
        <v>8</v>
      </c>
      <c r="AJ11" s="497" t="s">
        <v>160</v>
      </c>
      <c r="AK11" s="378">
        <v>8</v>
      </c>
      <c r="AL11" s="378" t="str">
        <f t="shared" ca="1" si="6"/>
        <v>-</v>
      </c>
      <c r="AM11" s="378" t="str">
        <f t="array" aca="1" ref="AM11" ca="1">IFERROR(IF(AI11&lt;=$AB$2,"-",INDEX(Calculation_Tab,SMALL(ROW(Main_Dil)*(Main_Dil&lt;&gt;"-"),COUNTIF(Main_Dil,"-")+ROW()-3-$AB$2)-9,5)),"-")</f>
        <v>-</v>
      </c>
      <c r="AN11" s="378" t="str">
        <f t="array" aca="1" ref="AN11" ca="1">IFERROR(IF(AI11&lt;=$AB$2,"-",INDEX($A$3:$B$12,MATCH(INDEX(Calculation_Tab,SMALL(ROW(Main_Dil)*(Main_Dil&lt;&gt;"-"),COUNTIF(Main_Dil,"-")+ROW()-3-$AB$2)-9,5),$A$3:$A$12,0),2)),"-")</f>
        <v>-</v>
      </c>
      <c r="AO11" s="378" t="str">
        <f t="array" aca="1" ref="AO11" ca="1">IFERROR(IF(AI11&lt;=$AB$2,"-",INDEX(Coordinate,MATCH(INDEX(Calculation_Tab,SMALL(ROW(Main_Dil)*(Main_Dil&lt;&gt;"-"),COUNTIF(Main_Dil,"-")+ROW()-3-$AB$2)-9,6),$X$4:$X$99,0),2)),"-")</f>
        <v>-</v>
      </c>
      <c r="AP11" s="510" t="str">
        <f t="array" aca="1" ref="AP11" ca="1">IFERROR(IF(AI11&lt;=$AB$2,"-",INDEX(Calculation_Tab,SMALL(ROW(Main_Dil)*(Main_Dil&lt;&gt;"-"),COUNTIF(Main_Dil,"-")+ROW()-3-$AB$2)-9,21)),"-")</f>
        <v>-</v>
      </c>
      <c r="AQ11" s="511" t="str">
        <f t="array" aca="1" ref="AQ11" ca="1">IFERROR(IF(AI11&lt;=$AB$2,"-",INDEX(Calculation_Tab,SMALL(ROW(Main_Dil)*(Main_Dil&lt;&gt;"-"),COUNTIF(Main_Dil,"-")+ROW()-3-$AB$2)-9,22)),"-")</f>
        <v>-</v>
      </c>
      <c r="AR11" s="487" t="str">
        <f t="shared" ca="1" si="7"/>
        <v>-</v>
      </c>
      <c r="AS11" s="378">
        <v>8</v>
      </c>
      <c r="AT11" s="497" t="s">
        <v>160</v>
      </c>
      <c r="AU11" s="498">
        <v>8</v>
      </c>
      <c r="AV11" s="378" t="str">
        <f t="shared" ca="1" si="8"/>
        <v>-</v>
      </c>
      <c r="AW11" s="378" t="str">
        <f t="array" aca="1" ref="AW11" ca="1">IFERROR(IF(AS11&lt;=$AB$2+$AN$2,"-",INDEX(Calculation_Tab,SMALL(ROW(Direct_Denaturation)*(Direct_Denaturation&lt;&gt;"-"),COUNTIF(Direct_Denaturation,"-")+ROW()-3-$AB$2-$AN$2)-9,5)),"-")</f>
        <v>-</v>
      </c>
      <c r="AX11" s="378" t="str">
        <f t="array" aca="1" ref="AX11" ca="1">IFERROR(IF(AS11&lt;=$AB$2+$AN$2,"-",INDEX($A$3:$B$12,MATCH(INDEX(Calculation_Tab,SMALL(ROW(Direct_Denaturation)*(Direct_Denaturation&lt;&gt;"-"),COUNTIF(Direct_Denaturation,"-")+ROW()-3-$AB$2-$AN$2)-9,5),$A$3:$A$12,0),2)),"-")</f>
        <v>-</v>
      </c>
      <c r="AY11" s="378" t="str">
        <f t="array" aca="1" ref="AY11" ca="1">IFERROR(IF(AS11&lt;=$AB$2+$AN$2,"-",INDEX(Coordinate,MATCH(INDEX(Calculation_Tab,SMALL(ROW(Direct_Denaturation)*(Direct_Denaturation&lt;&gt;"-"),COUNTIF(Direct_Denaturation,"-")+ROW()-3-$AB$2-$AN$2)-9,6),$X$4:$X$99,0),2)),"-")</f>
        <v>-</v>
      </c>
      <c r="AZ11" s="510" t="str">
        <f t="array" aca="1" ref="AZ11" ca="1">IFERROR(IF(AS11&lt;=$AB$2+$AN$2,"-",INDEX(Calculation_Tab,SMALL(ROW(Direct_Denaturation)*(Direct_Denaturation&lt;&gt;"-"),COUNTIF(Direct_Denaturation,"-")+ROW()-3-$AB$2-$AN$2)-9,32)),"-")</f>
        <v>-</v>
      </c>
      <c r="BA11" s="510" t="str">
        <f t="array" aca="1" ref="BA11" ca="1">IFERROR(IF(AS11&lt;=$AB$2+$AN$2,"-",INDEX(Calculation_Tab,SMALL(ROW(Direct_Denaturation)*(Direct_Denaturation&lt;&gt;"-"),COUNTIF(Direct_Denaturation,"-")+ROW()-3-$AB$2-$AN$2)-9,34)),"-")</f>
        <v>-</v>
      </c>
      <c r="BB11" s="510" t="str">
        <f t="array" aca="1" ref="BB11" ca="1">IFERROR(IF(AS11&lt;=$AB$2+$AN$2,"-",INDEX(Calculation_Tab,SMALL(ROW(Direct_Denaturation)*(Direct_Denaturation&lt;&gt;"-"),COUNTIF(Direct_Denaturation,"-")+ROW()-3-$AB$2-$AN$2)-9,33)),"-")</f>
        <v>-</v>
      </c>
      <c r="BC11" s="510" t="str">
        <f t="array" aca="1" ref="BC11" ca="1">IFERROR(IF(AS11&lt;=$AB$2+$AN$2,"-",INDEX(Calculation_Tab,SMALL(ROW(Direct_Denaturation)*(Direct_Denaturation&lt;&gt;"-"),COUNTIF(Direct_Denaturation,"-")+ROW()-3-$AB$2-$AN$2)-9,35)),"-")</f>
        <v>-</v>
      </c>
      <c r="BD11" s="511" t="str">
        <f t="shared" ca="1" si="9"/>
        <v>-</v>
      </c>
      <c r="BE11" s="494" t="s">
        <v>309</v>
      </c>
      <c r="BF11" s="378">
        <v>8</v>
      </c>
      <c r="BG11" s="515" t="str">
        <v>-</v>
      </c>
      <c r="BH11" s="516" t="str">
        <f>IFERROR(IF((Calculation!$AR$6/INDEX(ListAndConversion!D:P,MATCH(BG11,E:E,0),13))&lt;Calculation!$O$6,INDEX(ListAndConversion!D:P,MATCH(BG11,E:E,0),13)*Calculation!$O$6,Calculation!$AR$6),"-")</f>
        <v>-</v>
      </c>
      <c r="BI11" s="517" t="str">
        <f t="shared" si="10"/>
        <v>-</v>
      </c>
      <c r="BJ11" s="518" t="str">
        <f t="shared" si="11"/>
        <v>-</v>
      </c>
      <c r="BK11" s="378" t="s">
        <v>158</v>
      </c>
      <c r="BL11" s="378">
        <v>8</v>
      </c>
      <c r="BM11" s="487" t="str">
        <f t="array" aca="1" ref="BM11" ca="1">IFERROR(INDEX(Calculation_Tab,SMALL(ROW(ToPool)*(ToPool&lt;&gt;"-"),COUNTIF(ToPool,"-")+ROW()-3)-9,3),"-")</f>
        <v>-</v>
      </c>
      <c r="BN11" s="378" t="str">
        <f t="shared" ca="1" si="12"/>
        <v>-</v>
      </c>
      <c r="BO11" s="378" t="str">
        <f t="shared" ca="1" si="13"/>
        <v>-</v>
      </c>
      <c r="BP11" s="523" t="str">
        <f t="shared" ca="1" si="14"/>
        <v>-</v>
      </c>
      <c r="BQ11" s="378" t="str">
        <f t="array" aca="1" ref="BQ11" ca="1">IFERROR(INDEX(BE:BG,MATCH(INDEX(Calculation_Tab,SMALL(ROW(ToPool)*(ToPool&lt;&gt;"-"),COUNTIF(ToPool,"-")+ROW()-3)-9,9),BG:BG,0),2),"-")</f>
        <v>-</v>
      </c>
      <c r="BR11" s="510" t="str">
        <f t="shared" ca="1" si="15"/>
        <v>-</v>
      </c>
      <c r="BS11" s="511" t="str">
        <f t="shared" ca="1" si="16"/>
        <v>-</v>
      </c>
      <c r="BT11" s="378" t="s">
        <v>164</v>
      </c>
      <c r="BU11" s="487" t="str">
        <f t="shared" ca="1" si="21"/>
        <v>-</v>
      </c>
      <c r="BV11" s="487" t="str">
        <f t="array" aca="1" ref="BV1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1" s="378" t="str">
        <f t="shared" ca="1" si="17"/>
        <v>-</v>
      </c>
      <c r="BX11" s="378" t="str">
        <f t="shared" ca="1" si="18"/>
        <v>-</v>
      </c>
      <c r="BY11" s="510" t="str">
        <f ca="1">IFERROR(ROUND(INDEX(Cluster,MATCH(IF(LEFT(BV11,4)="Pool",INDEX(Cluster,MATCH(INDEX(Calculation_Tab,MATCH(INDEX($BE$4:$BJ$99,MATCH(BV11,$BE$4:$BE$99,0),3),Flow_Cell_Lane,0),3),Cluster!$F$29:$F$412,0),6),BV11),Identifier_Cluster,0),19)*IF(LEFT(BV11,4)="pool",IF(LEN(INDEX($BE$4:$BJ$99,MATCH(BV11,$BE$4:$BE$99,0),3))=10,2,IF(LEN(INDEX($BE$4:$BJ$99,MATCH(BV11,$BE$4:$BE$99,0),3))&gt;10,LEN(INDEX($BE$4:$BJ$99,MATCH(BV11,$BE$4:$BE$99,0),3))-8,1)),1)*IF(LEFT(BV11,4)="pool",IF(INDEX($BE$4:$BJ$99,MATCH(BV11,$BE$4:$BE$99,0),6)&lt;1,1,INDEX($BE$4:$BJ$99,MATCH(BV11,$BE$4:$BE$99,0),6)),INDEX(Calculation_Tab,MATCH(BV11,Identifier,0),10)),1)*(1+Calculation!$Q$6),"-")</f>
        <v>-</v>
      </c>
      <c r="BZ11" s="378" t="str">
        <f ca="1">IFERROR((0.5/50)*CE11/Calculation!$AG$6*(IF(LEFT(BV11,4)="Pool",IF(LEN(INDEX($BE$4:$BJ$99,MATCH(BV11,$BE$4:$BE$99,0),3))=10,2,IF(LEN(INDEX($BE$4:$BJ$99,MATCH(BV11,$BE$4:$BE$99,0),3))&gt;10,LEN(INDEX($BE$4:$BJ$99,MATCH(BV11,$BE$4:$BE$99,0),3))-8,1)),IF(INDEX(Calculation_Tab,MATCH(BV11,Identifier,0),10)&gt;1,INDEX(Calculation_Tab,MATCH(BV11,Identifier,0),10),1)))*(1+Calculation!$Q$6),"-")</f>
        <v>-</v>
      </c>
      <c r="CA11" s="510" t="str">
        <f ca="1">IFERROR(IF((BZ11*Calculation!$AG$6/0.05)-SUM(BY11:BZ11,CC11)&gt;0,(BZ11*Calculation!$AG$6/0.05)-SUM(BY11:BZ11,CC11),0),"-")</f>
        <v>-</v>
      </c>
      <c r="CB11" s="510" t="str">
        <f ca="1">IFERROR(5/50*CE11*(IF(LEFT(BV11,4)="Pool",IF(LEN(INDEX($BE$4:$BJ$99,MATCH(BV11,$BE$4:$BE$99,0),3))=10,2,IF(LEN(INDEX($BE$4:$BJ$99,MATCH(BV11,$BE$4:$BE$99,0),3))&gt;10,LEN(INDEX($BE$4:$BJ$99,MATCH(BV11,$BE$4:$BE$99,0),3))-8,1)),IF(INDEX(Calculation_Tab,MATCH(BV11,Identifier,0),10)&gt;1,INDEX(Calculation_Tab,MATCH(BV11,Identifier,0),10),1)))*(1+Calculation!$Q$6),"-")</f>
        <v>-</v>
      </c>
      <c r="CC11" s="508" t="str">
        <f ca="1">IFERROR(ROUND(INDEX(Cluster,MATCH(IF(LEFT(BV11,4)="Pool",INDEX(Cluster,MATCH(INDEX(Calculation_Tab,MATCH(INDEX($BE$4:$BJ$99,MATCH(BV11,$BE$4:$BE$99,0),3),Flow_Cell_Lane,0),3),Cluster!$F$29:$F$412,0),6),BV11),Identifier_Cluster,0),20)*IF(LEFT(BV11,4)="pool",IF(LEN(INDEX($BE$4:$BJ$99,MATCH(BV11,$BE$4:$BE$99,0),3))=10,2,IF(LEN(INDEX($BE$4:$BJ$99,MATCH(BV11,$BE$4:$BE$99,0),3))&gt;10,LEN(INDEX($BE$4:$BJ$99,MATCH(BV11,$BE$4:$BE$99,0),3))-8,1)),1)*IF(LEFT(BV11,4)="pool",IF(INDEX($BE$4:$BJ$99,MATCH(BV11,$BE$4:$BE$99,0),6)&lt;1,1,INDEX($BE$4:$BJ$99,MATCH(BV11,$BE$4:$BE$99,0),6)),INDEX(Calculation_Tab,MATCH(BV11,Identifier,0),10)),1)*(1+Calculation!$Q$6),"-")</f>
        <v>-</v>
      </c>
      <c r="CD11" s="509" t="str">
        <f ca="1">IFERROR(INDEX(Cluster!AC:AD,MATCH(IF(LEFT(BV11,4)="Pool",INDEX(Cluster!$D$29:$AA$412,MATCH(INDEX(Calculation_Tab,MATCH(INDEX($BE$4:$BJ$99,MATCH(BV11,$BE$4:$BE$99,0),3),Flow_Cell_Lane,0),3),Cluster!$F$29:$F$412,0),24),INDEX(Cluster!$D$29:$AA$412,MATCH(BV11,Cluster!$F$29:$F$412,0),24)),Cluster!AC:AC,0),2),"-")</f>
        <v>-</v>
      </c>
      <c r="CE11" s="378" t="str">
        <f ca="1">IFERROR(IF(BV11&lt;&gt;"-",Calculation!$AK$6,"-"),"-")</f>
        <v>-</v>
      </c>
      <c r="CF11" s="378" t="str">
        <f ca="1">IF(OR(LEFT(ListAndConversion!BW11,3)="Dil",LEFT(ListAndConversion!BW11,3)="Poo"),ListAndConversion!$BT$4,IF(LEFT(ListAndConversion!BW11,3)="Sou",INDEX(ListAndConversion!$AT$3:$AV$387,MATCH(ListAndConversion!BV11,ListAndConversion!$AV$3:$AV$387,0),1),"-"))</f>
        <v>-</v>
      </c>
      <c r="CG11" s="498" t="str">
        <f ca="1">IF(OR(LEFT(ListAndConversion!BW11,3)="Dil",LEFT(ListAndConversion!BW11,3)="Poo"),ListAndConversion!BU11,IF(LEFT(ListAndConversion!BW11,3)="Sou",INDEX(ListAndConversion!$AT$4:$AV$387,MATCH(ListAndConversion!BV11,ListAndConversion!$AV$4:$AV$387,0),2),"-"))</f>
        <v>-</v>
      </c>
      <c r="CH11" s="378"/>
      <c r="CI11" s="487" t="str">
        <f t="shared" ca="1" si="19"/>
        <v>-</v>
      </c>
      <c r="CJ11" s="378" t="str">
        <f t="shared" ca="1" si="20"/>
        <v>-</v>
      </c>
      <c r="CK11" s="378" t="str">
        <f t="shared" ca="1" si="20"/>
        <v>-</v>
      </c>
      <c r="CL11" s="378" t="str">
        <f t="shared" ca="1" si="20"/>
        <v>-</v>
      </c>
      <c r="CM11" s="378" t="str">
        <f t="shared" ca="1" si="20"/>
        <v>-</v>
      </c>
      <c r="CN11" s="378" t="str">
        <f t="shared" ca="1" si="20"/>
        <v>-</v>
      </c>
      <c r="CO11" s="378" t="str">
        <f t="shared" ca="1" si="20"/>
        <v>-</v>
      </c>
      <c r="CP11" s="378" t="str">
        <f t="shared" ca="1" si="20"/>
        <v>-</v>
      </c>
      <c r="CQ11" s="378" t="str">
        <f t="shared" ca="1" si="20"/>
        <v>-</v>
      </c>
      <c r="CR11" s="510" t="str">
        <f ca="1">IFERROR(IF(LEFT(BW11,3)="Poo",INDEX($BE$4:$BJ$99,MATCH(CI11,$BG$4:$BG$99,0),6)*((15/50))*Calculation!$AK$6,INDEX(Calculation_Tab,MATCH(BV11,Identifier,0),10)/(IF(LEN(INDEX(Calculation_Tab,MATCH(BV11,Identifier,0),9))&gt;8,LEN(INDEX(Calculation_Tab,MATCH(BV11,Identifier,0),9))-8,1))*((15/50)*Calculation!$AK$6)),"-")</f>
        <v>-</v>
      </c>
      <c r="CS11" s="498" t="str">
        <f ca="1">IF(CI11="-","-",IF(COUNTIF($CI$3:CI11,CI11)&gt;1,0,IFERROR((35/50)*Calculation!$AK$6,"-")))</f>
        <v>-</v>
      </c>
    </row>
    <row r="12" spans="1:97" x14ac:dyDescent="0.5">
      <c r="A12" s="524" t="e">
        <f t="array" aca="1" ref="A12" ca="1">IF(IF((ROW(A12)-2)&lt;(Calculation!$E$6+1),INDEX(Plate_Barcode,MIN(IF(COUNTIF($A$2:A11,Plate_Barcode)=0,ROW(Plate_Barcode)-9))),"-")="","-",IF((ROW(A12)-2)&lt;(Calculation!$E$6+1),INDEX(Plate_Barcode,MIN(IF(COUNTIF($A$2:A11,Plate_Barcode)=0,ROW(Plate_Barcode)-9))),"-"))</f>
        <v>#DIV/0!</v>
      </c>
      <c r="B12" s="525" t="s">
        <v>310</v>
      </c>
      <c r="C12" s="282"/>
      <c r="D12" s="487" t="e">
        <f t="shared" si="0"/>
        <v>#DIV/0!</v>
      </c>
      <c r="E12" s="496" t="e">
        <f t="array" ref="E12">IF(IF((ROW(E12)-3)&lt;(ListAndConversion!$A$15),INDEX(Flow_Cell_Lane,MIN(IF(COUNTIF($E$2:E11,Flow_Cell_Lane)=0,ROW(Flow_Cell_Lane)-9))),"-")="","-",IF((ROW(E12)-3)&lt;(ListAndConversion!$A$15),INDEX(Flow_Cell_Lane,MIN(IF(COUNTIF($E$2:E11,Flow_Cell_Lane)=0,ROW(Flow_Cell_Lane)-9))),"-"))</f>
        <v>#DIV/0!</v>
      </c>
      <c r="F12" s="378" t="e">
        <f t="shared" si="1"/>
        <v>#DIV/0!</v>
      </c>
      <c r="G12" s="378" t="e">
        <f t="shared" si="2"/>
        <v>#DIV/0!</v>
      </c>
      <c r="H12" s="378" t="e">
        <f t="shared" si="2"/>
        <v>#DIV/0!</v>
      </c>
      <c r="I12" s="378" t="e">
        <f t="shared" si="2"/>
        <v>#DIV/0!</v>
      </c>
      <c r="J12" s="378" t="e">
        <f t="shared" si="2"/>
        <v>#DIV/0!</v>
      </c>
      <c r="K12" s="378" t="e">
        <f t="shared" si="2"/>
        <v>#DIV/0!</v>
      </c>
      <c r="L12" s="378" t="e">
        <f t="shared" si="2"/>
        <v>#DIV/0!</v>
      </c>
      <c r="M12" s="378" t="e">
        <f t="shared" si="2"/>
        <v>#DIV/0!</v>
      </c>
      <c r="N12" s="497" t="e">
        <f t="shared" si="3"/>
        <v>#DIV/0!</v>
      </c>
      <c r="O12" s="497" t="str">
        <f t="array" ref="O12">IFERROR(INDEX(Calculation!I:AN,MATCH(ListAndConversion!E12,Calculation!I:I,0),31),"-")</f>
        <v>-</v>
      </c>
      <c r="P12" s="498">
        <f>IF(COUNTIFS(Calculation!$I$10:$I$393,E12,Direct_Denaturation,"-")&lt;&gt;1,COUNTIFS(Calculation!$I$10:$I$393,E12,Direct_Denaturation,"-"),0)</f>
        <v>0</v>
      </c>
      <c r="Q12" s="378"/>
      <c r="R12" s="487" t="e">
        <f t="array" ref="R12">IF(IF((ROW(R12)-3)&lt;(Calculation!$H$6),INDEX(Flow_Cell,MIN(IF(COUNTIF($R$2:R11,Flow_Cell)=0,ROW(Flow_Cell)-9))),"-")="","-",IF((ROW(R12)-3)&lt;(Calculation!$H$6),INDEX(Flow_Cell,MIN(IF(COUNTIF($R$2:R11,Flow_Cell)=0,ROW(Flow_Cell)-9))),"-"))</f>
        <v>#DIV/0!</v>
      </c>
      <c r="S12" s="378" t="e">
        <f t="shared" si="22"/>
        <v>#DIV/0!</v>
      </c>
      <c r="T12" s="378">
        <v>2</v>
      </c>
      <c r="U12" s="498">
        <v>10</v>
      </c>
      <c r="V12" s="487">
        <v>9</v>
      </c>
      <c r="W12" s="497" t="s">
        <v>287</v>
      </c>
      <c r="X12" s="497" t="s">
        <v>311</v>
      </c>
      <c r="Y12" s="378">
        <v>9</v>
      </c>
      <c r="Z12" s="378" t="str">
        <f t="shared" ca="1" si="5"/>
        <v>-</v>
      </c>
      <c r="AA12" s="508" t="str">
        <f t="array" aca="1" ref="AA12" ca="1">IFERROR(INDEX(Calculation_Tab,SMALL(ROW(Sample_Intermediate_Dil)*(Sample_Intermediate_Dil&lt;&gt;"-"),COUNTIF(Sample_Intermediate_Dil,"-")+ROW()-3)-9,5),"-")</f>
        <v>-</v>
      </c>
      <c r="AB12" s="378" t="str">
        <f t="array" aca="1" ref="AB12" ca="1">IFERROR(INDEX($A$3:$B$12,MATCH(INDEX(Calculation_Tab,SMALL(ROW(Sample_Intermediate_Dil)*(Sample_Intermediate_Dil&lt;&gt;"-"),COUNTIF(Sample_Intermediate_Dil,"-")+ROW()-3)-9,5),$A$3:$A$12,0),2),"-")</f>
        <v>-</v>
      </c>
      <c r="AC12" s="509" t="str">
        <f t="array" aca="1" ref="AC12" ca="1">IFERROR(INDEX(Coordinate,MATCH(INDEX(Calculation_Tab,SMALL(ROW(Sample_Intermediate_Dil)*(Sample_Intermediate_Dil&lt;&gt;"-"),COUNTIF(Sample_Intermediate_Dil,"-")+ROW()-3)-9,6),$X$4:$X$99,0),2),"-")</f>
        <v>-</v>
      </c>
      <c r="AD12" s="510" t="str">
        <f t="array" aca="1" ref="AD12" ca="1">IFERROR(INDEX(Calculation_Tab,SMALL(ROW(Sample_Intermediate_Dil)*(Sample_Intermediate_Dil&lt;&gt;"-"),COUNTIF(Sample_Intermediate_Dil,"-")+ROW()-3)-9,24),"-")</f>
        <v>-</v>
      </c>
      <c r="AE12" s="510" t="str">
        <f t="array" aca="1" ref="AE12" ca="1">IFERROR(INDEX(Calculation_Tab,SMALL(ROW(Sample_Intermediate_Dil)*(Sample_Intermediate_Dil&lt;&gt;"-"),COUNTIF(Sample_Intermediate_Dil,"-")+ROW()-3)-9,25),"-")</f>
        <v>-</v>
      </c>
      <c r="AF12" s="510" t="str">
        <f t="array" aca="1" ref="AF12" ca="1">IFERROR(INDEX(Calculation_Tab,SMALL(ROW(Sample_Intermediate_Dil)*(Sample_Intermediate_Dil&lt;&gt;"-"),COUNTIF(Sample_Intermediate_Dil,"-")+ROW()-3)-9,26),"-")</f>
        <v>-</v>
      </c>
      <c r="AG12" s="511" t="str">
        <f t="array" aca="1" ref="AG12" ca="1">IFERROR(INDEX(Calculation_Tab,SMALL(ROW(Sample_Intermediate_Dil)*(Sample_Intermediate_Dil&lt;&gt;"-"),COUNTIF(Sample_Intermediate_Dil,"-")+ROW()-3)-9,27),"-")</f>
        <v>-</v>
      </c>
      <c r="AI12" s="487">
        <v>9</v>
      </c>
      <c r="AJ12" s="497" t="s">
        <v>160</v>
      </c>
      <c r="AK12" s="378">
        <v>9</v>
      </c>
      <c r="AL12" s="378" t="str">
        <f t="shared" ca="1" si="6"/>
        <v>-</v>
      </c>
      <c r="AM12" s="378" t="str">
        <f t="array" aca="1" ref="AM12" ca="1">IFERROR(IF(AI12&lt;=$AB$2,"-",INDEX(Calculation_Tab,SMALL(ROW(Main_Dil)*(Main_Dil&lt;&gt;"-"),COUNTIF(Main_Dil,"-")+ROW()-3-$AB$2)-9,5)),"-")</f>
        <v>-</v>
      </c>
      <c r="AN12" s="378" t="str">
        <f t="array" aca="1" ref="AN12" ca="1">IFERROR(IF(AI12&lt;=$AB$2,"-",INDEX($A$3:$B$12,MATCH(INDEX(Calculation_Tab,SMALL(ROW(Main_Dil)*(Main_Dil&lt;&gt;"-"),COUNTIF(Main_Dil,"-")+ROW()-3-$AB$2)-9,5),$A$3:$A$12,0),2)),"-")</f>
        <v>-</v>
      </c>
      <c r="AO12" s="378" t="str">
        <f t="array" aca="1" ref="AO12" ca="1">IFERROR(IF(AI12&lt;=$AB$2,"-",INDEX(Coordinate,MATCH(INDEX(Calculation_Tab,SMALL(ROW(Main_Dil)*(Main_Dil&lt;&gt;"-"),COUNTIF(Main_Dil,"-")+ROW()-3-$AB$2)-9,6),$X$4:$X$99,0),2)),"-")</f>
        <v>-</v>
      </c>
      <c r="AP12" s="510" t="str">
        <f t="array" aca="1" ref="AP12" ca="1">IFERROR(IF(AI12&lt;=$AB$2,"-",INDEX(Calculation_Tab,SMALL(ROW(Main_Dil)*(Main_Dil&lt;&gt;"-"),COUNTIF(Main_Dil,"-")+ROW()-3-$AB$2)-9,21)),"-")</f>
        <v>-</v>
      </c>
      <c r="AQ12" s="511" t="str">
        <f t="array" aca="1" ref="AQ12" ca="1">IFERROR(IF(AI12&lt;=$AB$2,"-",INDEX(Calculation_Tab,SMALL(ROW(Main_Dil)*(Main_Dil&lt;&gt;"-"),COUNTIF(Main_Dil,"-")+ROW()-3-$AB$2)-9,22)),"-")</f>
        <v>-</v>
      </c>
      <c r="AR12" s="487" t="str">
        <f t="shared" ca="1" si="7"/>
        <v>-</v>
      </c>
      <c r="AS12" s="378">
        <v>9</v>
      </c>
      <c r="AT12" s="497" t="s">
        <v>160</v>
      </c>
      <c r="AU12" s="498">
        <v>9</v>
      </c>
      <c r="AV12" s="378" t="str">
        <f t="shared" ca="1" si="8"/>
        <v>-</v>
      </c>
      <c r="AW12" s="378" t="str">
        <f t="array" aca="1" ref="AW12" ca="1">IFERROR(IF(AS12&lt;=$AB$2+$AN$2,"-",INDEX(Calculation_Tab,SMALL(ROW(Direct_Denaturation)*(Direct_Denaturation&lt;&gt;"-"),COUNTIF(Direct_Denaturation,"-")+ROW()-3-$AB$2-$AN$2)-9,5)),"-")</f>
        <v>-</v>
      </c>
      <c r="AX12" s="378" t="str">
        <f t="array" aca="1" ref="AX12" ca="1">IFERROR(IF(AS12&lt;=$AB$2+$AN$2,"-",INDEX($A$3:$B$12,MATCH(INDEX(Calculation_Tab,SMALL(ROW(Direct_Denaturation)*(Direct_Denaturation&lt;&gt;"-"),COUNTIF(Direct_Denaturation,"-")+ROW()-3-$AB$2-$AN$2)-9,5),$A$3:$A$12,0),2)),"-")</f>
        <v>-</v>
      </c>
      <c r="AY12" s="378" t="str">
        <f t="array" aca="1" ref="AY12" ca="1">IFERROR(IF(AS12&lt;=$AB$2+$AN$2,"-",INDEX(Coordinate,MATCH(INDEX(Calculation_Tab,SMALL(ROW(Direct_Denaturation)*(Direct_Denaturation&lt;&gt;"-"),COUNTIF(Direct_Denaturation,"-")+ROW()-3-$AB$2-$AN$2)-9,6),$X$4:$X$99,0),2)),"-")</f>
        <v>-</v>
      </c>
      <c r="AZ12" s="510" t="str">
        <f t="array" aca="1" ref="AZ12" ca="1">IFERROR(IF(AS12&lt;=$AB$2+$AN$2,"-",INDEX(Calculation_Tab,SMALL(ROW(Direct_Denaturation)*(Direct_Denaturation&lt;&gt;"-"),COUNTIF(Direct_Denaturation,"-")+ROW()-3-$AB$2-$AN$2)-9,32)),"-")</f>
        <v>-</v>
      </c>
      <c r="BA12" s="510" t="str">
        <f t="array" aca="1" ref="BA12" ca="1">IFERROR(IF(AS12&lt;=$AB$2+$AN$2,"-",INDEX(Calculation_Tab,SMALL(ROW(Direct_Denaturation)*(Direct_Denaturation&lt;&gt;"-"),COUNTIF(Direct_Denaturation,"-")+ROW()-3-$AB$2-$AN$2)-9,34)),"-")</f>
        <v>-</v>
      </c>
      <c r="BB12" s="510" t="str">
        <f t="array" aca="1" ref="BB12" ca="1">IFERROR(IF(AS12&lt;=$AB$2+$AN$2,"-",INDEX(Calculation_Tab,SMALL(ROW(Direct_Denaturation)*(Direct_Denaturation&lt;&gt;"-"),COUNTIF(Direct_Denaturation,"-")+ROW()-3-$AB$2-$AN$2)-9,33)),"-")</f>
        <v>-</v>
      </c>
      <c r="BC12" s="510" t="str">
        <f t="array" aca="1" ref="BC12" ca="1">IFERROR(IF(AS12&lt;=$AB$2+$AN$2,"-",INDEX(Calculation_Tab,SMALL(ROW(Direct_Denaturation)*(Direct_Denaturation&lt;&gt;"-"),COUNTIF(Direct_Denaturation,"-")+ROW()-3-$AB$2-$AN$2)-9,35)),"-")</f>
        <v>-</v>
      </c>
      <c r="BD12" s="511" t="str">
        <f t="shared" ca="1" si="9"/>
        <v>-</v>
      </c>
      <c r="BE12" s="494" t="s">
        <v>312</v>
      </c>
      <c r="BF12" s="378">
        <v>9</v>
      </c>
      <c r="BG12" s="515" t="str">
        <v>-</v>
      </c>
      <c r="BH12" s="516" t="str">
        <f>IFERROR(IF((Calculation!$AR$6/INDEX(ListAndConversion!D:P,MATCH(BG12,E:E,0),13))&lt;Calculation!$O$6,INDEX(ListAndConversion!D:P,MATCH(BG12,E:E,0),13)*Calculation!$O$6,Calculation!$AR$6),"-")</f>
        <v>-</v>
      </c>
      <c r="BI12" s="517" t="str">
        <f t="shared" si="10"/>
        <v>-</v>
      </c>
      <c r="BJ12" s="518" t="str">
        <f t="shared" si="11"/>
        <v>-</v>
      </c>
      <c r="BK12" s="378" t="s">
        <v>158</v>
      </c>
      <c r="BL12" s="378">
        <v>9</v>
      </c>
      <c r="BM12" s="487" t="str">
        <f t="array" aca="1" ref="BM12" ca="1">IFERROR(INDEX(Calculation_Tab,SMALL(ROW(ToPool)*(ToPool&lt;&gt;"-"),COUNTIF(ToPool,"-")+ROW()-3)-9,3),"-")</f>
        <v>-</v>
      </c>
      <c r="BN12" s="378" t="str">
        <f t="shared" ca="1" si="12"/>
        <v>-</v>
      </c>
      <c r="BO12" s="378" t="str">
        <f t="shared" ca="1" si="13"/>
        <v>-</v>
      </c>
      <c r="BP12" s="523" t="str">
        <f t="shared" ca="1" si="14"/>
        <v>-</v>
      </c>
      <c r="BQ12" s="378" t="str">
        <f t="array" aca="1" ref="BQ12" ca="1">IFERROR(INDEX(BE:BG,MATCH(INDEX(Calculation_Tab,SMALL(ROW(ToPool)*(ToPool&lt;&gt;"-"),COUNTIF(ToPool,"-")+ROW()-3)-9,9),BG:BG,0),2),"-")</f>
        <v>-</v>
      </c>
      <c r="BR12" s="510" t="str">
        <f t="shared" ca="1" si="15"/>
        <v>-</v>
      </c>
      <c r="BS12" s="511" t="str">
        <f t="shared" ca="1" si="16"/>
        <v>-</v>
      </c>
      <c r="BT12" s="378" t="s">
        <v>164</v>
      </c>
      <c r="BU12" s="487" t="str">
        <f t="shared" ca="1" si="21"/>
        <v>-</v>
      </c>
      <c r="BV12" s="487" t="str">
        <f t="array" aca="1" ref="BV1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2" s="378" t="str">
        <f t="shared" ca="1" si="17"/>
        <v>-</v>
      </c>
      <c r="BX12" s="378" t="str">
        <f t="shared" ca="1" si="18"/>
        <v>-</v>
      </c>
      <c r="BY12" s="510" t="str">
        <f ca="1">IFERROR(ROUND(INDEX(Cluster,MATCH(IF(LEFT(BV12,4)="Pool",INDEX(Cluster,MATCH(INDEX(Calculation_Tab,MATCH(INDEX($BE$4:$BJ$99,MATCH(BV12,$BE$4:$BE$99,0),3),Flow_Cell_Lane,0),3),Cluster!$F$29:$F$412,0),6),BV12),Identifier_Cluster,0),19)*IF(LEFT(BV12,4)="pool",IF(LEN(INDEX($BE$4:$BJ$99,MATCH(BV12,$BE$4:$BE$99,0),3))=10,2,IF(LEN(INDEX($BE$4:$BJ$99,MATCH(BV12,$BE$4:$BE$99,0),3))&gt;10,LEN(INDEX($BE$4:$BJ$99,MATCH(BV12,$BE$4:$BE$99,0),3))-8,1)),1)*IF(LEFT(BV12,4)="pool",IF(INDEX($BE$4:$BJ$99,MATCH(BV12,$BE$4:$BE$99,0),6)&lt;1,1,INDEX($BE$4:$BJ$99,MATCH(BV12,$BE$4:$BE$99,0),6)),INDEX(Calculation_Tab,MATCH(BV12,Identifier,0),10)),1)*(1+Calculation!$Q$6),"-")</f>
        <v>-</v>
      </c>
      <c r="BZ12" s="378" t="str">
        <f ca="1">IFERROR((0.5/50)*CE12/Calculation!$AG$6*(IF(LEFT(BV12,4)="Pool",IF(LEN(INDEX($BE$4:$BJ$99,MATCH(BV12,$BE$4:$BE$99,0),3))=10,2,IF(LEN(INDEX($BE$4:$BJ$99,MATCH(BV12,$BE$4:$BE$99,0),3))&gt;10,LEN(INDEX($BE$4:$BJ$99,MATCH(BV12,$BE$4:$BE$99,0),3))-8,1)),IF(INDEX(Calculation_Tab,MATCH(BV12,Identifier,0),10)&gt;1,INDEX(Calculation_Tab,MATCH(BV12,Identifier,0),10),1)))*(1+Calculation!$Q$6),"-")</f>
        <v>-</v>
      </c>
      <c r="CA12" s="510" t="str">
        <f ca="1">IFERROR(IF((BZ12*Calculation!$AG$6/0.05)-SUM(BY12:BZ12,CC12)&gt;0,(BZ12*Calculation!$AG$6/0.05)-SUM(BY12:BZ12,CC12),0),"-")</f>
        <v>-</v>
      </c>
      <c r="CB12" s="510" t="str">
        <f ca="1">IFERROR(5/50*CE12*(IF(LEFT(BV12,4)="Pool",IF(LEN(INDEX($BE$4:$BJ$99,MATCH(BV12,$BE$4:$BE$99,0),3))=10,2,IF(LEN(INDEX($BE$4:$BJ$99,MATCH(BV12,$BE$4:$BE$99,0),3))&gt;10,LEN(INDEX($BE$4:$BJ$99,MATCH(BV12,$BE$4:$BE$99,0),3))-8,1)),IF(INDEX(Calculation_Tab,MATCH(BV12,Identifier,0),10)&gt;1,INDEX(Calculation_Tab,MATCH(BV12,Identifier,0),10),1)))*(1+Calculation!$Q$6),"-")</f>
        <v>-</v>
      </c>
      <c r="CC12" s="508" t="str">
        <f ca="1">IFERROR(ROUND(INDEX(Cluster,MATCH(IF(LEFT(BV12,4)="Pool",INDEX(Cluster,MATCH(INDEX(Calculation_Tab,MATCH(INDEX($BE$4:$BJ$99,MATCH(BV12,$BE$4:$BE$99,0),3),Flow_Cell_Lane,0),3),Cluster!$F$29:$F$412,0),6),BV12),Identifier_Cluster,0),20)*IF(LEFT(BV12,4)="pool",IF(LEN(INDEX($BE$4:$BJ$99,MATCH(BV12,$BE$4:$BE$99,0),3))=10,2,IF(LEN(INDEX($BE$4:$BJ$99,MATCH(BV12,$BE$4:$BE$99,0),3))&gt;10,LEN(INDEX($BE$4:$BJ$99,MATCH(BV12,$BE$4:$BE$99,0),3))-8,1)),1)*IF(LEFT(BV12,4)="pool",IF(INDEX($BE$4:$BJ$99,MATCH(BV12,$BE$4:$BE$99,0),6)&lt;1,1,INDEX($BE$4:$BJ$99,MATCH(BV12,$BE$4:$BE$99,0),6)),INDEX(Calculation_Tab,MATCH(BV12,Identifier,0),10)),1)*(1+Calculation!$Q$6),"-")</f>
        <v>-</v>
      </c>
      <c r="CD12" s="509" t="str">
        <f ca="1">IFERROR(INDEX(Cluster!AC:AD,MATCH(IF(LEFT(BV12,4)="Pool",INDEX(Cluster!$D$29:$AA$412,MATCH(INDEX(Calculation_Tab,MATCH(INDEX($BE$4:$BJ$99,MATCH(BV12,$BE$4:$BE$99,0),3),Flow_Cell_Lane,0),3),Cluster!$F$29:$F$412,0),24),INDEX(Cluster!$D$29:$AA$412,MATCH(BV12,Cluster!$F$29:$F$412,0),24)),Cluster!AC:AC,0),2),"-")</f>
        <v>-</v>
      </c>
      <c r="CE12" s="378" t="str">
        <f ca="1">IFERROR(IF(BV12&lt;&gt;"-",Calculation!$AK$6,"-"),"-")</f>
        <v>-</v>
      </c>
      <c r="CF12" s="378" t="str">
        <f ca="1">IF(OR(LEFT(ListAndConversion!BW12,3)="Dil",LEFT(ListAndConversion!BW12,3)="Poo"),ListAndConversion!$BT$4,IF(LEFT(ListAndConversion!BW12,3)="Sou",INDEX(ListAndConversion!$AT$3:$AV$387,MATCH(ListAndConversion!BV12,ListAndConversion!$AV$3:$AV$387,0),1),"-"))</f>
        <v>-</v>
      </c>
      <c r="CG12" s="498" t="str">
        <f ca="1">IF(OR(LEFT(ListAndConversion!BW12,3)="Dil",LEFT(ListAndConversion!BW12,3)="Poo"),ListAndConversion!BU12,IF(LEFT(ListAndConversion!BW12,3)="Sou",INDEX(ListAndConversion!$AT$4:$AV$387,MATCH(ListAndConversion!BV12,ListAndConversion!$AV$4:$AV$387,0),2),"-"))</f>
        <v>-</v>
      </c>
      <c r="CH12" s="378"/>
      <c r="CI12" s="487" t="str">
        <f t="shared" ca="1" si="19"/>
        <v>-</v>
      </c>
      <c r="CJ12" s="378" t="str">
        <f t="shared" ca="1" si="20"/>
        <v>-</v>
      </c>
      <c r="CK12" s="378" t="str">
        <f t="shared" ca="1" si="20"/>
        <v>-</v>
      </c>
      <c r="CL12" s="378" t="str">
        <f t="shared" ca="1" si="20"/>
        <v>-</v>
      </c>
      <c r="CM12" s="378" t="str">
        <f t="shared" ca="1" si="20"/>
        <v>-</v>
      </c>
      <c r="CN12" s="378" t="str">
        <f t="shared" ca="1" si="20"/>
        <v>-</v>
      </c>
      <c r="CO12" s="378" t="str">
        <f t="shared" ca="1" si="20"/>
        <v>-</v>
      </c>
      <c r="CP12" s="378" t="str">
        <f t="shared" ca="1" si="20"/>
        <v>-</v>
      </c>
      <c r="CQ12" s="378" t="str">
        <f t="shared" ca="1" si="20"/>
        <v>-</v>
      </c>
      <c r="CR12" s="510" t="str">
        <f ca="1">IFERROR(IF(LEFT(BW12,3)="Poo",INDEX($BE$4:$BJ$99,MATCH(CI12,$BG$4:$BG$99,0),6)*((15/50))*Calculation!$AK$6,INDEX(Calculation_Tab,MATCH(BV12,Identifier,0),10)/(IF(LEN(INDEX(Calculation_Tab,MATCH(BV12,Identifier,0),9))&gt;8,LEN(INDEX(Calculation_Tab,MATCH(BV12,Identifier,0),9))-8,1))*((15/50)*Calculation!$AK$6)),"-")</f>
        <v>-</v>
      </c>
      <c r="CS12" s="498" t="str">
        <f ca="1">IF(CI12="-","-",IF(COUNTIF($CI$3:CI12,CI12)&gt;1,0,IFERROR((35/50)*Calculation!$AK$6,"-")))</f>
        <v>-</v>
      </c>
    </row>
    <row r="13" spans="1:97" x14ac:dyDescent="0.5">
      <c r="A13" s="281"/>
      <c r="D13" s="487" t="e">
        <f t="shared" si="0"/>
        <v>#DIV/0!</v>
      </c>
      <c r="E13" s="496" t="e">
        <f t="array" ref="E13">IF(IF((ROW(E13)-3)&lt;(ListAndConversion!$A$15),INDEX(Flow_Cell_Lane,MIN(IF(COUNTIF($E$2:E12,Flow_Cell_Lane)=0,ROW(Flow_Cell_Lane)-9))),"-")="","-",IF((ROW(E13)-3)&lt;(ListAndConversion!$A$15),INDEX(Flow_Cell_Lane,MIN(IF(COUNTIF($E$2:E12,Flow_Cell_Lane)=0,ROW(Flow_Cell_Lane)-9))),"-"))</f>
        <v>#DIV/0!</v>
      </c>
      <c r="F13" s="378" t="e">
        <f t="shared" si="1"/>
        <v>#DIV/0!</v>
      </c>
      <c r="G13" s="378" t="e">
        <f t="shared" ref="G13:M22" si="23">IF($D13&gt;8,IF($D13&gt;=(8+G$2),CONCATENATE(LEFT($E13,7),RIGHT(LEFT($E13,8+G$2),1)),""),"")</f>
        <v>#DIV/0!</v>
      </c>
      <c r="H13" s="378" t="e">
        <f t="shared" si="23"/>
        <v>#DIV/0!</v>
      </c>
      <c r="I13" s="378" t="e">
        <f t="shared" si="23"/>
        <v>#DIV/0!</v>
      </c>
      <c r="J13" s="378" t="e">
        <f t="shared" si="23"/>
        <v>#DIV/0!</v>
      </c>
      <c r="K13" s="378" t="e">
        <f t="shared" si="23"/>
        <v>#DIV/0!</v>
      </c>
      <c r="L13" s="378" t="e">
        <f t="shared" si="23"/>
        <v>#DIV/0!</v>
      </c>
      <c r="M13" s="378" t="e">
        <f t="shared" si="23"/>
        <v>#DIV/0!</v>
      </c>
      <c r="N13" s="497" t="e">
        <f t="shared" si="3"/>
        <v>#DIV/0!</v>
      </c>
      <c r="O13" s="497" t="str">
        <f t="array" ref="O13">IFERROR(INDEX(Calculation!I:AN,MATCH(ListAndConversion!E13,Calculation!I:I,0),31),"-")</f>
        <v>-</v>
      </c>
      <c r="P13" s="498">
        <f>IF(COUNTIFS(Calculation!$I$10:$I$393,E13,Direct_Denaturation,"-")&lt;&gt;1,COUNTIFS(Calculation!$I$10:$I$393,E13,Direct_Denaturation,"-"),0)</f>
        <v>0</v>
      </c>
      <c r="Q13" s="378"/>
      <c r="R13" s="487" t="e">
        <f t="array" ref="R13">IF(IF((ROW(R13)-3)&lt;(Calculation!$H$6),INDEX(Flow_Cell,MIN(IF(COUNTIF($R$2:R12,Flow_Cell)=0,ROW(Flow_Cell)-9))),"-")="","-",IF((ROW(R13)-3)&lt;(Calculation!$H$6),INDEX(Flow_Cell,MIN(IF(COUNTIF($R$2:R12,Flow_Cell)=0,ROW(Flow_Cell)-9))),"-"))</f>
        <v>#DIV/0!</v>
      </c>
      <c r="S13" s="378" t="e">
        <f t="shared" si="22"/>
        <v>#DIV/0!</v>
      </c>
      <c r="T13" s="378">
        <v>3</v>
      </c>
      <c r="U13" s="498">
        <v>11</v>
      </c>
      <c r="V13" s="487">
        <v>10</v>
      </c>
      <c r="W13" s="497" t="s">
        <v>287</v>
      </c>
      <c r="X13" s="497" t="s">
        <v>313</v>
      </c>
      <c r="Y13" s="378">
        <v>10</v>
      </c>
      <c r="Z13" s="378" t="str">
        <f t="shared" ca="1" si="5"/>
        <v>-</v>
      </c>
      <c r="AA13" s="508" t="str">
        <f t="array" aca="1" ref="AA13" ca="1">IFERROR(INDEX(Calculation_Tab,SMALL(ROW(Sample_Intermediate_Dil)*(Sample_Intermediate_Dil&lt;&gt;"-"),COUNTIF(Sample_Intermediate_Dil,"-")+ROW()-3)-9,5),"-")</f>
        <v>-</v>
      </c>
      <c r="AB13" s="378" t="str">
        <f t="array" aca="1" ref="AB13" ca="1">IFERROR(INDEX($A$3:$B$12,MATCH(INDEX(Calculation_Tab,SMALL(ROW(Sample_Intermediate_Dil)*(Sample_Intermediate_Dil&lt;&gt;"-"),COUNTIF(Sample_Intermediate_Dil,"-")+ROW()-3)-9,5),$A$3:$A$12,0),2),"-")</f>
        <v>-</v>
      </c>
      <c r="AC13" s="509" t="str">
        <f t="array" aca="1" ref="AC13" ca="1">IFERROR(INDEX(Coordinate,MATCH(INDEX(Calculation_Tab,SMALL(ROW(Sample_Intermediate_Dil)*(Sample_Intermediate_Dil&lt;&gt;"-"),COUNTIF(Sample_Intermediate_Dil,"-")+ROW()-3)-9,6),$X$4:$X$99,0),2),"-")</f>
        <v>-</v>
      </c>
      <c r="AD13" s="510" t="str">
        <f t="array" aca="1" ref="AD13" ca="1">IFERROR(INDEX(Calculation_Tab,SMALL(ROW(Sample_Intermediate_Dil)*(Sample_Intermediate_Dil&lt;&gt;"-"),COUNTIF(Sample_Intermediate_Dil,"-")+ROW()-3)-9,24),"-")</f>
        <v>-</v>
      </c>
      <c r="AE13" s="510" t="str">
        <f t="array" aca="1" ref="AE13" ca="1">IFERROR(INDEX(Calculation_Tab,SMALL(ROW(Sample_Intermediate_Dil)*(Sample_Intermediate_Dil&lt;&gt;"-"),COUNTIF(Sample_Intermediate_Dil,"-")+ROW()-3)-9,25),"-")</f>
        <v>-</v>
      </c>
      <c r="AF13" s="510" t="str">
        <f t="array" aca="1" ref="AF13" ca="1">IFERROR(INDEX(Calculation_Tab,SMALL(ROW(Sample_Intermediate_Dil)*(Sample_Intermediate_Dil&lt;&gt;"-"),COUNTIF(Sample_Intermediate_Dil,"-")+ROW()-3)-9,26),"-")</f>
        <v>-</v>
      </c>
      <c r="AG13" s="511" t="str">
        <f t="array" aca="1" ref="AG13" ca="1">IFERROR(INDEX(Calculation_Tab,SMALL(ROW(Sample_Intermediate_Dil)*(Sample_Intermediate_Dil&lt;&gt;"-"),COUNTIF(Sample_Intermediate_Dil,"-")+ROW()-3)-9,27),"-")</f>
        <v>-</v>
      </c>
      <c r="AI13" s="487">
        <v>10</v>
      </c>
      <c r="AJ13" s="497" t="s">
        <v>160</v>
      </c>
      <c r="AK13" s="378">
        <v>10</v>
      </c>
      <c r="AL13" s="378" t="str">
        <f t="shared" ca="1" si="6"/>
        <v>-</v>
      </c>
      <c r="AM13" s="378" t="str">
        <f t="array" aca="1" ref="AM13" ca="1">IFERROR(IF(AI13&lt;=$AB$2,"-",INDEX(Calculation_Tab,SMALL(ROW(Main_Dil)*(Main_Dil&lt;&gt;"-"),COUNTIF(Main_Dil,"-")+ROW()-3-$AB$2)-9,5)),"-")</f>
        <v>-</v>
      </c>
      <c r="AN13" s="378" t="str">
        <f t="array" aca="1" ref="AN13" ca="1">IFERROR(IF(AI13&lt;=$AB$2,"-",INDEX($A$3:$B$12,MATCH(INDEX(Calculation_Tab,SMALL(ROW(Main_Dil)*(Main_Dil&lt;&gt;"-"),COUNTIF(Main_Dil,"-")+ROW()-3-$AB$2)-9,5),$A$3:$A$12,0),2)),"-")</f>
        <v>-</v>
      </c>
      <c r="AO13" s="378" t="str">
        <f t="array" aca="1" ref="AO13" ca="1">IFERROR(IF(AI13&lt;=$AB$2,"-",INDEX(Coordinate,MATCH(INDEX(Calculation_Tab,SMALL(ROW(Main_Dil)*(Main_Dil&lt;&gt;"-"),COUNTIF(Main_Dil,"-")+ROW()-3-$AB$2)-9,6),$X$4:$X$99,0),2)),"-")</f>
        <v>-</v>
      </c>
      <c r="AP13" s="510" t="str">
        <f t="array" aca="1" ref="AP13" ca="1">IFERROR(IF(AI13&lt;=$AB$2,"-",INDEX(Calculation_Tab,SMALL(ROW(Main_Dil)*(Main_Dil&lt;&gt;"-"),COUNTIF(Main_Dil,"-")+ROW()-3-$AB$2)-9,21)),"-")</f>
        <v>-</v>
      </c>
      <c r="AQ13" s="511" t="str">
        <f t="array" aca="1" ref="AQ13" ca="1">IFERROR(IF(AI13&lt;=$AB$2,"-",INDEX(Calculation_Tab,SMALL(ROW(Main_Dil)*(Main_Dil&lt;&gt;"-"),COUNTIF(Main_Dil,"-")+ROW()-3-$AB$2)-9,22)),"-")</f>
        <v>-</v>
      </c>
      <c r="AR13" s="487" t="str">
        <f t="shared" ca="1" si="7"/>
        <v>-</v>
      </c>
      <c r="AS13" s="378">
        <v>10</v>
      </c>
      <c r="AT13" s="497" t="s">
        <v>160</v>
      </c>
      <c r="AU13" s="498">
        <v>10</v>
      </c>
      <c r="AV13" s="378" t="str">
        <f t="shared" ca="1" si="8"/>
        <v>-</v>
      </c>
      <c r="AW13" s="378" t="str">
        <f t="array" aca="1" ref="AW13" ca="1">IFERROR(IF(AS13&lt;=$AB$2+$AN$2,"-",INDEX(Calculation_Tab,SMALL(ROW(Direct_Denaturation)*(Direct_Denaturation&lt;&gt;"-"),COUNTIF(Direct_Denaturation,"-")+ROW()-3-$AB$2-$AN$2)-9,5)),"-")</f>
        <v>-</v>
      </c>
      <c r="AX13" s="378" t="str">
        <f t="array" aca="1" ref="AX13" ca="1">IFERROR(IF(AS13&lt;=$AB$2+$AN$2,"-",INDEX($A$3:$B$12,MATCH(INDEX(Calculation_Tab,SMALL(ROW(Direct_Denaturation)*(Direct_Denaturation&lt;&gt;"-"),COUNTIF(Direct_Denaturation,"-")+ROW()-3-$AB$2-$AN$2)-9,5),$A$3:$A$12,0),2)),"-")</f>
        <v>-</v>
      </c>
      <c r="AY13" s="378" t="str">
        <f t="array" aca="1" ref="AY13" ca="1">IFERROR(IF(AS13&lt;=$AB$2+$AN$2,"-",INDEX(Coordinate,MATCH(INDEX(Calculation_Tab,SMALL(ROW(Direct_Denaturation)*(Direct_Denaturation&lt;&gt;"-"),COUNTIF(Direct_Denaturation,"-")+ROW()-3-$AB$2-$AN$2)-9,6),$X$4:$X$99,0),2)),"-")</f>
        <v>-</v>
      </c>
      <c r="AZ13" s="510" t="str">
        <f t="array" aca="1" ref="AZ13" ca="1">IFERROR(IF(AS13&lt;=$AB$2+$AN$2,"-",INDEX(Calculation_Tab,SMALL(ROW(Direct_Denaturation)*(Direct_Denaturation&lt;&gt;"-"),COUNTIF(Direct_Denaturation,"-")+ROW()-3-$AB$2-$AN$2)-9,32)),"-")</f>
        <v>-</v>
      </c>
      <c r="BA13" s="510" t="str">
        <f t="array" aca="1" ref="BA13" ca="1">IFERROR(IF(AS13&lt;=$AB$2+$AN$2,"-",INDEX(Calculation_Tab,SMALL(ROW(Direct_Denaturation)*(Direct_Denaturation&lt;&gt;"-"),COUNTIF(Direct_Denaturation,"-")+ROW()-3-$AB$2-$AN$2)-9,34)),"-")</f>
        <v>-</v>
      </c>
      <c r="BB13" s="510" t="str">
        <f t="array" aca="1" ref="BB13" ca="1">IFERROR(IF(AS13&lt;=$AB$2+$AN$2,"-",INDEX(Calculation_Tab,SMALL(ROW(Direct_Denaturation)*(Direct_Denaturation&lt;&gt;"-"),COUNTIF(Direct_Denaturation,"-")+ROW()-3-$AB$2-$AN$2)-9,33)),"-")</f>
        <v>-</v>
      </c>
      <c r="BC13" s="510" t="str">
        <f t="array" aca="1" ref="BC13" ca="1">IFERROR(IF(AS13&lt;=$AB$2+$AN$2,"-",INDEX(Calculation_Tab,SMALL(ROW(Direct_Denaturation)*(Direct_Denaturation&lt;&gt;"-"),COUNTIF(Direct_Denaturation,"-")+ROW()-3-$AB$2-$AN$2)-9,35)),"-")</f>
        <v>-</v>
      </c>
      <c r="BD13" s="511" t="str">
        <f t="shared" ca="1" si="9"/>
        <v>-</v>
      </c>
      <c r="BE13" s="494" t="s">
        <v>314</v>
      </c>
      <c r="BF13" s="378">
        <v>10</v>
      </c>
      <c r="BG13" s="515" t="str">
        <v>-</v>
      </c>
      <c r="BH13" s="516" t="str">
        <f>IFERROR(IF((Calculation!$AR$6/INDEX(ListAndConversion!D:P,MATCH(BG13,E:E,0),13))&lt;Calculation!$O$6,INDEX(ListAndConversion!D:P,MATCH(BG13,E:E,0),13)*Calculation!$O$6,Calculation!$AR$6),"-")</f>
        <v>-</v>
      </c>
      <c r="BI13" s="517" t="str">
        <f t="shared" si="10"/>
        <v>-</v>
      </c>
      <c r="BJ13" s="518" t="str">
        <f t="shared" si="11"/>
        <v>-</v>
      </c>
      <c r="BK13" s="378" t="s">
        <v>158</v>
      </c>
      <c r="BL13" s="378">
        <v>10</v>
      </c>
      <c r="BM13" s="487" t="str">
        <f t="array" aca="1" ref="BM13" ca="1">IFERROR(INDEX(Calculation_Tab,SMALL(ROW(ToPool)*(ToPool&lt;&gt;"-"),COUNTIF(ToPool,"-")+ROW()-3)-9,3),"-")</f>
        <v>-</v>
      </c>
      <c r="BN13" s="378" t="str">
        <f t="shared" ca="1" si="12"/>
        <v>-</v>
      </c>
      <c r="BO13" s="378" t="str">
        <f t="shared" ca="1" si="13"/>
        <v>-</v>
      </c>
      <c r="BP13" s="523" t="str">
        <f t="shared" ca="1" si="14"/>
        <v>-</v>
      </c>
      <c r="BQ13" s="378" t="str">
        <f t="array" aca="1" ref="BQ13" ca="1">IFERROR(INDEX(BE:BG,MATCH(INDEX(Calculation_Tab,SMALL(ROW(ToPool)*(ToPool&lt;&gt;"-"),COUNTIF(ToPool,"-")+ROW()-3)-9,9),BG:BG,0),2),"-")</f>
        <v>-</v>
      </c>
      <c r="BR13" s="510" t="str">
        <f t="shared" ca="1" si="15"/>
        <v>-</v>
      </c>
      <c r="BS13" s="511" t="str">
        <f t="shared" ca="1" si="16"/>
        <v>-</v>
      </c>
      <c r="BT13" s="378" t="s">
        <v>164</v>
      </c>
      <c r="BU13" s="487" t="str">
        <f t="shared" ca="1" si="21"/>
        <v>-</v>
      </c>
      <c r="BV13" s="487" t="str">
        <f t="array" aca="1" ref="BV1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3" s="378" t="str">
        <f t="shared" ca="1" si="17"/>
        <v>-</v>
      </c>
      <c r="BX13" s="378" t="str">
        <f t="shared" ca="1" si="18"/>
        <v>-</v>
      </c>
      <c r="BY13" s="510" t="str">
        <f ca="1">IFERROR(ROUND(INDEX(Cluster,MATCH(IF(LEFT(BV13,4)="Pool",INDEX(Cluster,MATCH(INDEX(Calculation_Tab,MATCH(INDEX($BE$4:$BJ$99,MATCH(BV13,$BE$4:$BE$99,0),3),Flow_Cell_Lane,0),3),Cluster!$F$29:$F$412,0),6),BV13),Identifier_Cluster,0),19)*IF(LEFT(BV13,4)="pool",IF(LEN(INDEX($BE$4:$BJ$99,MATCH(BV13,$BE$4:$BE$99,0),3))=10,2,IF(LEN(INDEX($BE$4:$BJ$99,MATCH(BV13,$BE$4:$BE$99,0),3))&gt;10,LEN(INDEX($BE$4:$BJ$99,MATCH(BV13,$BE$4:$BE$99,0),3))-8,1)),1)*IF(LEFT(BV13,4)="pool",IF(INDEX($BE$4:$BJ$99,MATCH(BV13,$BE$4:$BE$99,0),6)&lt;1,1,INDEX($BE$4:$BJ$99,MATCH(BV13,$BE$4:$BE$99,0),6)),INDEX(Calculation_Tab,MATCH(BV13,Identifier,0),10)),1)*(1+Calculation!$Q$6),"-")</f>
        <v>-</v>
      </c>
      <c r="BZ13" s="378" t="str">
        <f ca="1">IFERROR((0.5/50)*CE13/Calculation!$AG$6*(IF(LEFT(BV13,4)="Pool",IF(LEN(INDEX($BE$4:$BJ$99,MATCH(BV13,$BE$4:$BE$99,0),3))=10,2,IF(LEN(INDEX($BE$4:$BJ$99,MATCH(BV13,$BE$4:$BE$99,0),3))&gt;10,LEN(INDEX($BE$4:$BJ$99,MATCH(BV13,$BE$4:$BE$99,0),3))-8,1)),IF(INDEX(Calculation_Tab,MATCH(BV13,Identifier,0),10)&gt;1,INDEX(Calculation_Tab,MATCH(BV13,Identifier,0),10),1)))*(1+Calculation!$Q$6),"-")</f>
        <v>-</v>
      </c>
      <c r="CA13" s="510" t="str">
        <f ca="1">IFERROR(IF((BZ13*Calculation!$AG$6/0.05)-SUM(BY13:BZ13,CC13)&gt;0,(BZ13*Calculation!$AG$6/0.05)-SUM(BY13:BZ13,CC13),0),"-")</f>
        <v>-</v>
      </c>
      <c r="CB13" s="510" t="str">
        <f ca="1">IFERROR(5/50*CE13*(IF(LEFT(BV13,4)="Pool",IF(LEN(INDEX($BE$4:$BJ$99,MATCH(BV13,$BE$4:$BE$99,0),3))=10,2,IF(LEN(INDEX($BE$4:$BJ$99,MATCH(BV13,$BE$4:$BE$99,0),3))&gt;10,LEN(INDEX($BE$4:$BJ$99,MATCH(BV13,$BE$4:$BE$99,0),3))-8,1)),IF(INDEX(Calculation_Tab,MATCH(BV13,Identifier,0),10)&gt;1,INDEX(Calculation_Tab,MATCH(BV13,Identifier,0),10),1)))*(1+Calculation!$Q$6),"-")</f>
        <v>-</v>
      </c>
      <c r="CC13" s="508" t="str">
        <f ca="1">IFERROR(ROUND(INDEX(Cluster,MATCH(IF(LEFT(BV13,4)="Pool",INDEX(Cluster,MATCH(INDEX(Calculation_Tab,MATCH(INDEX($BE$4:$BJ$99,MATCH(BV13,$BE$4:$BE$99,0),3),Flow_Cell_Lane,0),3),Cluster!$F$29:$F$412,0),6),BV13),Identifier_Cluster,0),20)*IF(LEFT(BV13,4)="pool",IF(LEN(INDEX($BE$4:$BJ$99,MATCH(BV13,$BE$4:$BE$99,0),3))=10,2,IF(LEN(INDEX($BE$4:$BJ$99,MATCH(BV13,$BE$4:$BE$99,0),3))&gt;10,LEN(INDEX($BE$4:$BJ$99,MATCH(BV13,$BE$4:$BE$99,0),3))-8,1)),1)*IF(LEFT(BV13,4)="pool",IF(INDEX($BE$4:$BJ$99,MATCH(BV13,$BE$4:$BE$99,0),6)&lt;1,1,INDEX($BE$4:$BJ$99,MATCH(BV13,$BE$4:$BE$99,0),6)),INDEX(Calculation_Tab,MATCH(BV13,Identifier,0),10)),1)*(1+Calculation!$Q$6),"-")</f>
        <v>-</v>
      </c>
      <c r="CD13" s="509" t="str">
        <f ca="1">IFERROR(INDEX(Cluster!AC:AD,MATCH(IF(LEFT(BV13,4)="Pool",INDEX(Cluster!$D$29:$AA$412,MATCH(INDEX(Calculation_Tab,MATCH(INDEX($BE$4:$BJ$99,MATCH(BV13,$BE$4:$BE$99,0),3),Flow_Cell_Lane,0),3),Cluster!$F$29:$F$412,0),24),INDEX(Cluster!$D$29:$AA$412,MATCH(BV13,Cluster!$F$29:$F$412,0),24)),Cluster!AC:AC,0),2),"-")</f>
        <v>-</v>
      </c>
      <c r="CE13" s="378" t="str">
        <f ca="1">IFERROR(IF(BV13&lt;&gt;"-",Calculation!$AK$6,"-"),"-")</f>
        <v>-</v>
      </c>
      <c r="CF13" s="378" t="str">
        <f ca="1">IF(OR(LEFT(ListAndConversion!BW13,3)="Dil",LEFT(ListAndConversion!BW13,3)="Poo"),ListAndConversion!$BT$4,IF(LEFT(ListAndConversion!BW13,3)="Sou",INDEX(ListAndConversion!$AT$3:$AV$387,MATCH(ListAndConversion!BV13,ListAndConversion!$AV$3:$AV$387,0),1),"-"))</f>
        <v>-</v>
      </c>
      <c r="CG13" s="498" t="str">
        <f ca="1">IF(OR(LEFT(ListAndConversion!BW13,3)="Dil",LEFT(ListAndConversion!BW13,3)="Poo"),ListAndConversion!BU13,IF(LEFT(ListAndConversion!BW13,3)="Sou",INDEX(ListAndConversion!$AT$4:$AV$387,MATCH(ListAndConversion!BV13,ListAndConversion!$AV$4:$AV$387,0),2),"-"))</f>
        <v>-</v>
      </c>
      <c r="CH13"/>
      <c r="CI13" s="487" t="str">
        <f t="shared" ca="1" si="19"/>
        <v>-</v>
      </c>
      <c r="CJ13" s="378" t="str">
        <f t="shared" ca="1" si="20"/>
        <v>-</v>
      </c>
      <c r="CK13" s="378" t="str">
        <f t="shared" ca="1" si="20"/>
        <v>-</v>
      </c>
      <c r="CL13" s="378" t="str">
        <f t="shared" ca="1" si="20"/>
        <v>-</v>
      </c>
      <c r="CM13" s="378" t="str">
        <f t="shared" ca="1" si="20"/>
        <v>-</v>
      </c>
      <c r="CN13" s="378" t="str">
        <f t="shared" ca="1" si="20"/>
        <v>-</v>
      </c>
      <c r="CO13" s="378" t="str">
        <f t="shared" ca="1" si="20"/>
        <v>-</v>
      </c>
      <c r="CP13" s="378" t="str">
        <f t="shared" ca="1" si="20"/>
        <v>-</v>
      </c>
      <c r="CQ13" s="378" t="str">
        <f t="shared" ca="1" si="20"/>
        <v>-</v>
      </c>
      <c r="CR13" s="510" t="str">
        <f ca="1">IFERROR(IF(LEFT(BW13,3)="Poo",INDEX($BE$4:$BJ$99,MATCH(CI13,$BG$4:$BG$99,0),6)*((15/50))*Calculation!$AK$6,INDEX(Calculation_Tab,MATCH(BV13,Identifier,0),10)/(IF(LEN(INDEX(Calculation_Tab,MATCH(BV13,Identifier,0),9))&gt;8,LEN(INDEX(Calculation_Tab,MATCH(BV13,Identifier,0),9))-8,1))*((15/50)*Calculation!$AK$6)),"-")</f>
        <v>-</v>
      </c>
      <c r="CS13" s="498" t="str">
        <f ca="1">IF(CI13="-","-",IF(COUNTIF($CI$3:CI13,CI13)&gt;1,0,IFERROR((35/50)*Calculation!$AK$6,"-")))</f>
        <v>-</v>
      </c>
    </row>
    <row r="14" spans="1:97" x14ac:dyDescent="0.5">
      <c r="A14" s="526" t="s">
        <v>315</v>
      </c>
      <c r="D14" s="487" t="e">
        <f t="shared" si="0"/>
        <v>#DIV/0!</v>
      </c>
      <c r="E14" s="496" t="e">
        <f t="array" ref="E14">IF(IF((ROW(E14)-3)&lt;(ListAndConversion!$A$15),INDEX(Flow_Cell_Lane,MIN(IF(COUNTIF($E$2:E13,Flow_Cell_Lane)=0,ROW(Flow_Cell_Lane)-9))),"-")="","-",IF((ROW(E14)-3)&lt;(ListAndConversion!$A$15),INDEX(Flow_Cell_Lane,MIN(IF(COUNTIF($E$2:E13,Flow_Cell_Lane)=0,ROW(Flow_Cell_Lane)-9))),"-"))</f>
        <v>#DIV/0!</v>
      </c>
      <c r="F14" s="378" t="e">
        <f t="shared" si="1"/>
        <v>#DIV/0!</v>
      </c>
      <c r="G14" s="378" t="e">
        <f t="shared" si="23"/>
        <v>#DIV/0!</v>
      </c>
      <c r="H14" s="378" t="e">
        <f t="shared" si="23"/>
        <v>#DIV/0!</v>
      </c>
      <c r="I14" s="378" t="e">
        <f t="shared" si="23"/>
        <v>#DIV/0!</v>
      </c>
      <c r="J14" s="378" t="e">
        <f t="shared" si="23"/>
        <v>#DIV/0!</v>
      </c>
      <c r="K14" s="378" t="e">
        <f t="shared" si="23"/>
        <v>#DIV/0!</v>
      </c>
      <c r="L14" s="378" t="e">
        <f t="shared" si="23"/>
        <v>#DIV/0!</v>
      </c>
      <c r="M14" s="378" t="e">
        <f t="shared" si="23"/>
        <v>#DIV/0!</v>
      </c>
      <c r="N14" s="497" t="e">
        <f t="shared" si="3"/>
        <v>#DIV/0!</v>
      </c>
      <c r="O14" s="497" t="str">
        <f t="array" ref="O14">IFERROR(INDEX(Calculation!I:AN,MATCH(ListAndConversion!E14,Calculation!I:I,0),31),"-")</f>
        <v>-</v>
      </c>
      <c r="P14" s="498">
        <f>IF(COUNTIFS(Calculation!$I$10:$I$393,E14,Direct_Denaturation,"-")&lt;&gt;1,COUNTIFS(Calculation!$I$10:$I$393,E14,Direct_Denaturation,"-"),0)</f>
        <v>0</v>
      </c>
      <c r="Q14" s="378"/>
      <c r="R14" s="487" t="e">
        <f t="array" ref="R14">IF(IF((ROW(R14)-3)&lt;(Calculation!$H$6),INDEX(Flow_Cell,MIN(IF(COUNTIF($R$2:R13,Flow_Cell)=0,ROW(Flow_Cell)-9))),"-")="","-",IF((ROW(R14)-3)&lt;(Calculation!$H$6),INDEX(Flow_Cell,MIN(IF(COUNTIF($R$2:R13,Flow_Cell)=0,ROW(Flow_Cell)-9))),"-"))</f>
        <v>#DIV/0!</v>
      </c>
      <c r="S14" s="378" t="e">
        <f t="shared" si="22"/>
        <v>#DIV/0!</v>
      </c>
      <c r="T14" s="378">
        <v>4</v>
      </c>
      <c r="U14" s="498">
        <v>12</v>
      </c>
      <c r="V14" s="487">
        <v>11</v>
      </c>
      <c r="W14" s="497" t="s">
        <v>287</v>
      </c>
      <c r="X14" s="497" t="s">
        <v>316</v>
      </c>
      <c r="Y14" s="378">
        <v>11</v>
      </c>
      <c r="Z14" s="378" t="str">
        <f t="shared" ca="1" si="5"/>
        <v>-</v>
      </c>
      <c r="AA14" s="508" t="str">
        <f t="array" aca="1" ref="AA14" ca="1">IFERROR(INDEX(Calculation_Tab,SMALL(ROW(Sample_Intermediate_Dil)*(Sample_Intermediate_Dil&lt;&gt;"-"),COUNTIF(Sample_Intermediate_Dil,"-")+ROW()-3)-9,5),"-")</f>
        <v>-</v>
      </c>
      <c r="AB14" s="378" t="str">
        <f t="array" aca="1" ref="AB14" ca="1">IFERROR(INDEX($A$3:$B$12,MATCH(INDEX(Calculation_Tab,SMALL(ROW(Sample_Intermediate_Dil)*(Sample_Intermediate_Dil&lt;&gt;"-"),COUNTIF(Sample_Intermediate_Dil,"-")+ROW()-3)-9,5),$A$3:$A$12,0),2),"-")</f>
        <v>-</v>
      </c>
      <c r="AC14" s="509" t="str">
        <f t="array" aca="1" ref="AC14" ca="1">IFERROR(INDEX(Coordinate,MATCH(INDEX(Calculation_Tab,SMALL(ROW(Sample_Intermediate_Dil)*(Sample_Intermediate_Dil&lt;&gt;"-"),COUNTIF(Sample_Intermediate_Dil,"-")+ROW()-3)-9,6),$X$4:$X$99,0),2),"-")</f>
        <v>-</v>
      </c>
      <c r="AD14" s="510" t="str">
        <f t="array" aca="1" ref="AD14" ca="1">IFERROR(INDEX(Calculation_Tab,SMALL(ROW(Sample_Intermediate_Dil)*(Sample_Intermediate_Dil&lt;&gt;"-"),COUNTIF(Sample_Intermediate_Dil,"-")+ROW()-3)-9,24),"-")</f>
        <v>-</v>
      </c>
      <c r="AE14" s="510" t="str">
        <f t="array" aca="1" ref="AE14" ca="1">IFERROR(INDEX(Calculation_Tab,SMALL(ROW(Sample_Intermediate_Dil)*(Sample_Intermediate_Dil&lt;&gt;"-"),COUNTIF(Sample_Intermediate_Dil,"-")+ROW()-3)-9,25),"-")</f>
        <v>-</v>
      </c>
      <c r="AF14" s="510" t="str">
        <f t="array" aca="1" ref="AF14" ca="1">IFERROR(INDEX(Calculation_Tab,SMALL(ROW(Sample_Intermediate_Dil)*(Sample_Intermediate_Dil&lt;&gt;"-"),COUNTIF(Sample_Intermediate_Dil,"-")+ROW()-3)-9,26),"-")</f>
        <v>-</v>
      </c>
      <c r="AG14" s="511" t="str">
        <f t="array" aca="1" ref="AG14" ca="1">IFERROR(INDEX(Calculation_Tab,SMALL(ROW(Sample_Intermediate_Dil)*(Sample_Intermediate_Dil&lt;&gt;"-"),COUNTIF(Sample_Intermediate_Dil,"-")+ROW()-3)-9,27),"-")</f>
        <v>-</v>
      </c>
      <c r="AI14" s="487">
        <v>11</v>
      </c>
      <c r="AJ14" s="497" t="s">
        <v>160</v>
      </c>
      <c r="AK14" s="378">
        <v>11</v>
      </c>
      <c r="AL14" s="378" t="str">
        <f t="shared" ca="1" si="6"/>
        <v>-</v>
      </c>
      <c r="AM14" s="378" t="str">
        <f t="array" aca="1" ref="AM14" ca="1">IFERROR(IF(AI14&lt;=$AB$2,"-",INDEX(Calculation_Tab,SMALL(ROW(Main_Dil)*(Main_Dil&lt;&gt;"-"),COUNTIF(Main_Dil,"-")+ROW()-3-$AB$2)-9,5)),"-")</f>
        <v>-</v>
      </c>
      <c r="AN14" s="378" t="str">
        <f t="array" aca="1" ref="AN14" ca="1">IFERROR(IF(AI14&lt;=$AB$2,"-",INDEX($A$3:$B$12,MATCH(INDEX(Calculation_Tab,SMALL(ROW(Main_Dil)*(Main_Dil&lt;&gt;"-"),COUNTIF(Main_Dil,"-")+ROW()-3-$AB$2)-9,5),$A$3:$A$12,0),2)),"-")</f>
        <v>-</v>
      </c>
      <c r="AO14" s="378" t="str">
        <f t="array" aca="1" ref="AO14" ca="1">IFERROR(IF(AI14&lt;=$AB$2,"-",INDEX(Coordinate,MATCH(INDEX(Calculation_Tab,SMALL(ROW(Main_Dil)*(Main_Dil&lt;&gt;"-"),COUNTIF(Main_Dil,"-")+ROW()-3-$AB$2)-9,6),$X$4:$X$99,0),2)),"-")</f>
        <v>-</v>
      </c>
      <c r="AP14" s="510" t="str">
        <f t="array" aca="1" ref="AP14" ca="1">IFERROR(IF(AI14&lt;=$AB$2,"-",INDEX(Calculation_Tab,SMALL(ROW(Main_Dil)*(Main_Dil&lt;&gt;"-"),COUNTIF(Main_Dil,"-")+ROW()-3-$AB$2)-9,21)),"-")</f>
        <v>-</v>
      </c>
      <c r="AQ14" s="511" t="str">
        <f t="array" aca="1" ref="AQ14" ca="1">IFERROR(IF(AI14&lt;=$AB$2,"-",INDEX(Calculation_Tab,SMALL(ROW(Main_Dil)*(Main_Dil&lt;&gt;"-"),COUNTIF(Main_Dil,"-")+ROW()-3-$AB$2)-9,22)),"-")</f>
        <v>-</v>
      </c>
      <c r="AR14" s="487" t="str">
        <f t="shared" ca="1" si="7"/>
        <v>-</v>
      </c>
      <c r="AS14" s="378">
        <v>11</v>
      </c>
      <c r="AT14" s="497" t="s">
        <v>160</v>
      </c>
      <c r="AU14" s="498">
        <v>11</v>
      </c>
      <c r="AV14" s="378" t="str">
        <f t="shared" ca="1" si="8"/>
        <v>-</v>
      </c>
      <c r="AW14" s="378" t="str">
        <f t="array" aca="1" ref="AW14" ca="1">IFERROR(IF(AS14&lt;=$AB$2+$AN$2,"-",INDEX(Calculation_Tab,SMALL(ROW(Direct_Denaturation)*(Direct_Denaturation&lt;&gt;"-"),COUNTIF(Direct_Denaturation,"-")+ROW()-3-$AB$2-$AN$2)-9,5)),"-")</f>
        <v>-</v>
      </c>
      <c r="AX14" s="378" t="str">
        <f t="array" aca="1" ref="AX14" ca="1">IFERROR(IF(AS14&lt;=$AB$2+$AN$2,"-",INDEX($A$3:$B$12,MATCH(INDEX(Calculation_Tab,SMALL(ROW(Direct_Denaturation)*(Direct_Denaturation&lt;&gt;"-"),COUNTIF(Direct_Denaturation,"-")+ROW()-3-$AB$2-$AN$2)-9,5),$A$3:$A$12,0),2)),"-")</f>
        <v>-</v>
      </c>
      <c r="AY14" s="378" t="str">
        <f t="array" aca="1" ref="AY14" ca="1">IFERROR(IF(AS14&lt;=$AB$2+$AN$2,"-",INDEX(Coordinate,MATCH(INDEX(Calculation_Tab,SMALL(ROW(Direct_Denaturation)*(Direct_Denaturation&lt;&gt;"-"),COUNTIF(Direct_Denaturation,"-")+ROW()-3-$AB$2-$AN$2)-9,6),$X$4:$X$99,0),2)),"-")</f>
        <v>-</v>
      </c>
      <c r="AZ14" s="510" t="str">
        <f t="array" aca="1" ref="AZ14" ca="1">IFERROR(IF(AS14&lt;=$AB$2+$AN$2,"-",INDEX(Calculation_Tab,SMALL(ROW(Direct_Denaturation)*(Direct_Denaturation&lt;&gt;"-"),COUNTIF(Direct_Denaturation,"-")+ROW()-3-$AB$2-$AN$2)-9,32)),"-")</f>
        <v>-</v>
      </c>
      <c r="BA14" s="510" t="str">
        <f t="array" aca="1" ref="BA14" ca="1">IFERROR(IF(AS14&lt;=$AB$2+$AN$2,"-",INDEX(Calculation_Tab,SMALL(ROW(Direct_Denaturation)*(Direct_Denaturation&lt;&gt;"-"),COUNTIF(Direct_Denaturation,"-")+ROW()-3-$AB$2-$AN$2)-9,34)),"-")</f>
        <v>-</v>
      </c>
      <c r="BB14" s="510" t="str">
        <f t="array" aca="1" ref="BB14" ca="1">IFERROR(IF(AS14&lt;=$AB$2+$AN$2,"-",INDEX(Calculation_Tab,SMALL(ROW(Direct_Denaturation)*(Direct_Denaturation&lt;&gt;"-"),COUNTIF(Direct_Denaturation,"-")+ROW()-3-$AB$2-$AN$2)-9,33)),"-")</f>
        <v>-</v>
      </c>
      <c r="BC14" s="510" t="str">
        <f t="array" aca="1" ref="BC14" ca="1">IFERROR(IF(AS14&lt;=$AB$2+$AN$2,"-",INDEX(Calculation_Tab,SMALL(ROW(Direct_Denaturation)*(Direct_Denaturation&lt;&gt;"-"),COUNTIF(Direct_Denaturation,"-")+ROW()-3-$AB$2-$AN$2)-9,35)),"-")</f>
        <v>-</v>
      </c>
      <c r="BD14" s="511" t="str">
        <f t="shared" ca="1" si="9"/>
        <v>-</v>
      </c>
      <c r="BE14" s="494" t="s">
        <v>317</v>
      </c>
      <c r="BF14" s="378">
        <v>11</v>
      </c>
      <c r="BG14" s="515" t="str">
        <v>-</v>
      </c>
      <c r="BH14" s="516" t="str">
        <f>IFERROR(IF((Calculation!$AR$6/INDEX(ListAndConversion!D:P,MATCH(BG14,E:E,0),13))&lt;Calculation!$O$6,INDEX(ListAndConversion!D:P,MATCH(BG14,E:E,0),13)*Calculation!$O$6,Calculation!$AR$6),"-")</f>
        <v>-</v>
      </c>
      <c r="BI14" s="517" t="str">
        <f t="shared" si="10"/>
        <v>-</v>
      </c>
      <c r="BJ14" s="518" t="str">
        <f t="shared" si="11"/>
        <v>-</v>
      </c>
      <c r="BK14" s="378" t="s">
        <v>158</v>
      </c>
      <c r="BL14" s="378">
        <v>11</v>
      </c>
      <c r="BM14" s="487" t="str">
        <f t="array" aca="1" ref="BM14" ca="1">IFERROR(INDEX(Calculation_Tab,SMALL(ROW(ToPool)*(ToPool&lt;&gt;"-"),COUNTIF(ToPool,"-")+ROW()-3)-9,3),"-")</f>
        <v>-</v>
      </c>
      <c r="BN14" s="378" t="str">
        <f t="shared" ca="1" si="12"/>
        <v>-</v>
      </c>
      <c r="BO14" s="378" t="str">
        <f t="shared" ca="1" si="13"/>
        <v>-</v>
      </c>
      <c r="BP14" s="523" t="str">
        <f t="shared" ca="1" si="14"/>
        <v>-</v>
      </c>
      <c r="BQ14" s="378" t="str">
        <f t="array" aca="1" ref="BQ14" ca="1">IFERROR(INDEX(BE:BG,MATCH(INDEX(Calculation_Tab,SMALL(ROW(ToPool)*(ToPool&lt;&gt;"-"),COUNTIF(ToPool,"-")+ROW()-3)-9,9),BG:BG,0),2),"-")</f>
        <v>-</v>
      </c>
      <c r="BR14" s="510" t="str">
        <f t="shared" ca="1" si="15"/>
        <v>-</v>
      </c>
      <c r="BS14" s="511" t="str">
        <f t="shared" ca="1" si="16"/>
        <v>-</v>
      </c>
      <c r="BT14" s="378" t="s">
        <v>164</v>
      </c>
      <c r="BU14" s="487" t="str">
        <f t="shared" ca="1" si="21"/>
        <v>-</v>
      </c>
      <c r="BV14" s="487" t="str">
        <f t="array" aca="1" ref="BV1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4" s="378" t="str">
        <f t="shared" ca="1" si="17"/>
        <v>-</v>
      </c>
      <c r="BX14" s="378" t="str">
        <f t="shared" ca="1" si="18"/>
        <v>-</v>
      </c>
      <c r="BY14" s="510" t="str">
        <f ca="1">IFERROR(ROUND(INDEX(Cluster,MATCH(IF(LEFT(BV14,4)="Pool",INDEX(Cluster,MATCH(INDEX(Calculation_Tab,MATCH(INDEX($BE$4:$BJ$99,MATCH(BV14,$BE$4:$BE$99,0),3),Flow_Cell_Lane,0),3),Cluster!$F$29:$F$412,0),6),BV14),Identifier_Cluster,0),19)*IF(LEFT(BV14,4)="pool",IF(LEN(INDEX($BE$4:$BJ$99,MATCH(BV14,$BE$4:$BE$99,0),3))=10,2,IF(LEN(INDEX($BE$4:$BJ$99,MATCH(BV14,$BE$4:$BE$99,0),3))&gt;10,LEN(INDEX($BE$4:$BJ$99,MATCH(BV14,$BE$4:$BE$99,0),3))-8,1)),1)*IF(LEFT(BV14,4)="pool",IF(INDEX($BE$4:$BJ$99,MATCH(BV14,$BE$4:$BE$99,0),6)&lt;1,1,INDEX($BE$4:$BJ$99,MATCH(BV14,$BE$4:$BE$99,0),6)),INDEX(Calculation_Tab,MATCH(BV14,Identifier,0),10)),1)*(1+Calculation!$Q$6),"-")</f>
        <v>-</v>
      </c>
      <c r="BZ14" s="378" t="str">
        <f ca="1">IFERROR((0.5/50)*CE14/Calculation!$AG$6*(IF(LEFT(BV14,4)="Pool",IF(LEN(INDEX($BE$4:$BJ$99,MATCH(BV14,$BE$4:$BE$99,0),3))=10,2,IF(LEN(INDEX($BE$4:$BJ$99,MATCH(BV14,$BE$4:$BE$99,0),3))&gt;10,LEN(INDEX($BE$4:$BJ$99,MATCH(BV14,$BE$4:$BE$99,0),3))-8,1)),IF(INDEX(Calculation_Tab,MATCH(BV14,Identifier,0),10)&gt;1,INDEX(Calculation_Tab,MATCH(BV14,Identifier,0),10),1)))*(1+Calculation!$Q$6),"-")</f>
        <v>-</v>
      </c>
      <c r="CA14" s="510" t="str">
        <f ca="1">IFERROR(IF((BZ14*Calculation!$AG$6/0.05)-SUM(BY14:BZ14,CC14)&gt;0,(BZ14*Calculation!$AG$6/0.05)-SUM(BY14:BZ14,CC14),0),"-")</f>
        <v>-</v>
      </c>
      <c r="CB14" s="510" t="str">
        <f ca="1">IFERROR(5/50*CE14*(IF(LEFT(BV14,4)="Pool",IF(LEN(INDEX($BE$4:$BJ$99,MATCH(BV14,$BE$4:$BE$99,0),3))=10,2,IF(LEN(INDEX($BE$4:$BJ$99,MATCH(BV14,$BE$4:$BE$99,0),3))&gt;10,LEN(INDEX($BE$4:$BJ$99,MATCH(BV14,$BE$4:$BE$99,0),3))-8,1)),IF(INDEX(Calculation_Tab,MATCH(BV14,Identifier,0),10)&gt;1,INDEX(Calculation_Tab,MATCH(BV14,Identifier,0),10),1)))*(1+Calculation!$Q$6),"-")</f>
        <v>-</v>
      </c>
      <c r="CC14" s="508" t="str">
        <f ca="1">IFERROR(ROUND(INDEX(Cluster,MATCH(IF(LEFT(BV14,4)="Pool",INDEX(Cluster,MATCH(INDEX(Calculation_Tab,MATCH(INDEX($BE$4:$BJ$99,MATCH(BV14,$BE$4:$BE$99,0),3),Flow_Cell_Lane,0),3),Cluster!$F$29:$F$412,0),6),BV14),Identifier_Cluster,0),20)*IF(LEFT(BV14,4)="pool",IF(LEN(INDEX($BE$4:$BJ$99,MATCH(BV14,$BE$4:$BE$99,0),3))=10,2,IF(LEN(INDEX($BE$4:$BJ$99,MATCH(BV14,$BE$4:$BE$99,0),3))&gt;10,LEN(INDEX($BE$4:$BJ$99,MATCH(BV14,$BE$4:$BE$99,0),3))-8,1)),1)*IF(LEFT(BV14,4)="pool",IF(INDEX($BE$4:$BJ$99,MATCH(BV14,$BE$4:$BE$99,0),6)&lt;1,1,INDEX($BE$4:$BJ$99,MATCH(BV14,$BE$4:$BE$99,0),6)),INDEX(Calculation_Tab,MATCH(BV14,Identifier,0),10)),1)*(1+Calculation!$Q$6),"-")</f>
        <v>-</v>
      </c>
      <c r="CD14" s="509" t="str">
        <f ca="1">IFERROR(INDEX(Cluster!AC:AD,MATCH(IF(LEFT(BV14,4)="Pool",INDEX(Cluster!$D$29:$AA$412,MATCH(INDEX(Calculation_Tab,MATCH(INDEX($BE$4:$BJ$99,MATCH(BV14,$BE$4:$BE$99,0),3),Flow_Cell_Lane,0),3),Cluster!$F$29:$F$412,0),24),INDEX(Cluster!$D$29:$AA$412,MATCH(BV14,Cluster!$F$29:$F$412,0),24)),Cluster!AC:AC,0),2),"-")</f>
        <v>-</v>
      </c>
      <c r="CE14" s="378" t="str">
        <f ca="1">IFERROR(IF(BV14&lt;&gt;"-",Calculation!$AK$6,"-"),"-")</f>
        <v>-</v>
      </c>
      <c r="CF14" s="378" t="str">
        <f ca="1">IF(OR(LEFT(ListAndConversion!BW14,3)="Dil",LEFT(ListAndConversion!BW14,3)="Poo"),ListAndConversion!$BT$4,IF(LEFT(ListAndConversion!BW14,3)="Sou",INDEX(ListAndConversion!$AT$3:$AV$387,MATCH(ListAndConversion!BV14,ListAndConversion!$AV$3:$AV$387,0),1),"-"))</f>
        <v>-</v>
      </c>
      <c r="CG14" s="498" t="str">
        <f ca="1">IF(OR(LEFT(ListAndConversion!BW14,3)="Dil",LEFT(ListAndConversion!BW14,3)="Poo"),ListAndConversion!BU14,IF(LEFT(ListAndConversion!BW14,3)="Sou",INDEX(ListAndConversion!$AT$4:$AV$387,MATCH(ListAndConversion!BV14,ListAndConversion!$AV$4:$AV$387,0),2),"-"))</f>
        <v>-</v>
      </c>
      <c r="CH14"/>
      <c r="CI14" s="487" t="str">
        <f t="shared" ca="1" si="19"/>
        <v>-</v>
      </c>
      <c r="CJ14" s="378" t="str">
        <f t="shared" ref="CJ14:CQ23" ca="1" si="24">IFERROR(INDEX($R$3:$U$98,MATCH(INDEX($F$3:$M$387,MATCH($CI14,$E$3:$E$386,0),CJ$3),$S$3:$S$98,0),4),"-")</f>
        <v>-</v>
      </c>
      <c r="CK14" s="378" t="str">
        <f t="shared" ca="1" si="24"/>
        <v>-</v>
      </c>
      <c r="CL14" s="378" t="str">
        <f t="shared" ca="1" si="24"/>
        <v>-</v>
      </c>
      <c r="CM14" s="378" t="str">
        <f t="shared" ca="1" si="24"/>
        <v>-</v>
      </c>
      <c r="CN14" s="378" t="str">
        <f t="shared" ca="1" si="24"/>
        <v>-</v>
      </c>
      <c r="CO14" s="378" t="str">
        <f t="shared" ca="1" si="24"/>
        <v>-</v>
      </c>
      <c r="CP14" s="378" t="str">
        <f t="shared" ca="1" si="24"/>
        <v>-</v>
      </c>
      <c r="CQ14" s="378" t="str">
        <f t="shared" ca="1" si="24"/>
        <v>-</v>
      </c>
      <c r="CR14" s="510" t="str">
        <f ca="1">IFERROR(IF(LEFT(BW14,3)="Poo",INDEX($BE$4:$BJ$99,MATCH(CI14,$BG$4:$BG$99,0),6)*((15/50))*Calculation!$AK$6,INDEX(Calculation_Tab,MATCH(BV14,Identifier,0),10)/(IF(LEN(INDEX(Calculation_Tab,MATCH(BV14,Identifier,0),9))&gt;8,LEN(INDEX(Calculation_Tab,MATCH(BV14,Identifier,0),9))-8,1))*((15/50)*Calculation!$AK$6)),"-")</f>
        <v>-</v>
      </c>
      <c r="CS14" s="498" t="str">
        <f ca="1">IF(CI14="-","-",IF(COUNTIF($CI$3:CI14,CI14)&gt;1,0,IFERROR((35/50)*Calculation!$AK$6,"-")))</f>
        <v>-</v>
      </c>
    </row>
    <row r="15" spans="1:97" x14ac:dyDescent="0.5">
      <c r="A15" s="376" t="e">
        <f>SUMPRODUCT(1/COUNTIF(Flow_Cell_Lane,Flow_Cell_Lane))-1</f>
        <v>#DIV/0!</v>
      </c>
      <c r="D15" s="487" t="e">
        <f t="shared" si="0"/>
        <v>#DIV/0!</v>
      </c>
      <c r="E15" s="496" t="e">
        <f t="array" ref="E15">IF(IF((ROW(E15)-3)&lt;(ListAndConversion!$A$15),INDEX(Flow_Cell_Lane,MIN(IF(COUNTIF($E$2:E14,Flow_Cell_Lane)=0,ROW(Flow_Cell_Lane)-9))),"-")="","-",IF((ROW(E15)-3)&lt;(ListAndConversion!$A$15),INDEX(Flow_Cell_Lane,MIN(IF(COUNTIF($E$2:E14,Flow_Cell_Lane)=0,ROW(Flow_Cell_Lane)-9))),"-"))</f>
        <v>#DIV/0!</v>
      </c>
      <c r="F15" s="378" t="e">
        <f t="shared" si="1"/>
        <v>#DIV/0!</v>
      </c>
      <c r="G15" s="378" t="e">
        <f t="shared" si="23"/>
        <v>#DIV/0!</v>
      </c>
      <c r="H15" s="378" t="e">
        <f t="shared" si="23"/>
        <v>#DIV/0!</v>
      </c>
      <c r="I15" s="378" t="e">
        <f t="shared" si="23"/>
        <v>#DIV/0!</v>
      </c>
      <c r="J15" s="378" t="e">
        <f t="shared" si="23"/>
        <v>#DIV/0!</v>
      </c>
      <c r="K15" s="378" t="e">
        <f t="shared" si="23"/>
        <v>#DIV/0!</v>
      </c>
      <c r="L15" s="378" t="e">
        <f t="shared" si="23"/>
        <v>#DIV/0!</v>
      </c>
      <c r="M15" s="378" t="e">
        <f t="shared" si="23"/>
        <v>#DIV/0!</v>
      </c>
      <c r="N15" s="497" t="e">
        <f t="shared" si="3"/>
        <v>#DIV/0!</v>
      </c>
      <c r="O15" s="497" t="str">
        <f t="array" ref="O15">IFERROR(INDEX(Calculation!I:AN,MATCH(ListAndConversion!E15,Calculation!I:I,0),31),"-")</f>
        <v>-</v>
      </c>
      <c r="P15" s="498">
        <f>IF(COUNTIFS(Calculation!$I$10:$I$393,E15,Direct_Denaturation,"-")&lt;&gt;1,COUNTIFS(Calculation!$I$10:$I$393,E15,Direct_Denaturation,"-"),0)</f>
        <v>0</v>
      </c>
      <c r="Q15" s="378"/>
      <c r="R15" s="487" t="e">
        <f t="array" ref="R15">IF(IF((ROW(R15)-3)&lt;(Calculation!$H$6),INDEX(Flow_Cell,MIN(IF(COUNTIF($R$2:R14,Flow_Cell)=0,ROW(Flow_Cell)-9))),"-")="","-",IF((ROW(R15)-3)&lt;(Calculation!$H$6),INDEX(Flow_Cell,MIN(IF(COUNTIF($R$2:R14,Flow_Cell)=0,ROW(Flow_Cell)-9))),"-"))</f>
        <v>#DIV/0!</v>
      </c>
      <c r="S15" s="378" t="e">
        <f t="shared" si="22"/>
        <v>#DIV/0!</v>
      </c>
      <c r="T15" s="378">
        <v>5</v>
      </c>
      <c r="U15" s="498">
        <v>13</v>
      </c>
      <c r="V15" s="487">
        <v>12</v>
      </c>
      <c r="W15" s="497" t="s">
        <v>287</v>
      </c>
      <c r="X15" s="497" t="s">
        <v>318</v>
      </c>
      <c r="Y15" s="378">
        <v>12</v>
      </c>
      <c r="Z15" s="378" t="str">
        <f t="shared" ca="1" si="5"/>
        <v>-</v>
      </c>
      <c r="AA15" s="508" t="str">
        <f t="array" aca="1" ref="AA15" ca="1">IFERROR(INDEX(Calculation_Tab,SMALL(ROW(Sample_Intermediate_Dil)*(Sample_Intermediate_Dil&lt;&gt;"-"),COUNTIF(Sample_Intermediate_Dil,"-")+ROW()-3)-9,5),"-")</f>
        <v>-</v>
      </c>
      <c r="AB15" s="378" t="str">
        <f t="array" aca="1" ref="AB15" ca="1">IFERROR(INDEX($A$3:$B$12,MATCH(INDEX(Calculation_Tab,SMALL(ROW(Sample_Intermediate_Dil)*(Sample_Intermediate_Dil&lt;&gt;"-"),COUNTIF(Sample_Intermediate_Dil,"-")+ROW()-3)-9,5),$A$3:$A$12,0),2),"-")</f>
        <v>-</v>
      </c>
      <c r="AC15" s="509" t="str">
        <f t="array" aca="1" ref="AC15" ca="1">IFERROR(INDEX(Coordinate,MATCH(INDEX(Calculation_Tab,SMALL(ROW(Sample_Intermediate_Dil)*(Sample_Intermediate_Dil&lt;&gt;"-"),COUNTIF(Sample_Intermediate_Dil,"-")+ROW()-3)-9,6),$X$4:$X$99,0),2),"-")</f>
        <v>-</v>
      </c>
      <c r="AD15" s="510" t="str">
        <f t="array" aca="1" ref="AD15" ca="1">IFERROR(INDEX(Calculation_Tab,SMALL(ROW(Sample_Intermediate_Dil)*(Sample_Intermediate_Dil&lt;&gt;"-"),COUNTIF(Sample_Intermediate_Dil,"-")+ROW()-3)-9,24),"-")</f>
        <v>-</v>
      </c>
      <c r="AE15" s="510" t="str">
        <f t="array" aca="1" ref="AE15" ca="1">IFERROR(INDEX(Calculation_Tab,SMALL(ROW(Sample_Intermediate_Dil)*(Sample_Intermediate_Dil&lt;&gt;"-"),COUNTIF(Sample_Intermediate_Dil,"-")+ROW()-3)-9,25),"-")</f>
        <v>-</v>
      </c>
      <c r="AF15" s="510" t="str">
        <f t="array" aca="1" ref="AF15" ca="1">IFERROR(INDEX(Calculation_Tab,SMALL(ROW(Sample_Intermediate_Dil)*(Sample_Intermediate_Dil&lt;&gt;"-"),COUNTIF(Sample_Intermediate_Dil,"-")+ROW()-3)-9,26),"-")</f>
        <v>-</v>
      </c>
      <c r="AG15" s="511" t="str">
        <f t="array" aca="1" ref="AG15" ca="1">IFERROR(INDEX(Calculation_Tab,SMALL(ROW(Sample_Intermediate_Dil)*(Sample_Intermediate_Dil&lt;&gt;"-"),COUNTIF(Sample_Intermediate_Dil,"-")+ROW()-3)-9,27),"-")</f>
        <v>-</v>
      </c>
      <c r="AI15" s="487">
        <v>12</v>
      </c>
      <c r="AJ15" s="497" t="s">
        <v>160</v>
      </c>
      <c r="AK15" s="378">
        <v>12</v>
      </c>
      <c r="AL15" s="378" t="str">
        <f t="shared" ca="1" si="6"/>
        <v>-</v>
      </c>
      <c r="AM15" s="378" t="str">
        <f t="array" aca="1" ref="AM15" ca="1">IFERROR(IF(AI15&lt;=$AB$2,"-",INDEX(Calculation_Tab,SMALL(ROW(Main_Dil)*(Main_Dil&lt;&gt;"-"),COUNTIF(Main_Dil,"-")+ROW()-3-$AB$2)-9,5)),"-")</f>
        <v>-</v>
      </c>
      <c r="AN15" s="378" t="str">
        <f t="array" aca="1" ref="AN15" ca="1">IFERROR(IF(AI15&lt;=$AB$2,"-",INDEX($A$3:$B$12,MATCH(INDEX(Calculation_Tab,SMALL(ROW(Main_Dil)*(Main_Dil&lt;&gt;"-"),COUNTIF(Main_Dil,"-")+ROW()-3-$AB$2)-9,5),$A$3:$A$12,0),2)),"-")</f>
        <v>-</v>
      </c>
      <c r="AO15" s="378" t="str">
        <f t="array" aca="1" ref="AO15" ca="1">IFERROR(IF(AI15&lt;=$AB$2,"-",INDEX(Coordinate,MATCH(INDEX(Calculation_Tab,SMALL(ROW(Main_Dil)*(Main_Dil&lt;&gt;"-"),COUNTIF(Main_Dil,"-")+ROW()-3-$AB$2)-9,6),$X$4:$X$99,0),2)),"-")</f>
        <v>-</v>
      </c>
      <c r="AP15" s="510" t="str">
        <f t="array" aca="1" ref="AP15" ca="1">IFERROR(IF(AI15&lt;=$AB$2,"-",INDEX(Calculation_Tab,SMALL(ROW(Main_Dil)*(Main_Dil&lt;&gt;"-"),COUNTIF(Main_Dil,"-")+ROW()-3-$AB$2)-9,21)),"-")</f>
        <v>-</v>
      </c>
      <c r="AQ15" s="511" t="str">
        <f t="array" aca="1" ref="AQ15" ca="1">IFERROR(IF(AI15&lt;=$AB$2,"-",INDEX(Calculation_Tab,SMALL(ROW(Main_Dil)*(Main_Dil&lt;&gt;"-"),COUNTIF(Main_Dil,"-")+ROW()-3-$AB$2)-9,22)),"-")</f>
        <v>-</v>
      </c>
      <c r="AR15" s="487" t="str">
        <f t="shared" ca="1" si="7"/>
        <v>-</v>
      </c>
      <c r="AS15" s="378">
        <v>12</v>
      </c>
      <c r="AT15" s="497" t="s">
        <v>160</v>
      </c>
      <c r="AU15" s="498">
        <v>12</v>
      </c>
      <c r="AV15" s="378" t="str">
        <f t="shared" ca="1" si="8"/>
        <v>-</v>
      </c>
      <c r="AW15" s="378" t="str">
        <f t="array" aca="1" ref="AW15" ca="1">IFERROR(IF(AS15&lt;=$AB$2+$AN$2,"-",INDEX(Calculation_Tab,SMALL(ROW(Direct_Denaturation)*(Direct_Denaturation&lt;&gt;"-"),COUNTIF(Direct_Denaturation,"-")+ROW()-3-$AB$2-$AN$2)-9,5)),"-")</f>
        <v>-</v>
      </c>
      <c r="AX15" s="378" t="str">
        <f t="array" aca="1" ref="AX15" ca="1">IFERROR(IF(AS15&lt;=$AB$2+$AN$2,"-",INDEX($A$3:$B$12,MATCH(INDEX(Calculation_Tab,SMALL(ROW(Direct_Denaturation)*(Direct_Denaturation&lt;&gt;"-"),COUNTIF(Direct_Denaturation,"-")+ROW()-3-$AB$2-$AN$2)-9,5),$A$3:$A$12,0),2)),"-")</f>
        <v>-</v>
      </c>
      <c r="AY15" s="378" t="str">
        <f t="array" aca="1" ref="AY15" ca="1">IFERROR(IF(AS15&lt;=$AB$2+$AN$2,"-",INDEX(Coordinate,MATCH(INDEX(Calculation_Tab,SMALL(ROW(Direct_Denaturation)*(Direct_Denaturation&lt;&gt;"-"),COUNTIF(Direct_Denaturation,"-")+ROW()-3-$AB$2-$AN$2)-9,6),$X$4:$X$99,0),2)),"-")</f>
        <v>-</v>
      </c>
      <c r="AZ15" s="510" t="str">
        <f t="array" aca="1" ref="AZ15" ca="1">IFERROR(IF(AS15&lt;=$AB$2+$AN$2,"-",INDEX(Calculation_Tab,SMALL(ROW(Direct_Denaturation)*(Direct_Denaturation&lt;&gt;"-"),COUNTIF(Direct_Denaturation,"-")+ROW()-3-$AB$2-$AN$2)-9,32)),"-")</f>
        <v>-</v>
      </c>
      <c r="BA15" s="510" t="str">
        <f t="array" aca="1" ref="BA15" ca="1">IFERROR(IF(AS15&lt;=$AB$2+$AN$2,"-",INDEX(Calculation_Tab,SMALL(ROW(Direct_Denaturation)*(Direct_Denaturation&lt;&gt;"-"),COUNTIF(Direct_Denaturation,"-")+ROW()-3-$AB$2-$AN$2)-9,34)),"-")</f>
        <v>-</v>
      </c>
      <c r="BB15" s="510" t="str">
        <f t="array" aca="1" ref="BB15" ca="1">IFERROR(IF(AS15&lt;=$AB$2+$AN$2,"-",INDEX(Calculation_Tab,SMALL(ROW(Direct_Denaturation)*(Direct_Denaturation&lt;&gt;"-"),COUNTIF(Direct_Denaturation,"-")+ROW()-3-$AB$2-$AN$2)-9,33)),"-")</f>
        <v>-</v>
      </c>
      <c r="BC15" s="510" t="str">
        <f t="array" aca="1" ref="BC15" ca="1">IFERROR(IF(AS15&lt;=$AB$2+$AN$2,"-",INDEX(Calculation_Tab,SMALL(ROW(Direct_Denaturation)*(Direct_Denaturation&lt;&gt;"-"),COUNTIF(Direct_Denaturation,"-")+ROW()-3-$AB$2-$AN$2)-9,35)),"-")</f>
        <v>-</v>
      </c>
      <c r="BD15" s="511" t="str">
        <f t="shared" ca="1" si="9"/>
        <v>-</v>
      </c>
      <c r="BE15" s="494" t="s">
        <v>319</v>
      </c>
      <c r="BF15" s="378">
        <v>12</v>
      </c>
      <c r="BG15" s="515" t="str">
        <v>-</v>
      </c>
      <c r="BH15" s="516" t="str">
        <f>IFERROR(IF((Calculation!$AR$6/INDEX(ListAndConversion!D:P,MATCH(BG15,E:E,0),13))&lt;Calculation!$O$6,INDEX(ListAndConversion!D:P,MATCH(BG15,E:E,0),13)*Calculation!$O$6,Calculation!$AR$6),"-")</f>
        <v>-</v>
      </c>
      <c r="BI15" s="517" t="str">
        <f t="shared" si="10"/>
        <v>-</v>
      </c>
      <c r="BJ15" s="518" t="str">
        <f t="shared" si="11"/>
        <v>-</v>
      </c>
      <c r="BK15" s="378" t="s">
        <v>158</v>
      </c>
      <c r="BL15" s="378">
        <v>12</v>
      </c>
      <c r="BM15" s="487" t="str">
        <f t="array" aca="1" ref="BM15" ca="1">IFERROR(INDEX(Calculation_Tab,SMALL(ROW(ToPool)*(ToPool&lt;&gt;"-"),COUNTIF(ToPool,"-")+ROW()-3)-9,3),"-")</f>
        <v>-</v>
      </c>
      <c r="BN15" s="378" t="str">
        <f t="shared" ca="1" si="12"/>
        <v>-</v>
      </c>
      <c r="BO15" s="378" t="str">
        <f t="shared" ca="1" si="13"/>
        <v>-</v>
      </c>
      <c r="BP15" s="523" t="str">
        <f t="shared" ca="1" si="14"/>
        <v>-</v>
      </c>
      <c r="BQ15" s="378" t="str">
        <f t="array" aca="1" ref="BQ15" ca="1">IFERROR(INDEX(BE:BG,MATCH(INDEX(Calculation_Tab,SMALL(ROW(ToPool)*(ToPool&lt;&gt;"-"),COUNTIF(ToPool,"-")+ROW()-3)-9,9),BG:BG,0),2),"-")</f>
        <v>-</v>
      </c>
      <c r="BR15" s="510" t="str">
        <f t="shared" ca="1" si="15"/>
        <v>-</v>
      </c>
      <c r="BS15" s="511" t="str">
        <f t="shared" ca="1" si="16"/>
        <v>-</v>
      </c>
      <c r="BT15" s="378" t="s">
        <v>164</v>
      </c>
      <c r="BU15" s="487" t="str">
        <f t="shared" ca="1" si="21"/>
        <v>-</v>
      </c>
      <c r="BV15" s="487" t="str">
        <f t="array" aca="1" ref="BV1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5" s="378" t="str">
        <f t="shared" ca="1" si="17"/>
        <v>-</v>
      </c>
      <c r="BX15" s="378" t="str">
        <f t="shared" ca="1" si="18"/>
        <v>-</v>
      </c>
      <c r="BY15" s="510" t="str">
        <f ca="1">IFERROR(ROUND(INDEX(Cluster,MATCH(IF(LEFT(BV15,4)="Pool",INDEX(Cluster,MATCH(INDEX(Calculation_Tab,MATCH(INDEX($BE$4:$BJ$99,MATCH(BV15,$BE$4:$BE$99,0),3),Flow_Cell_Lane,0),3),Cluster!$F$29:$F$412,0),6),BV15),Identifier_Cluster,0),19)*IF(LEFT(BV15,4)="pool",IF(LEN(INDEX($BE$4:$BJ$99,MATCH(BV15,$BE$4:$BE$99,0),3))=10,2,IF(LEN(INDEX($BE$4:$BJ$99,MATCH(BV15,$BE$4:$BE$99,0),3))&gt;10,LEN(INDEX($BE$4:$BJ$99,MATCH(BV15,$BE$4:$BE$99,0),3))-8,1)),1)*IF(LEFT(BV15,4)="pool",IF(INDEX($BE$4:$BJ$99,MATCH(BV15,$BE$4:$BE$99,0),6)&lt;1,1,INDEX($BE$4:$BJ$99,MATCH(BV15,$BE$4:$BE$99,0),6)),INDEX(Calculation_Tab,MATCH(BV15,Identifier,0),10)),1)*(1+Calculation!$Q$6),"-")</f>
        <v>-</v>
      </c>
      <c r="BZ15" s="378" t="str">
        <f ca="1">IFERROR((0.5/50)*CE15/Calculation!$AG$6*(IF(LEFT(BV15,4)="Pool",IF(LEN(INDEX($BE$4:$BJ$99,MATCH(BV15,$BE$4:$BE$99,0),3))=10,2,IF(LEN(INDEX($BE$4:$BJ$99,MATCH(BV15,$BE$4:$BE$99,0),3))&gt;10,LEN(INDEX($BE$4:$BJ$99,MATCH(BV15,$BE$4:$BE$99,0),3))-8,1)),IF(INDEX(Calculation_Tab,MATCH(BV15,Identifier,0),10)&gt;1,INDEX(Calculation_Tab,MATCH(BV15,Identifier,0),10),1)))*(1+Calculation!$Q$6),"-")</f>
        <v>-</v>
      </c>
      <c r="CA15" s="510" t="str">
        <f ca="1">IFERROR(IF((BZ15*Calculation!$AG$6/0.05)-SUM(BY15:BZ15,CC15)&gt;0,(BZ15*Calculation!$AG$6/0.05)-SUM(BY15:BZ15,CC15),0),"-")</f>
        <v>-</v>
      </c>
      <c r="CB15" s="510" t="str">
        <f ca="1">IFERROR(5/50*CE15*(IF(LEFT(BV15,4)="Pool",IF(LEN(INDEX($BE$4:$BJ$99,MATCH(BV15,$BE$4:$BE$99,0),3))=10,2,IF(LEN(INDEX($BE$4:$BJ$99,MATCH(BV15,$BE$4:$BE$99,0),3))&gt;10,LEN(INDEX($BE$4:$BJ$99,MATCH(BV15,$BE$4:$BE$99,0),3))-8,1)),IF(INDEX(Calculation_Tab,MATCH(BV15,Identifier,0),10)&gt;1,INDEX(Calculation_Tab,MATCH(BV15,Identifier,0),10),1)))*(1+Calculation!$Q$6),"-")</f>
        <v>-</v>
      </c>
      <c r="CC15" s="508" t="str">
        <f ca="1">IFERROR(ROUND(INDEX(Cluster,MATCH(IF(LEFT(BV15,4)="Pool",INDEX(Cluster,MATCH(INDEX(Calculation_Tab,MATCH(INDEX($BE$4:$BJ$99,MATCH(BV15,$BE$4:$BE$99,0),3),Flow_Cell_Lane,0),3),Cluster!$F$29:$F$412,0),6),BV15),Identifier_Cluster,0),20)*IF(LEFT(BV15,4)="pool",IF(LEN(INDEX($BE$4:$BJ$99,MATCH(BV15,$BE$4:$BE$99,0),3))=10,2,IF(LEN(INDEX($BE$4:$BJ$99,MATCH(BV15,$BE$4:$BE$99,0),3))&gt;10,LEN(INDEX($BE$4:$BJ$99,MATCH(BV15,$BE$4:$BE$99,0),3))-8,1)),1)*IF(LEFT(BV15,4)="pool",IF(INDEX($BE$4:$BJ$99,MATCH(BV15,$BE$4:$BE$99,0),6)&lt;1,1,INDEX($BE$4:$BJ$99,MATCH(BV15,$BE$4:$BE$99,0),6)),INDEX(Calculation_Tab,MATCH(BV15,Identifier,0),10)),1)*(1+Calculation!$Q$6),"-")</f>
        <v>-</v>
      </c>
      <c r="CD15" s="509" t="str">
        <f ca="1">IFERROR(INDEX(Cluster!AC:AD,MATCH(IF(LEFT(BV15,4)="Pool",INDEX(Cluster!$D$29:$AA$412,MATCH(INDEX(Calculation_Tab,MATCH(INDEX($BE$4:$BJ$99,MATCH(BV15,$BE$4:$BE$99,0),3),Flow_Cell_Lane,0),3),Cluster!$F$29:$F$412,0),24),INDEX(Cluster!$D$29:$AA$412,MATCH(BV15,Cluster!$F$29:$F$412,0),24)),Cluster!AC:AC,0),2),"-")</f>
        <v>-</v>
      </c>
      <c r="CE15" s="378" t="str">
        <f ca="1">IFERROR(IF(BV15&lt;&gt;"-",Calculation!$AK$6,"-"),"-")</f>
        <v>-</v>
      </c>
      <c r="CF15" s="378" t="str">
        <f ca="1">IF(OR(LEFT(ListAndConversion!BW15,3)="Dil",LEFT(ListAndConversion!BW15,3)="Poo"),ListAndConversion!$BT$4,IF(LEFT(ListAndConversion!BW15,3)="Sou",INDEX(ListAndConversion!$AT$3:$AV$387,MATCH(ListAndConversion!BV15,ListAndConversion!$AV$3:$AV$387,0),1),"-"))</f>
        <v>-</v>
      </c>
      <c r="CG15" s="498" t="str">
        <f ca="1">IF(OR(LEFT(ListAndConversion!BW15,3)="Dil",LEFT(ListAndConversion!BW15,3)="Poo"),ListAndConversion!BU15,IF(LEFT(ListAndConversion!BW15,3)="Sou",INDEX(ListAndConversion!$AT$4:$AV$387,MATCH(ListAndConversion!BV15,ListAndConversion!$AV$4:$AV$387,0),2),"-"))</f>
        <v>-</v>
      </c>
      <c r="CH15"/>
      <c r="CI15" s="487" t="str">
        <f t="shared" ca="1" si="19"/>
        <v>-</v>
      </c>
      <c r="CJ15" s="378" t="str">
        <f t="shared" ca="1" si="24"/>
        <v>-</v>
      </c>
      <c r="CK15" s="378" t="str">
        <f t="shared" ca="1" si="24"/>
        <v>-</v>
      </c>
      <c r="CL15" s="378" t="str">
        <f t="shared" ca="1" si="24"/>
        <v>-</v>
      </c>
      <c r="CM15" s="378" t="str">
        <f t="shared" ca="1" si="24"/>
        <v>-</v>
      </c>
      <c r="CN15" s="378" t="str">
        <f t="shared" ca="1" si="24"/>
        <v>-</v>
      </c>
      <c r="CO15" s="378" t="str">
        <f t="shared" ca="1" si="24"/>
        <v>-</v>
      </c>
      <c r="CP15" s="378" t="str">
        <f t="shared" ca="1" si="24"/>
        <v>-</v>
      </c>
      <c r="CQ15" s="378" t="str">
        <f t="shared" ca="1" si="24"/>
        <v>-</v>
      </c>
      <c r="CR15" s="510" t="str">
        <f ca="1">IFERROR(IF(LEFT(BW15,3)="Poo",INDEX($BE$4:$BJ$99,MATCH(CI15,$BG$4:$BG$99,0),6)*((15/50))*Calculation!$AK$6,INDEX(Calculation_Tab,MATCH(BV15,Identifier,0),10)/(IF(LEN(INDEX(Calculation_Tab,MATCH(BV15,Identifier,0),9))&gt;8,LEN(INDEX(Calculation_Tab,MATCH(BV15,Identifier,0),9))-8,1))*((15/50)*Calculation!$AK$6)),"-")</f>
        <v>-</v>
      </c>
      <c r="CS15" s="498" t="str">
        <f ca="1">IF(CI15="-","-",IF(COUNTIF($CI$3:CI15,CI15)&gt;1,0,IFERROR((35/50)*Calculation!$AK$6,"-")))</f>
        <v>-</v>
      </c>
    </row>
    <row r="16" spans="1:97" x14ac:dyDescent="0.5">
      <c r="D16" s="487" t="e">
        <f t="shared" si="0"/>
        <v>#DIV/0!</v>
      </c>
      <c r="E16" s="496" t="e">
        <f t="array" ref="E16">IF(IF((ROW(E16)-3)&lt;(ListAndConversion!$A$15),INDEX(Flow_Cell_Lane,MIN(IF(COUNTIF($E$2:E15,Flow_Cell_Lane)=0,ROW(Flow_Cell_Lane)-9))),"-")="","-",IF((ROW(E16)-3)&lt;(ListAndConversion!$A$15),INDEX(Flow_Cell_Lane,MIN(IF(COUNTIF($E$2:E15,Flow_Cell_Lane)=0,ROW(Flow_Cell_Lane)-9))),"-"))</f>
        <v>#DIV/0!</v>
      </c>
      <c r="F16" s="378" t="e">
        <f t="shared" si="1"/>
        <v>#DIV/0!</v>
      </c>
      <c r="G16" s="378" t="e">
        <f t="shared" si="23"/>
        <v>#DIV/0!</v>
      </c>
      <c r="H16" s="378" t="e">
        <f t="shared" si="23"/>
        <v>#DIV/0!</v>
      </c>
      <c r="I16" s="378" t="e">
        <f t="shared" si="23"/>
        <v>#DIV/0!</v>
      </c>
      <c r="J16" s="378" t="e">
        <f t="shared" si="23"/>
        <v>#DIV/0!</v>
      </c>
      <c r="K16" s="378" t="e">
        <f t="shared" si="23"/>
        <v>#DIV/0!</v>
      </c>
      <c r="L16" s="378" t="e">
        <f t="shared" si="23"/>
        <v>#DIV/0!</v>
      </c>
      <c r="M16" s="378" t="e">
        <f t="shared" si="23"/>
        <v>#DIV/0!</v>
      </c>
      <c r="N16" s="497" t="e">
        <f t="shared" si="3"/>
        <v>#DIV/0!</v>
      </c>
      <c r="O16" s="497" t="str">
        <f t="array" ref="O16">IFERROR(INDEX(Calculation!I:AN,MATCH(ListAndConversion!E16,Calculation!I:I,0),31),"-")</f>
        <v>-</v>
      </c>
      <c r="P16" s="498">
        <f>IF(COUNTIFS(Calculation!$I$10:$I$393,E16,Direct_Denaturation,"-")&lt;&gt;1,COUNTIFS(Calculation!$I$10:$I$393,E16,Direct_Denaturation,"-"),0)</f>
        <v>0</v>
      </c>
      <c r="Q16" s="378"/>
      <c r="R16" s="487" t="e">
        <f t="array" ref="R16">IF(IF((ROW(R16)-3)&lt;(Calculation!$H$6),INDEX(Flow_Cell,MIN(IF(COUNTIF($R$2:R15,Flow_Cell)=0,ROW(Flow_Cell)-9))),"-")="","-",IF((ROW(R16)-3)&lt;(Calculation!$H$6),INDEX(Flow_Cell,MIN(IF(COUNTIF($R$2:R15,Flow_Cell)=0,ROW(Flow_Cell)-9))),"-"))</f>
        <v>#DIV/0!</v>
      </c>
      <c r="S16" s="378" t="e">
        <f t="shared" si="22"/>
        <v>#DIV/0!</v>
      </c>
      <c r="T16" s="378">
        <v>6</v>
      </c>
      <c r="U16" s="498">
        <v>14</v>
      </c>
      <c r="V16" s="487">
        <v>13</v>
      </c>
      <c r="W16" s="497" t="s">
        <v>287</v>
      </c>
      <c r="X16" s="497" t="s">
        <v>320</v>
      </c>
      <c r="Y16" s="378">
        <v>13</v>
      </c>
      <c r="Z16" s="378" t="str">
        <f t="shared" ca="1" si="5"/>
        <v>-</v>
      </c>
      <c r="AA16" s="508" t="str">
        <f t="array" aca="1" ref="AA16" ca="1">IFERROR(INDEX(Calculation_Tab,SMALL(ROW(Sample_Intermediate_Dil)*(Sample_Intermediate_Dil&lt;&gt;"-"),COUNTIF(Sample_Intermediate_Dil,"-")+ROW()-3)-9,5),"-")</f>
        <v>-</v>
      </c>
      <c r="AB16" s="378" t="str">
        <f t="array" aca="1" ref="AB16" ca="1">IFERROR(INDEX($A$3:$B$12,MATCH(INDEX(Calculation_Tab,SMALL(ROW(Sample_Intermediate_Dil)*(Sample_Intermediate_Dil&lt;&gt;"-"),COUNTIF(Sample_Intermediate_Dil,"-")+ROW()-3)-9,5),$A$3:$A$12,0),2),"-")</f>
        <v>-</v>
      </c>
      <c r="AC16" s="509" t="str">
        <f t="array" aca="1" ref="AC16" ca="1">IFERROR(INDEX(Coordinate,MATCH(INDEX(Calculation_Tab,SMALL(ROW(Sample_Intermediate_Dil)*(Sample_Intermediate_Dil&lt;&gt;"-"),COUNTIF(Sample_Intermediate_Dil,"-")+ROW()-3)-9,6),$X$4:$X$99,0),2),"-")</f>
        <v>-</v>
      </c>
      <c r="AD16" s="510" t="str">
        <f t="array" aca="1" ref="AD16" ca="1">IFERROR(INDEX(Calculation_Tab,SMALL(ROW(Sample_Intermediate_Dil)*(Sample_Intermediate_Dil&lt;&gt;"-"),COUNTIF(Sample_Intermediate_Dil,"-")+ROW()-3)-9,24),"-")</f>
        <v>-</v>
      </c>
      <c r="AE16" s="510" t="str">
        <f t="array" aca="1" ref="AE16" ca="1">IFERROR(INDEX(Calculation_Tab,SMALL(ROW(Sample_Intermediate_Dil)*(Sample_Intermediate_Dil&lt;&gt;"-"),COUNTIF(Sample_Intermediate_Dil,"-")+ROW()-3)-9,25),"-")</f>
        <v>-</v>
      </c>
      <c r="AF16" s="510" t="str">
        <f t="array" aca="1" ref="AF16" ca="1">IFERROR(INDEX(Calculation_Tab,SMALL(ROW(Sample_Intermediate_Dil)*(Sample_Intermediate_Dil&lt;&gt;"-"),COUNTIF(Sample_Intermediate_Dil,"-")+ROW()-3)-9,26),"-")</f>
        <v>-</v>
      </c>
      <c r="AG16" s="511" t="str">
        <f t="array" aca="1" ref="AG16" ca="1">IFERROR(INDEX(Calculation_Tab,SMALL(ROW(Sample_Intermediate_Dil)*(Sample_Intermediate_Dil&lt;&gt;"-"),COUNTIF(Sample_Intermediate_Dil,"-")+ROW()-3)-9,27),"-")</f>
        <v>-</v>
      </c>
      <c r="AI16" s="487">
        <v>13</v>
      </c>
      <c r="AJ16" s="497" t="s">
        <v>160</v>
      </c>
      <c r="AK16" s="378">
        <v>13</v>
      </c>
      <c r="AL16" s="378" t="str">
        <f t="shared" ca="1" si="6"/>
        <v>-</v>
      </c>
      <c r="AM16" s="378" t="str">
        <f t="array" aca="1" ref="AM16" ca="1">IFERROR(IF(AI16&lt;=$AB$2,"-",INDEX(Calculation_Tab,SMALL(ROW(Main_Dil)*(Main_Dil&lt;&gt;"-"),COUNTIF(Main_Dil,"-")+ROW()-3-$AB$2)-9,5)),"-")</f>
        <v>-</v>
      </c>
      <c r="AN16" s="378" t="str">
        <f t="array" aca="1" ref="AN16" ca="1">IFERROR(IF(AI16&lt;=$AB$2,"-",INDEX($A$3:$B$12,MATCH(INDEX(Calculation_Tab,SMALL(ROW(Main_Dil)*(Main_Dil&lt;&gt;"-"),COUNTIF(Main_Dil,"-")+ROW()-3-$AB$2)-9,5),$A$3:$A$12,0),2)),"-")</f>
        <v>-</v>
      </c>
      <c r="AO16" s="378" t="str">
        <f t="array" aca="1" ref="AO16" ca="1">IFERROR(IF(AI16&lt;=$AB$2,"-",INDEX(Coordinate,MATCH(INDEX(Calculation_Tab,SMALL(ROW(Main_Dil)*(Main_Dil&lt;&gt;"-"),COUNTIF(Main_Dil,"-")+ROW()-3-$AB$2)-9,6),$X$4:$X$99,0),2)),"-")</f>
        <v>-</v>
      </c>
      <c r="AP16" s="510" t="str">
        <f t="array" aca="1" ref="AP16" ca="1">IFERROR(IF(AI16&lt;=$AB$2,"-",INDEX(Calculation_Tab,SMALL(ROW(Main_Dil)*(Main_Dil&lt;&gt;"-"),COUNTIF(Main_Dil,"-")+ROW()-3-$AB$2)-9,21)),"-")</f>
        <v>-</v>
      </c>
      <c r="AQ16" s="511" t="str">
        <f t="array" aca="1" ref="AQ16" ca="1">IFERROR(IF(AI16&lt;=$AB$2,"-",INDEX(Calculation_Tab,SMALL(ROW(Main_Dil)*(Main_Dil&lt;&gt;"-"),COUNTIF(Main_Dil,"-")+ROW()-3-$AB$2)-9,22)),"-")</f>
        <v>-</v>
      </c>
      <c r="AR16" s="487" t="str">
        <f t="shared" ca="1" si="7"/>
        <v>-</v>
      </c>
      <c r="AS16" s="378">
        <v>13</v>
      </c>
      <c r="AT16" s="497" t="s">
        <v>160</v>
      </c>
      <c r="AU16" s="498">
        <v>13</v>
      </c>
      <c r="AV16" s="378" t="str">
        <f t="shared" ca="1" si="8"/>
        <v>-</v>
      </c>
      <c r="AW16" s="378" t="str">
        <f t="array" aca="1" ref="AW16" ca="1">IFERROR(IF(AS16&lt;=$AB$2+$AN$2,"-",INDEX(Calculation_Tab,SMALL(ROW(Direct_Denaturation)*(Direct_Denaturation&lt;&gt;"-"),COUNTIF(Direct_Denaturation,"-")+ROW()-3-$AB$2-$AN$2)-9,5)),"-")</f>
        <v>-</v>
      </c>
      <c r="AX16" s="378" t="str">
        <f t="array" aca="1" ref="AX16" ca="1">IFERROR(IF(AS16&lt;=$AB$2+$AN$2,"-",INDEX($A$3:$B$12,MATCH(INDEX(Calculation_Tab,SMALL(ROW(Direct_Denaturation)*(Direct_Denaturation&lt;&gt;"-"),COUNTIF(Direct_Denaturation,"-")+ROW()-3-$AB$2-$AN$2)-9,5),$A$3:$A$12,0),2)),"-")</f>
        <v>-</v>
      </c>
      <c r="AY16" s="378" t="str">
        <f t="array" aca="1" ref="AY16" ca="1">IFERROR(IF(AS16&lt;=$AB$2+$AN$2,"-",INDEX(Coordinate,MATCH(INDEX(Calculation_Tab,SMALL(ROW(Direct_Denaturation)*(Direct_Denaturation&lt;&gt;"-"),COUNTIF(Direct_Denaturation,"-")+ROW()-3-$AB$2-$AN$2)-9,6),$X$4:$X$99,0),2)),"-")</f>
        <v>-</v>
      </c>
      <c r="AZ16" s="510" t="str">
        <f t="array" aca="1" ref="AZ16" ca="1">IFERROR(IF(AS16&lt;=$AB$2+$AN$2,"-",INDEX(Calculation_Tab,SMALL(ROW(Direct_Denaturation)*(Direct_Denaturation&lt;&gt;"-"),COUNTIF(Direct_Denaturation,"-")+ROW()-3-$AB$2-$AN$2)-9,32)),"-")</f>
        <v>-</v>
      </c>
      <c r="BA16" s="510" t="str">
        <f t="array" aca="1" ref="BA16" ca="1">IFERROR(IF(AS16&lt;=$AB$2+$AN$2,"-",INDEX(Calculation_Tab,SMALL(ROW(Direct_Denaturation)*(Direct_Denaturation&lt;&gt;"-"),COUNTIF(Direct_Denaturation,"-")+ROW()-3-$AB$2-$AN$2)-9,34)),"-")</f>
        <v>-</v>
      </c>
      <c r="BB16" s="510" t="str">
        <f t="array" aca="1" ref="BB16" ca="1">IFERROR(IF(AS16&lt;=$AB$2+$AN$2,"-",INDEX(Calculation_Tab,SMALL(ROW(Direct_Denaturation)*(Direct_Denaturation&lt;&gt;"-"),COUNTIF(Direct_Denaturation,"-")+ROW()-3-$AB$2-$AN$2)-9,33)),"-")</f>
        <v>-</v>
      </c>
      <c r="BC16" s="510" t="str">
        <f t="array" aca="1" ref="BC16" ca="1">IFERROR(IF(AS16&lt;=$AB$2+$AN$2,"-",INDEX(Calculation_Tab,SMALL(ROW(Direct_Denaturation)*(Direct_Denaturation&lt;&gt;"-"),COUNTIF(Direct_Denaturation,"-")+ROW()-3-$AB$2-$AN$2)-9,35)),"-")</f>
        <v>-</v>
      </c>
      <c r="BD16" s="511" t="str">
        <f t="shared" ca="1" si="9"/>
        <v>-</v>
      </c>
      <c r="BE16" s="494" t="s">
        <v>321</v>
      </c>
      <c r="BF16" s="378">
        <v>13</v>
      </c>
      <c r="BG16" s="515" t="str">
        <v>-</v>
      </c>
      <c r="BH16" s="516" t="str">
        <f>IFERROR(IF((Calculation!$AR$6/INDEX(ListAndConversion!D:P,MATCH(BG16,E:E,0),13))&lt;Calculation!$O$6,INDEX(ListAndConversion!D:P,MATCH(BG16,E:E,0),13)*Calculation!$O$6,Calculation!$AR$6),"-")</f>
        <v>-</v>
      </c>
      <c r="BI16" s="517" t="str">
        <f t="shared" si="10"/>
        <v>-</v>
      </c>
      <c r="BJ16" s="518" t="str">
        <f t="shared" si="11"/>
        <v>-</v>
      </c>
      <c r="BK16" s="378" t="s">
        <v>158</v>
      </c>
      <c r="BL16" s="378">
        <v>13</v>
      </c>
      <c r="BM16" s="487" t="str">
        <f t="array" aca="1" ref="BM16" ca="1">IFERROR(INDEX(Calculation_Tab,SMALL(ROW(ToPool)*(ToPool&lt;&gt;"-"),COUNTIF(ToPool,"-")+ROW()-3)-9,3),"-")</f>
        <v>-</v>
      </c>
      <c r="BN16" s="378" t="str">
        <f t="shared" ca="1" si="12"/>
        <v>-</v>
      </c>
      <c r="BO16" s="378" t="str">
        <f t="shared" ca="1" si="13"/>
        <v>-</v>
      </c>
      <c r="BP16" s="523" t="str">
        <f t="shared" ca="1" si="14"/>
        <v>-</v>
      </c>
      <c r="BQ16" s="378" t="str">
        <f t="array" aca="1" ref="BQ16" ca="1">IFERROR(INDEX(BE:BG,MATCH(INDEX(Calculation_Tab,SMALL(ROW(ToPool)*(ToPool&lt;&gt;"-"),COUNTIF(ToPool,"-")+ROW()-3)-9,9),BG:BG,0),2),"-")</f>
        <v>-</v>
      </c>
      <c r="BR16" s="510" t="str">
        <f t="shared" ca="1" si="15"/>
        <v>-</v>
      </c>
      <c r="BS16" s="511" t="str">
        <f t="shared" ca="1" si="16"/>
        <v>-</v>
      </c>
      <c r="BT16" s="378" t="s">
        <v>164</v>
      </c>
      <c r="BU16" s="487" t="str">
        <f t="shared" ca="1" si="21"/>
        <v>-</v>
      </c>
      <c r="BV16" s="487" t="str">
        <f t="array" aca="1" ref="BV1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6" s="378" t="str">
        <f t="shared" ca="1" si="17"/>
        <v>-</v>
      </c>
      <c r="BX16" s="378" t="str">
        <f t="shared" ca="1" si="18"/>
        <v>-</v>
      </c>
      <c r="BY16" s="510" t="str">
        <f ca="1">IFERROR(ROUND(INDEX(Cluster,MATCH(IF(LEFT(BV16,4)="Pool",INDEX(Cluster,MATCH(INDEX(Calculation_Tab,MATCH(INDEX($BE$4:$BJ$99,MATCH(BV16,$BE$4:$BE$99,0),3),Flow_Cell_Lane,0),3),Cluster!$F$29:$F$412,0),6),BV16),Identifier_Cluster,0),19)*IF(LEFT(BV16,4)="pool",IF(LEN(INDEX($BE$4:$BJ$99,MATCH(BV16,$BE$4:$BE$99,0),3))=10,2,IF(LEN(INDEX($BE$4:$BJ$99,MATCH(BV16,$BE$4:$BE$99,0),3))&gt;10,LEN(INDEX($BE$4:$BJ$99,MATCH(BV16,$BE$4:$BE$99,0),3))-8,1)),1)*IF(LEFT(BV16,4)="pool",IF(INDEX($BE$4:$BJ$99,MATCH(BV16,$BE$4:$BE$99,0),6)&lt;1,1,INDEX($BE$4:$BJ$99,MATCH(BV16,$BE$4:$BE$99,0),6)),INDEX(Calculation_Tab,MATCH(BV16,Identifier,0),10)),1)*(1+Calculation!$Q$6),"-")</f>
        <v>-</v>
      </c>
      <c r="BZ16" s="378" t="str">
        <f ca="1">IFERROR((0.5/50)*CE16/Calculation!$AG$6*(IF(LEFT(BV16,4)="Pool",IF(LEN(INDEX($BE$4:$BJ$99,MATCH(BV16,$BE$4:$BE$99,0),3))=10,2,IF(LEN(INDEX($BE$4:$BJ$99,MATCH(BV16,$BE$4:$BE$99,0),3))&gt;10,LEN(INDEX($BE$4:$BJ$99,MATCH(BV16,$BE$4:$BE$99,0),3))-8,1)),IF(INDEX(Calculation_Tab,MATCH(BV16,Identifier,0),10)&gt;1,INDEX(Calculation_Tab,MATCH(BV16,Identifier,0),10),1)))*(1+Calculation!$Q$6),"-")</f>
        <v>-</v>
      </c>
      <c r="CA16" s="510" t="str">
        <f ca="1">IFERROR(IF((BZ16*Calculation!$AG$6/0.05)-SUM(BY16:BZ16,CC16)&gt;0,(BZ16*Calculation!$AG$6/0.05)-SUM(BY16:BZ16,CC16),0),"-")</f>
        <v>-</v>
      </c>
      <c r="CB16" s="510" t="str">
        <f ca="1">IFERROR(5/50*CE16*(IF(LEFT(BV16,4)="Pool",IF(LEN(INDEX($BE$4:$BJ$99,MATCH(BV16,$BE$4:$BE$99,0),3))=10,2,IF(LEN(INDEX($BE$4:$BJ$99,MATCH(BV16,$BE$4:$BE$99,0),3))&gt;10,LEN(INDEX($BE$4:$BJ$99,MATCH(BV16,$BE$4:$BE$99,0),3))-8,1)),IF(INDEX(Calculation_Tab,MATCH(BV16,Identifier,0),10)&gt;1,INDEX(Calculation_Tab,MATCH(BV16,Identifier,0),10),1)))*(1+Calculation!$Q$6),"-")</f>
        <v>-</v>
      </c>
      <c r="CC16" s="508" t="str">
        <f ca="1">IFERROR(ROUND(INDEX(Cluster,MATCH(IF(LEFT(BV16,4)="Pool",INDEX(Cluster,MATCH(INDEX(Calculation_Tab,MATCH(INDEX($BE$4:$BJ$99,MATCH(BV16,$BE$4:$BE$99,0),3),Flow_Cell_Lane,0),3),Cluster!$F$29:$F$412,0),6),BV16),Identifier_Cluster,0),20)*IF(LEFT(BV16,4)="pool",IF(LEN(INDEX($BE$4:$BJ$99,MATCH(BV16,$BE$4:$BE$99,0),3))=10,2,IF(LEN(INDEX($BE$4:$BJ$99,MATCH(BV16,$BE$4:$BE$99,0),3))&gt;10,LEN(INDEX($BE$4:$BJ$99,MATCH(BV16,$BE$4:$BE$99,0),3))-8,1)),1)*IF(LEFT(BV16,4)="pool",IF(INDEX($BE$4:$BJ$99,MATCH(BV16,$BE$4:$BE$99,0),6)&lt;1,1,INDEX($BE$4:$BJ$99,MATCH(BV16,$BE$4:$BE$99,0),6)),INDEX(Calculation_Tab,MATCH(BV16,Identifier,0),10)),1)*(1+Calculation!$Q$6),"-")</f>
        <v>-</v>
      </c>
      <c r="CD16" s="509" t="str">
        <f ca="1">IFERROR(INDEX(Cluster!AC:AD,MATCH(IF(LEFT(BV16,4)="Pool",INDEX(Cluster!$D$29:$AA$412,MATCH(INDEX(Calculation_Tab,MATCH(INDEX($BE$4:$BJ$99,MATCH(BV16,$BE$4:$BE$99,0),3),Flow_Cell_Lane,0),3),Cluster!$F$29:$F$412,0),24),INDEX(Cluster!$D$29:$AA$412,MATCH(BV16,Cluster!$F$29:$F$412,0),24)),Cluster!AC:AC,0),2),"-")</f>
        <v>-</v>
      </c>
      <c r="CE16" s="378" t="str">
        <f ca="1">IFERROR(IF(BV16&lt;&gt;"-",Calculation!$AK$6,"-"),"-")</f>
        <v>-</v>
      </c>
      <c r="CF16" s="378" t="str">
        <f ca="1">IF(OR(LEFT(ListAndConversion!BW16,3)="Dil",LEFT(ListAndConversion!BW16,3)="Poo"),ListAndConversion!$BT$4,IF(LEFT(ListAndConversion!BW16,3)="Sou",INDEX(ListAndConversion!$AT$3:$AV$387,MATCH(ListAndConversion!BV16,ListAndConversion!$AV$3:$AV$387,0),1),"-"))</f>
        <v>-</v>
      </c>
      <c r="CG16" s="498" t="str">
        <f ca="1">IF(OR(LEFT(ListAndConversion!BW16,3)="Dil",LEFT(ListAndConversion!BW16,3)="Poo"),ListAndConversion!BU16,IF(LEFT(ListAndConversion!BW16,3)="Sou",INDEX(ListAndConversion!$AT$4:$AV$387,MATCH(ListAndConversion!BV16,ListAndConversion!$AV$4:$AV$387,0),2),"-"))</f>
        <v>-</v>
      </c>
      <c r="CH16"/>
      <c r="CI16" s="487" t="str">
        <f t="shared" ca="1" si="19"/>
        <v>-</v>
      </c>
      <c r="CJ16" s="378" t="str">
        <f t="shared" ca="1" si="24"/>
        <v>-</v>
      </c>
      <c r="CK16" s="378" t="str">
        <f t="shared" ca="1" si="24"/>
        <v>-</v>
      </c>
      <c r="CL16" s="378" t="str">
        <f t="shared" ca="1" si="24"/>
        <v>-</v>
      </c>
      <c r="CM16" s="378" t="str">
        <f t="shared" ca="1" si="24"/>
        <v>-</v>
      </c>
      <c r="CN16" s="378" t="str">
        <f t="shared" ca="1" si="24"/>
        <v>-</v>
      </c>
      <c r="CO16" s="378" t="str">
        <f t="shared" ca="1" si="24"/>
        <v>-</v>
      </c>
      <c r="CP16" s="378" t="str">
        <f t="shared" ca="1" si="24"/>
        <v>-</v>
      </c>
      <c r="CQ16" s="378" t="str">
        <f t="shared" ca="1" si="24"/>
        <v>-</v>
      </c>
      <c r="CR16" s="510" t="str">
        <f ca="1">IFERROR(IF(LEFT(BW16,3)="Poo",INDEX($BE$4:$BJ$99,MATCH(CI16,$BG$4:$BG$99,0),6)*((15/50))*Calculation!$AK$6,INDEX(Calculation_Tab,MATCH(BV16,Identifier,0),10)/(IF(LEN(INDEX(Calculation_Tab,MATCH(BV16,Identifier,0),9))&gt;8,LEN(INDEX(Calculation_Tab,MATCH(BV16,Identifier,0),9))-8,1))*((15/50)*Calculation!$AK$6)),"-")</f>
        <v>-</v>
      </c>
      <c r="CS16" s="498" t="str">
        <f ca="1">IF(CI16="-","-",IF(COUNTIF($CI$3:CI16,CI16)&gt;1,0,IFERROR((35/50)*Calculation!$AK$6,"-")))</f>
        <v>-</v>
      </c>
    </row>
    <row r="17" spans="4:97" x14ac:dyDescent="0.5">
      <c r="D17" s="487" t="e">
        <f t="shared" si="0"/>
        <v>#DIV/0!</v>
      </c>
      <c r="E17" s="496" t="e">
        <f t="array" ref="E17">IF(IF((ROW(E17)-3)&lt;(ListAndConversion!$A$15),INDEX(Flow_Cell_Lane,MIN(IF(COUNTIF($E$2:E16,Flow_Cell_Lane)=0,ROW(Flow_Cell_Lane)-9))),"-")="","-",IF((ROW(E17)-3)&lt;(ListAndConversion!$A$15),INDEX(Flow_Cell_Lane,MIN(IF(COUNTIF($E$2:E16,Flow_Cell_Lane)=0,ROW(Flow_Cell_Lane)-9))),"-"))</f>
        <v>#DIV/0!</v>
      </c>
      <c r="F17" s="378" t="e">
        <f t="shared" si="1"/>
        <v>#DIV/0!</v>
      </c>
      <c r="G17" s="378" t="e">
        <f t="shared" si="23"/>
        <v>#DIV/0!</v>
      </c>
      <c r="H17" s="378" t="e">
        <f t="shared" si="23"/>
        <v>#DIV/0!</v>
      </c>
      <c r="I17" s="378" t="e">
        <f t="shared" si="23"/>
        <v>#DIV/0!</v>
      </c>
      <c r="J17" s="378" t="e">
        <f t="shared" si="23"/>
        <v>#DIV/0!</v>
      </c>
      <c r="K17" s="378" t="e">
        <f t="shared" si="23"/>
        <v>#DIV/0!</v>
      </c>
      <c r="L17" s="378" t="e">
        <f t="shared" si="23"/>
        <v>#DIV/0!</v>
      </c>
      <c r="M17" s="378" t="e">
        <f t="shared" si="23"/>
        <v>#DIV/0!</v>
      </c>
      <c r="N17" s="497" t="e">
        <f t="shared" si="3"/>
        <v>#DIV/0!</v>
      </c>
      <c r="O17" s="497" t="str">
        <f t="array" ref="O17">IFERROR(INDEX(Calculation!I:AN,MATCH(ListAndConversion!E17,Calculation!I:I,0),31),"-")</f>
        <v>-</v>
      </c>
      <c r="P17" s="498">
        <f>IF(COUNTIFS(Calculation!$I$10:$I$393,E17,Direct_Denaturation,"-")&lt;&gt;1,COUNTIFS(Calculation!$I$10:$I$393,E17,Direct_Denaturation,"-"),0)</f>
        <v>0</v>
      </c>
      <c r="Q17" s="378"/>
      <c r="R17" s="487" t="e">
        <f t="array" ref="R17">IF(IF((ROW(R17)-3)&lt;(Calculation!$H$6),INDEX(Flow_Cell,MIN(IF(COUNTIF($R$2:R16,Flow_Cell)=0,ROW(Flow_Cell)-9))),"-")="","-",IF((ROW(R17)-3)&lt;(Calculation!$H$6),INDEX(Flow_Cell,MIN(IF(COUNTIF($R$2:R16,Flow_Cell)=0,ROW(Flow_Cell)-9))),"-"))</f>
        <v>#DIV/0!</v>
      </c>
      <c r="S17" s="378" t="e">
        <f t="shared" si="22"/>
        <v>#DIV/0!</v>
      </c>
      <c r="T17" s="378">
        <v>7</v>
      </c>
      <c r="U17" s="498">
        <v>15</v>
      </c>
      <c r="V17" s="487">
        <v>14</v>
      </c>
      <c r="W17" s="497" t="s">
        <v>287</v>
      </c>
      <c r="X17" s="497" t="s">
        <v>322</v>
      </c>
      <c r="Y17" s="378">
        <v>14</v>
      </c>
      <c r="Z17" s="378" t="str">
        <f t="shared" ca="1" si="5"/>
        <v>-</v>
      </c>
      <c r="AA17" s="508" t="str">
        <f t="array" aca="1" ref="AA17" ca="1">IFERROR(INDEX(Calculation_Tab,SMALL(ROW(Sample_Intermediate_Dil)*(Sample_Intermediate_Dil&lt;&gt;"-"),COUNTIF(Sample_Intermediate_Dil,"-")+ROW()-3)-9,5),"-")</f>
        <v>-</v>
      </c>
      <c r="AB17" s="378" t="str">
        <f t="array" aca="1" ref="AB17" ca="1">IFERROR(INDEX($A$3:$B$12,MATCH(INDEX(Calculation_Tab,SMALL(ROW(Sample_Intermediate_Dil)*(Sample_Intermediate_Dil&lt;&gt;"-"),COUNTIF(Sample_Intermediate_Dil,"-")+ROW()-3)-9,5),$A$3:$A$12,0),2),"-")</f>
        <v>-</v>
      </c>
      <c r="AC17" s="509" t="str">
        <f t="array" aca="1" ref="AC17" ca="1">IFERROR(INDEX(Coordinate,MATCH(INDEX(Calculation_Tab,SMALL(ROW(Sample_Intermediate_Dil)*(Sample_Intermediate_Dil&lt;&gt;"-"),COUNTIF(Sample_Intermediate_Dil,"-")+ROW()-3)-9,6),$X$4:$X$99,0),2),"-")</f>
        <v>-</v>
      </c>
      <c r="AD17" s="510" t="str">
        <f t="array" aca="1" ref="AD17" ca="1">IFERROR(INDEX(Calculation_Tab,SMALL(ROW(Sample_Intermediate_Dil)*(Sample_Intermediate_Dil&lt;&gt;"-"),COUNTIF(Sample_Intermediate_Dil,"-")+ROW()-3)-9,24),"-")</f>
        <v>-</v>
      </c>
      <c r="AE17" s="510" t="str">
        <f t="array" aca="1" ref="AE17" ca="1">IFERROR(INDEX(Calculation_Tab,SMALL(ROW(Sample_Intermediate_Dil)*(Sample_Intermediate_Dil&lt;&gt;"-"),COUNTIF(Sample_Intermediate_Dil,"-")+ROW()-3)-9,25),"-")</f>
        <v>-</v>
      </c>
      <c r="AF17" s="510" t="str">
        <f t="array" aca="1" ref="AF17" ca="1">IFERROR(INDEX(Calculation_Tab,SMALL(ROW(Sample_Intermediate_Dil)*(Sample_Intermediate_Dil&lt;&gt;"-"),COUNTIF(Sample_Intermediate_Dil,"-")+ROW()-3)-9,26),"-")</f>
        <v>-</v>
      </c>
      <c r="AG17" s="511" t="str">
        <f t="array" aca="1" ref="AG17" ca="1">IFERROR(INDEX(Calculation_Tab,SMALL(ROW(Sample_Intermediate_Dil)*(Sample_Intermediate_Dil&lt;&gt;"-"),COUNTIF(Sample_Intermediate_Dil,"-")+ROW()-3)-9,27),"-")</f>
        <v>-</v>
      </c>
      <c r="AI17" s="487">
        <v>14</v>
      </c>
      <c r="AJ17" s="497" t="s">
        <v>160</v>
      </c>
      <c r="AK17" s="378">
        <v>14</v>
      </c>
      <c r="AL17" s="378" t="str">
        <f t="shared" ca="1" si="6"/>
        <v>-</v>
      </c>
      <c r="AM17" s="378" t="str">
        <f t="array" aca="1" ref="AM17" ca="1">IFERROR(IF(AI17&lt;=$AB$2,"-",INDEX(Calculation_Tab,SMALL(ROW(Main_Dil)*(Main_Dil&lt;&gt;"-"),COUNTIF(Main_Dil,"-")+ROW()-3-$AB$2)-9,5)),"-")</f>
        <v>-</v>
      </c>
      <c r="AN17" s="378" t="str">
        <f t="array" aca="1" ref="AN17" ca="1">IFERROR(IF(AI17&lt;=$AB$2,"-",INDEX($A$3:$B$12,MATCH(INDEX(Calculation_Tab,SMALL(ROW(Main_Dil)*(Main_Dil&lt;&gt;"-"),COUNTIF(Main_Dil,"-")+ROW()-3-$AB$2)-9,5),$A$3:$A$12,0),2)),"-")</f>
        <v>-</v>
      </c>
      <c r="AO17" s="378" t="str">
        <f t="array" aca="1" ref="AO17" ca="1">IFERROR(IF(AI17&lt;=$AB$2,"-",INDEX(Coordinate,MATCH(INDEX(Calculation_Tab,SMALL(ROW(Main_Dil)*(Main_Dil&lt;&gt;"-"),COUNTIF(Main_Dil,"-")+ROW()-3-$AB$2)-9,6),$X$4:$X$99,0),2)),"-")</f>
        <v>-</v>
      </c>
      <c r="AP17" s="510" t="str">
        <f t="array" aca="1" ref="AP17" ca="1">IFERROR(IF(AI17&lt;=$AB$2,"-",INDEX(Calculation_Tab,SMALL(ROW(Main_Dil)*(Main_Dil&lt;&gt;"-"),COUNTIF(Main_Dil,"-")+ROW()-3-$AB$2)-9,21)),"-")</f>
        <v>-</v>
      </c>
      <c r="AQ17" s="511" t="str">
        <f t="array" aca="1" ref="AQ17" ca="1">IFERROR(IF(AI17&lt;=$AB$2,"-",INDEX(Calculation_Tab,SMALL(ROW(Main_Dil)*(Main_Dil&lt;&gt;"-"),COUNTIF(Main_Dil,"-")+ROW()-3-$AB$2)-9,22)),"-")</f>
        <v>-</v>
      </c>
      <c r="AR17" s="487" t="str">
        <f t="shared" ca="1" si="7"/>
        <v>-</v>
      </c>
      <c r="AS17" s="378">
        <v>14</v>
      </c>
      <c r="AT17" s="497" t="s">
        <v>160</v>
      </c>
      <c r="AU17" s="498">
        <v>14</v>
      </c>
      <c r="AV17" s="378" t="str">
        <f t="shared" ca="1" si="8"/>
        <v>-</v>
      </c>
      <c r="AW17" s="378" t="str">
        <f t="array" aca="1" ref="AW17" ca="1">IFERROR(IF(AS17&lt;=$AB$2+$AN$2,"-",INDEX(Calculation_Tab,SMALL(ROW(Direct_Denaturation)*(Direct_Denaturation&lt;&gt;"-"),COUNTIF(Direct_Denaturation,"-")+ROW()-3-$AB$2-$AN$2)-9,5)),"-")</f>
        <v>-</v>
      </c>
      <c r="AX17" s="378" t="str">
        <f t="array" aca="1" ref="AX17" ca="1">IFERROR(IF(AS17&lt;=$AB$2+$AN$2,"-",INDEX($A$3:$B$12,MATCH(INDEX(Calculation_Tab,SMALL(ROW(Direct_Denaturation)*(Direct_Denaturation&lt;&gt;"-"),COUNTIF(Direct_Denaturation,"-")+ROW()-3-$AB$2-$AN$2)-9,5),$A$3:$A$12,0),2)),"-")</f>
        <v>-</v>
      </c>
      <c r="AY17" s="378" t="str">
        <f t="array" aca="1" ref="AY17" ca="1">IFERROR(IF(AS17&lt;=$AB$2+$AN$2,"-",INDEX(Coordinate,MATCH(INDEX(Calculation_Tab,SMALL(ROW(Direct_Denaturation)*(Direct_Denaturation&lt;&gt;"-"),COUNTIF(Direct_Denaturation,"-")+ROW()-3-$AB$2-$AN$2)-9,6),$X$4:$X$99,0),2)),"-")</f>
        <v>-</v>
      </c>
      <c r="AZ17" s="510" t="str">
        <f t="array" aca="1" ref="AZ17" ca="1">IFERROR(IF(AS17&lt;=$AB$2+$AN$2,"-",INDEX(Calculation_Tab,SMALL(ROW(Direct_Denaturation)*(Direct_Denaturation&lt;&gt;"-"),COUNTIF(Direct_Denaturation,"-")+ROW()-3-$AB$2-$AN$2)-9,32)),"-")</f>
        <v>-</v>
      </c>
      <c r="BA17" s="510" t="str">
        <f t="array" aca="1" ref="BA17" ca="1">IFERROR(IF(AS17&lt;=$AB$2+$AN$2,"-",INDEX(Calculation_Tab,SMALL(ROW(Direct_Denaturation)*(Direct_Denaturation&lt;&gt;"-"),COUNTIF(Direct_Denaturation,"-")+ROW()-3-$AB$2-$AN$2)-9,34)),"-")</f>
        <v>-</v>
      </c>
      <c r="BB17" s="510" t="str">
        <f t="array" aca="1" ref="BB17" ca="1">IFERROR(IF(AS17&lt;=$AB$2+$AN$2,"-",INDEX(Calculation_Tab,SMALL(ROW(Direct_Denaturation)*(Direct_Denaturation&lt;&gt;"-"),COUNTIF(Direct_Denaturation,"-")+ROW()-3-$AB$2-$AN$2)-9,33)),"-")</f>
        <v>-</v>
      </c>
      <c r="BC17" s="510" t="str">
        <f t="array" aca="1" ref="BC17" ca="1">IFERROR(IF(AS17&lt;=$AB$2+$AN$2,"-",INDEX(Calculation_Tab,SMALL(ROW(Direct_Denaturation)*(Direct_Denaturation&lt;&gt;"-"),COUNTIF(Direct_Denaturation,"-")+ROW()-3-$AB$2-$AN$2)-9,35)),"-")</f>
        <v>-</v>
      </c>
      <c r="BD17" s="511" t="str">
        <f t="shared" ca="1" si="9"/>
        <v>-</v>
      </c>
      <c r="BE17" s="494" t="s">
        <v>323</v>
      </c>
      <c r="BF17" s="378">
        <v>14</v>
      </c>
      <c r="BG17" s="515" t="str">
        <v>-</v>
      </c>
      <c r="BH17" s="516" t="str">
        <f>IFERROR(IF((Calculation!$AR$6/INDEX(ListAndConversion!D:P,MATCH(BG17,E:E,0),13))&lt;Calculation!$O$6,INDEX(ListAndConversion!D:P,MATCH(BG17,E:E,0),13)*Calculation!$O$6,Calculation!$AR$6),"-")</f>
        <v>-</v>
      </c>
      <c r="BI17" s="517" t="str">
        <f t="shared" si="10"/>
        <v>-</v>
      </c>
      <c r="BJ17" s="518" t="str">
        <f t="shared" si="11"/>
        <v>-</v>
      </c>
      <c r="BK17" s="378" t="s">
        <v>158</v>
      </c>
      <c r="BL17" s="378">
        <v>14</v>
      </c>
      <c r="BM17" s="487" t="str">
        <f t="array" aca="1" ref="BM17" ca="1">IFERROR(INDEX(Calculation_Tab,SMALL(ROW(ToPool)*(ToPool&lt;&gt;"-"),COUNTIF(ToPool,"-")+ROW()-3)-9,3),"-")</f>
        <v>-</v>
      </c>
      <c r="BN17" s="378" t="str">
        <f t="shared" ca="1" si="12"/>
        <v>-</v>
      </c>
      <c r="BO17" s="378" t="str">
        <f t="shared" ca="1" si="13"/>
        <v>-</v>
      </c>
      <c r="BP17" s="523" t="str">
        <f t="shared" ca="1" si="14"/>
        <v>-</v>
      </c>
      <c r="BQ17" s="378" t="str">
        <f t="array" aca="1" ref="BQ17" ca="1">IFERROR(INDEX(BE:BG,MATCH(INDEX(Calculation_Tab,SMALL(ROW(ToPool)*(ToPool&lt;&gt;"-"),COUNTIF(ToPool,"-")+ROW()-3)-9,9),BG:BG,0),2),"-")</f>
        <v>-</v>
      </c>
      <c r="BR17" s="510" t="str">
        <f t="shared" ca="1" si="15"/>
        <v>-</v>
      </c>
      <c r="BS17" s="511" t="str">
        <f t="shared" ca="1" si="16"/>
        <v>-</v>
      </c>
      <c r="BT17" s="378" t="s">
        <v>164</v>
      </c>
      <c r="BU17" s="487" t="str">
        <f t="shared" ca="1" si="21"/>
        <v>-</v>
      </c>
      <c r="BV17" s="487" t="str">
        <f t="array" aca="1" ref="BV1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7" s="378" t="str">
        <f t="shared" ca="1" si="17"/>
        <v>-</v>
      </c>
      <c r="BX17" s="378" t="str">
        <f t="shared" ca="1" si="18"/>
        <v>-</v>
      </c>
      <c r="BY17" s="510" t="str">
        <f ca="1">IFERROR(ROUND(INDEX(Cluster,MATCH(IF(LEFT(BV17,4)="Pool",INDEX(Cluster,MATCH(INDEX(Calculation_Tab,MATCH(INDEX($BE$4:$BJ$99,MATCH(BV17,$BE$4:$BE$99,0),3),Flow_Cell_Lane,0),3),Cluster!$F$29:$F$412,0),6),BV17),Identifier_Cluster,0),19)*IF(LEFT(BV17,4)="pool",IF(LEN(INDEX($BE$4:$BJ$99,MATCH(BV17,$BE$4:$BE$99,0),3))=10,2,IF(LEN(INDEX($BE$4:$BJ$99,MATCH(BV17,$BE$4:$BE$99,0),3))&gt;10,LEN(INDEX($BE$4:$BJ$99,MATCH(BV17,$BE$4:$BE$99,0),3))-8,1)),1)*IF(LEFT(BV17,4)="pool",IF(INDEX($BE$4:$BJ$99,MATCH(BV17,$BE$4:$BE$99,0),6)&lt;1,1,INDEX($BE$4:$BJ$99,MATCH(BV17,$BE$4:$BE$99,0),6)),INDEX(Calculation_Tab,MATCH(BV17,Identifier,0),10)),1)*(1+Calculation!$Q$6),"-")</f>
        <v>-</v>
      </c>
      <c r="BZ17" s="378" t="str">
        <f ca="1">IFERROR((0.5/50)*CE17/Calculation!$AG$6*(IF(LEFT(BV17,4)="Pool",IF(LEN(INDEX($BE$4:$BJ$99,MATCH(BV17,$BE$4:$BE$99,0),3))=10,2,IF(LEN(INDEX($BE$4:$BJ$99,MATCH(BV17,$BE$4:$BE$99,0),3))&gt;10,LEN(INDEX($BE$4:$BJ$99,MATCH(BV17,$BE$4:$BE$99,0),3))-8,1)),IF(INDEX(Calculation_Tab,MATCH(BV17,Identifier,0),10)&gt;1,INDEX(Calculation_Tab,MATCH(BV17,Identifier,0),10),1)))*(1+Calculation!$Q$6),"-")</f>
        <v>-</v>
      </c>
      <c r="CA17" s="510" t="str">
        <f ca="1">IFERROR(IF((BZ17*Calculation!$AG$6/0.05)-SUM(BY17:BZ17,CC17)&gt;0,(BZ17*Calculation!$AG$6/0.05)-SUM(BY17:BZ17,CC17),0),"-")</f>
        <v>-</v>
      </c>
      <c r="CB17" s="510" t="str">
        <f ca="1">IFERROR(5/50*CE17*(IF(LEFT(BV17,4)="Pool",IF(LEN(INDEX($BE$4:$BJ$99,MATCH(BV17,$BE$4:$BE$99,0),3))=10,2,IF(LEN(INDEX($BE$4:$BJ$99,MATCH(BV17,$BE$4:$BE$99,0),3))&gt;10,LEN(INDEX($BE$4:$BJ$99,MATCH(BV17,$BE$4:$BE$99,0),3))-8,1)),IF(INDEX(Calculation_Tab,MATCH(BV17,Identifier,0),10)&gt;1,INDEX(Calculation_Tab,MATCH(BV17,Identifier,0),10),1)))*(1+Calculation!$Q$6),"-")</f>
        <v>-</v>
      </c>
      <c r="CC17" s="508" t="str">
        <f ca="1">IFERROR(ROUND(INDEX(Cluster,MATCH(IF(LEFT(BV17,4)="Pool",INDEX(Cluster,MATCH(INDEX(Calculation_Tab,MATCH(INDEX($BE$4:$BJ$99,MATCH(BV17,$BE$4:$BE$99,0),3),Flow_Cell_Lane,0),3),Cluster!$F$29:$F$412,0),6),BV17),Identifier_Cluster,0),20)*IF(LEFT(BV17,4)="pool",IF(LEN(INDEX($BE$4:$BJ$99,MATCH(BV17,$BE$4:$BE$99,0),3))=10,2,IF(LEN(INDEX($BE$4:$BJ$99,MATCH(BV17,$BE$4:$BE$99,0),3))&gt;10,LEN(INDEX($BE$4:$BJ$99,MATCH(BV17,$BE$4:$BE$99,0),3))-8,1)),1)*IF(LEFT(BV17,4)="pool",IF(INDEX($BE$4:$BJ$99,MATCH(BV17,$BE$4:$BE$99,0),6)&lt;1,1,INDEX($BE$4:$BJ$99,MATCH(BV17,$BE$4:$BE$99,0),6)),INDEX(Calculation_Tab,MATCH(BV17,Identifier,0),10)),1)*(1+Calculation!$Q$6),"-")</f>
        <v>-</v>
      </c>
      <c r="CD17" s="509" t="str">
        <f ca="1">IFERROR(INDEX(Cluster!AC:AD,MATCH(IF(LEFT(BV17,4)="Pool",INDEX(Cluster!$D$29:$AA$412,MATCH(INDEX(Calculation_Tab,MATCH(INDEX($BE$4:$BJ$99,MATCH(BV17,$BE$4:$BE$99,0),3),Flow_Cell_Lane,0),3),Cluster!$F$29:$F$412,0),24),INDEX(Cluster!$D$29:$AA$412,MATCH(BV17,Cluster!$F$29:$F$412,0),24)),Cluster!AC:AC,0),2),"-")</f>
        <v>-</v>
      </c>
      <c r="CE17" s="378" t="str">
        <f ca="1">IFERROR(IF(BV17&lt;&gt;"-",Calculation!$AK$6,"-"),"-")</f>
        <v>-</v>
      </c>
      <c r="CF17" s="378" t="str">
        <f ca="1">IF(OR(LEFT(ListAndConversion!BW17,3)="Dil",LEFT(ListAndConversion!BW17,3)="Poo"),ListAndConversion!$BT$4,IF(LEFT(ListAndConversion!BW17,3)="Sou",INDEX(ListAndConversion!$AT$3:$AV$387,MATCH(ListAndConversion!BV17,ListAndConversion!$AV$3:$AV$387,0),1),"-"))</f>
        <v>-</v>
      </c>
      <c r="CG17" s="498" t="str">
        <f ca="1">IF(OR(LEFT(ListAndConversion!BW17,3)="Dil",LEFT(ListAndConversion!BW17,3)="Poo"),ListAndConversion!BU17,IF(LEFT(ListAndConversion!BW17,3)="Sou",INDEX(ListAndConversion!$AT$4:$AV$387,MATCH(ListAndConversion!BV17,ListAndConversion!$AV$4:$AV$387,0),2),"-"))</f>
        <v>-</v>
      </c>
      <c r="CH17"/>
      <c r="CI17" s="487" t="str">
        <f t="shared" ca="1" si="19"/>
        <v>-</v>
      </c>
      <c r="CJ17" s="378" t="str">
        <f t="shared" ca="1" si="24"/>
        <v>-</v>
      </c>
      <c r="CK17" s="378" t="str">
        <f t="shared" ca="1" si="24"/>
        <v>-</v>
      </c>
      <c r="CL17" s="378" t="str">
        <f t="shared" ca="1" si="24"/>
        <v>-</v>
      </c>
      <c r="CM17" s="378" t="str">
        <f t="shared" ca="1" si="24"/>
        <v>-</v>
      </c>
      <c r="CN17" s="378" t="str">
        <f t="shared" ca="1" si="24"/>
        <v>-</v>
      </c>
      <c r="CO17" s="378" t="str">
        <f t="shared" ca="1" si="24"/>
        <v>-</v>
      </c>
      <c r="CP17" s="378" t="str">
        <f t="shared" ca="1" si="24"/>
        <v>-</v>
      </c>
      <c r="CQ17" s="378" t="str">
        <f t="shared" ca="1" si="24"/>
        <v>-</v>
      </c>
      <c r="CR17" s="510" t="str">
        <f ca="1">IFERROR(IF(LEFT(BW17,3)="Poo",INDEX($BE$4:$BJ$99,MATCH(CI17,$BG$4:$BG$99,0),6)*((15/50))*Calculation!$AK$6,INDEX(Calculation_Tab,MATCH(BV17,Identifier,0),10)/(IF(LEN(INDEX(Calculation_Tab,MATCH(BV17,Identifier,0),9))&gt;8,LEN(INDEX(Calculation_Tab,MATCH(BV17,Identifier,0),9))-8,1))*((15/50)*Calculation!$AK$6)),"-")</f>
        <v>-</v>
      </c>
      <c r="CS17" s="498" t="str">
        <f ca="1">IF(CI17="-","-",IF(COUNTIF($CI$3:CI17,CI17)&gt;1,0,IFERROR((35/50)*Calculation!$AK$6,"-")))</f>
        <v>-</v>
      </c>
    </row>
    <row r="18" spans="4:97" x14ac:dyDescent="0.5">
      <c r="D18" s="487" t="e">
        <f t="shared" si="0"/>
        <v>#DIV/0!</v>
      </c>
      <c r="E18" s="496" t="e">
        <f t="array" ref="E18">IF(IF((ROW(E18)-3)&lt;(ListAndConversion!$A$15),INDEX(Flow_Cell_Lane,MIN(IF(COUNTIF($E$2:E17,Flow_Cell_Lane)=0,ROW(Flow_Cell_Lane)-9))),"-")="","-",IF((ROW(E18)-3)&lt;(ListAndConversion!$A$15),INDEX(Flow_Cell_Lane,MIN(IF(COUNTIF($E$2:E17,Flow_Cell_Lane)=0,ROW(Flow_Cell_Lane)-9))),"-"))</f>
        <v>#DIV/0!</v>
      </c>
      <c r="F18" s="378" t="e">
        <f t="shared" si="1"/>
        <v>#DIV/0!</v>
      </c>
      <c r="G18" s="378" t="e">
        <f t="shared" si="23"/>
        <v>#DIV/0!</v>
      </c>
      <c r="H18" s="378" t="e">
        <f t="shared" si="23"/>
        <v>#DIV/0!</v>
      </c>
      <c r="I18" s="378" t="e">
        <f t="shared" si="23"/>
        <v>#DIV/0!</v>
      </c>
      <c r="J18" s="378" t="e">
        <f t="shared" si="23"/>
        <v>#DIV/0!</v>
      </c>
      <c r="K18" s="378" t="e">
        <f t="shared" si="23"/>
        <v>#DIV/0!</v>
      </c>
      <c r="L18" s="378" t="e">
        <f t="shared" si="23"/>
        <v>#DIV/0!</v>
      </c>
      <c r="M18" s="378" t="e">
        <f t="shared" si="23"/>
        <v>#DIV/0!</v>
      </c>
      <c r="N18" s="497" t="e">
        <f t="shared" si="3"/>
        <v>#DIV/0!</v>
      </c>
      <c r="O18" s="497" t="str">
        <f t="array" ref="O18">IFERROR(INDEX(Calculation!I:AN,MATCH(ListAndConversion!E18,Calculation!I:I,0),31),"-")</f>
        <v>-</v>
      </c>
      <c r="P18" s="498">
        <f>IF(COUNTIFS(Calculation!$I$10:$I$393,E18,Direct_Denaturation,"-")&lt;&gt;1,COUNTIFS(Calculation!$I$10:$I$393,E18,Direct_Denaturation,"-"),0)</f>
        <v>0</v>
      </c>
      <c r="Q18" s="378"/>
      <c r="R18" s="487" t="e">
        <f t="array" ref="R18">IF(IF((ROW(R18)-3)&lt;(Calculation!$H$6),INDEX(Flow_Cell,MIN(IF(COUNTIF($R$2:R17,Flow_Cell)=0,ROW(Flow_Cell)-9))),"-")="","-",IF((ROW(R18)-3)&lt;(Calculation!$H$6),INDEX(Flow_Cell,MIN(IF(COUNTIF($R$2:R17,Flow_Cell)=0,ROW(Flow_Cell)-9))),"-"))</f>
        <v>#DIV/0!</v>
      </c>
      <c r="S18" s="378" t="e">
        <f t="shared" si="22"/>
        <v>#DIV/0!</v>
      </c>
      <c r="T18" s="378">
        <v>8</v>
      </c>
      <c r="U18" s="498">
        <v>16</v>
      </c>
      <c r="V18" s="487">
        <v>15</v>
      </c>
      <c r="W18" s="497" t="s">
        <v>287</v>
      </c>
      <c r="X18" s="497" t="s">
        <v>324</v>
      </c>
      <c r="Y18" s="378">
        <v>15</v>
      </c>
      <c r="Z18" s="378" t="str">
        <f t="shared" ca="1" si="5"/>
        <v>-</v>
      </c>
      <c r="AA18" s="508" t="str">
        <f t="array" aca="1" ref="AA18" ca="1">IFERROR(INDEX(Calculation_Tab,SMALL(ROW(Sample_Intermediate_Dil)*(Sample_Intermediate_Dil&lt;&gt;"-"),COUNTIF(Sample_Intermediate_Dil,"-")+ROW()-3)-9,5),"-")</f>
        <v>-</v>
      </c>
      <c r="AB18" s="378" t="str">
        <f t="array" aca="1" ref="AB18" ca="1">IFERROR(INDEX($A$3:$B$12,MATCH(INDEX(Calculation_Tab,SMALL(ROW(Sample_Intermediate_Dil)*(Sample_Intermediate_Dil&lt;&gt;"-"),COUNTIF(Sample_Intermediate_Dil,"-")+ROW()-3)-9,5),$A$3:$A$12,0),2),"-")</f>
        <v>-</v>
      </c>
      <c r="AC18" s="509" t="str">
        <f t="array" aca="1" ref="AC18" ca="1">IFERROR(INDEX(Coordinate,MATCH(INDEX(Calculation_Tab,SMALL(ROW(Sample_Intermediate_Dil)*(Sample_Intermediate_Dil&lt;&gt;"-"),COUNTIF(Sample_Intermediate_Dil,"-")+ROW()-3)-9,6),$X$4:$X$99,0),2),"-")</f>
        <v>-</v>
      </c>
      <c r="AD18" s="510" t="str">
        <f t="array" aca="1" ref="AD18" ca="1">IFERROR(INDEX(Calculation_Tab,SMALL(ROW(Sample_Intermediate_Dil)*(Sample_Intermediate_Dil&lt;&gt;"-"),COUNTIF(Sample_Intermediate_Dil,"-")+ROW()-3)-9,24),"-")</f>
        <v>-</v>
      </c>
      <c r="AE18" s="510" t="str">
        <f t="array" aca="1" ref="AE18" ca="1">IFERROR(INDEX(Calculation_Tab,SMALL(ROW(Sample_Intermediate_Dil)*(Sample_Intermediate_Dil&lt;&gt;"-"),COUNTIF(Sample_Intermediate_Dil,"-")+ROW()-3)-9,25),"-")</f>
        <v>-</v>
      </c>
      <c r="AF18" s="510" t="str">
        <f t="array" aca="1" ref="AF18" ca="1">IFERROR(INDEX(Calculation_Tab,SMALL(ROW(Sample_Intermediate_Dil)*(Sample_Intermediate_Dil&lt;&gt;"-"),COUNTIF(Sample_Intermediate_Dil,"-")+ROW()-3)-9,26),"-")</f>
        <v>-</v>
      </c>
      <c r="AG18" s="511" t="str">
        <f t="array" aca="1" ref="AG18" ca="1">IFERROR(INDEX(Calculation_Tab,SMALL(ROW(Sample_Intermediate_Dil)*(Sample_Intermediate_Dil&lt;&gt;"-"),COUNTIF(Sample_Intermediate_Dil,"-")+ROW()-3)-9,27),"-")</f>
        <v>-</v>
      </c>
      <c r="AI18" s="487">
        <v>15</v>
      </c>
      <c r="AJ18" s="497" t="s">
        <v>160</v>
      </c>
      <c r="AK18" s="378">
        <v>15</v>
      </c>
      <c r="AL18" s="378" t="str">
        <f t="shared" ca="1" si="6"/>
        <v>-</v>
      </c>
      <c r="AM18" s="378" t="str">
        <f t="array" aca="1" ref="AM18" ca="1">IFERROR(IF(AI18&lt;=$AB$2,"-",INDEX(Calculation_Tab,SMALL(ROW(Main_Dil)*(Main_Dil&lt;&gt;"-"),COUNTIF(Main_Dil,"-")+ROW()-3-$AB$2)-9,5)),"-")</f>
        <v>-</v>
      </c>
      <c r="AN18" s="378" t="str">
        <f t="array" aca="1" ref="AN18" ca="1">IFERROR(IF(AI18&lt;=$AB$2,"-",INDEX($A$3:$B$12,MATCH(INDEX(Calculation_Tab,SMALL(ROW(Main_Dil)*(Main_Dil&lt;&gt;"-"),COUNTIF(Main_Dil,"-")+ROW()-3-$AB$2)-9,5),$A$3:$A$12,0),2)),"-")</f>
        <v>-</v>
      </c>
      <c r="AO18" s="378" t="str">
        <f t="array" aca="1" ref="AO18" ca="1">IFERROR(IF(AI18&lt;=$AB$2,"-",INDEX(Coordinate,MATCH(INDEX(Calculation_Tab,SMALL(ROW(Main_Dil)*(Main_Dil&lt;&gt;"-"),COUNTIF(Main_Dil,"-")+ROW()-3-$AB$2)-9,6),$X$4:$X$99,0),2)),"-")</f>
        <v>-</v>
      </c>
      <c r="AP18" s="510" t="str">
        <f t="array" aca="1" ref="AP18" ca="1">IFERROR(IF(AI18&lt;=$AB$2,"-",INDEX(Calculation_Tab,SMALL(ROW(Main_Dil)*(Main_Dil&lt;&gt;"-"),COUNTIF(Main_Dil,"-")+ROW()-3-$AB$2)-9,21)),"-")</f>
        <v>-</v>
      </c>
      <c r="AQ18" s="511" t="str">
        <f t="array" aca="1" ref="AQ18" ca="1">IFERROR(IF(AI18&lt;=$AB$2,"-",INDEX(Calculation_Tab,SMALL(ROW(Main_Dil)*(Main_Dil&lt;&gt;"-"),COUNTIF(Main_Dil,"-")+ROW()-3-$AB$2)-9,22)),"-")</f>
        <v>-</v>
      </c>
      <c r="AR18" s="487" t="str">
        <f t="shared" ca="1" si="7"/>
        <v>-</v>
      </c>
      <c r="AS18" s="378">
        <v>15</v>
      </c>
      <c r="AT18" s="497" t="s">
        <v>160</v>
      </c>
      <c r="AU18" s="498">
        <v>15</v>
      </c>
      <c r="AV18" s="378" t="str">
        <f t="shared" ca="1" si="8"/>
        <v>-</v>
      </c>
      <c r="AW18" s="378" t="str">
        <f t="array" aca="1" ref="AW18" ca="1">IFERROR(IF(AS18&lt;=$AB$2+$AN$2,"-",INDEX(Calculation_Tab,SMALL(ROW(Direct_Denaturation)*(Direct_Denaturation&lt;&gt;"-"),COUNTIF(Direct_Denaturation,"-")+ROW()-3-$AB$2-$AN$2)-9,5)),"-")</f>
        <v>-</v>
      </c>
      <c r="AX18" s="378" t="str">
        <f t="array" aca="1" ref="AX18" ca="1">IFERROR(IF(AS18&lt;=$AB$2+$AN$2,"-",INDEX($A$3:$B$12,MATCH(INDEX(Calculation_Tab,SMALL(ROW(Direct_Denaturation)*(Direct_Denaturation&lt;&gt;"-"),COUNTIF(Direct_Denaturation,"-")+ROW()-3-$AB$2-$AN$2)-9,5),$A$3:$A$12,0),2)),"-")</f>
        <v>-</v>
      </c>
      <c r="AY18" s="378" t="str">
        <f t="array" aca="1" ref="AY18" ca="1">IFERROR(IF(AS18&lt;=$AB$2+$AN$2,"-",INDEX(Coordinate,MATCH(INDEX(Calculation_Tab,SMALL(ROW(Direct_Denaturation)*(Direct_Denaturation&lt;&gt;"-"),COUNTIF(Direct_Denaturation,"-")+ROW()-3-$AB$2-$AN$2)-9,6),$X$4:$X$99,0),2)),"-")</f>
        <v>-</v>
      </c>
      <c r="AZ18" s="510" t="str">
        <f t="array" aca="1" ref="AZ18" ca="1">IFERROR(IF(AS18&lt;=$AB$2+$AN$2,"-",INDEX(Calculation_Tab,SMALL(ROW(Direct_Denaturation)*(Direct_Denaturation&lt;&gt;"-"),COUNTIF(Direct_Denaturation,"-")+ROW()-3-$AB$2-$AN$2)-9,32)),"-")</f>
        <v>-</v>
      </c>
      <c r="BA18" s="510" t="str">
        <f t="array" aca="1" ref="BA18" ca="1">IFERROR(IF(AS18&lt;=$AB$2+$AN$2,"-",INDEX(Calculation_Tab,SMALL(ROW(Direct_Denaturation)*(Direct_Denaturation&lt;&gt;"-"),COUNTIF(Direct_Denaturation,"-")+ROW()-3-$AB$2-$AN$2)-9,34)),"-")</f>
        <v>-</v>
      </c>
      <c r="BB18" s="510" t="str">
        <f t="array" aca="1" ref="BB18" ca="1">IFERROR(IF(AS18&lt;=$AB$2+$AN$2,"-",INDEX(Calculation_Tab,SMALL(ROW(Direct_Denaturation)*(Direct_Denaturation&lt;&gt;"-"),COUNTIF(Direct_Denaturation,"-")+ROW()-3-$AB$2-$AN$2)-9,33)),"-")</f>
        <v>-</v>
      </c>
      <c r="BC18" s="510" t="str">
        <f t="array" aca="1" ref="BC18" ca="1">IFERROR(IF(AS18&lt;=$AB$2+$AN$2,"-",INDEX(Calculation_Tab,SMALL(ROW(Direct_Denaturation)*(Direct_Denaturation&lt;&gt;"-"),COUNTIF(Direct_Denaturation,"-")+ROW()-3-$AB$2-$AN$2)-9,35)),"-")</f>
        <v>-</v>
      </c>
      <c r="BD18" s="511" t="str">
        <f t="shared" ca="1" si="9"/>
        <v>-</v>
      </c>
      <c r="BE18" s="494" t="s">
        <v>325</v>
      </c>
      <c r="BF18" s="378">
        <v>15</v>
      </c>
      <c r="BG18" s="515" t="str">
        <v>-</v>
      </c>
      <c r="BH18" s="516" t="str">
        <f>IFERROR(IF((Calculation!$AR$6/INDEX(ListAndConversion!D:P,MATCH(BG18,E:E,0),13))&lt;Calculation!$O$6,INDEX(ListAndConversion!D:P,MATCH(BG18,E:E,0),13)*Calculation!$O$6,Calculation!$AR$6),"-")</f>
        <v>-</v>
      </c>
      <c r="BI18" s="517" t="str">
        <f t="shared" si="10"/>
        <v>-</v>
      </c>
      <c r="BJ18" s="518" t="str">
        <f t="shared" si="11"/>
        <v>-</v>
      </c>
      <c r="BK18" s="378" t="s">
        <v>158</v>
      </c>
      <c r="BL18" s="378">
        <v>15</v>
      </c>
      <c r="BM18" s="487" t="str">
        <f t="array" aca="1" ref="BM18" ca="1">IFERROR(INDEX(Calculation_Tab,SMALL(ROW(ToPool)*(ToPool&lt;&gt;"-"),COUNTIF(ToPool,"-")+ROW()-3)-9,3),"-")</f>
        <v>-</v>
      </c>
      <c r="BN18" s="378" t="str">
        <f t="shared" ca="1" si="12"/>
        <v>-</v>
      </c>
      <c r="BO18" s="378" t="str">
        <f t="shared" ca="1" si="13"/>
        <v>-</v>
      </c>
      <c r="BP18" s="523" t="str">
        <f t="shared" ca="1" si="14"/>
        <v>-</v>
      </c>
      <c r="BQ18" s="378" t="str">
        <f t="array" aca="1" ref="BQ18" ca="1">IFERROR(INDEX(BE:BG,MATCH(INDEX(Calculation_Tab,SMALL(ROW(ToPool)*(ToPool&lt;&gt;"-"),COUNTIF(ToPool,"-")+ROW()-3)-9,9),BG:BG,0),2),"-")</f>
        <v>-</v>
      </c>
      <c r="BR18" s="510" t="str">
        <f t="shared" ca="1" si="15"/>
        <v>-</v>
      </c>
      <c r="BS18" s="511" t="str">
        <f t="shared" ca="1" si="16"/>
        <v>-</v>
      </c>
      <c r="BT18" s="378" t="s">
        <v>164</v>
      </c>
      <c r="BU18" s="487" t="str">
        <f t="shared" ca="1" si="21"/>
        <v>-</v>
      </c>
      <c r="BV18" s="487" t="str">
        <f t="array" aca="1" ref="BV1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8" s="378" t="str">
        <f t="shared" ca="1" si="17"/>
        <v>-</v>
      </c>
      <c r="BX18" s="378" t="str">
        <f t="shared" ca="1" si="18"/>
        <v>-</v>
      </c>
      <c r="BY18" s="510" t="str">
        <f ca="1">IFERROR(ROUND(INDEX(Cluster,MATCH(IF(LEFT(BV18,4)="Pool",INDEX(Cluster,MATCH(INDEX(Calculation_Tab,MATCH(INDEX($BE$4:$BJ$99,MATCH(BV18,$BE$4:$BE$99,0),3),Flow_Cell_Lane,0),3),Cluster!$F$29:$F$412,0),6),BV18),Identifier_Cluster,0),19)*IF(LEFT(BV18,4)="pool",IF(LEN(INDEX($BE$4:$BJ$99,MATCH(BV18,$BE$4:$BE$99,0),3))=10,2,IF(LEN(INDEX($BE$4:$BJ$99,MATCH(BV18,$BE$4:$BE$99,0),3))&gt;10,LEN(INDEX($BE$4:$BJ$99,MATCH(BV18,$BE$4:$BE$99,0),3))-8,1)),1)*IF(LEFT(BV18,4)="pool",IF(INDEX($BE$4:$BJ$99,MATCH(BV18,$BE$4:$BE$99,0),6)&lt;1,1,INDEX($BE$4:$BJ$99,MATCH(BV18,$BE$4:$BE$99,0),6)),INDEX(Calculation_Tab,MATCH(BV18,Identifier,0),10)),1)*(1+Calculation!$Q$6),"-")</f>
        <v>-</v>
      </c>
      <c r="BZ18" s="378" t="str">
        <f ca="1">IFERROR((0.5/50)*CE18/Calculation!$AG$6*(IF(LEFT(BV18,4)="Pool",IF(LEN(INDEX($BE$4:$BJ$99,MATCH(BV18,$BE$4:$BE$99,0),3))=10,2,IF(LEN(INDEX($BE$4:$BJ$99,MATCH(BV18,$BE$4:$BE$99,0),3))&gt;10,LEN(INDEX($BE$4:$BJ$99,MATCH(BV18,$BE$4:$BE$99,0),3))-8,1)),IF(INDEX(Calculation_Tab,MATCH(BV18,Identifier,0),10)&gt;1,INDEX(Calculation_Tab,MATCH(BV18,Identifier,0),10),1)))*(1+Calculation!$Q$6),"-")</f>
        <v>-</v>
      </c>
      <c r="CA18" s="510" t="str">
        <f ca="1">IFERROR(IF((BZ18*Calculation!$AG$6/0.05)-SUM(BY18:BZ18,CC18)&gt;0,(BZ18*Calculation!$AG$6/0.05)-SUM(BY18:BZ18,CC18),0),"-")</f>
        <v>-</v>
      </c>
      <c r="CB18" s="510" t="str">
        <f ca="1">IFERROR(5/50*CE18*(IF(LEFT(BV18,4)="Pool",IF(LEN(INDEX($BE$4:$BJ$99,MATCH(BV18,$BE$4:$BE$99,0),3))=10,2,IF(LEN(INDEX($BE$4:$BJ$99,MATCH(BV18,$BE$4:$BE$99,0),3))&gt;10,LEN(INDEX($BE$4:$BJ$99,MATCH(BV18,$BE$4:$BE$99,0),3))-8,1)),IF(INDEX(Calculation_Tab,MATCH(BV18,Identifier,0),10)&gt;1,INDEX(Calculation_Tab,MATCH(BV18,Identifier,0),10),1)))*(1+Calculation!$Q$6),"-")</f>
        <v>-</v>
      </c>
      <c r="CC18" s="508" t="str">
        <f ca="1">IFERROR(ROUND(INDEX(Cluster,MATCH(IF(LEFT(BV18,4)="Pool",INDEX(Cluster,MATCH(INDEX(Calculation_Tab,MATCH(INDEX($BE$4:$BJ$99,MATCH(BV18,$BE$4:$BE$99,0),3),Flow_Cell_Lane,0),3),Cluster!$F$29:$F$412,0),6),BV18),Identifier_Cluster,0),20)*IF(LEFT(BV18,4)="pool",IF(LEN(INDEX($BE$4:$BJ$99,MATCH(BV18,$BE$4:$BE$99,0),3))=10,2,IF(LEN(INDEX($BE$4:$BJ$99,MATCH(BV18,$BE$4:$BE$99,0),3))&gt;10,LEN(INDEX($BE$4:$BJ$99,MATCH(BV18,$BE$4:$BE$99,0),3))-8,1)),1)*IF(LEFT(BV18,4)="pool",IF(INDEX($BE$4:$BJ$99,MATCH(BV18,$BE$4:$BE$99,0),6)&lt;1,1,INDEX($BE$4:$BJ$99,MATCH(BV18,$BE$4:$BE$99,0),6)),INDEX(Calculation_Tab,MATCH(BV18,Identifier,0),10)),1)*(1+Calculation!$Q$6),"-")</f>
        <v>-</v>
      </c>
      <c r="CD18" s="509" t="str">
        <f ca="1">IFERROR(INDEX(Cluster!AC:AD,MATCH(IF(LEFT(BV18,4)="Pool",INDEX(Cluster!$D$29:$AA$412,MATCH(INDEX(Calculation_Tab,MATCH(INDEX($BE$4:$BJ$99,MATCH(BV18,$BE$4:$BE$99,0),3),Flow_Cell_Lane,0),3),Cluster!$F$29:$F$412,0),24),INDEX(Cluster!$D$29:$AA$412,MATCH(BV18,Cluster!$F$29:$F$412,0),24)),Cluster!AC:AC,0),2),"-")</f>
        <v>-</v>
      </c>
      <c r="CE18" s="378" t="str">
        <f ca="1">IFERROR(IF(BV18&lt;&gt;"-",Calculation!$AK$6,"-"),"-")</f>
        <v>-</v>
      </c>
      <c r="CF18" s="378" t="str">
        <f ca="1">IF(OR(LEFT(ListAndConversion!BW18,3)="Dil",LEFT(ListAndConversion!BW18,3)="Poo"),ListAndConversion!$BT$4,IF(LEFT(ListAndConversion!BW18,3)="Sou",INDEX(ListAndConversion!$AT$3:$AV$387,MATCH(ListAndConversion!BV18,ListAndConversion!$AV$3:$AV$387,0),1),"-"))</f>
        <v>-</v>
      </c>
      <c r="CG18" s="498" t="str">
        <f ca="1">IF(OR(LEFT(ListAndConversion!BW18,3)="Dil",LEFT(ListAndConversion!BW18,3)="Poo"),ListAndConversion!BU18,IF(LEFT(ListAndConversion!BW18,3)="Sou",INDEX(ListAndConversion!$AT$4:$AV$387,MATCH(ListAndConversion!BV18,ListAndConversion!$AV$4:$AV$387,0),2),"-"))</f>
        <v>-</v>
      </c>
      <c r="CH18"/>
      <c r="CI18" s="487" t="str">
        <f t="shared" ca="1" si="19"/>
        <v>-</v>
      </c>
      <c r="CJ18" s="378" t="str">
        <f t="shared" ca="1" si="24"/>
        <v>-</v>
      </c>
      <c r="CK18" s="378" t="str">
        <f t="shared" ca="1" si="24"/>
        <v>-</v>
      </c>
      <c r="CL18" s="378" t="str">
        <f t="shared" ca="1" si="24"/>
        <v>-</v>
      </c>
      <c r="CM18" s="378" t="str">
        <f t="shared" ca="1" si="24"/>
        <v>-</v>
      </c>
      <c r="CN18" s="378" t="str">
        <f t="shared" ca="1" si="24"/>
        <v>-</v>
      </c>
      <c r="CO18" s="378" t="str">
        <f t="shared" ca="1" si="24"/>
        <v>-</v>
      </c>
      <c r="CP18" s="378" t="str">
        <f t="shared" ca="1" si="24"/>
        <v>-</v>
      </c>
      <c r="CQ18" s="378" t="str">
        <f t="shared" ca="1" si="24"/>
        <v>-</v>
      </c>
      <c r="CR18" s="510" t="str">
        <f ca="1">IFERROR(IF(LEFT(BW18,3)="Poo",INDEX($BE$4:$BJ$99,MATCH(CI18,$BG$4:$BG$99,0),6)*((15/50))*Calculation!$AK$6,INDEX(Calculation_Tab,MATCH(BV18,Identifier,0),10)/(IF(LEN(INDEX(Calculation_Tab,MATCH(BV18,Identifier,0),9))&gt;8,LEN(INDEX(Calculation_Tab,MATCH(BV18,Identifier,0),9))-8,1))*((15/50)*Calculation!$AK$6)),"-")</f>
        <v>-</v>
      </c>
      <c r="CS18" s="498" t="str">
        <f ca="1">IF(CI18="-","-",IF(COUNTIF($CI$3:CI18,CI18)&gt;1,0,IFERROR((35/50)*Calculation!$AK$6,"-")))</f>
        <v>-</v>
      </c>
    </row>
    <row r="19" spans="4:97" x14ac:dyDescent="0.5">
      <c r="D19" s="487" t="e">
        <f t="shared" si="0"/>
        <v>#DIV/0!</v>
      </c>
      <c r="E19" s="496" t="e">
        <f t="array" ref="E19">IF(IF((ROW(E19)-3)&lt;(ListAndConversion!$A$15),INDEX(Flow_Cell_Lane,MIN(IF(COUNTIF($E$2:E18,Flow_Cell_Lane)=0,ROW(Flow_Cell_Lane)-9))),"-")="","-",IF((ROW(E19)-3)&lt;(ListAndConversion!$A$15),INDEX(Flow_Cell_Lane,MIN(IF(COUNTIF($E$2:E18,Flow_Cell_Lane)=0,ROW(Flow_Cell_Lane)-9))),"-"))</f>
        <v>#DIV/0!</v>
      </c>
      <c r="F19" s="378" t="e">
        <f t="shared" si="1"/>
        <v>#DIV/0!</v>
      </c>
      <c r="G19" s="378" t="e">
        <f t="shared" si="23"/>
        <v>#DIV/0!</v>
      </c>
      <c r="H19" s="378" t="e">
        <f t="shared" si="23"/>
        <v>#DIV/0!</v>
      </c>
      <c r="I19" s="378" t="e">
        <f t="shared" si="23"/>
        <v>#DIV/0!</v>
      </c>
      <c r="J19" s="378" t="e">
        <f t="shared" si="23"/>
        <v>#DIV/0!</v>
      </c>
      <c r="K19" s="378" t="e">
        <f t="shared" si="23"/>
        <v>#DIV/0!</v>
      </c>
      <c r="L19" s="378" t="e">
        <f t="shared" si="23"/>
        <v>#DIV/0!</v>
      </c>
      <c r="M19" s="378" t="e">
        <f t="shared" si="23"/>
        <v>#DIV/0!</v>
      </c>
      <c r="N19" s="497" t="e">
        <f t="shared" si="3"/>
        <v>#DIV/0!</v>
      </c>
      <c r="O19" s="497" t="str">
        <f t="array" ref="O19">IFERROR(INDEX(Calculation!I:AN,MATCH(ListAndConversion!E19,Calculation!I:I,0),31),"-")</f>
        <v>-</v>
      </c>
      <c r="P19" s="498">
        <f>IF(COUNTIFS(Calculation!$I$10:$I$393,E19,Direct_Denaturation,"-")&lt;&gt;1,COUNTIFS(Calculation!$I$10:$I$393,E19,Direct_Denaturation,"-"),0)</f>
        <v>0</v>
      </c>
      <c r="Q19" s="378"/>
      <c r="R19" s="487" t="e">
        <f t="array" ref="R19">IF(IF((ROW(R19)-3)&lt;(Calculation!$H$6),INDEX(Flow_Cell,MIN(IF(COUNTIF($R$2:R18,Flow_Cell)=0,ROW(Flow_Cell)-9))),"-")="","-",IF((ROW(R19)-3)&lt;(Calculation!$H$6),INDEX(Flow_Cell,MIN(IF(COUNTIF($R$2:R18,Flow_Cell)=0,ROW(Flow_Cell)-9))),"-"))</f>
        <v>#DIV/0!</v>
      </c>
      <c r="S19" s="378" t="e">
        <f t="shared" ref="S19:S26" si="25">IF($R$5="-","-",CONCATENATE($R$5,"-",T19))</f>
        <v>#DIV/0!</v>
      </c>
      <c r="T19" s="378">
        <v>1</v>
      </c>
      <c r="U19" s="498">
        <v>17</v>
      </c>
      <c r="V19" s="487">
        <v>16</v>
      </c>
      <c r="W19" s="497" t="s">
        <v>287</v>
      </c>
      <c r="X19" s="497" t="s">
        <v>326</v>
      </c>
      <c r="Y19" s="378">
        <v>16</v>
      </c>
      <c r="Z19" s="378" t="str">
        <f t="shared" ca="1" si="5"/>
        <v>-</v>
      </c>
      <c r="AA19" s="508" t="str">
        <f t="array" aca="1" ref="AA19" ca="1">IFERROR(INDEX(Calculation_Tab,SMALL(ROW(Sample_Intermediate_Dil)*(Sample_Intermediate_Dil&lt;&gt;"-"),COUNTIF(Sample_Intermediate_Dil,"-")+ROW()-3)-9,5),"-")</f>
        <v>-</v>
      </c>
      <c r="AB19" s="378" t="str">
        <f t="array" aca="1" ref="AB19" ca="1">IFERROR(INDEX($A$3:$B$12,MATCH(INDEX(Calculation_Tab,SMALL(ROW(Sample_Intermediate_Dil)*(Sample_Intermediate_Dil&lt;&gt;"-"),COUNTIF(Sample_Intermediate_Dil,"-")+ROW()-3)-9,5),$A$3:$A$12,0),2),"-")</f>
        <v>-</v>
      </c>
      <c r="AC19" s="509" t="str">
        <f t="array" aca="1" ref="AC19" ca="1">IFERROR(INDEX(Coordinate,MATCH(INDEX(Calculation_Tab,SMALL(ROW(Sample_Intermediate_Dil)*(Sample_Intermediate_Dil&lt;&gt;"-"),COUNTIF(Sample_Intermediate_Dil,"-")+ROW()-3)-9,6),$X$4:$X$99,0),2),"-")</f>
        <v>-</v>
      </c>
      <c r="AD19" s="510" t="str">
        <f t="array" aca="1" ref="AD19" ca="1">IFERROR(INDEX(Calculation_Tab,SMALL(ROW(Sample_Intermediate_Dil)*(Sample_Intermediate_Dil&lt;&gt;"-"),COUNTIF(Sample_Intermediate_Dil,"-")+ROW()-3)-9,24),"-")</f>
        <v>-</v>
      </c>
      <c r="AE19" s="510" t="str">
        <f t="array" aca="1" ref="AE19" ca="1">IFERROR(INDEX(Calculation_Tab,SMALL(ROW(Sample_Intermediate_Dil)*(Sample_Intermediate_Dil&lt;&gt;"-"),COUNTIF(Sample_Intermediate_Dil,"-")+ROW()-3)-9,25),"-")</f>
        <v>-</v>
      </c>
      <c r="AF19" s="510" t="str">
        <f t="array" aca="1" ref="AF19" ca="1">IFERROR(INDEX(Calculation_Tab,SMALL(ROW(Sample_Intermediate_Dil)*(Sample_Intermediate_Dil&lt;&gt;"-"),COUNTIF(Sample_Intermediate_Dil,"-")+ROW()-3)-9,26),"-")</f>
        <v>-</v>
      </c>
      <c r="AG19" s="511" t="str">
        <f t="array" aca="1" ref="AG19" ca="1">IFERROR(INDEX(Calculation_Tab,SMALL(ROW(Sample_Intermediate_Dil)*(Sample_Intermediate_Dil&lt;&gt;"-"),COUNTIF(Sample_Intermediate_Dil,"-")+ROW()-3)-9,27),"-")</f>
        <v>-</v>
      </c>
      <c r="AI19" s="487">
        <v>16</v>
      </c>
      <c r="AJ19" s="497" t="s">
        <v>160</v>
      </c>
      <c r="AK19" s="378">
        <v>16</v>
      </c>
      <c r="AL19" s="378" t="str">
        <f t="shared" ca="1" si="6"/>
        <v>-</v>
      </c>
      <c r="AM19" s="378" t="str">
        <f t="array" aca="1" ref="AM19" ca="1">IFERROR(IF(AI19&lt;=$AB$2,"-",INDEX(Calculation_Tab,SMALL(ROW(Main_Dil)*(Main_Dil&lt;&gt;"-"),COUNTIF(Main_Dil,"-")+ROW()-3-$AB$2)-9,5)),"-")</f>
        <v>-</v>
      </c>
      <c r="AN19" s="378" t="str">
        <f t="array" aca="1" ref="AN19" ca="1">IFERROR(IF(AI19&lt;=$AB$2,"-",INDEX($A$3:$B$12,MATCH(INDEX(Calculation_Tab,SMALL(ROW(Main_Dil)*(Main_Dil&lt;&gt;"-"),COUNTIF(Main_Dil,"-")+ROW()-3-$AB$2)-9,5),$A$3:$A$12,0),2)),"-")</f>
        <v>-</v>
      </c>
      <c r="AO19" s="378" t="str">
        <f t="array" aca="1" ref="AO19" ca="1">IFERROR(IF(AI19&lt;=$AB$2,"-",INDEX(Coordinate,MATCH(INDEX(Calculation_Tab,SMALL(ROW(Main_Dil)*(Main_Dil&lt;&gt;"-"),COUNTIF(Main_Dil,"-")+ROW()-3-$AB$2)-9,6),$X$4:$X$99,0),2)),"-")</f>
        <v>-</v>
      </c>
      <c r="AP19" s="510" t="str">
        <f t="array" aca="1" ref="AP19" ca="1">IFERROR(IF(AI19&lt;=$AB$2,"-",INDEX(Calculation_Tab,SMALL(ROW(Main_Dil)*(Main_Dil&lt;&gt;"-"),COUNTIF(Main_Dil,"-")+ROW()-3-$AB$2)-9,21)),"-")</f>
        <v>-</v>
      </c>
      <c r="AQ19" s="511" t="str">
        <f t="array" aca="1" ref="AQ19" ca="1">IFERROR(IF(AI19&lt;=$AB$2,"-",INDEX(Calculation_Tab,SMALL(ROW(Main_Dil)*(Main_Dil&lt;&gt;"-"),COUNTIF(Main_Dil,"-")+ROW()-3-$AB$2)-9,22)),"-")</f>
        <v>-</v>
      </c>
      <c r="AR19" s="487" t="str">
        <f t="shared" ca="1" si="7"/>
        <v>-</v>
      </c>
      <c r="AS19" s="378">
        <v>16</v>
      </c>
      <c r="AT19" s="497" t="s">
        <v>160</v>
      </c>
      <c r="AU19" s="498">
        <v>16</v>
      </c>
      <c r="AV19" s="378" t="str">
        <f t="shared" ca="1" si="8"/>
        <v>-</v>
      </c>
      <c r="AW19" s="378" t="str">
        <f t="array" aca="1" ref="AW19" ca="1">IFERROR(IF(AS19&lt;=$AB$2+$AN$2,"-",INDEX(Calculation_Tab,SMALL(ROW(Direct_Denaturation)*(Direct_Denaturation&lt;&gt;"-"),COUNTIF(Direct_Denaturation,"-")+ROW()-3-$AB$2-$AN$2)-9,5)),"-")</f>
        <v>-</v>
      </c>
      <c r="AX19" s="378" t="str">
        <f t="array" aca="1" ref="AX19" ca="1">IFERROR(IF(AS19&lt;=$AB$2+$AN$2,"-",INDEX($A$3:$B$12,MATCH(INDEX(Calculation_Tab,SMALL(ROW(Direct_Denaturation)*(Direct_Denaturation&lt;&gt;"-"),COUNTIF(Direct_Denaturation,"-")+ROW()-3-$AB$2-$AN$2)-9,5),$A$3:$A$12,0),2)),"-")</f>
        <v>-</v>
      </c>
      <c r="AY19" s="378" t="str">
        <f t="array" aca="1" ref="AY19" ca="1">IFERROR(IF(AS19&lt;=$AB$2+$AN$2,"-",INDEX(Coordinate,MATCH(INDEX(Calculation_Tab,SMALL(ROW(Direct_Denaturation)*(Direct_Denaturation&lt;&gt;"-"),COUNTIF(Direct_Denaturation,"-")+ROW()-3-$AB$2-$AN$2)-9,6),$X$4:$X$99,0),2)),"-")</f>
        <v>-</v>
      </c>
      <c r="AZ19" s="510" t="str">
        <f t="array" aca="1" ref="AZ19" ca="1">IFERROR(IF(AS19&lt;=$AB$2+$AN$2,"-",INDEX(Calculation_Tab,SMALL(ROW(Direct_Denaturation)*(Direct_Denaturation&lt;&gt;"-"),COUNTIF(Direct_Denaturation,"-")+ROW()-3-$AB$2-$AN$2)-9,32)),"-")</f>
        <v>-</v>
      </c>
      <c r="BA19" s="510" t="str">
        <f t="array" aca="1" ref="BA19" ca="1">IFERROR(IF(AS19&lt;=$AB$2+$AN$2,"-",INDEX(Calculation_Tab,SMALL(ROW(Direct_Denaturation)*(Direct_Denaturation&lt;&gt;"-"),COUNTIF(Direct_Denaturation,"-")+ROW()-3-$AB$2-$AN$2)-9,34)),"-")</f>
        <v>-</v>
      </c>
      <c r="BB19" s="510" t="str">
        <f t="array" aca="1" ref="BB19" ca="1">IFERROR(IF(AS19&lt;=$AB$2+$AN$2,"-",INDEX(Calculation_Tab,SMALL(ROW(Direct_Denaturation)*(Direct_Denaturation&lt;&gt;"-"),COUNTIF(Direct_Denaturation,"-")+ROW()-3-$AB$2-$AN$2)-9,33)),"-")</f>
        <v>-</v>
      </c>
      <c r="BC19" s="510" t="str">
        <f t="array" aca="1" ref="BC19" ca="1">IFERROR(IF(AS19&lt;=$AB$2+$AN$2,"-",INDEX(Calculation_Tab,SMALL(ROW(Direct_Denaturation)*(Direct_Denaturation&lt;&gt;"-"),COUNTIF(Direct_Denaturation,"-")+ROW()-3-$AB$2-$AN$2)-9,35)),"-")</f>
        <v>-</v>
      </c>
      <c r="BD19" s="511" t="str">
        <f t="shared" ca="1" si="9"/>
        <v>-</v>
      </c>
      <c r="BE19" s="494" t="s">
        <v>327</v>
      </c>
      <c r="BF19" s="378">
        <v>16</v>
      </c>
      <c r="BG19" s="515" t="str">
        <v>-</v>
      </c>
      <c r="BH19" s="516" t="str">
        <f>IFERROR(IF((Calculation!$AR$6/INDEX(ListAndConversion!D:P,MATCH(BG19,E:E,0),13))&lt;Calculation!$O$6,INDEX(ListAndConversion!D:P,MATCH(BG19,E:E,0),13)*Calculation!$O$6,Calculation!$AR$6),"-")</f>
        <v>-</v>
      </c>
      <c r="BI19" s="517" t="str">
        <f t="shared" si="10"/>
        <v>-</v>
      </c>
      <c r="BJ19" s="518" t="str">
        <f t="shared" si="11"/>
        <v>-</v>
      </c>
      <c r="BK19" s="378" t="s">
        <v>158</v>
      </c>
      <c r="BL19" s="378">
        <v>16</v>
      </c>
      <c r="BM19" s="487" t="str">
        <f t="array" aca="1" ref="BM19" ca="1">IFERROR(INDEX(Calculation_Tab,SMALL(ROW(ToPool)*(ToPool&lt;&gt;"-"),COUNTIF(ToPool,"-")+ROW()-3)-9,3),"-")</f>
        <v>-</v>
      </c>
      <c r="BN19" s="378" t="str">
        <f t="shared" ca="1" si="12"/>
        <v>-</v>
      </c>
      <c r="BO19" s="378" t="str">
        <f t="shared" ca="1" si="13"/>
        <v>-</v>
      </c>
      <c r="BP19" s="523" t="str">
        <f t="shared" ca="1" si="14"/>
        <v>-</v>
      </c>
      <c r="BQ19" s="378" t="str">
        <f t="array" aca="1" ref="BQ19" ca="1">IFERROR(INDEX(BE:BG,MATCH(INDEX(Calculation_Tab,SMALL(ROW(ToPool)*(ToPool&lt;&gt;"-"),COUNTIF(ToPool,"-")+ROW()-3)-9,9),BG:BG,0),2),"-")</f>
        <v>-</v>
      </c>
      <c r="BR19" s="510" t="str">
        <f t="shared" ca="1" si="15"/>
        <v>-</v>
      </c>
      <c r="BS19" s="511" t="str">
        <f t="shared" ca="1" si="16"/>
        <v>-</v>
      </c>
      <c r="BT19" s="378" t="s">
        <v>164</v>
      </c>
      <c r="BU19" s="487" t="str">
        <f t="shared" ca="1" si="21"/>
        <v>-</v>
      </c>
      <c r="BV19" s="487" t="str">
        <f t="array" aca="1" ref="BV1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9" s="378" t="str">
        <f t="shared" ca="1" si="17"/>
        <v>-</v>
      </c>
      <c r="BX19" s="378" t="str">
        <f t="shared" ca="1" si="18"/>
        <v>-</v>
      </c>
      <c r="BY19" s="510" t="str">
        <f ca="1">IFERROR(ROUND(INDEX(Cluster,MATCH(IF(LEFT(BV19,4)="Pool",INDEX(Cluster,MATCH(INDEX(Calculation_Tab,MATCH(INDEX($BE$4:$BJ$99,MATCH(BV19,$BE$4:$BE$99,0),3),Flow_Cell_Lane,0),3),Cluster!$F$29:$F$412,0),6),BV19),Identifier_Cluster,0),19)*IF(LEFT(BV19,4)="pool",IF(LEN(INDEX($BE$4:$BJ$99,MATCH(BV19,$BE$4:$BE$99,0),3))=10,2,IF(LEN(INDEX($BE$4:$BJ$99,MATCH(BV19,$BE$4:$BE$99,0),3))&gt;10,LEN(INDEX($BE$4:$BJ$99,MATCH(BV19,$BE$4:$BE$99,0),3))-8,1)),1)*IF(LEFT(BV19,4)="pool",IF(INDEX($BE$4:$BJ$99,MATCH(BV19,$BE$4:$BE$99,0),6)&lt;1,1,INDEX($BE$4:$BJ$99,MATCH(BV19,$BE$4:$BE$99,0),6)),INDEX(Calculation_Tab,MATCH(BV19,Identifier,0),10)),1)*(1+Calculation!$Q$6),"-")</f>
        <v>-</v>
      </c>
      <c r="BZ19" s="378" t="str">
        <f ca="1">IFERROR((0.5/50)*CE19/Calculation!$AG$6*(IF(LEFT(BV19,4)="Pool",IF(LEN(INDEX($BE$4:$BJ$99,MATCH(BV19,$BE$4:$BE$99,0),3))=10,2,IF(LEN(INDEX($BE$4:$BJ$99,MATCH(BV19,$BE$4:$BE$99,0),3))&gt;10,LEN(INDEX($BE$4:$BJ$99,MATCH(BV19,$BE$4:$BE$99,0),3))-8,1)),IF(INDEX(Calculation_Tab,MATCH(BV19,Identifier,0),10)&gt;1,INDEX(Calculation_Tab,MATCH(BV19,Identifier,0),10),1)))*(1+Calculation!$Q$6),"-")</f>
        <v>-</v>
      </c>
      <c r="CA19" s="510" t="str">
        <f ca="1">IFERROR(IF((BZ19*Calculation!$AG$6/0.05)-SUM(BY19:BZ19,CC19)&gt;0,(BZ19*Calculation!$AG$6/0.05)-SUM(BY19:BZ19,CC19),0),"-")</f>
        <v>-</v>
      </c>
      <c r="CB19" s="510" t="str">
        <f ca="1">IFERROR(5/50*CE19*(IF(LEFT(BV19,4)="Pool",IF(LEN(INDEX($BE$4:$BJ$99,MATCH(BV19,$BE$4:$BE$99,0),3))=10,2,IF(LEN(INDEX($BE$4:$BJ$99,MATCH(BV19,$BE$4:$BE$99,0),3))&gt;10,LEN(INDEX($BE$4:$BJ$99,MATCH(BV19,$BE$4:$BE$99,0),3))-8,1)),IF(INDEX(Calculation_Tab,MATCH(BV19,Identifier,0),10)&gt;1,INDEX(Calculation_Tab,MATCH(BV19,Identifier,0),10),1)))*(1+Calculation!$Q$6),"-")</f>
        <v>-</v>
      </c>
      <c r="CC19" s="508" t="str">
        <f ca="1">IFERROR(ROUND(INDEX(Cluster,MATCH(IF(LEFT(BV19,4)="Pool",INDEX(Cluster,MATCH(INDEX(Calculation_Tab,MATCH(INDEX($BE$4:$BJ$99,MATCH(BV19,$BE$4:$BE$99,0),3),Flow_Cell_Lane,0),3),Cluster!$F$29:$F$412,0),6),BV19),Identifier_Cluster,0),20)*IF(LEFT(BV19,4)="pool",IF(LEN(INDEX($BE$4:$BJ$99,MATCH(BV19,$BE$4:$BE$99,0),3))=10,2,IF(LEN(INDEX($BE$4:$BJ$99,MATCH(BV19,$BE$4:$BE$99,0),3))&gt;10,LEN(INDEX($BE$4:$BJ$99,MATCH(BV19,$BE$4:$BE$99,0),3))-8,1)),1)*IF(LEFT(BV19,4)="pool",IF(INDEX($BE$4:$BJ$99,MATCH(BV19,$BE$4:$BE$99,0),6)&lt;1,1,INDEX($BE$4:$BJ$99,MATCH(BV19,$BE$4:$BE$99,0),6)),INDEX(Calculation_Tab,MATCH(BV19,Identifier,0),10)),1)*(1+Calculation!$Q$6),"-")</f>
        <v>-</v>
      </c>
      <c r="CD19" s="509" t="str">
        <f ca="1">IFERROR(INDEX(Cluster!AC:AD,MATCH(IF(LEFT(BV19,4)="Pool",INDEX(Cluster!$D$29:$AA$412,MATCH(INDEX(Calculation_Tab,MATCH(INDEX($BE$4:$BJ$99,MATCH(BV19,$BE$4:$BE$99,0),3),Flow_Cell_Lane,0),3),Cluster!$F$29:$F$412,0),24),INDEX(Cluster!$D$29:$AA$412,MATCH(BV19,Cluster!$F$29:$F$412,0),24)),Cluster!AC:AC,0),2),"-")</f>
        <v>-</v>
      </c>
      <c r="CE19" s="378" t="str">
        <f ca="1">IFERROR(IF(BV19&lt;&gt;"-",Calculation!$AK$6,"-"),"-")</f>
        <v>-</v>
      </c>
      <c r="CF19" s="378" t="str">
        <f ca="1">IF(OR(LEFT(ListAndConversion!BW19,3)="Dil",LEFT(ListAndConversion!BW19,3)="Poo"),ListAndConversion!$BT$4,IF(LEFT(ListAndConversion!BW19,3)="Sou",INDEX(ListAndConversion!$AT$3:$AV$387,MATCH(ListAndConversion!BV19,ListAndConversion!$AV$3:$AV$387,0),1),"-"))</f>
        <v>-</v>
      </c>
      <c r="CG19" s="498" t="str">
        <f ca="1">IF(OR(LEFT(ListAndConversion!BW19,3)="Dil",LEFT(ListAndConversion!BW19,3)="Poo"),ListAndConversion!BU19,IF(LEFT(ListAndConversion!BW19,3)="Sou",INDEX(ListAndConversion!$AT$4:$AV$387,MATCH(ListAndConversion!BV19,ListAndConversion!$AV$4:$AV$387,0),2),"-"))</f>
        <v>-</v>
      </c>
      <c r="CH19"/>
      <c r="CI19" s="487" t="str">
        <f t="shared" ca="1" si="19"/>
        <v>-</v>
      </c>
      <c r="CJ19" s="378" t="str">
        <f t="shared" ca="1" si="24"/>
        <v>-</v>
      </c>
      <c r="CK19" s="378" t="str">
        <f t="shared" ca="1" si="24"/>
        <v>-</v>
      </c>
      <c r="CL19" s="378" t="str">
        <f t="shared" ca="1" si="24"/>
        <v>-</v>
      </c>
      <c r="CM19" s="378" t="str">
        <f t="shared" ca="1" si="24"/>
        <v>-</v>
      </c>
      <c r="CN19" s="378" t="str">
        <f t="shared" ca="1" si="24"/>
        <v>-</v>
      </c>
      <c r="CO19" s="378" t="str">
        <f t="shared" ca="1" si="24"/>
        <v>-</v>
      </c>
      <c r="CP19" s="378" t="str">
        <f t="shared" ca="1" si="24"/>
        <v>-</v>
      </c>
      <c r="CQ19" s="378" t="str">
        <f t="shared" ca="1" si="24"/>
        <v>-</v>
      </c>
      <c r="CR19" s="510" t="str">
        <f ca="1">IFERROR(IF(LEFT(BW19,3)="Poo",INDEX($BE$4:$BJ$99,MATCH(CI19,$BG$4:$BG$99,0),6)*((15/50))*Calculation!$AK$6,INDEX(Calculation_Tab,MATCH(BV19,Identifier,0),10)/(IF(LEN(INDEX(Calculation_Tab,MATCH(BV19,Identifier,0),9))&gt;8,LEN(INDEX(Calculation_Tab,MATCH(BV19,Identifier,0),9))-8,1))*((15/50)*Calculation!$AK$6)),"-")</f>
        <v>-</v>
      </c>
      <c r="CS19" s="498" t="str">
        <f ca="1">IF(CI19="-","-",IF(COUNTIF($CI$3:CI19,CI19)&gt;1,0,IFERROR((35/50)*Calculation!$AK$6,"-")))</f>
        <v>-</v>
      </c>
    </row>
    <row r="20" spans="4:97" x14ac:dyDescent="0.5">
      <c r="D20" s="487" t="e">
        <f t="shared" si="0"/>
        <v>#DIV/0!</v>
      </c>
      <c r="E20" s="496" t="e">
        <f t="array" ref="E20">IF(IF((ROW(E20)-3)&lt;(ListAndConversion!$A$15),INDEX(Flow_Cell_Lane,MIN(IF(COUNTIF($E$2:E19,Flow_Cell_Lane)=0,ROW(Flow_Cell_Lane)-9))),"-")="","-",IF((ROW(E20)-3)&lt;(ListAndConversion!$A$15),INDEX(Flow_Cell_Lane,MIN(IF(COUNTIF($E$2:E19,Flow_Cell_Lane)=0,ROW(Flow_Cell_Lane)-9))),"-"))</f>
        <v>#DIV/0!</v>
      </c>
      <c r="F20" s="378" t="e">
        <f t="shared" si="1"/>
        <v>#DIV/0!</v>
      </c>
      <c r="G20" s="378" t="e">
        <f t="shared" si="23"/>
        <v>#DIV/0!</v>
      </c>
      <c r="H20" s="378" t="e">
        <f t="shared" si="23"/>
        <v>#DIV/0!</v>
      </c>
      <c r="I20" s="378" t="e">
        <f t="shared" si="23"/>
        <v>#DIV/0!</v>
      </c>
      <c r="J20" s="378" t="e">
        <f t="shared" si="23"/>
        <v>#DIV/0!</v>
      </c>
      <c r="K20" s="378" t="e">
        <f t="shared" si="23"/>
        <v>#DIV/0!</v>
      </c>
      <c r="L20" s="378" t="e">
        <f t="shared" si="23"/>
        <v>#DIV/0!</v>
      </c>
      <c r="M20" s="378" t="e">
        <f t="shared" si="23"/>
        <v>#DIV/0!</v>
      </c>
      <c r="N20" s="497" t="e">
        <f t="shared" si="3"/>
        <v>#DIV/0!</v>
      </c>
      <c r="O20" s="497" t="str">
        <f t="array" ref="O20">IFERROR(INDEX(Calculation!I:AN,MATCH(ListAndConversion!E20,Calculation!I:I,0),31),"-")</f>
        <v>-</v>
      </c>
      <c r="P20" s="498">
        <f>IF(COUNTIFS(Calculation!$I$10:$I$393,E20,Direct_Denaturation,"-")&lt;&gt;1,COUNTIFS(Calculation!$I$10:$I$393,E20,Direct_Denaturation,"-"),0)</f>
        <v>0</v>
      </c>
      <c r="Q20" s="378"/>
      <c r="R20" s="487" t="e">
        <f t="array" ref="R20">IF(IF((ROW(R20)-3)&lt;(Calculation!$H$6),INDEX(Flow_Cell,MIN(IF(COUNTIF($R$2:R19,Flow_Cell)=0,ROW(Flow_Cell)-9))),"-")="","-",IF((ROW(R20)-3)&lt;(Calculation!$H$6),INDEX(Flow_Cell,MIN(IF(COUNTIF($R$2:R19,Flow_Cell)=0,ROW(Flow_Cell)-9))),"-"))</f>
        <v>#DIV/0!</v>
      </c>
      <c r="S20" s="378" t="e">
        <f t="shared" si="25"/>
        <v>#DIV/0!</v>
      </c>
      <c r="T20" s="378">
        <v>2</v>
      </c>
      <c r="U20" s="498">
        <v>18</v>
      </c>
      <c r="V20" s="487">
        <v>17</v>
      </c>
      <c r="W20" s="497" t="s">
        <v>287</v>
      </c>
      <c r="X20" s="497" t="s">
        <v>20</v>
      </c>
      <c r="Y20" s="378">
        <v>17</v>
      </c>
      <c r="Z20" s="378" t="str">
        <f t="shared" ca="1" si="5"/>
        <v>-</v>
      </c>
      <c r="AA20" s="508" t="str">
        <f t="array" aca="1" ref="AA20" ca="1">IFERROR(INDEX(Calculation_Tab,SMALL(ROW(Sample_Intermediate_Dil)*(Sample_Intermediate_Dil&lt;&gt;"-"),COUNTIF(Sample_Intermediate_Dil,"-")+ROW()-3)-9,5),"-")</f>
        <v>-</v>
      </c>
      <c r="AB20" s="378" t="str">
        <f t="array" aca="1" ref="AB20" ca="1">IFERROR(INDEX($A$3:$B$12,MATCH(INDEX(Calculation_Tab,SMALL(ROW(Sample_Intermediate_Dil)*(Sample_Intermediate_Dil&lt;&gt;"-"),COUNTIF(Sample_Intermediate_Dil,"-")+ROW()-3)-9,5),$A$3:$A$12,0),2),"-")</f>
        <v>-</v>
      </c>
      <c r="AC20" s="509" t="str">
        <f t="array" aca="1" ref="AC20" ca="1">IFERROR(INDEX(Coordinate,MATCH(INDEX(Calculation_Tab,SMALL(ROW(Sample_Intermediate_Dil)*(Sample_Intermediate_Dil&lt;&gt;"-"),COUNTIF(Sample_Intermediate_Dil,"-")+ROW()-3)-9,6),$X$4:$X$99,0),2),"-")</f>
        <v>-</v>
      </c>
      <c r="AD20" s="510" t="str">
        <f t="array" aca="1" ref="AD20" ca="1">IFERROR(INDEX(Calculation_Tab,SMALL(ROW(Sample_Intermediate_Dil)*(Sample_Intermediate_Dil&lt;&gt;"-"),COUNTIF(Sample_Intermediate_Dil,"-")+ROW()-3)-9,24),"-")</f>
        <v>-</v>
      </c>
      <c r="AE20" s="510" t="str">
        <f t="array" aca="1" ref="AE20" ca="1">IFERROR(INDEX(Calculation_Tab,SMALL(ROW(Sample_Intermediate_Dil)*(Sample_Intermediate_Dil&lt;&gt;"-"),COUNTIF(Sample_Intermediate_Dil,"-")+ROW()-3)-9,25),"-")</f>
        <v>-</v>
      </c>
      <c r="AF20" s="510" t="str">
        <f t="array" aca="1" ref="AF20" ca="1">IFERROR(INDEX(Calculation_Tab,SMALL(ROW(Sample_Intermediate_Dil)*(Sample_Intermediate_Dil&lt;&gt;"-"),COUNTIF(Sample_Intermediate_Dil,"-")+ROW()-3)-9,26),"-")</f>
        <v>-</v>
      </c>
      <c r="AG20" s="511" t="str">
        <f t="array" aca="1" ref="AG20" ca="1">IFERROR(INDEX(Calculation_Tab,SMALL(ROW(Sample_Intermediate_Dil)*(Sample_Intermediate_Dil&lt;&gt;"-"),COUNTIF(Sample_Intermediate_Dil,"-")+ROW()-3)-9,27),"-")</f>
        <v>-</v>
      </c>
      <c r="AI20" s="487">
        <v>17</v>
      </c>
      <c r="AJ20" s="497" t="s">
        <v>160</v>
      </c>
      <c r="AK20" s="378">
        <v>17</v>
      </c>
      <c r="AL20" s="378" t="str">
        <f t="shared" ca="1" si="6"/>
        <v>-</v>
      </c>
      <c r="AM20" s="378" t="str">
        <f t="array" aca="1" ref="AM20" ca="1">IFERROR(IF(AI20&lt;=$AB$2,"-",INDEX(Calculation_Tab,SMALL(ROW(Main_Dil)*(Main_Dil&lt;&gt;"-"),COUNTIF(Main_Dil,"-")+ROW()-3-$AB$2)-9,5)),"-")</f>
        <v>-</v>
      </c>
      <c r="AN20" s="378" t="str">
        <f t="array" aca="1" ref="AN20" ca="1">IFERROR(IF(AI20&lt;=$AB$2,"-",INDEX($A$3:$B$12,MATCH(INDEX(Calculation_Tab,SMALL(ROW(Main_Dil)*(Main_Dil&lt;&gt;"-"),COUNTIF(Main_Dil,"-")+ROW()-3-$AB$2)-9,5),$A$3:$A$12,0),2)),"-")</f>
        <v>-</v>
      </c>
      <c r="AO20" s="378" t="str">
        <f t="array" aca="1" ref="AO20" ca="1">IFERROR(IF(AI20&lt;=$AB$2,"-",INDEX(Coordinate,MATCH(INDEX(Calculation_Tab,SMALL(ROW(Main_Dil)*(Main_Dil&lt;&gt;"-"),COUNTIF(Main_Dil,"-")+ROW()-3-$AB$2)-9,6),$X$4:$X$99,0),2)),"-")</f>
        <v>-</v>
      </c>
      <c r="AP20" s="510" t="str">
        <f t="array" aca="1" ref="AP20" ca="1">IFERROR(IF(AI20&lt;=$AB$2,"-",INDEX(Calculation_Tab,SMALL(ROW(Main_Dil)*(Main_Dil&lt;&gt;"-"),COUNTIF(Main_Dil,"-")+ROW()-3-$AB$2)-9,21)),"-")</f>
        <v>-</v>
      </c>
      <c r="AQ20" s="511" t="str">
        <f t="array" aca="1" ref="AQ20" ca="1">IFERROR(IF(AI20&lt;=$AB$2,"-",INDEX(Calculation_Tab,SMALL(ROW(Main_Dil)*(Main_Dil&lt;&gt;"-"),COUNTIF(Main_Dil,"-")+ROW()-3-$AB$2)-9,22)),"-")</f>
        <v>-</v>
      </c>
      <c r="AR20" s="487" t="str">
        <f t="shared" ca="1" si="7"/>
        <v>-</v>
      </c>
      <c r="AS20" s="378">
        <v>17</v>
      </c>
      <c r="AT20" s="497" t="s">
        <v>160</v>
      </c>
      <c r="AU20" s="498">
        <v>17</v>
      </c>
      <c r="AV20" s="378" t="str">
        <f t="shared" ca="1" si="8"/>
        <v>-</v>
      </c>
      <c r="AW20" s="378" t="str">
        <f t="array" aca="1" ref="AW20" ca="1">IFERROR(IF(AS20&lt;=$AB$2+$AN$2,"-",INDEX(Calculation_Tab,SMALL(ROW(Direct_Denaturation)*(Direct_Denaturation&lt;&gt;"-"),COUNTIF(Direct_Denaturation,"-")+ROW()-3-$AB$2-$AN$2)-9,5)),"-")</f>
        <v>-</v>
      </c>
      <c r="AX20" s="378" t="str">
        <f t="array" aca="1" ref="AX20" ca="1">IFERROR(IF(AS20&lt;=$AB$2+$AN$2,"-",INDEX($A$3:$B$12,MATCH(INDEX(Calculation_Tab,SMALL(ROW(Direct_Denaturation)*(Direct_Denaturation&lt;&gt;"-"),COUNTIF(Direct_Denaturation,"-")+ROW()-3-$AB$2-$AN$2)-9,5),$A$3:$A$12,0),2)),"-")</f>
        <v>-</v>
      </c>
      <c r="AY20" s="378" t="str">
        <f t="array" aca="1" ref="AY20" ca="1">IFERROR(IF(AS20&lt;=$AB$2+$AN$2,"-",INDEX(Coordinate,MATCH(INDEX(Calculation_Tab,SMALL(ROW(Direct_Denaturation)*(Direct_Denaturation&lt;&gt;"-"),COUNTIF(Direct_Denaturation,"-")+ROW()-3-$AB$2-$AN$2)-9,6),$X$4:$X$99,0),2)),"-")</f>
        <v>-</v>
      </c>
      <c r="AZ20" s="510" t="str">
        <f t="array" aca="1" ref="AZ20" ca="1">IFERROR(IF(AS20&lt;=$AB$2+$AN$2,"-",INDEX(Calculation_Tab,SMALL(ROW(Direct_Denaturation)*(Direct_Denaturation&lt;&gt;"-"),COUNTIF(Direct_Denaturation,"-")+ROW()-3-$AB$2-$AN$2)-9,32)),"-")</f>
        <v>-</v>
      </c>
      <c r="BA20" s="510" t="str">
        <f t="array" aca="1" ref="BA20" ca="1">IFERROR(IF(AS20&lt;=$AB$2+$AN$2,"-",INDEX(Calculation_Tab,SMALL(ROW(Direct_Denaturation)*(Direct_Denaturation&lt;&gt;"-"),COUNTIF(Direct_Denaturation,"-")+ROW()-3-$AB$2-$AN$2)-9,34)),"-")</f>
        <v>-</v>
      </c>
      <c r="BB20" s="510" t="str">
        <f t="array" aca="1" ref="BB20" ca="1">IFERROR(IF(AS20&lt;=$AB$2+$AN$2,"-",INDEX(Calculation_Tab,SMALL(ROW(Direct_Denaturation)*(Direct_Denaturation&lt;&gt;"-"),COUNTIF(Direct_Denaturation,"-")+ROW()-3-$AB$2-$AN$2)-9,33)),"-")</f>
        <v>-</v>
      </c>
      <c r="BC20" s="510" t="str">
        <f t="array" aca="1" ref="BC20" ca="1">IFERROR(IF(AS20&lt;=$AB$2+$AN$2,"-",INDEX(Calculation_Tab,SMALL(ROW(Direct_Denaturation)*(Direct_Denaturation&lt;&gt;"-"),COUNTIF(Direct_Denaturation,"-")+ROW()-3-$AB$2-$AN$2)-9,35)),"-")</f>
        <v>-</v>
      </c>
      <c r="BD20" s="511" t="str">
        <f t="shared" ca="1" si="9"/>
        <v>-</v>
      </c>
      <c r="BE20" s="494" t="s">
        <v>328</v>
      </c>
      <c r="BF20" s="378">
        <v>17</v>
      </c>
      <c r="BG20" s="515" t="str">
        <v>-</v>
      </c>
      <c r="BH20" s="516" t="str">
        <f>IFERROR(IF((Calculation!$AR$6/INDEX(ListAndConversion!D:P,MATCH(BG20,E:E,0),13))&lt;Calculation!$O$6,INDEX(ListAndConversion!D:P,MATCH(BG20,E:E,0),13)*Calculation!$O$6,Calculation!$AR$6),"-")</f>
        <v>-</v>
      </c>
      <c r="BI20" s="517" t="str">
        <f t="shared" si="10"/>
        <v>-</v>
      </c>
      <c r="BJ20" s="518" t="str">
        <f t="shared" si="11"/>
        <v>-</v>
      </c>
      <c r="BK20" s="378" t="s">
        <v>158</v>
      </c>
      <c r="BL20" s="378">
        <v>17</v>
      </c>
      <c r="BM20" s="487" t="str">
        <f t="array" aca="1" ref="BM20" ca="1">IFERROR(INDEX(Calculation_Tab,SMALL(ROW(ToPool)*(ToPool&lt;&gt;"-"),COUNTIF(ToPool,"-")+ROW()-3)-9,3),"-")</f>
        <v>-</v>
      </c>
      <c r="BN20" s="378" t="str">
        <f t="shared" ca="1" si="12"/>
        <v>-</v>
      </c>
      <c r="BO20" s="378" t="str">
        <f t="shared" ca="1" si="13"/>
        <v>-</v>
      </c>
      <c r="BP20" s="523" t="str">
        <f t="shared" ca="1" si="14"/>
        <v>-</v>
      </c>
      <c r="BQ20" s="378" t="str">
        <f t="array" aca="1" ref="BQ20" ca="1">IFERROR(INDEX(BE:BG,MATCH(INDEX(Calculation_Tab,SMALL(ROW(ToPool)*(ToPool&lt;&gt;"-"),COUNTIF(ToPool,"-")+ROW()-3)-9,9),BG:BG,0),2),"-")</f>
        <v>-</v>
      </c>
      <c r="BR20" s="510" t="str">
        <f t="shared" ca="1" si="15"/>
        <v>-</v>
      </c>
      <c r="BS20" s="511" t="str">
        <f t="shared" ca="1" si="16"/>
        <v>-</v>
      </c>
      <c r="BT20" s="378" t="s">
        <v>164</v>
      </c>
      <c r="BU20" s="487" t="str">
        <f t="shared" ca="1" si="21"/>
        <v>-</v>
      </c>
      <c r="BV20" s="487" t="str">
        <f t="array" aca="1" ref="BV2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0" s="378" t="str">
        <f t="shared" ca="1" si="17"/>
        <v>-</v>
      </c>
      <c r="BX20" s="378" t="str">
        <f t="shared" ca="1" si="18"/>
        <v>-</v>
      </c>
      <c r="BY20" s="510" t="str">
        <f ca="1">IFERROR(ROUND(INDEX(Cluster,MATCH(IF(LEFT(BV20,4)="Pool",INDEX(Cluster,MATCH(INDEX(Calculation_Tab,MATCH(INDEX($BE$4:$BJ$99,MATCH(BV20,$BE$4:$BE$99,0),3),Flow_Cell_Lane,0),3),Cluster!$F$29:$F$412,0),6),BV20),Identifier_Cluster,0),19)*IF(LEFT(BV20,4)="pool",IF(LEN(INDEX($BE$4:$BJ$99,MATCH(BV20,$BE$4:$BE$99,0),3))=10,2,IF(LEN(INDEX($BE$4:$BJ$99,MATCH(BV20,$BE$4:$BE$99,0),3))&gt;10,LEN(INDEX($BE$4:$BJ$99,MATCH(BV20,$BE$4:$BE$99,0),3))-8,1)),1)*IF(LEFT(BV20,4)="pool",IF(INDEX($BE$4:$BJ$99,MATCH(BV20,$BE$4:$BE$99,0),6)&lt;1,1,INDEX($BE$4:$BJ$99,MATCH(BV20,$BE$4:$BE$99,0),6)),INDEX(Calculation_Tab,MATCH(BV20,Identifier,0),10)),1)*(1+Calculation!$Q$6),"-")</f>
        <v>-</v>
      </c>
      <c r="BZ20" s="378" t="str">
        <f ca="1">IFERROR((0.5/50)*CE20/Calculation!$AG$6*(IF(LEFT(BV20,4)="Pool",IF(LEN(INDEX($BE$4:$BJ$99,MATCH(BV20,$BE$4:$BE$99,0),3))=10,2,IF(LEN(INDEX($BE$4:$BJ$99,MATCH(BV20,$BE$4:$BE$99,0),3))&gt;10,LEN(INDEX($BE$4:$BJ$99,MATCH(BV20,$BE$4:$BE$99,0),3))-8,1)),IF(INDEX(Calculation_Tab,MATCH(BV20,Identifier,0),10)&gt;1,INDEX(Calculation_Tab,MATCH(BV20,Identifier,0),10),1)))*(1+Calculation!$Q$6),"-")</f>
        <v>-</v>
      </c>
      <c r="CA20" s="510" t="str">
        <f ca="1">IFERROR(IF((BZ20*Calculation!$AG$6/0.05)-SUM(BY20:BZ20,CC20)&gt;0,(BZ20*Calculation!$AG$6/0.05)-SUM(BY20:BZ20,CC20),0),"-")</f>
        <v>-</v>
      </c>
      <c r="CB20" s="510" t="str">
        <f ca="1">IFERROR(5/50*CE20*(IF(LEFT(BV20,4)="Pool",IF(LEN(INDEX($BE$4:$BJ$99,MATCH(BV20,$BE$4:$BE$99,0),3))=10,2,IF(LEN(INDEX($BE$4:$BJ$99,MATCH(BV20,$BE$4:$BE$99,0),3))&gt;10,LEN(INDEX($BE$4:$BJ$99,MATCH(BV20,$BE$4:$BE$99,0),3))-8,1)),IF(INDEX(Calculation_Tab,MATCH(BV20,Identifier,0),10)&gt;1,INDEX(Calculation_Tab,MATCH(BV20,Identifier,0),10),1)))*(1+Calculation!$Q$6),"-")</f>
        <v>-</v>
      </c>
      <c r="CC20" s="508" t="str">
        <f ca="1">IFERROR(ROUND(INDEX(Cluster,MATCH(IF(LEFT(BV20,4)="Pool",INDEX(Cluster,MATCH(INDEX(Calculation_Tab,MATCH(INDEX($BE$4:$BJ$99,MATCH(BV20,$BE$4:$BE$99,0),3),Flow_Cell_Lane,0),3),Cluster!$F$29:$F$412,0),6),BV20),Identifier_Cluster,0),20)*IF(LEFT(BV20,4)="pool",IF(LEN(INDEX($BE$4:$BJ$99,MATCH(BV20,$BE$4:$BE$99,0),3))=10,2,IF(LEN(INDEX($BE$4:$BJ$99,MATCH(BV20,$BE$4:$BE$99,0),3))&gt;10,LEN(INDEX($BE$4:$BJ$99,MATCH(BV20,$BE$4:$BE$99,0),3))-8,1)),1)*IF(LEFT(BV20,4)="pool",IF(INDEX($BE$4:$BJ$99,MATCH(BV20,$BE$4:$BE$99,0),6)&lt;1,1,INDEX($BE$4:$BJ$99,MATCH(BV20,$BE$4:$BE$99,0),6)),INDEX(Calculation_Tab,MATCH(BV20,Identifier,0),10)),1)*(1+Calculation!$Q$6),"-")</f>
        <v>-</v>
      </c>
      <c r="CD20" s="509" t="str">
        <f ca="1">IFERROR(INDEX(Cluster!AC:AD,MATCH(IF(LEFT(BV20,4)="Pool",INDEX(Cluster!$D$29:$AA$412,MATCH(INDEX(Calculation_Tab,MATCH(INDEX($BE$4:$BJ$99,MATCH(BV20,$BE$4:$BE$99,0),3),Flow_Cell_Lane,0),3),Cluster!$F$29:$F$412,0),24),INDEX(Cluster!$D$29:$AA$412,MATCH(BV20,Cluster!$F$29:$F$412,0),24)),Cluster!AC:AC,0),2),"-")</f>
        <v>-</v>
      </c>
      <c r="CE20" s="378" t="str">
        <f ca="1">IFERROR(IF(BV20&lt;&gt;"-",Calculation!$AK$6,"-"),"-")</f>
        <v>-</v>
      </c>
      <c r="CF20" s="378" t="str">
        <f ca="1">IF(OR(LEFT(ListAndConversion!BW20,3)="Dil",LEFT(ListAndConversion!BW20,3)="Poo"),ListAndConversion!$BT$4,IF(LEFT(ListAndConversion!BW20,3)="Sou",INDEX(ListAndConversion!$AT$3:$AV$387,MATCH(ListAndConversion!BV20,ListAndConversion!$AV$3:$AV$387,0),1),"-"))</f>
        <v>-</v>
      </c>
      <c r="CG20" s="498" t="str">
        <f ca="1">IF(OR(LEFT(ListAndConversion!BW20,3)="Dil",LEFT(ListAndConversion!BW20,3)="Poo"),ListAndConversion!BU20,IF(LEFT(ListAndConversion!BW20,3)="Sou",INDEX(ListAndConversion!$AT$4:$AV$387,MATCH(ListAndConversion!BV20,ListAndConversion!$AV$4:$AV$387,0),2),"-"))</f>
        <v>-</v>
      </c>
      <c r="CH20"/>
      <c r="CI20" s="487" t="str">
        <f t="shared" ca="1" si="19"/>
        <v>-</v>
      </c>
      <c r="CJ20" s="378" t="str">
        <f t="shared" ca="1" si="24"/>
        <v>-</v>
      </c>
      <c r="CK20" s="378" t="str">
        <f t="shared" ca="1" si="24"/>
        <v>-</v>
      </c>
      <c r="CL20" s="378" t="str">
        <f t="shared" ca="1" si="24"/>
        <v>-</v>
      </c>
      <c r="CM20" s="378" t="str">
        <f t="shared" ca="1" si="24"/>
        <v>-</v>
      </c>
      <c r="CN20" s="378" t="str">
        <f t="shared" ca="1" si="24"/>
        <v>-</v>
      </c>
      <c r="CO20" s="378" t="str">
        <f t="shared" ca="1" si="24"/>
        <v>-</v>
      </c>
      <c r="CP20" s="378" t="str">
        <f t="shared" ca="1" si="24"/>
        <v>-</v>
      </c>
      <c r="CQ20" s="378" t="str">
        <f t="shared" ca="1" si="24"/>
        <v>-</v>
      </c>
      <c r="CR20" s="510" t="str">
        <f ca="1">IFERROR(IF(LEFT(BW20,3)="Poo",INDEX($BE$4:$BJ$99,MATCH(CI20,$BG$4:$BG$99,0),6)*((15/50))*Calculation!$AK$6,INDEX(Calculation_Tab,MATCH(BV20,Identifier,0),10)/(IF(LEN(INDEX(Calculation_Tab,MATCH(BV20,Identifier,0),9))&gt;8,LEN(INDEX(Calculation_Tab,MATCH(BV20,Identifier,0),9))-8,1))*((15/50)*Calculation!$AK$6)),"-")</f>
        <v>-</v>
      </c>
      <c r="CS20" s="498" t="str">
        <f ca="1">IF(CI20="-","-",IF(COUNTIF($CI$3:CI20,CI20)&gt;1,0,IFERROR((35/50)*Calculation!$AK$6,"-")))</f>
        <v>-</v>
      </c>
    </row>
    <row r="21" spans="4:97" x14ac:dyDescent="0.5">
      <c r="D21" s="487" t="e">
        <f t="shared" si="0"/>
        <v>#DIV/0!</v>
      </c>
      <c r="E21" s="496" t="e">
        <f t="array" ref="E21">IF(IF((ROW(E21)-3)&lt;(ListAndConversion!$A$15),INDEX(Flow_Cell_Lane,MIN(IF(COUNTIF($E$2:E20,Flow_Cell_Lane)=0,ROW(Flow_Cell_Lane)-9))),"-")="","-",IF((ROW(E21)-3)&lt;(ListAndConversion!$A$15),INDEX(Flow_Cell_Lane,MIN(IF(COUNTIF($E$2:E20,Flow_Cell_Lane)=0,ROW(Flow_Cell_Lane)-9))),"-"))</f>
        <v>#DIV/0!</v>
      </c>
      <c r="F21" s="378" t="e">
        <f t="shared" si="1"/>
        <v>#DIV/0!</v>
      </c>
      <c r="G21" s="378" t="e">
        <f t="shared" si="23"/>
        <v>#DIV/0!</v>
      </c>
      <c r="H21" s="378" t="e">
        <f t="shared" si="23"/>
        <v>#DIV/0!</v>
      </c>
      <c r="I21" s="378" t="e">
        <f t="shared" si="23"/>
        <v>#DIV/0!</v>
      </c>
      <c r="J21" s="378" t="e">
        <f t="shared" si="23"/>
        <v>#DIV/0!</v>
      </c>
      <c r="K21" s="378" t="e">
        <f t="shared" si="23"/>
        <v>#DIV/0!</v>
      </c>
      <c r="L21" s="378" t="e">
        <f t="shared" si="23"/>
        <v>#DIV/0!</v>
      </c>
      <c r="M21" s="378" t="e">
        <f t="shared" si="23"/>
        <v>#DIV/0!</v>
      </c>
      <c r="N21" s="497" t="e">
        <f t="shared" si="3"/>
        <v>#DIV/0!</v>
      </c>
      <c r="O21" s="497" t="str">
        <f t="array" ref="O21">IFERROR(INDEX(Calculation!I:AN,MATCH(ListAndConversion!E21,Calculation!I:I,0),31),"-")</f>
        <v>-</v>
      </c>
      <c r="P21" s="498">
        <f>IF(COUNTIFS(Calculation!$I$10:$I$393,E21,Direct_Denaturation,"-")&lt;&gt;1,COUNTIFS(Calculation!$I$10:$I$393,E21,Direct_Denaturation,"-"),0)</f>
        <v>0</v>
      </c>
      <c r="Q21" s="378"/>
      <c r="R21" s="487" t="e">
        <f t="array" ref="R21">IF(IF((ROW(R21)-3)&lt;(Calculation!$H$6),INDEX(Flow_Cell,MIN(IF(COUNTIF($R$2:R20,Flow_Cell)=0,ROW(Flow_Cell)-9))),"-")="","-",IF((ROW(R21)-3)&lt;(Calculation!$H$6),INDEX(Flow_Cell,MIN(IF(COUNTIF($R$2:R20,Flow_Cell)=0,ROW(Flow_Cell)-9))),"-"))</f>
        <v>#DIV/0!</v>
      </c>
      <c r="S21" s="378" t="e">
        <f t="shared" si="25"/>
        <v>#DIV/0!</v>
      </c>
      <c r="T21" s="378">
        <v>3</v>
      </c>
      <c r="U21" s="498">
        <v>19</v>
      </c>
      <c r="V21" s="487">
        <v>18</v>
      </c>
      <c r="W21" s="497" t="s">
        <v>287</v>
      </c>
      <c r="X21" s="497" t="s">
        <v>329</v>
      </c>
      <c r="Y21" s="378">
        <v>18</v>
      </c>
      <c r="Z21" s="378" t="str">
        <f t="shared" ca="1" si="5"/>
        <v>-</v>
      </c>
      <c r="AA21" s="508" t="str">
        <f t="array" aca="1" ref="AA21" ca="1">IFERROR(INDEX(Calculation_Tab,SMALL(ROW(Sample_Intermediate_Dil)*(Sample_Intermediate_Dil&lt;&gt;"-"),COUNTIF(Sample_Intermediate_Dil,"-")+ROW()-3)-9,5),"-")</f>
        <v>-</v>
      </c>
      <c r="AB21" s="378" t="str">
        <f t="array" aca="1" ref="AB21" ca="1">IFERROR(INDEX($A$3:$B$12,MATCH(INDEX(Calculation_Tab,SMALL(ROW(Sample_Intermediate_Dil)*(Sample_Intermediate_Dil&lt;&gt;"-"),COUNTIF(Sample_Intermediate_Dil,"-")+ROW()-3)-9,5),$A$3:$A$12,0),2),"-")</f>
        <v>-</v>
      </c>
      <c r="AC21" s="509" t="str">
        <f t="array" aca="1" ref="AC21" ca="1">IFERROR(INDEX(Coordinate,MATCH(INDEX(Calculation_Tab,SMALL(ROW(Sample_Intermediate_Dil)*(Sample_Intermediate_Dil&lt;&gt;"-"),COUNTIF(Sample_Intermediate_Dil,"-")+ROW()-3)-9,6),$X$4:$X$99,0),2),"-")</f>
        <v>-</v>
      </c>
      <c r="AD21" s="510" t="str">
        <f t="array" aca="1" ref="AD21" ca="1">IFERROR(INDEX(Calculation_Tab,SMALL(ROW(Sample_Intermediate_Dil)*(Sample_Intermediate_Dil&lt;&gt;"-"),COUNTIF(Sample_Intermediate_Dil,"-")+ROW()-3)-9,24),"-")</f>
        <v>-</v>
      </c>
      <c r="AE21" s="510" t="str">
        <f t="array" aca="1" ref="AE21" ca="1">IFERROR(INDEX(Calculation_Tab,SMALL(ROW(Sample_Intermediate_Dil)*(Sample_Intermediate_Dil&lt;&gt;"-"),COUNTIF(Sample_Intermediate_Dil,"-")+ROW()-3)-9,25),"-")</f>
        <v>-</v>
      </c>
      <c r="AF21" s="510" t="str">
        <f t="array" aca="1" ref="AF21" ca="1">IFERROR(INDEX(Calculation_Tab,SMALL(ROW(Sample_Intermediate_Dil)*(Sample_Intermediate_Dil&lt;&gt;"-"),COUNTIF(Sample_Intermediate_Dil,"-")+ROW()-3)-9,26),"-")</f>
        <v>-</v>
      </c>
      <c r="AG21" s="511" t="str">
        <f t="array" aca="1" ref="AG21" ca="1">IFERROR(INDEX(Calculation_Tab,SMALL(ROW(Sample_Intermediate_Dil)*(Sample_Intermediate_Dil&lt;&gt;"-"),COUNTIF(Sample_Intermediate_Dil,"-")+ROW()-3)-9,27),"-")</f>
        <v>-</v>
      </c>
      <c r="AI21" s="487">
        <v>18</v>
      </c>
      <c r="AJ21" s="497" t="s">
        <v>160</v>
      </c>
      <c r="AK21" s="378">
        <v>18</v>
      </c>
      <c r="AL21" s="378" t="str">
        <f t="shared" ca="1" si="6"/>
        <v>-</v>
      </c>
      <c r="AM21" s="378" t="str">
        <f t="array" aca="1" ref="AM21" ca="1">IFERROR(IF(AI21&lt;=$AB$2,"-",INDEX(Calculation_Tab,SMALL(ROW(Main_Dil)*(Main_Dil&lt;&gt;"-"),COUNTIF(Main_Dil,"-")+ROW()-3-$AB$2)-9,5)),"-")</f>
        <v>-</v>
      </c>
      <c r="AN21" s="378" t="str">
        <f t="array" aca="1" ref="AN21" ca="1">IFERROR(IF(AI21&lt;=$AB$2,"-",INDEX($A$3:$B$12,MATCH(INDEX(Calculation_Tab,SMALL(ROW(Main_Dil)*(Main_Dil&lt;&gt;"-"),COUNTIF(Main_Dil,"-")+ROW()-3-$AB$2)-9,5),$A$3:$A$12,0),2)),"-")</f>
        <v>-</v>
      </c>
      <c r="AO21" s="378" t="str">
        <f t="array" aca="1" ref="AO21" ca="1">IFERROR(IF(AI21&lt;=$AB$2,"-",INDEX(Coordinate,MATCH(INDEX(Calculation_Tab,SMALL(ROW(Main_Dil)*(Main_Dil&lt;&gt;"-"),COUNTIF(Main_Dil,"-")+ROW()-3-$AB$2)-9,6),$X$4:$X$99,0),2)),"-")</f>
        <v>-</v>
      </c>
      <c r="AP21" s="510" t="str">
        <f t="array" aca="1" ref="AP21" ca="1">IFERROR(IF(AI21&lt;=$AB$2,"-",INDEX(Calculation_Tab,SMALL(ROW(Main_Dil)*(Main_Dil&lt;&gt;"-"),COUNTIF(Main_Dil,"-")+ROW()-3-$AB$2)-9,21)),"-")</f>
        <v>-</v>
      </c>
      <c r="AQ21" s="511" t="str">
        <f t="array" aca="1" ref="AQ21" ca="1">IFERROR(IF(AI21&lt;=$AB$2,"-",INDEX(Calculation_Tab,SMALL(ROW(Main_Dil)*(Main_Dil&lt;&gt;"-"),COUNTIF(Main_Dil,"-")+ROW()-3-$AB$2)-9,22)),"-")</f>
        <v>-</v>
      </c>
      <c r="AR21" s="487" t="str">
        <f t="shared" ca="1" si="7"/>
        <v>-</v>
      </c>
      <c r="AS21" s="378">
        <v>18</v>
      </c>
      <c r="AT21" s="497" t="s">
        <v>160</v>
      </c>
      <c r="AU21" s="498">
        <v>18</v>
      </c>
      <c r="AV21" s="378" t="str">
        <f t="shared" ca="1" si="8"/>
        <v>-</v>
      </c>
      <c r="AW21" s="378" t="str">
        <f t="array" aca="1" ref="AW21" ca="1">IFERROR(IF(AS21&lt;=$AB$2+$AN$2,"-",INDEX(Calculation_Tab,SMALL(ROW(Direct_Denaturation)*(Direct_Denaturation&lt;&gt;"-"),COUNTIF(Direct_Denaturation,"-")+ROW()-3-$AB$2-$AN$2)-9,5)),"-")</f>
        <v>-</v>
      </c>
      <c r="AX21" s="378" t="str">
        <f t="array" aca="1" ref="AX21" ca="1">IFERROR(IF(AS21&lt;=$AB$2+$AN$2,"-",INDEX($A$3:$B$12,MATCH(INDEX(Calculation_Tab,SMALL(ROW(Direct_Denaturation)*(Direct_Denaturation&lt;&gt;"-"),COUNTIF(Direct_Denaturation,"-")+ROW()-3-$AB$2-$AN$2)-9,5),$A$3:$A$12,0),2)),"-")</f>
        <v>-</v>
      </c>
      <c r="AY21" s="378" t="str">
        <f t="array" aca="1" ref="AY21" ca="1">IFERROR(IF(AS21&lt;=$AB$2+$AN$2,"-",INDEX(Coordinate,MATCH(INDEX(Calculation_Tab,SMALL(ROW(Direct_Denaturation)*(Direct_Denaturation&lt;&gt;"-"),COUNTIF(Direct_Denaturation,"-")+ROW()-3-$AB$2-$AN$2)-9,6),$X$4:$X$99,0),2)),"-")</f>
        <v>-</v>
      </c>
      <c r="AZ21" s="510" t="str">
        <f t="array" aca="1" ref="AZ21" ca="1">IFERROR(IF(AS21&lt;=$AB$2+$AN$2,"-",INDEX(Calculation_Tab,SMALL(ROW(Direct_Denaturation)*(Direct_Denaturation&lt;&gt;"-"),COUNTIF(Direct_Denaturation,"-")+ROW()-3-$AB$2-$AN$2)-9,32)),"-")</f>
        <v>-</v>
      </c>
      <c r="BA21" s="510" t="str">
        <f t="array" aca="1" ref="BA21" ca="1">IFERROR(IF(AS21&lt;=$AB$2+$AN$2,"-",INDEX(Calculation_Tab,SMALL(ROW(Direct_Denaturation)*(Direct_Denaturation&lt;&gt;"-"),COUNTIF(Direct_Denaturation,"-")+ROW()-3-$AB$2-$AN$2)-9,34)),"-")</f>
        <v>-</v>
      </c>
      <c r="BB21" s="510" t="str">
        <f t="array" aca="1" ref="BB21" ca="1">IFERROR(IF(AS21&lt;=$AB$2+$AN$2,"-",INDEX(Calculation_Tab,SMALL(ROW(Direct_Denaturation)*(Direct_Denaturation&lt;&gt;"-"),COUNTIF(Direct_Denaturation,"-")+ROW()-3-$AB$2-$AN$2)-9,33)),"-")</f>
        <v>-</v>
      </c>
      <c r="BC21" s="510" t="str">
        <f t="array" aca="1" ref="BC21" ca="1">IFERROR(IF(AS21&lt;=$AB$2+$AN$2,"-",INDEX(Calculation_Tab,SMALL(ROW(Direct_Denaturation)*(Direct_Denaturation&lt;&gt;"-"),COUNTIF(Direct_Denaturation,"-")+ROW()-3-$AB$2-$AN$2)-9,35)),"-")</f>
        <v>-</v>
      </c>
      <c r="BD21" s="511" t="str">
        <f t="shared" ca="1" si="9"/>
        <v>-</v>
      </c>
      <c r="BE21" s="494" t="s">
        <v>330</v>
      </c>
      <c r="BF21" s="378">
        <v>18</v>
      </c>
      <c r="BG21" s="515" t="str">
        <v>-</v>
      </c>
      <c r="BH21" s="516" t="str">
        <f>IFERROR(IF((Calculation!$AR$6/INDEX(ListAndConversion!D:P,MATCH(BG21,E:E,0),13))&lt;Calculation!$O$6,INDEX(ListAndConversion!D:P,MATCH(BG21,E:E,0),13)*Calculation!$O$6,Calculation!$AR$6),"-")</f>
        <v>-</v>
      </c>
      <c r="BI21" s="517" t="str">
        <f t="shared" si="10"/>
        <v>-</v>
      </c>
      <c r="BJ21" s="518" t="str">
        <f t="shared" si="11"/>
        <v>-</v>
      </c>
      <c r="BK21" s="378" t="s">
        <v>158</v>
      </c>
      <c r="BL21" s="378">
        <v>18</v>
      </c>
      <c r="BM21" s="487" t="str">
        <f t="array" aca="1" ref="BM21" ca="1">IFERROR(INDEX(Calculation_Tab,SMALL(ROW(ToPool)*(ToPool&lt;&gt;"-"),COUNTIF(ToPool,"-")+ROW()-3)-9,3),"-")</f>
        <v>-</v>
      </c>
      <c r="BN21" s="378" t="str">
        <f t="shared" ca="1" si="12"/>
        <v>-</v>
      </c>
      <c r="BO21" s="378" t="str">
        <f t="shared" ca="1" si="13"/>
        <v>-</v>
      </c>
      <c r="BP21" s="523" t="str">
        <f t="shared" ca="1" si="14"/>
        <v>-</v>
      </c>
      <c r="BQ21" s="378" t="str">
        <f t="array" aca="1" ref="BQ21" ca="1">IFERROR(INDEX(BE:BG,MATCH(INDEX(Calculation_Tab,SMALL(ROW(ToPool)*(ToPool&lt;&gt;"-"),COUNTIF(ToPool,"-")+ROW()-3)-9,9),BG:BG,0),2),"-")</f>
        <v>-</v>
      </c>
      <c r="BR21" s="510" t="str">
        <f t="shared" ca="1" si="15"/>
        <v>-</v>
      </c>
      <c r="BS21" s="511" t="str">
        <f t="shared" ca="1" si="16"/>
        <v>-</v>
      </c>
      <c r="BT21" s="378" t="s">
        <v>164</v>
      </c>
      <c r="BU21" s="487" t="str">
        <f t="shared" ca="1" si="21"/>
        <v>-</v>
      </c>
      <c r="BV21" s="487" t="str">
        <f t="array" aca="1" ref="BV2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1" s="378" t="str">
        <f t="shared" ca="1" si="17"/>
        <v>-</v>
      </c>
      <c r="BX21" s="378" t="str">
        <f t="shared" ca="1" si="18"/>
        <v>-</v>
      </c>
      <c r="BY21" s="510" t="str">
        <f ca="1">IFERROR(ROUND(INDEX(Cluster,MATCH(IF(LEFT(BV21,4)="Pool",INDEX(Cluster,MATCH(INDEX(Calculation_Tab,MATCH(INDEX($BE$4:$BJ$99,MATCH(BV21,$BE$4:$BE$99,0),3),Flow_Cell_Lane,0),3),Cluster!$F$29:$F$412,0),6),BV21),Identifier_Cluster,0),19)*IF(LEFT(BV21,4)="pool",IF(LEN(INDEX($BE$4:$BJ$99,MATCH(BV21,$BE$4:$BE$99,0),3))=10,2,IF(LEN(INDEX($BE$4:$BJ$99,MATCH(BV21,$BE$4:$BE$99,0),3))&gt;10,LEN(INDEX($BE$4:$BJ$99,MATCH(BV21,$BE$4:$BE$99,0),3))-8,1)),1)*IF(LEFT(BV21,4)="pool",IF(INDEX($BE$4:$BJ$99,MATCH(BV21,$BE$4:$BE$99,0),6)&lt;1,1,INDEX($BE$4:$BJ$99,MATCH(BV21,$BE$4:$BE$99,0),6)),INDEX(Calculation_Tab,MATCH(BV21,Identifier,0),10)),1)*(1+Calculation!$Q$6),"-")</f>
        <v>-</v>
      </c>
      <c r="BZ21" s="378" t="str">
        <f ca="1">IFERROR((0.5/50)*CE21/Calculation!$AG$6*(IF(LEFT(BV21,4)="Pool",IF(LEN(INDEX($BE$4:$BJ$99,MATCH(BV21,$BE$4:$BE$99,0),3))=10,2,IF(LEN(INDEX($BE$4:$BJ$99,MATCH(BV21,$BE$4:$BE$99,0),3))&gt;10,LEN(INDEX($BE$4:$BJ$99,MATCH(BV21,$BE$4:$BE$99,0),3))-8,1)),IF(INDEX(Calculation_Tab,MATCH(BV21,Identifier,0),10)&gt;1,INDEX(Calculation_Tab,MATCH(BV21,Identifier,0),10),1)))*(1+Calculation!$Q$6),"-")</f>
        <v>-</v>
      </c>
      <c r="CA21" s="510" t="str">
        <f ca="1">IFERROR(IF((BZ21*Calculation!$AG$6/0.05)-SUM(BY21:BZ21,CC21)&gt;0,(BZ21*Calculation!$AG$6/0.05)-SUM(BY21:BZ21,CC21),0),"-")</f>
        <v>-</v>
      </c>
      <c r="CB21" s="510" t="str">
        <f ca="1">IFERROR(5/50*CE21*(IF(LEFT(BV21,4)="Pool",IF(LEN(INDEX($BE$4:$BJ$99,MATCH(BV21,$BE$4:$BE$99,0),3))=10,2,IF(LEN(INDEX($BE$4:$BJ$99,MATCH(BV21,$BE$4:$BE$99,0),3))&gt;10,LEN(INDEX($BE$4:$BJ$99,MATCH(BV21,$BE$4:$BE$99,0),3))-8,1)),IF(INDEX(Calculation_Tab,MATCH(BV21,Identifier,0),10)&gt;1,INDEX(Calculation_Tab,MATCH(BV21,Identifier,0),10),1)))*(1+Calculation!$Q$6),"-")</f>
        <v>-</v>
      </c>
      <c r="CC21" s="508" t="str">
        <f ca="1">IFERROR(ROUND(INDEX(Cluster,MATCH(IF(LEFT(BV21,4)="Pool",INDEX(Cluster,MATCH(INDEX(Calculation_Tab,MATCH(INDEX($BE$4:$BJ$99,MATCH(BV21,$BE$4:$BE$99,0),3),Flow_Cell_Lane,0),3),Cluster!$F$29:$F$412,0),6),BV21),Identifier_Cluster,0),20)*IF(LEFT(BV21,4)="pool",IF(LEN(INDEX($BE$4:$BJ$99,MATCH(BV21,$BE$4:$BE$99,0),3))=10,2,IF(LEN(INDEX($BE$4:$BJ$99,MATCH(BV21,$BE$4:$BE$99,0),3))&gt;10,LEN(INDEX($BE$4:$BJ$99,MATCH(BV21,$BE$4:$BE$99,0),3))-8,1)),1)*IF(LEFT(BV21,4)="pool",IF(INDEX($BE$4:$BJ$99,MATCH(BV21,$BE$4:$BE$99,0),6)&lt;1,1,INDEX($BE$4:$BJ$99,MATCH(BV21,$BE$4:$BE$99,0),6)),INDEX(Calculation_Tab,MATCH(BV21,Identifier,0),10)),1)*(1+Calculation!$Q$6),"-")</f>
        <v>-</v>
      </c>
      <c r="CD21" s="509" t="str">
        <f ca="1">IFERROR(INDEX(Cluster!AC:AD,MATCH(IF(LEFT(BV21,4)="Pool",INDEX(Cluster!$D$29:$AA$412,MATCH(INDEX(Calculation_Tab,MATCH(INDEX($BE$4:$BJ$99,MATCH(BV21,$BE$4:$BE$99,0),3),Flow_Cell_Lane,0),3),Cluster!$F$29:$F$412,0),24),INDEX(Cluster!$D$29:$AA$412,MATCH(BV21,Cluster!$F$29:$F$412,0),24)),Cluster!AC:AC,0),2),"-")</f>
        <v>-</v>
      </c>
      <c r="CE21" s="378" t="str">
        <f ca="1">IFERROR(IF(BV21&lt;&gt;"-",Calculation!$AK$6,"-"),"-")</f>
        <v>-</v>
      </c>
      <c r="CF21" s="378" t="str">
        <f ca="1">IF(OR(LEFT(ListAndConversion!BW21,3)="Dil",LEFT(ListAndConversion!BW21,3)="Poo"),ListAndConversion!$BT$4,IF(LEFT(ListAndConversion!BW21,3)="Sou",INDEX(ListAndConversion!$AT$3:$AV$387,MATCH(ListAndConversion!BV21,ListAndConversion!$AV$3:$AV$387,0),1),"-"))</f>
        <v>-</v>
      </c>
      <c r="CG21" s="498" t="str">
        <f ca="1">IF(OR(LEFT(ListAndConversion!BW21,3)="Dil",LEFT(ListAndConversion!BW21,3)="Poo"),ListAndConversion!BU21,IF(LEFT(ListAndConversion!BW21,3)="Sou",INDEX(ListAndConversion!$AT$4:$AV$387,MATCH(ListAndConversion!BV21,ListAndConversion!$AV$4:$AV$387,0),2),"-"))</f>
        <v>-</v>
      </c>
      <c r="CH21"/>
      <c r="CI21" s="487" t="str">
        <f t="shared" ca="1" si="19"/>
        <v>-</v>
      </c>
      <c r="CJ21" s="378" t="str">
        <f t="shared" ca="1" si="24"/>
        <v>-</v>
      </c>
      <c r="CK21" s="378" t="str">
        <f t="shared" ca="1" si="24"/>
        <v>-</v>
      </c>
      <c r="CL21" s="378" t="str">
        <f t="shared" ca="1" si="24"/>
        <v>-</v>
      </c>
      <c r="CM21" s="378" t="str">
        <f t="shared" ca="1" si="24"/>
        <v>-</v>
      </c>
      <c r="CN21" s="378" t="str">
        <f t="shared" ca="1" si="24"/>
        <v>-</v>
      </c>
      <c r="CO21" s="378" t="str">
        <f t="shared" ca="1" si="24"/>
        <v>-</v>
      </c>
      <c r="CP21" s="378" t="str">
        <f t="shared" ca="1" si="24"/>
        <v>-</v>
      </c>
      <c r="CQ21" s="378" t="str">
        <f t="shared" ca="1" si="24"/>
        <v>-</v>
      </c>
      <c r="CR21" s="510" t="str">
        <f ca="1">IFERROR(IF(LEFT(BW21,3)="Poo",INDEX($BE$4:$BJ$99,MATCH(CI21,$BG$4:$BG$99,0),6)*((15/50))*Calculation!$AK$6,INDEX(Calculation_Tab,MATCH(BV21,Identifier,0),10)/(IF(LEN(INDEX(Calculation_Tab,MATCH(BV21,Identifier,0),9))&gt;8,LEN(INDEX(Calculation_Tab,MATCH(BV21,Identifier,0),9))-8,1))*((15/50)*Calculation!$AK$6)),"-")</f>
        <v>-</v>
      </c>
      <c r="CS21" s="498" t="str">
        <f ca="1">IF(CI21="-","-",IF(COUNTIF($CI$3:CI21,CI21)&gt;1,0,IFERROR((35/50)*Calculation!$AK$6,"-")))</f>
        <v>-</v>
      </c>
    </row>
    <row r="22" spans="4:97" x14ac:dyDescent="0.5">
      <c r="D22" s="487" t="e">
        <f t="shared" si="0"/>
        <v>#DIV/0!</v>
      </c>
      <c r="E22" s="496" t="e">
        <f t="array" ref="E22">IF(IF((ROW(E22)-3)&lt;(ListAndConversion!$A$15),INDEX(Flow_Cell_Lane,MIN(IF(COUNTIF($E$2:E21,Flow_Cell_Lane)=0,ROW(Flow_Cell_Lane)-9))),"-")="","-",IF((ROW(E22)-3)&lt;(ListAndConversion!$A$15),INDEX(Flow_Cell_Lane,MIN(IF(COUNTIF($E$2:E21,Flow_Cell_Lane)=0,ROW(Flow_Cell_Lane)-9))),"-"))</f>
        <v>#DIV/0!</v>
      </c>
      <c r="F22" s="378" t="e">
        <f t="shared" si="1"/>
        <v>#DIV/0!</v>
      </c>
      <c r="G22" s="378" t="e">
        <f t="shared" si="23"/>
        <v>#DIV/0!</v>
      </c>
      <c r="H22" s="378" t="e">
        <f t="shared" si="23"/>
        <v>#DIV/0!</v>
      </c>
      <c r="I22" s="378" t="e">
        <f t="shared" si="23"/>
        <v>#DIV/0!</v>
      </c>
      <c r="J22" s="378" t="e">
        <f t="shared" si="23"/>
        <v>#DIV/0!</v>
      </c>
      <c r="K22" s="378" t="e">
        <f t="shared" si="23"/>
        <v>#DIV/0!</v>
      </c>
      <c r="L22" s="378" t="e">
        <f t="shared" si="23"/>
        <v>#DIV/0!</v>
      </c>
      <c r="M22" s="378" t="e">
        <f t="shared" si="23"/>
        <v>#DIV/0!</v>
      </c>
      <c r="N22" s="497" t="e">
        <f t="shared" si="3"/>
        <v>#DIV/0!</v>
      </c>
      <c r="O22" s="497" t="str">
        <f t="array" ref="O22">IFERROR(INDEX(Calculation!I:AN,MATCH(ListAndConversion!E22,Calculation!I:I,0),31),"-")</f>
        <v>-</v>
      </c>
      <c r="P22" s="498">
        <f>IF(COUNTIFS(Calculation!$I$10:$I$393,E22,Direct_Denaturation,"-")&lt;&gt;1,COUNTIFS(Calculation!$I$10:$I$393,E22,Direct_Denaturation,"-"),0)</f>
        <v>0</v>
      </c>
      <c r="Q22" s="378"/>
      <c r="R22" s="487" t="e">
        <f t="array" ref="R22">IF(IF((ROW(R22)-3)&lt;(Calculation!$H$6),INDEX(Flow_Cell,MIN(IF(COUNTIF($R$2:R21,Flow_Cell)=0,ROW(Flow_Cell)-9))),"-")="","-",IF((ROW(R22)-3)&lt;(Calculation!$H$6),INDEX(Flow_Cell,MIN(IF(COUNTIF($R$2:R21,Flow_Cell)=0,ROW(Flow_Cell)-9))),"-"))</f>
        <v>#DIV/0!</v>
      </c>
      <c r="S22" s="378" t="e">
        <f t="shared" si="25"/>
        <v>#DIV/0!</v>
      </c>
      <c r="T22" s="378">
        <v>4</v>
      </c>
      <c r="U22" s="498">
        <v>20</v>
      </c>
      <c r="V22" s="487">
        <v>19</v>
      </c>
      <c r="W22" s="497" t="s">
        <v>287</v>
      </c>
      <c r="X22" s="497" t="s">
        <v>331</v>
      </c>
      <c r="Y22" s="378">
        <v>19</v>
      </c>
      <c r="Z22" s="378" t="str">
        <f t="shared" ca="1" si="5"/>
        <v>-</v>
      </c>
      <c r="AA22" s="508" t="str">
        <f t="array" aca="1" ref="AA22" ca="1">IFERROR(INDEX(Calculation_Tab,SMALL(ROW(Sample_Intermediate_Dil)*(Sample_Intermediate_Dil&lt;&gt;"-"),COUNTIF(Sample_Intermediate_Dil,"-")+ROW()-3)-9,5),"-")</f>
        <v>-</v>
      </c>
      <c r="AB22" s="378" t="str">
        <f t="array" aca="1" ref="AB22" ca="1">IFERROR(INDEX($A$3:$B$12,MATCH(INDEX(Calculation_Tab,SMALL(ROW(Sample_Intermediate_Dil)*(Sample_Intermediate_Dil&lt;&gt;"-"),COUNTIF(Sample_Intermediate_Dil,"-")+ROW()-3)-9,5),$A$3:$A$12,0),2),"-")</f>
        <v>-</v>
      </c>
      <c r="AC22" s="509" t="str">
        <f t="array" aca="1" ref="AC22" ca="1">IFERROR(INDEX(Coordinate,MATCH(INDEX(Calculation_Tab,SMALL(ROW(Sample_Intermediate_Dil)*(Sample_Intermediate_Dil&lt;&gt;"-"),COUNTIF(Sample_Intermediate_Dil,"-")+ROW()-3)-9,6),$X$4:$X$99,0),2),"-")</f>
        <v>-</v>
      </c>
      <c r="AD22" s="510" t="str">
        <f t="array" aca="1" ref="AD22" ca="1">IFERROR(INDEX(Calculation_Tab,SMALL(ROW(Sample_Intermediate_Dil)*(Sample_Intermediate_Dil&lt;&gt;"-"),COUNTIF(Sample_Intermediate_Dil,"-")+ROW()-3)-9,24),"-")</f>
        <v>-</v>
      </c>
      <c r="AE22" s="510" t="str">
        <f t="array" aca="1" ref="AE22" ca="1">IFERROR(INDEX(Calculation_Tab,SMALL(ROW(Sample_Intermediate_Dil)*(Sample_Intermediate_Dil&lt;&gt;"-"),COUNTIF(Sample_Intermediate_Dil,"-")+ROW()-3)-9,25),"-")</f>
        <v>-</v>
      </c>
      <c r="AF22" s="510" t="str">
        <f t="array" aca="1" ref="AF22" ca="1">IFERROR(INDEX(Calculation_Tab,SMALL(ROW(Sample_Intermediate_Dil)*(Sample_Intermediate_Dil&lt;&gt;"-"),COUNTIF(Sample_Intermediate_Dil,"-")+ROW()-3)-9,26),"-")</f>
        <v>-</v>
      </c>
      <c r="AG22" s="511" t="str">
        <f t="array" aca="1" ref="AG22" ca="1">IFERROR(INDEX(Calculation_Tab,SMALL(ROW(Sample_Intermediate_Dil)*(Sample_Intermediate_Dil&lt;&gt;"-"),COUNTIF(Sample_Intermediate_Dil,"-")+ROW()-3)-9,27),"-")</f>
        <v>-</v>
      </c>
      <c r="AI22" s="487">
        <v>19</v>
      </c>
      <c r="AJ22" s="497" t="s">
        <v>160</v>
      </c>
      <c r="AK22" s="378">
        <v>19</v>
      </c>
      <c r="AL22" s="378" t="str">
        <f t="shared" ca="1" si="6"/>
        <v>-</v>
      </c>
      <c r="AM22" s="378" t="str">
        <f t="array" aca="1" ref="AM22" ca="1">IFERROR(IF(AI22&lt;=$AB$2,"-",INDEX(Calculation_Tab,SMALL(ROW(Main_Dil)*(Main_Dil&lt;&gt;"-"),COUNTIF(Main_Dil,"-")+ROW()-3-$AB$2)-9,5)),"-")</f>
        <v>-</v>
      </c>
      <c r="AN22" s="378" t="str">
        <f t="array" aca="1" ref="AN22" ca="1">IFERROR(IF(AI22&lt;=$AB$2,"-",INDEX($A$3:$B$12,MATCH(INDEX(Calculation_Tab,SMALL(ROW(Main_Dil)*(Main_Dil&lt;&gt;"-"),COUNTIF(Main_Dil,"-")+ROW()-3-$AB$2)-9,5),$A$3:$A$12,0),2)),"-")</f>
        <v>-</v>
      </c>
      <c r="AO22" s="378" t="str">
        <f t="array" aca="1" ref="AO22" ca="1">IFERROR(IF(AI22&lt;=$AB$2,"-",INDEX(Coordinate,MATCH(INDEX(Calculation_Tab,SMALL(ROW(Main_Dil)*(Main_Dil&lt;&gt;"-"),COUNTIF(Main_Dil,"-")+ROW()-3-$AB$2)-9,6),$X$4:$X$99,0),2)),"-")</f>
        <v>-</v>
      </c>
      <c r="AP22" s="510" t="str">
        <f t="array" aca="1" ref="AP22" ca="1">IFERROR(IF(AI22&lt;=$AB$2,"-",INDEX(Calculation_Tab,SMALL(ROW(Main_Dil)*(Main_Dil&lt;&gt;"-"),COUNTIF(Main_Dil,"-")+ROW()-3-$AB$2)-9,21)),"-")</f>
        <v>-</v>
      </c>
      <c r="AQ22" s="511" t="str">
        <f t="array" aca="1" ref="AQ22" ca="1">IFERROR(IF(AI22&lt;=$AB$2,"-",INDEX(Calculation_Tab,SMALL(ROW(Main_Dil)*(Main_Dil&lt;&gt;"-"),COUNTIF(Main_Dil,"-")+ROW()-3-$AB$2)-9,22)),"-")</f>
        <v>-</v>
      </c>
      <c r="AR22" s="487" t="str">
        <f t="shared" ca="1" si="7"/>
        <v>-</v>
      </c>
      <c r="AS22" s="378">
        <v>19</v>
      </c>
      <c r="AT22" s="497" t="s">
        <v>160</v>
      </c>
      <c r="AU22" s="498">
        <v>19</v>
      </c>
      <c r="AV22" s="378" t="str">
        <f t="shared" ca="1" si="8"/>
        <v>-</v>
      </c>
      <c r="AW22" s="378" t="str">
        <f t="array" aca="1" ref="AW22" ca="1">IFERROR(IF(AS22&lt;=$AB$2+$AN$2,"-",INDEX(Calculation_Tab,SMALL(ROW(Direct_Denaturation)*(Direct_Denaturation&lt;&gt;"-"),COUNTIF(Direct_Denaturation,"-")+ROW()-3-$AB$2-$AN$2)-9,5)),"-")</f>
        <v>-</v>
      </c>
      <c r="AX22" s="378" t="str">
        <f t="array" aca="1" ref="AX22" ca="1">IFERROR(IF(AS22&lt;=$AB$2+$AN$2,"-",INDEX($A$3:$B$12,MATCH(INDEX(Calculation_Tab,SMALL(ROW(Direct_Denaturation)*(Direct_Denaturation&lt;&gt;"-"),COUNTIF(Direct_Denaturation,"-")+ROW()-3-$AB$2-$AN$2)-9,5),$A$3:$A$12,0),2)),"-")</f>
        <v>-</v>
      </c>
      <c r="AY22" s="378" t="str">
        <f t="array" aca="1" ref="AY22" ca="1">IFERROR(IF(AS22&lt;=$AB$2+$AN$2,"-",INDEX(Coordinate,MATCH(INDEX(Calculation_Tab,SMALL(ROW(Direct_Denaturation)*(Direct_Denaturation&lt;&gt;"-"),COUNTIF(Direct_Denaturation,"-")+ROW()-3-$AB$2-$AN$2)-9,6),$X$4:$X$99,0),2)),"-")</f>
        <v>-</v>
      </c>
      <c r="AZ22" s="510" t="str">
        <f t="array" aca="1" ref="AZ22" ca="1">IFERROR(IF(AS22&lt;=$AB$2+$AN$2,"-",INDEX(Calculation_Tab,SMALL(ROW(Direct_Denaturation)*(Direct_Denaturation&lt;&gt;"-"),COUNTIF(Direct_Denaturation,"-")+ROW()-3-$AB$2-$AN$2)-9,32)),"-")</f>
        <v>-</v>
      </c>
      <c r="BA22" s="510" t="str">
        <f t="array" aca="1" ref="BA22" ca="1">IFERROR(IF(AS22&lt;=$AB$2+$AN$2,"-",INDEX(Calculation_Tab,SMALL(ROW(Direct_Denaturation)*(Direct_Denaturation&lt;&gt;"-"),COUNTIF(Direct_Denaturation,"-")+ROW()-3-$AB$2-$AN$2)-9,34)),"-")</f>
        <v>-</v>
      </c>
      <c r="BB22" s="510" t="str">
        <f t="array" aca="1" ref="BB22" ca="1">IFERROR(IF(AS22&lt;=$AB$2+$AN$2,"-",INDEX(Calculation_Tab,SMALL(ROW(Direct_Denaturation)*(Direct_Denaturation&lt;&gt;"-"),COUNTIF(Direct_Denaturation,"-")+ROW()-3-$AB$2-$AN$2)-9,33)),"-")</f>
        <v>-</v>
      </c>
      <c r="BC22" s="510" t="str">
        <f t="array" aca="1" ref="BC22" ca="1">IFERROR(IF(AS22&lt;=$AB$2+$AN$2,"-",INDEX(Calculation_Tab,SMALL(ROW(Direct_Denaturation)*(Direct_Denaturation&lt;&gt;"-"),COUNTIF(Direct_Denaturation,"-")+ROW()-3-$AB$2-$AN$2)-9,35)),"-")</f>
        <v>-</v>
      </c>
      <c r="BD22" s="511" t="str">
        <f t="shared" ca="1" si="9"/>
        <v>-</v>
      </c>
      <c r="BE22" s="494" t="s">
        <v>332</v>
      </c>
      <c r="BF22" s="378">
        <v>19</v>
      </c>
      <c r="BG22" s="515" t="str">
        <v>-</v>
      </c>
      <c r="BH22" s="516" t="str">
        <f>IFERROR(IF((Calculation!$AR$6/INDEX(ListAndConversion!D:P,MATCH(BG22,E:E,0),13))&lt;Calculation!$O$6,INDEX(ListAndConversion!D:P,MATCH(BG22,E:E,0),13)*Calculation!$O$6,Calculation!$AR$6),"-")</f>
        <v>-</v>
      </c>
      <c r="BI22" s="517" t="str">
        <f t="shared" si="10"/>
        <v>-</v>
      </c>
      <c r="BJ22" s="518" t="str">
        <f t="shared" si="11"/>
        <v>-</v>
      </c>
      <c r="BK22" s="378" t="s">
        <v>158</v>
      </c>
      <c r="BL22" s="378">
        <v>19</v>
      </c>
      <c r="BM22" s="487" t="str">
        <f t="array" aca="1" ref="BM22" ca="1">IFERROR(INDEX(Calculation_Tab,SMALL(ROW(ToPool)*(ToPool&lt;&gt;"-"),COUNTIF(ToPool,"-")+ROW()-3)-9,3),"-")</f>
        <v>-</v>
      </c>
      <c r="BN22" s="378" t="str">
        <f t="shared" ca="1" si="12"/>
        <v>-</v>
      </c>
      <c r="BO22" s="378" t="str">
        <f t="shared" ca="1" si="13"/>
        <v>-</v>
      </c>
      <c r="BP22" s="523" t="str">
        <f t="shared" ca="1" si="14"/>
        <v>-</v>
      </c>
      <c r="BQ22" s="378" t="str">
        <f t="array" aca="1" ref="BQ22" ca="1">IFERROR(INDEX(BE:BG,MATCH(INDEX(Calculation_Tab,SMALL(ROW(ToPool)*(ToPool&lt;&gt;"-"),COUNTIF(ToPool,"-")+ROW()-3)-9,9),BG:BG,0),2),"-")</f>
        <v>-</v>
      </c>
      <c r="BR22" s="510" t="str">
        <f t="shared" ca="1" si="15"/>
        <v>-</v>
      </c>
      <c r="BS22" s="511" t="str">
        <f t="shared" ca="1" si="16"/>
        <v>-</v>
      </c>
      <c r="BT22" s="378" t="s">
        <v>164</v>
      </c>
      <c r="BU22" s="487" t="str">
        <f t="shared" ca="1" si="21"/>
        <v>-</v>
      </c>
      <c r="BV22" s="487" t="str">
        <f t="array" aca="1" ref="BV2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2" s="378" t="str">
        <f t="shared" ca="1" si="17"/>
        <v>-</v>
      </c>
      <c r="BX22" s="378" t="str">
        <f t="shared" ca="1" si="18"/>
        <v>-</v>
      </c>
      <c r="BY22" s="510" t="str">
        <f ca="1">IFERROR(ROUND(INDEX(Cluster,MATCH(IF(LEFT(BV22,4)="Pool",INDEX(Cluster,MATCH(INDEX(Calculation_Tab,MATCH(INDEX($BE$4:$BJ$99,MATCH(BV22,$BE$4:$BE$99,0),3),Flow_Cell_Lane,0),3),Cluster!$F$29:$F$412,0),6),BV22),Identifier_Cluster,0),19)*IF(LEFT(BV22,4)="pool",IF(LEN(INDEX($BE$4:$BJ$99,MATCH(BV22,$BE$4:$BE$99,0),3))=10,2,IF(LEN(INDEX($BE$4:$BJ$99,MATCH(BV22,$BE$4:$BE$99,0),3))&gt;10,LEN(INDEX($BE$4:$BJ$99,MATCH(BV22,$BE$4:$BE$99,0),3))-8,1)),1)*IF(LEFT(BV22,4)="pool",IF(INDEX($BE$4:$BJ$99,MATCH(BV22,$BE$4:$BE$99,0),6)&lt;1,1,INDEX($BE$4:$BJ$99,MATCH(BV22,$BE$4:$BE$99,0),6)),INDEX(Calculation_Tab,MATCH(BV22,Identifier,0),10)),1)*(1+Calculation!$Q$6),"-")</f>
        <v>-</v>
      </c>
      <c r="BZ22" s="378" t="str">
        <f ca="1">IFERROR((0.5/50)*CE22/Calculation!$AG$6*(IF(LEFT(BV22,4)="Pool",IF(LEN(INDEX($BE$4:$BJ$99,MATCH(BV22,$BE$4:$BE$99,0),3))=10,2,IF(LEN(INDEX($BE$4:$BJ$99,MATCH(BV22,$BE$4:$BE$99,0),3))&gt;10,LEN(INDEX($BE$4:$BJ$99,MATCH(BV22,$BE$4:$BE$99,0),3))-8,1)),IF(INDEX(Calculation_Tab,MATCH(BV22,Identifier,0),10)&gt;1,INDEX(Calculation_Tab,MATCH(BV22,Identifier,0),10),1)))*(1+Calculation!$Q$6),"-")</f>
        <v>-</v>
      </c>
      <c r="CA22" s="510" t="str">
        <f ca="1">IFERROR(IF((BZ22*Calculation!$AG$6/0.05)-SUM(BY22:BZ22,CC22)&gt;0,(BZ22*Calculation!$AG$6/0.05)-SUM(BY22:BZ22,CC22),0),"-")</f>
        <v>-</v>
      </c>
      <c r="CB22" s="510" t="str">
        <f ca="1">IFERROR(5/50*CE22*(IF(LEFT(BV22,4)="Pool",IF(LEN(INDEX($BE$4:$BJ$99,MATCH(BV22,$BE$4:$BE$99,0),3))=10,2,IF(LEN(INDEX($BE$4:$BJ$99,MATCH(BV22,$BE$4:$BE$99,0),3))&gt;10,LEN(INDEX($BE$4:$BJ$99,MATCH(BV22,$BE$4:$BE$99,0),3))-8,1)),IF(INDEX(Calculation_Tab,MATCH(BV22,Identifier,0),10)&gt;1,INDEX(Calculation_Tab,MATCH(BV22,Identifier,0),10),1)))*(1+Calculation!$Q$6),"-")</f>
        <v>-</v>
      </c>
      <c r="CC22" s="508" t="str">
        <f ca="1">IFERROR(ROUND(INDEX(Cluster,MATCH(IF(LEFT(BV22,4)="Pool",INDEX(Cluster,MATCH(INDEX(Calculation_Tab,MATCH(INDEX($BE$4:$BJ$99,MATCH(BV22,$BE$4:$BE$99,0),3),Flow_Cell_Lane,0),3),Cluster!$F$29:$F$412,0),6),BV22),Identifier_Cluster,0),20)*IF(LEFT(BV22,4)="pool",IF(LEN(INDEX($BE$4:$BJ$99,MATCH(BV22,$BE$4:$BE$99,0),3))=10,2,IF(LEN(INDEX($BE$4:$BJ$99,MATCH(BV22,$BE$4:$BE$99,0),3))&gt;10,LEN(INDEX($BE$4:$BJ$99,MATCH(BV22,$BE$4:$BE$99,0),3))-8,1)),1)*IF(LEFT(BV22,4)="pool",IF(INDEX($BE$4:$BJ$99,MATCH(BV22,$BE$4:$BE$99,0),6)&lt;1,1,INDEX($BE$4:$BJ$99,MATCH(BV22,$BE$4:$BE$99,0),6)),INDEX(Calculation_Tab,MATCH(BV22,Identifier,0),10)),1)*(1+Calculation!$Q$6),"-")</f>
        <v>-</v>
      </c>
      <c r="CD22" s="509" t="str">
        <f ca="1">IFERROR(INDEX(Cluster!AC:AD,MATCH(IF(LEFT(BV22,4)="Pool",INDEX(Cluster!$D$29:$AA$412,MATCH(INDEX(Calculation_Tab,MATCH(INDEX($BE$4:$BJ$99,MATCH(BV22,$BE$4:$BE$99,0),3),Flow_Cell_Lane,0),3),Cluster!$F$29:$F$412,0),24),INDEX(Cluster!$D$29:$AA$412,MATCH(BV22,Cluster!$F$29:$F$412,0),24)),Cluster!AC:AC,0),2),"-")</f>
        <v>-</v>
      </c>
      <c r="CE22" s="378" t="str">
        <f ca="1">IFERROR(IF(BV22&lt;&gt;"-",Calculation!$AK$6,"-"),"-")</f>
        <v>-</v>
      </c>
      <c r="CF22" s="378" t="str">
        <f ca="1">IF(OR(LEFT(ListAndConversion!BW22,3)="Dil",LEFT(ListAndConversion!BW22,3)="Poo"),ListAndConversion!$BT$4,IF(LEFT(ListAndConversion!BW22,3)="Sou",INDEX(ListAndConversion!$AT$3:$AV$387,MATCH(ListAndConversion!BV22,ListAndConversion!$AV$3:$AV$387,0),1),"-"))</f>
        <v>-</v>
      </c>
      <c r="CG22" s="498" t="str">
        <f ca="1">IF(OR(LEFT(ListAndConversion!BW22,3)="Dil",LEFT(ListAndConversion!BW22,3)="Poo"),ListAndConversion!BU22,IF(LEFT(ListAndConversion!BW22,3)="Sou",INDEX(ListAndConversion!$AT$4:$AV$387,MATCH(ListAndConversion!BV22,ListAndConversion!$AV$4:$AV$387,0),2),"-"))</f>
        <v>-</v>
      </c>
      <c r="CH22"/>
      <c r="CI22" s="487" t="str">
        <f t="shared" ca="1" si="19"/>
        <v>-</v>
      </c>
      <c r="CJ22" s="378" t="str">
        <f t="shared" ca="1" si="24"/>
        <v>-</v>
      </c>
      <c r="CK22" s="378" t="str">
        <f t="shared" ca="1" si="24"/>
        <v>-</v>
      </c>
      <c r="CL22" s="378" t="str">
        <f t="shared" ca="1" si="24"/>
        <v>-</v>
      </c>
      <c r="CM22" s="378" t="str">
        <f t="shared" ca="1" si="24"/>
        <v>-</v>
      </c>
      <c r="CN22" s="378" t="str">
        <f t="shared" ca="1" si="24"/>
        <v>-</v>
      </c>
      <c r="CO22" s="378" t="str">
        <f t="shared" ca="1" si="24"/>
        <v>-</v>
      </c>
      <c r="CP22" s="378" t="str">
        <f t="shared" ca="1" si="24"/>
        <v>-</v>
      </c>
      <c r="CQ22" s="378" t="str">
        <f t="shared" ca="1" si="24"/>
        <v>-</v>
      </c>
      <c r="CR22" s="510" t="str">
        <f ca="1">IFERROR(IF(LEFT(BW22,3)="Poo",INDEX($BE$4:$BJ$99,MATCH(CI22,$BG$4:$BG$99,0),6)*((15/50))*Calculation!$AK$6,INDEX(Calculation_Tab,MATCH(BV22,Identifier,0),10)/(IF(LEN(INDEX(Calculation_Tab,MATCH(BV22,Identifier,0),9))&gt;8,LEN(INDEX(Calculation_Tab,MATCH(BV22,Identifier,0),9))-8,1))*((15/50)*Calculation!$AK$6)),"-")</f>
        <v>-</v>
      </c>
      <c r="CS22" s="498" t="str">
        <f ca="1">IF(CI22="-","-",IF(COUNTIF($CI$3:CI22,CI22)&gt;1,0,IFERROR((35/50)*Calculation!$AK$6,"-")))</f>
        <v>-</v>
      </c>
    </row>
    <row r="23" spans="4:97" x14ac:dyDescent="0.5">
      <c r="D23" s="487" t="e">
        <f t="shared" si="0"/>
        <v>#DIV/0!</v>
      </c>
      <c r="E23" s="496" t="e">
        <f t="array" ref="E23">IF(IF((ROW(E23)-3)&lt;(ListAndConversion!$A$15),INDEX(Flow_Cell_Lane,MIN(IF(COUNTIF($E$2:E22,Flow_Cell_Lane)=0,ROW(Flow_Cell_Lane)-9))),"-")="","-",IF((ROW(E23)-3)&lt;(ListAndConversion!$A$15),INDEX(Flow_Cell_Lane,MIN(IF(COUNTIF($E$2:E22,Flow_Cell_Lane)=0,ROW(Flow_Cell_Lane)-9))),"-"))</f>
        <v>#DIV/0!</v>
      </c>
      <c r="F23" s="378" t="e">
        <f t="shared" si="1"/>
        <v>#DIV/0!</v>
      </c>
      <c r="G23" s="378" t="e">
        <f t="shared" ref="G23:M32" si="26">IF($D23&gt;8,IF($D23&gt;=(8+G$2),CONCATENATE(LEFT($E23,7),RIGHT(LEFT($E23,8+G$2),1)),""),"")</f>
        <v>#DIV/0!</v>
      </c>
      <c r="H23" s="378" t="e">
        <f t="shared" si="26"/>
        <v>#DIV/0!</v>
      </c>
      <c r="I23" s="378" t="e">
        <f t="shared" si="26"/>
        <v>#DIV/0!</v>
      </c>
      <c r="J23" s="378" t="e">
        <f t="shared" si="26"/>
        <v>#DIV/0!</v>
      </c>
      <c r="K23" s="378" t="e">
        <f t="shared" si="26"/>
        <v>#DIV/0!</v>
      </c>
      <c r="L23" s="378" t="e">
        <f t="shared" si="26"/>
        <v>#DIV/0!</v>
      </c>
      <c r="M23" s="378" t="e">
        <f t="shared" si="26"/>
        <v>#DIV/0!</v>
      </c>
      <c r="N23" s="497" t="e">
        <f t="shared" si="3"/>
        <v>#DIV/0!</v>
      </c>
      <c r="O23" s="497" t="str">
        <f t="array" ref="O23">IFERROR(INDEX(Calculation!I:AN,MATCH(ListAndConversion!E23,Calculation!I:I,0),31),"-")</f>
        <v>-</v>
      </c>
      <c r="P23" s="498">
        <f>IF(COUNTIFS(Calculation!$I$10:$I$393,E23,Direct_Denaturation,"-")&lt;&gt;1,COUNTIFS(Calculation!$I$10:$I$393,E23,Direct_Denaturation,"-"),0)</f>
        <v>0</v>
      </c>
      <c r="Q23" s="378"/>
      <c r="R23" s="487" t="e">
        <f t="array" ref="R23">IF(IF((ROW(R23)-3)&lt;(Calculation!$H$6),INDEX(Flow_Cell,MIN(IF(COUNTIF($R$2:R22,Flow_Cell)=0,ROW(Flow_Cell)-9))),"-")="","-",IF((ROW(R23)-3)&lt;(Calculation!$H$6),INDEX(Flow_Cell,MIN(IF(COUNTIF($R$2:R22,Flow_Cell)=0,ROW(Flow_Cell)-9))),"-"))</f>
        <v>#DIV/0!</v>
      </c>
      <c r="S23" s="378" t="e">
        <f t="shared" si="25"/>
        <v>#DIV/0!</v>
      </c>
      <c r="T23" s="378">
        <v>5</v>
      </c>
      <c r="U23" s="498">
        <v>21</v>
      </c>
      <c r="V23" s="487">
        <v>20</v>
      </c>
      <c r="W23" s="497" t="s">
        <v>287</v>
      </c>
      <c r="X23" s="497" t="s">
        <v>333</v>
      </c>
      <c r="Y23" s="378">
        <v>20</v>
      </c>
      <c r="Z23" s="378" t="str">
        <f t="shared" ca="1" si="5"/>
        <v>-</v>
      </c>
      <c r="AA23" s="508" t="str">
        <f t="array" aca="1" ref="AA23" ca="1">IFERROR(INDEX(Calculation_Tab,SMALL(ROW(Sample_Intermediate_Dil)*(Sample_Intermediate_Dil&lt;&gt;"-"),COUNTIF(Sample_Intermediate_Dil,"-")+ROW()-3)-9,5),"-")</f>
        <v>-</v>
      </c>
      <c r="AB23" s="378" t="str">
        <f t="array" aca="1" ref="AB23" ca="1">IFERROR(INDEX($A$3:$B$12,MATCH(INDEX(Calculation_Tab,SMALL(ROW(Sample_Intermediate_Dil)*(Sample_Intermediate_Dil&lt;&gt;"-"),COUNTIF(Sample_Intermediate_Dil,"-")+ROW()-3)-9,5),$A$3:$A$12,0),2),"-")</f>
        <v>-</v>
      </c>
      <c r="AC23" s="509" t="str">
        <f t="array" aca="1" ref="AC23" ca="1">IFERROR(INDEX(Coordinate,MATCH(INDEX(Calculation_Tab,SMALL(ROW(Sample_Intermediate_Dil)*(Sample_Intermediate_Dil&lt;&gt;"-"),COUNTIF(Sample_Intermediate_Dil,"-")+ROW()-3)-9,6),$X$4:$X$99,0),2),"-")</f>
        <v>-</v>
      </c>
      <c r="AD23" s="510" t="str">
        <f t="array" aca="1" ref="AD23" ca="1">IFERROR(INDEX(Calculation_Tab,SMALL(ROW(Sample_Intermediate_Dil)*(Sample_Intermediate_Dil&lt;&gt;"-"),COUNTIF(Sample_Intermediate_Dil,"-")+ROW()-3)-9,24),"-")</f>
        <v>-</v>
      </c>
      <c r="AE23" s="510" t="str">
        <f t="array" aca="1" ref="AE23" ca="1">IFERROR(INDEX(Calculation_Tab,SMALL(ROW(Sample_Intermediate_Dil)*(Sample_Intermediate_Dil&lt;&gt;"-"),COUNTIF(Sample_Intermediate_Dil,"-")+ROW()-3)-9,25),"-")</f>
        <v>-</v>
      </c>
      <c r="AF23" s="510" t="str">
        <f t="array" aca="1" ref="AF23" ca="1">IFERROR(INDEX(Calculation_Tab,SMALL(ROW(Sample_Intermediate_Dil)*(Sample_Intermediate_Dil&lt;&gt;"-"),COUNTIF(Sample_Intermediate_Dil,"-")+ROW()-3)-9,26),"-")</f>
        <v>-</v>
      </c>
      <c r="AG23" s="511" t="str">
        <f t="array" aca="1" ref="AG23" ca="1">IFERROR(INDEX(Calculation_Tab,SMALL(ROW(Sample_Intermediate_Dil)*(Sample_Intermediate_Dil&lt;&gt;"-"),COUNTIF(Sample_Intermediate_Dil,"-")+ROW()-3)-9,27),"-")</f>
        <v>-</v>
      </c>
      <c r="AI23" s="487">
        <v>20</v>
      </c>
      <c r="AJ23" s="497" t="s">
        <v>160</v>
      </c>
      <c r="AK23" s="378">
        <v>20</v>
      </c>
      <c r="AL23" s="378" t="str">
        <f t="shared" ca="1" si="6"/>
        <v>-</v>
      </c>
      <c r="AM23" s="378" t="str">
        <f t="array" aca="1" ref="AM23" ca="1">IFERROR(IF(AI23&lt;=$AB$2,"-",INDEX(Calculation_Tab,SMALL(ROW(Main_Dil)*(Main_Dil&lt;&gt;"-"),COUNTIF(Main_Dil,"-")+ROW()-3-$AB$2)-9,5)),"-")</f>
        <v>-</v>
      </c>
      <c r="AN23" s="378" t="str">
        <f t="array" aca="1" ref="AN23" ca="1">IFERROR(IF(AI23&lt;=$AB$2,"-",INDEX($A$3:$B$12,MATCH(INDEX(Calculation_Tab,SMALL(ROW(Main_Dil)*(Main_Dil&lt;&gt;"-"),COUNTIF(Main_Dil,"-")+ROW()-3-$AB$2)-9,5),$A$3:$A$12,0),2)),"-")</f>
        <v>-</v>
      </c>
      <c r="AO23" s="378" t="str">
        <f t="array" aca="1" ref="AO23" ca="1">IFERROR(IF(AI23&lt;=$AB$2,"-",INDEX(Coordinate,MATCH(INDEX(Calculation_Tab,SMALL(ROW(Main_Dil)*(Main_Dil&lt;&gt;"-"),COUNTIF(Main_Dil,"-")+ROW()-3-$AB$2)-9,6),$X$4:$X$99,0),2)),"-")</f>
        <v>-</v>
      </c>
      <c r="AP23" s="510" t="str">
        <f t="array" aca="1" ref="AP23" ca="1">IFERROR(IF(AI23&lt;=$AB$2,"-",INDEX(Calculation_Tab,SMALL(ROW(Main_Dil)*(Main_Dil&lt;&gt;"-"),COUNTIF(Main_Dil,"-")+ROW()-3-$AB$2)-9,21)),"-")</f>
        <v>-</v>
      </c>
      <c r="AQ23" s="511" t="str">
        <f t="array" aca="1" ref="AQ23" ca="1">IFERROR(IF(AI23&lt;=$AB$2,"-",INDEX(Calculation_Tab,SMALL(ROW(Main_Dil)*(Main_Dil&lt;&gt;"-"),COUNTIF(Main_Dil,"-")+ROW()-3-$AB$2)-9,22)),"-")</f>
        <v>-</v>
      </c>
      <c r="AR23" s="487" t="str">
        <f t="shared" ca="1" si="7"/>
        <v>-</v>
      </c>
      <c r="AS23" s="378">
        <v>20</v>
      </c>
      <c r="AT23" s="497" t="s">
        <v>160</v>
      </c>
      <c r="AU23" s="498">
        <v>20</v>
      </c>
      <c r="AV23" s="378" t="str">
        <f t="shared" ca="1" si="8"/>
        <v>-</v>
      </c>
      <c r="AW23" s="378" t="str">
        <f t="array" aca="1" ref="AW23" ca="1">IFERROR(IF(AS23&lt;=$AB$2+$AN$2,"-",INDEX(Calculation_Tab,SMALL(ROW(Direct_Denaturation)*(Direct_Denaturation&lt;&gt;"-"),COUNTIF(Direct_Denaturation,"-")+ROW()-3-$AB$2-$AN$2)-9,5)),"-")</f>
        <v>-</v>
      </c>
      <c r="AX23" s="378" t="str">
        <f t="array" aca="1" ref="AX23" ca="1">IFERROR(IF(AS23&lt;=$AB$2+$AN$2,"-",INDEX($A$3:$B$12,MATCH(INDEX(Calculation_Tab,SMALL(ROW(Direct_Denaturation)*(Direct_Denaturation&lt;&gt;"-"),COUNTIF(Direct_Denaturation,"-")+ROW()-3-$AB$2-$AN$2)-9,5),$A$3:$A$12,0),2)),"-")</f>
        <v>-</v>
      </c>
      <c r="AY23" s="378" t="str">
        <f t="array" aca="1" ref="AY23" ca="1">IFERROR(IF(AS23&lt;=$AB$2+$AN$2,"-",INDEX(Coordinate,MATCH(INDEX(Calculation_Tab,SMALL(ROW(Direct_Denaturation)*(Direct_Denaturation&lt;&gt;"-"),COUNTIF(Direct_Denaturation,"-")+ROW()-3-$AB$2-$AN$2)-9,6),$X$4:$X$99,0),2)),"-")</f>
        <v>-</v>
      </c>
      <c r="AZ23" s="510" t="str">
        <f t="array" aca="1" ref="AZ23" ca="1">IFERROR(IF(AS23&lt;=$AB$2+$AN$2,"-",INDEX(Calculation_Tab,SMALL(ROW(Direct_Denaturation)*(Direct_Denaturation&lt;&gt;"-"),COUNTIF(Direct_Denaturation,"-")+ROW()-3-$AB$2-$AN$2)-9,32)),"-")</f>
        <v>-</v>
      </c>
      <c r="BA23" s="510" t="str">
        <f t="array" aca="1" ref="BA23" ca="1">IFERROR(IF(AS23&lt;=$AB$2+$AN$2,"-",INDEX(Calculation_Tab,SMALL(ROW(Direct_Denaturation)*(Direct_Denaturation&lt;&gt;"-"),COUNTIF(Direct_Denaturation,"-")+ROW()-3-$AB$2-$AN$2)-9,34)),"-")</f>
        <v>-</v>
      </c>
      <c r="BB23" s="510" t="str">
        <f t="array" aca="1" ref="BB23" ca="1">IFERROR(IF(AS23&lt;=$AB$2+$AN$2,"-",INDEX(Calculation_Tab,SMALL(ROW(Direct_Denaturation)*(Direct_Denaturation&lt;&gt;"-"),COUNTIF(Direct_Denaturation,"-")+ROW()-3-$AB$2-$AN$2)-9,33)),"-")</f>
        <v>-</v>
      </c>
      <c r="BC23" s="510" t="str">
        <f t="array" aca="1" ref="BC23" ca="1">IFERROR(IF(AS23&lt;=$AB$2+$AN$2,"-",INDEX(Calculation_Tab,SMALL(ROW(Direct_Denaturation)*(Direct_Denaturation&lt;&gt;"-"),COUNTIF(Direct_Denaturation,"-")+ROW()-3-$AB$2-$AN$2)-9,35)),"-")</f>
        <v>-</v>
      </c>
      <c r="BD23" s="511" t="str">
        <f t="shared" ca="1" si="9"/>
        <v>-</v>
      </c>
      <c r="BE23" s="494" t="s">
        <v>334</v>
      </c>
      <c r="BF23" s="378">
        <v>20</v>
      </c>
      <c r="BG23" s="515" t="str">
        <v>-</v>
      </c>
      <c r="BH23" s="516" t="str">
        <f>IFERROR(IF((Calculation!$AR$6/INDEX(ListAndConversion!D:P,MATCH(BG23,E:E,0),13))&lt;Calculation!$O$6,INDEX(ListAndConversion!D:P,MATCH(BG23,E:E,0),13)*Calculation!$O$6,Calculation!$AR$6),"-")</f>
        <v>-</v>
      </c>
      <c r="BI23" s="517" t="str">
        <f t="shared" si="10"/>
        <v>-</v>
      </c>
      <c r="BJ23" s="518" t="str">
        <f t="shared" si="11"/>
        <v>-</v>
      </c>
      <c r="BK23" s="378" t="s">
        <v>158</v>
      </c>
      <c r="BL23" s="378">
        <v>20</v>
      </c>
      <c r="BM23" s="487" t="str">
        <f t="array" aca="1" ref="BM23" ca="1">IFERROR(INDEX(Calculation_Tab,SMALL(ROW(ToPool)*(ToPool&lt;&gt;"-"),COUNTIF(ToPool,"-")+ROW()-3)-9,3),"-")</f>
        <v>-</v>
      </c>
      <c r="BN23" s="378" t="str">
        <f t="shared" ca="1" si="12"/>
        <v>-</v>
      </c>
      <c r="BO23" s="378" t="str">
        <f t="shared" ca="1" si="13"/>
        <v>-</v>
      </c>
      <c r="BP23" s="523" t="str">
        <f t="shared" ca="1" si="14"/>
        <v>-</v>
      </c>
      <c r="BQ23" s="378" t="str">
        <f t="array" aca="1" ref="BQ23" ca="1">IFERROR(INDEX(BE:BG,MATCH(INDEX(Calculation_Tab,SMALL(ROW(ToPool)*(ToPool&lt;&gt;"-"),COUNTIF(ToPool,"-")+ROW()-3)-9,9),BG:BG,0),2),"-")</f>
        <v>-</v>
      </c>
      <c r="BR23" s="510" t="str">
        <f t="shared" ca="1" si="15"/>
        <v>-</v>
      </c>
      <c r="BS23" s="511" t="str">
        <f t="shared" ca="1" si="16"/>
        <v>-</v>
      </c>
      <c r="BT23" s="378" t="s">
        <v>164</v>
      </c>
      <c r="BU23" s="487" t="str">
        <f t="shared" ca="1" si="21"/>
        <v>-</v>
      </c>
      <c r="BV23" s="487" t="str">
        <f t="array" aca="1" ref="BV2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3" s="378" t="str">
        <f t="shared" ca="1" si="17"/>
        <v>-</v>
      </c>
      <c r="BX23" s="378" t="str">
        <f t="shared" ca="1" si="18"/>
        <v>-</v>
      </c>
      <c r="BY23" s="510" t="str">
        <f ca="1">IFERROR(ROUND(INDEX(Cluster,MATCH(IF(LEFT(BV23,4)="Pool",INDEX(Cluster,MATCH(INDEX(Calculation_Tab,MATCH(INDEX($BE$4:$BJ$99,MATCH(BV23,$BE$4:$BE$99,0),3),Flow_Cell_Lane,0),3),Cluster!$F$29:$F$412,0),6),BV23),Identifier_Cluster,0),19)*IF(LEFT(BV23,4)="pool",IF(LEN(INDEX($BE$4:$BJ$99,MATCH(BV23,$BE$4:$BE$99,0),3))=10,2,IF(LEN(INDEX($BE$4:$BJ$99,MATCH(BV23,$BE$4:$BE$99,0),3))&gt;10,LEN(INDEX($BE$4:$BJ$99,MATCH(BV23,$BE$4:$BE$99,0),3))-8,1)),1)*IF(LEFT(BV23,4)="pool",IF(INDEX($BE$4:$BJ$99,MATCH(BV23,$BE$4:$BE$99,0),6)&lt;1,1,INDEX($BE$4:$BJ$99,MATCH(BV23,$BE$4:$BE$99,0),6)),INDEX(Calculation_Tab,MATCH(BV23,Identifier,0),10)),1)*(1+Calculation!$Q$6),"-")</f>
        <v>-</v>
      </c>
      <c r="BZ23" s="378" t="str">
        <f ca="1">IFERROR((0.5/50)*CE23/Calculation!$AG$6*(IF(LEFT(BV23,4)="Pool",IF(LEN(INDEX($BE$4:$BJ$99,MATCH(BV23,$BE$4:$BE$99,0),3))=10,2,IF(LEN(INDEX($BE$4:$BJ$99,MATCH(BV23,$BE$4:$BE$99,0),3))&gt;10,LEN(INDEX($BE$4:$BJ$99,MATCH(BV23,$BE$4:$BE$99,0),3))-8,1)),IF(INDEX(Calculation_Tab,MATCH(BV23,Identifier,0),10)&gt;1,INDEX(Calculation_Tab,MATCH(BV23,Identifier,0),10),1)))*(1+Calculation!$Q$6),"-")</f>
        <v>-</v>
      </c>
      <c r="CA23" s="510" t="str">
        <f ca="1">IFERROR(IF((BZ23*Calculation!$AG$6/0.05)-SUM(BY23:BZ23,CC23)&gt;0,(BZ23*Calculation!$AG$6/0.05)-SUM(BY23:BZ23,CC23),0),"-")</f>
        <v>-</v>
      </c>
      <c r="CB23" s="510" t="str">
        <f ca="1">IFERROR(5/50*CE23*(IF(LEFT(BV23,4)="Pool",IF(LEN(INDEX($BE$4:$BJ$99,MATCH(BV23,$BE$4:$BE$99,0),3))=10,2,IF(LEN(INDEX($BE$4:$BJ$99,MATCH(BV23,$BE$4:$BE$99,0),3))&gt;10,LEN(INDEX($BE$4:$BJ$99,MATCH(BV23,$BE$4:$BE$99,0),3))-8,1)),IF(INDEX(Calculation_Tab,MATCH(BV23,Identifier,0),10)&gt;1,INDEX(Calculation_Tab,MATCH(BV23,Identifier,0),10),1)))*(1+Calculation!$Q$6),"-")</f>
        <v>-</v>
      </c>
      <c r="CC23" s="508" t="str">
        <f ca="1">IFERROR(ROUND(INDEX(Cluster,MATCH(IF(LEFT(BV23,4)="Pool",INDEX(Cluster,MATCH(INDEX(Calculation_Tab,MATCH(INDEX($BE$4:$BJ$99,MATCH(BV23,$BE$4:$BE$99,0),3),Flow_Cell_Lane,0),3),Cluster!$F$29:$F$412,0),6),BV23),Identifier_Cluster,0),20)*IF(LEFT(BV23,4)="pool",IF(LEN(INDEX($BE$4:$BJ$99,MATCH(BV23,$BE$4:$BE$99,0),3))=10,2,IF(LEN(INDEX($BE$4:$BJ$99,MATCH(BV23,$BE$4:$BE$99,0),3))&gt;10,LEN(INDEX($BE$4:$BJ$99,MATCH(BV23,$BE$4:$BE$99,0),3))-8,1)),1)*IF(LEFT(BV23,4)="pool",IF(INDEX($BE$4:$BJ$99,MATCH(BV23,$BE$4:$BE$99,0),6)&lt;1,1,INDEX($BE$4:$BJ$99,MATCH(BV23,$BE$4:$BE$99,0),6)),INDEX(Calculation_Tab,MATCH(BV23,Identifier,0),10)),1)*(1+Calculation!$Q$6),"-")</f>
        <v>-</v>
      </c>
      <c r="CD23" s="509" t="str">
        <f ca="1">IFERROR(INDEX(Cluster!AC:AD,MATCH(IF(LEFT(BV23,4)="Pool",INDEX(Cluster!$D$29:$AA$412,MATCH(INDEX(Calculation_Tab,MATCH(INDEX($BE$4:$BJ$99,MATCH(BV23,$BE$4:$BE$99,0),3),Flow_Cell_Lane,0),3),Cluster!$F$29:$F$412,0),24),INDEX(Cluster!$D$29:$AA$412,MATCH(BV23,Cluster!$F$29:$F$412,0),24)),Cluster!AC:AC,0),2),"-")</f>
        <v>-</v>
      </c>
      <c r="CE23" s="378" t="str">
        <f ca="1">IFERROR(IF(BV23&lt;&gt;"-",Calculation!$AK$6,"-"),"-")</f>
        <v>-</v>
      </c>
      <c r="CF23" s="378" t="str">
        <f ca="1">IF(OR(LEFT(ListAndConversion!BW23,3)="Dil",LEFT(ListAndConversion!BW23,3)="Poo"),ListAndConversion!$BT$4,IF(LEFT(ListAndConversion!BW23,3)="Sou",INDEX(ListAndConversion!$AT$3:$AV$387,MATCH(ListAndConversion!BV23,ListAndConversion!$AV$3:$AV$387,0),1),"-"))</f>
        <v>-</v>
      </c>
      <c r="CG23" s="498" t="str">
        <f ca="1">IF(OR(LEFT(ListAndConversion!BW23,3)="Dil",LEFT(ListAndConversion!BW23,3)="Poo"),ListAndConversion!BU23,IF(LEFT(ListAndConversion!BW23,3)="Sou",INDEX(ListAndConversion!$AT$4:$AV$387,MATCH(ListAndConversion!BV23,ListAndConversion!$AV$4:$AV$387,0),2),"-"))</f>
        <v>-</v>
      </c>
      <c r="CH23"/>
      <c r="CI23" s="487" t="str">
        <f t="shared" ca="1" si="19"/>
        <v>-</v>
      </c>
      <c r="CJ23" s="378" t="str">
        <f t="shared" ca="1" si="24"/>
        <v>-</v>
      </c>
      <c r="CK23" s="378" t="str">
        <f t="shared" ca="1" si="24"/>
        <v>-</v>
      </c>
      <c r="CL23" s="378" t="str">
        <f t="shared" ca="1" si="24"/>
        <v>-</v>
      </c>
      <c r="CM23" s="378" t="str">
        <f t="shared" ca="1" si="24"/>
        <v>-</v>
      </c>
      <c r="CN23" s="378" t="str">
        <f t="shared" ca="1" si="24"/>
        <v>-</v>
      </c>
      <c r="CO23" s="378" t="str">
        <f t="shared" ca="1" si="24"/>
        <v>-</v>
      </c>
      <c r="CP23" s="378" t="str">
        <f t="shared" ca="1" si="24"/>
        <v>-</v>
      </c>
      <c r="CQ23" s="378" t="str">
        <f t="shared" ca="1" si="24"/>
        <v>-</v>
      </c>
      <c r="CR23" s="510" t="str">
        <f ca="1">IFERROR(IF(LEFT(BW23,3)="Poo",INDEX($BE$4:$BJ$99,MATCH(CI23,$BG$4:$BG$99,0),6)*((15/50))*Calculation!$AK$6,INDEX(Calculation_Tab,MATCH(BV23,Identifier,0),10)/(IF(LEN(INDEX(Calculation_Tab,MATCH(BV23,Identifier,0),9))&gt;8,LEN(INDEX(Calculation_Tab,MATCH(BV23,Identifier,0),9))-8,1))*((15/50)*Calculation!$AK$6)),"-")</f>
        <v>-</v>
      </c>
      <c r="CS23" s="498" t="str">
        <f ca="1">IF(CI23="-","-",IF(COUNTIF($CI$3:CI23,CI23)&gt;1,0,IFERROR((35/50)*Calculation!$AK$6,"-")))</f>
        <v>-</v>
      </c>
    </row>
    <row r="24" spans="4:97" x14ac:dyDescent="0.5">
      <c r="D24" s="487" t="e">
        <f t="shared" si="0"/>
        <v>#DIV/0!</v>
      </c>
      <c r="E24" s="496" t="e">
        <f t="array" ref="E24">IF(IF((ROW(E24)-3)&lt;(ListAndConversion!$A$15),INDEX(Flow_Cell_Lane,MIN(IF(COUNTIF($E$2:E23,Flow_Cell_Lane)=0,ROW(Flow_Cell_Lane)-9))),"-")="","-",IF((ROW(E24)-3)&lt;(ListAndConversion!$A$15),INDEX(Flow_Cell_Lane,MIN(IF(COUNTIF($E$2:E23,Flow_Cell_Lane)=0,ROW(Flow_Cell_Lane)-9))),"-"))</f>
        <v>#DIV/0!</v>
      </c>
      <c r="F24" s="378" t="e">
        <f t="shared" si="1"/>
        <v>#DIV/0!</v>
      </c>
      <c r="G24" s="378" t="e">
        <f t="shared" si="26"/>
        <v>#DIV/0!</v>
      </c>
      <c r="H24" s="378" t="e">
        <f t="shared" si="26"/>
        <v>#DIV/0!</v>
      </c>
      <c r="I24" s="378" t="e">
        <f t="shared" si="26"/>
        <v>#DIV/0!</v>
      </c>
      <c r="J24" s="378" t="e">
        <f t="shared" si="26"/>
        <v>#DIV/0!</v>
      </c>
      <c r="K24" s="378" t="e">
        <f t="shared" si="26"/>
        <v>#DIV/0!</v>
      </c>
      <c r="L24" s="378" t="e">
        <f t="shared" si="26"/>
        <v>#DIV/0!</v>
      </c>
      <c r="M24" s="378" t="e">
        <f t="shared" si="26"/>
        <v>#DIV/0!</v>
      </c>
      <c r="N24" s="497" t="e">
        <f t="shared" si="3"/>
        <v>#DIV/0!</v>
      </c>
      <c r="O24" s="497" t="str">
        <f t="array" ref="O24">IFERROR(INDEX(Calculation!I:AN,MATCH(ListAndConversion!E24,Calculation!I:I,0),31),"-")</f>
        <v>-</v>
      </c>
      <c r="P24" s="498">
        <f>IF(COUNTIFS(Calculation!$I$10:$I$393,E24,Direct_Denaturation,"-")&lt;&gt;1,COUNTIFS(Calculation!$I$10:$I$393,E24,Direct_Denaturation,"-"),0)</f>
        <v>0</v>
      </c>
      <c r="Q24" s="378"/>
      <c r="R24" s="487" t="e">
        <f t="array" ref="R24">IF(IF((ROW(R24)-3)&lt;(Calculation!$H$6),INDEX(Flow_Cell,MIN(IF(COUNTIF($R$2:R23,Flow_Cell)=0,ROW(Flow_Cell)-9))),"-")="","-",IF((ROW(R24)-3)&lt;(Calculation!$H$6),INDEX(Flow_Cell,MIN(IF(COUNTIF($R$2:R23,Flow_Cell)=0,ROW(Flow_Cell)-9))),"-"))</f>
        <v>#DIV/0!</v>
      </c>
      <c r="S24" s="378" t="e">
        <f t="shared" si="25"/>
        <v>#DIV/0!</v>
      </c>
      <c r="T24" s="378">
        <v>6</v>
      </c>
      <c r="U24" s="498">
        <v>22</v>
      </c>
      <c r="V24" s="487">
        <v>21</v>
      </c>
      <c r="W24" s="497" t="s">
        <v>287</v>
      </c>
      <c r="X24" s="497" t="s">
        <v>335</v>
      </c>
      <c r="Y24" s="378">
        <v>21</v>
      </c>
      <c r="Z24" s="378" t="str">
        <f t="shared" ca="1" si="5"/>
        <v>-</v>
      </c>
      <c r="AA24" s="508" t="str">
        <f t="array" aca="1" ref="AA24" ca="1">IFERROR(INDEX(Calculation_Tab,SMALL(ROW(Sample_Intermediate_Dil)*(Sample_Intermediate_Dil&lt;&gt;"-"),COUNTIF(Sample_Intermediate_Dil,"-")+ROW()-3)-9,5),"-")</f>
        <v>-</v>
      </c>
      <c r="AB24" s="378" t="str">
        <f t="array" aca="1" ref="AB24" ca="1">IFERROR(INDEX($A$3:$B$12,MATCH(INDEX(Calculation_Tab,SMALL(ROW(Sample_Intermediate_Dil)*(Sample_Intermediate_Dil&lt;&gt;"-"),COUNTIF(Sample_Intermediate_Dil,"-")+ROW()-3)-9,5),$A$3:$A$12,0),2),"-")</f>
        <v>-</v>
      </c>
      <c r="AC24" s="509" t="str">
        <f t="array" aca="1" ref="AC24" ca="1">IFERROR(INDEX(Coordinate,MATCH(INDEX(Calculation_Tab,SMALL(ROW(Sample_Intermediate_Dil)*(Sample_Intermediate_Dil&lt;&gt;"-"),COUNTIF(Sample_Intermediate_Dil,"-")+ROW()-3)-9,6),$X$4:$X$99,0),2),"-")</f>
        <v>-</v>
      </c>
      <c r="AD24" s="510" t="str">
        <f t="array" aca="1" ref="AD24" ca="1">IFERROR(INDEX(Calculation_Tab,SMALL(ROW(Sample_Intermediate_Dil)*(Sample_Intermediate_Dil&lt;&gt;"-"),COUNTIF(Sample_Intermediate_Dil,"-")+ROW()-3)-9,24),"-")</f>
        <v>-</v>
      </c>
      <c r="AE24" s="510" t="str">
        <f t="array" aca="1" ref="AE24" ca="1">IFERROR(INDEX(Calculation_Tab,SMALL(ROW(Sample_Intermediate_Dil)*(Sample_Intermediate_Dil&lt;&gt;"-"),COUNTIF(Sample_Intermediate_Dil,"-")+ROW()-3)-9,25),"-")</f>
        <v>-</v>
      </c>
      <c r="AF24" s="510" t="str">
        <f t="array" aca="1" ref="AF24" ca="1">IFERROR(INDEX(Calculation_Tab,SMALL(ROW(Sample_Intermediate_Dil)*(Sample_Intermediate_Dil&lt;&gt;"-"),COUNTIF(Sample_Intermediate_Dil,"-")+ROW()-3)-9,26),"-")</f>
        <v>-</v>
      </c>
      <c r="AG24" s="511" t="str">
        <f t="array" aca="1" ref="AG24" ca="1">IFERROR(INDEX(Calculation_Tab,SMALL(ROW(Sample_Intermediate_Dil)*(Sample_Intermediate_Dil&lt;&gt;"-"),COUNTIF(Sample_Intermediate_Dil,"-")+ROW()-3)-9,27),"-")</f>
        <v>-</v>
      </c>
      <c r="AI24" s="487">
        <v>21</v>
      </c>
      <c r="AJ24" s="497" t="s">
        <v>160</v>
      </c>
      <c r="AK24" s="378">
        <v>21</v>
      </c>
      <c r="AL24" s="378" t="str">
        <f t="shared" ca="1" si="6"/>
        <v>-</v>
      </c>
      <c r="AM24" s="378" t="str">
        <f t="array" aca="1" ref="AM24" ca="1">IFERROR(IF(AI24&lt;=$AB$2,"-",INDEX(Calculation_Tab,SMALL(ROW(Main_Dil)*(Main_Dil&lt;&gt;"-"),COUNTIF(Main_Dil,"-")+ROW()-3-$AB$2)-9,5)),"-")</f>
        <v>-</v>
      </c>
      <c r="AN24" s="378" t="str">
        <f t="array" aca="1" ref="AN24" ca="1">IFERROR(IF(AI24&lt;=$AB$2,"-",INDEX($A$3:$B$12,MATCH(INDEX(Calculation_Tab,SMALL(ROW(Main_Dil)*(Main_Dil&lt;&gt;"-"),COUNTIF(Main_Dil,"-")+ROW()-3-$AB$2)-9,5),$A$3:$A$12,0),2)),"-")</f>
        <v>-</v>
      </c>
      <c r="AO24" s="378" t="str">
        <f t="array" aca="1" ref="AO24" ca="1">IFERROR(IF(AI24&lt;=$AB$2,"-",INDEX(Coordinate,MATCH(INDEX(Calculation_Tab,SMALL(ROW(Main_Dil)*(Main_Dil&lt;&gt;"-"),COUNTIF(Main_Dil,"-")+ROW()-3-$AB$2)-9,6),$X$4:$X$99,0),2)),"-")</f>
        <v>-</v>
      </c>
      <c r="AP24" s="510" t="str">
        <f t="array" aca="1" ref="AP24" ca="1">IFERROR(IF(AI24&lt;=$AB$2,"-",INDEX(Calculation_Tab,SMALL(ROW(Main_Dil)*(Main_Dil&lt;&gt;"-"),COUNTIF(Main_Dil,"-")+ROW()-3-$AB$2)-9,21)),"-")</f>
        <v>-</v>
      </c>
      <c r="AQ24" s="511" t="str">
        <f t="array" aca="1" ref="AQ24" ca="1">IFERROR(IF(AI24&lt;=$AB$2,"-",INDEX(Calculation_Tab,SMALL(ROW(Main_Dil)*(Main_Dil&lt;&gt;"-"),COUNTIF(Main_Dil,"-")+ROW()-3-$AB$2)-9,22)),"-")</f>
        <v>-</v>
      </c>
      <c r="AR24" s="487" t="str">
        <f t="shared" ca="1" si="7"/>
        <v>-</v>
      </c>
      <c r="AS24" s="378">
        <v>21</v>
      </c>
      <c r="AT24" s="497" t="s">
        <v>160</v>
      </c>
      <c r="AU24" s="498">
        <v>21</v>
      </c>
      <c r="AV24" s="378" t="str">
        <f t="shared" ca="1" si="8"/>
        <v>-</v>
      </c>
      <c r="AW24" s="378" t="str">
        <f t="array" aca="1" ref="AW24" ca="1">IFERROR(IF(AS24&lt;=$AB$2+$AN$2,"-",INDEX(Calculation_Tab,SMALL(ROW(Direct_Denaturation)*(Direct_Denaturation&lt;&gt;"-"),COUNTIF(Direct_Denaturation,"-")+ROW()-3-$AB$2-$AN$2)-9,5)),"-")</f>
        <v>-</v>
      </c>
      <c r="AX24" s="378" t="str">
        <f t="array" aca="1" ref="AX24" ca="1">IFERROR(IF(AS24&lt;=$AB$2+$AN$2,"-",INDEX($A$3:$B$12,MATCH(INDEX(Calculation_Tab,SMALL(ROW(Direct_Denaturation)*(Direct_Denaturation&lt;&gt;"-"),COUNTIF(Direct_Denaturation,"-")+ROW()-3-$AB$2-$AN$2)-9,5),$A$3:$A$12,0),2)),"-")</f>
        <v>-</v>
      </c>
      <c r="AY24" s="378" t="str">
        <f t="array" aca="1" ref="AY24" ca="1">IFERROR(IF(AS24&lt;=$AB$2+$AN$2,"-",INDEX(Coordinate,MATCH(INDEX(Calculation_Tab,SMALL(ROW(Direct_Denaturation)*(Direct_Denaturation&lt;&gt;"-"),COUNTIF(Direct_Denaturation,"-")+ROW()-3-$AB$2-$AN$2)-9,6),$X$4:$X$99,0),2)),"-")</f>
        <v>-</v>
      </c>
      <c r="AZ24" s="510" t="str">
        <f t="array" aca="1" ref="AZ24" ca="1">IFERROR(IF(AS24&lt;=$AB$2+$AN$2,"-",INDEX(Calculation_Tab,SMALL(ROW(Direct_Denaturation)*(Direct_Denaturation&lt;&gt;"-"),COUNTIF(Direct_Denaturation,"-")+ROW()-3-$AB$2-$AN$2)-9,32)),"-")</f>
        <v>-</v>
      </c>
      <c r="BA24" s="510" t="str">
        <f t="array" aca="1" ref="BA24" ca="1">IFERROR(IF(AS24&lt;=$AB$2+$AN$2,"-",INDEX(Calculation_Tab,SMALL(ROW(Direct_Denaturation)*(Direct_Denaturation&lt;&gt;"-"),COUNTIF(Direct_Denaturation,"-")+ROW()-3-$AB$2-$AN$2)-9,34)),"-")</f>
        <v>-</v>
      </c>
      <c r="BB24" s="510" t="str">
        <f t="array" aca="1" ref="BB24" ca="1">IFERROR(IF(AS24&lt;=$AB$2+$AN$2,"-",INDEX(Calculation_Tab,SMALL(ROW(Direct_Denaturation)*(Direct_Denaturation&lt;&gt;"-"),COUNTIF(Direct_Denaturation,"-")+ROW()-3-$AB$2-$AN$2)-9,33)),"-")</f>
        <v>-</v>
      </c>
      <c r="BC24" s="510" t="str">
        <f t="array" aca="1" ref="BC24" ca="1">IFERROR(IF(AS24&lt;=$AB$2+$AN$2,"-",INDEX(Calculation_Tab,SMALL(ROW(Direct_Denaturation)*(Direct_Denaturation&lt;&gt;"-"),COUNTIF(Direct_Denaturation,"-")+ROW()-3-$AB$2-$AN$2)-9,35)),"-")</f>
        <v>-</v>
      </c>
      <c r="BD24" s="511" t="str">
        <f t="shared" ca="1" si="9"/>
        <v>-</v>
      </c>
      <c r="BE24" s="494" t="s">
        <v>336</v>
      </c>
      <c r="BF24" s="378">
        <v>21</v>
      </c>
      <c r="BG24" s="515" t="str">
        <v>-</v>
      </c>
      <c r="BH24" s="516" t="str">
        <f>IFERROR(IF((Calculation!$AR$6/INDEX(ListAndConversion!D:P,MATCH(BG24,E:E,0),13))&lt;Calculation!$O$6,INDEX(ListAndConversion!D:P,MATCH(BG24,E:E,0),13)*Calculation!$O$6,Calculation!$AR$6),"-")</f>
        <v>-</v>
      </c>
      <c r="BI24" s="517" t="str">
        <f t="shared" si="10"/>
        <v>-</v>
      </c>
      <c r="BJ24" s="518" t="str">
        <f t="shared" si="11"/>
        <v>-</v>
      </c>
      <c r="BK24" s="378" t="s">
        <v>158</v>
      </c>
      <c r="BL24" s="378">
        <v>21</v>
      </c>
      <c r="BM24" s="487" t="str">
        <f t="array" aca="1" ref="BM24" ca="1">IFERROR(INDEX(Calculation_Tab,SMALL(ROW(ToPool)*(ToPool&lt;&gt;"-"),COUNTIF(ToPool,"-")+ROW()-3)-9,3),"-")</f>
        <v>-</v>
      </c>
      <c r="BN24" s="378" t="str">
        <f t="shared" ca="1" si="12"/>
        <v>-</v>
      </c>
      <c r="BO24" s="378" t="str">
        <f t="shared" ca="1" si="13"/>
        <v>-</v>
      </c>
      <c r="BP24" s="523" t="str">
        <f t="shared" ca="1" si="14"/>
        <v>-</v>
      </c>
      <c r="BQ24" s="378" t="str">
        <f t="array" aca="1" ref="BQ24" ca="1">IFERROR(INDEX(BE:BG,MATCH(INDEX(Calculation_Tab,SMALL(ROW(ToPool)*(ToPool&lt;&gt;"-"),COUNTIF(ToPool,"-")+ROW()-3)-9,9),BG:BG,0),2),"-")</f>
        <v>-</v>
      </c>
      <c r="BR24" s="510" t="str">
        <f t="shared" ca="1" si="15"/>
        <v>-</v>
      </c>
      <c r="BS24" s="511" t="str">
        <f t="shared" ca="1" si="16"/>
        <v>-</v>
      </c>
      <c r="BT24" s="378" t="s">
        <v>164</v>
      </c>
      <c r="BU24" s="487" t="str">
        <f t="shared" ca="1" si="21"/>
        <v>-</v>
      </c>
      <c r="BV24" s="487" t="str">
        <f t="array" aca="1" ref="BV2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4" s="378" t="str">
        <f t="shared" ca="1" si="17"/>
        <v>-</v>
      </c>
      <c r="BX24" s="378" t="str">
        <f t="shared" ca="1" si="18"/>
        <v>-</v>
      </c>
      <c r="BY24" s="510" t="str">
        <f ca="1">IFERROR(ROUND(INDEX(Cluster,MATCH(IF(LEFT(BV24,4)="Pool",INDEX(Cluster,MATCH(INDEX(Calculation_Tab,MATCH(INDEX($BE$4:$BJ$99,MATCH(BV24,$BE$4:$BE$99,0),3),Flow_Cell_Lane,0),3),Cluster!$F$29:$F$412,0),6),BV24),Identifier_Cluster,0),19)*IF(LEFT(BV24,4)="pool",IF(LEN(INDEX($BE$4:$BJ$99,MATCH(BV24,$BE$4:$BE$99,0),3))=10,2,IF(LEN(INDEX($BE$4:$BJ$99,MATCH(BV24,$BE$4:$BE$99,0),3))&gt;10,LEN(INDEX($BE$4:$BJ$99,MATCH(BV24,$BE$4:$BE$99,0),3))-8,1)),1)*IF(LEFT(BV24,4)="pool",IF(INDEX($BE$4:$BJ$99,MATCH(BV24,$BE$4:$BE$99,0),6)&lt;1,1,INDEX($BE$4:$BJ$99,MATCH(BV24,$BE$4:$BE$99,0),6)),INDEX(Calculation_Tab,MATCH(BV24,Identifier,0),10)),1)*(1+Calculation!$Q$6),"-")</f>
        <v>-</v>
      </c>
      <c r="BZ24" s="378" t="str">
        <f ca="1">IFERROR((0.5/50)*CE24/Calculation!$AG$6*(IF(LEFT(BV24,4)="Pool",IF(LEN(INDEX($BE$4:$BJ$99,MATCH(BV24,$BE$4:$BE$99,0),3))=10,2,IF(LEN(INDEX($BE$4:$BJ$99,MATCH(BV24,$BE$4:$BE$99,0),3))&gt;10,LEN(INDEX($BE$4:$BJ$99,MATCH(BV24,$BE$4:$BE$99,0),3))-8,1)),IF(INDEX(Calculation_Tab,MATCH(BV24,Identifier,0),10)&gt;1,INDEX(Calculation_Tab,MATCH(BV24,Identifier,0),10),1)))*(1+Calculation!$Q$6),"-")</f>
        <v>-</v>
      </c>
      <c r="CA24" s="510" t="str">
        <f ca="1">IFERROR(IF((BZ24*Calculation!$AG$6/0.05)-SUM(BY24:BZ24,CC24)&gt;0,(BZ24*Calculation!$AG$6/0.05)-SUM(BY24:BZ24,CC24),0),"-")</f>
        <v>-</v>
      </c>
      <c r="CB24" s="510" t="str">
        <f ca="1">IFERROR(5/50*CE24*(IF(LEFT(BV24,4)="Pool",IF(LEN(INDEX($BE$4:$BJ$99,MATCH(BV24,$BE$4:$BE$99,0),3))=10,2,IF(LEN(INDEX($BE$4:$BJ$99,MATCH(BV24,$BE$4:$BE$99,0),3))&gt;10,LEN(INDEX($BE$4:$BJ$99,MATCH(BV24,$BE$4:$BE$99,0),3))-8,1)),IF(INDEX(Calculation_Tab,MATCH(BV24,Identifier,0),10)&gt;1,INDEX(Calculation_Tab,MATCH(BV24,Identifier,0),10),1)))*(1+Calculation!$Q$6),"-")</f>
        <v>-</v>
      </c>
      <c r="CC24" s="508" t="str">
        <f ca="1">IFERROR(ROUND(INDEX(Cluster,MATCH(IF(LEFT(BV24,4)="Pool",INDEX(Cluster,MATCH(INDEX(Calculation_Tab,MATCH(INDEX($BE$4:$BJ$99,MATCH(BV24,$BE$4:$BE$99,0),3),Flow_Cell_Lane,0),3),Cluster!$F$29:$F$412,0),6),BV24),Identifier_Cluster,0),20)*IF(LEFT(BV24,4)="pool",IF(LEN(INDEX($BE$4:$BJ$99,MATCH(BV24,$BE$4:$BE$99,0),3))=10,2,IF(LEN(INDEX($BE$4:$BJ$99,MATCH(BV24,$BE$4:$BE$99,0),3))&gt;10,LEN(INDEX($BE$4:$BJ$99,MATCH(BV24,$BE$4:$BE$99,0),3))-8,1)),1)*IF(LEFT(BV24,4)="pool",IF(INDEX($BE$4:$BJ$99,MATCH(BV24,$BE$4:$BE$99,0),6)&lt;1,1,INDEX($BE$4:$BJ$99,MATCH(BV24,$BE$4:$BE$99,0),6)),INDEX(Calculation_Tab,MATCH(BV24,Identifier,0),10)),1)*(1+Calculation!$Q$6),"-")</f>
        <v>-</v>
      </c>
      <c r="CD24" s="509" t="str">
        <f ca="1">IFERROR(INDEX(Cluster!AC:AD,MATCH(IF(LEFT(BV24,4)="Pool",INDEX(Cluster!$D$29:$AA$412,MATCH(INDEX(Calculation_Tab,MATCH(INDEX($BE$4:$BJ$99,MATCH(BV24,$BE$4:$BE$99,0),3),Flow_Cell_Lane,0),3),Cluster!$F$29:$F$412,0),24),INDEX(Cluster!$D$29:$AA$412,MATCH(BV24,Cluster!$F$29:$F$412,0),24)),Cluster!AC:AC,0),2),"-")</f>
        <v>-</v>
      </c>
      <c r="CE24" s="378" t="str">
        <f ca="1">IFERROR(IF(BV24&lt;&gt;"-",Calculation!$AK$6,"-"),"-")</f>
        <v>-</v>
      </c>
      <c r="CF24" s="378" t="str">
        <f ca="1">IF(OR(LEFT(ListAndConversion!BW24,3)="Dil",LEFT(ListAndConversion!BW24,3)="Poo"),ListAndConversion!$BT$4,IF(LEFT(ListAndConversion!BW24,3)="Sou",INDEX(ListAndConversion!$AT$3:$AV$387,MATCH(ListAndConversion!BV24,ListAndConversion!$AV$3:$AV$387,0),1),"-"))</f>
        <v>-</v>
      </c>
      <c r="CG24" s="498" t="str">
        <f ca="1">IF(OR(LEFT(ListAndConversion!BW24,3)="Dil",LEFT(ListAndConversion!BW24,3)="Poo"),ListAndConversion!BU24,IF(LEFT(ListAndConversion!BW24,3)="Sou",INDEX(ListAndConversion!$AT$4:$AV$387,MATCH(ListAndConversion!BV24,ListAndConversion!$AV$4:$AV$387,0),2),"-"))</f>
        <v>-</v>
      </c>
      <c r="CH24"/>
      <c r="CI24" s="487" t="str">
        <f t="shared" ca="1" si="19"/>
        <v>-</v>
      </c>
      <c r="CJ24" s="378" t="str">
        <f t="shared" ref="CJ24:CQ33" ca="1" si="27">IFERROR(INDEX($R$3:$U$98,MATCH(INDEX($F$3:$M$387,MATCH($CI24,$E$3:$E$386,0),CJ$3),$S$3:$S$98,0),4),"-")</f>
        <v>-</v>
      </c>
      <c r="CK24" s="378" t="str">
        <f t="shared" ca="1" si="27"/>
        <v>-</v>
      </c>
      <c r="CL24" s="378" t="str">
        <f t="shared" ca="1" si="27"/>
        <v>-</v>
      </c>
      <c r="CM24" s="378" t="str">
        <f t="shared" ca="1" si="27"/>
        <v>-</v>
      </c>
      <c r="CN24" s="378" t="str">
        <f t="shared" ca="1" si="27"/>
        <v>-</v>
      </c>
      <c r="CO24" s="378" t="str">
        <f t="shared" ca="1" si="27"/>
        <v>-</v>
      </c>
      <c r="CP24" s="378" t="str">
        <f t="shared" ca="1" si="27"/>
        <v>-</v>
      </c>
      <c r="CQ24" s="378" t="str">
        <f t="shared" ca="1" si="27"/>
        <v>-</v>
      </c>
      <c r="CR24" s="510" t="str">
        <f ca="1">IFERROR(IF(LEFT(BW24,3)="Poo",INDEX($BE$4:$BJ$99,MATCH(CI24,$BG$4:$BG$99,0),6)*((15/50))*Calculation!$AK$6,INDEX(Calculation_Tab,MATCH(BV24,Identifier,0),10)/(IF(LEN(INDEX(Calculation_Tab,MATCH(BV24,Identifier,0),9))&gt;8,LEN(INDEX(Calculation_Tab,MATCH(BV24,Identifier,0),9))-8,1))*((15/50)*Calculation!$AK$6)),"-")</f>
        <v>-</v>
      </c>
      <c r="CS24" s="498" t="str">
        <f ca="1">IF(CI24="-","-",IF(COUNTIF($CI$3:CI24,CI24)&gt;1,0,IFERROR((35/50)*Calculation!$AK$6,"-")))</f>
        <v>-</v>
      </c>
    </row>
    <row r="25" spans="4:97" x14ac:dyDescent="0.5">
      <c r="D25" s="487" t="e">
        <f t="shared" si="0"/>
        <v>#DIV/0!</v>
      </c>
      <c r="E25" s="496" t="e">
        <f t="array" ref="E25">IF(IF((ROW(E25)-3)&lt;(ListAndConversion!$A$15),INDEX(Flow_Cell_Lane,MIN(IF(COUNTIF($E$2:E24,Flow_Cell_Lane)=0,ROW(Flow_Cell_Lane)-9))),"-")="","-",IF((ROW(E25)-3)&lt;(ListAndConversion!$A$15),INDEX(Flow_Cell_Lane,MIN(IF(COUNTIF($E$2:E24,Flow_Cell_Lane)=0,ROW(Flow_Cell_Lane)-9))),"-"))</f>
        <v>#DIV/0!</v>
      </c>
      <c r="F25" s="378" t="e">
        <f t="shared" si="1"/>
        <v>#DIV/0!</v>
      </c>
      <c r="G25" s="378" t="e">
        <f t="shared" si="26"/>
        <v>#DIV/0!</v>
      </c>
      <c r="H25" s="378" t="e">
        <f t="shared" si="26"/>
        <v>#DIV/0!</v>
      </c>
      <c r="I25" s="378" t="e">
        <f t="shared" si="26"/>
        <v>#DIV/0!</v>
      </c>
      <c r="J25" s="378" t="e">
        <f t="shared" si="26"/>
        <v>#DIV/0!</v>
      </c>
      <c r="K25" s="378" t="e">
        <f t="shared" si="26"/>
        <v>#DIV/0!</v>
      </c>
      <c r="L25" s="378" t="e">
        <f t="shared" si="26"/>
        <v>#DIV/0!</v>
      </c>
      <c r="M25" s="378" t="e">
        <f t="shared" si="26"/>
        <v>#DIV/0!</v>
      </c>
      <c r="N25" s="497" t="e">
        <f t="shared" si="3"/>
        <v>#DIV/0!</v>
      </c>
      <c r="O25" s="497" t="str">
        <f t="array" ref="O25">IFERROR(INDEX(Calculation!I:AN,MATCH(ListAndConversion!E25,Calculation!I:I,0),31),"-")</f>
        <v>-</v>
      </c>
      <c r="P25" s="498">
        <f>IF(COUNTIFS(Calculation!$I$10:$I$393,E25,Direct_Denaturation,"-")&lt;&gt;1,COUNTIFS(Calculation!$I$10:$I$393,E25,Direct_Denaturation,"-"),0)</f>
        <v>0</v>
      </c>
      <c r="Q25" s="378"/>
      <c r="R25" s="487" t="e">
        <f t="array" ref="R25">IF(IF((ROW(R25)-3)&lt;(Calculation!$H$6),INDEX(Flow_Cell,MIN(IF(COUNTIF($R$2:R24,Flow_Cell)=0,ROW(Flow_Cell)-9))),"-")="","-",IF((ROW(R25)-3)&lt;(Calculation!$H$6),INDEX(Flow_Cell,MIN(IF(COUNTIF($R$2:R24,Flow_Cell)=0,ROW(Flow_Cell)-9))),"-"))</f>
        <v>#DIV/0!</v>
      </c>
      <c r="S25" s="378" t="e">
        <f t="shared" si="25"/>
        <v>#DIV/0!</v>
      </c>
      <c r="T25" s="378">
        <v>7</v>
      </c>
      <c r="U25" s="498">
        <v>23</v>
      </c>
      <c r="V25" s="487">
        <v>22</v>
      </c>
      <c r="W25" s="497" t="s">
        <v>287</v>
      </c>
      <c r="X25" s="497" t="s">
        <v>337</v>
      </c>
      <c r="Y25" s="378">
        <v>22</v>
      </c>
      <c r="Z25" s="378" t="str">
        <f t="shared" ca="1" si="5"/>
        <v>-</v>
      </c>
      <c r="AA25" s="508" t="str">
        <f t="array" aca="1" ref="AA25" ca="1">IFERROR(INDEX(Calculation_Tab,SMALL(ROW(Sample_Intermediate_Dil)*(Sample_Intermediate_Dil&lt;&gt;"-"),COUNTIF(Sample_Intermediate_Dil,"-")+ROW()-3)-9,5),"-")</f>
        <v>-</v>
      </c>
      <c r="AB25" s="378" t="str">
        <f t="array" aca="1" ref="AB25" ca="1">IFERROR(INDEX($A$3:$B$12,MATCH(INDEX(Calculation_Tab,SMALL(ROW(Sample_Intermediate_Dil)*(Sample_Intermediate_Dil&lt;&gt;"-"),COUNTIF(Sample_Intermediate_Dil,"-")+ROW()-3)-9,5),$A$3:$A$12,0),2),"-")</f>
        <v>-</v>
      </c>
      <c r="AC25" s="509" t="str">
        <f t="array" aca="1" ref="AC25" ca="1">IFERROR(INDEX(Coordinate,MATCH(INDEX(Calculation_Tab,SMALL(ROW(Sample_Intermediate_Dil)*(Sample_Intermediate_Dil&lt;&gt;"-"),COUNTIF(Sample_Intermediate_Dil,"-")+ROW()-3)-9,6),$X$4:$X$99,0),2),"-")</f>
        <v>-</v>
      </c>
      <c r="AD25" s="510" t="str">
        <f t="array" aca="1" ref="AD25" ca="1">IFERROR(INDEX(Calculation_Tab,SMALL(ROW(Sample_Intermediate_Dil)*(Sample_Intermediate_Dil&lt;&gt;"-"),COUNTIF(Sample_Intermediate_Dil,"-")+ROW()-3)-9,24),"-")</f>
        <v>-</v>
      </c>
      <c r="AE25" s="510" t="str">
        <f t="array" aca="1" ref="AE25" ca="1">IFERROR(INDEX(Calculation_Tab,SMALL(ROW(Sample_Intermediate_Dil)*(Sample_Intermediate_Dil&lt;&gt;"-"),COUNTIF(Sample_Intermediate_Dil,"-")+ROW()-3)-9,25),"-")</f>
        <v>-</v>
      </c>
      <c r="AF25" s="510" t="str">
        <f t="array" aca="1" ref="AF25" ca="1">IFERROR(INDEX(Calculation_Tab,SMALL(ROW(Sample_Intermediate_Dil)*(Sample_Intermediate_Dil&lt;&gt;"-"),COUNTIF(Sample_Intermediate_Dil,"-")+ROW()-3)-9,26),"-")</f>
        <v>-</v>
      </c>
      <c r="AG25" s="511" t="str">
        <f t="array" aca="1" ref="AG25" ca="1">IFERROR(INDEX(Calculation_Tab,SMALL(ROW(Sample_Intermediate_Dil)*(Sample_Intermediate_Dil&lt;&gt;"-"),COUNTIF(Sample_Intermediate_Dil,"-")+ROW()-3)-9,27),"-")</f>
        <v>-</v>
      </c>
      <c r="AI25" s="487">
        <v>22</v>
      </c>
      <c r="AJ25" s="497" t="s">
        <v>160</v>
      </c>
      <c r="AK25" s="378">
        <v>22</v>
      </c>
      <c r="AL25" s="378" t="str">
        <f t="shared" ca="1" si="6"/>
        <v>-</v>
      </c>
      <c r="AM25" s="378" t="str">
        <f t="array" aca="1" ref="AM25" ca="1">IFERROR(IF(AI25&lt;=$AB$2,"-",INDEX(Calculation_Tab,SMALL(ROW(Main_Dil)*(Main_Dil&lt;&gt;"-"),COUNTIF(Main_Dil,"-")+ROW()-3-$AB$2)-9,5)),"-")</f>
        <v>-</v>
      </c>
      <c r="AN25" s="378" t="str">
        <f t="array" aca="1" ref="AN25" ca="1">IFERROR(IF(AI25&lt;=$AB$2,"-",INDEX($A$3:$B$12,MATCH(INDEX(Calculation_Tab,SMALL(ROW(Main_Dil)*(Main_Dil&lt;&gt;"-"),COUNTIF(Main_Dil,"-")+ROW()-3-$AB$2)-9,5),$A$3:$A$12,0),2)),"-")</f>
        <v>-</v>
      </c>
      <c r="AO25" s="378" t="str">
        <f t="array" aca="1" ref="AO25" ca="1">IFERROR(IF(AI25&lt;=$AB$2,"-",INDEX(Coordinate,MATCH(INDEX(Calculation_Tab,SMALL(ROW(Main_Dil)*(Main_Dil&lt;&gt;"-"),COUNTIF(Main_Dil,"-")+ROW()-3-$AB$2)-9,6),$X$4:$X$99,0),2)),"-")</f>
        <v>-</v>
      </c>
      <c r="AP25" s="510" t="str">
        <f t="array" aca="1" ref="AP25" ca="1">IFERROR(IF(AI25&lt;=$AB$2,"-",INDEX(Calculation_Tab,SMALL(ROW(Main_Dil)*(Main_Dil&lt;&gt;"-"),COUNTIF(Main_Dil,"-")+ROW()-3-$AB$2)-9,21)),"-")</f>
        <v>-</v>
      </c>
      <c r="AQ25" s="511" t="str">
        <f t="array" aca="1" ref="AQ25" ca="1">IFERROR(IF(AI25&lt;=$AB$2,"-",INDEX(Calculation_Tab,SMALL(ROW(Main_Dil)*(Main_Dil&lt;&gt;"-"),COUNTIF(Main_Dil,"-")+ROW()-3-$AB$2)-9,22)),"-")</f>
        <v>-</v>
      </c>
      <c r="AR25" s="487" t="str">
        <f t="shared" ca="1" si="7"/>
        <v>-</v>
      </c>
      <c r="AS25" s="378">
        <v>22</v>
      </c>
      <c r="AT25" s="497" t="s">
        <v>160</v>
      </c>
      <c r="AU25" s="498">
        <v>22</v>
      </c>
      <c r="AV25" s="378" t="str">
        <f t="shared" ca="1" si="8"/>
        <v>-</v>
      </c>
      <c r="AW25" s="378" t="str">
        <f t="array" aca="1" ref="AW25" ca="1">IFERROR(IF(AS25&lt;=$AB$2+$AN$2,"-",INDEX(Calculation_Tab,SMALL(ROW(Direct_Denaturation)*(Direct_Denaturation&lt;&gt;"-"),COUNTIF(Direct_Denaturation,"-")+ROW()-3-$AB$2-$AN$2)-9,5)),"-")</f>
        <v>-</v>
      </c>
      <c r="AX25" s="378" t="str">
        <f t="array" aca="1" ref="AX25" ca="1">IFERROR(IF(AS25&lt;=$AB$2+$AN$2,"-",INDEX($A$3:$B$12,MATCH(INDEX(Calculation_Tab,SMALL(ROW(Direct_Denaturation)*(Direct_Denaturation&lt;&gt;"-"),COUNTIF(Direct_Denaturation,"-")+ROW()-3-$AB$2-$AN$2)-9,5),$A$3:$A$12,0),2)),"-")</f>
        <v>-</v>
      </c>
      <c r="AY25" s="378" t="str">
        <f t="array" aca="1" ref="AY25" ca="1">IFERROR(IF(AS25&lt;=$AB$2+$AN$2,"-",INDEX(Coordinate,MATCH(INDEX(Calculation_Tab,SMALL(ROW(Direct_Denaturation)*(Direct_Denaturation&lt;&gt;"-"),COUNTIF(Direct_Denaturation,"-")+ROW()-3-$AB$2-$AN$2)-9,6),$X$4:$X$99,0),2)),"-")</f>
        <v>-</v>
      </c>
      <c r="AZ25" s="510" t="str">
        <f t="array" aca="1" ref="AZ25" ca="1">IFERROR(IF(AS25&lt;=$AB$2+$AN$2,"-",INDEX(Calculation_Tab,SMALL(ROW(Direct_Denaturation)*(Direct_Denaturation&lt;&gt;"-"),COUNTIF(Direct_Denaturation,"-")+ROW()-3-$AB$2-$AN$2)-9,32)),"-")</f>
        <v>-</v>
      </c>
      <c r="BA25" s="510" t="str">
        <f t="array" aca="1" ref="BA25" ca="1">IFERROR(IF(AS25&lt;=$AB$2+$AN$2,"-",INDEX(Calculation_Tab,SMALL(ROW(Direct_Denaturation)*(Direct_Denaturation&lt;&gt;"-"),COUNTIF(Direct_Denaturation,"-")+ROW()-3-$AB$2-$AN$2)-9,34)),"-")</f>
        <v>-</v>
      </c>
      <c r="BB25" s="510" t="str">
        <f t="array" aca="1" ref="BB25" ca="1">IFERROR(IF(AS25&lt;=$AB$2+$AN$2,"-",INDEX(Calculation_Tab,SMALL(ROW(Direct_Denaturation)*(Direct_Denaturation&lt;&gt;"-"),COUNTIF(Direct_Denaturation,"-")+ROW()-3-$AB$2-$AN$2)-9,33)),"-")</f>
        <v>-</v>
      </c>
      <c r="BC25" s="510" t="str">
        <f t="array" aca="1" ref="BC25" ca="1">IFERROR(IF(AS25&lt;=$AB$2+$AN$2,"-",INDEX(Calculation_Tab,SMALL(ROW(Direct_Denaturation)*(Direct_Denaturation&lt;&gt;"-"),COUNTIF(Direct_Denaturation,"-")+ROW()-3-$AB$2-$AN$2)-9,35)),"-")</f>
        <v>-</v>
      </c>
      <c r="BD25" s="511" t="str">
        <f t="shared" ca="1" si="9"/>
        <v>-</v>
      </c>
      <c r="BE25" s="494" t="s">
        <v>338</v>
      </c>
      <c r="BF25" s="378">
        <v>22</v>
      </c>
      <c r="BG25" s="515" t="str">
        <v>-</v>
      </c>
      <c r="BH25" s="516" t="str">
        <f>IFERROR(IF((Calculation!$AR$6/INDEX(ListAndConversion!D:P,MATCH(BG25,E:E,0),13))&lt;Calculation!$O$6,INDEX(ListAndConversion!D:P,MATCH(BG25,E:E,0),13)*Calculation!$O$6,Calculation!$AR$6),"-")</f>
        <v>-</v>
      </c>
      <c r="BI25" s="517" t="str">
        <f t="shared" si="10"/>
        <v>-</v>
      </c>
      <c r="BJ25" s="518" t="str">
        <f t="shared" si="11"/>
        <v>-</v>
      </c>
      <c r="BK25" s="378" t="s">
        <v>158</v>
      </c>
      <c r="BL25" s="378">
        <v>22</v>
      </c>
      <c r="BM25" s="487" t="str">
        <f t="array" aca="1" ref="BM25" ca="1">IFERROR(INDEX(Calculation_Tab,SMALL(ROW(ToPool)*(ToPool&lt;&gt;"-"),COUNTIF(ToPool,"-")+ROW()-3)-9,3),"-")</f>
        <v>-</v>
      </c>
      <c r="BN25" s="378" t="str">
        <f t="shared" ca="1" si="12"/>
        <v>-</v>
      </c>
      <c r="BO25" s="378" t="str">
        <f t="shared" ca="1" si="13"/>
        <v>-</v>
      </c>
      <c r="BP25" s="523" t="str">
        <f t="shared" ca="1" si="14"/>
        <v>-</v>
      </c>
      <c r="BQ25" s="378" t="str">
        <f t="array" aca="1" ref="BQ25" ca="1">IFERROR(INDEX(BE:BG,MATCH(INDEX(Calculation_Tab,SMALL(ROW(ToPool)*(ToPool&lt;&gt;"-"),COUNTIF(ToPool,"-")+ROW()-3)-9,9),BG:BG,0),2),"-")</f>
        <v>-</v>
      </c>
      <c r="BR25" s="510" t="str">
        <f t="shared" ca="1" si="15"/>
        <v>-</v>
      </c>
      <c r="BS25" s="511" t="str">
        <f t="shared" ca="1" si="16"/>
        <v>-</v>
      </c>
      <c r="BT25" s="378" t="s">
        <v>164</v>
      </c>
      <c r="BU25" s="487" t="str">
        <f t="shared" ca="1" si="21"/>
        <v>-</v>
      </c>
      <c r="BV25" s="487" t="str">
        <f t="array" aca="1" ref="BV2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5" s="378" t="str">
        <f t="shared" ca="1" si="17"/>
        <v>-</v>
      </c>
      <c r="BX25" s="378" t="str">
        <f t="shared" ca="1" si="18"/>
        <v>-</v>
      </c>
      <c r="BY25" s="510" t="str">
        <f ca="1">IFERROR(ROUND(INDEX(Cluster,MATCH(IF(LEFT(BV25,4)="Pool",INDEX(Cluster,MATCH(INDEX(Calculation_Tab,MATCH(INDEX($BE$4:$BJ$99,MATCH(BV25,$BE$4:$BE$99,0),3),Flow_Cell_Lane,0),3),Cluster!$F$29:$F$412,0),6),BV25),Identifier_Cluster,0),19)*IF(LEFT(BV25,4)="pool",IF(LEN(INDEX($BE$4:$BJ$99,MATCH(BV25,$BE$4:$BE$99,0),3))=10,2,IF(LEN(INDEX($BE$4:$BJ$99,MATCH(BV25,$BE$4:$BE$99,0),3))&gt;10,LEN(INDEX($BE$4:$BJ$99,MATCH(BV25,$BE$4:$BE$99,0),3))-8,1)),1)*IF(LEFT(BV25,4)="pool",IF(INDEX($BE$4:$BJ$99,MATCH(BV25,$BE$4:$BE$99,0),6)&lt;1,1,INDEX($BE$4:$BJ$99,MATCH(BV25,$BE$4:$BE$99,0),6)),INDEX(Calculation_Tab,MATCH(BV25,Identifier,0),10)),1)*(1+Calculation!$Q$6),"-")</f>
        <v>-</v>
      </c>
      <c r="BZ25" s="378" t="str">
        <f ca="1">IFERROR((0.5/50)*CE25/Calculation!$AG$6*(IF(LEFT(BV25,4)="Pool",IF(LEN(INDEX($BE$4:$BJ$99,MATCH(BV25,$BE$4:$BE$99,0),3))=10,2,IF(LEN(INDEX($BE$4:$BJ$99,MATCH(BV25,$BE$4:$BE$99,0),3))&gt;10,LEN(INDEX($BE$4:$BJ$99,MATCH(BV25,$BE$4:$BE$99,0),3))-8,1)),IF(INDEX(Calculation_Tab,MATCH(BV25,Identifier,0),10)&gt;1,INDEX(Calculation_Tab,MATCH(BV25,Identifier,0),10),1)))*(1+Calculation!$Q$6),"-")</f>
        <v>-</v>
      </c>
      <c r="CA25" s="510" t="str">
        <f ca="1">IFERROR(IF((BZ25*Calculation!$AG$6/0.05)-SUM(BY25:BZ25,CC25)&gt;0,(BZ25*Calculation!$AG$6/0.05)-SUM(BY25:BZ25,CC25),0),"-")</f>
        <v>-</v>
      </c>
      <c r="CB25" s="510" t="str">
        <f ca="1">IFERROR(5/50*CE25*(IF(LEFT(BV25,4)="Pool",IF(LEN(INDEX($BE$4:$BJ$99,MATCH(BV25,$BE$4:$BE$99,0),3))=10,2,IF(LEN(INDEX($BE$4:$BJ$99,MATCH(BV25,$BE$4:$BE$99,0),3))&gt;10,LEN(INDEX($BE$4:$BJ$99,MATCH(BV25,$BE$4:$BE$99,0),3))-8,1)),IF(INDEX(Calculation_Tab,MATCH(BV25,Identifier,0),10)&gt;1,INDEX(Calculation_Tab,MATCH(BV25,Identifier,0),10),1)))*(1+Calculation!$Q$6),"-")</f>
        <v>-</v>
      </c>
      <c r="CC25" s="508" t="str">
        <f ca="1">IFERROR(ROUND(INDEX(Cluster,MATCH(IF(LEFT(BV25,4)="Pool",INDEX(Cluster,MATCH(INDEX(Calculation_Tab,MATCH(INDEX($BE$4:$BJ$99,MATCH(BV25,$BE$4:$BE$99,0),3),Flow_Cell_Lane,0),3),Cluster!$F$29:$F$412,0),6),BV25),Identifier_Cluster,0),20)*IF(LEFT(BV25,4)="pool",IF(LEN(INDEX($BE$4:$BJ$99,MATCH(BV25,$BE$4:$BE$99,0),3))=10,2,IF(LEN(INDEX($BE$4:$BJ$99,MATCH(BV25,$BE$4:$BE$99,0),3))&gt;10,LEN(INDEX($BE$4:$BJ$99,MATCH(BV25,$BE$4:$BE$99,0),3))-8,1)),1)*IF(LEFT(BV25,4)="pool",IF(INDEX($BE$4:$BJ$99,MATCH(BV25,$BE$4:$BE$99,0),6)&lt;1,1,INDEX($BE$4:$BJ$99,MATCH(BV25,$BE$4:$BE$99,0),6)),INDEX(Calculation_Tab,MATCH(BV25,Identifier,0),10)),1)*(1+Calculation!$Q$6),"-")</f>
        <v>-</v>
      </c>
      <c r="CD25" s="509" t="str">
        <f ca="1">IFERROR(INDEX(Cluster!AC:AD,MATCH(IF(LEFT(BV25,4)="Pool",INDEX(Cluster!$D$29:$AA$412,MATCH(INDEX(Calculation_Tab,MATCH(INDEX($BE$4:$BJ$99,MATCH(BV25,$BE$4:$BE$99,0),3),Flow_Cell_Lane,0),3),Cluster!$F$29:$F$412,0),24),INDEX(Cluster!$D$29:$AA$412,MATCH(BV25,Cluster!$F$29:$F$412,0),24)),Cluster!AC:AC,0),2),"-")</f>
        <v>-</v>
      </c>
      <c r="CE25" s="378" t="str">
        <f ca="1">IFERROR(IF(BV25&lt;&gt;"-",Calculation!$AK$6,"-"),"-")</f>
        <v>-</v>
      </c>
      <c r="CF25" s="378" t="str">
        <f ca="1">IF(OR(LEFT(ListAndConversion!BW25,3)="Dil",LEFT(ListAndConversion!BW25,3)="Poo"),ListAndConversion!$BT$4,IF(LEFT(ListAndConversion!BW25,3)="Sou",INDEX(ListAndConversion!$AT$3:$AV$387,MATCH(ListAndConversion!BV25,ListAndConversion!$AV$3:$AV$387,0),1),"-"))</f>
        <v>-</v>
      </c>
      <c r="CG25" s="498" t="str">
        <f ca="1">IF(OR(LEFT(ListAndConversion!BW25,3)="Dil",LEFT(ListAndConversion!BW25,3)="Poo"),ListAndConversion!BU25,IF(LEFT(ListAndConversion!BW25,3)="Sou",INDEX(ListAndConversion!$AT$4:$AV$387,MATCH(ListAndConversion!BV25,ListAndConversion!$AV$4:$AV$387,0),2),"-"))</f>
        <v>-</v>
      </c>
      <c r="CH25"/>
      <c r="CI25" s="487" t="str">
        <f t="shared" ca="1" si="19"/>
        <v>-</v>
      </c>
      <c r="CJ25" s="378" t="str">
        <f t="shared" ca="1" si="27"/>
        <v>-</v>
      </c>
      <c r="CK25" s="378" t="str">
        <f t="shared" ca="1" si="27"/>
        <v>-</v>
      </c>
      <c r="CL25" s="378" t="str">
        <f t="shared" ca="1" si="27"/>
        <v>-</v>
      </c>
      <c r="CM25" s="378" t="str">
        <f t="shared" ca="1" si="27"/>
        <v>-</v>
      </c>
      <c r="CN25" s="378" t="str">
        <f t="shared" ca="1" si="27"/>
        <v>-</v>
      </c>
      <c r="CO25" s="378" t="str">
        <f t="shared" ca="1" si="27"/>
        <v>-</v>
      </c>
      <c r="CP25" s="378" t="str">
        <f t="shared" ca="1" si="27"/>
        <v>-</v>
      </c>
      <c r="CQ25" s="378" t="str">
        <f t="shared" ca="1" si="27"/>
        <v>-</v>
      </c>
      <c r="CR25" s="510" t="str">
        <f ca="1">IFERROR(IF(LEFT(BW25,3)="Poo",INDEX($BE$4:$BJ$99,MATCH(CI25,$BG$4:$BG$99,0),6)*((15/50))*Calculation!$AK$6,INDEX(Calculation_Tab,MATCH(BV25,Identifier,0),10)/(IF(LEN(INDEX(Calculation_Tab,MATCH(BV25,Identifier,0),9))&gt;8,LEN(INDEX(Calculation_Tab,MATCH(BV25,Identifier,0),9))-8,1))*((15/50)*Calculation!$AK$6)),"-")</f>
        <v>-</v>
      </c>
      <c r="CS25" s="498" t="str">
        <f ca="1">IF(CI25="-","-",IF(COUNTIF($CI$3:CI25,CI25)&gt;1,0,IFERROR((35/50)*Calculation!$AK$6,"-")))</f>
        <v>-</v>
      </c>
    </row>
    <row r="26" spans="4:97" x14ac:dyDescent="0.5">
      <c r="D26" s="487" t="e">
        <f t="shared" si="0"/>
        <v>#DIV/0!</v>
      </c>
      <c r="E26" s="496" t="e">
        <f t="array" ref="E26">IF(IF((ROW(E26)-3)&lt;(ListAndConversion!$A$15),INDEX(Flow_Cell_Lane,MIN(IF(COUNTIF($E$2:E25,Flow_Cell_Lane)=0,ROW(Flow_Cell_Lane)-9))),"-")="","-",IF((ROW(E26)-3)&lt;(ListAndConversion!$A$15),INDEX(Flow_Cell_Lane,MIN(IF(COUNTIF($E$2:E25,Flow_Cell_Lane)=0,ROW(Flow_Cell_Lane)-9))),"-"))</f>
        <v>#DIV/0!</v>
      </c>
      <c r="F26" s="378" t="e">
        <f t="shared" si="1"/>
        <v>#DIV/0!</v>
      </c>
      <c r="G26" s="378" t="e">
        <f t="shared" si="26"/>
        <v>#DIV/0!</v>
      </c>
      <c r="H26" s="378" t="e">
        <f t="shared" si="26"/>
        <v>#DIV/0!</v>
      </c>
      <c r="I26" s="378" t="e">
        <f t="shared" si="26"/>
        <v>#DIV/0!</v>
      </c>
      <c r="J26" s="378" t="e">
        <f t="shared" si="26"/>
        <v>#DIV/0!</v>
      </c>
      <c r="K26" s="378" t="e">
        <f t="shared" si="26"/>
        <v>#DIV/0!</v>
      </c>
      <c r="L26" s="378" t="e">
        <f t="shared" si="26"/>
        <v>#DIV/0!</v>
      </c>
      <c r="M26" s="378" t="e">
        <f t="shared" si="26"/>
        <v>#DIV/0!</v>
      </c>
      <c r="N26" s="497" t="e">
        <f t="shared" si="3"/>
        <v>#DIV/0!</v>
      </c>
      <c r="O26" s="497" t="str">
        <f t="array" ref="O26">IFERROR(INDEX(Calculation!I:AN,MATCH(ListAndConversion!E26,Calculation!I:I,0),31),"-")</f>
        <v>-</v>
      </c>
      <c r="P26" s="498">
        <f>IF(COUNTIFS(Calculation!$I$10:$I$393,E26,Direct_Denaturation,"-")&lt;&gt;1,COUNTIFS(Calculation!$I$10:$I$393,E26,Direct_Denaturation,"-"),0)</f>
        <v>0</v>
      </c>
      <c r="Q26" s="378"/>
      <c r="R26" s="487" t="e">
        <f t="array" ref="R26">IF(IF((ROW(R26)-3)&lt;(Calculation!$H$6),INDEX(Flow_Cell,MIN(IF(COUNTIF($R$2:R25,Flow_Cell)=0,ROW(Flow_Cell)-9))),"-")="","-",IF((ROW(R26)-3)&lt;(Calculation!$H$6),INDEX(Flow_Cell,MIN(IF(COUNTIF($R$2:R25,Flow_Cell)=0,ROW(Flow_Cell)-9))),"-"))</f>
        <v>#DIV/0!</v>
      </c>
      <c r="S26" s="378" t="e">
        <f t="shared" si="25"/>
        <v>#DIV/0!</v>
      </c>
      <c r="T26" s="378">
        <v>8</v>
      </c>
      <c r="U26" s="498">
        <v>24</v>
      </c>
      <c r="V26" s="487">
        <v>23</v>
      </c>
      <c r="W26" s="497" t="s">
        <v>287</v>
      </c>
      <c r="X26" s="497" t="s">
        <v>339</v>
      </c>
      <c r="Y26" s="378">
        <v>23</v>
      </c>
      <c r="Z26" s="378" t="str">
        <f t="shared" ca="1" si="5"/>
        <v>-</v>
      </c>
      <c r="AA26" s="508" t="str">
        <f t="array" aca="1" ref="AA26" ca="1">IFERROR(INDEX(Calculation_Tab,SMALL(ROW(Sample_Intermediate_Dil)*(Sample_Intermediate_Dil&lt;&gt;"-"),COUNTIF(Sample_Intermediate_Dil,"-")+ROW()-3)-9,5),"-")</f>
        <v>-</v>
      </c>
      <c r="AB26" s="378" t="str">
        <f t="array" aca="1" ref="AB26" ca="1">IFERROR(INDEX($A$3:$B$12,MATCH(INDEX(Calculation_Tab,SMALL(ROW(Sample_Intermediate_Dil)*(Sample_Intermediate_Dil&lt;&gt;"-"),COUNTIF(Sample_Intermediate_Dil,"-")+ROW()-3)-9,5),$A$3:$A$12,0),2),"-")</f>
        <v>-</v>
      </c>
      <c r="AC26" s="509" t="str">
        <f t="array" aca="1" ref="AC26" ca="1">IFERROR(INDEX(Coordinate,MATCH(INDEX(Calculation_Tab,SMALL(ROW(Sample_Intermediate_Dil)*(Sample_Intermediate_Dil&lt;&gt;"-"),COUNTIF(Sample_Intermediate_Dil,"-")+ROW()-3)-9,6),$X$4:$X$99,0),2),"-")</f>
        <v>-</v>
      </c>
      <c r="AD26" s="510" t="str">
        <f t="array" aca="1" ref="AD26" ca="1">IFERROR(INDEX(Calculation_Tab,SMALL(ROW(Sample_Intermediate_Dil)*(Sample_Intermediate_Dil&lt;&gt;"-"),COUNTIF(Sample_Intermediate_Dil,"-")+ROW()-3)-9,24),"-")</f>
        <v>-</v>
      </c>
      <c r="AE26" s="510" t="str">
        <f t="array" aca="1" ref="AE26" ca="1">IFERROR(INDEX(Calculation_Tab,SMALL(ROW(Sample_Intermediate_Dil)*(Sample_Intermediate_Dil&lt;&gt;"-"),COUNTIF(Sample_Intermediate_Dil,"-")+ROW()-3)-9,25),"-")</f>
        <v>-</v>
      </c>
      <c r="AF26" s="510" t="str">
        <f t="array" aca="1" ref="AF26" ca="1">IFERROR(INDEX(Calculation_Tab,SMALL(ROW(Sample_Intermediate_Dil)*(Sample_Intermediate_Dil&lt;&gt;"-"),COUNTIF(Sample_Intermediate_Dil,"-")+ROW()-3)-9,26),"-")</f>
        <v>-</v>
      </c>
      <c r="AG26" s="511" t="str">
        <f t="array" aca="1" ref="AG26" ca="1">IFERROR(INDEX(Calculation_Tab,SMALL(ROW(Sample_Intermediate_Dil)*(Sample_Intermediate_Dil&lt;&gt;"-"),COUNTIF(Sample_Intermediate_Dil,"-")+ROW()-3)-9,27),"-")</f>
        <v>-</v>
      </c>
      <c r="AI26" s="487">
        <v>23</v>
      </c>
      <c r="AJ26" s="497" t="s">
        <v>160</v>
      </c>
      <c r="AK26" s="378">
        <v>23</v>
      </c>
      <c r="AL26" s="378" t="str">
        <f t="shared" ca="1" si="6"/>
        <v>-</v>
      </c>
      <c r="AM26" s="378" t="str">
        <f t="array" aca="1" ref="AM26" ca="1">IFERROR(IF(AI26&lt;=$AB$2,"-",INDEX(Calculation_Tab,SMALL(ROW(Main_Dil)*(Main_Dil&lt;&gt;"-"),COUNTIF(Main_Dil,"-")+ROW()-3-$AB$2)-9,5)),"-")</f>
        <v>-</v>
      </c>
      <c r="AN26" s="378" t="str">
        <f t="array" aca="1" ref="AN26" ca="1">IFERROR(IF(AI26&lt;=$AB$2,"-",INDEX($A$3:$B$12,MATCH(INDEX(Calculation_Tab,SMALL(ROW(Main_Dil)*(Main_Dil&lt;&gt;"-"),COUNTIF(Main_Dil,"-")+ROW()-3-$AB$2)-9,5),$A$3:$A$12,0),2)),"-")</f>
        <v>-</v>
      </c>
      <c r="AO26" s="378" t="str">
        <f t="array" aca="1" ref="AO26" ca="1">IFERROR(IF(AI26&lt;=$AB$2,"-",INDEX(Coordinate,MATCH(INDEX(Calculation_Tab,SMALL(ROW(Main_Dil)*(Main_Dil&lt;&gt;"-"),COUNTIF(Main_Dil,"-")+ROW()-3-$AB$2)-9,6),$X$4:$X$99,0),2)),"-")</f>
        <v>-</v>
      </c>
      <c r="AP26" s="510" t="str">
        <f t="array" aca="1" ref="AP26" ca="1">IFERROR(IF(AI26&lt;=$AB$2,"-",INDEX(Calculation_Tab,SMALL(ROW(Main_Dil)*(Main_Dil&lt;&gt;"-"),COUNTIF(Main_Dil,"-")+ROW()-3-$AB$2)-9,21)),"-")</f>
        <v>-</v>
      </c>
      <c r="AQ26" s="511" t="str">
        <f t="array" aca="1" ref="AQ26" ca="1">IFERROR(IF(AI26&lt;=$AB$2,"-",INDEX(Calculation_Tab,SMALL(ROW(Main_Dil)*(Main_Dil&lt;&gt;"-"),COUNTIF(Main_Dil,"-")+ROW()-3-$AB$2)-9,22)),"-")</f>
        <v>-</v>
      </c>
      <c r="AR26" s="487" t="str">
        <f t="shared" ca="1" si="7"/>
        <v>-</v>
      </c>
      <c r="AS26" s="378">
        <v>23</v>
      </c>
      <c r="AT26" s="497" t="s">
        <v>160</v>
      </c>
      <c r="AU26" s="498">
        <v>23</v>
      </c>
      <c r="AV26" s="378" t="str">
        <f t="shared" ca="1" si="8"/>
        <v>-</v>
      </c>
      <c r="AW26" s="378" t="str">
        <f t="array" aca="1" ref="AW26" ca="1">IFERROR(IF(AS26&lt;=$AB$2+$AN$2,"-",INDEX(Calculation_Tab,SMALL(ROW(Direct_Denaturation)*(Direct_Denaturation&lt;&gt;"-"),COUNTIF(Direct_Denaturation,"-")+ROW()-3-$AB$2-$AN$2)-9,5)),"-")</f>
        <v>-</v>
      </c>
      <c r="AX26" s="378" t="str">
        <f t="array" aca="1" ref="AX26" ca="1">IFERROR(IF(AS26&lt;=$AB$2+$AN$2,"-",INDEX($A$3:$B$12,MATCH(INDEX(Calculation_Tab,SMALL(ROW(Direct_Denaturation)*(Direct_Denaturation&lt;&gt;"-"),COUNTIF(Direct_Denaturation,"-")+ROW()-3-$AB$2-$AN$2)-9,5),$A$3:$A$12,0),2)),"-")</f>
        <v>-</v>
      </c>
      <c r="AY26" s="378" t="str">
        <f t="array" aca="1" ref="AY26" ca="1">IFERROR(IF(AS26&lt;=$AB$2+$AN$2,"-",INDEX(Coordinate,MATCH(INDEX(Calculation_Tab,SMALL(ROW(Direct_Denaturation)*(Direct_Denaturation&lt;&gt;"-"),COUNTIF(Direct_Denaturation,"-")+ROW()-3-$AB$2-$AN$2)-9,6),$X$4:$X$99,0),2)),"-")</f>
        <v>-</v>
      </c>
      <c r="AZ26" s="510" t="str">
        <f t="array" aca="1" ref="AZ26" ca="1">IFERROR(IF(AS26&lt;=$AB$2+$AN$2,"-",INDEX(Calculation_Tab,SMALL(ROW(Direct_Denaturation)*(Direct_Denaturation&lt;&gt;"-"),COUNTIF(Direct_Denaturation,"-")+ROW()-3-$AB$2-$AN$2)-9,32)),"-")</f>
        <v>-</v>
      </c>
      <c r="BA26" s="510" t="str">
        <f t="array" aca="1" ref="BA26" ca="1">IFERROR(IF(AS26&lt;=$AB$2+$AN$2,"-",INDEX(Calculation_Tab,SMALL(ROW(Direct_Denaturation)*(Direct_Denaturation&lt;&gt;"-"),COUNTIF(Direct_Denaturation,"-")+ROW()-3-$AB$2-$AN$2)-9,34)),"-")</f>
        <v>-</v>
      </c>
      <c r="BB26" s="510" t="str">
        <f t="array" aca="1" ref="BB26" ca="1">IFERROR(IF(AS26&lt;=$AB$2+$AN$2,"-",INDEX(Calculation_Tab,SMALL(ROW(Direct_Denaturation)*(Direct_Denaturation&lt;&gt;"-"),COUNTIF(Direct_Denaturation,"-")+ROW()-3-$AB$2-$AN$2)-9,33)),"-")</f>
        <v>-</v>
      </c>
      <c r="BC26" s="510" t="str">
        <f t="array" aca="1" ref="BC26" ca="1">IFERROR(IF(AS26&lt;=$AB$2+$AN$2,"-",INDEX(Calculation_Tab,SMALL(ROW(Direct_Denaturation)*(Direct_Denaturation&lt;&gt;"-"),COUNTIF(Direct_Denaturation,"-")+ROW()-3-$AB$2-$AN$2)-9,35)),"-")</f>
        <v>-</v>
      </c>
      <c r="BD26" s="511" t="str">
        <f t="shared" ca="1" si="9"/>
        <v>-</v>
      </c>
      <c r="BE26" s="494" t="s">
        <v>340</v>
      </c>
      <c r="BF26" s="378">
        <v>23</v>
      </c>
      <c r="BG26" s="515" t="str">
        <v>-</v>
      </c>
      <c r="BH26" s="516" t="str">
        <f>IFERROR(IF((Calculation!$AR$6/INDEX(ListAndConversion!D:P,MATCH(BG26,E:E,0),13))&lt;Calculation!$O$6,INDEX(ListAndConversion!D:P,MATCH(BG26,E:E,0),13)*Calculation!$O$6,Calculation!$AR$6),"-")</f>
        <v>-</v>
      </c>
      <c r="BI26" s="517" t="str">
        <f t="shared" si="10"/>
        <v>-</v>
      </c>
      <c r="BJ26" s="518" t="str">
        <f t="shared" si="11"/>
        <v>-</v>
      </c>
      <c r="BK26" s="378" t="s">
        <v>158</v>
      </c>
      <c r="BL26" s="378">
        <v>23</v>
      </c>
      <c r="BM26" s="487" t="str">
        <f t="array" aca="1" ref="BM26" ca="1">IFERROR(INDEX(Calculation_Tab,SMALL(ROW(ToPool)*(ToPool&lt;&gt;"-"),COUNTIF(ToPool,"-")+ROW()-3)-9,3),"-")</f>
        <v>-</v>
      </c>
      <c r="BN26" s="378" t="str">
        <f t="shared" ca="1" si="12"/>
        <v>-</v>
      </c>
      <c r="BO26" s="378" t="str">
        <f t="shared" ca="1" si="13"/>
        <v>-</v>
      </c>
      <c r="BP26" s="523" t="str">
        <f t="shared" ca="1" si="14"/>
        <v>-</v>
      </c>
      <c r="BQ26" s="378" t="str">
        <f t="array" aca="1" ref="BQ26" ca="1">IFERROR(INDEX(BE:BG,MATCH(INDEX(Calculation_Tab,SMALL(ROW(ToPool)*(ToPool&lt;&gt;"-"),COUNTIF(ToPool,"-")+ROW()-3)-9,9),BG:BG,0),2),"-")</f>
        <v>-</v>
      </c>
      <c r="BR26" s="510" t="str">
        <f t="shared" ca="1" si="15"/>
        <v>-</v>
      </c>
      <c r="BS26" s="511" t="str">
        <f t="shared" ca="1" si="16"/>
        <v>-</v>
      </c>
      <c r="BT26" s="378" t="s">
        <v>164</v>
      </c>
      <c r="BU26" s="487" t="str">
        <f t="shared" ca="1" si="21"/>
        <v>-</v>
      </c>
      <c r="BV26" s="487" t="str">
        <f t="array" aca="1" ref="BV2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6" s="378" t="str">
        <f t="shared" ca="1" si="17"/>
        <v>-</v>
      </c>
      <c r="BX26" s="378" t="str">
        <f t="shared" ca="1" si="18"/>
        <v>-</v>
      </c>
      <c r="BY26" s="510" t="str">
        <f ca="1">IFERROR(ROUND(INDEX(Cluster,MATCH(IF(LEFT(BV26,4)="Pool",INDEX(Cluster,MATCH(INDEX(Calculation_Tab,MATCH(INDEX($BE$4:$BJ$99,MATCH(BV26,$BE$4:$BE$99,0),3),Flow_Cell_Lane,0),3),Cluster!$F$29:$F$412,0),6),BV26),Identifier_Cluster,0),19)*IF(LEFT(BV26,4)="pool",IF(LEN(INDEX($BE$4:$BJ$99,MATCH(BV26,$BE$4:$BE$99,0),3))=10,2,IF(LEN(INDEX($BE$4:$BJ$99,MATCH(BV26,$BE$4:$BE$99,0),3))&gt;10,LEN(INDEX($BE$4:$BJ$99,MATCH(BV26,$BE$4:$BE$99,0),3))-8,1)),1)*IF(LEFT(BV26,4)="pool",IF(INDEX($BE$4:$BJ$99,MATCH(BV26,$BE$4:$BE$99,0),6)&lt;1,1,INDEX($BE$4:$BJ$99,MATCH(BV26,$BE$4:$BE$99,0),6)),INDEX(Calculation_Tab,MATCH(BV26,Identifier,0),10)),1)*(1+Calculation!$Q$6),"-")</f>
        <v>-</v>
      </c>
      <c r="BZ26" s="378" t="str">
        <f ca="1">IFERROR((0.5/50)*CE26/Calculation!$AG$6*(IF(LEFT(BV26,4)="Pool",IF(LEN(INDEX($BE$4:$BJ$99,MATCH(BV26,$BE$4:$BE$99,0),3))=10,2,IF(LEN(INDEX($BE$4:$BJ$99,MATCH(BV26,$BE$4:$BE$99,0),3))&gt;10,LEN(INDEX($BE$4:$BJ$99,MATCH(BV26,$BE$4:$BE$99,0),3))-8,1)),IF(INDEX(Calculation_Tab,MATCH(BV26,Identifier,0),10)&gt;1,INDEX(Calculation_Tab,MATCH(BV26,Identifier,0),10),1)))*(1+Calculation!$Q$6),"-")</f>
        <v>-</v>
      </c>
      <c r="CA26" s="510" t="str">
        <f ca="1">IFERROR(IF((BZ26*Calculation!$AG$6/0.05)-SUM(BY26:BZ26,CC26)&gt;0,(BZ26*Calculation!$AG$6/0.05)-SUM(BY26:BZ26,CC26),0),"-")</f>
        <v>-</v>
      </c>
      <c r="CB26" s="510" t="str">
        <f ca="1">IFERROR(5/50*CE26*(IF(LEFT(BV26,4)="Pool",IF(LEN(INDEX($BE$4:$BJ$99,MATCH(BV26,$BE$4:$BE$99,0),3))=10,2,IF(LEN(INDEX($BE$4:$BJ$99,MATCH(BV26,$BE$4:$BE$99,0),3))&gt;10,LEN(INDEX($BE$4:$BJ$99,MATCH(BV26,$BE$4:$BE$99,0),3))-8,1)),IF(INDEX(Calculation_Tab,MATCH(BV26,Identifier,0),10)&gt;1,INDEX(Calculation_Tab,MATCH(BV26,Identifier,0),10),1)))*(1+Calculation!$Q$6),"-")</f>
        <v>-</v>
      </c>
      <c r="CC26" s="508" t="str">
        <f ca="1">IFERROR(ROUND(INDEX(Cluster,MATCH(IF(LEFT(BV26,4)="Pool",INDEX(Cluster,MATCH(INDEX(Calculation_Tab,MATCH(INDEX($BE$4:$BJ$99,MATCH(BV26,$BE$4:$BE$99,0),3),Flow_Cell_Lane,0),3),Cluster!$F$29:$F$412,0),6),BV26),Identifier_Cluster,0),20)*IF(LEFT(BV26,4)="pool",IF(LEN(INDEX($BE$4:$BJ$99,MATCH(BV26,$BE$4:$BE$99,0),3))=10,2,IF(LEN(INDEX($BE$4:$BJ$99,MATCH(BV26,$BE$4:$BE$99,0),3))&gt;10,LEN(INDEX($BE$4:$BJ$99,MATCH(BV26,$BE$4:$BE$99,0),3))-8,1)),1)*IF(LEFT(BV26,4)="pool",IF(INDEX($BE$4:$BJ$99,MATCH(BV26,$BE$4:$BE$99,0),6)&lt;1,1,INDEX($BE$4:$BJ$99,MATCH(BV26,$BE$4:$BE$99,0),6)),INDEX(Calculation_Tab,MATCH(BV26,Identifier,0),10)),1)*(1+Calculation!$Q$6),"-")</f>
        <v>-</v>
      </c>
      <c r="CD26" s="509" t="str">
        <f ca="1">IFERROR(INDEX(Cluster!AC:AD,MATCH(IF(LEFT(BV26,4)="Pool",INDEX(Cluster!$D$29:$AA$412,MATCH(INDEX(Calculation_Tab,MATCH(INDEX($BE$4:$BJ$99,MATCH(BV26,$BE$4:$BE$99,0),3),Flow_Cell_Lane,0),3),Cluster!$F$29:$F$412,0),24),INDEX(Cluster!$D$29:$AA$412,MATCH(BV26,Cluster!$F$29:$F$412,0),24)),Cluster!AC:AC,0),2),"-")</f>
        <v>-</v>
      </c>
      <c r="CE26" s="378" t="str">
        <f ca="1">IFERROR(IF(BV26&lt;&gt;"-",Calculation!$AK$6,"-"),"-")</f>
        <v>-</v>
      </c>
      <c r="CF26" s="378" t="str">
        <f ca="1">IF(OR(LEFT(ListAndConversion!BW26,3)="Dil",LEFT(ListAndConversion!BW26,3)="Poo"),ListAndConversion!$BT$4,IF(LEFT(ListAndConversion!BW26,3)="Sou",INDEX(ListAndConversion!$AT$3:$AV$387,MATCH(ListAndConversion!BV26,ListAndConversion!$AV$3:$AV$387,0),1),"-"))</f>
        <v>-</v>
      </c>
      <c r="CG26" s="498" t="str">
        <f ca="1">IF(OR(LEFT(ListAndConversion!BW26,3)="Dil",LEFT(ListAndConversion!BW26,3)="Poo"),ListAndConversion!BU26,IF(LEFT(ListAndConversion!BW26,3)="Sou",INDEX(ListAndConversion!$AT$4:$AV$387,MATCH(ListAndConversion!BV26,ListAndConversion!$AV$4:$AV$387,0),2),"-"))</f>
        <v>-</v>
      </c>
      <c r="CH26"/>
      <c r="CI26" s="487" t="str">
        <f t="shared" ca="1" si="19"/>
        <v>-</v>
      </c>
      <c r="CJ26" s="378" t="str">
        <f t="shared" ca="1" si="27"/>
        <v>-</v>
      </c>
      <c r="CK26" s="378" t="str">
        <f t="shared" ca="1" si="27"/>
        <v>-</v>
      </c>
      <c r="CL26" s="378" t="str">
        <f t="shared" ca="1" si="27"/>
        <v>-</v>
      </c>
      <c r="CM26" s="378" t="str">
        <f t="shared" ca="1" si="27"/>
        <v>-</v>
      </c>
      <c r="CN26" s="378" t="str">
        <f t="shared" ca="1" si="27"/>
        <v>-</v>
      </c>
      <c r="CO26" s="378" t="str">
        <f t="shared" ca="1" si="27"/>
        <v>-</v>
      </c>
      <c r="CP26" s="378" t="str">
        <f t="shared" ca="1" si="27"/>
        <v>-</v>
      </c>
      <c r="CQ26" s="378" t="str">
        <f t="shared" ca="1" si="27"/>
        <v>-</v>
      </c>
      <c r="CR26" s="510" t="str">
        <f ca="1">IFERROR(IF(LEFT(BW26,3)="Poo",INDEX($BE$4:$BJ$99,MATCH(CI26,$BG$4:$BG$99,0),6)*((15/50))*Calculation!$AK$6,INDEX(Calculation_Tab,MATCH(BV26,Identifier,0),10)/(IF(LEN(INDEX(Calculation_Tab,MATCH(BV26,Identifier,0),9))&gt;8,LEN(INDEX(Calculation_Tab,MATCH(BV26,Identifier,0),9))-8,1))*((15/50)*Calculation!$AK$6)),"-")</f>
        <v>-</v>
      </c>
      <c r="CS26" s="498" t="str">
        <f ca="1">IF(CI26="-","-",IF(COUNTIF($CI$3:CI26,CI26)&gt;1,0,IFERROR((35/50)*Calculation!$AK$6,"-")))</f>
        <v>-</v>
      </c>
    </row>
    <row r="27" spans="4:97" x14ac:dyDescent="0.5">
      <c r="D27" s="487" t="e">
        <f t="shared" si="0"/>
        <v>#DIV/0!</v>
      </c>
      <c r="E27" s="496" t="e">
        <f t="array" ref="E27">IF(IF((ROW(E27)-3)&lt;(ListAndConversion!$A$15),INDEX(Flow_Cell_Lane,MIN(IF(COUNTIF($E$2:E26,Flow_Cell_Lane)=0,ROW(Flow_Cell_Lane)-9))),"-")="","-",IF((ROW(E27)-3)&lt;(ListAndConversion!$A$15),INDEX(Flow_Cell_Lane,MIN(IF(COUNTIF($E$2:E26,Flow_Cell_Lane)=0,ROW(Flow_Cell_Lane)-9))),"-"))</f>
        <v>#DIV/0!</v>
      </c>
      <c r="F27" s="378" t="e">
        <f t="shared" si="1"/>
        <v>#DIV/0!</v>
      </c>
      <c r="G27" s="378" t="e">
        <f t="shared" si="26"/>
        <v>#DIV/0!</v>
      </c>
      <c r="H27" s="378" t="e">
        <f t="shared" si="26"/>
        <v>#DIV/0!</v>
      </c>
      <c r="I27" s="378" t="e">
        <f t="shared" si="26"/>
        <v>#DIV/0!</v>
      </c>
      <c r="J27" s="378" t="e">
        <f t="shared" si="26"/>
        <v>#DIV/0!</v>
      </c>
      <c r="K27" s="378" t="e">
        <f t="shared" si="26"/>
        <v>#DIV/0!</v>
      </c>
      <c r="L27" s="378" t="e">
        <f t="shared" si="26"/>
        <v>#DIV/0!</v>
      </c>
      <c r="M27" s="378" t="e">
        <f t="shared" si="26"/>
        <v>#DIV/0!</v>
      </c>
      <c r="N27" s="497" t="e">
        <f t="shared" si="3"/>
        <v>#DIV/0!</v>
      </c>
      <c r="O27" s="497" t="str">
        <f t="array" ref="O27">IFERROR(INDEX(Calculation!I:AN,MATCH(ListAndConversion!E27,Calculation!I:I,0),31),"-")</f>
        <v>-</v>
      </c>
      <c r="P27" s="498">
        <f>IF(COUNTIFS(Calculation!$I$10:$I$393,E27,Direct_Denaturation,"-")&lt;&gt;1,COUNTIFS(Calculation!$I$10:$I$393,E27,Direct_Denaturation,"-"),0)</f>
        <v>0</v>
      </c>
      <c r="Q27" s="378"/>
      <c r="R27" s="487" t="e">
        <f t="array" ref="R27">IF(IF((ROW(R27)-3)&lt;(Calculation!$H$6),INDEX(Flow_Cell,MIN(IF(COUNTIF($R$2:R26,Flow_Cell)=0,ROW(Flow_Cell)-9))),"-")="","-",IF((ROW(R27)-3)&lt;(Calculation!$H$6),INDEX(Flow_Cell,MIN(IF(COUNTIF($R$2:R26,Flow_Cell)=0,ROW(Flow_Cell)-9))),"-"))</f>
        <v>#DIV/0!</v>
      </c>
      <c r="S27" s="378" t="e">
        <f t="shared" ref="S27:S34" si="28">IF($R$6="-","-",CONCATENATE($R$6,"-",T27))</f>
        <v>#DIV/0!</v>
      </c>
      <c r="T27" s="378">
        <v>1</v>
      </c>
      <c r="U27" s="498">
        <v>25</v>
      </c>
      <c r="V27" s="487">
        <v>24</v>
      </c>
      <c r="W27" s="497" t="s">
        <v>287</v>
      </c>
      <c r="X27" s="497" t="s">
        <v>341</v>
      </c>
      <c r="Y27" s="378">
        <v>24</v>
      </c>
      <c r="Z27" s="378" t="str">
        <f t="shared" ca="1" si="5"/>
        <v>-</v>
      </c>
      <c r="AA27" s="508" t="str">
        <f t="array" aca="1" ref="AA27" ca="1">IFERROR(INDEX(Calculation_Tab,SMALL(ROW(Sample_Intermediate_Dil)*(Sample_Intermediate_Dil&lt;&gt;"-"),COUNTIF(Sample_Intermediate_Dil,"-")+ROW()-3)-9,5),"-")</f>
        <v>-</v>
      </c>
      <c r="AB27" s="378" t="str">
        <f t="array" aca="1" ref="AB27" ca="1">IFERROR(INDEX($A$3:$B$12,MATCH(INDEX(Calculation_Tab,SMALL(ROW(Sample_Intermediate_Dil)*(Sample_Intermediate_Dil&lt;&gt;"-"),COUNTIF(Sample_Intermediate_Dil,"-")+ROW()-3)-9,5),$A$3:$A$12,0),2),"-")</f>
        <v>-</v>
      </c>
      <c r="AC27" s="509" t="str">
        <f t="array" aca="1" ref="AC27" ca="1">IFERROR(INDEX(Coordinate,MATCH(INDEX(Calculation_Tab,SMALL(ROW(Sample_Intermediate_Dil)*(Sample_Intermediate_Dil&lt;&gt;"-"),COUNTIF(Sample_Intermediate_Dil,"-")+ROW()-3)-9,6),$X$4:$X$99,0),2),"-")</f>
        <v>-</v>
      </c>
      <c r="AD27" s="510" t="str">
        <f t="array" aca="1" ref="AD27" ca="1">IFERROR(INDEX(Calculation_Tab,SMALL(ROW(Sample_Intermediate_Dil)*(Sample_Intermediate_Dil&lt;&gt;"-"),COUNTIF(Sample_Intermediate_Dil,"-")+ROW()-3)-9,24),"-")</f>
        <v>-</v>
      </c>
      <c r="AE27" s="510" t="str">
        <f t="array" aca="1" ref="AE27" ca="1">IFERROR(INDEX(Calculation_Tab,SMALL(ROW(Sample_Intermediate_Dil)*(Sample_Intermediate_Dil&lt;&gt;"-"),COUNTIF(Sample_Intermediate_Dil,"-")+ROW()-3)-9,25),"-")</f>
        <v>-</v>
      </c>
      <c r="AF27" s="510" t="str">
        <f t="array" aca="1" ref="AF27" ca="1">IFERROR(INDEX(Calculation_Tab,SMALL(ROW(Sample_Intermediate_Dil)*(Sample_Intermediate_Dil&lt;&gt;"-"),COUNTIF(Sample_Intermediate_Dil,"-")+ROW()-3)-9,26),"-")</f>
        <v>-</v>
      </c>
      <c r="AG27" s="511" t="str">
        <f t="array" aca="1" ref="AG27" ca="1">IFERROR(INDEX(Calculation_Tab,SMALL(ROW(Sample_Intermediate_Dil)*(Sample_Intermediate_Dil&lt;&gt;"-"),COUNTIF(Sample_Intermediate_Dil,"-")+ROW()-3)-9,27),"-")</f>
        <v>-</v>
      </c>
      <c r="AI27" s="487">
        <v>24</v>
      </c>
      <c r="AJ27" s="497" t="s">
        <v>160</v>
      </c>
      <c r="AK27" s="378">
        <v>24</v>
      </c>
      <c r="AL27" s="378" t="str">
        <f t="shared" ca="1" si="6"/>
        <v>-</v>
      </c>
      <c r="AM27" s="378" t="str">
        <f t="array" aca="1" ref="AM27" ca="1">IFERROR(IF(AI27&lt;=$AB$2,"-",INDEX(Calculation_Tab,SMALL(ROW(Main_Dil)*(Main_Dil&lt;&gt;"-"),COUNTIF(Main_Dil,"-")+ROW()-3-$AB$2)-9,5)),"-")</f>
        <v>-</v>
      </c>
      <c r="AN27" s="378" t="str">
        <f t="array" aca="1" ref="AN27" ca="1">IFERROR(IF(AI27&lt;=$AB$2,"-",INDEX($A$3:$B$12,MATCH(INDEX(Calculation_Tab,SMALL(ROW(Main_Dil)*(Main_Dil&lt;&gt;"-"),COUNTIF(Main_Dil,"-")+ROW()-3-$AB$2)-9,5),$A$3:$A$12,0),2)),"-")</f>
        <v>-</v>
      </c>
      <c r="AO27" s="378" t="str">
        <f t="array" aca="1" ref="AO27" ca="1">IFERROR(IF(AI27&lt;=$AB$2,"-",INDEX(Coordinate,MATCH(INDEX(Calculation_Tab,SMALL(ROW(Main_Dil)*(Main_Dil&lt;&gt;"-"),COUNTIF(Main_Dil,"-")+ROW()-3-$AB$2)-9,6),$X$4:$X$99,0),2)),"-")</f>
        <v>-</v>
      </c>
      <c r="AP27" s="510" t="str">
        <f t="array" aca="1" ref="AP27" ca="1">IFERROR(IF(AI27&lt;=$AB$2,"-",INDEX(Calculation_Tab,SMALL(ROW(Main_Dil)*(Main_Dil&lt;&gt;"-"),COUNTIF(Main_Dil,"-")+ROW()-3-$AB$2)-9,21)),"-")</f>
        <v>-</v>
      </c>
      <c r="AQ27" s="511" t="str">
        <f t="array" aca="1" ref="AQ27" ca="1">IFERROR(IF(AI27&lt;=$AB$2,"-",INDEX(Calculation_Tab,SMALL(ROW(Main_Dil)*(Main_Dil&lt;&gt;"-"),COUNTIF(Main_Dil,"-")+ROW()-3-$AB$2)-9,22)),"-")</f>
        <v>-</v>
      </c>
      <c r="AR27" s="487" t="str">
        <f t="shared" ca="1" si="7"/>
        <v>-</v>
      </c>
      <c r="AS27" s="378">
        <v>24</v>
      </c>
      <c r="AT27" s="497" t="s">
        <v>160</v>
      </c>
      <c r="AU27" s="498">
        <v>24</v>
      </c>
      <c r="AV27" s="378" t="str">
        <f t="shared" ca="1" si="8"/>
        <v>-</v>
      </c>
      <c r="AW27" s="378" t="str">
        <f t="array" aca="1" ref="AW27" ca="1">IFERROR(IF(AS27&lt;=$AB$2+$AN$2,"-",INDEX(Calculation_Tab,SMALL(ROW(Direct_Denaturation)*(Direct_Denaturation&lt;&gt;"-"),COUNTIF(Direct_Denaturation,"-")+ROW()-3-$AB$2-$AN$2)-9,5)),"-")</f>
        <v>-</v>
      </c>
      <c r="AX27" s="378" t="str">
        <f t="array" aca="1" ref="AX27" ca="1">IFERROR(IF(AS27&lt;=$AB$2+$AN$2,"-",INDEX($A$3:$B$12,MATCH(INDEX(Calculation_Tab,SMALL(ROW(Direct_Denaturation)*(Direct_Denaturation&lt;&gt;"-"),COUNTIF(Direct_Denaturation,"-")+ROW()-3-$AB$2-$AN$2)-9,5),$A$3:$A$12,0),2)),"-")</f>
        <v>-</v>
      </c>
      <c r="AY27" s="378" t="str">
        <f t="array" aca="1" ref="AY27" ca="1">IFERROR(IF(AS27&lt;=$AB$2+$AN$2,"-",INDEX(Coordinate,MATCH(INDEX(Calculation_Tab,SMALL(ROW(Direct_Denaturation)*(Direct_Denaturation&lt;&gt;"-"),COUNTIF(Direct_Denaturation,"-")+ROW()-3-$AB$2-$AN$2)-9,6),$X$4:$X$99,0),2)),"-")</f>
        <v>-</v>
      </c>
      <c r="AZ27" s="510" t="str">
        <f t="array" aca="1" ref="AZ27" ca="1">IFERROR(IF(AS27&lt;=$AB$2+$AN$2,"-",INDEX(Calculation_Tab,SMALL(ROW(Direct_Denaturation)*(Direct_Denaturation&lt;&gt;"-"),COUNTIF(Direct_Denaturation,"-")+ROW()-3-$AB$2-$AN$2)-9,32)),"-")</f>
        <v>-</v>
      </c>
      <c r="BA27" s="510" t="str">
        <f t="array" aca="1" ref="BA27" ca="1">IFERROR(IF(AS27&lt;=$AB$2+$AN$2,"-",INDEX(Calculation_Tab,SMALL(ROW(Direct_Denaturation)*(Direct_Denaturation&lt;&gt;"-"),COUNTIF(Direct_Denaturation,"-")+ROW()-3-$AB$2-$AN$2)-9,34)),"-")</f>
        <v>-</v>
      </c>
      <c r="BB27" s="510" t="str">
        <f t="array" aca="1" ref="BB27" ca="1">IFERROR(IF(AS27&lt;=$AB$2+$AN$2,"-",INDEX(Calculation_Tab,SMALL(ROW(Direct_Denaturation)*(Direct_Denaturation&lt;&gt;"-"),COUNTIF(Direct_Denaturation,"-")+ROW()-3-$AB$2-$AN$2)-9,33)),"-")</f>
        <v>-</v>
      </c>
      <c r="BC27" s="510" t="str">
        <f t="array" aca="1" ref="BC27" ca="1">IFERROR(IF(AS27&lt;=$AB$2+$AN$2,"-",INDEX(Calculation_Tab,SMALL(ROW(Direct_Denaturation)*(Direct_Denaturation&lt;&gt;"-"),COUNTIF(Direct_Denaturation,"-")+ROW()-3-$AB$2-$AN$2)-9,35)),"-")</f>
        <v>-</v>
      </c>
      <c r="BD27" s="511" t="str">
        <f t="shared" ca="1" si="9"/>
        <v>-</v>
      </c>
      <c r="BE27" s="494" t="s">
        <v>342</v>
      </c>
      <c r="BF27" s="378">
        <v>24</v>
      </c>
      <c r="BG27" s="515" t="str">
        <v>-</v>
      </c>
      <c r="BH27" s="516" t="str">
        <f>IFERROR(IF((Calculation!$AR$6/INDEX(ListAndConversion!D:P,MATCH(BG27,E:E,0),13))&lt;Calculation!$O$6,INDEX(ListAndConversion!D:P,MATCH(BG27,E:E,0),13)*Calculation!$O$6,Calculation!$AR$6),"-")</f>
        <v>-</v>
      </c>
      <c r="BI27" s="517" t="str">
        <f t="shared" si="10"/>
        <v>-</v>
      </c>
      <c r="BJ27" s="518" t="str">
        <f t="shared" si="11"/>
        <v>-</v>
      </c>
      <c r="BK27" s="378" t="s">
        <v>158</v>
      </c>
      <c r="BL27" s="378">
        <v>24</v>
      </c>
      <c r="BM27" s="487" t="str">
        <f t="array" aca="1" ref="BM27" ca="1">IFERROR(INDEX(Calculation_Tab,SMALL(ROW(ToPool)*(ToPool&lt;&gt;"-"),COUNTIF(ToPool,"-")+ROW()-3)-9,3),"-")</f>
        <v>-</v>
      </c>
      <c r="BN27" s="378" t="str">
        <f t="shared" ca="1" si="12"/>
        <v>-</v>
      </c>
      <c r="BO27" s="378" t="str">
        <f t="shared" ca="1" si="13"/>
        <v>-</v>
      </c>
      <c r="BP27" s="523" t="str">
        <f t="shared" ca="1" si="14"/>
        <v>-</v>
      </c>
      <c r="BQ27" s="378" t="str">
        <f t="array" aca="1" ref="BQ27" ca="1">IFERROR(INDEX(BE:BG,MATCH(INDEX(Calculation_Tab,SMALL(ROW(ToPool)*(ToPool&lt;&gt;"-"),COUNTIF(ToPool,"-")+ROW()-3)-9,9),BG:BG,0),2),"-")</f>
        <v>-</v>
      </c>
      <c r="BR27" s="510" t="str">
        <f t="shared" ca="1" si="15"/>
        <v>-</v>
      </c>
      <c r="BS27" s="511" t="str">
        <f t="shared" ca="1" si="16"/>
        <v>-</v>
      </c>
      <c r="BT27" s="378" t="s">
        <v>164</v>
      </c>
      <c r="BU27" s="487" t="str">
        <f t="shared" ca="1" si="21"/>
        <v>-</v>
      </c>
      <c r="BV27" s="487" t="str">
        <f t="array" aca="1" ref="BV2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7" s="378" t="str">
        <f t="shared" ca="1" si="17"/>
        <v>-</v>
      </c>
      <c r="BX27" s="378" t="str">
        <f t="shared" ca="1" si="18"/>
        <v>-</v>
      </c>
      <c r="BY27" s="510" t="str">
        <f ca="1">IFERROR(ROUND(INDEX(Cluster,MATCH(IF(LEFT(BV27,4)="Pool",INDEX(Cluster,MATCH(INDEX(Calculation_Tab,MATCH(INDEX($BE$4:$BJ$99,MATCH(BV27,$BE$4:$BE$99,0),3),Flow_Cell_Lane,0),3),Cluster!$F$29:$F$412,0),6),BV27),Identifier_Cluster,0),19)*IF(LEFT(BV27,4)="pool",IF(LEN(INDEX($BE$4:$BJ$99,MATCH(BV27,$BE$4:$BE$99,0),3))=10,2,IF(LEN(INDEX($BE$4:$BJ$99,MATCH(BV27,$BE$4:$BE$99,0),3))&gt;10,LEN(INDEX($BE$4:$BJ$99,MATCH(BV27,$BE$4:$BE$99,0),3))-8,1)),1)*IF(LEFT(BV27,4)="pool",IF(INDEX($BE$4:$BJ$99,MATCH(BV27,$BE$4:$BE$99,0),6)&lt;1,1,INDEX($BE$4:$BJ$99,MATCH(BV27,$BE$4:$BE$99,0),6)),INDEX(Calculation_Tab,MATCH(BV27,Identifier,0),10)),1)*(1+Calculation!$Q$6),"-")</f>
        <v>-</v>
      </c>
      <c r="BZ27" s="378" t="str">
        <f ca="1">IFERROR((0.5/50)*CE27/Calculation!$AG$6*(IF(LEFT(BV27,4)="Pool",IF(LEN(INDEX($BE$4:$BJ$99,MATCH(BV27,$BE$4:$BE$99,0),3))=10,2,IF(LEN(INDEX($BE$4:$BJ$99,MATCH(BV27,$BE$4:$BE$99,0),3))&gt;10,LEN(INDEX($BE$4:$BJ$99,MATCH(BV27,$BE$4:$BE$99,0),3))-8,1)),IF(INDEX(Calculation_Tab,MATCH(BV27,Identifier,0),10)&gt;1,INDEX(Calculation_Tab,MATCH(BV27,Identifier,0),10),1)))*(1+Calculation!$Q$6),"-")</f>
        <v>-</v>
      </c>
      <c r="CA27" s="510" t="str">
        <f ca="1">IFERROR(IF((BZ27*Calculation!$AG$6/0.05)-SUM(BY27:BZ27,CC27)&gt;0,(BZ27*Calculation!$AG$6/0.05)-SUM(BY27:BZ27,CC27),0),"-")</f>
        <v>-</v>
      </c>
      <c r="CB27" s="510" t="str">
        <f ca="1">IFERROR(5/50*CE27*(IF(LEFT(BV27,4)="Pool",IF(LEN(INDEX($BE$4:$BJ$99,MATCH(BV27,$BE$4:$BE$99,0),3))=10,2,IF(LEN(INDEX($BE$4:$BJ$99,MATCH(BV27,$BE$4:$BE$99,0),3))&gt;10,LEN(INDEX($BE$4:$BJ$99,MATCH(BV27,$BE$4:$BE$99,0),3))-8,1)),IF(INDEX(Calculation_Tab,MATCH(BV27,Identifier,0),10)&gt;1,INDEX(Calculation_Tab,MATCH(BV27,Identifier,0),10),1)))*(1+Calculation!$Q$6),"-")</f>
        <v>-</v>
      </c>
      <c r="CC27" s="508" t="str">
        <f ca="1">IFERROR(ROUND(INDEX(Cluster,MATCH(IF(LEFT(BV27,4)="Pool",INDEX(Cluster,MATCH(INDEX(Calculation_Tab,MATCH(INDEX($BE$4:$BJ$99,MATCH(BV27,$BE$4:$BE$99,0),3),Flow_Cell_Lane,0),3),Cluster!$F$29:$F$412,0),6),BV27),Identifier_Cluster,0),20)*IF(LEFT(BV27,4)="pool",IF(LEN(INDEX($BE$4:$BJ$99,MATCH(BV27,$BE$4:$BE$99,0),3))=10,2,IF(LEN(INDEX($BE$4:$BJ$99,MATCH(BV27,$BE$4:$BE$99,0),3))&gt;10,LEN(INDEX($BE$4:$BJ$99,MATCH(BV27,$BE$4:$BE$99,0),3))-8,1)),1)*IF(LEFT(BV27,4)="pool",IF(INDEX($BE$4:$BJ$99,MATCH(BV27,$BE$4:$BE$99,0),6)&lt;1,1,INDEX($BE$4:$BJ$99,MATCH(BV27,$BE$4:$BE$99,0),6)),INDEX(Calculation_Tab,MATCH(BV27,Identifier,0),10)),1)*(1+Calculation!$Q$6),"-")</f>
        <v>-</v>
      </c>
      <c r="CD27" s="509" t="str">
        <f ca="1">IFERROR(INDEX(Cluster!AC:AD,MATCH(IF(LEFT(BV27,4)="Pool",INDEX(Cluster!$D$29:$AA$412,MATCH(INDEX(Calculation_Tab,MATCH(INDEX($BE$4:$BJ$99,MATCH(BV27,$BE$4:$BE$99,0),3),Flow_Cell_Lane,0),3),Cluster!$F$29:$F$412,0),24),INDEX(Cluster!$D$29:$AA$412,MATCH(BV27,Cluster!$F$29:$F$412,0),24)),Cluster!AC:AC,0),2),"-")</f>
        <v>-</v>
      </c>
      <c r="CE27" s="378" t="str">
        <f ca="1">IFERROR(IF(BV27&lt;&gt;"-",Calculation!$AK$6,"-"),"-")</f>
        <v>-</v>
      </c>
      <c r="CF27" s="378" t="str">
        <f ca="1">IF(OR(LEFT(ListAndConversion!BW27,3)="Dil",LEFT(ListAndConversion!BW27,3)="Poo"),ListAndConversion!$BT$4,IF(LEFT(ListAndConversion!BW27,3)="Sou",INDEX(ListAndConversion!$AT$3:$AV$387,MATCH(ListAndConversion!BV27,ListAndConversion!$AV$3:$AV$387,0),1),"-"))</f>
        <v>-</v>
      </c>
      <c r="CG27" s="498" t="str">
        <f ca="1">IF(OR(LEFT(ListAndConversion!BW27,3)="Dil",LEFT(ListAndConversion!BW27,3)="Poo"),ListAndConversion!BU27,IF(LEFT(ListAndConversion!BW27,3)="Sou",INDEX(ListAndConversion!$AT$4:$AV$387,MATCH(ListAndConversion!BV27,ListAndConversion!$AV$4:$AV$387,0),2),"-"))</f>
        <v>-</v>
      </c>
      <c r="CH27"/>
      <c r="CI27" s="487" t="str">
        <f t="shared" ca="1" si="19"/>
        <v>-</v>
      </c>
      <c r="CJ27" s="378" t="str">
        <f t="shared" ca="1" si="27"/>
        <v>-</v>
      </c>
      <c r="CK27" s="378" t="str">
        <f t="shared" ca="1" si="27"/>
        <v>-</v>
      </c>
      <c r="CL27" s="378" t="str">
        <f t="shared" ca="1" si="27"/>
        <v>-</v>
      </c>
      <c r="CM27" s="378" t="str">
        <f t="shared" ca="1" si="27"/>
        <v>-</v>
      </c>
      <c r="CN27" s="378" t="str">
        <f t="shared" ca="1" si="27"/>
        <v>-</v>
      </c>
      <c r="CO27" s="378" t="str">
        <f t="shared" ca="1" si="27"/>
        <v>-</v>
      </c>
      <c r="CP27" s="378" t="str">
        <f t="shared" ca="1" si="27"/>
        <v>-</v>
      </c>
      <c r="CQ27" s="378" t="str">
        <f t="shared" ca="1" si="27"/>
        <v>-</v>
      </c>
      <c r="CR27" s="510" t="str">
        <f ca="1">IFERROR(IF(LEFT(BW27,3)="Poo",INDEX($BE$4:$BJ$99,MATCH(CI27,$BG$4:$BG$99,0),6)*((15/50))*Calculation!$AK$6,INDEX(Calculation_Tab,MATCH(BV27,Identifier,0),10)/(IF(LEN(INDEX(Calculation_Tab,MATCH(BV27,Identifier,0),9))&gt;8,LEN(INDEX(Calculation_Tab,MATCH(BV27,Identifier,0),9))-8,1))*((15/50)*Calculation!$AK$6)),"-")</f>
        <v>-</v>
      </c>
      <c r="CS27" s="498" t="str">
        <f ca="1">IF(CI27="-","-",IF(COUNTIF($CI$3:CI27,CI27)&gt;1,0,IFERROR((35/50)*Calculation!$AK$6,"-")))</f>
        <v>-</v>
      </c>
    </row>
    <row r="28" spans="4:97" x14ac:dyDescent="0.5">
      <c r="D28" s="487" t="e">
        <f t="shared" si="0"/>
        <v>#DIV/0!</v>
      </c>
      <c r="E28" s="496" t="e">
        <f t="array" ref="E28">IF(IF((ROW(E28)-3)&lt;(ListAndConversion!$A$15),INDEX(Flow_Cell_Lane,MIN(IF(COUNTIF($E$2:E27,Flow_Cell_Lane)=0,ROW(Flow_Cell_Lane)-9))),"-")="","-",IF((ROW(E28)-3)&lt;(ListAndConversion!$A$15),INDEX(Flow_Cell_Lane,MIN(IF(COUNTIF($E$2:E27,Flow_Cell_Lane)=0,ROW(Flow_Cell_Lane)-9))),"-"))</f>
        <v>#DIV/0!</v>
      </c>
      <c r="F28" s="378" t="e">
        <f t="shared" si="1"/>
        <v>#DIV/0!</v>
      </c>
      <c r="G28" s="378" t="e">
        <f t="shared" si="26"/>
        <v>#DIV/0!</v>
      </c>
      <c r="H28" s="378" t="e">
        <f t="shared" si="26"/>
        <v>#DIV/0!</v>
      </c>
      <c r="I28" s="378" t="e">
        <f t="shared" si="26"/>
        <v>#DIV/0!</v>
      </c>
      <c r="J28" s="378" t="e">
        <f t="shared" si="26"/>
        <v>#DIV/0!</v>
      </c>
      <c r="K28" s="378" t="e">
        <f t="shared" si="26"/>
        <v>#DIV/0!</v>
      </c>
      <c r="L28" s="378" t="e">
        <f t="shared" si="26"/>
        <v>#DIV/0!</v>
      </c>
      <c r="M28" s="378" t="e">
        <f t="shared" si="26"/>
        <v>#DIV/0!</v>
      </c>
      <c r="N28" s="497" t="e">
        <f t="shared" si="3"/>
        <v>#DIV/0!</v>
      </c>
      <c r="O28" s="497" t="str">
        <f t="array" ref="O28">IFERROR(INDEX(Calculation!I:AN,MATCH(ListAndConversion!E28,Calculation!I:I,0),31),"-")</f>
        <v>-</v>
      </c>
      <c r="P28" s="498">
        <f>IF(COUNTIFS(Calculation!$I$10:$I$393,E28,Direct_Denaturation,"-")&lt;&gt;1,COUNTIFS(Calculation!$I$10:$I$393,E28,Direct_Denaturation,"-"),0)</f>
        <v>0</v>
      </c>
      <c r="Q28" s="378"/>
      <c r="R28" s="487" t="e">
        <f t="array" ref="R28">IF(IF((ROW(R28)-3)&lt;(Calculation!$H$6),INDEX(Flow_Cell,MIN(IF(COUNTIF($R$2:R27,Flow_Cell)=0,ROW(Flow_Cell)-9))),"-")="","-",IF((ROW(R28)-3)&lt;(Calculation!$H$6),INDEX(Flow_Cell,MIN(IF(COUNTIF($R$2:R27,Flow_Cell)=0,ROW(Flow_Cell)-9))),"-"))</f>
        <v>#DIV/0!</v>
      </c>
      <c r="S28" s="378" t="e">
        <f t="shared" si="28"/>
        <v>#DIV/0!</v>
      </c>
      <c r="T28" s="378">
        <v>2</v>
      </c>
      <c r="U28" s="498">
        <v>26</v>
      </c>
      <c r="V28" s="487">
        <v>25</v>
      </c>
      <c r="W28" s="497" t="s">
        <v>287</v>
      </c>
      <c r="X28" s="497" t="s">
        <v>13</v>
      </c>
      <c r="Y28" s="378">
        <v>25</v>
      </c>
      <c r="Z28" s="378" t="str">
        <f t="shared" ca="1" si="5"/>
        <v>-</v>
      </c>
      <c r="AA28" s="508" t="str">
        <f t="array" aca="1" ref="AA28" ca="1">IFERROR(INDEX(Calculation_Tab,SMALL(ROW(Sample_Intermediate_Dil)*(Sample_Intermediate_Dil&lt;&gt;"-"),COUNTIF(Sample_Intermediate_Dil,"-")+ROW()-3)-9,5),"-")</f>
        <v>-</v>
      </c>
      <c r="AB28" s="378" t="str">
        <f t="array" aca="1" ref="AB28" ca="1">IFERROR(INDEX($A$3:$B$12,MATCH(INDEX(Calculation_Tab,SMALL(ROW(Sample_Intermediate_Dil)*(Sample_Intermediate_Dil&lt;&gt;"-"),COUNTIF(Sample_Intermediate_Dil,"-")+ROW()-3)-9,5),$A$3:$A$12,0),2),"-")</f>
        <v>-</v>
      </c>
      <c r="AC28" s="509" t="str">
        <f t="array" aca="1" ref="AC28" ca="1">IFERROR(INDEX(Coordinate,MATCH(INDEX(Calculation_Tab,SMALL(ROW(Sample_Intermediate_Dil)*(Sample_Intermediate_Dil&lt;&gt;"-"),COUNTIF(Sample_Intermediate_Dil,"-")+ROW()-3)-9,6),$X$4:$X$99,0),2),"-")</f>
        <v>-</v>
      </c>
      <c r="AD28" s="510" t="str">
        <f t="array" aca="1" ref="AD28" ca="1">IFERROR(INDEX(Calculation_Tab,SMALL(ROW(Sample_Intermediate_Dil)*(Sample_Intermediate_Dil&lt;&gt;"-"),COUNTIF(Sample_Intermediate_Dil,"-")+ROW()-3)-9,24),"-")</f>
        <v>-</v>
      </c>
      <c r="AE28" s="510" t="str">
        <f t="array" aca="1" ref="AE28" ca="1">IFERROR(INDEX(Calculation_Tab,SMALL(ROW(Sample_Intermediate_Dil)*(Sample_Intermediate_Dil&lt;&gt;"-"),COUNTIF(Sample_Intermediate_Dil,"-")+ROW()-3)-9,25),"-")</f>
        <v>-</v>
      </c>
      <c r="AF28" s="510" t="str">
        <f t="array" aca="1" ref="AF28" ca="1">IFERROR(INDEX(Calculation_Tab,SMALL(ROW(Sample_Intermediate_Dil)*(Sample_Intermediate_Dil&lt;&gt;"-"),COUNTIF(Sample_Intermediate_Dil,"-")+ROW()-3)-9,26),"-")</f>
        <v>-</v>
      </c>
      <c r="AG28" s="511" t="str">
        <f t="array" aca="1" ref="AG28" ca="1">IFERROR(INDEX(Calculation_Tab,SMALL(ROW(Sample_Intermediate_Dil)*(Sample_Intermediate_Dil&lt;&gt;"-"),COUNTIF(Sample_Intermediate_Dil,"-")+ROW()-3)-9,27),"-")</f>
        <v>-</v>
      </c>
      <c r="AI28" s="487">
        <v>25</v>
      </c>
      <c r="AJ28" s="497" t="s">
        <v>160</v>
      </c>
      <c r="AK28" s="378">
        <v>25</v>
      </c>
      <c r="AL28" s="378" t="str">
        <f t="shared" ca="1" si="6"/>
        <v>-</v>
      </c>
      <c r="AM28" s="378" t="str">
        <f t="array" aca="1" ref="AM28" ca="1">IFERROR(IF(AI28&lt;=$AB$2,"-",INDEX(Calculation_Tab,SMALL(ROW(Main_Dil)*(Main_Dil&lt;&gt;"-"),COUNTIF(Main_Dil,"-")+ROW()-3-$AB$2)-9,5)),"-")</f>
        <v>-</v>
      </c>
      <c r="AN28" s="378" t="str">
        <f t="array" aca="1" ref="AN28" ca="1">IFERROR(IF(AI28&lt;=$AB$2,"-",INDEX($A$3:$B$12,MATCH(INDEX(Calculation_Tab,SMALL(ROW(Main_Dil)*(Main_Dil&lt;&gt;"-"),COUNTIF(Main_Dil,"-")+ROW()-3-$AB$2)-9,5),$A$3:$A$12,0),2)),"-")</f>
        <v>-</v>
      </c>
      <c r="AO28" s="378" t="str">
        <f t="array" aca="1" ref="AO28" ca="1">IFERROR(IF(AI28&lt;=$AB$2,"-",INDEX(Coordinate,MATCH(INDEX(Calculation_Tab,SMALL(ROW(Main_Dil)*(Main_Dil&lt;&gt;"-"),COUNTIF(Main_Dil,"-")+ROW()-3-$AB$2)-9,6),$X$4:$X$99,0),2)),"-")</f>
        <v>-</v>
      </c>
      <c r="AP28" s="510" t="str">
        <f t="array" aca="1" ref="AP28" ca="1">IFERROR(IF(AI28&lt;=$AB$2,"-",INDEX(Calculation_Tab,SMALL(ROW(Main_Dil)*(Main_Dil&lt;&gt;"-"),COUNTIF(Main_Dil,"-")+ROW()-3-$AB$2)-9,21)),"-")</f>
        <v>-</v>
      </c>
      <c r="AQ28" s="511" t="str">
        <f t="array" aca="1" ref="AQ28" ca="1">IFERROR(IF(AI28&lt;=$AB$2,"-",INDEX(Calculation_Tab,SMALL(ROW(Main_Dil)*(Main_Dil&lt;&gt;"-"),COUNTIF(Main_Dil,"-")+ROW()-3-$AB$2)-9,22)),"-")</f>
        <v>-</v>
      </c>
      <c r="AR28" s="487" t="str">
        <f t="shared" ca="1" si="7"/>
        <v>-</v>
      </c>
      <c r="AS28" s="378">
        <v>25</v>
      </c>
      <c r="AT28" s="497" t="s">
        <v>160</v>
      </c>
      <c r="AU28" s="498">
        <v>25</v>
      </c>
      <c r="AV28" s="378" t="str">
        <f t="shared" ca="1" si="8"/>
        <v>-</v>
      </c>
      <c r="AW28" s="378" t="str">
        <f t="array" aca="1" ref="AW28" ca="1">IFERROR(IF(AS28&lt;=$AB$2+$AN$2,"-",INDEX(Calculation_Tab,SMALL(ROW(Direct_Denaturation)*(Direct_Denaturation&lt;&gt;"-"),COUNTIF(Direct_Denaturation,"-")+ROW()-3-$AB$2-$AN$2)-9,5)),"-")</f>
        <v>-</v>
      </c>
      <c r="AX28" s="378" t="str">
        <f t="array" aca="1" ref="AX28" ca="1">IFERROR(IF(AS28&lt;=$AB$2+$AN$2,"-",INDEX($A$3:$B$12,MATCH(INDEX(Calculation_Tab,SMALL(ROW(Direct_Denaturation)*(Direct_Denaturation&lt;&gt;"-"),COUNTIF(Direct_Denaturation,"-")+ROW()-3-$AB$2-$AN$2)-9,5),$A$3:$A$12,0),2)),"-")</f>
        <v>-</v>
      </c>
      <c r="AY28" s="378" t="str">
        <f t="array" aca="1" ref="AY28" ca="1">IFERROR(IF(AS28&lt;=$AB$2+$AN$2,"-",INDEX(Coordinate,MATCH(INDEX(Calculation_Tab,SMALL(ROW(Direct_Denaturation)*(Direct_Denaturation&lt;&gt;"-"),COUNTIF(Direct_Denaturation,"-")+ROW()-3-$AB$2-$AN$2)-9,6),$X$4:$X$99,0),2)),"-")</f>
        <v>-</v>
      </c>
      <c r="AZ28" s="510" t="str">
        <f t="array" aca="1" ref="AZ28" ca="1">IFERROR(IF(AS28&lt;=$AB$2+$AN$2,"-",INDEX(Calculation_Tab,SMALL(ROW(Direct_Denaturation)*(Direct_Denaturation&lt;&gt;"-"),COUNTIF(Direct_Denaturation,"-")+ROW()-3-$AB$2-$AN$2)-9,32)),"-")</f>
        <v>-</v>
      </c>
      <c r="BA28" s="510" t="str">
        <f t="array" aca="1" ref="BA28" ca="1">IFERROR(IF(AS28&lt;=$AB$2+$AN$2,"-",INDEX(Calculation_Tab,SMALL(ROW(Direct_Denaturation)*(Direct_Denaturation&lt;&gt;"-"),COUNTIF(Direct_Denaturation,"-")+ROW()-3-$AB$2-$AN$2)-9,34)),"-")</f>
        <v>-</v>
      </c>
      <c r="BB28" s="510" t="str">
        <f t="array" aca="1" ref="BB28" ca="1">IFERROR(IF(AS28&lt;=$AB$2+$AN$2,"-",INDEX(Calculation_Tab,SMALL(ROW(Direct_Denaturation)*(Direct_Denaturation&lt;&gt;"-"),COUNTIF(Direct_Denaturation,"-")+ROW()-3-$AB$2-$AN$2)-9,33)),"-")</f>
        <v>-</v>
      </c>
      <c r="BC28" s="510" t="str">
        <f t="array" aca="1" ref="BC28" ca="1">IFERROR(IF(AS28&lt;=$AB$2+$AN$2,"-",INDEX(Calculation_Tab,SMALL(ROW(Direct_Denaturation)*(Direct_Denaturation&lt;&gt;"-"),COUNTIF(Direct_Denaturation,"-")+ROW()-3-$AB$2-$AN$2)-9,35)),"-")</f>
        <v>-</v>
      </c>
      <c r="BD28" s="511" t="str">
        <f t="shared" ca="1" si="9"/>
        <v>-</v>
      </c>
      <c r="BE28" s="494" t="s">
        <v>343</v>
      </c>
      <c r="BF28" s="378">
        <v>25</v>
      </c>
      <c r="BG28" s="515" t="str">
        <v>-</v>
      </c>
      <c r="BH28" s="516" t="str">
        <f>IFERROR(IF((Calculation!$AR$6/INDEX(ListAndConversion!D:P,MATCH(BG28,E:E,0),13))&lt;Calculation!$O$6,INDEX(ListAndConversion!D:P,MATCH(BG28,E:E,0),13)*Calculation!$O$6,Calculation!$AR$6),"-")</f>
        <v>-</v>
      </c>
      <c r="BI28" s="517" t="str">
        <f t="shared" si="10"/>
        <v>-</v>
      </c>
      <c r="BJ28" s="518" t="str">
        <f t="shared" si="11"/>
        <v>-</v>
      </c>
      <c r="BK28" s="378" t="s">
        <v>158</v>
      </c>
      <c r="BL28" s="378">
        <v>25</v>
      </c>
      <c r="BM28" s="487" t="str">
        <f t="array" aca="1" ref="BM28" ca="1">IFERROR(INDEX(Calculation_Tab,SMALL(ROW(ToPool)*(ToPool&lt;&gt;"-"),COUNTIF(ToPool,"-")+ROW()-3)-9,3),"-")</f>
        <v>-</v>
      </c>
      <c r="BN28" s="378" t="str">
        <f t="shared" ca="1" si="12"/>
        <v>-</v>
      </c>
      <c r="BO28" s="378" t="str">
        <f t="shared" ca="1" si="13"/>
        <v>-</v>
      </c>
      <c r="BP28" s="523" t="str">
        <f t="shared" ca="1" si="14"/>
        <v>-</v>
      </c>
      <c r="BQ28" s="378" t="str">
        <f t="array" aca="1" ref="BQ28" ca="1">IFERROR(INDEX(BE:BG,MATCH(INDEX(Calculation_Tab,SMALL(ROW(ToPool)*(ToPool&lt;&gt;"-"),COUNTIF(ToPool,"-")+ROW()-3)-9,9),BG:BG,0),2),"-")</f>
        <v>-</v>
      </c>
      <c r="BR28" s="510" t="str">
        <f t="shared" ca="1" si="15"/>
        <v>-</v>
      </c>
      <c r="BS28" s="511" t="str">
        <f t="shared" ca="1" si="16"/>
        <v>-</v>
      </c>
      <c r="BT28" s="378" t="s">
        <v>164</v>
      </c>
      <c r="BU28" s="487" t="str">
        <f t="shared" ca="1" si="21"/>
        <v>-</v>
      </c>
      <c r="BV28" s="487" t="str">
        <f t="array" aca="1" ref="BV2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8" s="378" t="str">
        <f t="shared" ca="1" si="17"/>
        <v>-</v>
      </c>
      <c r="BX28" s="378" t="str">
        <f t="shared" ca="1" si="18"/>
        <v>-</v>
      </c>
      <c r="BY28" s="510" t="str">
        <f ca="1">IFERROR(ROUND(INDEX(Cluster,MATCH(IF(LEFT(BV28,4)="Pool",INDEX(Cluster,MATCH(INDEX(Calculation_Tab,MATCH(INDEX($BE$4:$BJ$99,MATCH(BV28,$BE$4:$BE$99,0),3),Flow_Cell_Lane,0),3),Cluster!$F$29:$F$412,0),6),BV28),Identifier_Cluster,0),19)*IF(LEFT(BV28,4)="pool",IF(LEN(INDEX($BE$4:$BJ$99,MATCH(BV28,$BE$4:$BE$99,0),3))=10,2,IF(LEN(INDEX($BE$4:$BJ$99,MATCH(BV28,$BE$4:$BE$99,0),3))&gt;10,LEN(INDEX($BE$4:$BJ$99,MATCH(BV28,$BE$4:$BE$99,0),3))-8,1)),1)*IF(LEFT(BV28,4)="pool",IF(INDEX($BE$4:$BJ$99,MATCH(BV28,$BE$4:$BE$99,0),6)&lt;1,1,INDEX($BE$4:$BJ$99,MATCH(BV28,$BE$4:$BE$99,0),6)),INDEX(Calculation_Tab,MATCH(BV28,Identifier,0),10)),1)*(1+Calculation!$Q$6),"-")</f>
        <v>-</v>
      </c>
      <c r="BZ28" s="378" t="str">
        <f ca="1">IFERROR((0.5/50)*CE28/Calculation!$AG$6*(IF(LEFT(BV28,4)="Pool",IF(LEN(INDEX($BE$4:$BJ$99,MATCH(BV28,$BE$4:$BE$99,0),3))=10,2,IF(LEN(INDEX($BE$4:$BJ$99,MATCH(BV28,$BE$4:$BE$99,0),3))&gt;10,LEN(INDEX($BE$4:$BJ$99,MATCH(BV28,$BE$4:$BE$99,0),3))-8,1)),IF(INDEX(Calculation_Tab,MATCH(BV28,Identifier,0),10)&gt;1,INDEX(Calculation_Tab,MATCH(BV28,Identifier,0),10),1)))*(1+Calculation!$Q$6),"-")</f>
        <v>-</v>
      </c>
      <c r="CA28" s="510" t="str">
        <f ca="1">IFERROR(IF((BZ28*Calculation!$AG$6/0.05)-SUM(BY28:BZ28,CC28)&gt;0,(BZ28*Calculation!$AG$6/0.05)-SUM(BY28:BZ28,CC28),0),"-")</f>
        <v>-</v>
      </c>
      <c r="CB28" s="510" t="str">
        <f ca="1">IFERROR(5/50*CE28*(IF(LEFT(BV28,4)="Pool",IF(LEN(INDEX($BE$4:$BJ$99,MATCH(BV28,$BE$4:$BE$99,0),3))=10,2,IF(LEN(INDEX($BE$4:$BJ$99,MATCH(BV28,$BE$4:$BE$99,0),3))&gt;10,LEN(INDEX($BE$4:$BJ$99,MATCH(BV28,$BE$4:$BE$99,0),3))-8,1)),IF(INDEX(Calculation_Tab,MATCH(BV28,Identifier,0),10)&gt;1,INDEX(Calculation_Tab,MATCH(BV28,Identifier,0),10),1)))*(1+Calculation!$Q$6),"-")</f>
        <v>-</v>
      </c>
      <c r="CC28" s="508" t="str">
        <f ca="1">IFERROR(ROUND(INDEX(Cluster,MATCH(IF(LEFT(BV28,4)="Pool",INDEX(Cluster,MATCH(INDEX(Calculation_Tab,MATCH(INDEX($BE$4:$BJ$99,MATCH(BV28,$BE$4:$BE$99,0),3),Flow_Cell_Lane,0),3),Cluster!$F$29:$F$412,0),6),BV28),Identifier_Cluster,0),20)*IF(LEFT(BV28,4)="pool",IF(LEN(INDEX($BE$4:$BJ$99,MATCH(BV28,$BE$4:$BE$99,0),3))=10,2,IF(LEN(INDEX($BE$4:$BJ$99,MATCH(BV28,$BE$4:$BE$99,0),3))&gt;10,LEN(INDEX($BE$4:$BJ$99,MATCH(BV28,$BE$4:$BE$99,0),3))-8,1)),1)*IF(LEFT(BV28,4)="pool",IF(INDEX($BE$4:$BJ$99,MATCH(BV28,$BE$4:$BE$99,0),6)&lt;1,1,INDEX($BE$4:$BJ$99,MATCH(BV28,$BE$4:$BE$99,0),6)),INDEX(Calculation_Tab,MATCH(BV28,Identifier,0),10)),1)*(1+Calculation!$Q$6),"-")</f>
        <v>-</v>
      </c>
      <c r="CD28" s="509" t="str">
        <f ca="1">IFERROR(INDEX(Cluster!AC:AD,MATCH(IF(LEFT(BV28,4)="Pool",INDEX(Cluster!$D$29:$AA$412,MATCH(INDEX(Calculation_Tab,MATCH(INDEX($BE$4:$BJ$99,MATCH(BV28,$BE$4:$BE$99,0),3),Flow_Cell_Lane,0),3),Cluster!$F$29:$F$412,0),24),INDEX(Cluster!$D$29:$AA$412,MATCH(BV28,Cluster!$F$29:$F$412,0),24)),Cluster!AC:AC,0),2),"-")</f>
        <v>-</v>
      </c>
      <c r="CE28" s="378" t="str">
        <f ca="1">IFERROR(IF(BV28&lt;&gt;"-",Calculation!$AK$6,"-"),"-")</f>
        <v>-</v>
      </c>
      <c r="CF28" s="378" t="str">
        <f ca="1">IF(OR(LEFT(ListAndConversion!BW28,3)="Dil",LEFT(ListAndConversion!BW28,3)="Poo"),ListAndConversion!$BT$4,IF(LEFT(ListAndConversion!BW28,3)="Sou",INDEX(ListAndConversion!$AT$3:$AV$387,MATCH(ListAndConversion!BV28,ListAndConversion!$AV$3:$AV$387,0),1),"-"))</f>
        <v>-</v>
      </c>
      <c r="CG28" s="498" t="str">
        <f ca="1">IF(OR(LEFT(ListAndConversion!BW28,3)="Dil",LEFT(ListAndConversion!BW28,3)="Poo"),ListAndConversion!BU28,IF(LEFT(ListAndConversion!BW28,3)="Sou",INDEX(ListAndConversion!$AT$4:$AV$387,MATCH(ListAndConversion!BV28,ListAndConversion!$AV$4:$AV$387,0),2),"-"))</f>
        <v>-</v>
      </c>
      <c r="CH28"/>
      <c r="CI28" s="487" t="str">
        <f t="shared" ca="1" si="19"/>
        <v>-</v>
      </c>
      <c r="CJ28" s="378" t="str">
        <f t="shared" ca="1" si="27"/>
        <v>-</v>
      </c>
      <c r="CK28" s="378" t="str">
        <f t="shared" ca="1" si="27"/>
        <v>-</v>
      </c>
      <c r="CL28" s="378" t="str">
        <f t="shared" ca="1" si="27"/>
        <v>-</v>
      </c>
      <c r="CM28" s="378" t="str">
        <f t="shared" ca="1" si="27"/>
        <v>-</v>
      </c>
      <c r="CN28" s="378" t="str">
        <f t="shared" ca="1" si="27"/>
        <v>-</v>
      </c>
      <c r="CO28" s="378" t="str">
        <f t="shared" ca="1" si="27"/>
        <v>-</v>
      </c>
      <c r="CP28" s="378" t="str">
        <f t="shared" ca="1" si="27"/>
        <v>-</v>
      </c>
      <c r="CQ28" s="378" t="str">
        <f t="shared" ca="1" si="27"/>
        <v>-</v>
      </c>
      <c r="CR28" s="510" t="str">
        <f ca="1">IFERROR(IF(LEFT(BW28,3)="Poo",INDEX($BE$4:$BJ$99,MATCH(CI28,$BG$4:$BG$99,0),6)*((15/50))*Calculation!$AK$6,INDEX(Calculation_Tab,MATCH(BV28,Identifier,0),10)/(IF(LEN(INDEX(Calculation_Tab,MATCH(BV28,Identifier,0),9))&gt;8,LEN(INDEX(Calculation_Tab,MATCH(BV28,Identifier,0),9))-8,1))*((15/50)*Calculation!$AK$6)),"-")</f>
        <v>-</v>
      </c>
      <c r="CS28" s="498" t="str">
        <f ca="1">IF(CI28="-","-",IF(COUNTIF($CI$3:CI28,CI28)&gt;1,0,IFERROR((35/50)*Calculation!$AK$6,"-")))</f>
        <v>-</v>
      </c>
    </row>
    <row r="29" spans="4:97" x14ac:dyDescent="0.5">
      <c r="D29" s="487" t="e">
        <f t="shared" si="0"/>
        <v>#DIV/0!</v>
      </c>
      <c r="E29" s="496" t="e">
        <f t="array" ref="E29">IF(IF((ROW(E29)-3)&lt;(ListAndConversion!$A$15),INDEX(Flow_Cell_Lane,MIN(IF(COUNTIF($E$2:E28,Flow_Cell_Lane)=0,ROW(Flow_Cell_Lane)-9))),"-")="","-",IF((ROW(E29)-3)&lt;(ListAndConversion!$A$15),INDEX(Flow_Cell_Lane,MIN(IF(COUNTIF($E$2:E28,Flow_Cell_Lane)=0,ROW(Flow_Cell_Lane)-9))),"-"))</f>
        <v>#DIV/0!</v>
      </c>
      <c r="F29" s="378" t="e">
        <f t="shared" si="1"/>
        <v>#DIV/0!</v>
      </c>
      <c r="G29" s="378" t="e">
        <f t="shared" si="26"/>
        <v>#DIV/0!</v>
      </c>
      <c r="H29" s="378" t="e">
        <f t="shared" si="26"/>
        <v>#DIV/0!</v>
      </c>
      <c r="I29" s="378" t="e">
        <f t="shared" si="26"/>
        <v>#DIV/0!</v>
      </c>
      <c r="J29" s="378" t="e">
        <f t="shared" si="26"/>
        <v>#DIV/0!</v>
      </c>
      <c r="K29" s="378" t="e">
        <f t="shared" si="26"/>
        <v>#DIV/0!</v>
      </c>
      <c r="L29" s="378" t="e">
        <f t="shared" si="26"/>
        <v>#DIV/0!</v>
      </c>
      <c r="M29" s="378" t="e">
        <f t="shared" si="26"/>
        <v>#DIV/0!</v>
      </c>
      <c r="N29" s="497" t="e">
        <f t="shared" si="3"/>
        <v>#DIV/0!</v>
      </c>
      <c r="O29" s="497" t="str">
        <f t="array" ref="O29">IFERROR(INDEX(Calculation!I:AN,MATCH(ListAndConversion!E29,Calculation!I:I,0),31),"-")</f>
        <v>-</v>
      </c>
      <c r="P29" s="498">
        <f>IF(COUNTIFS(Calculation!$I$10:$I$393,E29,Direct_Denaturation,"-")&lt;&gt;1,COUNTIFS(Calculation!$I$10:$I$393,E29,Direct_Denaturation,"-"),0)</f>
        <v>0</v>
      </c>
      <c r="Q29" s="378"/>
      <c r="R29" s="487" t="e">
        <f t="array" ref="R29">IF(IF((ROW(R29)-3)&lt;(Calculation!$H$6),INDEX(Flow_Cell,MIN(IF(COUNTIF($R$2:R28,Flow_Cell)=0,ROW(Flow_Cell)-9))),"-")="","-",IF((ROW(R29)-3)&lt;(Calculation!$H$6),INDEX(Flow_Cell,MIN(IF(COUNTIF($R$2:R28,Flow_Cell)=0,ROW(Flow_Cell)-9))),"-"))</f>
        <v>#DIV/0!</v>
      </c>
      <c r="S29" s="378" t="e">
        <f t="shared" si="28"/>
        <v>#DIV/0!</v>
      </c>
      <c r="T29" s="378">
        <v>3</v>
      </c>
      <c r="U29" s="498">
        <v>27</v>
      </c>
      <c r="V29" s="487">
        <v>26</v>
      </c>
      <c r="W29" s="497" t="s">
        <v>287</v>
      </c>
      <c r="X29" s="497" t="s">
        <v>15</v>
      </c>
      <c r="Y29" s="378">
        <v>26</v>
      </c>
      <c r="Z29" s="378" t="str">
        <f t="shared" ca="1" si="5"/>
        <v>-</v>
      </c>
      <c r="AA29" s="508" t="str">
        <f t="array" aca="1" ref="AA29" ca="1">IFERROR(INDEX(Calculation_Tab,SMALL(ROW(Sample_Intermediate_Dil)*(Sample_Intermediate_Dil&lt;&gt;"-"),COUNTIF(Sample_Intermediate_Dil,"-")+ROW()-3)-9,5),"-")</f>
        <v>-</v>
      </c>
      <c r="AB29" s="378" t="str">
        <f t="array" aca="1" ref="AB29" ca="1">IFERROR(INDEX($A$3:$B$12,MATCH(INDEX(Calculation_Tab,SMALL(ROW(Sample_Intermediate_Dil)*(Sample_Intermediate_Dil&lt;&gt;"-"),COUNTIF(Sample_Intermediate_Dil,"-")+ROW()-3)-9,5),$A$3:$A$12,0),2),"-")</f>
        <v>-</v>
      </c>
      <c r="AC29" s="509" t="str">
        <f t="array" aca="1" ref="AC29" ca="1">IFERROR(INDEX(Coordinate,MATCH(INDEX(Calculation_Tab,SMALL(ROW(Sample_Intermediate_Dil)*(Sample_Intermediate_Dil&lt;&gt;"-"),COUNTIF(Sample_Intermediate_Dil,"-")+ROW()-3)-9,6),$X$4:$X$99,0),2),"-")</f>
        <v>-</v>
      </c>
      <c r="AD29" s="510" t="str">
        <f t="array" aca="1" ref="AD29" ca="1">IFERROR(INDEX(Calculation_Tab,SMALL(ROW(Sample_Intermediate_Dil)*(Sample_Intermediate_Dil&lt;&gt;"-"),COUNTIF(Sample_Intermediate_Dil,"-")+ROW()-3)-9,24),"-")</f>
        <v>-</v>
      </c>
      <c r="AE29" s="510" t="str">
        <f t="array" aca="1" ref="AE29" ca="1">IFERROR(INDEX(Calculation_Tab,SMALL(ROW(Sample_Intermediate_Dil)*(Sample_Intermediate_Dil&lt;&gt;"-"),COUNTIF(Sample_Intermediate_Dil,"-")+ROW()-3)-9,25),"-")</f>
        <v>-</v>
      </c>
      <c r="AF29" s="510" t="str">
        <f t="array" aca="1" ref="AF29" ca="1">IFERROR(INDEX(Calculation_Tab,SMALL(ROW(Sample_Intermediate_Dil)*(Sample_Intermediate_Dil&lt;&gt;"-"),COUNTIF(Sample_Intermediate_Dil,"-")+ROW()-3)-9,26),"-")</f>
        <v>-</v>
      </c>
      <c r="AG29" s="511" t="str">
        <f t="array" aca="1" ref="AG29" ca="1">IFERROR(INDEX(Calculation_Tab,SMALL(ROW(Sample_Intermediate_Dil)*(Sample_Intermediate_Dil&lt;&gt;"-"),COUNTIF(Sample_Intermediate_Dil,"-")+ROW()-3)-9,27),"-")</f>
        <v>-</v>
      </c>
      <c r="AI29" s="487">
        <v>26</v>
      </c>
      <c r="AJ29" s="497" t="s">
        <v>160</v>
      </c>
      <c r="AK29" s="378">
        <v>26</v>
      </c>
      <c r="AL29" s="378" t="str">
        <f t="shared" ca="1" si="6"/>
        <v>-</v>
      </c>
      <c r="AM29" s="378" t="str">
        <f t="array" aca="1" ref="AM29" ca="1">IFERROR(IF(AI29&lt;=$AB$2,"-",INDEX(Calculation_Tab,SMALL(ROW(Main_Dil)*(Main_Dil&lt;&gt;"-"),COUNTIF(Main_Dil,"-")+ROW()-3-$AB$2)-9,5)),"-")</f>
        <v>-</v>
      </c>
      <c r="AN29" s="378" t="str">
        <f t="array" aca="1" ref="AN29" ca="1">IFERROR(IF(AI29&lt;=$AB$2,"-",INDEX($A$3:$B$12,MATCH(INDEX(Calculation_Tab,SMALL(ROW(Main_Dil)*(Main_Dil&lt;&gt;"-"),COUNTIF(Main_Dil,"-")+ROW()-3-$AB$2)-9,5),$A$3:$A$12,0),2)),"-")</f>
        <v>-</v>
      </c>
      <c r="AO29" s="378" t="str">
        <f t="array" aca="1" ref="AO29" ca="1">IFERROR(IF(AI29&lt;=$AB$2,"-",INDEX(Coordinate,MATCH(INDEX(Calculation_Tab,SMALL(ROW(Main_Dil)*(Main_Dil&lt;&gt;"-"),COUNTIF(Main_Dil,"-")+ROW()-3-$AB$2)-9,6),$X$4:$X$99,0),2)),"-")</f>
        <v>-</v>
      </c>
      <c r="AP29" s="510" t="str">
        <f t="array" aca="1" ref="AP29" ca="1">IFERROR(IF(AI29&lt;=$AB$2,"-",INDEX(Calculation_Tab,SMALL(ROW(Main_Dil)*(Main_Dil&lt;&gt;"-"),COUNTIF(Main_Dil,"-")+ROW()-3-$AB$2)-9,21)),"-")</f>
        <v>-</v>
      </c>
      <c r="AQ29" s="511" t="str">
        <f t="array" aca="1" ref="AQ29" ca="1">IFERROR(IF(AI29&lt;=$AB$2,"-",INDEX(Calculation_Tab,SMALL(ROW(Main_Dil)*(Main_Dil&lt;&gt;"-"),COUNTIF(Main_Dil,"-")+ROW()-3-$AB$2)-9,22)),"-")</f>
        <v>-</v>
      </c>
      <c r="AR29" s="487" t="str">
        <f t="shared" ca="1" si="7"/>
        <v>-</v>
      </c>
      <c r="AS29" s="378">
        <v>26</v>
      </c>
      <c r="AT29" s="497" t="s">
        <v>160</v>
      </c>
      <c r="AU29" s="498">
        <v>26</v>
      </c>
      <c r="AV29" s="378" t="str">
        <f t="shared" ca="1" si="8"/>
        <v>-</v>
      </c>
      <c r="AW29" s="378" t="str">
        <f t="array" aca="1" ref="AW29" ca="1">IFERROR(IF(AS29&lt;=$AB$2+$AN$2,"-",INDEX(Calculation_Tab,SMALL(ROW(Direct_Denaturation)*(Direct_Denaturation&lt;&gt;"-"),COUNTIF(Direct_Denaturation,"-")+ROW()-3-$AB$2-$AN$2)-9,5)),"-")</f>
        <v>-</v>
      </c>
      <c r="AX29" s="378" t="str">
        <f t="array" aca="1" ref="AX29" ca="1">IFERROR(IF(AS29&lt;=$AB$2+$AN$2,"-",INDEX($A$3:$B$12,MATCH(INDEX(Calculation_Tab,SMALL(ROW(Direct_Denaturation)*(Direct_Denaturation&lt;&gt;"-"),COUNTIF(Direct_Denaturation,"-")+ROW()-3-$AB$2-$AN$2)-9,5),$A$3:$A$12,0),2)),"-")</f>
        <v>-</v>
      </c>
      <c r="AY29" s="378" t="str">
        <f t="array" aca="1" ref="AY29" ca="1">IFERROR(IF(AS29&lt;=$AB$2+$AN$2,"-",INDEX(Coordinate,MATCH(INDEX(Calculation_Tab,SMALL(ROW(Direct_Denaturation)*(Direct_Denaturation&lt;&gt;"-"),COUNTIF(Direct_Denaturation,"-")+ROW()-3-$AB$2-$AN$2)-9,6),$X$4:$X$99,0),2)),"-")</f>
        <v>-</v>
      </c>
      <c r="AZ29" s="510" t="str">
        <f t="array" aca="1" ref="AZ29" ca="1">IFERROR(IF(AS29&lt;=$AB$2+$AN$2,"-",INDEX(Calculation_Tab,SMALL(ROW(Direct_Denaturation)*(Direct_Denaturation&lt;&gt;"-"),COUNTIF(Direct_Denaturation,"-")+ROW()-3-$AB$2-$AN$2)-9,32)),"-")</f>
        <v>-</v>
      </c>
      <c r="BA29" s="510" t="str">
        <f t="array" aca="1" ref="BA29" ca="1">IFERROR(IF(AS29&lt;=$AB$2+$AN$2,"-",INDEX(Calculation_Tab,SMALL(ROW(Direct_Denaturation)*(Direct_Denaturation&lt;&gt;"-"),COUNTIF(Direct_Denaturation,"-")+ROW()-3-$AB$2-$AN$2)-9,34)),"-")</f>
        <v>-</v>
      </c>
      <c r="BB29" s="510" t="str">
        <f t="array" aca="1" ref="BB29" ca="1">IFERROR(IF(AS29&lt;=$AB$2+$AN$2,"-",INDEX(Calculation_Tab,SMALL(ROW(Direct_Denaturation)*(Direct_Denaturation&lt;&gt;"-"),COUNTIF(Direct_Denaturation,"-")+ROW()-3-$AB$2-$AN$2)-9,33)),"-")</f>
        <v>-</v>
      </c>
      <c r="BC29" s="510" t="str">
        <f t="array" aca="1" ref="BC29" ca="1">IFERROR(IF(AS29&lt;=$AB$2+$AN$2,"-",INDEX(Calculation_Tab,SMALL(ROW(Direct_Denaturation)*(Direct_Denaturation&lt;&gt;"-"),COUNTIF(Direct_Denaturation,"-")+ROW()-3-$AB$2-$AN$2)-9,35)),"-")</f>
        <v>-</v>
      </c>
      <c r="BD29" s="511" t="str">
        <f t="shared" ca="1" si="9"/>
        <v>-</v>
      </c>
      <c r="BE29" s="494" t="s">
        <v>344</v>
      </c>
      <c r="BF29" s="378">
        <v>26</v>
      </c>
      <c r="BG29" s="515" t="str">
        <v>-</v>
      </c>
      <c r="BH29" s="516" t="str">
        <f>IFERROR(IF((Calculation!$AR$6/INDEX(ListAndConversion!D:P,MATCH(BG29,E:E,0),13))&lt;Calculation!$O$6,INDEX(ListAndConversion!D:P,MATCH(BG29,E:E,0),13)*Calculation!$O$6,Calculation!$AR$6),"-")</f>
        <v>-</v>
      </c>
      <c r="BI29" s="517" t="str">
        <f t="shared" si="10"/>
        <v>-</v>
      </c>
      <c r="BJ29" s="518" t="str">
        <f t="shared" si="11"/>
        <v>-</v>
      </c>
      <c r="BK29" s="378" t="s">
        <v>158</v>
      </c>
      <c r="BL29" s="378">
        <v>26</v>
      </c>
      <c r="BM29" s="487" t="str">
        <f t="array" aca="1" ref="BM29" ca="1">IFERROR(INDEX(Calculation_Tab,SMALL(ROW(ToPool)*(ToPool&lt;&gt;"-"),COUNTIF(ToPool,"-")+ROW()-3)-9,3),"-")</f>
        <v>-</v>
      </c>
      <c r="BN29" s="378" t="str">
        <f t="shared" ca="1" si="12"/>
        <v>-</v>
      </c>
      <c r="BO29" s="378" t="str">
        <f t="shared" ca="1" si="13"/>
        <v>-</v>
      </c>
      <c r="BP29" s="523" t="str">
        <f t="shared" ca="1" si="14"/>
        <v>-</v>
      </c>
      <c r="BQ29" s="378" t="str">
        <f t="array" aca="1" ref="BQ29" ca="1">IFERROR(INDEX(BE:BG,MATCH(INDEX(Calculation_Tab,SMALL(ROW(ToPool)*(ToPool&lt;&gt;"-"),COUNTIF(ToPool,"-")+ROW()-3)-9,9),BG:BG,0),2),"-")</f>
        <v>-</v>
      </c>
      <c r="BR29" s="510" t="str">
        <f t="shared" ca="1" si="15"/>
        <v>-</v>
      </c>
      <c r="BS29" s="511" t="str">
        <f t="shared" ca="1" si="16"/>
        <v>-</v>
      </c>
      <c r="BT29" s="378" t="s">
        <v>164</v>
      </c>
      <c r="BU29" s="487" t="str">
        <f t="shared" ca="1" si="21"/>
        <v>-</v>
      </c>
      <c r="BV29" s="487" t="str">
        <f t="array" aca="1" ref="BV2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9" s="378" t="str">
        <f t="shared" ca="1" si="17"/>
        <v>-</v>
      </c>
      <c r="BX29" s="378" t="str">
        <f t="shared" ca="1" si="18"/>
        <v>-</v>
      </c>
      <c r="BY29" s="510" t="str">
        <f ca="1">IFERROR(ROUND(INDEX(Cluster,MATCH(IF(LEFT(BV29,4)="Pool",INDEX(Cluster,MATCH(INDEX(Calculation_Tab,MATCH(INDEX($BE$4:$BJ$99,MATCH(BV29,$BE$4:$BE$99,0),3),Flow_Cell_Lane,0),3),Cluster!$F$29:$F$412,0),6),BV29),Identifier_Cluster,0),19)*IF(LEFT(BV29,4)="pool",IF(LEN(INDEX($BE$4:$BJ$99,MATCH(BV29,$BE$4:$BE$99,0),3))=10,2,IF(LEN(INDEX($BE$4:$BJ$99,MATCH(BV29,$BE$4:$BE$99,0),3))&gt;10,LEN(INDEX($BE$4:$BJ$99,MATCH(BV29,$BE$4:$BE$99,0),3))-8,1)),1)*IF(LEFT(BV29,4)="pool",IF(INDEX($BE$4:$BJ$99,MATCH(BV29,$BE$4:$BE$99,0),6)&lt;1,1,INDEX($BE$4:$BJ$99,MATCH(BV29,$BE$4:$BE$99,0),6)),INDEX(Calculation_Tab,MATCH(BV29,Identifier,0),10)),1)*(1+Calculation!$Q$6),"-")</f>
        <v>-</v>
      </c>
      <c r="BZ29" s="378" t="str">
        <f ca="1">IFERROR((0.5/50)*CE29/Calculation!$AG$6*(IF(LEFT(BV29,4)="Pool",IF(LEN(INDEX($BE$4:$BJ$99,MATCH(BV29,$BE$4:$BE$99,0),3))=10,2,IF(LEN(INDEX($BE$4:$BJ$99,MATCH(BV29,$BE$4:$BE$99,0),3))&gt;10,LEN(INDEX($BE$4:$BJ$99,MATCH(BV29,$BE$4:$BE$99,0),3))-8,1)),IF(INDEX(Calculation_Tab,MATCH(BV29,Identifier,0),10)&gt;1,INDEX(Calculation_Tab,MATCH(BV29,Identifier,0),10),1)))*(1+Calculation!$Q$6),"-")</f>
        <v>-</v>
      </c>
      <c r="CA29" s="510" t="str">
        <f ca="1">IFERROR(IF((BZ29*Calculation!$AG$6/0.05)-SUM(BY29:BZ29,CC29)&gt;0,(BZ29*Calculation!$AG$6/0.05)-SUM(BY29:BZ29,CC29),0),"-")</f>
        <v>-</v>
      </c>
      <c r="CB29" s="510" t="str">
        <f ca="1">IFERROR(5/50*CE29*(IF(LEFT(BV29,4)="Pool",IF(LEN(INDEX($BE$4:$BJ$99,MATCH(BV29,$BE$4:$BE$99,0),3))=10,2,IF(LEN(INDEX($BE$4:$BJ$99,MATCH(BV29,$BE$4:$BE$99,0),3))&gt;10,LEN(INDEX($BE$4:$BJ$99,MATCH(BV29,$BE$4:$BE$99,0),3))-8,1)),IF(INDEX(Calculation_Tab,MATCH(BV29,Identifier,0),10)&gt;1,INDEX(Calculation_Tab,MATCH(BV29,Identifier,0),10),1)))*(1+Calculation!$Q$6),"-")</f>
        <v>-</v>
      </c>
      <c r="CC29" s="508" t="str">
        <f ca="1">IFERROR(ROUND(INDEX(Cluster,MATCH(IF(LEFT(BV29,4)="Pool",INDEX(Cluster,MATCH(INDEX(Calculation_Tab,MATCH(INDEX($BE$4:$BJ$99,MATCH(BV29,$BE$4:$BE$99,0),3),Flow_Cell_Lane,0),3),Cluster!$F$29:$F$412,0),6),BV29),Identifier_Cluster,0),20)*IF(LEFT(BV29,4)="pool",IF(LEN(INDEX($BE$4:$BJ$99,MATCH(BV29,$BE$4:$BE$99,0),3))=10,2,IF(LEN(INDEX($BE$4:$BJ$99,MATCH(BV29,$BE$4:$BE$99,0),3))&gt;10,LEN(INDEX($BE$4:$BJ$99,MATCH(BV29,$BE$4:$BE$99,0),3))-8,1)),1)*IF(LEFT(BV29,4)="pool",IF(INDEX($BE$4:$BJ$99,MATCH(BV29,$BE$4:$BE$99,0),6)&lt;1,1,INDEX($BE$4:$BJ$99,MATCH(BV29,$BE$4:$BE$99,0),6)),INDEX(Calculation_Tab,MATCH(BV29,Identifier,0),10)),1)*(1+Calculation!$Q$6),"-")</f>
        <v>-</v>
      </c>
      <c r="CD29" s="509" t="str">
        <f ca="1">IFERROR(INDEX(Cluster!AC:AD,MATCH(IF(LEFT(BV29,4)="Pool",INDEX(Cluster!$D$29:$AA$412,MATCH(INDEX(Calculation_Tab,MATCH(INDEX($BE$4:$BJ$99,MATCH(BV29,$BE$4:$BE$99,0),3),Flow_Cell_Lane,0),3),Cluster!$F$29:$F$412,0),24),INDEX(Cluster!$D$29:$AA$412,MATCH(BV29,Cluster!$F$29:$F$412,0),24)),Cluster!AC:AC,0),2),"-")</f>
        <v>-</v>
      </c>
      <c r="CE29" s="378" t="str">
        <f ca="1">IFERROR(IF(BV29&lt;&gt;"-",Calculation!$AK$6,"-"),"-")</f>
        <v>-</v>
      </c>
      <c r="CF29" s="378" t="str">
        <f ca="1">IF(OR(LEFT(ListAndConversion!BW29,3)="Dil",LEFT(ListAndConversion!BW29,3)="Poo"),ListAndConversion!$BT$4,IF(LEFT(ListAndConversion!BW29,3)="Sou",INDEX(ListAndConversion!$AT$3:$AV$387,MATCH(ListAndConversion!BV29,ListAndConversion!$AV$3:$AV$387,0),1),"-"))</f>
        <v>-</v>
      </c>
      <c r="CG29" s="498" t="str">
        <f ca="1">IF(OR(LEFT(ListAndConversion!BW29,3)="Dil",LEFT(ListAndConversion!BW29,3)="Poo"),ListAndConversion!BU29,IF(LEFT(ListAndConversion!BW29,3)="Sou",INDEX(ListAndConversion!$AT$4:$AV$387,MATCH(ListAndConversion!BV29,ListAndConversion!$AV$4:$AV$387,0),2),"-"))</f>
        <v>-</v>
      </c>
      <c r="CH29"/>
      <c r="CI29" s="487" t="str">
        <f t="shared" ca="1" si="19"/>
        <v>-</v>
      </c>
      <c r="CJ29" s="378" t="str">
        <f t="shared" ca="1" si="27"/>
        <v>-</v>
      </c>
      <c r="CK29" s="378" t="str">
        <f t="shared" ca="1" si="27"/>
        <v>-</v>
      </c>
      <c r="CL29" s="378" t="str">
        <f t="shared" ca="1" si="27"/>
        <v>-</v>
      </c>
      <c r="CM29" s="378" t="str">
        <f t="shared" ca="1" si="27"/>
        <v>-</v>
      </c>
      <c r="CN29" s="378" t="str">
        <f t="shared" ca="1" si="27"/>
        <v>-</v>
      </c>
      <c r="CO29" s="378" t="str">
        <f t="shared" ca="1" si="27"/>
        <v>-</v>
      </c>
      <c r="CP29" s="378" t="str">
        <f t="shared" ca="1" si="27"/>
        <v>-</v>
      </c>
      <c r="CQ29" s="378" t="str">
        <f t="shared" ca="1" si="27"/>
        <v>-</v>
      </c>
      <c r="CR29" s="510" t="str">
        <f ca="1">IFERROR(IF(LEFT(BW29,3)="Poo",INDEX($BE$4:$BJ$99,MATCH(CI29,$BG$4:$BG$99,0),6)*((15/50))*Calculation!$AK$6,INDEX(Calculation_Tab,MATCH(BV29,Identifier,0),10)/(IF(LEN(INDEX(Calculation_Tab,MATCH(BV29,Identifier,0),9))&gt;8,LEN(INDEX(Calculation_Tab,MATCH(BV29,Identifier,0),9))-8,1))*((15/50)*Calculation!$AK$6)),"-")</f>
        <v>-</v>
      </c>
      <c r="CS29" s="498" t="str">
        <f ca="1">IF(CI29="-","-",IF(COUNTIF($CI$3:CI29,CI29)&gt;1,0,IFERROR((35/50)*Calculation!$AK$6,"-")))</f>
        <v>-</v>
      </c>
    </row>
    <row r="30" spans="4:97" x14ac:dyDescent="0.5">
      <c r="D30" s="487" t="e">
        <f t="shared" si="0"/>
        <v>#DIV/0!</v>
      </c>
      <c r="E30" s="496" t="e">
        <f t="array" ref="E30">IF(IF((ROW(E30)-3)&lt;(ListAndConversion!$A$15),INDEX(Flow_Cell_Lane,MIN(IF(COUNTIF($E$2:E29,Flow_Cell_Lane)=0,ROW(Flow_Cell_Lane)-9))),"-")="","-",IF((ROW(E30)-3)&lt;(ListAndConversion!$A$15),INDEX(Flow_Cell_Lane,MIN(IF(COUNTIF($E$2:E29,Flow_Cell_Lane)=0,ROW(Flow_Cell_Lane)-9))),"-"))</f>
        <v>#DIV/0!</v>
      </c>
      <c r="F30" s="378" t="e">
        <f t="shared" si="1"/>
        <v>#DIV/0!</v>
      </c>
      <c r="G30" s="378" t="e">
        <f t="shared" si="26"/>
        <v>#DIV/0!</v>
      </c>
      <c r="H30" s="378" t="e">
        <f t="shared" si="26"/>
        <v>#DIV/0!</v>
      </c>
      <c r="I30" s="378" t="e">
        <f t="shared" si="26"/>
        <v>#DIV/0!</v>
      </c>
      <c r="J30" s="378" t="e">
        <f t="shared" si="26"/>
        <v>#DIV/0!</v>
      </c>
      <c r="K30" s="378" t="e">
        <f t="shared" si="26"/>
        <v>#DIV/0!</v>
      </c>
      <c r="L30" s="378" t="e">
        <f t="shared" si="26"/>
        <v>#DIV/0!</v>
      </c>
      <c r="M30" s="378" t="e">
        <f t="shared" si="26"/>
        <v>#DIV/0!</v>
      </c>
      <c r="N30" s="497" t="e">
        <f t="shared" si="3"/>
        <v>#DIV/0!</v>
      </c>
      <c r="O30" s="497" t="str">
        <f t="array" ref="O30">IFERROR(INDEX(Calculation!I:AN,MATCH(ListAndConversion!E30,Calculation!I:I,0),31),"-")</f>
        <v>-</v>
      </c>
      <c r="P30" s="498">
        <f>IF(COUNTIFS(Calculation!$I$10:$I$393,E30,Direct_Denaturation,"-")&lt;&gt;1,COUNTIFS(Calculation!$I$10:$I$393,E30,Direct_Denaturation,"-"),0)</f>
        <v>0</v>
      </c>
      <c r="Q30" s="378"/>
      <c r="R30" s="487" t="e">
        <f t="array" ref="R30">IF(IF((ROW(R30)-3)&lt;(Calculation!$H$6),INDEX(Flow_Cell,MIN(IF(COUNTIF($R$2:R29,Flow_Cell)=0,ROW(Flow_Cell)-9))),"-")="","-",IF((ROW(R30)-3)&lt;(Calculation!$H$6),INDEX(Flow_Cell,MIN(IF(COUNTIF($R$2:R29,Flow_Cell)=0,ROW(Flow_Cell)-9))),"-"))</f>
        <v>#DIV/0!</v>
      </c>
      <c r="S30" s="378" t="e">
        <f t="shared" si="28"/>
        <v>#DIV/0!</v>
      </c>
      <c r="T30" s="378">
        <v>4</v>
      </c>
      <c r="U30" s="498">
        <v>28</v>
      </c>
      <c r="V30" s="487">
        <v>27</v>
      </c>
      <c r="W30" s="497" t="s">
        <v>287</v>
      </c>
      <c r="X30" s="497" t="s">
        <v>16</v>
      </c>
      <c r="Y30" s="378">
        <v>27</v>
      </c>
      <c r="Z30" s="378" t="str">
        <f t="shared" ca="1" si="5"/>
        <v>-</v>
      </c>
      <c r="AA30" s="508" t="str">
        <f t="array" aca="1" ref="AA30" ca="1">IFERROR(INDEX(Calculation_Tab,SMALL(ROW(Sample_Intermediate_Dil)*(Sample_Intermediate_Dil&lt;&gt;"-"),COUNTIF(Sample_Intermediate_Dil,"-")+ROW()-3)-9,5),"-")</f>
        <v>-</v>
      </c>
      <c r="AB30" s="378" t="str">
        <f t="array" aca="1" ref="AB30" ca="1">IFERROR(INDEX($A$3:$B$12,MATCH(INDEX(Calculation_Tab,SMALL(ROW(Sample_Intermediate_Dil)*(Sample_Intermediate_Dil&lt;&gt;"-"),COUNTIF(Sample_Intermediate_Dil,"-")+ROW()-3)-9,5),$A$3:$A$12,0),2),"-")</f>
        <v>-</v>
      </c>
      <c r="AC30" s="509" t="str">
        <f t="array" aca="1" ref="AC30" ca="1">IFERROR(INDEX(Coordinate,MATCH(INDEX(Calculation_Tab,SMALL(ROW(Sample_Intermediate_Dil)*(Sample_Intermediate_Dil&lt;&gt;"-"),COUNTIF(Sample_Intermediate_Dil,"-")+ROW()-3)-9,6),$X$4:$X$99,0),2),"-")</f>
        <v>-</v>
      </c>
      <c r="AD30" s="510" t="str">
        <f t="array" aca="1" ref="AD30" ca="1">IFERROR(INDEX(Calculation_Tab,SMALL(ROW(Sample_Intermediate_Dil)*(Sample_Intermediate_Dil&lt;&gt;"-"),COUNTIF(Sample_Intermediate_Dil,"-")+ROW()-3)-9,24),"-")</f>
        <v>-</v>
      </c>
      <c r="AE30" s="510" t="str">
        <f t="array" aca="1" ref="AE30" ca="1">IFERROR(INDEX(Calculation_Tab,SMALL(ROW(Sample_Intermediate_Dil)*(Sample_Intermediate_Dil&lt;&gt;"-"),COUNTIF(Sample_Intermediate_Dil,"-")+ROW()-3)-9,25),"-")</f>
        <v>-</v>
      </c>
      <c r="AF30" s="510" t="str">
        <f t="array" aca="1" ref="AF30" ca="1">IFERROR(INDEX(Calculation_Tab,SMALL(ROW(Sample_Intermediate_Dil)*(Sample_Intermediate_Dil&lt;&gt;"-"),COUNTIF(Sample_Intermediate_Dil,"-")+ROW()-3)-9,26),"-")</f>
        <v>-</v>
      </c>
      <c r="AG30" s="511" t="str">
        <f t="array" aca="1" ref="AG30" ca="1">IFERROR(INDEX(Calculation_Tab,SMALL(ROW(Sample_Intermediate_Dil)*(Sample_Intermediate_Dil&lt;&gt;"-"),COUNTIF(Sample_Intermediate_Dil,"-")+ROW()-3)-9,27),"-")</f>
        <v>-</v>
      </c>
      <c r="AI30" s="487">
        <v>27</v>
      </c>
      <c r="AJ30" s="497" t="s">
        <v>160</v>
      </c>
      <c r="AK30" s="378">
        <v>27</v>
      </c>
      <c r="AL30" s="378" t="str">
        <f t="shared" ca="1" si="6"/>
        <v>-</v>
      </c>
      <c r="AM30" s="378" t="str">
        <f t="array" aca="1" ref="AM30" ca="1">IFERROR(IF(AI30&lt;=$AB$2,"-",INDEX(Calculation_Tab,SMALL(ROW(Main_Dil)*(Main_Dil&lt;&gt;"-"),COUNTIF(Main_Dil,"-")+ROW()-3-$AB$2)-9,5)),"-")</f>
        <v>-</v>
      </c>
      <c r="AN30" s="378" t="str">
        <f t="array" aca="1" ref="AN30" ca="1">IFERROR(IF(AI30&lt;=$AB$2,"-",INDEX($A$3:$B$12,MATCH(INDEX(Calculation_Tab,SMALL(ROW(Main_Dil)*(Main_Dil&lt;&gt;"-"),COUNTIF(Main_Dil,"-")+ROW()-3-$AB$2)-9,5),$A$3:$A$12,0),2)),"-")</f>
        <v>-</v>
      </c>
      <c r="AO30" s="378" t="str">
        <f t="array" aca="1" ref="AO30" ca="1">IFERROR(IF(AI30&lt;=$AB$2,"-",INDEX(Coordinate,MATCH(INDEX(Calculation_Tab,SMALL(ROW(Main_Dil)*(Main_Dil&lt;&gt;"-"),COUNTIF(Main_Dil,"-")+ROW()-3-$AB$2)-9,6),$X$4:$X$99,0),2)),"-")</f>
        <v>-</v>
      </c>
      <c r="AP30" s="510" t="str">
        <f t="array" aca="1" ref="AP30" ca="1">IFERROR(IF(AI30&lt;=$AB$2,"-",INDEX(Calculation_Tab,SMALL(ROW(Main_Dil)*(Main_Dil&lt;&gt;"-"),COUNTIF(Main_Dil,"-")+ROW()-3-$AB$2)-9,21)),"-")</f>
        <v>-</v>
      </c>
      <c r="AQ30" s="511" t="str">
        <f t="array" aca="1" ref="AQ30" ca="1">IFERROR(IF(AI30&lt;=$AB$2,"-",INDEX(Calculation_Tab,SMALL(ROW(Main_Dil)*(Main_Dil&lt;&gt;"-"),COUNTIF(Main_Dil,"-")+ROW()-3-$AB$2)-9,22)),"-")</f>
        <v>-</v>
      </c>
      <c r="AR30" s="487" t="str">
        <f t="shared" ca="1" si="7"/>
        <v>-</v>
      </c>
      <c r="AS30" s="378">
        <v>27</v>
      </c>
      <c r="AT30" s="497" t="s">
        <v>160</v>
      </c>
      <c r="AU30" s="498">
        <v>27</v>
      </c>
      <c r="AV30" s="378" t="str">
        <f t="shared" ca="1" si="8"/>
        <v>-</v>
      </c>
      <c r="AW30" s="378" t="str">
        <f t="array" aca="1" ref="AW30" ca="1">IFERROR(IF(AS30&lt;=$AB$2+$AN$2,"-",INDEX(Calculation_Tab,SMALL(ROW(Direct_Denaturation)*(Direct_Denaturation&lt;&gt;"-"),COUNTIF(Direct_Denaturation,"-")+ROW()-3-$AB$2-$AN$2)-9,5)),"-")</f>
        <v>-</v>
      </c>
      <c r="AX30" s="378" t="str">
        <f t="array" aca="1" ref="AX30" ca="1">IFERROR(IF(AS30&lt;=$AB$2+$AN$2,"-",INDEX($A$3:$B$12,MATCH(INDEX(Calculation_Tab,SMALL(ROW(Direct_Denaturation)*(Direct_Denaturation&lt;&gt;"-"),COUNTIF(Direct_Denaturation,"-")+ROW()-3-$AB$2-$AN$2)-9,5),$A$3:$A$12,0),2)),"-")</f>
        <v>-</v>
      </c>
      <c r="AY30" s="378" t="str">
        <f t="array" aca="1" ref="AY30" ca="1">IFERROR(IF(AS30&lt;=$AB$2+$AN$2,"-",INDEX(Coordinate,MATCH(INDEX(Calculation_Tab,SMALL(ROW(Direct_Denaturation)*(Direct_Denaturation&lt;&gt;"-"),COUNTIF(Direct_Denaturation,"-")+ROW()-3-$AB$2-$AN$2)-9,6),$X$4:$X$99,0),2)),"-")</f>
        <v>-</v>
      </c>
      <c r="AZ30" s="510" t="str">
        <f t="array" aca="1" ref="AZ30" ca="1">IFERROR(IF(AS30&lt;=$AB$2+$AN$2,"-",INDEX(Calculation_Tab,SMALL(ROW(Direct_Denaturation)*(Direct_Denaturation&lt;&gt;"-"),COUNTIF(Direct_Denaturation,"-")+ROW()-3-$AB$2-$AN$2)-9,32)),"-")</f>
        <v>-</v>
      </c>
      <c r="BA30" s="510" t="str">
        <f t="array" aca="1" ref="BA30" ca="1">IFERROR(IF(AS30&lt;=$AB$2+$AN$2,"-",INDEX(Calculation_Tab,SMALL(ROW(Direct_Denaturation)*(Direct_Denaturation&lt;&gt;"-"),COUNTIF(Direct_Denaturation,"-")+ROW()-3-$AB$2-$AN$2)-9,34)),"-")</f>
        <v>-</v>
      </c>
      <c r="BB30" s="510" t="str">
        <f t="array" aca="1" ref="BB30" ca="1">IFERROR(IF(AS30&lt;=$AB$2+$AN$2,"-",INDEX(Calculation_Tab,SMALL(ROW(Direct_Denaturation)*(Direct_Denaturation&lt;&gt;"-"),COUNTIF(Direct_Denaturation,"-")+ROW()-3-$AB$2-$AN$2)-9,33)),"-")</f>
        <v>-</v>
      </c>
      <c r="BC30" s="510" t="str">
        <f t="array" aca="1" ref="BC30" ca="1">IFERROR(IF(AS30&lt;=$AB$2+$AN$2,"-",INDEX(Calculation_Tab,SMALL(ROW(Direct_Denaturation)*(Direct_Denaturation&lt;&gt;"-"),COUNTIF(Direct_Denaturation,"-")+ROW()-3-$AB$2-$AN$2)-9,35)),"-")</f>
        <v>-</v>
      </c>
      <c r="BD30" s="511" t="str">
        <f t="shared" ca="1" si="9"/>
        <v>-</v>
      </c>
      <c r="BE30" s="494" t="s">
        <v>345</v>
      </c>
      <c r="BF30" s="378">
        <v>27</v>
      </c>
      <c r="BG30" s="515" t="str">
        <v>-</v>
      </c>
      <c r="BH30" s="516" t="str">
        <f>IFERROR(IF((Calculation!$AR$6/INDEX(ListAndConversion!D:P,MATCH(BG30,E:E,0),13))&lt;Calculation!$O$6,INDEX(ListAndConversion!D:P,MATCH(BG30,E:E,0),13)*Calculation!$O$6,Calculation!$AR$6),"-")</f>
        <v>-</v>
      </c>
      <c r="BI30" s="517" t="str">
        <f t="shared" si="10"/>
        <v>-</v>
      </c>
      <c r="BJ30" s="518" t="str">
        <f t="shared" si="11"/>
        <v>-</v>
      </c>
      <c r="BK30" s="378" t="s">
        <v>158</v>
      </c>
      <c r="BL30" s="378">
        <v>27</v>
      </c>
      <c r="BM30" s="487" t="str">
        <f t="array" aca="1" ref="BM30" ca="1">IFERROR(INDEX(Calculation_Tab,SMALL(ROW(ToPool)*(ToPool&lt;&gt;"-"),COUNTIF(ToPool,"-")+ROW()-3)-9,3),"-")</f>
        <v>-</v>
      </c>
      <c r="BN30" s="378" t="str">
        <f t="shared" ca="1" si="12"/>
        <v>-</v>
      </c>
      <c r="BO30" s="378" t="str">
        <f t="shared" ca="1" si="13"/>
        <v>-</v>
      </c>
      <c r="BP30" s="523" t="str">
        <f t="shared" ca="1" si="14"/>
        <v>-</v>
      </c>
      <c r="BQ30" s="378" t="str">
        <f t="array" aca="1" ref="BQ30" ca="1">IFERROR(INDEX(BE:BG,MATCH(INDEX(Calculation_Tab,SMALL(ROW(ToPool)*(ToPool&lt;&gt;"-"),COUNTIF(ToPool,"-")+ROW()-3)-9,9),BG:BG,0),2),"-")</f>
        <v>-</v>
      </c>
      <c r="BR30" s="510" t="str">
        <f t="shared" ca="1" si="15"/>
        <v>-</v>
      </c>
      <c r="BS30" s="511" t="str">
        <f t="shared" ca="1" si="16"/>
        <v>-</v>
      </c>
      <c r="BT30" s="378" t="s">
        <v>164</v>
      </c>
      <c r="BU30" s="487" t="str">
        <f t="shared" ca="1" si="21"/>
        <v>-</v>
      </c>
      <c r="BV30" s="487" t="str">
        <f t="array" aca="1" ref="BV3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0" s="378" t="str">
        <f t="shared" ca="1" si="17"/>
        <v>-</v>
      </c>
      <c r="BX30" s="378" t="str">
        <f t="shared" ca="1" si="18"/>
        <v>-</v>
      </c>
      <c r="BY30" s="510" t="str">
        <f ca="1">IFERROR(ROUND(INDEX(Cluster,MATCH(IF(LEFT(BV30,4)="Pool",INDEX(Cluster,MATCH(INDEX(Calculation_Tab,MATCH(INDEX($BE$4:$BJ$99,MATCH(BV30,$BE$4:$BE$99,0),3),Flow_Cell_Lane,0),3),Cluster!$F$29:$F$412,0),6),BV30),Identifier_Cluster,0),19)*IF(LEFT(BV30,4)="pool",IF(LEN(INDEX($BE$4:$BJ$99,MATCH(BV30,$BE$4:$BE$99,0),3))=10,2,IF(LEN(INDEX($BE$4:$BJ$99,MATCH(BV30,$BE$4:$BE$99,0),3))&gt;10,LEN(INDEX($BE$4:$BJ$99,MATCH(BV30,$BE$4:$BE$99,0),3))-8,1)),1)*IF(LEFT(BV30,4)="pool",IF(INDEX($BE$4:$BJ$99,MATCH(BV30,$BE$4:$BE$99,0),6)&lt;1,1,INDEX($BE$4:$BJ$99,MATCH(BV30,$BE$4:$BE$99,0),6)),INDEX(Calculation_Tab,MATCH(BV30,Identifier,0),10)),1)*(1+Calculation!$Q$6),"-")</f>
        <v>-</v>
      </c>
      <c r="BZ30" s="378" t="str">
        <f ca="1">IFERROR((0.5/50)*CE30/Calculation!$AG$6*(IF(LEFT(BV30,4)="Pool",IF(LEN(INDEX($BE$4:$BJ$99,MATCH(BV30,$BE$4:$BE$99,0),3))=10,2,IF(LEN(INDEX($BE$4:$BJ$99,MATCH(BV30,$BE$4:$BE$99,0),3))&gt;10,LEN(INDEX($BE$4:$BJ$99,MATCH(BV30,$BE$4:$BE$99,0),3))-8,1)),IF(INDEX(Calculation_Tab,MATCH(BV30,Identifier,0),10)&gt;1,INDEX(Calculation_Tab,MATCH(BV30,Identifier,0),10),1)))*(1+Calculation!$Q$6),"-")</f>
        <v>-</v>
      </c>
      <c r="CA30" s="510" t="str">
        <f ca="1">IFERROR(IF((BZ30*Calculation!$AG$6/0.05)-SUM(BY30:BZ30,CC30)&gt;0,(BZ30*Calculation!$AG$6/0.05)-SUM(BY30:BZ30,CC30),0),"-")</f>
        <v>-</v>
      </c>
      <c r="CB30" s="510" t="str">
        <f ca="1">IFERROR(5/50*CE30*(IF(LEFT(BV30,4)="Pool",IF(LEN(INDEX($BE$4:$BJ$99,MATCH(BV30,$BE$4:$BE$99,0),3))=10,2,IF(LEN(INDEX($BE$4:$BJ$99,MATCH(BV30,$BE$4:$BE$99,0),3))&gt;10,LEN(INDEX($BE$4:$BJ$99,MATCH(BV30,$BE$4:$BE$99,0),3))-8,1)),IF(INDEX(Calculation_Tab,MATCH(BV30,Identifier,0),10)&gt;1,INDEX(Calculation_Tab,MATCH(BV30,Identifier,0),10),1)))*(1+Calculation!$Q$6),"-")</f>
        <v>-</v>
      </c>
      <c r="CC30" s="508" t="str">
        <f ca="1">IFERROR(ROUND(INDEX(Cluster,MATCH(IF(LEFT(BV30,4)="Pool",INDEX(Cluster,MATCH(INDEX(Calculation_Tab,MATCH(INDEX($BE$4:$BJ$99,MATCH(BV30,$BE$4:$BE$99,0),3),Flow_Cell_Lane,0),3),Cluster!$F$29:$F$412,0),6),BV30),Identifier_Cluster,0),20)*IF(LEFT(BV30,4)="pool",IF(LEN(INDEX($BE$4:$BJ$99,MATCH(BV30,$BE$4:$BE$99,0),3))=10,2,IF(LEN(INDEX($BE$4:$BJ$99,MATCH(BV30,$BE$4:$BE$99,0),3))&gt;10,LEN(INDEX($BE$4:$BJ$99,MATCH(BV30,$BE$4:$BE$99,0),3))-8,1)),1)*IF(LEFT(BV30,4)="pool",IF(INDEX($BE$4:$BJ$99,MATCH(BV30,$BE$4:$BE$99,0),6)&lt;1,1,INDEX($BE$4:$BJ$99,MATCH(BV30,$BE$4:$BE$99,0),6)),INDEX(Calculation_Tab,MATCH(BV30,Identifier,0),10)),1)*(1+Calculation!$Q$6),"-")</f>
        <v>-</v>
      </c>
      <c r="CD30" s="509" t="str">
        <f ca="1">IFERROR(INDEX(Cluster!AC:AD,MATCH(IF(LEFT(BV30,4)="Pool",INDEX(Cluster!$D$29:$AA$412,MATCH(INDEX(Calculation_Tab,MATCH(INDEX($BE$4:$BJ$99,MATCH(BV30,$BE$4:$BE$99,0),3),Flow_Cell_Lane,0),3),Cluster!$F$29:$F$412,0),24),INDEX(Cluster!$D$29:$AA$412,MATCH(BV30,Cluster!$F$29:$F$412,0),24)),Cluster!AC:AC,0),2),"-")</f>
        <v>-</v>
      </c>
      <c r="CE30" s="378" t="str">
        <f ca="1">IFERROR(IF(BV30&lt;&gt;"-",Calculation!$AK$6,"-"),"-")</f>
        <v>-</v>
      </c>
      <c r="CF30" s="378" t="str">
        <f ca="1">IF(OR(LEFT(ListAndConversion!BW30,3)="Dil",LEFT(ListAndConversion!BW30,3)="Poo"),ListAndConversion!$BT$4,IF(LEFT(ListAndConversion!BW30,3)="Sou",INDEX(ListAndConversion!$AT$3:$AV$387,MATCH(ListAndConversion!BV30,ListAndConversion!$AV$3:$AV$387,0),1),"-"))</f>
        <v>-</v>
      </c>
      <c r="CG30" s="498" t="str">
        <f ca="1">IF(OR(LEFT(ListAndConversion!BW30,3)="Dil",LEFT(ListAndConversion!BW30,3)="Poo"),ListAndConversion!BU30,IF(LEFT(ListAndConversion!BW30,3)="Sou",INDEX(ListAndConversion!$AT$4:$AV$387,MATCH(ListAndConversion!BV30,ListAndConversion!$AV$4:$AV$387,0),2),"-"))</f>
        <v>-</v>
      </c>
      <c r="CH30"/>
      <c r="CI30" s="487" t="str">
        <f t="shared" ca="1" si="19"/>
        <v>-</v>
      </c>
      <c r="CJ30" s="378" t="str">
        <f t="shared" ca="1" si="27"/>
        <v>-</v>
      </c>
      <c r="CK30" s="378" t="str">
        <f t="shared" ca="1" si="27"/>
        <v>-</v>
      </c>
      <c r="CL30" s="378" t="str">
        <f t="shared" ca="1" si="27"/>
        <v>-</v>
      </c>
      <c r="CM30" s="378" t="str">
        <f t="shared" ca="1" si="27"/>
        <v>-</v>
      </c>
      <c r="CN30" s="378" t="str">
        <f t="shared" ca="1" si="27"/>
        <v>-</v>
      </c>
      <c r="CO30" s="378" t="str">
        <f t="shared" ca="1" si="27"/>
        <v>-</v>
      </c>
      <c r="CP30" s="378" t="str">
        <f t="shared" ca="1" si="27"/>
        <v>-</v>
      </c>
      <c r="CQ30" s="378" t="str">
        <f t="shared" ca="1" si="27"/>
        <v>-</v>
      </c>
      <c r="CR30" s="510" t="str">
        <f ca="1">IFERROR(IF(LEFT(BW30,3)="Poo",INDEX($BE$4:$BJ$99,MATCH(CI30,$BG$4:$BG$99,0),6)*((15/50))*Calculation!$AK$6,INDEX(Calculation_Tab,MATCH(BV30,Identifier,0),10)/(IF(LEN(INDEX(Calculation_Tab,MATCH(BV30,Identifier,0),9))&gt;8,LEN(INDEX(Calculation_Tab,MATCH(BV30,Identifier,0),9))-8,1))*((15/50)*Calculation!$AK$6)),"-")</f>
        <v>-</v>
      </c>
      <c r="CS30" s="498" t="str">
        <f ca="1">IF(CI30="-","-",IF(COUNTIF($CI$3:CI30,CI30)&gt;1,0,IFERROR((35/50)*Calculation!$AK$6,"-")))</f>
        <v>-</v>
      </c>
    </row>
    <row r="31" spans="4:97" x14ac:dyDescent="0.5">
      <c r="D31" s="487" t="e">
        <f t="shared" si="0"/>
        <v>#DIV/0!</v>
      </c>
      <c r="E31" s="496" t="e">
        <f t="array" ref="E31">IF(IF((ROW(E31)-3)&lt;(ListAndConversion!$A$15),INDEX(Flow_Cell_Lane,MIN(IF(COUNTIF($E$2:E30,Flow_Cell_Lane)=0,ROW(Flow_Cell_Lane)-9))),"-")="","-",IF((ROW(E31)-3)&lt;(ListAndConversion!$A$15),INDEX(Flow_Cell_Lane,MIN(IF(COUNTIF($E$2:E30,Flow_Cell_Lane)=0,ROW(Flow_Cell_Lane)-9))),"-"))</f>
        <v>#DIV/0!</v>
      </c>
      <c r="F31" s="378" t="e">
        <f t="shared" si="1"/>
        <v>#DIV/0!</v>
      </c>
      <c r="G31" s="378" t="e">
        <f t="shared" si="26"/>
        <v>#DIV/0!</v>
      </c>
      <c r="H31" s="378" t="e">
        <f t="shared" si="26"/>
        <v>#DIV/0!</v>
      </c>
      <c r="I31" s="378" t="e">
        <f t="shared" si="26"/>
        <v>#DIV/0!</v>
      </c>
      <c r="J31" s="378" t="e">
        <f t="shared" si="26"/>
        <v>#DIV/0!</v>
      </c>
      <c r="K31" s="378" t="e">
        <f t="shared" si="26"/>
        <v>#DIV/0!</v>
      </c>
      <c r="L31" s="378" t="e">
        <f t="shared" si="26"/>
        <v>#DIV/0!</v>
      </c>
      <c r="M31" s="378" t="e">
        <f t="shared" si="26"/>
        <v>#DIV/0!</v>
      </c>
      <c r="N31" s="497" t="e">
        <f t="shared" si="3"/>
        <v>#DIV/0!</v>
      </c>
      <c r="O31" s="497" t="str">
        <f t="array" ref="O31">IFERROR(INDEX(Calculation!I:AN,MATCH(ListAndConversion!E31,Calculation!I:I,0),31),"-")</f>
        <v>-</v>
      </c>
      <c r="P31" s="498">
        <f>IF(COUNTIFS(Calculation!$I$10:$I$393,E31,Direct_Denaturation,"-")&lt;&gt;1,COUNTIFS(Calculation!$I$10:$I$393,E31,Direct_Denaturation,"-"),0)</f>
        <v>0</v>
      </c>
      <c r="Q31" s="378"/>
      <c r="R31" s="487" t="e">
        <f t="array" ref="R31">IF(IF((ROW(R31)-3)&lt;(Calculation!$H$6),INDEX(Flow_Cell,MIN(IF(COUNTIF($R$2:R30,Flow_Cell)=0,ROW(Flow_Cell)-9))),"-")="","-",IF((ROW(R31)-3)&lt;(Calculation!$H$6),INDEX(Flow_Cell,MIN(IF(COUNTIF($R$2:R30,Flow_Cell)=0,ROW(Flow_Cell)-9))),"-"))</f>
        <v>#DIV/0!</v>
      </c>
      <c r="S31" s="378" t="e">
        <f t="shared" si="28"/>
        <v>#DIV/0!</v>
      </c>
      <c r="T31" s="378">
        <v>5</v>
      </c>
      <c r="U31" s="498">
        <v>29</v>
      </c>
      <c r="V31" s="487">
        <v>28</v>
      </c>
      <c r="W31" s="497" t="s">
        <v>287</v>
      </c>
      <c r="X31" s="497" t="s">
        <v>17</v>
      </c>
      <c r="Y31" s="378">
        <v>28</v>
      </c>
      <c r="Z31" s="378" t="str">
        <f t="shared" ca="1" si="5"/>
        <v>-</v>
      </c>
      <c r="AA31" s="508" t="str">
        <f t="array" aca="1" ref="AA31" ca="1">IFERROR(INDEX(Calculation_Tab,SMALL(ROW(Sample_Intermediate_Dil)*(Sample_Intermediate_Dil&lt;&gt;"-"),COUNTIF(Sample_Intermediate_Dil,"-")+ROW()-3)-9,5),"-")</f>
        <v>-</v>
      </c>
      <c r="AB31" s="378" t="str">
        <f t="array" aca="1" ref="AB31" ca="1">IFERROR(INDEX($A$3:$B$12,MATCH(INDEX(Calculation_Tab,SMALL(ROW(Sample_Intermediate_Dil)*(Sample_Intermediate_Dil&lt;&gt;"-"),COUNTIF(Sample_Intermediate_Dil,"-")+ROW()-3)-9,5),$A$3:$A$12,0),2),"-")</f>
        <v>-</v>
      </c>
      <c r="AC31" s="509" t="str">
        <f t="array" aca="1" ref="AC31" ca="1">IFERROR(INDEX(Coordinate,MATCH(INDEX(Calculation_Tab,SMALL(ROW(Sample_Intermediate_Dil)*(Sample_Intermediate_Dil&lt;&gt;"-"),COUNTIF(Sample_Intermediate_Dil,"-")+ROW()-3)-9,6),$X$4:$X$99,0),2),"-")</f>
        <v>-</v>
      </c>
      <c r="AD31" s="510" t="str">
        <f t="array" aca="1" ref="AD31" ca="1">IFERROR(INDEX(Calculation_Tab,SMALL(ROW(Sample_Intermediate_Dil)*(Sample_Intermediate_Dil&lt;&gt;"-"),COUNTIF(Sample_Intermediate_Dil,"-")+ROW()-3)-9,24),"-")</f>
        <v>-</v>
      </c>
      <c r="AE31" s="510" t="str">
        <f t="array" aca="1" ref="AE31" ca="1">IFERROR(INDEX(Calculation_Tab,SMALL(ROW(Sample_Intermediate_Dil)*(Sample_Intermediate_Dil&lt;&gt;"-"),COUNTIF(Sample_Intermediate_Dil,"-")+ROW()-3)-9,25),"-")</f>
        <v>-</v>
      </c>
      <c r="AF31" s="510" t="str">
        <f t="array" aca="1" ref="AF31" ca="1">IFERROR(INDEX(Calculation_Tab,SMALL(ROW(Sample_Intermediate_Dil)*(Sample_Intermediate_Dil&lt;&gt;"-"),COUNTIF(Sample_Intermediate_Dil,"-")+ROW()-3)-9,26),"-")</f>
        <v>-</v>
      </c>
      <c r="AG31" s="511" t="str">
        <f t="array" aca="1" ref="AG31" ca="1">IFERROR(INDEX(Calculation_Tab,SMALL(ROW(Sample_Intermediate_Dil)*(Sample_Intermediate_Dil&lt;&gt;"-"),COUNTIF(Sample_Intermediate_Dil,"-")+ROW()-3)-9,27),"-")</f>
        <v>-</v>
      </c>
      <c r="AI31" s="487">
        <v>28</v>
      </c>
      <c r="AJ31" s="497" t="s">
        <v>160</v>
      </c>
      <c r="AK31" s="378">
        <v>28</v>
      </c>
      <c r="AL31" s="378" t="str">
        <f t="shared" ca="1" si="6"/>
        <v>-</v>
      </c>
      <c r="AM31" s="378" t="str">
        <f t="array" aca="1" ref="AM31" ca="1">IFERROR(IF(AI31&lt;=$AB$2,"-",INDEX(Calculation_Tab,SMALL(ROW(Main_Dil)*(Main_Dil&lt;&gt;"-"),COUNTIF(Main_Dil,"-")+ROW()-3-$AB$2)-9,5)),"-")</f>
        <v>-</v>
      </c>
      <c r="AN31" s="378" t="str">
        <f t="array" aca="1" ref="AN31" ca="1">IFERROR(IF(AI31&lt;=$AB$2,"-",INDEX($A$3:$B$12,MATCH(INDEX(Calculation_Tab,SMALL(ROW(Main_Dil)*(Main_Dil&lt;&gt;"-"),COUNTIF(Main_Dil,"-")+ROW()-3-$AB$2)-9,5),$A$3:$A$12,0),2)),"-")</f>
        <v>-</v>
      </c>
      <c r="AO31" s="378" t="str">
        <f t="array" aca="1" ref="AO31" ca="1">IFERROR(IF(AI31&lt;=$AB$2,"-",INDEX(Coordinate,MATCH(INDEX(Calculation_Tab,SMALL(ROW(Main_Dil)*(Main_Dil&lt;&gt;"-"),COUNTIF(Main_Dil,"-")+ROW()-3-$AB$2)-9,6),$X$4:$X$99,0),2)),"-")</f>
        <v>-</v>
      </c>
      <c r="AP31" s="510" t="str">
        <f t="array" aca="1" ref="AP31" ca="1">IFERROR(IF(AI31&lt;=$AB$2,"-",INDEX(Calculation_Tab,SMALL(ROW(Main_Dil)*(Main_Dil&lt;&gt;"-"),COUNTIF(Main_Dil,"-")+ROW()-3-$AB$2)-9,21)),"-")</f>
        <v>-</v>
      </c>
      <c r="AQ31" s="511" t="str">
        <f t="array" aca="1" ref="AQ31" ca="1">IFERROR(IF(AI31&lt;=$AB$2,"-",INDEX(Calculation_Tab,SMALL(ROW(Main_Dil)*(Main_Dil&lt;&gt;"-"),COUNTIF(Main_Dil,"-")+ROW()-3-$AB$2)-9,22)),"-")</f>
        <v>-</v>
      </c>
      <c r="AR31" s="487" t="str">
        <f t="shared" ca="1" si="7"/>
        <v>-</v>
      </c>
      <c r="AS31" s="378">
        <v>28</v>
      </c>
      <c r="AT31" s="497" t="s">
        <v>160</v>
      </c>
      <c r="AU31" s="498">
        <v>28</v>
      </c>
      <c r="AV31" s="378" t="str">
        <f t="shared" ca="1" si="8"/>
        <v>-</v>
      </c>
      <c r="AW31" s="378" t="str">
        <f t="array" aca="1" ref="AW31" ca="1">IFERROR(IF(AS31&lt;=$AB$2+$AN$2,"-",INDEX(Calculation_Tab,SMALL(ROW(Direct_Denaturation)*(Direct_Denaturation&lt;&gt;"-"),COUNTIF(Direct_Denaturation,"-")+ROW()-3-$AB$2-$AN$2)-9,5)),"-")</f>
        <v>-</v>
      </c>
      <c r="AX31" s="378" t="str">
        <f t="array" aca="1" ref="AX31" ca="1">IFERROR(IF(AS31&lt;=$AB$2+$AN$2,"-",INDEX($A$3:$B$12,MATCH(INDEX(Calculation_Tab,SMALL(ROW(Direct_Denaturation)*(Direct_Denaturation&lt;&gt;"-"),COUNTIF(Direct_Denaturation,"-")+ROW()-3-$AB$2-$AN$2)-9,5),$A$3:$A$12,0),2)),"-")</f>
        <v>-</v>
      </c>
      <c r="AY31" s="378" t="str">
        <f t="array" aca="1" ref="AY31" ca="1">IFERROR(IF(AS31&lt;=$AB$2+$AN$2,"-",INDEX(Coordinate,MATCH(INDEX(Calculation_Tab,SMALL(ROW(Direct_Denaturation)*(Direct_Denaturation&lt;&gt;"-"),COUNTIF(Direct_Denaturation,"-")+ROW()-3-$AB$2-$AN$2)-9,6),$X$4:$X$99,0),2)),"-")</f>
        <v>-</v>
      </c>
      <c r="AZ31" s="510" t="str">
        <f t="array" aca="1" ref="AZ31" ca="1">IFERROR(IF(AS31&lt;=$AB$2+$AN$2,"-",INDEX(Calculation_Tab,SMALL(ROW(Direct_Denaturation)*(Direct_Denaturation&lt;&gt;"-"),COUNTIF(Direct_Denaturation,"-")+ROW()-3-$AB$2-$AN$2)-9,32)),"-")</f>
        <v>-</v>
      </c>
      <c r="BA31" s="510" t="str">
        <f t="array" aca="1" ref="BA31" ca="1">IFERROR(IF(AS31&lt;=$AB$2+$AN$2,"-",INDEX(Calculation_Tab,SMALL(ROW(Direct_Denaturation)*(Direct_Denaturation&lt;&gt;"-"),COUNTIF(Direct_Denaturation,"-")+ROW()-3-$AB$2-$AN$2)-9,34)),"-")</f>
        <v>-</v>
      </c>
      <c r="BB31" s="510" t="str">
        <f t="array" aca="1" ref="BB31" ca="1">IFERROR(IF(AS31&lt;=$AB$2+$AN$2,"-",INDEX(Calculation_Tab,SMALL(ROW(Direct_Denaturation)*(Direct_Denaturation&lt;&gt;"-"),COUNTIF(Direct_Denaturation,"-")+ROW()-3-$AB$2-$AN$2)-9,33)),"-")</f>
        <v>-</v>
      </c>
      <c r="BC31" s="510" t="str">
        <f t="array" aca="1" ref="BC31" ca="1">IFERROR(IF(AS31&lt;=$AB$2+$AN$2,"-",INDEX(Calculation_Tab,SMALL(ROW(Direct_Denaturation)*(Direct_Denaturation&lt;&gt;"-"),COUNTIF(Direct_Denaturation,"-")+ROW()-3-$AB$2-$AN$2)-9,35)),"-")</f>
        <v>-</v>
      </c>
      <c r="BD31" s="511" t="str">
        <f t="shared" ca="1" si="9"/>
        <v>-</v>
      </c>
      <c r="BE31" s="494" t="s">
        <v>346</v>
      </c>
      <c r="BF31" s="378">
        <v>28</v>
      </c>
      <c r="BG31" s="515" t="str">
        <v>-</v>
      </c>
      <c r="BH31" s="516" t="str">
        <f>IFERROR(IF((Calculation!$AR$6/INDEX(ListAndConversion!D:P,MATCH(BG31,E:E,0),13))&lt;Calculation!$O$6,INDEX(ListAndConversion!D:P,MATCH(BG31,E:E,0),13)*Calculation!$O$6,Calculation!$AR$6),"-")</f>
        <v>-</v>
      </c>
      <c r="BI31" s="517" t="str">
        <f t="shared" si="10"/>
        <v>-</v>
      </c>
      <c r="BJ31" s="518" t="str">
        <f t="shared" si="11"/>
        <v>-</v>
      </c>
      <c r="BK31" s="378" t="s">
        <v>158</v>
      </c>
      <c r="BL31" s="378">
        <v>28</v>
      </c>
      <c r="BM31" s="487" t="str">
        <f t="array" aca="1" ref="BM31" ca="1">IFERROR(INDEX(Calculation_Tab,SMALL(ROW(ToPool)*(ToPool&lt;&gt;"-"),COUNTIF(ToPool,"-")+ROW()-3)-9,3),"-")</f>
        <v>-</v>
      </c>
      <c r="BN31" s="378" t="str">
        <f t="shared" ca="1" si="12"/>
        <v>-</v>
      </c>
      <c r="BO31" s="378" t="str">
        <f t="shared" ca="1" si="13"/>
        <v>-</v>
      </c>
      <c r="BP31" s="523" t="str">
        <f t="shared" ca="1" si="14"/>
        <v>-</v>
      </c>
      <c r="BQ31" s="378" t="str">
        <f t="array" aca="1" ref="BQ31" ca="1">IFERROR(INDEX(BE:BG,MATCH(INDEX(Calculation_Tab,SMALL(ROW(ToPool)*(ToPool&lt;&gt;"-"),COUNTIF(ToPool,"-")+ROW()-3)-9,9),BG:BG,0),2),"-")</f>
        <v>-</v>
      </c>
      <c r="BR31" s="510" t="str">
        <f t="shared" ca="1" si="15"/>
        <v>-</v>
      </c>
      <c r="BS31" s="511" t="str">
        <f t="shared" ca="1" si="16"/>
        <v>-</v>
      </c>
      <c r="BT31" s="378" t="s">
        <v>164</v>
      </c>
      <c r="BU31" s="487" t="str">
        <f t="shared" ca="1" si="21"/>
        <v>-</v>
      </c>
      <c r="BV31" s="487" t="str">
        <f t="array" aca="1" ref="BV3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1" s="378" t="str">
        <f t="shared" ca="1" si="17"/>
        <v>-</v>
      </c>
      <c r="BX31" s="378" t="str">
        <f t="shared" ca="1" si="18"/>
        <v>-</v>
      </c>
      <c r="BY31" s="510" t="str">
        <f ca="1">IFERROR(ROUND(INDEX(Cluster,MATCH(IF(LEFT(BV31,4)="Pool",INDEX(Cluster,MATCH(INDEX(Calculation_Tab,MATCH(INDEX($BE$4:$BJ$99,MATCH(BV31,$BE$4:$BE$99,0),3),Flow_Cell_Lane,0),3),Cluster!$F$29:$F$412,0),6),BV31),Identifier_Cluster,0),19)*IF(LEFT(BV31,4)="pool",IF(LEN(INDEX($BE$4:$BJ$99,MATCH(BV31,$BE$4:$BE$99,0),3))=10,2,IF(LEN(INDEX($BE$4:$BJ$99,MATCH(BV31,$BE$4:$BE$99,0),3))&gt;10,LEN(INDEX($BE$4:$BJ$99,MATCH(BV31,$BE$4:$BE$99,0),3))-8,1)),1)*IF(LEFT(BV31,4)="pool",IF(INDEX($BE$4:$BJ$99,MATCH(BV31,$BE$4:$BE$99,0),6)&lt;1,1,INDEX($BE$4:$BJ$99,MATCH(BV31,$BE$4:$BE$99,0),6)),INDEX(Calculation_Tab,MATCH(BV31,Identifier,0),10)),1)*(1+Calculation!$Q$6),"-")</f>
        <v>-</v>
      </c>
      <c r="BZ31" s="378" t="str">
        <f ca="1">IFERROR((0.5/50)*CE31/Calculation!$AG$6*(IF(LEFT(BV31,4)="Pool",IF(LEN(INDEX($BE$4:$BJ$99,MATCH(BV31,$BE$4:$BE$99,0),3))=10,2,IF(LEN(INDEX($BE$4:$BJ$99,MATCH(BV31,$BE$4:$BE$99,0),3))&gt;10,LEN(INDEX($BE$4:$BJ$99,MATCH(BV31,$BE$4:$BE$99,0),3))-8,1)),IF(INDEX(Calculation_Tab,MATCH(BV31,Identifier,0),10)&gt;1,INDEX(Calculation_Tab,MATCH(BV31,Identifier,0),10),1)))*(1+Calculation!$Q$6),"-")</f>
        <v>-</v>
      </c>
      <c r="CA31" s="510" t="str">
        <f ca="1">IFERROR(IF((BZ31*Calculation!$AG$6/0.05)-SUM(BY31:BZ31,CC31)&gt;0,(BZ31*Calculation!$AG$6/0.05)-SUM(BY31:BZ31,CC31),0),"-")</f>
        <v>-</v>
      </c>
      <c r="CB31" s="510" t="str">
        <f ca="1">IFERROR(5/50*CE31*(IF(LEFT(BV31,4)="Pool",IF(LEN(INDEX($BE$4:$BJ$99,MATCH(BV31,$BE$4:$BE$99,0),3))=10,2,IF(LEN(INDEX($BE$4:$BJ$99,MATCH(BV31,$BE$4:$BE$99,0),3))&gt;10,LEN(INDEX($BE$4:$BJ$99,MATCH(BV31,$BE$4:$BE$99,0),3))-8,1)),IF(INDEX(Calculation_Tab,MATCH(BV31,Identifier,0),10)&gt;1,INDEX(Calculation_Tab,MATCH(BV31,Identifier,0),10),1)))*(1+Calculation!$Q$6),"-")</f>
        <v>-</v>
      </c>
      <c r="CC31" s="508" t="str">
        <f ca="1">IFERROR(ROUND(INDEX(Cluster,MATCH(IF(LEFT(BV31,4)="Pool",INDEX(Cluster,MATCH(INDEX(Calculation_Tab,MATCH(INDEX($BE$4:$BJ$99,MATCH(BV31,$BE$4:$BE$99,0),3),Flow_Cell_Lane,0),3),Cluster!$F$29:$F$412,0),6),BV31),Identifier_Cluster,0),20)*IF(LEFT(BV31,4)="pool",IF(LEN(INDEX($BE$4:$BJ$99,MATCH(BV31,$BE$4:$BE$99,0),3))=10,2,IF(LEN(INDEX($BE$4:$BJ$99,MATCH(BV31,$BE$4:$BE$99,0),3))&gt;10,LEN(INDEX($BE$4:$BJ$99,MATCH(BV31,$BE$4:$BE$99,0),3))-8,1)),1)*IF(LEFT(BV31,4)="pool",IF(INDEX($BE$4:$BJ$99,MATCH(BV31,$BE$4:$BE$99,0),6)&lt;1,1,INDEX($BE$4:$BJ$99,MATCH(BV31,$BE$4:$BE$99,0),6)),INDEX(Calculation_Tab,MATCH(BV31,Identifier,0),10)),1)*(1+Calculation!$Q$6),"-")</f>
        <v>-</v>
      </c>
      <c r="CD31" s="509" t="str">
        <f ca="1">IFERROR(INDEX(Cluster!AC:AD,MATCH(IF(LEFT(BV31,4)="Pool",INDEX(Cluster!$D$29:$AA$412,MATCH(INDEX(Calculation_Tab,MATCH(INDEX($BE$4:$BJ$99,MATCH(BV31,$BE$4:$BE$99,0),3),Flow_Cell_Lane,0),3),Cluster!$F$29:$F$412,0),24),INDEX(Cluster!$D$29:$AA$412,MATCH(BV31,Cluster!$F$29:$F$412,0),24)),Cluster!AC:AC,0),2),"-")</f>
        <v>-</v>
      </c>
      <c r="CE31" s="378" t="str">
        <f ca="1">IFERROR(IF(BV31&lt;&gt;"-",Calculation!$AK$6,"-"),"-")</f>
        <v>-</v>
      </c>
      <c r="CF31" s="378" t="str">
        <f ca="1">IF(OR(LEFT(ListAndConversion!BW31,3)="Dil",LEFT(ListAndConversion!BW31,3)="Poo"),ListAndConversion!$BT$4,IF(LEFT(ListAndConversion!BW31,3)="Sou",INDEX(ListAndConversion!$AT$3:$AV$387,MATCH(ListAndConversion!BV31,ListAndConversion!$AV$3:$AV$387,0),1),"-"))</f>
        <v>-</v>
      </c>
      <c r="CG31" s="498" t="str">
        <f ca="1">IF(OR(LEFT(ListAndConversion!BW31,3)="Dil",LEFT(ListAndConversion!BW31,3)="Poo"),ListAndConversion!BU31,IF(LEFT(ListAndConversion!BW31,3)="Sou",INDEX(ListAndConversion!$AT$4:$AV$387,MATCH(ListAndConversion!BV31,ListAndConversion!$AV$4:$AV$387,0),2),"-"))</f>
        <v>-</v>
      </c>
      <c r="CH31" s="527"/>
      <c r="CI31" s="487" t="str">
        <f t="shared" ca="1" si="19"/>
        <v>-</v>
      </c>
      <c r="CJ31" s="378" t="str">
        <f t="shared" ca="1" si="27"/>
        <v>-</v>
      </c>
      <c r="CK31" s="378" t="str">
        <f t="shared" ca="1" si="27"/>
        <v>-</v>
      </c>
      <c r="CL31" s="378" t="str">
        <f t="shared" ca="1" si="27"/>
        <v>-</v>
      </c>
      <c r="CM31" s="378" t="str">
        <f t="shared" ca="1" si="27"/>
        <v>-</v>
      </c>
      <c r="CN31" s="378" t="str">
        <f t="shared" ca="1" si="27"/>
        <v>-</v>
      </c>
      <c r="CO31" s="378" t="str">
        <f t="shared" ca="1" si="27"/>
        <v>-</v>
      </c>
      <c r="CP31" s="378" t="str">
        <f t="shared" ca="1" si="27"/>
        <v>-</v>
      </c>
      <c r="CQ31" s="378" t="str">
        <f t="shared" ca="1" si="27"/>
        <v>-</v>
      </c>
      <c r="CR31" s="510" t="str">
        <f ca="1">IFERROR(IF(LEFT(BW31,3)="Poo",INDEX($BE$4:$BJ$99,MATCH(CI31,$BG$4:$BG$99,0),6)*((15/50))*Calculation!$AK$6,INDEX(Calculation_Tab,MATCH(BV31,Identifier,0),10)/(IF(LEN(INDEX(Calculation_Tab,MATCH(BV31,Identifier,0),9))&gt;8,LEN(INDEX(Calculation_Tab,MATCH(BV31,Identifier,0),9))-8,1))*((15/50)*Calculation!$AK$6)),"-")</f>
        <v>-</v>
      </c>
      <c r="CS31" s="498" t="str">
        <f ca="1">IF(CI31="-","-",IF(COUNTIF($CI$3:CI31,CI31)&gt;1,0,IFERROR((35/50)*Calculation!$AK$6,"-")))</f>
        <v>-</v>
      </c>
    </row>
    <row r="32" spans="4:97" x14ac:dyDescent="0.5">
      <c r="D32" s="487" t="e">
        <f t="shared" si="0"/>
        <v>#DIV/0!</v>
      </c>
      <c r="E32" s="496" t="e">
        <f t="array" ref="E32">IF(IF((ROW(E32)-3)&lt;(ListAndConversion!$A$15),INDEX(Flow_Cell_Lane,MIN(IF(COUNTIF($E$2:E31,Flow_Cell_Lane)=0,ROW(Flow_Cell_Lane)-9))),"-")="","-",IF((ROW(E32)-3)&lt;(ListAndConversion!$A$15),INDEX(Flow_Cell_Lane,MIN(IF(COUNTIF($E$2:E31,Flow_Cell_Lane)=0,ROW(Flow_Cell_Lane)-9))),"-"))</f>
        <v>#DIV/0!</v>
      </c>
      <c r="F32" s="378" t="e">
        <f t="shared" si="1"/>
        <v>#DIV/0!</v>
      </c>
      <c r="G32" s="378" t="e">
        <f t="shared" si="26"/>
        <v>#DIV/0!</v>
      </c>
      <c r="H32" s="378" t="e">
        <f t="shared" si="26"/>
        <v>#DIV/0!</v>
      </c>
      <c r="I32" s="378" t="e">
        <f t="shared" si="26"/>
        <v>#DIV/0!</v>
      </c>
      <c r="J32" s="378" t="e">
        <f t="shared" si="26"/>
        <v>#DIV/0!</v>
      </c>
      <c r="K32" s="378" t="e">
        <f t="shared" si="26"/>
        <v>#DIV/0!</v>
      </c>
      <c r="L32" s="378" t="e">
        <f t="shared" si="26"/>
        <v>#DIV/0!</v>
      </c>
      <c r="M32" s="378" t="e">
        <f t="shared" si="26"/>
        <v>#DIV/0!</v>
      </c>
      <c r="N32" s="497" t="e">
        <f t="shared" si="3"/>
        <v>#DIV/0!</v>
      </c>
      <c r="O32" s="497" t="str">
        <f t="array" ref="O32">IFERROR(INDEX(Calculation!I:AN,MATCH(ListAndConversion!E32,Calculation!I:I,0),31),"-")</f>
        <v>-</v>
      </c>
      <c r="P32" s="498">
        <f>IF(COUNTIFS(Calculation!$I$10:$I$393,E32,Direct_Denaturation,"-")&lt;&gt;1,COUNTIFS(Calculation!$I$10:$I$393,E32,Direct_Denaturation,"-"),0)</f>
        <v>0</v>
      </c>
      <c r="Q32" s="378"/>
      <c r="R32" s="487" t="e">
        <f t="array" ref="R32">IF(IF((ROW(R32)-3)&lt;(Calculation!$H$6),INDEX(Flow_Cell,MIN(IF(COUNTIF($R$2:R31,Flow_Cell)=0,ROW(Flow_Cell)-9))),"-")="","-",IF((ROW(R32)-3)&lt;(Calculation!$H$6),INDEX(Flow_Cell,MIN(IF(COUNTIF($R$2:R31,Flow_Cell)=0,ROW(Flow_Cell)-9))),"-"))</f>
        <v>#DIV/0!</v>
      </c>
      <c r="S32" s="378" t="e">
        <f t="shared" si="28"/>
        <v>#DIV/0!</v>
      </c>
      <c r="T32" s="378">
        <v>6</v>
      </c>
      <c r="U32" s="498">
        <v>30</v>
      </c>
      <c r="V32" s="487">
        <v>29</v>
      </c>
      <c r="W32" s="497" t="s">
        <v>287</v>
      </c>
      <c r="X32" s="497" t="s">
        <v>18</v>
      </c>
      <c r="Y32" s="378">
        <v>29</v>
      </c>
      <c r="Z32" s="378" t="str">
        <f t="shared" ca="1" si="5"/>
        <v>-</v>
      </c>
      <c r="AA32" s="508" t="str">
        <f t="array" aca="1" ref="AA32" ca="1">IFERROR(INDEX(Calculation_Tab,SMALL(ROW(Sample_Intermediate_Dil)*(Sample_Intermediate_Dil&lt;&gt;"-"),COUNTIF(Sample_Intermediate_Dil,"-")+ROW()-3)-9,5),"-")</f>
        <v>-</v>
      </c>
      <c r="AB32" s="378" t="str">
        <f t="array" aca="1" ref="AB32" ca="1">IFERROR(INDEX($A$3:$B$12,MATCH(INDEX(Calculation_Tab,SMALL(ROW(Sample_Intermediate_Dil)*(Sample_Intermediate_Dil&lt;&gt;"-"),COUNTIF(Sample_Intermediate_Dil,"-")+ROW()-3)-9,5),$A$3:$A$12,0),2),"-")</f>
        <v>-</v>
      </c>
      <c r="AC32" s="509" t="str">
        <f t="array" aca="1" ref="AC32" ca="1">IFERROR(INDEX(Coordinate,MATCH(INDEX(Calculation_Tab,SMALL(ROW(Sample_Intermediate_Dil)*(Sample_Intermediate_Dil&lt;&gt;"-"),COUNTIF(Sample_Intermediate_Dil,"-")+ROW()-3)-9,6),$X$4:$X$99,0),2),"-")</f>
        <v>-</v>
      </c>
      <c r="AD32" s="510" t="str">
        <f t="array" aca="1" ref="AD32" ca="1">IFERROR(INDEX(Calculation_Tab,SMALL(ROW(Sample_Intermediate_Dil)*(Sample_Intermediate_Dil&lt;&gt;"-"),COUNTIF(Sample_Intermediate_Dil,"-")+ROW()-3)-9,24),"-")</f>
        <v>-</v>
      </c>
      <c r="AE32" s="510" t="str">
        <f t="array" aca="1" ref="AE32" ca="1">IFERROR(INDEX(Calculation_Tab,SMALL(ROW(Sample_Intermediate_Dil)*(Sample_Intermediate_Dil&lt;&gt;"-"),COUNTIF(Sample_Intermediate_Dil,"-")+ROW()-3)-9,25),"-")</f>
        <v>-</v>
      </c>
      <c r="AF32" s="510" t="str">
        <f t="array" aca="1" ref="AF32" ca="1">IFERROR(INDEX(Calculation_Tab,SMALL(ROW(Sample_Intermediate_Dil)*(Sample_Intermediate_Dil&lt;&gt;"-"),COUNTIF(Sample_Intermediate_Dil,"-")+ROW()-3)-9,26),"-")</f>
        <v>-</v>
      </c>
      <c r="AG32" s="511" t="str">
        <f t="array" aca="1" ref="AG32" ca="1">IFERROR(INDEX(Calculation_Tab,SMALL(ROW(Sample_Intermediate_Dil)*(Sample_Intermediate_Dil&lt;&gt;"-"),COUNTIF(Sample_Intermediate_Dil,"-")+ROW()-3)-9,27),"-")</f>
        <v>-</v>
      </c>
      <c r="AI32" s="487">
        <v>29</v>
      </c>
      <c r="AJ32" s="497" t="s">
        <v>160</v>
      </c>
      <c r="AK32" s="378">
        <v>29</v>
      </c>
      <c r="AL32" s="378" t="str">
        <f t="shared" ca="1" si="6"/>
        <v>-</v>
      </c>
      <c r="AM32" s="378" t="str">
        <f t="array" aca="1" ref="AM32" ca="1">IFERROR(IF(AI32&lt;=$AB$2,"-",INDEX(Calculation_Tab,SMALL(ROW(Main_Dil)*(Main_Dil&lt;&gt;"-"),COUNTIF(Main_Dil,"-")+ROW()-3-$AB$2)-9,5)),"-")</f>
        <v>-</v>
      </c>
      <c r="AN32" s="378" t="str">
        <f t="array" aca="1" ref="AN32" ca="1">IFERROR(IF(AI32&lt;=$AB$2,"-",INDEX($A$3:$B$12,MATCH(INDEX(Calculation_Tab,SMALL(ROW(Main_Dil)*(Main_Dil&lt;&gt;"-"),COUNTIF(Main_Dil,"-")+ROW()-3-$AB$2)-9,5),$A$3:$A$12,0),2)),"-")</f>
        <v>-</v>
      </c>
      <c r="AO32" s="378" t="str">
        <f t="array" aca="1" ref="AO32" ca="1">IFERROR(IF(AI32&lt;=$AB$2,"-",INDEX(Coordinate,MATCH(INDEX(Calculation_Tab,SMALL(ROW(Main_Dil)*(Main_Dil&lt;&gt;"-"),COUNTIF(Main_Dil,"-")+ROW()-3-$AB$2)-9,6),$X$4:$X$99,0),2)),"-")</f>
        <v>-</v>
      </c>
      <c r="AP32" s="510" t="str">
        <f t="array" aca="1" ref="AP32" ca="1">IFERROR(IF(AI32&lt;=$AB$2,"-",INDEX(Calculation_Tab,SMALL(ROW(Main_Dil)*(Main_Dil&lt;&gt;"-"),COUNTIF(Main_Dil,"-")+ROW()-3-$AB$2)-9,21)),"-")</f>
        <v>-</v>
      </c>
      <c r="AQ32" s="511" t="str">
        <f t="array" aca="1" ref="AQ32" ca="1">IFERROR(IF(AI32&lt;=$AB$2,"-",INDEX(Calculation_Tab,SMALL(ROW(Main_Dil)*(Main_Dil&lt;&gt;"-"),COUNTIF(Main_Dil,"-")+ROW()-3-$AB$2)-9,22)),"-")</f>
        <v>-</v>
      </c>
      <c r="AR32" s="487" t="str">
        <f t="shared" ca="1" si="7"/>
        <v>-</v>
      </c>
      <c r="AS32" s="378">
        <v>29</v>
      </c>
      <c r="AT32" s="497" t="s">
        <v>160</v>
      </c>
      <c r="AU32" s="498">
        <v>29</v>
      </c>
      <c r="AV32" s="378" t="str">
        <f t="shared" ca="1" si="8"/>
        <v>-</v>
      </c>
      <c r="AW32" s="378" t="str">
        <f t="array" aca="1" ref="AW32" ca="1">IFERROR(IF(AS32&lt;=$AB$2+$AN$2,"-",INDEX(Calculation_Tab,SMALL(ROW(Direct_Denaturation)*(Direct_Denaturation&lt;&gt;"-"),COUNTIF(Direct_Denaturation,"-")+ROW()-3-$AB$2-$AN$2)-9,5)),"-")</f>
        <v>-</v>
      </c>
      <c r="AX32" s="378" t="str">
        <f t="array" aca="1" ref="AX32" ca="1">IFERROR(IF(AS32&lt;=$AB$2+$AN$2,"-",INDEX($A$3:$B$12,MATCH(INDEX(Calculation_Tab,SMALL(ROW(Direct_Denaturation)*(Direct_Denaturation&lt;&gt;"-"),COUNTIF(Direct_Denaturation,"-")+ROW()-3-$AB$2-$AN$2)-9,5),$A$3:$A$12,0),2)),"-")</f>
        <v>-</v>
      </c>
      <c r="AY32" s="378" t="str">
        <f t="array" aca="1" ref="AY32" ca="1">IFERROR(IF(AS32&lt;=$AB$2+$AN$2,"-",INDEX(Coordinate,MATCH(INDEX(Calculation_Tab,SMALL(ROW(Direct_Denaturation)*(Direct_Denaturation&lt;&gt;"-"),COUNTIF(Direct_Denaturation,"-")+ROW()-3-$AB$2-$AN$2)-9,6),$X$4:$X$99,0),2)),"-")</f>
        <v>-</v>
      </c>
      <c r="AZ32" s="510" t="str">
        <f t="array" aca="1" ref="AZ32" ca="1">IFERROR(IF(AS32&lt;=$AB$2+$AN$2,"-",INDEX(Calculation_Tab,SMALL(ROW(Direct_Denaturation)*(Direct_Denaturation&lt;&gt;"-"),COUNTIF(Direct_Denaturation,"-")+ROW()-3-$AB$2-$AN$2)-9,32)),"-")</f>
        <v>-</v>
      </c>
      <c r="BA32" s="510" t="str">
        <f t="array" aca="1" ref="BA32" ca="1">IFERROR(IF(AS32&lt;=$AB$2+$AN$2,"-",INDEX(Calculation_Tab,SMALL(ROW(Direct_Denaturation)*(Direct_Denaturation&lt;&gt;"-"),COUNTIF(Direct_Denaturation,"-")+ROW()-3-$AB$2-$AN$2)-9,34)),"-")</f>
        <v>-</v>
      </c>
      <c r="BB32" s="510" t="str">
        <f t="array" aca="1" ref="BB32" ca="1">IFERROR(IF(AS32&lt;=$AB$2+$AN$2,"-",INDEX(Calculation_Tab,SMALL(ROW(Direct_Denaturation)*(Direct_Denaturation&lt;&gt;"-"),COUNTIF(Direct_Denaturation,"-")+ROW()-3-$AB$2-$AN$2)-9,33)),"-")</f>
        <v>-</v>
      </c>
      <c r="BC32" s="510" t="str">
        <f t="array" aca="1" ref="BC32" ca="1">IFERROR(IF(AS32&lt;=$AB$2+$AN$2,"-",INDEX(Calculation_Tab,SMALL(ROW(Direct_Denaturation)*(Direct_Denaturation&lt;&gt;"-"),COUNTIF(Direct_Denaturation,"-")+ROW()-3-$AB$2-$AN$2)-9,35)),"-")</f>
        <v>-</v>
      </c>
      <c r="BD32" s="511" t="str">
        <f t="shared" ca="1" si="9"/>
        <v>-</v>
      </c>
      <c r="BE32" s="494" t="s">
        <v>347</v>
      </c>
      <c r="BF32" s="378">
        <v>29</v>
      </c>
      <c r="BG32" s="515" t="str">
        <v>-</v>
      </c>
      <c r="BH32" s="516" t="str">
        <f>IFERROR(IF((Calculation!$AR$6/INDEX(ListAndConversion!D:P,MATCH(BG32,E:E,0),13))&lt;Calculation!$O$6,INDEX(ListAndConversion!D:P,MATCH(BG32,E:E,0),13)*Calculation!$O$6,Calculation!$AR$6),"-")</f>
        <v>-</v>
      </c>
      <c r="BI32" s="517" t="str">
        <f t="shared" si="10"/>
        <v>-</v>
      </c>
      <c r="BJ32" s="518" t="str">
        <f t="shared" si="11"/>
        <v>-</v>
      </c>
      <c r="BK32" s="378" t="s">
        <v>158</v>
      </c>
      <c r="BL32" s="378">
        <v>29</v>
      </c>
      <c r="BM32" s="487" t="str">
        <f t="array" aca="1" ref="BM32" ca="1">IFERROR(INDEX(Calculation_Tab,SMALL(ROW(ToPool)*(ToPool&lt;&gt;"-"),COUNTIF(ToPool,"-")+ROW()-3)-9,3),"-")</f>
        <v>-</v>
      </c>
      <c r="BN32" s="378" t="str">
        <f t="shared" ca="1" si="12"/>
        <v>-</v>
      </c>
      <c r="BO32" s="378" t="str">
        <f t="shared" ca="1" si="13"/>
        <v>-</v>
      </c>
      <c r="BP32" s="523" t="str">
        <f t="shared" ca="1" si="14"/>
        <v>-</v>
      </c>
      <c r="BQ32" s="378" t="str">
        <f t="array" aca="1" ref="BQ32" ca="1">IFERROR(INDEX(BE:BG,MATCH(INDEX(Calculation_Tab,SMALL(ROW(ToPool)*(ToPool&lt;&gt;"-"),COUNTIF(ToPool,"-")+ROW()-3)-9,9),BG:BG,0),2),"-")</f>
        <v>-</v>
      </c>
      <c r="BR32" s="510" t="str">
        <f t="shared" ca="1" si="15"/>
        <v>-</v>
      </c>
      <c r="BS32" s="511" t="str">
        <f t="shared" ca="1" si="16"/>
        <v>-</v>
      </c>
      <c r="BT32" s="378" t="s">
        <v>164</v>
      </c>
      <c r="BU32" s="487" t="str">
        <f t="shared" ca="1" si="21"/>
        <v>-</v>
      </c>
      <c r="BV32" s="487" t="str">
        <f t="array" aca="1" ref="BV3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2" s="378" t="str">
        <f t="shared" ca="1" si="17"/>
        <v>-</v>
      </c>
      <c r="BX32" s="378" t="str">
        <f t="shared" ca="1" si="18"/>
        <v>-</v>
      </c>
      <c r="BY32" s="510" t="str">
        <f ca="1">IFERROR(ROUND(INDEX(Cluster,MATCH(IF(LEFT(BV32,4)="Pool",INDEX(Cluster,MATCH(INDEX(Calculation_Tab,MATCH(INDEX($BE$4:$BJ$99,MATCH(BV32,$BE$4:$BE$99,0),3),Flow_Cell_Lane,0),3),Cluster!$F$29:$F$412,0),6),BV32),Identifier_Cluster,0),19)*IF(LEFT(BV32,4)="pool",IF(LEN(INDEX($BE$4:$BJ$99,MATCH(BV32,$BE$4:$BE$99,0),3))=10,2,IF(LEN(INDEX($BE$4:$BJ$99,MATCH(BV32,$BE$4:$BE$99,0),3))&gt;10,LEN(INDEX($BE$4:$BJ$99,MATCH(BV32,$BE$4:$BE$99,0),3))-8,1)),1)*IF(LEFT(BV32,4)="pool",IF(INDEX($BE$4:$BJ$99,MATCH(BV32,$BE$4:$BE$99,0),6)&lt;1,1,INDEX($BE$4:$BJ$99,MATCH(BV32,$BE$4:$BE$99,0),6)),INDEX(Calculation_Tab,MATCH(BV32,Identifier,0),10)),1)*(1+Calculation!$Q$6),"-")</f>
        <v>-</v>
      </c>
      <c r="BZ32" s="378" t="str">
        <f ca="1">IFERROR((0.5/50)*CE32/Calculation!$AG$6*(IF(LEFT(BV32,4)="Pool",IF(LEN(INDEX($BE$4:$BJ$99,MATCH(BV32,$BE$4:$BE$99,0),3))=10,2,IF(LEN(INDEX($BE$4:$BJ$99,MATCH(BV32,$BE$4:$BE$99,0),3))&gt;10,LEN(INDEX($BE$4:$BJ$99,MATCH(BV32,$BE$4:$BE$99,0),3))-8,1)),IF(INDEX(Calculation_Tab,MATCH(BV32,Identifier,0),10)&gt;1,INDEX(Calculation_Tab,MATCH(BV32,Identifier,0),10),1)))*(1+Calculation!$Q$6),"-")</f>
        <v>-</v>
      </c>
      <c r="CA32" s="510" t="str">
        <f ca="1">IFERROR(IF((BZ32*Calculation!$AG$6/0.05)-SUM(BY32:BZ32,CC32)&gt;0,(BZ32*Calculation!$AG$6/0.05)-SUM(BY32:BZ32,CC32),0),"-")</f>
        <v>-</v>
      </c>
      <c r="CB32" s="510" t="str">
        <f ca="1">IFERROR(5/50*CE32*(IF(LEFT(BV32,4)="Pool",IF(LEN(INDEX($BE$4:$BJ$99,MATCH(BV32,$BE$4:$BE$99,0),3))=10,2,IF(LEN(INDEX($BE$4:$BJ$99,MATCH(BV32,$BE$4:$BE$99,0),3))&gt;10,LEN(INDEX($BE$4:$BJ$99,MATCH(BV32,$BE$4:$BE$99,0),3))-8,1)),IF(INDEX(Calculation_Tab,MATCH(BV32,Identifier,0),10)&gt;1,INDEX(Calculation_Tab,MATCH(BV32,Identifier,0),10),1)))*(1+Calculation!$Q$6),"-")</f>
        <v>-</v>
      </c>
      <c r="CC32" s="508" t="str">
        <f ca="1">IFERROR(ROUND(INDEX(Cluster,MATCH(IF(LEFT(BV32,4)="Pool",INDEX(Cluster,MATCH(INDEX(Calculation_Tab,MATCH(INDEX($BE$4:$BJ$99,MATCH(BV32,$BE$4:$BE$99,0),3),Flow_Cell_Lane,0),3),Cluster!$F$29:$F$412,0),6),BV32),Identifier_Cluster,0),20)*IF(LEFT(BV32,4)="pool",IF(LEN(INDEX($BE$4:$BJ$99,MATCH(BV32,$BE$4:$BE$99,0),3))=10,2,IF(LEN(INDEX($BE$4:$BJ$99,MATCH(BV32,$BE$4:$BE$99,0),3))&gt;10,LEN(INDEX($BE$4:$BJ$99,MATCH(BV32,$BE$4:$BE$99,0),3))-8,1)),1)*IF(LEFT(BV32,4)="pool",IF(INDEX($BE$4:$BJ$99,MATCH(BV32,$BE$4:$BE$99,0),6)&lt;1,1,INDEX($BE$4:$BJ$99,MATCH(BV32,$BE$4:$BE$99,0),6)),INDEX(Calculation_Tab,MATCH(BV32,Identifier,0),10)),1)*(1+Calculation!$Q$6),"-")</f>
        <v>-</v>
      </c>
      <c r="CD32" s="509" t="str">
        <f ca="1">IFERROR(INDEX(Cluster!AC:AD,MATCH(IF(LEFT(BV32,4)="Pool",INDEX(Cluster!$D$29:$AA$412,MATCH(INDEX(Calculation_Tab,MATCH(INDEX($BE$4:$BJ$99,MATCH(BV32,$BE$4:$BE$99,0),3),Flow_Cell_Lane,0),3),Cluster!$F$29:$F$412,0),24),INDEX(Cluster!$D$29:$AA$412,MATCH(BV32,Cluster!$F$29:$F$412,0),24)),Cluster!AC:AC,0),2),"-")</f>
        <v>-</v>
      </c>
      <c r="CE32" s="378" t="str">
        <f ca="1">IFERROR(IF(BV32&lt;&gt;"-",Calculation!$AK$6,"-"),"-")</f>
        <v>-</v>
      </c>
      <c r="CF32" s="378" t="str">
        <f ca="1">IF(OR(LEFT(ListAndConversion!BW32,3)="Dil",LEFT(ListAndConversion!BW32,3)="Poo"),ListAndConversion!$BT$4,IF(LEFT(ListAndConversion!BW32,3)="Sou",INDEX(ListAndConversion!$AT$3:$AV$387,MATCH(ListAndConversion!BV32,ListAndConversion!$AV$3:$AV$387,0),1),"-"))</f>
        <v>-</v>
      </c>
      <c r="CG32" s="498" t="str">
        <f ca="1">IF(OR(LEFT(ListAndConversion!BW32,3)="Dil",LEFT(ListAndConversion!BW32,3)="Poo"),ListAndConversion!BU32,IF(LEFT(ListAndConversion!BW32,3)="Sou",INDEX(ListAndConversion!$AT$4:$AV$387,MATCH(ListAndConversion!BV32,ListAndConversion!$AV$4:$AV$387,0),2),"-"))</f>
        <v>-</v>
      </c>
      <c r="CH32" s="528"/>
      <c r="CI32" s="487" t="str">
        <f t="shared" ca="1" si="19"/>
        <v>-</v>
      </c>
      <c r="CJ32" s="378" t="str">
        <f t="shared" ca="1" si="27"/>
        <v>-</v>
      </c>
      <c r="CK32" s="378" t="str">
        <f t="shared" ca="1" si="27"/>
        <v>-</v>
      </c>
      <c r="CL32" s="378" t="str">
        <f t="shared" ca="1" si="27"/>
        <v>-</v>
      </c>
      <c r="CM32" s="378" t="str">
        <f t="shared" ca="1" si="27"/>
        <v>-</v>
      </c>
      <c r="CN32" s="378" t="str">
        <f t="shared" ca="1" si="27"/>
        <v>-</v>
      </c>
      <c r="CO32" s="378" t="str">
        <f t="shared" ca="1" si="27"/>
        <v>-</v>
      </c>
      <c r="CP32" s="378" t="str">
        <f t="shared" ca="1" si="27"/>
        <v>-</v>
      </c>
      <c r="CQ32" s="378" t="str">
        <f t="shared" ca="1" si="27"/>
        <v>-</v>
      </c>
      <c r="CR32" s="510" t="str">
        <f ca="1">IFERROR(IF(LEFT(BW32,3)="Poo",INDEX($BE$4:$BJ$99,MATCH(CI32,$BG$4:$BG$99,0),6)*((15/50))*Calculation!$AK$6,INDEX(Calculation_Tab,MATCH(BV32,Identifier,0),10)/(IF(LEN(INDEX(Calculation_Tab,MATCH(BV32,Identifier,0),9))&gt;8,LEN(INDEX(Calculation_Tab,MATCH(BV32,Identifier,0),9))-8,1))*((15/50)*Calculation!$AK$6)),"-")</f>
        <v>-</v>
      </c>
      <c r="CS32" s="498" t="str">
        <f ca="1">IF(CI32="-","-",IF(COUNTIF($CI$3:CI32,CI32)&gt;1,0,IFERROR((35/50)*Calculation!$AK$6,"-")))</f>
        <v>-</v>
      </c>
    </row>
    <row r="33" spans="4:97" x14ac:dyDescent="0.5">
      <c r="D33" s="487" t="e">
        <f t="shared" si="0"/>
        <v>#DIV/0!</v>
      </c>
      <c r="E33" s="496" t="e">
        <f t="array" ref="E33">IF(IF((ROW(E33)-3)&lt;(ListAndConversion!$A$15),INDEX(Flow_Cell_Lane,MIN(IF(COUNTIF($E$2:E32,Flow_Cell_Lane)=0,ROW(Flow_Cell_Lane)-9))),"-")="","-",IF((ROW(E33)-3)&lt;(ListAndConversion!$A$15),INDEX(Flow_Cell_Lane,MIN(IF(COUNTIF($E$2:E32,Flow_Cell_Lane)=0,ROW(Flow_Cell_Lane)-9))),"-"))</f>
        <v>#DIV/0!</v>
      </c>
      <c r="F33" s="378" t="e">
        <f t="shared" si="1"/>
        <v>#DIV/0!</v>
      </c>
      <c r="G33" s="378" t="e">
        <f t="shared" ref="G33:M42" si="29">IF($D33&gt;8,IF($D33&gt;=(8+G$2),CONCATENATE(LEFT($E33,7),RIGHT(LEFT($E33,8+G$2),1)),""),"")</f>
        <v>#DIV/0!</v>
      </c>
      <c r="H33" s="378" t="e">
        <f t="shared" si="29"/>
        <v>#DIV/0!</v>
      </c>
      <c r="I33" s="378" t="e">
        <f t="shared" si="29"/>
        <v>#DIV/0!</v>
      </c>
      <c r="J33" s="378" t="e">
        <f t="shared" si="29"/>
        <v>#DIV/0!</v>
      </c>
      <c r="K33" s="378" t="e">
        <f t="shared" si="29"/>
        <v>#DIV/0!</v>
      </c>
      <c r="L33" s="378" t="e">
        <f t="shared" si="29"/>
        <v>#DIV/0!</v>
      </c>
      <c r="M33" s="378" t="e">
        <f t="shared" si="29"/>
        <v>#DIV/0!</v>
      </c>
      <c r="N33" s="497" t="e">
        <f t="shared" si="3"/>
        <v>#DIV/0!</v>
      </c>
      <c r="O33" s="497" t="str">
        <f t="array" ref="O33">IFERROR(INDEX(Calculation!I:AN,MATCH(ListAndConversion!E33,Calculation!I:I,0),31),"-")</f>
        <v>-</v>
      </c>
      <c r="P33" s="498">
        <f>IF(COUNTIFS(Calculation!$I$10:$I$393,E33,Direct_Denaturation,"-")&lt;&gt;1,COUNTIFS(Calculation!$I$10:$I$393,E33,Direct_Denaturation,"-"),0)</f>
        <v>0</v>
      </c>
      <c r="Q33" s="378"/>
      <c r="R33" s="487" t="e">
        <f t="array" ref="R33">IF(IF((ROW(R33)-3)&lt;(Calculation!$H$6),INDEX(Flow_Cell,MIN(IF(COUNTIF($R$2:R32,Flow_Cell)=0,ROW(Flow_Cell)-9))),"-")="","-",IF((ROW(R33)-3)&lt;(Calculation!$H$6),INDEX(Flow_Cell,MIN(IF(COUNTIF($R$2:R32,Flow_Cell)=0,ROW(Flow_Cell)-9))),"-"))</f>
        <v>#DIV/0!</v>
      </c>
      <c r="S33" s="378" t="e">
        <f t="shared" si="28"/>
        <v>#DIV/0!</v>
      </c>
      <c r="T33" s="378">
        <v>7</v>
      </c>
      <c r="U33" s="498">
        <v>31</v>
      </c>
      <c r="V33" s="487">
        <v>30</v>
      </c>
      <c r="W33" s="497" t="s">
        <v>287</v>
      </c>
      <c r="X33" s="497" t="s">
        <v>19</v>
      </c>
      <c r="Y33" s="378">
        <v>30</v>
      </c>
      <c r="Z33" s="378" t="str">
        <f t="shared" ca="1" si="5"/>
        <v>-</v>
      </c>
      <c r="AA33" s="508" t="str">
        <f t="array" aca="1" ref="AA33" ca="1">IFERROR(INDEX(Calculation_Tab,SMALL(ROW(Sample_Intermediate_Dil)*(Sample_Intermediate_Dil&lt;&gt;"-"),COUNTIF(Sample_Intermediate_Dil,"-")+ROW()-3)-9,5),"-")</f>
        <v>-</v>
      </c>
      <c r="AB33" s="378" t="str">
        <f t="array" aca="1" ref="AB33" ca="1">IFERROR(INDEX($A$3:$B$12,MATCH(INDEX(Calculation_Tab,SMALL(ROW(Sample_Intermediate_Dil)*(Sample_Intermediate_Dil&lt;&gt;"-"),COUNTIF(Sample_Intermediate_Dil,"-")+ROW()-3)-9,5),$A$3:$A$12,0),2),"-")</f>
        <v>-</v>
      </c>
      <c r="AC33" s="509" t="str">
        <f t="array" aca="1" ref="AC33" ca="1">IFERROR(INDEX(Coordinate,MATCH(INDEX(Calculation_Tab,SMALL(ROW(Sample_Intermediate_Dil)*(Sample_Intermediate_Dil&lt;&gt;"-"),COUNTIF(Sample_Intermediate_Dil,"-")+ROW()-3)-9,6),$X$4:$X$99,0),2),"-")</f>
        <v>-</v>
      </c>
      <c r="AD33" s="510" t="str">
        <f t="array" aca="1" ref="AD33" ca="1">IFERROR(INDEX(Calculation_Tab,SMALL(ROW(Sample_Intermediate_Dil)*(Sample_Intermediate_Dil&lt;&gt;"-"),COUNTIF(Sample_Intermediate_Dil,"-")+ROW()-3)-9,24),"-")</f>
        <v>-</v>
      </c>
      <c r="AE33" s="510" t="str">
        <f t="array" aca="1" ref="AE33" ca="1">IFERROR(INDEX(Calculation_Tab,SMALL(ROW(Sample_Intermediate_Dil)*(Sample_Intermediate_Dil&lt;&gt;"-"),COUNTIF(Sample_Intermediate_Dil,"-")+ROW()-3)-9,25),"-")</f>
        <v>-</v>
      </c>
      <c r="AF33" s="510" t="str">
        <f t="array" aca="1" ref="AF33" ca="1">IFERROR(INDEX(Calculation_Tab,SMALL(ROW(Sample_Intermediate_Dil)*(Sample_Intermediate_Dil&lt;&gt;"-"),COUNTIF(Sample_Intermediate_Dil,"-")+ROW()-3)-9,26),"-")</f>
        <v>-</v>
      </c>
      <c r="AG33" s="511" t="str">
        <f t="array" aca="1" ref="AG33" ca="1">IFERROR(INDEX(Calculation_Tab,SMALL(ROW(Sample_Intermediate_Dil)*(Sample_Intermediate_Dil&lt;&gt;"-"),COUNTIF(Sample_Intermediate_Dil,"-")+ROW()-3)-9,27),"-")</f>
        <v>-</v>
      </c>
      <c r="AI33" s="487">
        <v>30</v>
      </c>
      <c r="AJ33" s="497" t="s">
        <v>160</v>
      </c>
      <c r="AK33" s="378">
        <v>30</v>
      </c>
      <c r="AL33" s="378" t="str">
        <f t="shared" ca="1" si="6"/>
        <v>-</v>
      </c>
      <c r="AM33" s="378" t="str">
        <f t="array" aca="1" ref="AM33" ca="1">IFERROR(IF(AI33&lt;=$AB$2,"-",INDEX(Calculation_Tab,SMALL(ROW(Main_Dil)*(Main_Dil&lt;&gt;"-"),COUNTIF(Main_Dil,"-")+ROW()-3-$AB$2)-9,5)),"-")</f>
        <v>-</v>
      </c>
      <c r="AN33" s="378" t="str">
        <f t="array" aca="1" ref="AN33" ca="1">IFERROR(IF(AI33&lt;=$AB$2,"-",INDEX($A$3:$B$12,MATCH(INDEX(Calculation_Tab,SMALL(ROW(Main_Dil)*(Main_Dil&lt;&gt;"-"),COUNTIF(Main_Dil,"-")+ROW()-3-$AB$2)-9,5),$A$3:$A$12,0),2)),"-")</f>
        <v>-</v>
      </c>
      <c r="AO33" s="378" t="str">
        <f t="array" aca="1" ref="AO33" ca="1">IFERROR(IF(AI33&lt;=$AB$2,"-",INDEX(Coordinate,MATCH(INDEX(Calculation_Tab,SMALL(ROW(Main_Dil)*(Main_Dil&lt;&gt;"-"),COUNTIF(Main_Dil,"-")+ROW()-3-$AB$2)-9,6),$X$4:$X$99,0),2)),"-")</f>
        <v>-</v>
      </c>
      <c r="AP33" s="510" t="str">
        <f t="array" aca="1" ref="AP33" ca="1">IFERROR(IF(AI33&lt;=$AB$2,"-",INDEX(Calculation_Tab,SMALL(ROW(Main_Dil)*(Main_Dil&lt;&gt;"-"),COUNTIF(Main_Dil,"-")+ROW()-3-$AB$2)-9,21)),"-")</f>
        <v>-</v>
      </c>
      <c r="AQ33" s="511" t="str">
        <f t="array" aca="1" ref="AQ33" ca="1">IFERROR(IF(AI33&lt;=$AB$2,"-",INDEX(Calculation_Tab,SMALL(ROW(Main_Dil)*(Main_Dil&lt;&gt;"-"),COUNTIF(Main_Dil,"-")+ROW()-3-$AB$2)-9,22)),"-")</f>
        <v>-</v>
      </c>
      <c r="AR33" s="487" t="str">
        <f t="shared" ca="1" si="7"/>
        <v>-</v>
      </c>
      <c r="AS33" s="378">
        <v>30</v>
      </c>
      <c r="AT33" s="497" t="s">
        <v>160</v>
      </c>
      <c r="AU33" s="498">
        <v>30</v>
      </c>
      <c r="AV33" s="378" t="str">
        <f t="shared" ca="1" si="8"/>
        <v>-</v>
      </c>
      <c r="AW33" s="378" t="str">
        <f t="array" aca="1" ref="AW33" ca="1">IFERROR(IF(AS33&lt;=$AB$2+$AN$2,"-",INDEX(Calculation_Tab,SMALL(ROW(Direct_Denaturation)*(Direct_Denaturation&lt;&gt;"-"),COUNTIF(Direct_Denaturation,"-")+ROW()-3-$AB$2-$AN$2)-9,5)),"-")</f>
        <v>-</v>
      </c>
      <c r="AX33" s="378" t="str">
        <f t="array" aca="1" ref="AX33" ca="1">IFERROR(IF(AS33&lt;=$AB$2+$AN$2,"-",INDEX($A$3:$B$12,MATCH(INDEX(Calculation_Tab,SMALL(ROW(Direct_Denaturation)*(Direct_Denaturation&lt;&gt;"-"),COUNTIF(Direct_Denaturation,"-")+ROW()-3-$AB$2-$AN$2)-9,5),$A$3:$A$12,0),2)),"-")</f>
        <v>-</v>
      </c>
      <c r="AY33" s="378" t="str">
        <f t="array" aca="1" ref="AY33" ca="1">IFERROR(IF(AS33&lt;=$AB$2+$AN$2,"-",INDEX(Coordinate,MATCH(INDEX(Calculation_Tab,SMALL(ROW(Direct_Denaturation)*(Direct_Denaturation&lt;&gt;"-"),COUNTIF(Direct_Denaturation,"-")+ROW()-3-$AB$2-$AN$2)-9,6),$X$4:$X$99,0),2)),"-")</f>
        <v>-</v>
      </c>
      <c r="AZ33" s="510" t="str">
        <f t="array" aca="1" ref="AZ33" ca="1">IFERROR(IF(AS33&lt;=$AB$2+$AN$2,"-",INDEX(Calculation_Tab,SMALL(ROW(Direct_Denaturation)*(Direct_Denaturation&lt;&gt;"-"),COUNTIF(Direct_Denaturation,"-")+ROW()-3-$AB$2-$AN$2)-9,32)),"-")</f>
        <v>-</v>
      </c>
      <c r="BA33" s="510" t="str">
        <f t="array" aca="1" ref="BA33" ca="1">IFERROR(IF(AS33&lt;=$AB$2+$AN$2,"-",INDEX(Calculation_Tab,SMALL(ROW(Direct_Denaturation)*(Direct_Denaturation&lt;&gt;"-"),COUNTIF(Direct_Denaturation,"-")+ROW()-3-$AB$2-$AN$2)-9,34)),"-")</f>
        <v>-</v>
      </c>
      <c r="BB33" s="510" t="str">
        <f t="array" aca="1" ref="BB33" ca="1">IFERROR(IF(AS33&lt;=$AB$2+$AN$2,"-",INDEX(Calculation_Tab,SMALL(ROW(Direct_Denaturation)*(Direct_Denaturation&lt;&gt;"-"),COUNTIF(Direct_Denaturation,"-")+ROW()-3-$AB$2-$AN$2)-9,33)),"-")</f>
        <v>-</v>
      </c>
      <c r="BC33" s="510" t="str">
        <f t="array" aca="1" ref="BC33" ca="1">IFERROR(IF(AS33&lt;=$AB$2+$AN$2,"-",INDEX(Calculation_Tab,SMALL(ROW(Direct_Denaturation)*(Direct_Denaturation&lt;&gt;"-"),COUNTIF(Direct_Denaturation,"-")+ROW()-3-$AB$2-$AN$2)-9,35)),"-")</f>
        <v>-</v>
      </c>
      <c r="BD33" s="511" t="str">
        <f t="shared" ca="1" si="9"/>
        <v>-</v>
      </c>
      <c r="BE33" s="494" t="s">
        <v>348</v>
      </c>
      <c r="BF33" s="378">
        <v>30</v>
      </c>
      <c r="BG33" s="515" t="str">
        <v>-</v>
      </c>
      <c r="BH33" s="516" t="str">
        <f>IFERROR(IF((Calculation!$AR$6/INDEX(ListAndConversion!D:P,MATCH(BG33,E:E,0),13))&lt;Calculation!$O$6,INDEX(ListAndConversion!D:P,MATCH(BG33,E:E,0),13)*Calculation!$O$6,Calculation!$AR$6),"-")</f>
        <v>-</v>
      </c>
      <c r="BI33" s="517" t="str">
        <f t="shared" si="10"/>
        <v>-</v>
      </c>
      <c r="BJ33" s="518" t="str">
        <f t="shared" si="11"/>
        <v>-</v>
      </c>
      <c r="BK33" s="378" t="s">
        <v>158</v>
      </c>
      <c r="BL33" s="378">
        <v>30</v>
      </c>
      <c r="BM33" s="487" t="str">
        <f t="array" aca="1" ref="BM33" ca="1">IFERROR(INDEX(Calculation_Tab,SMALL(ROW(ToPool)*(ToPool&lt;&gt;"-"),COUNTIF(ToPool,"-")+ROW()-3)-9,3),"-")</f>
        <v>-</v>
      </c>
      <c r="BN33" s="378" t="str">
        <f t="shared" ca="1" si="12"/>
        <v>-</v>
      </c>
      <c r="BO33" s="378" t="str">
        <f t="shared" ca="1" si="13"/>
        <v>-</v>
      </c>
      <c r="BP33" s="523" t="str">
        <f t="shared" ca="1" si="14"/>
        <v>-</v>
      </c>
      <c r="BQ33" s="378" t="str">
        <f t="array" aca="1" ref="BQ33" ca="1">IFERROR(INDEX(BE:BG,MATCH(INDEX(Calculation_Tab,SMALL(ROW(ToPool)*(ToPool&lt;&gt;"-"),COUNTIF(ToPool,"-")+ROW()-3)-9,9),BG:BG,0),2),"-")</f>
        <v>-</v>
      </c>
      <c r="BR33" s="510" t="str">
        <f t="shared" ca="1" si="15"/>
        <v>-</v>
      </c>
      <c r="BS33" s="511" t="str">
        <f t="shared" ca="1" si="16"/>
        <v>-</v>
      </c>
      <c r="BT33" s="378" t="s">
        <v>164</v>
      </c>
      <c r="BU33" s="487" t="str">
        <f t="shared" ca="1" si="21"/>
        <v>-</v>
      </c>
      <c r="BV33" s="487" t="str">
        <f t="array" aca="1" ref="BV3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3" s="378" t="str">
        <f t="shared" ca="1" si="17"/>
        <v>-</v>
      </c>
      <c r="BX33" s="378" t="str">
        <f t="shared" ca="1" si="18"/>
        <v>-</v>
      </c>
      <c r="BY33" s="510" t="str">
        <f ca="1">IFERROR(ROUND(INDEX(Cluster,MATCH(IF(LEFT(BV33,4)="Pool",INDEX(Cluster,MATCH(INDEX(Calculation_Tab,MATCH(INDEX($BE$4:$BJ$99,MATCH(BV33,$BE$4:$BE$99,0),3),Flow_Cell_Lane,0),3),Cluster!$F$29:$F$412,0),6),BV33),Identifier_Cluster,0),19)*IF(LEFT(BV33,4)="pool",IF(LEN(INDEX($BE$4:$BJ$99,MATCH(BV33,$BE$4:$BE$99,0),3))=10,2,IF(LEN(INDEX($BE$4:$BJ$99,MATCH(BV33,$BE$4:$BE$99,0),3))&gt;10,LEN(INDEX($BE$4:$BJ$99,MATCH(BV33,$BE$4:$BE$99,0),3))-8,1)),1)*IF(LEFT(BV33,4)="pool",IF(INDEX($BE$4:$BJ$99,MATCH(BV33,$BE$4:$BE$99,0),6)&lt;1,1,INDEX($BE$4:$BJ$99,MATCH(BV33,$BE$4:$BE$99,0),6)),INDEX(Calculation_Tab,MATCH(BV33,Identifier,0),10)),1)*(1+Calculation!$Q$6),"-")</f>
        <v>-</v>
      </c>
      <c r="BZ33" s="378" t="str">
        <f ca="1">IFERROR((0.5/50)*CE33/Calculation!$AG$6*(IF(LEFT(BV33,4)="Pool",IF(LEN(INDEX($BE$4:$BJ$99,MATCH(BV33,$BE$4:$BE$99,0),3))=10,2,IF(LEN(INDEX($BE$4:$BJ$99,MATCH(BV33,$BE$4:$BE$99,0),3))&gt;10,LEN(INDEX($BE$4:$BJ$99,MATCH(BV33,$BE$4:$BE$99,0),3))-8,1)),IF(INDEX(Calculation_Tab,MATCH(BV33,Identifier,0),10)&gt;1,INDEX(Calculation_Tab,MATCH(BV33,Identifier,0),10),1)))*(1+Calculation!$Q$6),"-")</f>
        <v>-</v>
      </c>
      <c r="CA33" s="510" t="str">
        <f ca="1">IFERROR(IF((BZ33*Calculation!$AG$6/0.05)-SUM(BY33:BZ33,CC33)&gt;0,(BZ33*Calculation!$AG$6/0.05)-SUM(BY33:BZ33,CC33),0),"-")</f>
        <v>-</v>
      </c>
      <c r="CB33" s="510" t="str">
        <f ca="1">IFERROR(5/50*CE33*(IF(LEFT(BV33,4)="Pool",IF(LEN(INDEX($BE$4:$BJ$99,MATCH(BV33,$BE$4:$BE$99,0),3))=10,2,IF(LEN(INDEX($BE$4:$BJ$99,MATCH(BV33,$BE$4:$BE$99,0),3))&gt;10,LEN(INDEX($BE$4:$BJ$99,MATCH(BV33,$BE$4:$BE$99,0),3))-8,1)),IF(INDEX(Calculation_Tab,MATCH(BV33,Identifier,0),10)&gt;1,INDEX(Calculation_Tab,MATCH(BV33,Identifier,0),10),1)))*(1+Calculation!$Q$6),"-")</f>
        <v>-</v>
      </c>
      <c r="CC33" s="508" t="str">
        <f ca="1">IFERROR(ROUND(INDEX(Cluster,MATCH(IF(LEFT(BV33,4)="Pool",INDEX(Cluster,MATCH(INDEX(Calculation_Tab,MATCH(INDEX($BE$4:$BJ$99,MATCH(BV33,$BE$4:$BE$99,0),3),Flow_Cell_Lane,0),3),Cluster!$F$29:$F$412,0),6),BV33),Identifier_Cluster,0),20)*IF(LEFT(BV33,4)="pool",IF(LEN(INDEX($BE$4:$BJ$99,MATCH(BV33,$BE$4:$BE$99,0),3))=10,2,IF(LEN(INDEX($BE$4:$BJ$99,MATCH(BV33,$BE$4:$BE$99,0),3))&gt;10,LEN(INDEX($BE$4:$BJ$99,MATCH(BV33,$BE$4:$BE$99,0),3))-8,1)),1)*IF(LEFT(BV33,4)="pool",IF(INDEX($BE$4:$BJ$99,MATCH(BV33,$BE$4:$BE$99,0),6)&lt;1,1,INDEX($BE$4:$BJ$99,MATCH(BV33,$BE$4:$BE$99,0),6)),INDEX(Calculation_Tab,MATCH(BV33,Identifier,0),10)),1)*(1+Calculation!$Q$6),"-")</f>
        <v>-</v>
      </c>
      <c r="CD33" s="509" t="str">
        <f ca="1">IFERROR(INDEX(Cluster!AC:AD,MATCH(IF(LEFT(BV33,4)="Pool",INDEX(Cluster!$D$29:$AA$412,MATCH(INDEX(Calculation_Tab,MATCH(INDEX($BE$4:$BJ$99,MATCH(BV33,$BE$4:$BE$99,0),3),Flow_Cell_Lane,0),3),Cluster!$F$29:$F$412,0),24),INDEX(Cluster!$D$29:$AA$412,MATCH(BV33,Cluster!$F$29:$F$412,0),24)),Cluster!AC:AC,0),2),"-")</f>
        <v>-</v>
      </c>
      <c r="CE33" s="378" t="str">
        <f ca="1">IFERROR(IF(BV33&lt;&gt;"-",Calculation!$AK$6,"-"),"-")</f>
        <v>-</v>
      </c>
      <c r="CF33" s="378" t="str">
        <f ca="1">IF(OR(LEFT(ListAndConversion!BW33,3)="Dil",LEFT(ListAndConversion!BW33,3)="Poo"),ListAndConversion!$BT$4,IF(LEFT(ListAndConversion!BW33,3)="Sou",INDEX(ListAndConversion!$AT$3:$AV$387,MATCH(ListAndConversion!BV33,ListAndConversion!$AV$3:$AV$387,0),1),"-"))</f>
        <v>-</v>
      </c>
      <c r="CG33" s="498" t="str">
        <f ca="1">IF(OR(LEFT(ListAndConversion!BW33,3)="Dil",LEFT(ListAndConversion!BW33,3)="Poo"),ListAndConversion!BU33,IF(LEFT(ListAndConversion!BW33,3)="Sou",INDEX(ListAndConversion!$AT$4:$AV$387,MATCH(ListAndConversion!BV33,ListAndConversion!$AV$4:$AV$387,0),2),"-"))</f>
        <v>-</v>
      </c>
      <c r="CH33" s="529"/>
      <c r="CI33" s="487" t="str">
        <f t="shared" ca="1" si="19"/>
        <v>-</v>
      </c>
      <c r="CJ33" s="378" t="str">
        <f t="shared" ca="1" si="27"/>
        <v>-</v>
      </c>
      <c r="CK33" s="378" t="str">
        <f t="shared" ca="1" si="27"/>
        <v>-</v>
      </c>
      <c r="CL33" s="378" t="str">
        <f t="shared" ca="1" si="27"/>
        <v>-</v>
      </c>
      <c r="CM33" s="378" t="str">
        <f t="shared" ca="1" si="27"/>
        <v>-</v>
      </c>
      <c r="CN33" s="378" t="str">
        <f t="shared" ca="1" si="27"/>
        <v>-</v>
      </c>
      <c r="CO33" s="378" t="str">
        <f t="shared" ca="1" si="27"/>
        <v>-</v>
      </c>
      <c r="CP33" s="378" t="str">
        <f t="shared" ca="1" si="27"/>
        <v>-</v>
      </c>
      <c r="CQ33" s="378" t="str">
        <f t="shared" ca="1" si="27"/>
        <v>-</v>
      </c>
      <c r="CR33" s="510" t="str">
        <f ca="1">IFERROR(IF(LEFT(BW33,3)="Poo",INDEX($BE$4:$BJ$99,MATCH(CI33,$BG$4:$BG$99,0),6)*((15/50))*Calculation!$AK$6,INDEX(Calculation_Tab,MATCH(BV33,Identifier,0),10)/(IF(LEN(INDEX(Calculation_Tab,MATCH(BV33,Identifier,0),9))&gt;8,LEN(INDEX(Calculation_Tab,MATCH(BV33,Identifier,0),9))-8,1))*((15/50)*Calculation!$AK$6)),"-")</f>
        <v>-</v>
      </c>
      <c r="CS33" s="498" t="str">
        <f ca="1">IF(CI33="-","-",IF(COUNTIF($CI$3:CI33,CI33)&gt;1,0,IFERROR((35/50)*Calculation!$AK$6,"-")))</f>
        <v>-</v>
      </c>
    </row>
    <row r="34" spans="4:97" x14ac:dyDescent="0.5">
      <c r="D34" s="487" t="e">
        <f t="shared" si="0"/>
        <v>#DIV/0!</v>
      </c>
      <c r="E34" s="496" t="e">
        <f t="array" ref="E34">IF(IF((ROW(E34)-3)&lt;(ListAndConversion!$A$15),INDEX(Flow_Cell_Lane,MIN(IF(COUNTIF($E$2:E33,Flow_Cell_Lane)=0,ROW(Flow_Cell_Lane)-9))),"-")="","-",IF((ROW(E34)-3)&lt;(ListAndConversion!$A$15),INDEX(Flow_Cell_Lane,MIN(IF(COUNTIF($E$2:E33,Flow_Cell_Lane)=0,ROW(Flow_Cell_Lane)-9))),"-"))</f>
        <v>#DIV/0!</v>
      </c>
      <c r="F34" s="378" t="e">
        <f t="shared" si="1"/>
        <v>#DIV/0!</v>
      </c>
      <c r="G34" s="378" t="e">
        <f t="shared" si="29"/>
        <v>#DIV/0!</v>
      </c>
      <c r="H34" s="378" t="e">
        <f t="shared" si="29"/>
        <v>#DIV/0!</v>
      </c>
      <c r="I34" s="378" t="e">
        <f t="shared" si="29"/>
        <v>#DIV/0!</v>
      </c>
      <c r="J34" s="378" t="e">
        <f t="shared" si="29"/>
        <v>#DIV/0!</v>
      </c>
      <c r="K34" s="378" t="e">
        <f t="shared" si="29"/>
        <v>#DIV/0!</v>
      </c>
      <c r="L34" s="378" t="e">
        <f t="shared" si="29"/>
        <v>#DIV/0!</v>
      </c>
      <c r="M34" s="378" t="e">
        <f t="shared" si="29"/>
        <v>#DIV/0!</v>
      </c>
      <c r="N34" s="497" t="e">
        <f t="shared" si="3"/>
        <v>#DIV/0!</v>
      </c>
      <c r="O34" s="497" t="str">
        <f t="array" ref="O34">IFERROR(INDEX(Calculation!I:AN,MATCH(ListAndConversion!E34,Calculation!I:I,0),31),"-")</f>
        <v>-</v>
      </c>
      <c r="P34" s="498">
        <f>IF(COUNTIFS(Calculation!$I$10:$I$393,E34,Direct_Denaturation,"-")&lt;&gt;1,COUNTIFS(Calculation!$I$10:$I$393,E34,Direct_Denaturation,"-"),0)</f>
        <v>0</v>
      </c>
      <c r="Q34" s="378"/>
      <c r="R34" s="487" t="e">
        <f t="array" ref="R34">IF(IF((ROW(R34)-3)&lt;(Calculation!$H$6),INDEX(Flow_Cell,MIN(IF(COUNTIF($R$2:R33,Flow_Cell)=0,ROW(Flow_Cell)-9))),"-")="","-",IF((ROW(R34)-3)&lt;(Calculation!$H$6),INDEX(Flow_Cell,MIN(IF(COUNTIF($R$2:R33,Flow_Cell)=0,ROW(Flow_Cell)-9))),"-"))</f>
        <v>#DIV/0!</v>
      </c>
      <c r="S34" s="378" t="e">
        <f t="shared" si="28"/>
        <v>#DIV/0!</v>
      </c>
      <c r="T34" s="378">
        <v>8</v>
      </c>
      <c r="U34" s="498">
        <v>32</v>
      </c>
      <c r="V34" s="487">
        <v>31</v>
      </c>
      <c r="W34" s="497" t="s">
        <v>287</v>
      </c>
      <c r="X34" s="497" t="s">
        <v>349</v>
      </c>
      <c r="Y34" s="378">
        <v>31</v>
      </c>
      <c r="Z34" s="378" t="str">
        <f t="shared" ca="1" si="5"/>
        <v>-</v>
      </c>
      <c r="AA34" s="508" t="str">
        <f t="array" aca="1" ref="AA34" ca="1">IFERROR(INDEX(Calculation_Tab,SMALL(ROW(Sample_Intermediate_Dil)*(Sample_Intermediate_Dil&lt;&gt;"-"),COUNTIF(Sample_Intermediate_Dil,"-")+ROW()-3)-9,5),"-")</f>
        <v>-</v>
      </c>
      <c r="AB34" s="378" t="str">
        <f t="array" aca="1" ref="AB34" ca="1">IFERROR(INDEX($A$3:$B$12,MATCH(INDEX(Calculation_Tab,SMALL(ROW(Sample_Intermediate_Dil)*(Sample_Intermediate_Dil&lt;&gt;"-"),COUNTIF(Sample_Intermediate_Dil,"-")+ROW()-3)-9,5),$A$3:$A$12,0),2),"-")</f>
        <v>-</v>
      </c>
      <c r="AC34" s="509" t="str">
        <f t="array" aca="1" ref="AC34" ca="1">IFERROR(INDEX(Coordinate,MATCH(INDEX(Calculation_Tab,SMALL(ROW(Sample_Intermediate_Dil)*(Sample_Intermediate_Dil&lt;&gt;"-"),COUNTIF(Sample_Intermediate_Dil,"-")+ROW()-3)-9,6),$X$4:$X$99,0),2),"-")</f>
        <v>-</v>
      </c>
      <c r="AD34" s="510" t="str">
        <f t="array" aca="1" ref="AD34" ca="1">IFERROR(INDEX(Calculation_Tab,SMALL(ROW(Sample_Intermediate_Dil)*(Sample_Intermediate_Dil&lt;&gt;"-"),COUNTIF(Sample_Intermediate_Dil,"-")+ROW()-3)-9,24),"-")</f>
        <v>-</v>
      </c>
      <c r="AE34" s="510" t="str">
        <f t="array" aca="1" ref="AE34" ca="1">IFERROR(INDEX(Calculation_Tab,SMALL(ROW(Sample_Intermediate_Dil)*(Sample_Intermediate_Dil&lt;&gt;"-"),COUNTIF(Sample_Intermediate_Dil,"-")+ROW()-3)-9,25),"-")</f>
        <v>-</v>
      </c>
      <c r="AF34" s="510" t="str">
        <f t="array" aca="1" ref="AF34" ca="1">IFERROR(INDEX(Calculation_Tab,SMALL(ROW(Sample_Intermediate_Dil)*(Sample_Intermediate_Dil&lt;&gt;"-"),COUNTIF(Sample_Intermediate_Dil,"-")+ROW()-3)-9,26),"-")</f>
        <v>-</v>
      </c>
      <c r="AG34" s="511" t="str">
        <f t="array" aca="1" ref="AG34" ca="1">IFERROR(INDEX(Calculation_Tab,SMALL(ROW(Sample_Intermediate_Dil)*(Sample_Intermediate_Dil&lt;&gt;"-"),COUNTIF(Sample_Intermediate_Dil,"-")+ROW()-3)-9,27),"-")</f>
        <v>-</v>
      </c>
      <c r="AI34" s="487">
        <v>31</v>
      </c>
      <c r="AJ34" s="497" t="s">
        <v>160</v>
      </c>
      <c r="AK34" s="378">
        <v>31</v>
      </c>
      <c r="AL34" s="378" t="str">
        <f t="shared" ca="1" si="6"/>
        <v>-</v>
      </c>
      <c r="AM34" s="378" t="str">
        <f t="array" aca="1" ref="AM34" ca="1">IFERROR(IF(AI34&lt;=$AB$2,"-",INDEX(Calculation_Tab,SMALL(ROW(Main_Dil)*(Main_Dil&lt;&gt;"-"),COUNTIF(Main_Dil,"-")+ROW()-3-$AB$2)-9,5)),"-")</f>
        <v>-</v>
      </c>
      <c r="AN34" s="378" t="str">
        <f t="array" aca="1" ref="AN34" ca="1">IFERROR(IF(AI34&lt;=$AB$2,"-",INDEX($A$3:$B$12,MATCH(INDEX(Calculation_Tab,SMALL(ROW(Main_Dil)*(Main_Dil&lt;&gt;"-"),COUNTIF(Main_Dil,"-")+ROW()-3-$AB$2)-9,5),$A$3:$A$12,0),2)),"-")</f>
        <v>-</v>
      </c>
      <c r="AO34" s="378" t="str">
        <f t="array" aca="1" ref="AO34" ca="1">IFERROR(IF(AI34&lt;=$AB$2,"-",INDEX(Coordinate,MATCH(INDEX(Calculation_Tab,SMALL(ROW(Main_Dil)*(Main_Dil&lt;&gt;"-"),COUNTIF(Main_Dil,"-")+ROW()-3-$AB$2)-9,6),$X$4:$X$99,0),2)),"-")</f>
        <v>-</v>
      </c>
      <c r="AP34" s="510" t="str">
        <f t="array" aca="1" ref="AP34" ca="1">IFERROR(IF(AI34&lt;=$AB$2,"-",INDEX(Calculation_Tab,SMALL(ROW(Main_Dil)*(Main_Dil&lt;&gt;"-"),COUNTIF(Main_Dil,"-")+ROW()-3-$AB$2)-9,21)),"-")</f>
        <v>-</v>
      </c>
      <c r="AQ34" s="511" t="str">
        <f t="array" aca="1" ref="AQ34" ca="1">IFERROR(IF(AI34&lt;=$AB$2,"-",INDEX(Calculation_Tab,SMALL(ROW(Main_Dil)*(Main_Dil&lt;&gt;"-"),COUNTIF(Main_Dil,"-")+ROW()-3-$AB$2)-9,22)),"-")</f>
        <v>-</v>
      </c>
      <c r="AR34" s="487" t="str">
        <f t="shared" ca="1" si="7"/>
        <v>-</v>
      </c>
      <c r="AS34" s="378">
        <v>31</v>
      </c>
      <c r="AT34" s="497" t="s">
        <v>160</v>
      </c>
      <c r="AU34" s="498">
        <v>31</v>
      </c>
      <c r="AV34" s="378" t="str">
        <f t="shared" ca="1" si="8"/>
        <v>-</v>
      </c>
      <c r="AW34" s="378" t="str">
        <f t="array" aca="1" ref="AW34" ca="1">IFERROR(IF(AS34&lt;=$AB$2+$AN$2,"-",INDEX(Calculation_Tab,SMALL(ROW(Direct_Denaturation)*(Direct_Denaturation&lt;&gt;"-"),COUNTIF(Direct_Denaturation,"-")+ROW()-3-$AB$2-$AN$2)-9,5)),"-")</f>
        <v>-</v>
      </c>
      <c r="AX34" s="378" t="str">
        <f t="array" aca="1" ref="AX34" ca="1">IFERROR(IF(AS34&lt;=$AB$2+$AN$2,"-",INDEX($A$3:$B$12,MATCH(INDEX(Calculation_Tab,SMALL(ROW(Direct_Denaturation)*(Direct_Denaturation&lt;&gt;"-"),COUNTIF(Direct_Denaturation,"-")+ROW()-3-$AB$2-$AN$2)-9,5),$A$3:$A$12,0),2)),"-")</f>
        <v>-</v>
      </c>
      <c r="AY34" s="378" t="str">
        <f t="array" aca="1" ref="AY34" ca="1">IFERROR(IF(AS34&lt;=$AB$2+$AN$2,"-",INDEX(Coordinate,MATCH(INDEX(Calculation_Tab,SMALL(ROW(Direct_Denaturation)*(Direct_Denaturation&lt;&gt;"-"),COUNTIF(Direct_Denaturation,"-")+ROW()-3-$AB$2-$AN$2)-9,6),$X$4:$X$99,0),2)),"-")</f>
        <v>-</v>
      </c>
      <c r="AZ34" s="510" t="str">
        <f t="array" aca="1" ref="AZ34" ca="1">IFERROR(IF(AS34&lt;=$AB$2+$AN$2,"-",INDEX(Calculation_Tab,SMALL(ROW(Direct_Denaturation)*(Direct_Denaturation&lt;&gt;"-"),COUNTIF(Direct_Denaturation,"-")+ROW()-3-$AB$2-$AN$2)-9,32)),"-")</f>
        <v>-</v>
      </c>
      <c r="BA34" s="510" t="str">
        <f t="array" aca="1" ref="BA34" ca="1">IFERROR(IF(AS34&lt;=$AB$2+$AN$2,"-",INDEX(Calculation_Tab,SMALL(ROW(Direct_Denaturation)*(Direct_Denaturation&lt;&gt;"-"),COUNTIF(Direct_Denaturation,"-")+ROW()-3-$AB$2-$AN$2)-9,34)),"-")</f>
        <v>-</v>
      </c>
      <c r="BB34" s="510" t="str">
        <f t="array" aca="1" ref="BB34" ca="1">IFERROR(IF(AS34&lt;=$AB$2+$AN$2,"-",INDEX(Calculation_Tab,SMALL(ROW(Direct_Denaturation)*(Direct_Denaturation&lt;&gt;"-"),COUNTIF(Direct_Denaturation,"-")+ROW()-3-$AB$2-$AN$2)-9,33)),"-")</f>
        <v>-</v>
      </c>
      <c r="BC34" s="510" t="str">
        <f t="array" aca="1" ref="BC34" ca="1">IFERROR(IF(AS34&lt;=$AB$2+$AN$2,"-",INDEX(Calculation_Tab,SMALL(ROW(Direct_Denaturation)*(Direct_Denaturation&lt;&gt;"-"),COUNTIF(Direct_Denaturation,"-")+ROW()-3-$AB$2-$AN$2)-9,35)),"-")</f>
        <v>-</v>
      </c>
      <c r="BD34" s="511" t="str">
        <f t="shared" ca="1" si="9"/>
        <v>-</v>
      </c>
      <c r="BE34" s="494" t="s">
        <v>350</v>
      </c>
      <c r="BF34" s="378">
        <v>31</v>
      </c>
      <c r="BG34" s="515" t="str">
        <v>-</v>
      </c>
      <c r="BH34" s="516" t="str">
        <f>IFERROR(IF((Calculation!$AR$6/INDEX(ListAndConversion!D:P,MATCH(BG34,E:E,0),13))&lt;Calculation!$O$6,INDEX(ListAndConversion!D:P,MATCH(BG34,E:E,0),13)*Calculation!$O$6,Calculation!$AR$6),"-")</f>
        <v>-</v>
      </c>
      <c r="BI34" s="517" t="str">
        <f t="shared" si="10"/>
        <v>-</v>
      </c>
      <c r="BJ34" s="518" t="str">
        <f t="shared" si="11"/>
        <v>-</v>
      </c>
      <c r="BK34" s="378" t="s">
        <v>158</v>
      </c>
      <c r="BL34" s="378">
        <v>31</v>
      </c>
      <c r="BM34" s="487" t="str">
        <f t="array" aca="1" ref="BM34" ca="1">IFERROR(INDEX(Calculation_Tab,SMALL(ROW(ToPool)*(ToPool&lt;&gt;"-"),COUNTIF(ToPool,"-")+ROW()-3)-9,3),"-")</f>
        <v>-</v>
      </c>
      <c r="BN34" s="378" t="str">
        <f t="shared" ca="1" si="12"/>
        <v>-</v>
      </c>
      <c r="BO34" s="378" t="str">
        <f t="shared" ca="1" si="13"/>
        <v>-</v>
      </c>
      <c r="BP34" s="523" t="str">
        <f t="shared" ca="1" si="14"/>
        <v>-</v>
      </c>
      <c r="BQ34" s="378" t="str">
        <f t="array" aca="1" ref="BQ34" ca="1">IFERROR(INDEX(BE:BG,MATCH(INDEX(Calculation_Tab,SMALL(ROW(ToPool)*(ToPool&lt;&gt;"-"),COUNTIF(ToPool,"-")+ROW()-3)-9,9),BG:BG,0),2),"-")</f>
        <v>-</v>
      </c>
      <c r="BR34" s="510" t="str">
        <f t="shared" ca="1" si="15"/>
        <v>-</v>
      </c>
      <c r="BS34" s="511" t="str">
        <f t="shared" ca="1" si="16"/>
        <v>-</v>
      </c>
      <c r="BT34" s="378" t="s">
        <v>164</v>
      </c>
      <c r="BU34" s="487" t="str">
        <f t="shared" ca="1" si="21"/>
        <v>-</v>
      </c>
      <c r="BV34" s="487" t="str">
        <f t="array" aca="1" ref="BV3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4" s="378" t="str">
        <f t="shared" ca="1" si="17"/>
        <v>-</v>
      </c>
      <c r="BX34" s="378" t="str">
        <f t="shared" ca="1" si="18"/>
        <v>-</v>
      </c>
      <c r="BY34" s="510" t="str">
        <f ca="1">IFERROR(ROUND(INDEX(Cluster,MATCH(IF(LEFT(BV34,4)="Pool",INDEX(Cluster,MATCH(INDEX(Calculation_Tab,MATCH(INDEX($BE$4:$BJ$99,MATCH(BV34,$BE$4:$BE$99,0),3),Flow_Cell_Lane,0),3),Cluster!$F$29:$F$412,0),6),BV34),Identifier_Cluster,0),19)*IF(LEFT(BV34,4)="pool",IF(LEN(INDEX($BE$4:$BJ$99,MATCH(BV34,$BE$4:$BE$99,0),3))=10,2,IF(LEN(INDEX($BE$4:$BJ$99,MATCH(BV34,$BE$4:$BE$99,0),3))&gt;10,LEN(INDEX($BE$4:$BJ$99,MATCH(BV34,$BE$4:$BE$99,0),3))-8,1)),1)*IF(LEFT(BV34,4)="pool",IF(INDEX($BE$4:$BJ$99,MATCH(BV34,$BE$4:$BE$99,0),6)&lt;1,1,INDEX($BE$4:$BJ$99,MATCH(BV34,$BE$4:$BE$99,0),6)),INDEX(Calculation_Tab,MATCH(BV34,Identifier,0),10)),1)*(1+Calculation!$Q$6),"-")</f>
        <v>-</v>
      </c>
      <c r="BZ34" s="378" t="str">
        <f ca="1">IFERROR((0.5/50)*CE34/Calculation!$AG$6*(IF(LEFT(BV34,4)="Pool",IF(LEN(INDEX($BE$4:$BJ$99,MATCH(BV34,$BE$4:$BE$99,0),3))=10,2,IF(LEN(INDEX($BE$4:$BJ$99,MATCH(BV34,$BE$4:$BE$99,0),3))&gt;10,LEN(INDEX($BE$4:$BJ$99,MATCH(BV34,$BE$4:$BE$99,0),3))-8,1)),IF(INDEX(Calculation_Tab,MATCH(BV34,Identifier,0),10)&gt;1,INDEX(Calculation_Tab,MATCH(BV34,Identifier,0),10),1)))*(1+Calculation!$Q$6),"-")</f>
        <v>-</v>
      </c>
      <c r="CA34" s="510" t="str">
        <f ca="1">IFERROR(IF((BZ34*Calculation!$AG$6/0.05)-SUM(BY34:BZ34,CC34)&gt;0,(BZ34*Calculation!$AG$6/0.05)-SUM(BY34:BZ34,CC34),0),"-")</f>
        <v>-</v>
      </c>
      <c r="CB34" s="510" t="str">
        <f ca="1">IFERROR(5/50*CE34*(IF(LEFT(BV34,4)="Pool",IF(LEN(INDEX($BE$4:$BJ$99,MATCH(BV34,$BE$4:$BE$99,0),3))=10,2,IF(LEN(INDEX($BE$4:$BJ$99,MATCH(BV34,$BE$4:$BE$99,0),3))&gt;10,LEN(INDEX($BE$4:$BJ$99,MATCH(BV34,$BE$4:$BE$99,0),3))-8,1)),IF(INDEX(Calculation_Tab,MATCH(BV34,Identifier,0),10)&gt;1,INDEX(Calculation_Tab,MATCH(BV34,Identifier,0),10),1)))*(1+Calculation!$Q$6),"-")</f>
        <v>-</v>
      </c>
      <c r="CC34" s="508" t="str">
        <f ca="1">IFERROR(ROUND(INDEX(Cluster,MATCH(IF(LEFT(BV34,4)="Pool",INDEX(Cluster,MATCH(INDEX(Calculation_Tab,MATCH(INDEX($BE$4:$BJ$99,MATCH(BV34,$BE$4:$BE$99,0),3),Flow_Cell_Lane,0),3),Cluster!$F$29:$F$412,0),6),BV34),Identifier_Cluster,0),20)*IF(LEFT(BV34,4)="pool",IF(LEN(INDEX($BE$4:$BJ$99,MATCH(BV34,$BE$4:$BE$99,0),3))=10,2,IF(LEN(INDEX($BE$4:$BJ$99,MATCH(BV34,$BE$4:$BE$99,0),3))&gt;10,LEN(INDEX($BE$4:$BJ$99,MATCH(BV34,$BE$4:$BE$99,0),3))-8,1)),1)*IF(LEFT(BV34,4)="pool",IF(INDEX($BE$4:$BJ$99,MATCH(BV34,$BE$4:$BE$99,0),6)&lt;1,1,INDEX($BE$4:$BJ$99,MATCH(BV34,$BE$4:$BE$99,0),6)),INDEX(Calculation_Tab,MATCH(BV34,Identifier,0),10)),1)*(1+Calculation!$Q$6),"-")</f>
        <v>-</v>
      </c>
      <c r="CD34" s="509" t="str">
        <f ca="1">IFERROR(INDEX(Cluster!AC:AD,MATCH(IF(LEFT(BV34,4)="Pool",INDEX(Cluster!$D$29:$AA$412,MATCH(INDEX(Calculation_Tab,MATCH(INDEX($BE$4:$BJ$99,MATCH(BV34,$BE$4:$BE$99,0),3),Flow_Cell_Lane,0),3),Cluster!$F$29:$F$412,0),24),INDEX(Cluster!$D$29:$AA$412,MATCH(BV34,Cluster!$F$29:$F$412,0),24)),Cluster!AC:AC,0),2),"-")</f>
        <v>-</v>
      </c>
      <c r="CE34" s="378" t="str">
        <f ca="1">IFERROR(IF(BV34&lt;&gt;"-",Calculation!$AK$6,"-"),"-")</f>
        <v>-</v>
      </c>
      <c r="CF34" s="378" t="str">
        <f ca="1">IF(OR(LEFT(ListAndConversion!BW34,3)="Dil",LEFT(ListAndConversion!BW34,3)="Poo"),ListAndConversion!$BT$4,IF(LEFT(ListAndConversion!BW34,3)="Sou",INDEX(ListAndConversion!$AT$3:$AV$387,MATCH(ListAndConversion!BV34,ListAndConversion!$AV$3:$AV$387,0),1),"-"))</f>
        <v>-</v>
      </c>
      <c r="CG34" s="498" t="str">
        <f ca="1">IF(OR(LEFT(ListAndConversion!BW34,3)="Dil",LEFT(ListAndConversion!BW34,3)="Poo"),ListAndConversion!BU34,IF(LEFT(ListAndConversion!BW34,3)="Sou",INDEX(ListAndConversion!$AT$4:$AV$387,MATCH(ListAndConversion!BV34,ListAndConversion!$AV$4:$AV$387,0),2),"-"))</f>
        <v>-</v>
      </c>
      <c r="CH34" s="529"/>
      <c r="CI34" s="487" t="str">
        <f t="shared" ca="1" si="19"/>
        <v>-</v>
      </c>
      <c r="CJ34" s="378" t="str">
        <f t="shared" ref="CJ34:CQ43" ca="1" si="30">IFERROR(INDEX($R$3:$U$98,MATCH(INDEX($F$3:$M$387,MATCH($CI34,$E$3:$E$386,0),CJ$3),$S$3:$S$98,0),4),"-")</f>
        <v>-</v>
      </c>
      <c r="CK34" s="378" t="str">
        <f t="shared" ca="1" si="30"/>
        <v>-</v>
      </c>
      <c r="CL34" s="378" t="str">
        <f t="shared" ca="1" si="30"/>
        <v>-</v>
      </c>
      <c r="CM34" s="378" t="str">
        <f t="shared" ca="1" si="30"/>
        <v>-</v>
      </c>
      <c r="CN34" s="378" t="str">
        <f t="shared" ca="1" si="30"/>
        <v>-</v>
      </c>
      <c r="CO34" s="378" t="str">
        <f t="shared" ca="1" si="30"/>
        <v>-</v>
      </c>
      <c r="CP34" s="378" t="str">
        <f t="shared" ca="1" si="30"/>
        <v>-</v>
      </c>
      <c r="CQ34" s="378" t="str">
        <f t="shared" ca="1" si="30"/>
        <v>-</v>
      </c>
      <c r="CR34" s="510" t="str">
        <f ca="1">IFERROR(IF(LEFT(BW34,3)="Poo",INDEX($BE$4:$BJ$99,MATCH(CI34,$BG$4:$BG$99,0),6)*((15/50))*Calculation!$AK$6,INDEX(Calculation_Tab,MATCH(BV34,Identifier,0),10)/(IF(LEN(INDEX(Calculation_Tab,MATCH(BV34,Identifier,0),9))&gt;8,LEN(INDEX(Calculation_Tab,MATCH(BV34,Identifier,0),9))-8,1))*((15/50)*Calculation!$AK$6)),"-")</f>
        <v>-</v>
      </c>
      <c r="CS34" s="498" t="str">
        <f ca="1">IF(CI34="-","-",IF(COUNTIF($CI$3:CI34,CI34)&gt;1,0,IFERROR((35/50)*Calculation!$AK$6,"-")))</f>
        <v>-</v>
      </c>
    </row>
    <row r="35" spans="4:97" x14ac:dyDescent="0.5">
      <c r="D35" s="487" t="e">
        <f t="shared" si="0"/>
        <v>#DIV/0!</v>
      </c>
      <c r="E35" s="496" t="e">
        <f t="array" ref="E35">IF(IF((ROW(E35)-3)&lt;(ListAndConversion!$A$15),INDEX(Flow_Cell_Lane,MIN(IF(COUNTIF($E$2:E34,Flow_Cell_Lane)=0,ROW(Flow_Cell_Lane)-9))),"-")="","-",IF((ROW(E35)-3)&lt;(ListAndConversion!$A$15),INDEX(Flow_Cell_Lane,MIN(IF(COUNTIF($E$2:E34,Flow_Cell_Lane)=0,ROW(Flow_Cell_Lane)-9))),"-"))</f>
        <v>#DIV/0!</v>
      </c>
      <c r="F35" s="378" t="e">
        <f t="shared" si="1"/>
        <v>#DIV/0!</v>
      </c>
      <c r="G35" s="378" t="e">
        <f t="shared" si="29"/>
        <v>#DIV/0!</v>
      </c>
      <c r="H35" s="378" t="e">
        <f t="shared" si="29"/>
        <v>#DIV/0!</v>
      </c>
      <c r="I35" s="378" t="e">
        <f t="shared" si="29"/>
        <v>#DIV/0!</v>
      </c>
      <c r="J35" s="378" t="e">
        <f t="shared" si="29"/>
        <v>#DIV/0!</v>
      </c>
      <c r="K35" s="378" t="e">
        <f t="shared" si="29"/>
        <v>#DIV/0!</v>
      </c>
      <c r="L35" s="378" t="e">
        <f t="shared" si="29"/>
        <v>#DIV/0!</v>
      </c>
      <c r="M35" s="378" t="e">
        <f t="shared" si="29"/>
        <v>#DIV/0!</v>
      </c>
      <c r="N35" s="497" t="e">
        <f t="shared" si="3"/>
        <v>#DIV/0!</v>
      </c>
      <c r="O35" s="497" t="str">
        <f t="array" ref="O35">IFERROR(INDEX(Calculation!I:AN,MATCH(ListAndConversion!E35,Calculation!I:I,0),31),"-")</f>
        <v>-</v>
      </c>
      <c r="P35" s="498">
        <f>IF(COUNTIFS(Calculation!$I$10:$I$393,E35,Direct_Denaturation,"-")&lt;&gt;1,COUNTIFS(Calculation!$I$10:$I$393,E35,Direct_Denaturation,"-"),0)</f>
        <v>0</v>
      </c>
      <c r="Q35" s="378"/>
      <c r="R35" s="487" t="e">
        <f t="array" ref="R35">IF(IF((ROW(R35)-3)&lt;(Calculation!$H$6),INDEX(Flow_Cell,MIN(IF(COUNTIF($R$2:R34,Flow_Cell)=0,ROW(Flow_Cell)-9))),"-")="","-",IF((ROW(R35)-3)&lt;(Calculation!$H$6),INDEX(Flow_Cell,MIN(IF(COUNTIF($R$2:R34,Flow_Cell)=0,ROW(Flow_Cell)-9))),"-"))</f>
        <v>#DIV/0!</v>
      </c>
      <c r="S35" s="378" t="e">
        <f t="shared" ref="S35:S42" si="31">IF($R$7="-","-",CONCATENATE($R$7,"-",T35))</f>
        <v>#DIV/0!</v>
      </c>
      <c r="T35" s="378">
        <v>1</v>
      </c>
      <c r="U35" s="498">
        <v>33</v>
      </c>
      <c r="V35" s="487">
        <v>32</v>
      </c>
      <c r="W35" s="497" t="s">
        <v>287</v>
      </c>
      <c r="X35" s="497" t="s">
        <v>351</v>
      </c>
      <c r="Y35" s="378">
        <v>32</v>
      </c>
      <c r="Z35" s="378" t="str">
        <f t="shared" ca="1" si="5"/>
        <v>-</v>
      </c>
      <c r="AA35" s="508" t="str">
        <f t="array" aca="1" ref="AA35" ca="1">IFERROR(INDEX(Calculation_Tab,SMALL(ROW(Sample_Intermediate_Dil)*(Sample_Intermediate_Dil&lt;&gt;"-"),COUNTIF(Sample_Intermediate_Dil,"-")+ROW()-3)-9,5),"-")</f>
        <v>-</v>
      </c>
      <c r="AB35" s="378" t="str">
        <f t="array" aca="1" ref="AB35" ca="1">IFERROR(INDEX($A$3:$B$12,MATCH(INDEX(Calculation_Tab,SMALL(ROW(Sample_Intermediate_Dil)*(Sample_Intermediate_Dil&lt;&gt;"-"),COUNTIF(Sample_Intermediate_Dil,"-")+ROW()-3)-9,5),$A$3:$A$12,0),2),"-")</f>
        <v>-</v>
      </c>
      <c r="AC35" s="509" t="str">
        <f t="array" aca="1" ref="AC35" ca="1">IFERROR(INDEX(Coordinate,MATCH(INDEX(Calculation_Tab,SMALL(ROW(Sample_Intermediate_Dil)*(Sample_Intermediate_Dil&lt;&gt;"-"),COUNTIF(Sample_Intermediate_Dil,"-")+ROW()-3)-9,6),$X$4:$X$99,0),2),"-")</f>
        <v>-</v>
      </c>
      <c r="AD35" s="510" t="str">
        <f t="array" aca="1" ref="AD35" ca="1">IFERROR(INDEX(Calculation_Tab,SMALL(ROW(Sample_Intermediate_Dil)*(Sample_Intermediate_Dil&lt;&gt;"-"),COUNTIF(Sample_Intermediate_Dil,"-")+ROW()-3)-9,24),"-")</f>
        <v>-</v>
      </c>
      <c r="AE35" s="510" t="str">
        <f t="array" aca="1" ref="AE35" ca="1">IFERROR(INDEX(Calculation_Tab,SMALL(ROW(Sample_Intermediate_Dil)*(Sample_Intermediate_Dil&lt;&gt;"-"),COUNTIF(Sample_Intermediate_Dil,"-")+ROW()-3)-9,25),"-")</f>
        <v>-</v>
      </c>
      <c r="AF35" s="510" t="str">
        <f t="array" aca="1" ref="AF35" ca="1">IFERROR(INDEX(Calculation_Tab,SMALL(ROW(Sample_Intermediate_Dil)*(Sample_Intermediate_Dil&lt;&gt;"-"),COUNTIF(Sample_Intermediate_Dil,"-")+ROW()-3)-9,26),"-")</f>
        <v>-</v>
      </c>
      <c r="AG35" s="511" t="str">
        <f t="array" aca="1" ref="AG35" ca="1">IFERROR(INDEX(Calculation_Tab,SMALL(ROW(Sample_Intermediate_Dil)*(Sample_Intermediate_Dil&lt;&gt;"-"),COUNTIF(Sample_Intermediate_Dil,"-")+ROW()-3)-9,27),"-")</f>
        <v>-</v>
      </c>
      <c r="AI35" s="487">
        <v>32</v>
      </c>
      <c r="AJ35" s="497" t="s">
        <v>160</v>
      </c>
      <c r="AK35" s="378">
        <v>32</v>
      </c>
      <c r="AL35" s="378" t="str">
        <f t="shared" ca="1" si="6"/>
        <v>-</v>
      </c>
      <c r="AM35" s="378" t="str">
        <f t="array" aca="1" ref="AM35" ca="1">IFERROR(IF(AI35&lt;=$AB$2,"-",INDEX(Calculation_Tab,SMALL(ROW(Main_Dil)*(Main_Dil&lt;&gt;"-"),COUNTIF(Main_Dil,"-")+ROW()-3-$AB$2)-9,5)),"-")</f>
        <v>-</v>
      </c>
      <c r="AN35" s="378" t="str">
        <f t="array" aca="1" ref="AN35" ca="1">IFERROR(IF(AI35&lt;=$AB$2,"-",INDEX($A$3:$B$12,MATCH(INDEX(Calculation_Tab,SMALL(ROW(Main_Dil)*(Main_Dil&lt;&gt;"-"),COUNTIF(Main_Dil,"-")+ROW()-3-$AB$2)-9,5),$A$3:$A$12,0),2)),"-")</f>
        <v>-</v>
      </c>
      <c r="AO35" s="378" t="str">
        <f t="array" aca="1" ref="AO35" ca="1">IFERROR(IF(AI35&lt;=$AB$2,"-",INDEX(Coordinate,MATCH(INDEX(Calculation_Tab,SMALL(ROW(Main_Dil)*(Main_Dil&lt;&gt;"-"),COUNTIF(Main_Dil,"-")+ROW()-3-$AB$2)-9,6),$X$4:$X$99,0),2)),"-")</f>
        <v>-</v>
      </c>
      <c r="AP35" s="510" t="str">
        <f t="array" aca="1" ref="AP35" ca="1">IFERROR(IF(AI35&lt;=$AB$2,"-",INDEX(Calculation_Tab,SMALL(ROW(Main_Dil)*(Main_Dil&lt;&gt;"-"),COUNTIF(Main_Dil,"-")+ROW()-3-$AB$2)-9,21)),"-")</f>
        <v>-</v>
      </c>
      <c r="AQ35" s="511" t="str">
        <f t="array" aca="1" ref="AQ35" ca="1">IFERROR(IF(AI35&lt;=$AB$2,"-",INDEX(Calculation_Tab,SMALL(ROW(Main_Dil)*(Main_Dil&lt;&gt;"-"),COUNTIF(Main_Dil,"-")+ROW()-3-$AB$2)-9,22)),"-")</f>
        <v>-</v>
      </c>
      <c r="AR35" s="487" t="str">
        <f t="shared" ca="1" si="7"/>
        <v>-</v>
      </c>
      <c r="AS35" s="378">
        <v>32</v>
      </c>
      <c r="AT35" s="497" t="s">
        <v>160</v>
      </c>
      <c r="AU35" s="498">
        <v>32</v>
      </c>
      <c r="AV35" s="378" t="str">
        <f t="shared" ca="1" si="8"/>
        <v>-</v>
      </c>
      <c r="AW35" s="378" t="str">
        <f t="array" aca="1" ref="AW35" ca="1">IFERROR(IF(AS35&lt;=$AB$2+$AN$2,"-",INDEX(Calculation_Tab,SMALL(ROW(Direct_Denaturation)*(Direct_Denaturation&lt;&gt;"-"),COUNTIF(Direct_Denaturation,"-")+ROW()-3-$AB$2-$AN$2)-9,5)),"-")</f>
        <v>-</v>
      </c>
      <c r="AX35" s="378" t="str">
        <f t="array" aca="1" ref="AX35" ca="1">IFERROR(IF(AS35&lt;=$AB$2+$AN$2,"-",INDEX($A$3:$B$12,MATCH(INDEX(Calculation_Tab,SMALL(ROW(Direct_Denaturation)*(Direct_Denaturation&lt;&gt;"-"),COUNTIF(Direct_Denaturation,"-")+ROW()-3-$AB$2-$AN$2)-9,5),$A$3:$A$12,0),2)),"-")</f>
        <v>-</v>
      </c>
      <c r="AY35" s="378" t="str">
        <f t="array" aca="1" ref="AY35" ca="1">IFERROR(IF(AS35&lt;=$AB$2+$AN$2,"-",INDEX(Coordinate,MATCH(INDEX(Calculation_Tab,SMALL(ROW(Direct_Denaturation)*(Direct_Denaturation&lt;&gt;"-"),COUNTIF(Direct_Denaturation,"-")+ROW()-3-$AB$2-$AN$2)-9,6),$X$4:$X$99,0),2)),"-")</f>
        <v>-</v>
      </c>
      <c r="AZ35" s="510" t="str">
        <f t="array" aca="1" ref="AZ35" ca="1">IFERROR(IF(AS35&lt;=$AB$2+$AN$2,"-",INDEX(Calculation_Tab,SMALL(ROW(Direct_Denaturation)*(Direct_Denaturation&lt;&gt;"-"),COUNTIF(Direct_Denaturation,"-")+ROW()-3-$AB$2-$AN$2)-9,32)),"-")</f>
        <v>-</v>
      </c>
      <c r="BA35" s="510" t="str">
        <f t="array" aca="1" ref="BA35" ca="1">IFERROR(IF(AS35&lt;=$AB$2+$AN$2,"-",INDEX(Calculation_Tab,SMALL(ROW(Direct_Denaturation)*(Direct_Denaturation&lt;&gt;"-"),COUNTIF(Direct_Denaturation,"-")+ROW()-3-$AB$2-$AN$2)-9,34)),"-")</f>
        <v>-</v>
      </c>
      <c r="BB35" s="510" t="str">
        <f t="array" aca="1" ref="BB35" ca="1">IFERROR(IF(AS35&lt;=$AB$2+$AN$2,"-",INDEX(Calculation_Tab,SMALL(ROW(Direct_Denaturation)*(Direct_Denaturation&lt;&gt;"-"),COUNTIF(Direct_Denaturation,"-")+ROW()-3-$AB$2-$AN$2)-9,33)),"-")</f>
        <v>-</v>
      </c>
      <c r="BC35" s="510" t="str">
        <f t="array" aca="1" ref="BC35" ca="1">IFERROR(IF(AS35&lt;=$AB$2+$AN$2,"-",INDEX(Calculation_Tab,SMALL(ROW(Direct_Denaturation)*(Direct_Denaturation&lt;&gt;"-"),COUNTIF(Direct_Denaturation,"-")+ROW()-3-$AB$2-$AN$2)-9,35)),"-")</f>
        <v>-</v>
      </c>
      <c r="BD35" s="511" t="str">
        <f t="shared" ca="1" si="9"/>
        <v>-</v>
      </c>
      <c r="BE35" s="494" t="s">
        <v>352</v>
      </c>
      <c r="BF35" s="378">
        <v>32</v>
      </c>
      <c r="BG35" s="515" t="str">
        <v>-</v>
      </c>
      <c r="BH35" s="516" t="str">
        <f>IFERROR(IF((Calculation!$AR$6/INDEX(ListAndConversion!D:P,MATCH(BG35,E:E,0),13))&lt;Calculation!$O$6,INDEX(ListAndConversion!D:P,MATCH(BG35,E:E,0),13)*Calculation!$O$6,Calculation!$AR$6),"-")</f>
        <v>-</v>
      </c>
      <c r="BI35" s="517" t="str">
        <f t="shared" si="10"/>
        <v>-</v>
      </c>
      <c r="BJ35" s="518" t="str">
        <f t="shared" si="11"/>
        <v>-</v>
      </c>
      <c r="BK35" s="378" t="s">
        <v>158</v>
      </c>
      <c r="BL35" s="378">
        <v>32</v>
      </c>
      <c r="BM35" s="487" t="str">
        <f t="array" aca="1" ref="BM35" ca="1">IFERROR(INDEX(Calculation_Tab,SMALL(ROW(ToPool)*(ToPool&lt;&gt;"-"),COUNTIF(ToPool,"-")+ROW()-3)-9,3),"-")</f>
        <v>-</v>
      </c>
      <c r="BN35" s="378" t="str">
        <f t="shared" ca="1" si="12"/>
        <v>-</v>
      </c>
      <c r="BO35" s="378" t="str">
        <f t="shared" ca="1" si="13"/>
        <v>-</v>
      </c>
      <c r="BP35" s="523" t="str">
        <f t="shared" ca="1" si="14"/>
        <v>-</v>
      </c>
      <c r="BQ35" s="378" t="str">
        <f t="array" aca="1" ref="BQ35" ca="1">IFERROR(INDEX(BE:BG,MATCH(INDEX(Calculation_Tab,SMALL(ROW(ToPool)*(ToPool&lt;&gt;"-"),COUNTIF(ToPool,"-")+ROW()-3)-9,9),BG:BG,0),2),"-")</f>
        <v>-</v>
      </c>
      <c r="BR35" s="510" t="str">
        <f t="shared" ca="1" si="15"/>
        <v>-</v>
      </c>
      <c r="BS35" s="511" t="str">
        <f t="shared" ca="1" si="16"/>
        <v>-</v>
      </c>
      <c r="BT35" s="378" t="s">
        <v>164</v>
      </c>
      <c r="BU35" s="487" t="str">
        <f t="shared" ca="1" si="21"/>
        <v>-</v>
      </c>
      <c r="BV35" s="487" t="str">
        <f t="array" aca="1" ref="BV3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5" s="378" t="str">
        <f t="shared" ca="1" si="17"/>
        <v>-</v>
      </c>
      <c r="BX35" s="378" t="str">
        <f t="shared" ca="1" si="18"/>
        <v>-</v>
      </c>
      <c r="BY35" s="510" t="str">
        <f ca="1">IFERROR(ROUND(INDEX(Cluster,MATCH(IF(LEFT(BV35,4)="Pool",INDEX(Cluster,MATCH(INDEX(Calculation_Tab,MATCH(INDEX($BE$4:$BJ$99,MATCH(BV35,$BE$4:$BE$99,0),3),Flow_Cell_Lane,0),3),Cluster!$F$29:$F$412,0),6),BV35),Identifier_Cluster,0),19)*IF(LEFT(BV35,4)="pool",IF(LEN(INDEX($BE$4:$BJ$99,MATCH(BV35,$BE$4:$BE$99,0),3))=10,2,IF(LEN(INDEX($BE$4:$BJ$99,MATCH(BV35,$BE$4:$BE$99,0),3))&gt;10,LEN(INDEX($BE$4:$BJ$99,MATCH(BV35,$BE$4:$BE$99,0),3))-8,1)),1)*IF(LEFT(BV35,4)="pool",IF(INDEX($BE$4:$BJ$99,MATCH(BV35,$BE$4:$BE$99,0),6)&lt;1,1,INDEX($BE$4:$BJ$99,MATCH(BV35,$BE$4:$BE$99,0),6)),INDEX(Calculation_Tab,MATCH(BV35,Identifier,0),10)),1)*(1+Calculation!$Q$6),"-")</f>
        <v>-</v>
      </c>
      <c r="BZ35" s="378" t="str">
        <f ca="1">IFERROR((0.5/50)*CE35/Calculation!$AG$6*(IF(LEFT(BV35,4)="Pool",IF(LEN(INDEX($BE$4:$BJ$99,MATCH(BV35,$BE$4:$BE$99,0),3))=10,2,IF(LEN(INDEX($BE$4:$BJ$99,MATCH(BV35,$BE$4:$BE$99,0),3))&gt;10,LEN(INDEX($BE$4:$BJ$99,MATCH(BV35,$BE$4:$BE$99,0),3))-8,1)),IF(INDEX(Calculation_Tab,MATCH(BV35,Identifier,0),10)&gt;1,INDEX(Calculation_Tab,MATCH(BV35,Identifier,0),10),1)))*(1+Calculation!$Q$6),"-")</f>
        <v>-</v>
      </c>
      <c r="CA35" s="510" t="str">
        <f ca="1">IFERROR(IF((BZ35*Calculation!$AG$6/0.05)-SUM(BY35:BZ35,CC35)&gt;0,(BZ35*Calculation!$AG$6/0.05)-SUM(BY35:BZ35,CC35),0),"-")</f>
        <v>-</v>
      </c>
      <c r="CB35" s="510" t="str">
        <f ca="1">IFERROR(5/50*CE35*(IF(LEFT(BV35,4)="Pool",IF(LEN(INDEX($BE$4:$BJ$99,MATCH(BV35,$BE$4:$BE$99,0),3))=10,2,IF(LEN(INDEX($BE$4:$BJ$99,MATCH(BV35,$BE$4:$BE$99,0),3))&gt;10,LEN(INDEX($BE$4:$BJ$99,MATCH(BV35,$BE$4:$BE$99,0),3))-8,1)),IF(INDEX(Calculation_Tab,MATCH(BV35,Identifier,0),10)&gt;1,INDEX(Calculation_Tab,MATCH(BV35,Identifier,0),10),1)))*(1+Calculation!$Q$6),"-")</f>
        <v>-</v>
      </c>
      <c r="CC35" s="508" t="str">
        <f ca="1">IFERROR(ROUND(INDEX(Cluster,MATCH(IF(LEFT(BV35,4)="Pool",INDEX(Cluster,MATCH(INDEX(Calculation_Tab,MATCH(INDEX($BE$4:$BJ$99,MATCH(BV35,$BE$4:$BE$99,0),3),Flow_Cell_Lane,0),3),Cluster!$F$29:$F$412,0),6),BV35),Identifier_Cluster,0),20)*IF(LEFT(BV35,4)="pool",IF(LEN(INDEX($BE$4:$BJ$99,MATCH(BV35,$BE$4:$BE$99,0),3))=10,2,IF(LEN(INDEX($BE$4:$BJ$99,MATCH(BV35,$BE$4:$BE$99,0),3))&gt;10,LEN(INDEX($BE$4:$BJ$99,MATCH(BV35,$BE$4:$BE$99,0),3))-8,1)),1)*IF(LEFT(BV35,4)="pool",IF(INDEX($BE$4:$BJ$99,MATCH(BV35,$BE$4:$BE$99,0),6)&lt;1,1,INDEX($BE$4:$BJ$99,MATCH(BV35,$BE$4:$BE$99,0),6)),INDEX(Calculation_Tab,MATCH(BV35,Identifier,0),10)),1)*(1+Calculation!$Q$6),"-")</f>
        <v>-</v>
      </c>
      <c r="CD35" s="509" t="str">
        <f ca="1">IFERROR(INDEX(Cluster!AC:AD,MATCH(IF(LEFT(BV35,4)="Pool",INDEX(Cluster!$D$29:$AA$412,MATCH(INDEX(Calculation_Tab,MATCH(INDEX($BE$4:$BJ$99,MATCH(BV35,$BE$4:$BE$99,0),3),Flow_Cell_Lane,0),3),Cluster!$F$29:$F$412,0),24),INDEX(Cluster!$D$29:$AA$412,MATCH(BV35,Cluster!$F$29:$F$412,0),24)),Cluster!AC:AC,0),2),"-")</f>
        <v>-</v>
      </c>
      <c r="CE35" s="378" t="str">
        <f ca="1">IFERROR(IF(BV35&lt;&gt;"-",Calculation!$AK$6,"-"),"-")</f>
        <v>-</v>
      </c>
      <c r="CF35" s="378" t="str">
        <f ca="1">IF(OR(LEFT(ListAndConversion!BW35,3)="Dil",LEFT(ListAndConversion!BW35,3)="Poo"),ListAndConversion!$BT$4,IF(LEFT(ListAndConversion!BW35,3)="Sou",INDEX(ListAndConversion!$AT$3:$AV$387,MATCH(ListAndConversion!BV35,ListAndConversion!$AV$3:$AV$387,0),1),"-"))</f>
        <v>-</v>
      </c>
      <c r="CG35" s="498" t="str">
        <f ca="1">IF(OR(LEFT(ListAndConversion!BW35,3)="Dil",LEFT(ListAndConversion!BW35,3)="Poo"),ListAndConversion!BU35,IF(LEFT(ListAndConversion!BW35,3)="Sou",INDEX(ListAndConversion!$AT$4:$AV$387,MATCH(ListAndConversion!BV35,ListAndConversion!$AV$4:$AV$387,0),2),"-"))</f>
        <v>-</v>
      </c>
      <c r="CH35" s="529"/>
      <c r="CI35" s="487" t="str">
        <f t="shared" ca="1" si="19"/>
        <v>-</v>
      </c>
      <c r="CJ35" s="378" t="str">
        <f t="shared" ca="1" si="30"/>
        <v>-</v>
      </c>
      <c r="CK35" s="378" t="str">
        <f t="shared" ca="1" si="30"/>
        <v>-</v>
      </c>
      <c r="CL35" s="378" t="str">
        <f t="shared" ca="1" si="30"/>
        <v>-</v>
      </c>
      <c r="CM35" s="378" t="str">
        <f t="shared" ca="1" si="30"/>
        <v>-</v>
      </c>
      <c r="CN35" s="378" t="str">
        <f t="shared" ca="1" si="30"/>
        <v>-</v>
      </c>
      <c r="CO35" s="378" t="str">
        <f t="shared" ca="1" si="30"/>
        <v>-</v>
      </c>
      <c r="CP35" s="378" t="str">
        <f t="shared" ca="1" si="30"/>
        <v>-</v>
      </c>
      <c r="CQ35" s="378" t="str">
        <f t="shared" ca="1" si="30"/>
        <v>-</v>
      </c>
      <c r="CR35" s="510" t="str">
        <f ca="1">IFERROR(IF(LEFT(BW35,3)="Poo",INDEX($BE$4:$BJ$99,MATCH(CI35,$BG$4:$BG$99,0),6)*((15/50))*Calculation!$AK$6,INDEX(Calculation_Tab,MATCH(BV35,Identifier,0),10)/(IF(LEN(INDEX(Calculation_Tab,MATCH(BV35,Identifier,0),9))&gt;8,LEN(INDEX(Calculation_Tab,MATCH(BV35,Identifier,0),9))-8,1))*((15/50)*Calculation!$AK$6)),"-")</f>
        <v>-</v>
      </c>
      <c r="CS35" s="498" t="str">
        <f ca="1">IF(CI35="-","-",IF(COUNTIF($CI$3:CI35,CI35)&gt;1,0,IFERROR((35/50)*Calculation!$AK$6,"-")))</f>
        <v>-</v>
      </c>
    </row>
    <row r="36" spans="4:97" x14ac:dyDescent="0.5">
      <c r="D36" s="487" t="e">
        <f t="shared" si="0"/>
        <v>#DIV/0!</v>
      </c>
      <c r="E36" s="496" t="e">
        <f t="array" ref="E36">IF(IF((ROW(E36)-3)&lt;(ListAndConversion!$A$15),INDEX(Flow_Cell_Lane,MIN(IF(COUNTIF($E$2:E35,Flow_Cell_Lane)=0,ROW(Flow_Cell_Lane)-9))),"-")="","-",IF((ROW(E36)-3)&lt;(ListAndConversion!$A$15),INDEX(Flow_Cell_Lane,MIN(IF(COUNTIF($E$2:E35,Flow_Cell_Lane)=0,ROW(Flow_Cell_Lane)-9))),"-"))</f>
        <v>#DIV/0!</v>
      </c>
      <c r="F36" s="378" t="e">
        <f t="shared" si="1"/>
        <v>#DIV/0!</v>
      </c>
      <c r="G36" s="378" t="e">
        <f t="shared" si="29"/>
        <v>#DIV/0!</v>
      </c>
      <c r="H36" s="378" t="e">
        <f t="shared" si="29"/>
        <v>#DIV/0!</v>
      </c>
      <c r="I36" s="378" t="e">
        <f t="shared" si="29"/>
        <v>#DIV/0!</v>
      </c>
      <c r="J36" s="378" t="e">
        <f t="shared" si="29"/>
        <v>#DIV/0!</v>
      </c>
      <c r="K36" s="378" t="e">
        <f t="shared" si="29"/>
        <v>#DIV/0!</v>
      </c>
      <c r="L36" s="378" t="e">
        <f t="shared" si="29"/>
        <v>#DIV/0!</v>
      </c>
      <c r="M36" s="378" t="e">
        <f t="shared" si="29"/>
        <v>#DIV/0!</v>
      </c>
      <c r="N36" s="497" t="e">
        <f t="shared" si="3"/>
        <v>#DIV/0!</v>
      </c>
      <c r="O36" s="497" t="str">
        <f t="array" ref="O36">IFERROR(INDEX(Calculation!I:AN,MATCH(ListAndConversion!E36,Calculation!I:I,0),31),"-")</f>
        <v>-</v>
      </c>
      <c r="P36" s="498">
        <f>IF(COUNTIFS(Calculation!$I$10:$I$393,E36,Direct_Denaturation,"-")&lt;&gt;1,COUNTIFS(Calculation!$I$10:$I$393,E36,Direct_Denaturation,"-"),0)</f>
        <v>0</v>
      </c>
      <c r="Q36" s="378"/>
      <c r="R36" s="487" t="e">
        <f t="array" ref="R36">IF(IF((ROW(R36)-3)&lt;(Calculation!$H$6),INDEX(Flow_Cell,MIN(IF(COUNTIF($R$2:R35,Flow_Cell)=0,ROW(Flow_Cell)-9))),"-")="","-",IF((ROW(R36)-3)&lt;(Calculation!$H$6),INDEX(Flow_Cell,MIN(IF(COUNTIF($R$2:R35,Flow_Cell)=0,ROW(Flow_Cell)-9))),"-"))</f>
        <v>#DIV/0!</v>
      </c>
      <c r="S36" s="378" t="e">
        <f t="shared" si="31"/>
        <v>#DIV/0!</v>
      </c>
      <c r="T36" s="378">
        <v>2</v>
      </c>
      <c r="U36" s="498">
        <v>34</v>
      </c>
      <c r="V36" s="487">
        <v>33</v>
      </c>
      <c r="W36" s="497" t="s">
        <v>287</v>
      </c>
      <c r="X36" s="497" t="s">
        <v>353</v>
      </c>
      <c r="Y36" s="378">
        <v>33</v>
      </c>
      <c r="Z36" s="378" t="str">
        <f t="shared" ref="Z36:Z67" ca="1" si="32">IF(AA36&lt;&gt;"-",CONCATENATE(AA36,"-",AC36),"-")</f>
        <v>-</v>
      </c>
      <c r="AA36" s="508" t="str">
        <f t="array" aca="1" ref="AA36" ca="1">IFERROR(INDEX(Calculation_Tab,SMALL(ROW(Sample_Intermediate_Dil)*(Sample_Intermediate_Dil&lt;&gt;"-"),COUNTIF(Sample_Intermediate_Dil,"-")+ROW()-3)-9,5),"-")</f>
        <v>-</v>
      </c>
      <c r="AB36" s="378" t="str">
        <f t="array" aca="1" ref="AB36" ca="1">IFERROR(INDEX($A$3:$B$12,MATCH(INDEX(Calculation_Tab,SMALL(ROW(Sample_Intermediate_Dil)*(Sample_Intermediate_Dil&lt;&gt;"-"),COUNTIF(Sample_Intermediate_Dil,"-")+ROW()-3)-9,5),$A$3:$A$12,0),2),"-")</f>
        <v>-</v>
      </c>
      <c r="AC36" s="509" t="str">
        <f t="array" aca="1" ref="AC36" ca="1">IFERROR(INDEX(Coordinate,MATCH(INDEX(Calculation_Tab,SMALL(ROW(Sample_Intermediate_Dil)*(Sample_Intermediate_Dil&lt;&gt;"-"),COUNTIF(Sample_Intermediate_Dil,"-")+ROW()-3)-9,6),$X$4:$X$99,0),2),"-")</f>
        <v>-</v>
      </c>
      <c r="AD36" s="510" t="str">
        <f t="array" aca="1" ref="AD36" ca="1">IFERROR(INDEX(Calculation_Tab,SMALL(ROW(Sample_Intermediate_Dil)*(Sample_Intermediate_Dil&lt;&gt;"-"),COUNTIF(Sample_Intermediate_Dil,"-")+ROW()-3)-9,24),"-")</f>
        <v>-</v>
      </c>
      <c r="AE36" s="510" t="str">
        <f t="array" aca="1" ref="AE36" ca="1">IFERROR(INDEX(Calculation_Tab,SMALL(ROW(Sample_Intermediate_Dil)*(Sample_Intermediate_Dil&lt;&gt;"-"),COUNTIF(Sample_Intermediate_Dil,"-")+ROW()-3)-9,25),"-")</f>
        <v>-</v>
      </c>
      <c r="AF36" s="510" t="str">
        <f t="array" aca="1" ref="AF36" ca="1">IFERROR(INDEX(Calculation_Tab,SMALL(ROW(Sample_Intermediate_Dil)*(Sample_Intermediate_Dil&lt;&gt;"-"),COUNTIF(Sample_Intermediate_Dil,"-")+ROW()-3)-9,26),"-")</f>
        <v>-</v>
      </c>
      <c r="AG36" s="511" t="str">
        <f t="array" aca="1" ref="AG36" ca="1">IFERROR(INDEX(Calculation_Tab,SMALL(ROW(Sample_Intermediate_Dil)*(Sample_Intermediate_Dil&lt;&gt;"-"),COUNTIF(Sample_Intermediate_Dil,"-")+ROW()-3)-9,27),"-")</f>
        <v>-</v>
      </c>
      <c r="AI36" s="487">
        <v>33</v>
      </c>
      <c r="AJ36" s="497" t="s">
        <v>160</v>
      </c>
      <c r="AK36" s="378">
        <v>33</v>
      </c>
      <c r="AL36" s="378" t="str">
        <f t="shared" ca="1" si="6"/>
        <v>-</v>
      </c>
      <c r="AM36" s="378" t="str">
        <f t="array" aca="1" ref="AM36" ca="1">IFERROR(IF(AI36&lt;=$AB$2,"-",INDEX(Calculation_Tab,SMALL(ROW(Main_Dil)*(Main_Dil&lt;&gt;"-"),COUNTIF(Main_Dil,"-")+ROW()-3-$AB$2)-9,5)),"-")</f>
        <v>-</v>
      </c>
      <c r="AN36" s="378" t="str">
        <f t="array" aca="1" ref="AN36" ca="1">IFERROR(IF(AI36&lt;=$AB$2,"-",INDEX($A$3:$B$12,MATCH(INDEX(Calculation_Tab,SMALL(ROW(Main_Dil)*(Main_Dil&lt;&gt;"-"),COUNTIF(Main_Dil,"-")+ROW()-3-$AB$2)-9,5),$A$3:$A$12,0),2)),"-")</f>
        <v>-</v>
      </c>
      <c r="AO36" s="378" t="str">
        <f t="array" aca="1" ref="AO36" ca="1">IFERROR(IF(AI36&lt;=$AB$2,"-",INDEX(Coordinate,MATCH(INDEX(Calculation_Tab,SMALL(ROW(Main_Dil)*(Main_Dil&lt;&gt;"-"),COUNTIF(Main_Dil,"-")+ROW()-3-$AB$2)-9,6),$X$4:$X$99,0),2)),"-")</f>
        <v>-</v>
      </c>
      <c r="AP36" s="510" t="str">
        <f t="array" aca="1" ref="AP36" ca="1">IFERROR(IF(AI36&lt;=$AB$2,"-",INDEX(Calculation_Tab,SMALL(ROW(Main_Dil)*(Main_Dil&lt;&gt;"-"),COUNTIF(Main_Dil,"-")+ROW()-3-$AB$2)-9,21)),"-")</f>
        <v>-</v>
      </c>
      <c r="AQ36" s="511" t="str">
        <f t="array" aca="1" ref="AQ36" ca="1">IFERROR(IF(AI36&lt;=$AB$2,"-",INDEX(Calculation_Tab,SMALL(ROW(Main_Dil)*(Main_Dil&lt;&gt;"-"),COUNTIF(Main_Dil,"-")+ROW()-3-$AB$2)-9,22)),"-")</f>
        <v>-</v>
      </c>
      <c r="AR36" s="487" t="str">
        <f t="shared" ca="1" si="7"/>
        <v>-</v>
      </c>
      <c r="AS36" s="378">
        <v>33</v>
      </c>
      <c r="AT36" s="497" t="s">
        <v>160</v>
      </c>
      <c r="AU36" s="498">
        <v>33</v>
      </c>
      <c r="AV36" s="378" t="str">
        <f t="shared" ca="1" si="8"/>
        <v>-</v>
      </c>
      <c r="AW36" s="378" t="str">
        <f t="array" aca="1" ref="AW36" ca="1">IFERROR(IF(AS36&lt;=$AB$2+$AN$2,"-",INDEX(Calculation_Tab,SMALL(ROW(Direct_Denaturation)*(Direct_Denaturation&lt;&gt;"-"),COUNTIF(Direct_Denaturation,"-")+ROW()-3-$AB$2-$AN$2)-9,5)),"-")</f>
        <v>-</v>
      </c>
      <c r="AX36" s="378" t="str">
        <f t="array" aca="1" ref="AX36" ca="1">IFERROR(IF(AS36&lt;=$AB$2+$AN$2,"-",INDEX($A$3:$B$12,MATCH(INDEX(Calculation_Tab,SMALL(ROW(Direct_Denaturation)*(Direct_Denaturation&lt;&gt;"-"),COUNTIF(Direct_Denaturation,"-")+ROW()-3-$AB$2-$AN$2)-9,5),$A$3:$A$12,0),2)),"-")</f>
        <v>-</v>
      </c>
      <c r="AY36" s="378" t="str">
        <f t="array" aca="1" ref="AY36" ca="1">IFERROR(IF(AS36&lt;=$AB$2+$AN$2,"-",INDEX(Coordinate,MATCH(INDEX(Calculation_Tab,SMALL(ROW(Direct_Denaturation)*(Direct_Denaturation&lt;&gt;"-"),COUNTIF(Direct_Denaturation,"-")+ROW()-3-$AB$2-$AN$2)-9,6),$X$4:$X$99,0),2)),"-")</f>
        <v>-</v>
      </c>
      <c r="AZ36" s="510" t="str">
        <f t="array" aca="1" ref="AZ36" ca="1">IFERROR(IF(AS36&lt;=$AB$2+$AN$2,"-",INDEX(Calculation_Tab,SMALL(ROW(Direct_Denaturation)*(Direct_Denaturation&lt;&gt;"-"),COUNTIF(Direct_Denaturation,"-")+ROW()-3-$AB$2-$AN$2)-9,32)),"-")</f>
        <v>-</v>
      </c>
      <c r="BA36" s="510" t="str">
        <f t="array" aca="1" ref="BA36" ca="1">IFERROR(IF(AS36&lt;=$AB$2+$AN$2,"-",INDEX(Calculation_Tab,SMALL(ROW(Direct_Denaturation)*(Direct_Denaturation&lt;&gt;"-"),COUNTIF(Direct_Denaturation,"-")+ROW()-3-$AB$2-$AN$2)-9,34)),"-")</f>
        <v>-</v>
      </c>
      <c r="BB36" s="510" t="str">
        <f t="array" aca="1" ref="BB36" ca="1">IFERROR(IF(AS36&lt;=$AB$2+$AN$2,"-",INDEX(Calculation_Tab,SMALL(ROW(Direct_Denaturation)*(Direct_Denaturation&lt;&gt;"-"),COUNTIF(Direct_Denaturation,"-")+ROW()-3-$AB$2-$AN$2)-9,33)),"-")</f>
        <v>-</v>
      </c>
      <c r="BC36" s="510" t="str">
        <f t="array" aca="1" ref="BC36" ca="1">IFERROR(IF(AS36&lt;=$AB$2+$AN$2,"-",INDEX(Calculation_Tab,SMALL(ROW(Direct_Denaturation)*(Direct_Denaturation&lt;&gt;"-"),COUNTIF(Direct_Denaturation,"-")+ROW()-3-$AB$2-$AN$2)-9,35)),"-")</f>
        <v>-</v>
      </c>
      <c r="BD36" s="511" t="str">
        <f t="shared" ca="1" si="9"/>
        <v>-</v>
      </c>
      <c r="BE36" s="494" t="s">
        <v>354</v>
      </c>
      <c r="BF36" s="378">
        <v>33</v>
      </c>
      <c r="BG36" s="515" t="str">
        <v>-</v>
      </c>
      <c r="BH36" s="516" t="str">
        <f>IFERROR(IF((Calculation!$AR$6/INDEX(ListAndConversion!D:P,MATCH(BG36,E:E,0),13))&lt;Calculation!$O$6,INDEX(ListAndConversion!D:P,MATCH(BG36,E:E,0),13)*Calculation!$O$6,Calculation!$AR$6),"-")</f>
        <v>-</v>
      </c>
      <c r="BI36" s="517" t="str">
        <f t="shared" ref="BI36:BI67" si="33">IF(BG36="-","-",SUMIF($BQ$4:$BQ$387,BF36,$BS$4:$BS$387)+SUMIF($AR$4:$AR$387,BG36,$BD$4:$BD$387))</f>
        <v>-</v>
      </c>
      <c r="BJ36" s="518" t="str">
        <f t="shared" ref="BJ36:BJ67" si="34">IF(BG36="-","-",SUMIF($BQ$4:$BQ$387,BF36,$BP$4:$BP$387))</f>
        <v>-</v>
      </c>
      <c r="BK36" s="378" t="s">
        <v>158</v>
      </c>
      <c r="BL36" s="378">
        <v>33</v>
      </c>
      <c r="BM36" s="487" t="str">
        <f t="array" aca="1" ref="BM36" ca="1">IFERROR(INDEX(Calculation_Tab,SMALL(ROW(ToPool)*(ToPool&lt;&gt;"-"),COUNTIF(ToPool,"-")+ROW()-3)-9,3),"-")</f>
        <v>-</v>
      </c>
      <c r="BN36" s="378" t="str">
        <f t="shared" ca="1" si="12"/>
        <v>-</v>
      </c>
      <c r="BO36" s="378" t="str">
        <f t="shared" ca="1" si="13"/>
        <v>-</v>
      </c>
      <c r="BP36" s="523" t="str">
        <f t="shared" ca="1" si="14"/>
        <v>-</v>
      </c>
      <c r="BQ36" s="378" t="str">
        <f t="array" aca="1" ref="BQ36" ca="1">IFERROR(INDEX(BE:BG,MATCH(INDEX(Calculation_Tab,SMALL(ROW(ToPool)*(ToPool&lt;&gt;"-"),COUNTIF(ToPool,"-")+ROW()-3)-9,9),BG:BG,0),2),"-")</f>
        <v>-</v>
      </c>
      <c r="BR36" s="510" t="str">
        <f t="shared" ca="1" si="15"/>
        <v>-</v>
      </c>
      <c r="BS36" s="511" t="str">
        <f t="shared" ca="1" si="16"/>
        <v>-</v>
      </c>
      <c r="BT36" s="378" t="s">
        <v>164</v>
      </c>
      <c r="BU36" s="487" t="str">
        <f t="shared" ca="1" si="21"/>
        <v>-</v>
      </c>
      <c r="BV36" s="487" t="str">
        <f t="array" aca="1" ref="BV3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6" s="378" t="str">
        <f t="shared" ca="1" si="17"/>
        <v>-</v>
      </c>
      <c r="BX36" s="378" t="str">
        <f t="shared" ca="1" si="18"/>
        <v>-</v>
      </c>
      <c r="BY36" s="510" t="str">
        <f ca="1">IFERROR(ROUND(INDEX(Cluster,MATCH(IF(LEFT(BV36,4)="Pool",INDEX(Cluster,MATCH(INDEX(Calculation_Tab,MATCH(INDEX($BE$4:$BJ$99,MATCH(BV36,$BE$4:$BE$99,0),3),Flow_Cell_Lane,0),3),Cluster!$F$29:$F$412,0),6),BV36),Identifier_Cluster,0),19)*IF(LEFT(BV36,4)="pool",IF(LEN(INDEX($BE$4:$BJ$99,MATCH(BV36,$BE$4:$BE$99,0),3))=10,2,IF(LEN(INDEX($BE$4:$BJ$99,MATCH(BV36,$BE$4:$BE$99,0),3))&gt;10,LEN(INDEX($BE$4:$BJ$99,MATCH(BV36,$BE$4:$BE$99,0),3))-8,1)),1)*IF(LEFT(BV36,4)="pool",IF(INDEX($BE$4:$BJ$99,MATCH(BV36,$BE$4:$BE$99,0),6)&lt;1,1,INDEX($BE$4:$BJ$99,MATCH(BV36,$BE$4:$BE$99,0),6)),INDEX(Calculation_Tab,MATCH(BV36,Identifier,0),10)),1)*(1+Calculation!$Q$6),"-")</f>
        <v>-</v>
      </c>
      <c r="BZ36" s="378" t="str">
        <f ca="1">IFERROR((0.5/50)*CE36/Calculation!$AG$6*(IF(LEFT(BV36,4)="Pool",IF(LEN(INDEX($BE$4:$BJ$99,MATCH(BV36,$BE$4:$BE$99,0),3))=10,2,IF(LEN(INDEX($BE$4:$BJ$99,MATCH(BV36,$BE$4:$BE$99,0),3))&gt;10,LEN(INDEX($BE$4:$BJ$99,MATCH(BV36,$BE$4:$BE$99,0),3))-8,1)),IF(INDEX(Calculation_Tab,MATCH(BV36,Identifier,0),10)&gt;1,INDEX(Calculation_Tab,MATCH(BV36,Identifier,0),10),1)))*(1+Calculation!$Q$6),"-")</f>
        <v>-</v>
      </c>
      <c r="CA36" s="510" t="str">
        <f ca="1">IFERROR(IF((BZ36*Calculation!$AG$6/0.05)-SUM(BY36:BZ36,CC36)&gt;0,(BZ36*Calculation!$AG$6/0.05)-SUM(BY36:BZ36,CC36),0),"-")</f>
        <v>-</v>
      </c>
      <c r="CB36" s="510" t="str">
        <f ca="1">IFERROR(5/50*CE36*(IF(LEFT(BV36,4)="Pool",IF(LEN(INDEX($BE$4:$BJ$99,MATCH(BV36,$BE$4:$BE$99,0),3))=10,2,IF(LEN(INDEX($BE$4:$BJ$99,MATCH(BV36,$BE$4:$BE$99,0),3))&gt;10,LEN(INDEX($BE$4:$BJ$99,MATCH(BV36,$BE$4:$BE$99,0),3))-8,1)),IF(INDEX(Calculation_Tab,MATCH(BV36,Identifier,0),10)&gt;1,INDEX(Calculation_Tab,MATCH(BV36,Identifier,0),10),1)))*(1+Calculation!$Q$6),"-")</f>
        <v>-</v>
      </c>
      <c r="CC36" s="508" t="str">
        <f ca="1">IFERROR(ROUND(INDEX(Cluster,MATCH(IF(LEFT(BV36,4)="Pool",INDEX(Cluster,MATCH(INDEX(Calculation_Tab,MATCH(INDEX($BE$4:$BJ$99,MATCH(BV36,$BE$4:$BE$99,0),3),Flow_Cell_Lane,0),3),Cluster!$F$29:$F$412,0),6),BV36),Identifier_Cluster,0),20)*IF(LEFT(BV36,4)="pool",IF(LEN(INDEX($BE$4:$BJ$99,MATCH(BV36,$BE$4:$BE$99,0),3))=10,2,IF(LEN(INDEX($BE$4:$BJ$99,MATCH(BV36,$BE$4:$BE$99,0),3))&gt;10,LEN(INDEX($BE$4:$BJ$99,MATCH(BV36,$BE$4:$BE$99,0),3))-8,1)),1)*IF(LEFT(BV36,4)="pool",IF(INDEX($BE$4:$BJ$99,MATCH(BV36,$BE$4:$BE$99,0),6)&lt;1,1,INDEX($BE$4:$BJ$99,MATCH(BV36,$BE$4:$BE$99,0),6)),INDEX(Calculation_Tab,MATCH(BV36,Identifier,0),10)),1)*(1+Calculation!$Q$6),"-")</f>
        <v>-</v>
      </c>
      <c r="CD36" s="509" t="str">
        <f ca="1">IFERROR(INDEX(Cluster!AC:AD,MATCH(IF(LEFT(BV36,4)="Pool",INDEX(Cluster!$D$29:$AA$412,MATCH(INDEX(Calculation_Tab,MATCH(INDEX($BE$4:$BJ$99,MATCH(BV36,$BE$4:$BE$99,0),3),Flow_Cell_Lane,0),3),Cluster!$F$29:$F$412,0),24),INDEX(Cluster!$D$29:$AA$412,MATCH(BV36,Cluster!$F$29:$F$412,0),24)),Cluster!AC:AC,0),2),"-")</f>
        <v>-</v>
      </c>
      <c r="CE36" s="378" t="str">
        <f ca="1">IFERROR(IF(BV36&lt;&gt;"-",Calculation!$AK$6,"-"),"-")</f>
        <v>-</v>
      </c>
      <c r="CF36" s="378" t="str">
        <f ca="1">IF(OR(LEFT(ListAndConversion!BW36,3)="Dil",LEFT(ListAndConversion!BW36,3)="Poo"),ListAndConversion!$BT$4,IF(LEFT(ListAndConversion!BW36,3)="Sou",INDEX(ListAndConversion!$AT$3:$AV$387,MATCH(ListAndConversion!BV36,ListAndConversion!$AV$3:$AV$387,0),1),"-"))</f>
        <v>-</v>
      </c>
      <c r="CG36" s="498" t="str">
        <f ca="1">IF(OR(LEFT(ListAndConversion!BW36,3)="Dil",LEFT(ListAndConversion!BW36,3)="Poo"),ListAndConversion!BU36,IF(LEFT(ListAndConversion!BW36,3)="Sou",INDEX(ListAndConversion!$AT$4:$AV$387,MATCH(ListAndConversion!BV36,ListAndConversion!$AV$4:$AV$387,0),2),"-"))</f>
        <v>-</v>
      </c>
      <c r="CH36" s="530"/>
      <c r="CI36" s="487" t="str">
        <f t="shared" ca="1" si="19"/>
        <v>-</v>
      </c>
      <c r="CJ36" s="378" t="str">
        <f t="shared" ca="1" si="30"/>
        <v>-</v>
      </c>
      <c r="CK36" s="378" t="str">
        <f t="shared" ca="1" si="30"/>
        <v>-</v>
      </c>
      <c r="CL36" s="378" t="str">
        <f t="shared" ca="1" si="30"/>
        <v>-</v>
      </c>
      <c r="CM36" s="378" t="str">
        <f t="shared" ca="1" si="30"/>
        <v>-</v>
      </c>
      <c r="CN36" s="378" t="str">
        <f t="shared" ca="1" si="30"/>
        <v>-</v>
      </c>
      <c r="CO36" s="378" t="str">
        <f t="shared" ca="1" si="30"/>
        <v>-</v>
      </c>
      <c r="CP36" s="378" t="str">
        <f t="shared" ca="1" si="30"/>
        <v>-</v>
      </c>
      <c r="CQ36" s="378" t="str">
        <f t="shared" ca="1" si="30"/>
        <v>-</v>
      </c>
      <c r="CR36" s="510" t="str">
        <f ca="1">IFERROR(IF(LEFT(BW36,3)="Poo",INDEX($BE$4:$BJ$99,MATCH(CI36,$BG$4:$BG$99,0),6)*((15/50))*Calculation!$AK$6,INDEX(Calculation_Tab,MATCH(BV36,Identifier,0),10)/(IF(LEN(INDEX(Calculation_Tab,MATCH(BV36,Identifier,0),9))&gt;8,LEN(INDEX(Calculation_Tab,MATCH(BV36,Identifier,0),9))-8,1))*((15/50)*Calculation!$AK$6)),"-")</f>
        <v>-</v>
      </c>
      <c r="CS36" s="498" t="str">
        <f ca="1">IF(CI36="-","-",IF(COUNTIF($CI$3:CI36,CI36)&gt;1,0,IFERROR((35/50)*Calculation!$AK$6,"-")))</f>
        <v>-</v>
      </c>
    </row>
    <row r="37" spans="4:97" x14ac:dyDescent="0.5">
      <c r="D37" s="487" t="e">
        <f t="shared" si="0"/>
        <v>#DIV/0!</v>
      </c>
      <c r="E37" s="496" t="e">
        <f t="array" ref="E37">IF(IF((ROW(E37)-3)&lt;(ListAndConversion!$A$15),INDEX(Flow_Cell_Lane,MIN(IF(COUNTIF($E$2:E36,Flow_Cell_Lane)=0,ROW(Flow_Cell_Lane)-9))),"-")="","-",IF((ROW(E37)-3)&lt;(ListAndConversion!$A$15),INDEX(Flow_Cell_Lane,MIN(IF(COUNTIF($E$2:E36,Flow_Cell_Lane)=0,ROW(Flow_Cell_Lane)-9))),"-"))</f>
        <v>#DIV/0!</v>
      </c>
      <c r="F37" s="378" t="e">
        <f t="shared" si="1"/>
        <v>#DIV/0!</v>
      </c>
      <c r="G37" s="378" t="e">
        <f t="shared" si="29"/>
        <v>#DIV/0!</v>
      </c>
      <c r="H37" s="378" t="e">
        <f t="shared" si="29"/>
        <v>#DIV/0!</v>
      </c>
      <c r="I37" s="378" t="e">
        <f t="shared" si="29"/>
        <v>#DIV/0!</v>
      </c>
      <c r="J37" s="378" t="e">
        <f t="shared" si="29"/>
        <v>#DIV/0!</v>
      </c>
      <c r="K37" s="378" t="e">
        <f t="shared" si="29"/>
        <v>#DIV/0!</v>
      </c>
      <c r="L37" s="378" t="e">
        <f t="shared" si="29"/>
        <v>#DIV/0!</v>
      </c>
      <c r="M37" s="378" t="e">
        <f t="shared" si="29"/>
        <v>#DIV/0!</v>
      </c>
      <c r="N37" s="497" t="e">
        <f t="shared" si="3"/>
        <v>#DIV/0!</v>
      </c>
      <c r="O37" s="497" t="str">
        <f t="array" ref="O37">IFERROR(INDEX(Calculation!I:AN,MATCH(ListAndConversion!E37,Calculation!I:I,0),31),"-")</f>
        <v>-</v>
      </c>
      <c r="P37" s="498">
        <f>IF(COUNTIFS(Calculation!$I$10:$I$393,E37,Direct_Denaturation,"-")&lt;&gt;1,COUNTIFS(Calculation!$I$10:$I$393,E37,Direct_Denaturation,"-"),0)</f>
        <v>0</v>
      </c>
      <c r="Q37" s="378"/>
      <c r="R37" s="487" t="e">
        <f t="array" ref="R37">IF(IF((ROW(R37)-3)&lt;(Calculation!$H$6),INDEX(Flow_Cell,MIN(IF(COUNTIF($R$2:R36,Flow_Cell)=0,ROW(Flow_Cell)-9))),"-")="","-",IF((ROW(R37)-3)&lt;(Calculation!$H$6),INDEX(Flow_Cell,MIN(IF(COUNTIF($R$2:R36,Flow_Cell)=0,ROW(Flow_Cell)-9))),"-"))</f>
        <v>#DIV/0!</v>
      </c>
      <c r="S37" s="378" t="e">
        <f t="shared" si="31"/>
        <v>#DIV/0!</v>
      </c>
      <c r="T37" s="378">
        <v>3</v>
      </c>
      <c r="U37" s="498">
        <v>35</v>
      </c>
      <c r="V37" s="487">
        <v>34</v>
      </c>
      <c r="W37" s="497" t="s">
        <v>287</v>
      </c>
      <c r="X37" s="497" t="s">
        <v>355</v>
      </c>
      <c r="Y37" s="378">
        <v>34</v>
      </c>
      <c r="Z37" s="378" t="str">
        <f t="shared" ca="1" si="32"/>
        <v>-</v>
      </c>
      <c r="AA37" s="508" t="str">
        <f t="array" aca="1" ref="AA37" ca="1">IFERROR(INDEX(Calculation_Tab,SMALL(ROW(Sample_Intermediate_Dil)*(Sample_Intermediate_Dil&lt;&gt;"-"),COUNTIF(Sample_Intermediate_Dil,"-")+ROW()-3)-9,5),"-")</f>
        <v>-</v>
      </c>
      <c r="AB37" s="378" t="str">
        <f t="array" aca="1" ref="AB37" ca="1">IFERROR(INDEX($A$3:$B$12,MATCH(INDEX(Calculation_Tab,SMALL(ROW(Sample_Intermediate_Dil)*(Sample_Intermediate_Dil&lt;&gt;"-"),COUNTIF(Sample_Intermediate_Dil,"-")+ROW()-3)-9,5),$A$3:$A$12,0),2),"-")</f>
        <v>-</v>
      </c>
      <c r="AC37" s="509" t="str">
        <f t="array" aca="1" ref="AC37" ca="1">IFERROR(INDEX(Coordinate,MATCH(INDEX(Calculation_Tab,SMALL(ROW(Sample_Intermediate_Dil)*(Sample_Intermediate_Dil&lt;&gt;"-"),COUNTIF(Sample_Intermediate_Dil,"-")+ROW()-3)-9,6),$X$4:$X$99,0),2),"-")</f>
        <v>-</v>
      </c>
      <c r="AD37" s="510" t="str">
        <f t="array" aca="1" ref="AD37" ca="1">IFERROR(INDEX(Calculation_Tab,SMALL(ROW(Sample_Intermediate_Dil)*(Sample_Intermediate_Dil&lt;&gt;"-"),COUNTIF(Sample_Intermediate_Dil,"-")+ROW()-3)-9,24),"-")</f>
        <v>-</v>
      </c>
      <c r="AE37" s="510" t="str">
        <f t="array" aca="1" ref="AE37" ca="1">IFERROR(INDEX(Calculation_Tab,SMALL(ROW(Sample_Intermediate_Dil)*(Sample_Intermediate_Dil&lt;&gt;"-"),COUNTIF(Sample_Intermediate_Dil,"-")+ROW()-3)-9,25),"-")</f>
        <v>-</v>
      </c>
      <c r="AF37" s="510" t="str">
        <f t="array" aca="1" ref="AF37" ca="1">IFERROR(INDEX(Calculation_Tab,SMALL(ROW(Sample_Intermediate_Dil)*(Sample_Intermediate_Dil&lt;&gt;"-"),COUNTIF(Sample_Intermediate_Dil,"-")+ROW()-3)-9,26),"-")</f>
        <v>-</v>
      </c>
      <c r="AG37" s="511" t="str">
        <f t="array" aca="1" ref="AG37" ca="1">IFERROR(INDEX(Calculation_Tab,SMALL(ROW(Sample_Intermediate_Dil)*(Sample_Intermediate_Dil&lt;&gt;"-"),COUNTIF(Sample_Intermediate_Dil,"-")+ROW()-3)-9,27),"-")</f>
        <v>-</v>
      </c>
      <c r="AI37" s="487">
        <v>34</v>
      </c>
      <c r="AJ37" s="497" t="s">
        <v>160</v>
      </c>
      <c r="AK37" s="378">
        <v>34</v>
      </c>
      <c r="AL37" s="378" t="str">
        <f t="shared" ca="1" si="6"/>
        <v>-</v>
      </c>
      <c r="AM37" s="378" t="str">
        <f t="array" aca="1" ref="AM37" ca="1">IFERROR(IF(AI37&lt;=$AB$2,"-",INDEX(Calculation_Tab,SMALL(ROW(Main_Dil)*(Main_Dil&lt;&gt;"-"),COUNTIF(Main_Dil,"-")+ROW()-3-$AB$2)-9,5)),"-")</f>
        <v>-</v>
      </c>
      <c r="AN37" s="378" t="str">
        <f t="array" aca="1" ref="AN37" ca="1">IFERROR(IF(AI37&lt;=$AB$2,"-",INDEX($A$3:$B$12,MATCH(INDEX(Calculation_Tab,SMALL(ROW(Main_Dil)*(Main_Dil&lt;&gt;"-"),COUNTIF(Main_Dil,"-")+ROW()-3-$AB$2)-9,5),$A$3:$A$12,0),2)),"-")</f>
        <v>-</v>
      </c>
      <c r="AO37" s="378" t="str">
        <f t="array" aca="1" ref="AO37" ca="1">IFERROR(IF(AI37&lt;=$AB$2,"-",INDEX(Coordinate,MATCH(INDEX(Calculation_Tab,SMALL(ROW(Main_Dil)*(Main_Dil&lt;&gt;"-"),COUNTIF(Main_Dil,"-")+ROW()-3-$AB$2)-9,6),$X$4:$X$99,0),2)),"-")</f>
        <v>-</v>
      </c>
      <c r="AP37" s="510" t="str">
        <f t="array" aca="1" ref="AP37" ca="1">IFERROR(IF(AI37&lt;=$AB$2,"-",INDEX(Calculation_Tab,SMALL(ROW(Main_Dil)*(Main_Dil&lt;&gt;"-"),COUNTIF(Main_Dil,"-")+ROW()-3-$AB$2)-9,21)),"-")</f>
        <v>-</v>
      </c>
      <c r="AQ37" s="511" t="str">
        <f t="array" aca="1" ref="AQ37" ca="1">IFERROR(IF(AI37&lt;=$AB$2,"-",INDEX(Calculation_Tab,SMALL(ROW(Main_Dil)*(Main_Dil&lt;&gt;"-"),COUNTIF(Main_Dil,"-")+ROW()-3-$AB$2)-9,22)),"-")</f>
        <v>-</v>
      </c>
      <c r="AR37" s="487" t="str">
        <f t="shared" ca="1" si="7"/>
        <v>-</v>
      </c>
      <c r="AS37" s="378">
        <v>34</v>
      </c>
      <c r="AT37" s="497" t="s">
        <v>160</v>
      </c>
      <c r="AU37" s="498">
        <v>34</v>
      </c>
      <c r="AV37" s="378" t="str">
        <f t="shared" ca="1" si="8"/>
        <v>-</v>
      </c>
      <c r="AW37" s="378" t="str">
        <f t="array" aca="1" ref="AW37" ca="1">IFERROR(IF(AS37&lt;=$AB$2+$AN$2,"-",INDEX(Calculation_Tab,SMALL(ROW(Direct_Denaturation)*(Direct_Denaturation&lt;&gt;"-"),COUNTIF(Direct_Denaturation,"-")+ROW()-3-$AB$2-$AN$2)-9,5)),"-")</f>
        <v>-</v>
      </c>
      <c r="AX37" s="378" t="str">
        <f t="array" aca="1" ref="AX37" ca="1">IFERROR(IF(AS37&lt;=$AB$2+$AN$2,"-",INDEX($A$3:$B$12,MATCH(INDEX(Calculation_Tab,SMALL(ROW(Direct_Denaturation)*(Direct_Denaturation&lt;&gt;"-"),COUNTIF(Direct_Denaturation,"-")+ROW()-3-$AB$2-$AN$2)-9,5),$A$3:$A$12,0),2)),"-")</f>
        <v>-</v>
      </c>
      <c r="AY37" s="378" t="str">
        <f t="array" aca="1" ref="AY37" ca="1">IFERROR(IF(AS37&lt;=$AB$2+$AN$2,"-",INDEX(Coordinate,MATCH(INDEX(Calculation_Tab,SMALL(ROW(Direct_Denaturation)*(Direct_Denaturation&lt;&gt;"-"),COUNTIF(Direct_Denaturation,"-")+ROW()-3-$AB$2-$AN$2)-9,6),$X$4:$X$99,0),2)),"-")</f>
        <v>-</v>
      </c>
      <c r="AZ37" s="510" t="str">
        <f t="array" aca="1" ref="AZ37" ca="1">IFERROR(IF(AS37&lt;=$AB$2+$AN$2,"-",INDEX(Calculation_Tab,SMALL(ROW(Direct_Denaturation)*(Direct_Denaturation&lt;&gt;"-"),COUNTIF(Direct_Denaturation,"-")+ROW()-3-$AB$2-$AN$2)-9,32)),"-")</f>
        <v>-</v>
      </c>
      <c r="BA37" s="510" t="str">
        <f t="array" aca="1" ref="BA37" ca="1">IFERROR(IF(AS37&lt;=$AB$2+$AN$2,"-",INDEX(Calculation_Tab,SMALL(ROW(Direct_Denaturation)*(Direct_Denaturation&lt;&gt;"-"),COUNTIF(Direct_Denaturation,"-")+ROW()-3-$AB$2-$AN$2)-9,34)),"-")</f>
        <v>-</v>
      </c>
      <c r="BB37" s="510" t="str">
        <f t="array" aca="1" ref="BB37" ca="1">IFERROR(IF(AS37&lt;=$AB$2+$AN$2,"-",INDEX(Calculation_Tab,SMALL(ROW(Direct_Denaturation)*(Direct_Denaturation&lt;&gt;"-"),COUNTIF(Direct_Denaturation,"-")+ROW()-3-$AB$2-$AN$2)-9,33)),"-")</f>
        <v>-</v>
      </c>
      <c r="BC37" s="510" t="str">
        <f t="array" aca="1" ref="BC37" ca="1">IFERROR(IF(AS37&lt;=$AB$2+$AN$2,"-",INDEX(Calculation_Tab,SMALL(ROW(Direct_Denaturation)*(Direct_Denaturation&lt;&gt;"-"),COUNTIF(Direct_Denaturation,"-")+ROW()-3-$AB$2-$AN$2)-9,35)),"-")</f>
        <v>-</v>
      </c>
      <c r="BD37" s="511" t="str">
        <f t="shared" ca="1" si="9"/>
        <v>-</v>
      </c>
      <c r="BE37" s="494" t="s">
        <v>356</v>
      </c>
      <c r="BF37" s="378">
        <v>34</v>
      </c>
      <c r="BG37" s="515" t="str">
        <v>-</v>
      </c>
      <c r="BH37" s="516" t="str">
        <f>IFERROR(IF((Calculation!$AR$6/INDEX(ListAndConversion!D:P,MATCH(BG37,E:E,0),13))&lt;Calculation!$O$6,INDEX(ListAndConversion!D:P,MATCH(BG37,E:E,0),13)*Calculation!$O$6,Calculation!$AR$6),"-")</f>
        <v>-</v>
      </c>
      <c r="BI37" s="517" t="str">
        <f t="shared" si="33"/>
        <v>-</v>
      </c>
      <c r="BJ37" s="518" t="str">
        <f t="shared" si="34"/>
        <v>-</v>
      </c>
      <c r="BK37" s="378" t="s">
        <v>158</v>
      </c>
      <c r="BL37" s="378">
        <v>34</v>
      </c>
      <c r="BM37" s="487" t="str">
        <f t="array" aca="1" ref="BM37" ca="1">IFERROR(INDEX(Calculation_Tab,SMALL(ROW(ToPool)*(ToPool&lt;&gt;"-"),COUNTIF(ToPool,"-")+ROW()-3)-9,3),"-")</f>
        <v>-</v>
      </c>
      <c r="BN37" s="378" t="str">
        <f t="shared" ca="1" si="12"/>
        <v>-</v>
      </c>
      <c r="BO37" s="378" t="str">
        <f t="shared" ca="1" si="13"/>
        <v>-</v>
      </c>
      <c r="BP37" s="523" t="str">
        <f t="shared" ca="1" si="14"/>
        <v>-</v>
      </c>
      <c r="BQ37" s="378" t="str">
        <f t="array" aca="1" ref="BQ37" ca="1">IFERROR(INDEX(BE:BG,MATCH(INDEX(Calculation_Tab,SMALL(ROW(ToPool)*(ToPool&lt;&gt;"-"),COUNTIF(ToPool,"-")+ROW()-3)-9,9),BG:BG,0),2),"-")</f>
        <v>-</v>
      </c>
      <c r="BR37" s="510" t="str">
        <f t="shared" ca="1" si="15"/>
        <v>-</v>
      </c>
      <c r="BS37" s="511" t="str">
        <f t="shared" ca="1" si="16"/>
        <v>-</v>
      </c>
      <c r="BT37" s="378" t="s">
        <v>164</v>
      </c>
      <c r="BU37" s="487" t="str">
        <f t="shared" ca="1" si="21"/>
        <v>-</v>
      </c>
      <c r="BV37" s="487" t="str">
        <f t="array" aca="1" ref="BV3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7" s="378" t="str">
        <f t="shared" ca="1" si="17"/>
        <v>-</v>
      </c>
      <c r="BX37" s="378" t="str">
        <f t="shared" ca="1" si="18"/>
        <v>-</v>
      </c>
      <c r="BY37" s="510" t="str">
        <f ca="1">IFERROR(ROUND(INDEX(Cluster,MATCH(IF(LEFT(BV37,4)="Pool",INDEX(Cluster,MATCH(INDEX(Calculation_Tab,MATCH(INDEX($BE$4:$BJ$99,MATCH(BV37,$BE$4:$BE$99,0),3),Flow_Cell_Lane,0),3),Cluster!$F$29:$F$412,0),6),BV37),Identifier_Cluster,0),19)*IF(LEFT(BV37,4)="pool",IF(LEN(INDEX($BE$4:$BJ$99,MATCH(BV37,$BE$4:$BE$99,0),3))=10,2,IF(LEN(INDEX($BE$4:$BJ$99,MATCH(BV37,$BE$4:$BE$99,0),3))&gt;10,LEN(INDEX($BE$4:$BJ$99,MATCH(BV37,$BE$4:$BE$99,0),3))-8,1)),1)*IF(LEFT(BV37,4)="pool",IF(INDEX($BE$4:$BJ$99,MATCH(BV37,$BE$4:$BE$99,0),6)&lt;1,1,INDEX($BE$4:$BJ$99,MATCH(BV37,$BE$4:$BE$99,0),6)),INDEX(Calculation_Tab,MATCH(BV37,Identifier,0),10)),1)*(1+Calculation!$Q$6),"-")</f>
        <v>-</v>
      </c>
      <c r="BZ37" s="378" t="str">
        <f ca="1">IFERROR((0.5/50)*CE37/Calculation!$AG$6*(IF(LEFT(BV37,4)="Pool",IF(LEN(INDEX($BE$4:$BJ$99,MATCH(BV37,$BE$4:$BE$99,0),3))=10,2,IF(LEN(INDEX($BE$4:$BJ$99,MATCH(BV37,$BE$4:$BE$99,0),3))&gt;10,LEN(INDEX($BE$4:$BJ$99,MATCH(BV37,$BE$4:$BE$99,0),3))-8,1)),IF(INDEX(Calculation_Tab,MATCH(BV37,Identifier,0),10)&gt;1,INDEX(Calculation_Tab,MATCH(BV37,Identifier,0),10),1)))*(1+Calculation!$Q$6),"-")</f>
        <v>-</v>
      </c>
      <c r="CA37" s="510" t="str">
        <f ca="1">IFERROR(IF((BZ37*Calculation!$AG$6/0.05)-SUM(BY37:BZ37,CC37)&gt;0,(BZ37*Calculation!$AG$6/0.05)-SUM(BY37:BZ37,CC37),0),"-")</f>
        <v>-</v>
      </c>
      <c r="CB37" s="510" t="str">
        <f ca="1">IFERROR(5/50*CE37*(IF(LEFT(BV37,4)="Pool",IF(LEN(INDEX($BE$4:$BJ$99,MATCH(BV37,$BE$4:$BE$99,0),3))=10,2,IF(LEN(INDEX($BE$4:$BJ$99,MATCH(BV37,$BE$4:$BE$99,0),3))&gt;10,LEN(INDEX($BE$4:$BJ$99,MATCH(BV37,$BE$4:$BE$99,0),3))-8,1)),IF(INDEX(Calculation_Tab,MATCH(BV37,Identifier,0),10)&gt;1,INDEX(Calculation_Tab,MATCH(BV37,Identifier,0),10),1)))*(1+Calculation!$Q$6),"-")</f>
        <v>-</v>
      </c>
      <c r="CC37" s="508" t="str">
        <f ca="1">IFERROR(ROUND(INDEX(Cluster,MATCH(IF(LEFT(BV37,4)="Pool",INDEX(Cluster,MATCH(INDEX(Calculation_Tab,MATCH(INDEX($BE$4:$BJ$99,MATCH(BV37,$BE$4:$BE$99,0),3),Flow_Cell_Lane,0),3),Cluster!$F$29:$F$412,0),6),BV37),Identifier_Cluster,0),20)*IF(LEFT(BV37,4)="pool",IF(LEN(INDEX($BE$4:$BJ$99,MATCH(BV37,$BE$4:$BE$99,0),3))=10,2,IF(LEN(INDEX($BE$4:$BJ$99,MATCH(BV37,$BE$4:$BE$99,0),3))&gt;10,LEN(INDEX($BE$4:$BJ$99,MATCH(BV37,$BE$4:$BE$99,0),3))-8,1)),1)*IF(LEFT(BV37,4)="pool",IF(INDEX($BE$4:$BJ$99,MATCH(BV37,$BE$4:$BE$99,0),6)&lt;1,1,INDEX($BE$4:$BJ$99,MATCH(BV37,$BE$4:$BE$99,0),6)),INDEX(Calculation_Tab,MATCH(BV37,Identifier,0),10)),1)*(1+Calculation!$Q$6),"-")</f>
        <v>-</v>
      </c>
      <c r="CD37" s="509" t="str">
        <f ca="1">IFERROR(INDEX(Cluster!AC:AD,MATCH(IF(LEFT(BV37,4)="Pool",INDEX(Cluster!$D$29:$AA$412,MATCH(INDEX(Calculation_Tab,MATCH(INDEX($BE$4:$BJ$99,MATCH(BV37,$BE$4:$BE$99,0),3),Flow_Cell_Lane,0),3),Cluster!$F$29:$F$412,0),24),INDEX(Cluster!$D$29:$AA$412,MATCH(BV37,Cluster!$F$29:$F$412,0),24)),Cluster!AC:AC,0),2),"-")</f>
        <v>-</v>
      </c>
      <c r="CE37" s="378" t="str">
        <f ca="1">IFERROR(IF(BV37&lt;&gt;"-",Calculation!$AK$6,"-"),"-")</f>
        <v>-</v>
      </c>
      <c r="CF37" s="378" t="str">
        <f ca="1">IF(OR(LEFT(ListAndConversion!BW37,3)="Dil",LEFT(ListAndConversion!BW37,3)="Poo"),ListAndConversion!$BT$4,IF(LEFT(ListAndConversion!BW37,3)="Sou",INDEX(ListAndConversion!$AT$3:$AV$387,MATCH(ListAndConversion!BV37,ListAndConversion!$AV$3:$AV$387,0),1),"-"))</f>
        <v>-</v>
      </c>
      <c r="CG37" s="498" t="str">
        <f ca="1">IF(OR(LEFT(ListAndConversion!BW37,3)="Dil",LEFT(ListAndConversion!BW37,3)="Poo"),ListAndConversion!BU37,IF(LEFT(ListAndConversion!BW37,3)="Sou",INDEX(ListAndConversion!$AT$4:$AV$387,MATCH(ListAndConversion!BV37,ListAndConversion!$AV$4:$AV$387,0),2),"-"))</f>
        <v>-</v>
      </c>
      <c r="CH37" s="530"/>
      <c r="CI37" s="487" t="str">
        <f t="shared" ca="1" si="19"/>
        <v>-</v>
      </c>
      <c r="CJ37" s="378" t="str">
        <f t="shared" ca="1" si="30"/>
        <v>-</v>
      </c>
      <c r="CK37" s="378" t="str">
        <f t="shared" ca="1" si="30"/>
        <v>-</v>
      </c>
      <c r="CL37" s="378" t="str">
        <f t="shared" ca="1" si="30"/>
        <v>-</v>
      </c>
      <c r="CM37" s="378" t="str">
        <f t="shared" ca="1" si="30"/>
        <v>-</v>
      </c>
      <c r="CN37" s="378" t="str">
        <f t="shared" ca="1" si="30"/>
        <v>-</v>
      </c>
      <c r="CO37" s="378" t="str">
        <f t="shared" ca="1" si="30"/>
        <v>-</v>
      </c>
      <c r="CP37" s="378" t="str">
        <f t="shared" ca="1" si="30"/>
        <v>-</v>
      </c>
      <c r="CQ37" s="378" t="str">
        <f t="shared" ca="1" si="30"/>
        <v>-</v>
      </c>
      <c r="CR37" s="510" t="str">
        <f ca="1">IFERROR(IF(LEFT(BW37,3)="Poo",INDEX($BE$4:$BJ$99,MATCH(CI37,$BG$4:$BG$99,0),6)*((15/50))*Calculation!$AK$6,INDEX(Calculation_Tab,MATCH(BV37,Identifier,0),10)/(IF(LEN(INDEX(Calculation_Tab,MATCH(BV37,Identifier,0),9))&gt;8,LEN(INDEX(Calculation_Tab,MATCH(BV37,Identifier,0),9))-8,1))*((15/50)*Calculation!$AK$6)),"-")</f>
        <v>-</v>
      </c>
      <c r="CS37" s="498" t="str">
        <f ca="1">IF(CI37="-","-",IF(COUNTIF($CI$3:CI37,CI37)&gt;1,0,IFERROR((35/50)*Calculation!$AK$6,"-")))</f>
        <v>-</v>
      </c>
    </row>
    <row r="38" spans="4:97" x14ac:dyDescent="0.5">
      <c r="D38" s="487" t="e">
        <f t="shared" si="0"/>
        <v>#DIV/0!</v>
      </c>
      <c r="E38" s="496" t="e">
        <f t="array" ref="E38">IF(IF((ROW(E38)-3)&lt;(ListAndConversion!$A$15),INDEX(Flow_Cell_Lane,MIN(IF(COUNTIF($E$2:E37,Flow_Cell_Lane)=0,ROW(Flow_Cell_Lane)-9))),"-")="","-",IF((ROW(E38)-3)&lt;(ListAndConversion!$A$15),INDEX(Flow_Cell_Lane,MIN(IF(COUNTIF($E$2:E37,Flow_Cell_Lane)=0,ROW(Flow_Cell_Lane)-9))),"-"))</f>
        <v>#DIV/0!</v>
      </c>
      <c r="F38" s="378" t="e">
        <f t="shared" si="1"/>
        <v>#DIV/0!</v>
      </c>
      <c r="G38" s="378" t="e">
        <f t="shared" si="29"/>
        <v>#DIV/0!</v>
      </c>
      <c r="H38" s="378" t="e">
        <f t="shared" si="29"/>
        <v>#DIV/0!</v>
      </c>
      <c r="I38" s="378" t="e">
        <f t="shared" si="29"/>
        <v>#DIV/0!</v>
      </c>
      <c r="J38" s="378" t="e">
        <f t="shared" si="29"/>
        <v>#DIV/0!</v>
      </c>
      <c r="K38" s="378" t="e">
        <f t="shared" si="29"/>
        <v>#DIV/0!</v>
      </c>
      <c r="L38" s="378" t="e">
        <f t="shared" si="29"/>
        <v>#DIV/0!</v>
      </c>
      <c r="M38" s="378" t="e">
        <f t="shared" si="29"/>
        <v>#DIV/0!</v>
      </c>
      <c r="N38" s="497" t="e">
        <f t="shared" si="3"/>
        <v>#DIV/0!</v>
      </c>
      <c r="O38" s="497" t="str">
        <f t="array" ref="O38">IFERROR(INDEX(Calculation!I:AN,MATCH(ListAndConversion!E38,Calculation!I:I,0),31),"-")</f>
        <v>-</v>
      </c>
      <c r="P38" s="498">
        <f>IF(COUNTIFS(Calculation!$I$10:$I$393,E38,Direct_Denaturation,"-")&lt;&gt;1,COUNTIFS(Calculation!$I$10:$I$393,E38,Direct_Denaturation,"-"),0)</f>
        <v>0</v>
      </c>
      <c r="Q38" s="378"/>
      <c r="R38" s="487" t="e">
        <f t="array" ref="R38">IF(IF((ROW(R38)-3)&lt;(Calculation!$H$6),INDEX(Flow_Cell,MIN(IF(COUNTIF($R$2:R37,Flow_Cell)=0,ROW(Flow_Cell)-9))),"-")="","-",IF((ROW(R38)-3)&lt;(Calculation!$H$6),INDEX(Flow_Cell,MIN(IF(COUNTIF($R$2:R37,Flow_Cell)=0,ROW(Flow_Cell)-9))),"-"))</f>
        <v>#DIV/0!</v>
      </c>
      <c r="S38" s="378" t="e">
        <f t="shared" si="31"/>
        <v>#DIV/0!</v>
      </c>
      <c r="T38" s="378">
        <v>4</v>
      </c>
      <c r="U38" s="498">
        <v>36</v>
      </c>
      <c r="V38" s="487">
        <v>35</v>
      </c>
      <c r="W38" s="497" t="s">
        <v>287</v>
      </c>
      <c r="X38" s="497" t="s">
        <v>357</v>
      </c>
      <c r="Y38" s="378">
        <v>35</v>
      </c>
      <c r="Z38" s="378" t="str">
        <f t="shared" ca="1" si="32"/>
        <v>-</v>
      </c>
      <c r="AA38" s="508" t="str">
        <f t="array" aca="1" ref="AA38" ca="1">IFERROR(INDEX(Calculation_Tab,SMALL(ROW(Sample_Intermediate_Dil)*(Sample_Intermediate_Dil&lt;&gt;"-"),COUNTIF(Sample_Intermediate_Dil,"-")+ROW()-3)-9,5),"-")</f>
        <v>-</v>
      </c>
      <c r="AB38" s="378" t="str">
        <f t="array" aca="1" ref="AB38" ca="1">IFERROR(INDEX($A$3:$B$12,MATCH(INDEX(Calculation_Tab,SMALL(ROW(Sample_Intermediate_Dil)*(Sample_Intermediate_Dil&lt;&gt;"-"),COUNTIF(Sample_Intermediate_Dil,"-")+ROW()-3)-9,5),$A$3:$A$12,0),2),"-")</f>
        <v>-</v>
      </c>
      <c r="AC38" s="509" t="str">
        <f t="array" aca="1" ref="AC38" ca="1">IFERROR(INDEX(Coordinate,MATCH(INDEX(Calculation_Tab,SMALL(ROW(Sample_Intermediate_Dil)*(Sample_Intermediate_Dil&lt;&gt;"-"),COUNTIF(Sample_Intermediate_Dil,"-")+ROW()-3)-9,6),$X$4:$X$99,0),2),"-")</f>
        <v>-</v>
      </c>
      <c r="AD38" s="510" t="str">
        <f t="array" aca="1" ref="AD38" ca="1">IFERROR(INDEX(Calculation_Tab,SMALL(ROW(Sample_Intermediate_Dil)*(Sample_Intermediate_Dil&lt;&gt;"-"),COUNTIF(Sample_Intermediate_Dil,"-")+ROW()-3)-9,24),"-")</f>
        <v>-</v>
      </c>
      <c r="AE38" s="510" t="str">
        <f t="array" aca="1" ref="AE38" ca="1">IFERROR(INDEX(Calculation_Tab,SMALL(ROW(Sample_Intermediate_Dil)*(Sample_Intermediate_Dil&lt;&gt;"-"),COUNTIF(Sample_Intermediate_Dil,"-")+ROW()-3)-9,25),"-")</f>
        <v>-</v>
      </c>
      <c r="AF38" s="510" t="str">
        <f t="array" aca="1" ref="AF38" ca="1">IFERROR(INDEX(Calculation_Tab,SMALL(ROW(Sample_Intermediate_Dil)*(Sample_Intermediate_Dil&lt;&gt;"-"),COUNTIF(Sample_Intermediate_Dil,"-")+ROW()-3)-9,26),"-")</f>
        <v>-</v>
      </c>
      <c r="AG38" s="511" t="str">
        <f t="array" aca="1" ref="AG38" ca="1">IFERROR(INDEX(Calculation_Tab,SMALL(ROW(Sample_Intermediate_Dil)*(Sample_Intermediate_Dil&lt;&gt;"-"),COUNTIF(Sample_Intermediate_Dil,"-")+ROW()-3)-9,27),"-")</f>
        <v>-</v>
      </c>
      <c r="AI38" s="487">
        <v>35</v>
      </c>
      <c r="AJ38" s="497" t="s">
        <v>160</v>
      </c>
      <c r="AK38" s="378">
        <v>35</v>
      </c>
      <c r="AL38" s="378" t="str">
        <f t="shared" ca="1" si="6"/>
        <v>-</v>
      </c>
      <c r="AM38" s="378" t="str">
        <f t="array" aca="1" ref="AM38" ca="1">IFERROR(IF(AI38&lt;=$AB$2,"-",INDEX(Calculation_Tab,SMALL(ROW(Main_Dil)*(Main_Dil&lt;&gt;"-"),COUNTIF(Main_Dil,"-")+ROW()-3-$AB$2)-9,5)),"-")</f>
        <v>-</v>
      </c>
      <c r="AN38" s="378" t="str">
        <f t="array" aca="1" ref="AN38" ca="1">IFERROR(IF(AI38&lt;=$AB$2,"-",INDEX($A$3:$B$12,MATCH(INDEX(Calculation_Tab,SMALL(ROW(Main_Dil)*(Main_Dil&lt;&gt;"-"),COUNTIF(Main_Dil,"-")+ROW()-3-$AB$2)-9,5),$A$3:$A$12,0),2)),"-")</f>
        <v>-</v>
      </c>
      <c r="AO38" s="378" t="str">
        <f t="array" aca="1" ref="AO38" ca="1">IFERROR(IF(AI38&lt;=$AB$2,"-",INDEX(Coordinate,MATCH(INDEX(Calculation_Tab,SMALL(ROW(Main_Dil)*(Main_Dil&lt;&gt;"-"),COUNTIF(Main_Dil,"-")+ROW()-3-$AB$2)-9,6),$X$4:$X$99,0),2)),"-")</f>
        <v>-</v>
      </c>
      <c r="AP38" s="510" t="str">
        <f t="array" aca="1" ref="AP38" ca="1">IFERROR(IF(AI38&lt;=$AB$2,"-",INDEX(Calculation_Tab,SMALL(ROW(Main_Dil)*(Main_Dil&lt;&gt;"-"),COUNTIF(Main_Dil,"-")+ROW()-3-$AB$2)-9,21)),"-")</f>
        <v>-</v>
      </c>
      <c r="AQ38" s="511" t="str">
        <f t="array" aca="1" ref="AQ38" ca="1">IFERROR(IF(AI38&lt;=$AB$2,"-",INDEX(Calculation_Tab,SMALL(ROW(Main_Dil)*(Main_Dil&lt;&gt;"-"),COUNTIF(Main_Dil,"-")+ROW()-3-$AB$2)-9,22)),"-")</f>
        <v>-</v>
      </c>
      <c r="AR38" s="487" t="str">
        <f t="shared" ca="1" si="7"/>
        <v>-</v>
      </c>
      <c r="AS38" s="378">
        <v>35</v>
      </c>
      <c r="AT38" s="497" t="s">
        <v>160</v>
      </c>
      <c r="AU38" s="498">
        <v>35</v>
      </c>
      <c r="AV38" s="378" t="str">
        <f t="shared" ca="1" si="8"/>
        <v>-</v>
      </c>
      <c r="AW38" s="378" t="str">
        <f t="array" aca="1" ref="AW38" ca="1">IFERROR(IF(AS38&lt;=$AB$2+$AN$2,"-",INDEX(Calculation_Tab,SMALL(ROW(Direct_Denaturation)*(Direct_Denaturation&lt;&gt;"-"),COUNTIF(Direct_Denaturation,"-")+ROW()-3-$AB$2-$AN$2)-9,5)),"-")</f>
        <v>-</v>
      </c>
      <c r="AX38" s="378" t="str">
        <f t="array" aca="1" ref="AX38" ca="1">IFERROR(IF(AS38&lt;=$AB$2+$AN$2,"-",INDEX($A$3:$B$12,MATCH(INDEX(Calculation_Tab,SMALL(ROW(Direct_Denaturation)*(Direct_Denaturation&lt;&gt;"-"),COUNTIF(Direct_Denaturation,"-")+ROW()-3-$AB$2-$AN$2)-9,5),$A$3:$A$12,0),2)),"-")</f>
        <v>-</v>
      </c>
      <c r="AY38" s="378" t="str">
        <f t="array" aca="1" ref="AY38" ca="1">IFERROR(IF(AS38&lt;=$AB$2+$AN$2,"-",INDEX(Coordinate,MATCH(INDEX(Calculation_Tab,SMALL(ROW(Direct_Denaturation)*(Direct_Denaturation&lt;&gt;"-"),COUNTIF(Direct_Denaturation,"-")+ROW()-3-$AB$2-$AN$2)-9,6),$X$4:$X$99,0),2)),"-")</f>
        <v>-</v>
      </c>
      <c r="AZ38" s="510" t="str">
        <f t="array" aca="1" ref="AZ38" ca="1">IFERROR(IF(AS38&lt;=$AB$2+$AN$2,"-",INDEX(Calculation_Tab,SMALL(ROW(Direct_Denaturation)*(Direct_Denaturation&lt;&gt;"-"),COUNTIF(Direct_Denaturation,"-")+ROW()-3-$AB$2-$AN$2)-9,32)),"-")</f>
        <v>-</v>
      </c>
      <c r="BA38" s="510" t="str">
        <f t="array" aca="1" ref="BA38" ca="1">IFERROR(IF(AS38&lt;=$AB$2+$AN$2,"-",INDEX(Calculation_Tab,SMALL(ROW(Direct_Denaturation)*(Direct_Denaturation&lt;&gt;"-"),COUNTIF(Direct_Denaturation,"-")+ROW()-3-$AB$2-$AN$2)-9,34)),"-")</f>
        <v>-</v>
      </c>
      <c r="BB38" s="510" t="str">
        <f t="array" aca="1" ref="BB38" ca="1">IFERROR(IF(AS38&lt;=$AB$2+$AN$2,"-",INDEX(Calculation_Tab,SMALL(ROW(Direct_Denaturation)*(Direct_Denaturation&lt;&gt;"-"),COUNTIF(Direct_Denaturation,"-")+ROW()-3-$AB$2-$AN$2)-9,33)),"-")</f>
        <v>-</v>
      </c>
      <c r="BC38" s="510" t="str">
        <f t="array" aca="1" ref="BC38" ca="1">IFERROR(IF(AS38&lt;=$AB$2+$AN$2,"-",INDEX(Calculation_Tab,SMALL(ROW(Direct_Denaturation)*(Direct_Denaturation&lt;&gt;"-"),COUNTIF(Direct_Denaturation,"-")+ROW()-3-$AB$2-$AN$2)-9,35)),"-")</f>
        <v>-</v>
      </c>
      <c r="BD38" s="511" t="str">
        <f t="shared" ca="1" si="9"/>
        <v>-</v>
      </c>
      <c r="BE38" s="494" t="s">
        <v>358</v>
      </c>
      <c r="BF38" s="378">
        <v>35</v>
      </c>
      <c r="BG38" s="515" t="str">
        <v>-</v>
      </c>
      <c r="BH38" s="516" t="str">
        <f>IFERROR(IF((Calculation!$AR$6/INDEX(ListAndConversion!D:P,MATCH(BG38,E:E,0),13))&lt;Calculation!$O$6,INDEX(ListAndConversion!D:P,MATCH(BG38,E:E,0),13)*Calculation!$O$6,Calculation!$AR$6),"-")</f>
        <v>-</v>
      </c>
      <c r="BI38" s="517" t="str">
        <f t="shared" si="33"/>
        <v>-</v>
      </c>
      <c r="BJ38" s="518" t="str">
        <f t="shared" si="34"/>
        <v>-</v>
      </c>
      <c r="BK38" s="378" t="s">
        <v>158</v>
      </c>
      <c r="BL38" s="378">
        <v>35</v>
      </c>
      <c r="BM38" s="487" t="str">
        <f t="array" aca="1" ref="BM38" ca="1">IFERROR(INDEX(Calculation_Tab,SMALL(ROW(ToPool)*(ToPool&lt;&gt;"-"),COUNTIF(ToPool,"-")+ROW()-3)-9,3),"-")</f>
        <v>-</v>
      </c>
      <c r="BN38" s="378" t="str">
        <f t="shared" ca="1" si="12"/>
        <v>-</v>
      </c>
      <c r="BO38" s="378" t="str">
        <f t="shared" ca="1" si="13"/>
        <v>-</v>
      </c>
      <c r="BP38" s="523" t="str">
        <f t="shared" ca="1" si="14"/>
        <v>-</v>
      </c>
      <c r="BQ38" s="378" t="str">
        <f t="array" aca="1" ref="BQ38" ca="1">IFERROR(INDEX(BE:BG,MATCH(INDEX(Calculation_Tab,SMALL(ROW(ToPool)*(ToPool&lt;&gt;"-"),COUNTIF(ToPool,"-")+ROW()-3)-9,9),BG:BG,0),2),"-")</f>
        <v>-</v>
      </c>
      <c r="BR38" s="510" t="str">
        <f t="shared" ca="1" si="15"/>
        <v>-</v>
      </c>
      <c r="BS38" s="511" t="str">
        <f t="shared" ca="1" si="16"/>
        <v>-</v>
      </c>
      <c r="BT38" s="378" t="s">
        <v>164</v>
      </c>
      <c r="BU38" s="487" t="str">
        <f t="shared" ca="1" si="21"/>
        <v>-</v>
      </c>
      <c r="BV38" s="487" t="str">
        <f t="array" aca="1" ref="BV3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8" s="378" t="str">
        <f t="shared" ca="1" si="17"/>
        <v>-</v>
      </c>
      <c r="BX38" s="378" t="str">
        <f t="shared" ca="1" si="18"/>
        <v>-</v>
      </c>
      <c r="BY38" s="510" t="str">
        <f ca="1">IFERROR(ROUND(INDEX(Cluster,MATCH(IF(LEFT(BV38,4)="Pool",INDEX(Cluster,MATCH(INDEX(Calculation_Tab,MATCH(INDEX($BE$4:$BJ$99,MATCH(BV38,$BE$4:$BE$99,0),3),Flow_Cell_Lane,0),3),Cluster!$F$29:$F$412,0),6),BV38),Identifier_Cluster,0),19)*IF(LEFT(BV38,4)="pool",IF(LEN(INDEX($BE$4:$BJ$99,MATCH(BV38,$BE$4:$BE$99,0),3))=10,2,IF(LEN(INDEX($BE$4:$BJ$99,MATCH(BV38,$BE$4:$BE$99,0),3))&gt;10,LEN(INDEX($BE$4:$BJ$99,MATCH(BV38,$BE$4:$BE$99,0),3))-8,1)),1)*IF(LEFT(BV38,4)="pool",IF(INDEX($BE$4:$BJ$99,MATCH(BV38,$BE$4:$BE$99,0),6)&lt;1,1,INDEX($BE$4:$BJ$99,MATCH(BV38,$BE$4:$BE$99,0),6)),INDEX(Calculation_Tab,MATCH(BV38,Identifier,0),10)),1)*(1+Calculation!$Q$6),"-")</f>
        <v>-</v>
      </c>
      <c r="BZ38" s="378" t="str">
        <f ca="1">IFERROR((0.5/50)*CE38/Calculation!$AG$6*(IF(LEFT(BV38,4)="Pool",IF(LEN(INDEX($BE$4:$BJ$99,MATCH(BV38,$BE$4:$BE$99,0),3))=10,2,IF(LEN(INDEX($BE$4:$BJ$99,MATCH(BV38,$BE$4:$BE$99,0),3))&gt;10,LEN(INDEX($BE$4:$BJ$99,MATCH(BV38,$BE$4:$BE$99,0),3))-8,1)),IF(INDEX(Calculation_Tab,MATCH(BV38,Identifier,0),10)&gt;1,INDEX(Calculation_Tab,MATCH(BV38,Identifier,0),10),1)))*(1+Calculation!$Q$6),"-")</f>
        <v>-</v>
      </c>
      <c r="CA38" s="510" t="str">
        <f ca="1">IFERROR(IF((BZ38*Calculation!$AG$6/0.05)-SUM(BY38:BZ38,CC38)&gt;0,(BZ38*Calculation!$AG$6/0.05)-SUM(BY38:BZ38,CC38),0),"-")</f>
        <v>-</v>
      </c>
      <c r="CB38" s="510" t="str">
        <f ca="1">IFERROR(5/50*CE38*(IF(LEFT(BV38,4)="Pool",IF(LEN(INDEX($BE$4:$BJ$99,MATCH(BV38,$BE$4:$BE$99,0),3))=10,2,IF(LEN(INDEX($BE$4:$BJ$99,MATCH(BV38,$BE$4:$BE$99,0),3))&gt;10,LEN(INDEX($BE$4:$BJ$99,MATCH(BV38,$BE$4:$BE$99,0),3))-8,1)),IF(INDEX(Calculation_Tab,MATCH(BV38,Identifier,0),10)&gt;1,INDEX(Calculation_Tab,MATCH(BV38,Identifier,0),10),1)))*(1+Calculation!$Q$6),"-")</f>
        <v>-</v>
      </c>
      <c r="CC38" s="508" t="str">
        <f ca="1">IFERROR(ROUND(INDEX(Cluster,MATCH(IF(LEFT(BV38,4)="Pool",INDEX(Cluster,MATCH(INDEX(Calculation_Tab,MATCH(INDEX($BE$4:$BJ$99,MATCH(BV38,$BE$4:$BE$99,0),3),Flow_Cell_Lane,0),3),Cluster!$F$29:$F$412,0),6),BV38),Identifier_Cluster,0),20)*IF(LEFT(BV38,4)="pool",IF(LEN(INDEX($BE$4:$BJ$99,MATCH(BV38,$BE$4:$BE$99,0),3))=10,2,IF(LEN(INDEX($BE$4:$BJ$99,MATCH(BV38,$BE$4:$BE$99,0),3))&gt;10,LEN(INDEX($BE$4:$BJ$99,MATCH(BV38,$BE$4:$BE$99,0),3))-8,1)),1)*IF(LEFT(BV38,4)="pool",IF(INDEX($BE$4:$BJ$99,MATCH(BV38,$BE$4:$BE$99,0),6)&lt;1,1,INDEX($BE$4:$BJ$99,MATCH(BV38,$BE$4:$BE$99,0),6)),INDEX(Calculation_Tab,MATCH(BV38,Identifier,0),10)),1)*(1+Calculation!$Q$6),"-")</f>
        <v>-</v>
      </c>
      <c r="CD38" s="509" t="str">
        <f ca="1">IFERROR(INDEX(Cluster!AC:AD,MATCH(IF(LEFT(BV38,4)="Pool",INDEX(Cluster!$D$29:$AA$412,MATCH(INDEX(Calculation_Tab,MATCH(INDEX($BE$4:$BJ$99,MATCH(BV38,$BE$4:$BE$99,0),3),Flow_Cell_Lane,0),3),Cluster!$F$29:$F$412,0),24),INDEX(Cluster!$D$29:$AA$412,MATCH(BV38,Cluster!$F$29:$F$412,0),24)),Cluster!AC:AC,0),2),"-")</f>
        <v>-</v>
      </c>
      <c r="CE38" s="378" t="str">
        <f ca="1">IFERROR(IF(BV38&lt;&gt;"-",Calculation!$AK$6,"-"),"-")</f>
        <v>-</v>
      </c>
      <c r="CF38" s="378" t="str">
        <f ca="1">IF(OR(LEFT(ListAndConversion!BW38,3)="Dil",LEFT(ListAndConversion!BW38,3)="Poo"),ListAndConversion!$BT$4,IF(LEFT(ListAndConversion!BW38,3)="Sou",INDEX(ListAndConversion!$AT$3:$AV$387,MATCH(ListAndConversion!BV38,ListAndConversion!$AV$3:$AV$387,0),1),"-"))</f>
        <v>-</v>
      </c>
      <c r="CG38" s="498" t="str">
        <f ca="1">IF(OR(LEFT(ListAndConversion!BW38,3)="Dil",LEFT(ListAndConversion!BW38,3)="Poo"),ListAndConversion!BU38,IF(LEFT(ListAndConversion!BW38,3)="Sou",INDEX(ListAndConversion!$AT$4:$AV$387,MATCH(ListAndConversion!BV38,ListAndConversion!$AV$4:$AV$387,0),2),"-"))</f>
        <v>-</v>
      </c>
      <c r="CH38" s="516"/>
      <c r="CI38" s="487" t="str">
        <f t="shared" ca="1" si="19"/>
        <v>-</v>
      </c>
      <c r="CJ38" s="378" t="str">
        <f t="shared" ca="1" si="30"/>
        <v>-</v>
      </c>
      <c r="CK38" s="378" t="str">
        <f t="shared" ca="1" si="30"/>
        <v>-</v>
      </c>
      <c r="CL38" s="378" t="str">
        <f t="shared" ca="1" si="30"/>
        <v>-</v>
      </c>
      <c r="CM38" s="378" t="str">
        <f t="shared" ca="1" si="30"/>
        <v>-</v>
      </c>
      <c r="CN38" s="378" t="str">
        <f t="shared" ca="1" si="30"/>
        <v>-</v>
      </c>
      <c r="CO38" s="378" t="str">
        <f t="shared" ca="1" si="30"/>
        <v>-</v>
      </c>
      <c r="CP38" s="378" t="str">
        <f t="shared" ca="1" si="30"/>
        <v>-</v>
      </c>
      <c r="CQ38" s="378" t="str">
        <f t="shared" ca="1" si="30"/>
        <v>-</v>
      </c>
      <c r="CR38" s="510" t="str">
        <f ca="1">IFERROR(IF(LEFT(BW38,3)="Poo",INDEX($BE$4:$BJ$99,MATCH(CI38,$BG$4:$BG$99,0),6)*((15/50))*Calculation!$AK$6,INDEX(Calculation_Tab,MATCH(BV38,Identifier,0),10)/(IF(LEN(INDEX(Calculation_Tab,MATCH(BV38,Identifier,0),9))&gt;8,LEN(INDEX(Calculation_Tab,MATCH(BV38,Identifier,0),9))-8,1))*((15/50)*Calculation!$AK$6)),"-")</f>
        <v>-</v>
      </c>
      <c r="CS38" s="498" t="str">
        <f ca="1">IF(CI38="-","-",IF(COUNTIF($CI$3:CI38,CI38)&gt;1,0,IFERROR((35/50)*Calculation!$AK$6,"-")))</f>
        <v>-</v>
      </c>
    </row>
    <row r="39" spans="4:97" x14ac:dyDescent="0.5">
      <c r="D39" s="487" t="e">
        <f t="shared" si="0"/>
        <v>#DIV/0!</v>
      </c>
      <c r="E39" s="496" t="e">
        <f t="array" ref="E39">IF(IF((ROW(E39)-3)&lt;(ListAndConversion!$A$15),INDEX(Flow_Cell_Lane,MIN(IF(COUNTIF($E$2:E38,Flow_Cell_Lane)=0,ROW(Flow_Cell_Lane)-9))),"-")="","-",IF((ROW(E39)-3)&lt;(ListAndConversion!$A$15),INDEX(Flow_Cell_Lane,MIN(IF(COUNTIF($E$2:E38,Flow_Cell_Lane)=0,ROW(Flow_Cell_Lane)-9))),"-"))</f>
        <v>#DIV/0!</v>
      </c>
      <c r="F39" s="378" t="e">
        <f t="shared" si="1"/>
        <v>#DIV/0!</v>
      </c>
      <c r="G39" s="378" t="e">
        <f t="shared" si="29"/>
        <v>#DIV/0!</v>
      </c>
      <c r="H39" s="378" t="e">
        <f t="shared" si="29"/>
        <v>#DIV/0!</v>
      </c>
      <c r="I39" s="378" t="e">
        <f t="shared" si="29"/>
        <v>#DIV/0!</v>
      </c>
      <c r="J39" s="378" t="e">
        <f t="shared" si="29"/>
        <v>#DIV/0!</v>
      </c>
      <c r="K39" s="378" t="e">
        <f t="shared" si="29"/>
        <v>#DIV/0!</v>
      </c>
      <c r="L39" s="378" t="e">
        <f t="shared" si="29"/>
        <v>#DIV/0!</v>
      </c>
      <c r="M39" s="378" t="e">
        <f t="shared" si="29"/>
        <v>#DIV/0!</v>
      </c>
      <c r="N39" s="497" t="e">
        <f t="shared" si="3"/>
        <v>#DIV/0!</v>
      </c>
      <c r="O39" s="497" t="str">
        <f t="array" ref="O39">IFERROR(INDEX(Calculation!I:AN,MATCH(ListAndConversion!E39,Calculation!I:I,0),31),"-")</f>
        <v>-</v>
      </c>
      <c r="P39" s="498">
        <f>IF(COUNTIFS(Calculation!$I$10:$I$393,E39,Direct_Denaturation,"-")&lt;&gt;1,COUNTIFS(Calculation!$I$10:$I$393,E39,Direct_Denaturation,"-"),0)</f>
        <v>0</v>
      </c>
      <c r="Q39" s="378"/>
      <c r="R39" s="487" t="e">
        <f t="array" ref="R39">IF(IF((ROW(R39)-3)&lt;(Calculation!$H$6),INDEX(Flow_Cell,MIN(IF(COUNTIF($R$2:R38,Flow_Cell)=0,ROW(Flow_Cell)-9))),"-")="","-",IF((ROW(R39)-3)&lt;(Calculation!$H$6),INDEX(Flow_Cell,MIN(IF(COUNTIF($R$2:R38,Flow_Cell)=0,ROW(Flow_Cell)-9))),"-"))</f>
        <v>#DIV/0!</v>
      </c>
      <c r="S39" s="378" t="e">
        <f t="shared" si="31"/>
        <v>#DIV/0!</v>
      </c>
      <c r="T39" s="378">
        <v>5</v>
      </c>
      <c r="U39" s="498">
        <v>37</v>
      </c>
      <c r="V39" s="487">
        <v>36</v>
      </c>
      <c r="W39" s="497" t="s">
        <v>287</v>
      </c>
      <c r="X39" s="497" t="s">
        <v>359</v>
      </c>
      <c r="Y39" s="378">
        <v>36</v>
      </c>
      <c r="Z39" s="378" t="str">
        <f t="shared" ca="1" si="32"/>
        <v>-</v>
      </c>
      <c r="AA39" s="508" t="str">
        <f t="array" aca="1" ref="AA39" ca="1">IFERROR(INDEX(Calculation_Tab,SMALL(ROW(Sample_Intermediate_Dil)*(Sample_Intermediate_Dil&lt;&gt;"-"),COUNTIF(Sample_Intermediate_Dil,"-")+ROW()-3)-9,5),"-")</f>
        <v>-</v>
      </c>
      <c r="AB39" s="378" t="str">
        <f t="array" aca="1" ref="AB39" ca="1">IFERROR(INDEX($A$3:$B$12,MATCH(INDEX(Calculation_Tab,SMALL(ROW(Sample_Intermediate_Dil)*(Sample_Intermediate_Dil&lt;&gt;"-"),COUNTIF(Sample_Intermediate_Dil,"-")+ROW()-3)-9,5),$A$3:$A$12,0),2),"-")</f>
        <v>-</v>
      </c>
      <c r="AC39" s="509" t="str">
        <f t="array" aca="1" ref="AC39" ca="1">IFERROR(INDEX(Coordinate,MATCH(INDEX(Calculation_Tab,SMALL(ROW(Sample_Intermediate_Dil)*(Sample_Intermediate_Dil&lt;&gt;"-"),COUNTIF(Sample_Intermediate_Dil,"-")+ROW()-3)-9,6),$X$4:$X$99,0),2),"-")</f>
        <v>-</v>
      </c>
      <c r="AD39" s="510" t="str">
        <f t="array" aca="1" ref="AD39" ca="1">IFERROR(INDEX(Calculation_Tab,SMALL(ROW(Sample_Intermediate_Dil)*(Sample_Intermediate_Dil&lt;&gt;"-"),COUNTIF(Sample_Intermediate_Dil,"-")+ROW()-3)-9,24),"-")</f>
        <v>-</v>
      </c>
      <c r="AE39" s="510" t="str">
        <f t="array" aca="1" ref="AE39" ca="1">IFERROR(INDEX(Calculation_Tab,SMALL(ROW(Sample_Intermediate_Dil)*(Sample_Intermediate_Dil&lt;&gt;"-"),COUNTIF(Sample_Intermediate_Dil,"-")+ROW()-3)-9,25),"-")</f>
        <v>-</v>
      </c>
      <c r="AF39" s="510" t="str">
        <f t="array" aca="1" ref="AF39" ca="1">IFERROR(INDEX(Calculation_Tab,SMALL(ROW(Sample_Intermediate_Dil)*(Sample_Intermediate_Dil&lt;&gt;"-"),COUNTIF(Sample_Intermediate_Dil,"-")+ROW()-3)-9,26),"-")</f>
        <v>-</v>
      </c>
      <c r="AG39" s="511" t="str">
        <f t="array" aca="1" ref="AG39" ca="1">IFERROR(INDEX(Calculation_Tab,SMALL(ROW(Sample_Intermediate_Dil)*(Sample_Intermediate_Dil&lt;&gt;"-"),COUNTIF(Sample_Intermediate_Dil,"-")+ROW()-3)-9,27),"-")</f>
        <v>-</v>
      </c>
      <c r="AI39" s="487">
        <v>36</v>
      </c>
      <c r="AJ39" s="497" t="s">
        <v>160</v>
      </c>
      <c r="AK39" s="378">
        <v>36</v>
      </c>
      <c r="AL39" s="378" t="str">
        <f t="shared" ca="1" si="6"/>
        <v>-</v>
      </c>
      <c r="AM39" s="378" t="str">
        <f t="array" aca="1" ref="AM39" ca="1">IFERROR(IF(AI39&lt;=$AB$2,"-",INDEX(Calculation_Tab,SMALL(ROW(Main_Dil)*(Main_Dil&lt;&gt;"-"),COUNTIF(Main_Dil,"-")+ROW()-3-$AB$2)-9,5)),"-")</f>
        <v>-</v>
      </c>
      <c r="AN39" s="378" t="str">
        <f t="array" aca="1" ref="AN39" ca="1">IFERROR(IF(AI39&lt;=$AB$2,"-",INDEX($A$3:$B$12,MATCH(INDEX(Calculation_Tab,SMALL(ROW(Main_Dil)*(Main_Dil&lt;&gt;"-"),COUNTIF(Main_Dil,"-")+ROW()-3-$AB$2)-9,5),$A$3:$A$12,0),2)),"-")</f>
        <v>-</v>
      </c>
      <c r="AO39" s="378" t="str">
        <f t="array" aca="1" ref="AO39" ca="1">IFERROR(IF(AI39&lt;=$AB$2,"-",INDEX(Coordinate,MATCH(INDEX(Calculation_Tab,SMALL(ROW(Main_Dil)*(Main_Dil&lt;&gt;"-"),COUNTIF(Main_Dil,"-")+ROW()-3-$AB$2)-9,6),$X$4:$X$99,0),2)),"-")</f>
        <v>-</v>
      </c>
      <c r="AP39" s="510" t="str">
        <f t="array" aca="1" ref="AP39" ca="1">IFERROR(IF(AI39&lt;=$AB$2,"-",INDEX(Calculation_Tab,SMALL(ROW(Main_Dil)*(Main_Dil&lt;&gt;"-"),COUNTIF(Main_Dil,"-")+ROW()-3-$AB$2)-9,21)),"-")</f>
        <v>-</v>
      </c>
      <c r="AQ39" s="511" t="str">
        <f t="array" aca="1" ref="AQ39" ca="1">IFERROR(IF(AI39&lt;=$AB$2,"-",INDEX(Calculation_Tab,SMALL(ROW(Main_Dil)*(Main_Dil&lt;&gt;"-"),COUNTIF(Main_Dil,"-")+ROW()-3-$AB$2)-9,22)),"-")</f>
        <v>-</v>
      </c>
      <c r="AR39" s="487" t="str">
        <f t="shared" ca="1" si="7"/>
        <v>-</v>
      </c>
      <c r="AS39" s="378">
        <v>36</v>
      </c>
      <c r="AT39" s="497" t="s">
        <v>160</v>
      </c>
      <c r="AU39" s="498">
        <v>36</v>
      </c>
      <c r="AV39" s="378" t="str">
        <f t="shared" ca="1" si="8"/>
        <v>-</v>
      </c>
      <c r="AW39" s="378" t="str">
        <f t="array" aca="1" ref="AW39" ca="1">IFERROR(IF(AS39&lt;=$AB$2+$AN$2,"-",INDEX(Calculation_Tab,SMALL(ROW(Direct_Denaturation)*(Direct_Denaturation&lt;&gt;"-"),COUNTIF(Direct_Denaturation,"-")+ROW()-3-$AB$2-$AN$2)-9,5)),"-")</f>
        <v>-</v>
      </c>
      <c r="AX39" s="378" t="str">
        <f t="array" aca="1" ref="AX39" ca="1">IFERROR(IF(AS39&lt;=$AB$2+$AN$2,"-",INDEX($A$3:$B$12,MATCH(INDEX(Calculation_Tab,SMALL(ROW(Direct_Denaturation)*(Direct_Denaturation&lt;&gt;"-"),COUNTIF(Direct_Denaturation,"-")+ROW()-3-$AB$2-$AN$2)-9,5),$A$3:$A$12,0),2)),"-")</f>
        <v>-</v>
      </c>
      <c r="AY39" s="378" t="str">
        <f t="array" aca="1" ref="AY39" ca="1">IFERROR(IF(AS39&lt;=$AB$2+$AN$2,"-",INDEX(Coordinate,MATCH(INDEX(Calculation_Tab,SMALL(ROW(Direct_Denaturation)*(Direct_Denaturation&lt;&gt;"-"),COUNTIF(Direct_Denaturation,"-")+ROW()-3-$AB$2-$AN$2)-9,6),$X$4:$X$99,0),2)),"-")</f>
        <v>-</v>
      </c>
      <c r="AZ39" s="510" t="str">
        <f t="array" aca="1" ref="AZ39" ca="1">IFERROR(IF(AS39&lt;=$AB$2+$AN$2,"-",INDEX(Calculation_Tab,SMALL(ROW(Direct_Denaturation)*(Direct_Denaturation&lt;&gt;"-"),COUNTIF(Direct_Denaturation,"-")+ROW()-3-$AB$2-$AN$2)-9,32)),"-")</f>
        <v>-</v>
      </c>
      <c r="BA39" s="510" t="str">
        <f t="array" aca="1" ref="BA39" ca="1">IFERROR(IF(AS39&lt;=$AB$2+$AN$2,"-",INDEX(Calculation_Tab,SMALL(ROW(Direct_Denaturation)*(Direct_Denaturation&lt;&gt;"-"),COUNTIF(Direct_Denaturation,"-")+ROW()-3-$AB$2-$AN$2)-9,34)),"-")</f>
        <v>-</v>
      </c>
      <c r="BB39" s="510" t="str">
        <f t="array" aca="1" ref="BB39" ca="1">IFERROR(IF(AS39&lt;=$AB$2+$AN$2,"-",INDEX(Calculation_Tab,SMALL(ROW(Direct_Denaturation)*(Direct_Denaturation&lt;&gt;"-"),COUNTIF(Direct_Denaturation,"-")+ROW()-3-$AB$2-$AN$2)-9,33)),"-")</f>
        <v>-</v>
      </c>
      <c r="BC39" s="510" t="str">
        <f t="array" aca="1" ref="BC39" ca="1">IFERROR(IF(AS39&lt;=$AB$2+$AN$2,"-",INDEX(Calculation_Tab,SMALL(ROW(Direct_Denaturation)*(Direct_Denaturation&lt;&gt;"-"),COUNTIF(Direct_Denaturation,"-")+ROW()-3-$AB$2-$AN$2)-9,35)),"-")</f>
        <v>-</v>
      </c>
      <c r="BD39" s="511" t="str">
        <f t="shared" ca="1" si="9"/>
        <v>-</v>
      </c>
      <c r="BE39" s="494" t="s">
        <v>360</v>
      </c>
      <c r="BF39" s="378">
        <v>36</v>
      </c>
      <c r="BG39" s="515" t="str">
        <v>-</v>
      </c>
      <c r="BH39" s="516" t="str">
        <f>IFERROR(IF((Calculation!$AR$6/INDEX(ListAndConversion!D:P,MATCH(BG39,E:E,0),13))&lt;Calculation!$O$6,INDEX(ListAndConversion!D:P,MATCH(BG39,E:E,0),13)*Calculation!$O$6,Calculation!$AR$6),"-")</f>
        <v>-</v>
      </c>
      <c r="BI39" s="517" t="str">
        <f t="shared" si="33"/>
        <v>-</v>
      </c>
      <c r="BJ39" s="518" t="str">
        <f t="shared" si="34"/>
        <v>-</v>
      </c>
      <c r="BK39" s="378" t="s">
        <v>158</v>
      </c>
      <c r="BL39" s="378">
        <v>36</v>
      </c>
      <c r="BM39" s="487" t="str">
        <f t="array" aca="1" ref="BM39" ca="1">IFERROR(INDEX(Calculation_Tab,SMALL(ROW(ToPool)*(ToPool&lt;&gt;"-"),COUNTIF(ToPool,"-")+ROW()-3)-9,3),"-")</f>
        <v>-</v>
      </c>
      <c r="BN39" s="378" t="str">
        <f t="shared" ca="1" si="12"/>
        <v>-</v>
      </c>
      <c r="BO39" s="378" t="str">
        <f t="shared" ca="1" si="13"/>
        <v>-</v>
      </c>
      <c r="BP39" s="523" t="str">
        <f t="shared" ca="1" si="14"/>
        <v>-</v>
      </c>
      <c r="BQ39" s="378" t="str">
        <f t="array" aca="1" ref="BQ39" ca="1">IFERROR(INDEX(BE:BG,MATCH(INDEX(Calculation_Tab,SMALL(ROW(ToPool)*(ToPool&lt;&gt;"-"),COUNTIF(ToPool,"-")+ROW()-3)-9,9),BG:BG,0),2),"-")</f>
        <v>-</v>
      </c>
      <c r="BR39" s="510" t="str">
        <f t="shared" ca="1" si="15"/>
        <v>-</v>
      </c>
      <c r="BS39" s="511" t="str">
        <f t="shared" ca="1" si="16"/>
        <v>-</v>
      </c>
      <c r="BT39" s="378" t="s">
        <v>164</v>
      </c>
      <c r="BU39" s="487" t="str">
        <f t="shared" ca="1" si="21"/>
        <v>-</v>
      </c>
      <c r="BV39" s="487" t="str">
        <f t="array" aca="1" ref="BV3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9" s="378" t="str">
        <f t="shared" ca="1" si="17"/>
        <v>-</v>
      </c>
      <c r="BX39" s="378" t="str">
        <f t="shared" ca="1" si="18"/>
        <v>-</v>
      </c>
      <c r="BY39" s="510" t="str">
        <f ca="1">IFERROR(ROUND(INDEX(Cluster,MATCH(IF(LEFT(BV39,4)="Pool",INDEX(Cluster,MATCH(INDEX(Calculation_Tab,MATCH(INDEX($BE$4:$BJ$99,MATCH(BV39,$BE$4:$BE$99,0),3),Flow_Cell_Lane,0),3),Cluster!$F$29:$F$412,0),6),BV39),Identifier_Cluster,0),19)*IF(LEFT(BV39,4)="pool",IF(LEN(INDEX($BE$4:$BJ$99,MATCH(BV39,$BE$4:$BE$99,0),3))=10,2,IF(LEN(INDEX($BE$4:$BJ$99,MATCH(BV39,$BE$4:$BE$99,0),3))&gt;10,LEN(INDEX($BE$4:$BJ$99,MATCH(BV39,$BE$4:$BE$99,0),3))-8,1)),1)*IF(LEFT(BV39,4)="pool",IF(INDEX($BE$4:$BJ$99,MATCH(BV39,$BE$4:$BE$99,0),6)&lt;1,1,INDEX($BE$4:$BJ$99,MATCH(BV39,$BE$4:$BE$99,0),6)),INDEX(Calculation_Tab,MATCH(BV39,Identifier,0),10)),1)*(1+Calculation!$Q$6),"-")</f>
        <v>-</v>
      </c>
      <c r="BZ39" s="378" t="str">
        <f ca="1">IFERROR((0.5/50)*CE39/Calculation!$AG$6*(IF(LEFT(BV39,4)="Pool",IF(LEN(INDEX($BE$4:$BJ$99,MATCH(BV39,$BE$4:$BE$99,0),3))=10,2,IF(LEN(INDEX($BE$4:$BJ$99,MATCH(BV39,$BE$4:$BE$99,0),3))&gt;10,LEN(INDEX($BE$4:$BJ$99,MATCH(BV39,$BE$4:$BE$99,0),3))-8,1)),IF(INDEX(Calculation_Tab,MATCH(BV39,Identifier,0),10)&gt;1,INDEX(Calculation_Tab,MATCH(BV39,Identifier,0),10),1)))*(1+Calculation!$Q$6),"-")</f>
        <v>-</v>
      </c>
      <c r="CA39" s="510" t="str">
        <f ca="1">IFERROR(IF((BZ39*Calculation!$AG$6/0.05)-SUM(BY39:BZ39,CC39)&gt;0,(BZ39*Calculation!$AG$6/0.05)-SUM(BY39:BZ39,CC39),0),"-")</f>
        <v>-</v>
      </c>
      <c r="CB39" s="510" t="str">
        <f ca="1">IFERROR(5/50*CE39*(IF(LEFT(BV39,4)="Pool",IF(LEN(INDEX($BE$4:$BJ$99,MATCH(BV39,$BE$4:$BE$99,0),3))=10,2,IF(LEN(INDEX($BE$4:$BJ$99,MATCH(BV39,$BE$4:$BE$99,0),3))&gt;10,LEN(INDEX($BE$4:$BJ$99,MATCH(BV39,$BE$4:$BE$99,0),3))-8,1)),IF(INDEX(Calculation_Tab,MATCH(BV39,Identifier,0),10)&gt;1,INDEX(Calculation_Tab,MATCH(BV39,Identifier,0),10),1)))*(1+Calculation!$Q$6),"-")</f>
        <v>-</v>
      </c>
      <c r="CC39" s="508" t="str">
        <f ca="1">IFERROR(ROUND(INDEX(Cluster,MATCH(IF(LEFT(BV39,4)="Pool",INDEX(Cluster,MATCH(INDEX(Calculation_Tab,MATCH(INDEX($BE$4:$BJ$99,MATCH(BV39,$BE$4:$BE$99,0),3),Flow_Cell_Lane,0),3),Cluster!$F$29:$F$412,0),6),BV39),Identifier_Cluster,0),20)*IF(LEFT(BV39,4)="pool",IF(LEN(INDEX($BE$4:$BJ$99,MATCH(BV39,$BE$4:$BE$99,0),3))=10,2,IF(LEN(INDEX($BE$4:$BJ$99,MATCH(BV39,$BE$4:$BE$99,0),3))&gt;10,LEN(INDEX($BE$4:$BJ$99,MATCH(BV39,$BE$4:$BE$99,0),3))-8,1)),1)*IF(LEFT(BV39,4)="pool",IF(INDEX($BE$4:$BJ$99,MATCH(BV39,$BE$4:$BE$99,0),6)&lt;1,1,INDEX($BE$4:$BJ$99,MATCH(BV39,$BE$4:$BE$99,0),6)),INDEX(Calculation_Tab,MATCH(BV39,Identifier,0),10)),1)*(1+Calculation!$Q$6),"-")</f>
        <v>-</v>
      </c>
      <c r="CD39" s="509" t="str">
        <f ca="1">IFERROR(INDEX(Cluster!AC:AD,MATCH(IF(LEFT(BV39,4)="Pool",INDEX(Cluster!$D$29:$AA$412,MATCH(INDEX(Calculation_Tab,MATCH(INDEX($BE$4:$BJ$99,MATCH(BV39,$BE$4:$BE$99,0),3),Flow_Cell_Lane,0),3),Cluster!$F$29:$F$412,0),24),INDEX(Cluster!$D$29:$AA$412,MATCH(BV39,Cluster!$F$29:$F$412,0),24)),Cluster!AC:AC,0),2),"-")</f>
        <v>-</v>
      </c>
      <c r="CE39" s="378" t="str">
        <f ca="1">IFERROR(IF(BV39&lt;&gt;"-",Calculation!$AK$6,"-"),"-")</f>
        <v>-</v>
      </c>
      <c r="CF39" s="378" t="str">
        <f ca="1">IF(OR(LEFT(ListAndConversion!BW39,3)="Dil",LEFT(ListAndConversion!BW39,3)="Poo"),ListAndConversion!$BT$4,IF(LEFT(ListAndConversion!BW39,3)="Sou",INDEX(ListAndConversion!$AT$3:$AV$387,MATCH(ListAndConversion!BV39,ListAndConversion!$AV$3:$AV$387,0),1),"-"))</f>
        <v>-</v>
      </c>
      <c r="CG39" s="498" t="str">
        <f ca="1">IF(OR(LEFT(ListAndConversion!BW39,3)="Dil",LEFT(ListAndConversion!BW39,3)="Poo"),ListAndConversion!BU39,IF(LEFT(ListAndConversion!BW39,3)="Sou",INDEX(ListAndConversion!$AT$4:$AV$387,MATCH(ListAndConversion!BV39,ListAndConversion!$AV$4:$AV$387,0),2),"-"))</f>
        <v>-</v>
      </c>
      <c r="CH39" s="516"/>
      <c r="CI39" s="487" t="str">
        <f t="shared" ca="1" si="19"/>
        <v>-</v>
      </c>
      <c r="CJ39" s="378" t="str">
        <f t="shared" ca="1" si="30"/>
        <v>-</v>
      </c>
      <c r="CK39" s="378" t="str">
        <f t="shared" ca="1" si="30"/>
        <v>-</v>
      </c>
      <c r="CL39" s="378" t="str">
        <f t="shared" ca="1" si="30"/>
        <v>-</v>
      </c>
      <c r="CM39" s="378" t="str">
        <f t="shared" ca="1" si="30"/>
        <v>-</v>
      </c>
      <c r="CN39" s="378" t="str">
        <f t="shared" ca="1" si="30"/>
        <v>-</v>
      </c>
      <c r="CO39" s="378" t="str">
        <f t="shared" ca="1" si="30"/>
        <v>-</v>
      </c>
      <c r="CP39" s="378" t="str">
        <f t="shared" ca="1" si="30"/>
        <v>-</v>
      </c>
      <c r="CQ39" s="378" t="str">
        <f t="shared" ca="1" si="30"/>
        <v>-</v>
      </c>
      <c r="CR39" s="510" t="str">
        <f ca="1">IFERROR(IF(LEFT(BW39,3)="Poo",INDEX($BE$4:$BJ$99,MATCH(CI39,$BG$4:$BG$99,0),6)*((15/50))*Calculation!$AK$6,INDEX(Calculation_Tab,MATCH(BV39,Identifier,0),10)/(IF(LEN(INDEX(Calculation_Tab,MATCH(BV39,Identifier,0),9))&gt;8,LEN(INDEX(Calculation_Tab,MATCH(BV39,Identifier,0),9))-8,1))*((15/50)*Calculation!$AK$6)),"-")</f>
        <v>-</v>
      </c>
      <c r="CS39" s="498" t="str">
        <f ca="1">IF(CI39="-","-",IF(COUNTIF($CI$3:CI39,CI39)&gt;1,0,IFERROR((35/50)*Calculation!$AK$6,"-")))</f>
        <v>-</v>
      </c>
    </row>
    <row r="40" spans="4:97" x14ac:dyDescent="0.5">
      <c r="D40" s="487" t="e">
        <f t="shared" si="0"/>
        <v>#DIV/0!</v>
      </c>
      <c r="E40" s="496" t="e">
        <f t="array" ref="E40">IF(IF((ROW(E40)-3)&lt;(ListAndConversion!$A$15),INDEX(Flow_Cell_Lane,MIN(IF(COUNTIF($E$2:E39,Flow_Cell_Lane)=0,ROW(Flow_Cell_Lane)-9))),"-")="","-",IF((ROW(E40)-3)&lt;(ListAndConversion!$A$15),INDEX(Flow_Cell_Lane,MIN(IF(COUNTIF($E$2:E39,Flow_Cell_Lane)=0,ROW(Flow_Cell_Lane)-9))),"-"))</f>
        <v>#DIV/0!</v>
      </c>
      <c r="F40" s="378" t="e">
        <f t="shared" si="1"/>
        <v>#DIV/0!</v>
      </c>
      <c r="G40" s="378" t="e">
        <f t="shared" si="29"/>
        <v>#DIV/0!</v>
      </c>
      <c r="H40" s="378" t="e">
        <f t="shared" si="29"/>
        <v>#DIV/0!</v>
      </c>
      <c r="I40" s="378" t="e">
        <f t="shared" si="29"/>
        <v>#DIV/0!</v>
      </c>
      <c r="J40" s="378" t="e">
        <f t="shared" si="29"/>
        <v>#DIV/0!</v>
      </c>
      <c r="K40" s="378" t="e">
        <f t="shared" si="29"/>
        <v>#DIV/0!</v>
      </c>
      <c r="L40" s="378" t="e">
        <f t="shared" si="29"/>
        <v>#DIV/0!</v>
      </c>
      <c r="M40" s="378" t="e">
        <f t="shared" si="29"/>
        <v>#DIV/0!</v>
      </c>
      <c r="N40" s="497" t="e">
        <f t="shared" si="3"/>
        <v>#DIV/0!</v>
      </c>
      <c r="O40" s="497" t="str">
        <f t="array" ref="O40">IFERROR(INDEX(Calculation!I:AN,MATCH(ListAndConversion!E40,Calculation!I:I,0),31),"-")</f>
        <v>-</v>
      </c>
      <c r="P40" s="498">
        <f>IF(COUNTIFS(Calculation!$I$10:$I$393,E40,Direct_Denaturation,"-")&lt;&gt;1,COUNTIFS(Calculation!$I$10:$I$393,E40,Direct_Denaturation,"-"),0)</f>
        <v>0</v>
      </c>
      <c r="Q40" s="378"/>
      <c r="R40" s="487" t="e">
        <f t="array" ref="R40">IF(IF((ROW(R40)-3)&lt;(Calculation!$H$6),INDEX(Flow_Cell,MIN(IF(COUNTIF($R$2:R39,Flow_Cell)=0,ROW(Flow_Cell)-9))),"-")="","-",IF((ROW(R40)-3)&lt;(Calculation!$H$6),INDEX(Flow_Cell,MIN(IF(COUNTIF($R$2:R39,Flow_Cell)=0,ROW(Flow_Cell)-9))),"-"))</f>
        <v>#DIV/0!</v>
      </c>
      <c r="S40" s="378" t="e">
        <f t="shared" si="31"/>
        <v>#DIV/0!</v>
      </c>
      <c r="T40" s="378">
        <v>6</v>
      </c>
      <c r="U40" s="498">
        <v>38</v>
      </c>
      <c r="V40" s="487">
        <v>37</v>
      </c>
      <c r="W40" s="497" t="s">
        <v>287</v>
      </c>
      <c r="X40" s="497" t="s">
        <v>361</v>
      </c>
      <c r="Y40" s="378">
        <v>37</v>
      </c>
      <c r="Z40" s="378" t="str">
        <f t="shared" ca="1" si="32"/>
        <v>-</v>
      </c>
      <c r="AA40" s="508" t="str">
        <f t="array" aca="1" ref="AA40" ca="1">IFERROR(INDEX(Calculation_Tab,SMALL(ROW(Sample_Intermediate_Dil)*(Sample_Intermediate_Dil&lt;&gt;"-"),COUNTIF(Sample_Intermediate_Dil,"-")+ROW()-3)-9,5),"-")</f>
        <v>-</v>
      </c>
      <c r="AB40" s="378" t="str">
        <f t="array" aca="1" ref="AB40" ca="1">IFERROR(INDEX($A$3:$B$12,MATCH(INDEX(Calculation_Tab,SMALL(ROW(Sample_Intermediate_Dil)*(Sample_Intermediate_Dil&lt;&gt;"-"),COUNTIF(Sample_Intermediate_Dil,"-")+ROW()-3)-9,5),$A$3:$A$12,0),2),"-")</f>
        <v>-</v>
      </c>
      <c r="AC40" s="509" t="str">
        <f t="array" aca="1" ref="AC40" ca="1">IFERROR(INDEX(Coordinate,MATCH(INDEX(Calculation_Tab,SMALL(ROW(Sample_Intermediate_Dil)*(Sample_Intermediate_Dil&lt;&gt;"-"),COUNTIF(Sample_Intermediate_Dil,"-")+ROW()-3)-9,6),$X$4:$X$99,0),2),"-")</f>
        <v>-</v>
      </c>
      <c r="AD40" s="510" t="str">
        <f t="array" aca="1" ref="AD40" ca="1">IFERROR(INDEX(Calculation_Tab,SMALL(ROW(Sample_Intermediate_Dil)*(Sample_Intermediate_Dil&lt;&gt;"-"),COUNTIF(Sample_Intermediate_Dil,"-")+ROW()-3)-9,24),"-")</f>
        <v>-</v>
      </c>
      <c r="AE40" s="510" t="str">
        <f t="array" aca="1" ref="AE40" ca="1">IFERROR(INDEX(Calculation_Tab,SMALL(ROW(Sample_Intermediate_Dil)*(Sample_Intermediate_Dil&lt;&gt;"-"),COUNTIF(Sample_Intermediate_Dil,"-")+ROW()-3)-9,25),"-")</f>
        <v>-</v>
      </c>
      <c r="AF40" s="510" t="str">
        <f t="array" aca="1" ref="AF40" ca="1">IFERROR(INDEX(Calculation_Tab,SMALL(ROW(Sample_Intermediate_Dil)*(Sample_Intermediate_Dil&lt;&gt;"-"),COUNTIF(Sample_Intermediate_Dil,"-")+ROW()-3)-9,26),"-")</f>
        <v>-</v>
      </c>
      <c r="AG40" s="511" t="str">
        <f t="array" aca="1" ref="AG40" ca="1">IFERROR(INDEX(Calculation_Tab,SMALL(ROW(Sample_Intermediate_Dil)*(Sample_Intermediate_Dil&lt;&gt;"-"),COUNTIF(Sample_Intermediate_Dil,"-")+ROW()-3)-9,27),"-")</f>
        <v>-</v>
      </c>
      <c r="AI40" s="487">
        <v>37</v>
      </c>
      <c r="AJ40" s="497" t="s">
        <v>160</v>
      </c>
      <c r="AK40" s="378">
        <v>37</v>
      </c>
      <c r="AL40" s="378" t="str">
        <f t="shared" ca="1" si="6"/>
        <v>-</v>
      </c>
      <c r="AM40" s="378" t="str">
        <f t="array" aca="1" ref="AM40" ca="1">IFERROR(IF(AI40&lt;=$AB$2,"-",INDEX(Calculation_Tab,SMALL(ROW(Main_Dil)*(Main_Dil&lt;&gt;"-"),COUNTIF(Main_Dil,"-")+ROW()-3-$AB$2)-9,5)),"-")</f>
        <v>-</v>
      </c>
      <c r="AN40" s="378" t="str">
        <f t="array" aca="1" ref="AN40" ca="1">IFERROR(IF(AI40&lt;=$AB$2,"-",INDEX($A$3:$B$12,MATCH(INDEX(Calculation_Tab,SMALL(ROW(Main_Dil)*(Main_Dil&lt;&gt;"-"),COUNTIF(Main_Dil,"-")+ROW()-3-$AB$2)-9,5),$A$3:$A$12,0),2)),"-")</f>
        <v>-</v>
      </c>
      <c r="AO40" s="378" t="str">
        <f t="array" aca="1" ref="AO40" ca="1">IFERROR(IF(AI40&lt;=$AB$2,"-",INDEX(Coordinate,MATCH(INDEX(Calculation_Tab,SMALL(ROW(Main_Dil)*(Main_Dil&lt;&gt;"-"),COUNTIF(Main_Dil,"-")+ROW()-3-$AB$2)-9,6),$X$4:$X$99,0),2)),"-")</f>
        <v>-</v>
      </c>
      <c r="AP40" s="510" t="str">
        <f t="array" aca="1" ref="AP40" ca="1">IFERROR(IF(AI40&lt;=$AB$2,"-",INDEX(Calculation_Tab,SMALL(ROW(Main_Dil)*(Main_Dil&lt;&gt;"-"),COUNTIF(Main_Dil,"-")+ROW()-3-$AB$2)-9,21)),"-")</f>
        <v>-</v>
      </c>
      <c r="AQ40" s="511" t="str">
        <f t="array" aca="1" ref="AQ40" ca="1">IFERROR(IF(AI40&lt;=$AB$2,"-",INDEX(Calculation_Tab,SMALL(ROW(Main_Dil)*(Main_Dil&lt;&gt;"-"),COUNTIF(Main_Dil,"-")+ROW()-3-$AB$2)-9,22)),"-")</f>
        <v>-</v>
      </c>
      <c r="AR40" s="487" t="str">
        <f t="shared" ca="1" si="7"/>
        <v>-</v>
      </c>
      <c r="AS40" s="378">
        <v>37</v>
      </c>
      <c r="AT40" s="497" t="s">
        <v>160</v>
      </c>
      <c r="AU40" s="498">
        <v>37</v>
      </c>
      <c r="AV40" s="378" t="str">
        <f t="shared" ca="1" si="8"/>
        <v>-</v>
      </c>
      <c r="AW40" s="378" t="str">
        <f t="array" aca="1" ref="AW40" ca="1">IFERROR(IF(AS40&lt;=$AB$2+$AN$2,"-",INDEX(Calculation_Tab,SMALL(ROW(Direct_Denaturation)*(Direct_Denaturation&lt;&gt;"-"),COUNTIF(Direct_Denaturation,"-")+ROW()-3-$AB$2-$AN$2)-9,5)),"-")</f>
        <v>-</v>
      </c>
      <c r="AX40" s="378" t="str">
        <f t="array" aca="1" ref="AX40" ca="1">IFERROR(IF(AS40&lt;=$AB$2+$AN$2,"-",INDEX($A$3:$B$12,MATCH(INDEX(Calculation_Tab,SMALL(ROW(Direct_Denaturation)*(Direct_Denaturation&lt;&gt;"-"),COUNTIF(Direct_Denaturation,"-")+ROW()-3-$AB$2-$AN$2)-9,5),$A$3:$A$12,0),2)),"-")</f>
        <v>-</v>
      </c>
      <c r="AY40" s="378" t="str">
        <f t="array" aca="1" ref="AY40" ca="1">IFERROR(IF(AS40&lt;=$AB$2+$AN$2,"-",INDEX(Coordinate,MATCH(INDEX(Calculation_Tab,SMALL(ROW(Direct_Denaturation)*(Direct_Denaturation&lt;&gt;"-"),COUNTIF(Direct_Denaturation,"-")+ROW()-3-$AB$2-$AN$2)-9,6),$X$4:$X$99,0),2)),"-")</f>
        <v>-</v>
      </c>
      <c r="AZ40" s="510" t="str">
        <f t="array" aca="1" ref="AZ40" ca="1">IFERROR(IF(AS40&lt;=$AB$2+$AN$2,"-",INDEX(Calculation_Tab,SMALL(ROW(Direct_Denaturation)*(Direct_Denaturation&lt;&gt;"-"),COUNTIF(Direct_Denaturation,"-")+ROW()-3-$AB$2-$AN$2)-9,32)),"-")</f>
        <v>-</v>
      </c>
      <c r="BA40" s="510" t="str">
        <f t="array" aca="1" ref="BA40" ca="1">IFERROR(IF(AS40&lt;=$AB$2+$AN$2,"-",INDEX(Calculation_Tab,SMALL(ROW(Direct_Denaturation)*(Direct_Denaturation&lt;&gt;"-"),COUNTIF(Direct_Denaturation,"-")+ROW()-3-$AB$2-$AN$2)-9,34)),"-")</f>
        <v>-</v>
      </c>
      <c r="BB40" s="510" t="str">
        <f t="array" aca="1" ref="BB40" ca="1">IFERROR(IF(AS40&lt;=$AB$2+$AN$2,"-",INDEX(Calculation_Tab,SMALL(ROW(Direct_Denaturation)*(Direct_Denaturation&lt;&gt;"-"),COUNTIF(Direct_Denaturation,"-")+ROW()-3-$AB$2-$AN$2)-9,33)),"-")</f>
        <v>-</v>
      </c>
      <c r="BC40" s="510" t="str">
        <f t="array" aca="1" ref="BC40" ca="1">IFERROR(IF(AS40&lt;=$AB$2+$AN$2,"-",INDEX(Calculation_Tab,SMALL(ROW(Direct_Denaturation)*(Direct_Denaturation&lt;&gt;"-"),COUNTIF(Direct_Denaturation,"-")+ROW()-3-$AB$2-$AN$2)-9,35)),"-")</f>
        <v>-</v>
      </c>
      <c r="BD40" s="511" t="str">
        <f t="shared" ca="1" si="9"/>
        <v>-</v>
      </c>
      <c r="BE40" s="494" t="s">
        <v>362</v>
      </c>
      <c r="BF40" s="378">
        <v>37</v>
      </c>
      <c r="BG40" s="515" t="str">
        <v>-</v>
      </c>
      <c r="BH40" s="516" t="str">
        <f>IFERROR(IF((Calculation!$AR$6/INDEX(ListAndConversion!D:P,MATCH(BG40,E:E,0),13))&lt;Calculation!$O$6,INDEX(ListAndConversion!D:P,MATCH(BG40,E:E,0),13)*Calculation!$O$6,Calculation!$AR$6),"-")</f>
        <v>-</v>
      </c>
      <c r="BI40" s="517" t="str">
        <f t="shared" si="33"/>
        <v>-</v>
      </c>
      <c r="BJ40" s="518" t="str">
        <f t="shared" si="34"/>
        <v>-</v>
      </c>
      <c r="BK40" s="378" t="s">
        <v>158</v>
      </c>
      <c r="BL40" s="378">
        <v>37</v>
      </c>
      <c r="BM40" s="487" t="str">
        <f t="array" aca="1" ref="BM40" ca="1">IFERROR(INDEX(Calculation_Tab,SMALL(ROW(ToPool)*(ToPool&lt;&gt;"-"),COUNTIF(ToPool,"-")+ROW()-3)-9,3),"-")</f>
        <v>-</v>
      </c>
      <c r="BN40" s="378" t="str">
        <f t="shared" ca="1" si="12"/>
        <v>-</v>
      </c>
      <c r="BO40" s="378" t="str">
        <f t="shared" ca="1" si="13"/>
        <v>-</v>
      </c>
      <c r="BP40" s="523" t="str">
        <f t="shared" ca="1" si="14"/>
        <v>-</v>
      </c>
      <c r="BQ40" s="378" t="str">
        <f t="array" aca="1" ref="BQ40" ca="1">IFERROR(INDEX(BE:BG,MATCH(INDEX(Calculation_Tab,SMALL(ROW(ToPool)*(ToPool&lt;&gt;"-"),COUNTIF(ToPool,"-")+ROW()-3)-9,9),BG:BG,0),2),"-")</f>
        <v>-</v>
      </c>
      <c r="BR40" s="510" t="str">
        <f t="shared" ca="1" si="15"/>
        <v>-</v>
      </c>
      <c r="BS40" s="511" t="str">
        <f t="shared" ca="1" si="16"/>
        <v>-</v>
      </c>
      <c r="BT40" s="378" t="s">
        <v>164</v>
      </c>
      <c r="BU40" s="487" t="str">
        <f t="shared" ca="1" si="21"/>
        <v>-</v>
      </c>
      <c r="BV40" s="487" t="str">
        <f t="array" aca="1" ref="BV4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40" s="378" t="str">
        <f t="shared" ca="1" si="17"/>
        <v>-</v>
      </c>
      <c r="BX40" s="378" t="str">
        <f t="shared" ca="1" si="18"/>
        <v>-</v>
      </c>
      <c r="BY40" s="510" t="str">
        <f ca="1">IFERROR(ROUND(INDEX(Cluster,MATCH(IF(LEFT(BV40,4)="Pool",INDEX(Cluster,MATCH(INDEX(Calculation_Tab,MATCH(INDEX($BE$4:$BJ$99,MATCH(BV40,$BE$4:$BE$99,0),3),Flow_Cell_Lane,0),3),Cluster!$F$29:$F$412,0),6),BV40),Identifier_Cluster,0),19)*IF(LEFT(BV40,4)="pool",IF(LEN(INDEX($BE$4:$BJ$99,MATCH(BV40,$BE$4:$BE$99,0),3))=10,2,IF(LEN(INDEX($BE$4:$BJ$99,MATCH(BV40,$BE$4:$BE$99,0),3))&gt;10,LEN(INDEX($BE$4:$BJ$99,MATCH(BV40,$BE$4:$BE$99,0),3))-8,1)),1)*IF(LEFT(BV40,4)="pool",IF(INDEX($BE$4:$BJ$99,MATCH(BV40,$BE$4:$BE$99,0),6)&lt;1,1,INDEX($BE$4:$BJ$99,MATCH(BV40,$BE$4:$BE$99,0),6)),INDEX(Calculation_Tab,MATCH(BV40,Identifier,0),10)),1)*(1+Calculation!$Q$6),"-")</f>
        <v>-</v>
      </c>
      <c r="BZ40" s="378" t="str">
        <f ca="1">IFERROR((0.5/50)*CE40/Calculation!$AG$6*(IF(LEFT(BV40,4)="Pool",IF(LEN(INDEX($BE$4:$BJ$99,MATCH(BV40,$BE$4:$BE$99,0),3))=10,2,IF(LEN(INDEX($BE$4:$BJ$99,MATCH(BV40,$BE$4:$BE$99,0),3))&gt;10,LEN(INDEX($BE$4:$BJ$99,MATCH(BV40,$BE$4:$BE$99,0),3))-8,1)),IF(INDEX(Calculation_Tab,MATCH(BV40,Identifier,0),10)&gt;1,INDEX(Calculation_Tab,MATCH(BV40,Identifier,0),10),1)))*(1+Calculation!$Q$6),"-")</f>
        <v>-</v>
      </c>
      <c r="CA40" s="510" t="str">
        <f ca="1">IFERROR(IF((BZ40*Calculation!$AG$6/0.05)-SUM(BY40:BZ40,CC40)&gt;0,(BZ40*Calculation!$AG$6/0.05)-SUM(BY40:BZ40,CC40),0),"-")</f>
        <v>-</v>
      </c>
      <c r="CB40" s="510" t="str">
        <f ca="1">IFERROR(5/50*CE40*(IF(LEFT(BV40,4)="Pool",IF(LEN(INDEX($BE$4:$BJ$99,MATCH(BV40,$BE$4:$BE$99,0),3))=10,2,IF(LEN(INDEX($BE$4:$BJ$99,MATCH(BV40,$BE$4:$BE$99,0),3))&gt;10,LEN(INDEX($BE$4:$BJ$99,MATCH(BV40,$BE$4:$BE$99,0),3))-8,1)),IF(INDEX(Calculation_Tab,MATCH(BV40,Identifier,0),10)&gt;1,INDEX(Calculation_Tab,MATCH(BV40,Identifier,0),10),1)))*(1+Calculation!$Q$6),"-")</f>
        <v>-</v>
      </c>
      <c r="CC40" s="508" t="str">
        <f ca="1">IFERROR(ROUND(INDEX(Cluster,MATCH(IF(LEFT(BV40,4)="Pool",INDEX(Cluster,MATCH(INDEX(Calculation_Tab,MATCH(INDEX($BE$4:$BJ$99,MATCH(BV40,$BE$4:$BE$99,0),3),Flow_Cell_Lane,0),3),Cluster!$F$29:$F$412,0),6),BV40),Identifier_Cluster,0),20)*IF(LEFT(BV40,4)="pool",IF(LEN(INDEX($BE$4:$BJ$99,MATCH(BV40,$BE$4:$BE$99,0),3))=10,2,IF(LEN(INDEX($BE$4:$BJ$99,MATCH(BV40,$BE$4:$BE$99,0),3))&gt;10,LEN(INDEX($BE$4:$BJ$99,MATCH(BV40,$BE$4:$BE$99,0),3))-8,1)),1)*IF(LEFT(BV40,4)="pool",IF(INDEX($BE$4:$BJ$99,MATCH(BV40,$BE$4:$BE$99,0),6)&lt;1,1,INDEX($BE$4:$BJ$99,MATCH(BV40,$BE$4:$BE$99,0),6)),INDEX(Calculation_Tab,MATCH(BV40,Identifier,0),10)),1)*(1+Calculation!$Q$6),"-")</f>
        <v>-</v>
      </c>
      <c r="CD40" s="509" t="str">
        <f ca="1">IFERROR(INDEX(Cluster!AC:AD,MATCH(IF(LEFT(BV40,4)="Pool",INDEX(Cluster!$D$29:$AA$412,MATCH(INDEX(Calculation_Tab,MATCH(INDEX($BE$4:$BJ$99,MATCH(BV40,$BE$4:$BE$99,0),3),Flow_Cell_Lane,0),3),Cluster!$F$29:$F$412,0),24),INDEX(Cluster!$D$29:$AA$412,MATCH(BV40,Cluster!$F$29:$F$412,0),24)),Cluster!AC:AC,0),2),"-")</f>
        <v>-</v>
      </c>
      <c r="CE40" s="378" t="str">
        <f ca="1">IFERROR(IF(BV40&lt;&gt;"-",Calculation!$AK$6,"-"),"-")</f>
        <v>-</v>
      </c>
      <c r="CF40" s="378" t="str">
        <f ca="1">IF(OR(LEFT(ListAndConversion!BW40,3)="Dil",LEFT(ListAndConversion!BW40,3)="Poo"),ListAndConversion!$BT$4,IF(LEFT(ListAndConversion!BW40,3)="Sou",INDEX(ListAndConversion!$AT$3:$AV$387,MATCH(ListAndConversion!BV40,ListAndConversion!$AV$3:$AV$387,0),1),"-"))</f>
        <v>-</v>
      </c>
      <c r="CG40" s="498" t="str">
        <f ca="1">IF(OR(LEFT(ListAndConversion!BW40,3)="Dil",LEFT(ListAndConversion!BW40,3)="Poo"),ListAndConversion!BU40,IF(LEFT(ListAndConversion!BW40,3)="Sou",INDEX(ListAndConversion!$AT$4:$AV$387,MATCH(ListAndConversion!BV40,ListAndConversion!$AV$4:$AV$387,0),2),"-"))</f>
        <v>-</v>
      </c>
      <c r="CH40" s="516"/>
      <c r="CI40" s="487" t="str">
        <f t="shared" ca="1" si="19"/>
        <v>-</v>
      </c>
      <c r="CJ40" s="378" t="str">
        <f t="shared" ca="1" si="30"/>
        <v>-</v>
      </c>
      <c r="CK40" s="378" t="str">
        <f t="shared" ca="1" si="30"/>
        <v>-</v>
      </c>
      <c r="CL40" s="378" t="str">
        <f t="shared" ca="1" si="30"/>
        <v>-</v>
      </c>
      <c r="CM40" s="378" t="str">
        <f t="shared" ca="1" si="30"/>
        <v>-</v>
      </c>
      <c r="CN40" s="378" t="str">
        <f t="shared" ca="1" si="30"/>
        <v>-</v>
      </c>
      <c r="CO40" s="378" t="str">
        <f t="shared" ca="1" si="30"/>
        <v>-</v>
      </c>
      <c r="CP40" s="378" t="str">
        <f t="shared" ca="1" si="30"/>
        <v>-</v>
      </c>
      <c r="CQ40" s="378" t="str">
        <f t="shared" ca="1" si="30"/>
        <v>-</v>
      </c>
      <c r="CR40" s="510" t="str">
        <f ca="1">IFERROR(IF(LEFT(BW40,3)="Poo",INDEX($BE$4:$BJ$99,MATCH(CI40,$BG$4:$BG$99,0),6)*((15/50))*Calculation!$AK$6,INDEX(Calculation_Tab,MATCH(BV40,Identifier,0),10)/(IF(LEN(INDEX(Calculation_Tab,MATCH(BV40,Identifier,0),9))&gt;8,LEN(INDEX(Calculation_Tab,MATCH(BV40,Identifier,0),9))-8,1))*((15/50)*Calculation!$AK$6)),"-")</f>
        <v>-</v>
      </c>
      <c r="CS40" s="498" t="str">
        <f ca="1">IF(CI40="-","-",IF(COUNTIF($CI$3:CI40,CI40)&gt;1,0,IFERROR((35/50)*Calculation!$AK$6,"-")))</f>
        <v>-</v>
      </c>
    </row>
    <row r="41" spans="4:97" x14ac:dyDescent="0.5">
      <c r="D41" s="487" t="e">
        <f t="shared" si="0"/>
        <v>#DIV/0!</v>
      </c>
      <c r="E41" s="496" t="e">
        <f t="array" ref="E41">IF(IF((ROW(E41)-3)&lt;(ListAndConversion!$A$15),INDEX(Flow_Cell_Lane,MIN(IF(COUNTIF($E$2:E40,Flow_Cell_Lane)=0,ROW(Flow_Cell_Lane)-9))),"-")="","-",IF((ROW(E41)-3)&lt;(ListAndConversion!$A$15),INDEX(Flow_Cell_Lane,MIN(IF(COUNTIF($E$2:E40,Flow_Cell_Lane)=0,ROW(Flow_Cell_Lane)-9))),"-"))</f>
        <v>#DIV/0!</v>
      </c>
      <c r="F41" s="378" t="e">
        <f t="shared" si="1"/>
        <v>#DIV/0!</v>
      </c>
      <c r="G41" s="378" t="e">
        <f t="shared" si="29"/>
        <v>#DIV/0!</v>
      </c>
      <c r="H41" s="378" t="e">
        <f t="shared" si="29"/>
        <v>#DIV/0!</v>
      </c>
      <c r="I41" s="378" t="e">
        <f t="shared" si="29"/>
        <v>#DIV/0!</v>
      </c>
      <c r="J41" s="378" t="e">
        <f t="shared" si="29"/>
        <v>#DIV/0!</v>
      </c>
      <c r="K41" s="378" t="e">
        <f t="shared" si="29"/>
        <v>#DIV/0!</v>
      </c>
      <c r="L41" s="378" t="e">
        <f t="shared" si="29"/>
        <v>#DIV/0!</v>
      </c>
      <c r="M41" s="378" t="e">
        <f t="shared" si="29"/>
        <v>#DIV/0!</v>
      </c>
      <c r="N41" s="497" t="e">
        <f t="shared" si="3"/>
        <v>#DIV/0!</v>
      </c>
      <c r="O41" s="497" t="str">
        <f t="array" ref="O41">IFERROR(INDEX(Calculation!I:AN,MATCH(ListAndConversion!E41,Calculation!I:I,0),31),"-")</f>
        <v>-</v>
      </c>
      <c r="P41" s="498">
        <f>IF(COUNTIFS(Calculation!$I$10:$I$393,E41,Direct_Denaturation,"-")&lt;&gt;1,COUNTIFS(Calculation!$I$10:$I$393,E41,Direct_Denaturation,"-"),0)</f>
        <v>0</v>
      </c>
      <c r="Q41" s="378"/>
      <c r="R41" s="487" t="e">
        <f t="array" ref="R41">IF(IF((ROW(R41)-3)&lt;(Calculation!$H$6),INDEX(Flow_Cell,MIN(IF(COUNTIF($R$2:R40,Flow_Cell)=0,ROW(Flow_Cell)-9))),"-")="","-",IF((ROW(R41)-3)&lt;(Calculation!$H$6),INDEX(Flow_Cell,MIN(IF(COUNTIF($R$2:R40,Flow_Cell)=0,ROW(Flow_Cell)-9))),"-"))</f>
        <v>#DIV/0!</v>
      </c>
      <c r="S41" s="378" t="e">
        <f t="shared" si="31"/>
        <v>#DIV/0!</v>
      </c>
      <c r="T41" s="378">
        <v>7</v>
      </c>
      <c r="U41" s="498">
        <v>39</v>
      </c>
      <c r="V41" s="487">
        <v>38</v>
      </c>
      <c r="W41" s="497" t="s">
        <v>287</v>
      </c>
      <c r="X41" s="497" t="s">
        <v>363</v>
      </c>
      <c r="Y41" s="378">
        <v>38</v>
      </c>
      <c r="Z41" s="378" t="str">
        <f t="shared" ca="1" si="32"/>
        <v>-</v>
      </c>
      <c r="AA41" s="508" t="str">
        <f t="array" aca="1" ref="AA41" ca="1">IFERROR(INDEX(Calculation_Tab,SMALL(ROW(Sample_Intermediate_Dil)*(Sample_Intermediate_Dil&lt;&gt;"-"),COUNTIF(Sample_Intermediate_Dil,"-")+ROW()-3)-9,5),"-")</f>
        <v>-</v>
      </c>
      <c r="AB41" s="378" t="str">
        <f t="array" aca="1" ref="AB41" ca="1">IFERROR(INDEX($A$3:$B$12,MATCH(INDEX(Calculation_Tab,SMALL(ROW(Sample_Intermediate_Dil)*(Sample_Intermediate_Dil&lt;&gt;"-"),COUNTIF(Sample_Intermediate_Dil,"-")+ROW()-3)-9,5),$A$3:$A$12,0),2),"-")</f>
        <v>-</v>
      </c>
      <c r="AC41" s="509" t="str">
        <f t="array" aca="1" ref="AC41" ca="1">IFERROR(INDEX(Coordinate,MATCH(INDEX(Calculation_Tab,SMALL(ROW(Sample_Intermediate_Dil)*(Sample_Intermediate_Dil&lt;&gt;"-"),COUNTIF(Sample_Intermediate_Dil,"-")+ROW()-3)-9,6),$X$4:$X$99,0),2),"-")</f>
        <v>-</v>
      </c>
      <c r="AD41" s="510" t="str">
        <f t="array" aca="1" ref="AD41" ca="1">IFERROR(INDEX(Calculation_Tab,SMALL(ROW(Sample_Intermediate_Dil)*(Sample_Intermediate_Dil&lt;&gt;"-"),COUNTIF(Sample_Intermediate_Dil,"-")+ROW()-3)-9,24),"-")</f>
        <v>-</v>
      </c>
      <c r="AE41" s="510" t="str">
        <f t="array" aca="1" ref="AE41" ca="1">IFERROR(INDEX(Calculation_Tab,SMALL(ROW(Sample_Intermediate_Dil)*(Sample_Intermediate_Dil&lt;&gt;"-"),COUNTIF(Sample_Intermediate_Dil,"-")+ROW()-3)-9,25),"-")</f>
        <v>-</v>
      </c>
      <c r="AF41" s="510" t="str">
        <f t="array" aca="1" ref="AF41" ca="1">IFERROR(INDEX(Calculation_Tab,SMALL(ROW(Sample_Intermediate_Dil)*(Sample_Intermediate_Dil&lt;&gt;"-"),COUNTIF(Sample_Intermediate_Dil,"-")+ROW()-3)-9,26),"-")</f>
        <v>-</v>
      </c>
      <c r="AG41" s="511" t="str">
        <f t="array" aca="1" ref="AG41" ca="1">IFERROR(INDEX(Calculation_Tab,SMALL(ROW(Sample_Intermediate_Dil)*(Sample_Intermediate_Dil&lt;&gt;"-"),COUNTIF(Sample_Intermediate_Dil,"-")+ROW()-3)-9,27),"-")</f>
        <v>-</v>
      </c>
      <c r="AI41" s="487">
        <v>38</v>
      </c>
      <c r="AJ41" s="497" t="s">
        <v>160</v>
      </c>
      <c r="AK41" s="378">
        <v>38</v>
      </c>
      <c r="AL41" s="378" t="str">
        <f t="shared" ca="1" si="6"/>
        <v>-</v>
      </c>
      <c r="AM41" s="378" t="str">
        <f t="array" aca="1" ref="AM41" ca="1">IFERROR(IF(AI41&lt;=$AB$2,"-",INDEX(Calculation_Tab,SMALL(ROW(Main_Dil)*(Main_Dil&lt;&gt;"-"),COUNTIF(Main_Dil,"-")+ROW()-3-$AB$2)-9,5)),"-")</f>
        <v>-</v>
      </c>
      <c r="AN41" s="378" t="str">
        <f t="array" aca="1" ref="AN41" ca="1">IFERROR(IF(AI41&lt;=$AB$2,"-",INDEX($A$3:$B$12,MATCH(INDEX(Calculation_Tab,SMALL(ROW(Main_Dil)*(Main_Dil&lt;&gt;"-"),COUNTIF(Main_Dil,"-")+ROW()-3-$AB$2)-9,5),$A$3:$A$12,0),2)),"-")</f>
        <v>-</v>
      </c>
      <c r="AO41" s="378" t="str">
        <f t="array" aca="1" ref="AO41" ca="1">IFERROR(IF(AI41&lt;=$AB$2,"-",INDEX(Coordinate,MATCH(INDEX(Calculation_Tab,SMALL(ROW(Main_Dil)*(Main_Dil&lt;&gt;"-"),COUNTIF(Main_Dil,"-")+ROW()-3-$AB$2)-9,6),$X$4:$X$99,0),2)),"-")</f>
        <v>-</v>
      </c>
      <c r="AP41" s="510" t="str">
        <f t="array" aca="1" ref="AP41" ca="1">IFERROR(IF(AI41&lt;=$AB$2,"-",INDEX(Calculation_Tab,SMALL(ROW(Main_Dil)*(Main_Dil&lt;&gt;"-"),COUNTIF(Main_Dil,"-")+ROW()-3-$AB$2)-9,21)),"-")</f>
        <v>-</v>
      </c>
      <c r="AQ41" s="511" t="str">
        <f t="array" aca="1" ref="AQ41" ca="1">IFERROR(IF(AI41&lt;=$AB$2,"-",INDEX(Calculation_Tab,SMALL(ROW(Main_Dil)*(Main_Dil&lt;&gt;"-"),COUNTIF(Main_Dil,"-")+ROW()-3-$AB$2)-9,22)),"-")</f>
        <v>-</v>
      </c>
      <c r="AR41" s="487" t="str">
        <f t="shared" ca="1" si="7"/>
        <v>-</v>
      </c>
      <c r="AS41" s="378">
        <v>38</v>
      </c>
      <c r="AT41" s="497" t="s">
        <v>160</v>
      </c>
      <c r="AU41" s="498">
        <v>38</v>
      </c>
      <c r="AV41" s="378" t="str">
        <f t="shared" ca="1" si="8"/>
        <v>-</v>
      </c>
      <c r="AW41" s="378" t="str">
        <f t="array" aca="1" ref="AW41" ca="1">IFERROR(IF(AS41&lt;=$AB$2+$AN$2,"-",INDEX(Calculation_Tab,SMALL(ROW(Direct_Denaturation)*(Direct_Denaturation&lt;&gt;"-"),COUNTIF(Direct_Denaturation,"-")+ROW()-3-$AB$2-$AN$2)-9,5)),"-")</f>
        <v>-</v>
      </c>
      <c r="AX41" s="378" t="str">
        <f t="array" aca="1" ref="AX41" ca="1">IFERROR(IF(AS41&lt;=$AB$2+$AN$2,"-",INDEX($A$3:$B$12,MATCH(INDEX(Calculation_Tab,SMALL(ROW(Direct_Denaturation)*(Direct_Denaturation&lt;&gt;"-"),COUNTIF(Direct_Denaturation,"-")+ROW()-3-$AB$2-$AN$2)-9,5),$A$3:$A$12,0),2)),"-")</f>
        <v>-</v>
      </c>
      <c r="AY41" s="378" t="str">
        <f t="array" aca="1" ref="AY41" ca="1">IFERROR(IF(AS41&lt;=$AB$2+$AN$2,"-",INDEX(Coordinate,MATCH(INDEX(Calculation_Tab,SMALL(ROW(Direct_Denaturation)*(Direct_Denaturation&lt;&gt;"-"),COUNTIF(Direct_Denaturation,"-")+ROW()-3-$AB$2-$AN$2)-9,6),$X$4:$X$99,0),2)),"-")</f>
        <v>-</v>
      </c>
      <c r="AZ41" s="510" t="str">
        <f t="array" aca="1" ref="AZ41" ca="1">IFERROR(IF(AS41&lt;=$AB$2+$AN$2,"-",INDEX(Calculation_Tab,SMALL(ROW(Direct_Denaturation)*(Direct_Denaturation&lt;&gt;"-"),COUNTIF(Direct_Denaturation,"-")+ROW()-3-$AB$2-$AN$2)-9,32)),"-")</f>
        <v>-</v>
      </c>
      <c r="BA41" s="510" t="str">
        <f t="array" aca="1" ref="BA41" ca="1">IFERROR(IF(AS41&lt;=$AB$2+$AN$2,"-",INDEX(Calculation_Tab,SMALL(ROW(Direct_Denaturation)*(Direct_Denaturation&lt;&gt;"-"),COUNTIF(Direct_Denaturation,"-")+ROW()-3-$AB$2-$AN$2)-9,34)),"-")</f>
        <v>-</v>
      </c>
      <c r="BB41" s="510" t="str">
        <f t="array" aca="1" ref="BB41" ca="1">IFERROR(IF(AS41&lt;=$AB$2+$AN$2,"-",INDEX(Calculation_Tab,SMALL(ROW(Direct_Denaturation)*(Direct_Denaturation&lt;&gt;"-"),COUNTIF(Direct_Denaturation,"-")+ROW()-3-$AB$2-$AN$2)-9,33)),"-")</f>
        <v>-</v>
      </c>
      <c r="BC41" s="510" t="str">
        <f t="array" aca="1" ref="BC41" ca="1">IFERROR(IF(AS41&lt;=$AB$2+$AN$2,"-",INDEX(Calculation_Tab,SMALL(ROW(Direct_Denaturation)*(Direct_Denaturation&lt;&gt;"-"),COUNTIF(Direct_Denaturation,"-")+ROW()-3-$AB$2-$AN$2)-9,35)),"-")</f>
        <v>-</v>
      </c>
      <c r="BD41" s="511" t="str">
        <f t="shared" ca="1" si="9"/>
        <v>-</v>
      </c>
      <c r="BE41" s="494" t="s">
        <v>364</v>
      </c>
      <c r="BF41" s="378">
        <v>38</v>
      </c>
      <c r="BG41" s="515" t="str">
        <v>-</v>
      </c>
      <c r="BH41" s="516" t="str">
        <f>IFERROR(IF((Calculation!$AR$6/INDEX(ListAndConversion!D:P,MATCH(BG41,E:E,0),13))&lt;Calculation!$O$6,INDEX(ListAndConversion!D:P,MATCH(BG41,E:E,0),13)*Calculation!$O$6,Calculation!$AR$6),"-")</f>
        <v>-</v>
      </c>
      <c r="BI41" s="517" t="str">
        <f t="shared" si="33"/>
        <v>-</v>
      </c>
      <c r="BJ41" s="518" t="str">
        <f t="shared" si="34"/>
        <v>-</v>
      </c>
      <c r="BK41" s="378" t="s">
        <v>158</v>
      </c>
      <c r="BL41" s="378">
        <v>38</v>
      </c>
      <c r="BM41" s="487" t="str">
        <f t="array" aca="1" ref="BM41" ca="1">IFERROR(INDEX(Calculation_Tab,SMALL(ROW(ToPool)*(ToPool&lt;&gt;"-"),COUNTIF(ToPool,"-")+ROW()-3)-9,3),"-")</f>
        <v>-</v>
      </c>
      <c r="BN41" s="378" t="str">
        <f t="shared" ca="1" si="12"/>
        <v>-</v>
      </c>
      <c r="BO41" s="378" t="str">
        <f t="shared" ca="1" si="13"/>
        <v>-</v>
      </c>
      <c r="BP41" s="523" t="str">
        <f t="shared" ca="1" si="14"/>
        <v>-</v>
      </c>
      <c r="BQ41" s="378" t="str">
        <f t="array" aca="1" ref="BQ41" ca="1">IFERROR(INDEX(BE:BG,MATCH(INDEX(Calculation_Tab,SMALL(ROW(ToPool)*(ToPool&lt;&gt;"-"),COUNTIF(ToPool,"-")+ROW()-3)-9,9),BG:BG,0),2),"-")</f>
        <v>-</v>
      </c>
      <c r="BR41" s="510" t="str">
        <f t="shared" ca="1" si="15"/>
        <v>-</v>
      </c>
      <c r="BS41" s="511" t="str">
        <f t="shared" ca="1" si="16"/>
        <v>-</v>
      </c>
      <c r="BT41" s="378" t="s">
        <v>164</v>
      </c>
      <c r="BU41" s="487" t="str">
        <f t="shared" ca="1" si="21"/>
        <v>-</v>
      </c>
      <c r="BV41" s="487" t="str">
        <f t="array" aca="1" ref="BV4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41" s="378" t="str">
        <f t="shared" ca="1" si="17"/>
        <v>-</v>
      </c>
      <c r="BX41" s="378" t="str">
        <f t="shared" ca="1" si="18"/>
        <v>-</v>
      </c>
      <c r="BY41" s="510" t="str">
        <f ca="1">IFERROR(ROUND(INDEX(Cluster,MATCH(IF(LEFT(BV41,4)="Pool",INDEX(Cluster,MATCH(INDEX(Calculation_Tab,MATCH(INDEX($BE$4:$BJ$99,MATCH(BV41,$BE$4:$BE$99,0),3),Flow_Cell_Lane,0),3),Cluster!$F$29:$F$412,0),6),BV41),Identifier_Cluster,0),19)*IF(LEFT(BV41,4)="pool",IF(LEN(INDEX($BE$4:$BJ$99,MATCH(BV41,$BE$4:$BE$99,0),3))=10,2,IF(LEN(INDEX($BE$4:$BJ$99,MATCH(BV41,$BE$4:$BE$99,0),3))&gt;10,LEN(INDEX($BE$4:$BJ$99,MATCH(BV41,$BE$4:$BE$99,0),3))-8,1)),1)*IF(LEFT(BV41,4)="pool",IF(INDEX($BE$4:$BJ$99,MATCH(BV41,$BE$4:$BE$99,0),6)&lt;1,1,INDEX($BE$4:$BJ$99,MATCH(BV41,$BE$4:$BE$99,0),6)),INDEX(Calculation_Tab,MATCH(BV41,Identifier,0),10)),1)*(1+Calculation!$Q$6),"-")</f>
        <v>-</v>
      </c>
      <c r="BZ41" s="378" t="str">
        <f ca="1">IFERROR((0.5/50)*CE41/Calculation!$AG$6*(IF(LEFT(BV41,4)="Pool",IF(LEN(INDEX($BE$4:$BJ$99,MATCH(BV41,$BE$4:$BE$99,0),3))=10,2,IF(LEN(INDEX($BE$4:$BJ$99,MATCH(BV41,$BE$4:$BE$99,0),3))&gt;10,LEN(INDEX($BE$4:$BJ$99,MATCH(BV41,$BE$4:$BE$99,0),3))-8,1)),IF(INDEX(Calculation_Tab,MATCH(BV41,Identifier,0),10)&gt;1,INDEX(Calculation_Tab,MATCH(BV41,Identifier,0),10),1)))*(1+Calculation!$Q$6),"-")</f>
        <v>-</v>
      </c>
      <c r="CA41" s="510" t="str">
        <f ca="1">IFERROR(IF((BZ41*Calculation!$AG$6/0.05)-SUM(BY41:BZ41,CC41)&gt;0,(BZ41*Calculation!$AG$6/0.05)-SUM(BY41:BZ41,CC41),0),"-")</f>
        <v>-</v>
      </c>
      <c r="CB41" s="510" t="str">
        <f ca="1">IFERROR(5/50*CE41*(IF(LEFT(BV41,4)="Pool",IF(LEN(INDEX($BE$4:$BJ$99,MATCH(BV41,$BE$4:$BE$99,0),3))=10,2,IF(LEN(INDEX($BE$4:$BJ$99,MATCH(BV41,$BE$4:$BE$99,0),3))&gt;10,LEN(INDEX($BE$4:$BJ$99,MATCH(BV41,$BE$4:$BE$99,0),3))-8,1)),IF(INDEX(Calculation_Tab,MATCH(BV41,Identifier,0),10)&gt;1,INDEX(Calculation_Tab,MATCH(BV41,Identifier,0),10),1)))*(1+Calculation!$Q$6),"-")</f>
        <v>-</v>
      </c>
      <c r="CC41" s="508" t="str">
        <f ca="1">IFERROR(ROUND(INDEX(Cluster,MATCH(IF(LEFT(BV41,4)="Pool",INDEX(Cluster,MATCH(INDEX(Calculation_Tab,MATCH(INDEX($BE$4:$BJ$99,MATCH(BV41,$BE$4:$BE$99,0),3),Flow_Cell_Lane,0),3),Cluster!$F$29:$F$412,0),6),BV41),Identifier_Cluster,0),20)*IF(LEFT(BV41,4)="pool",IF(LEN(INDEX($BE$4:$BJ$99,MATCH(BV41,$BE$4:$BE$99,0),3))=10,2,IF(LEN(INDEX($BE$4:$BJ$99,MATCH(BV41,$BE$4:$BE$99,0),3))&gt;10,LEN(INDEX($BE$4:$BJ$99,MATCH(BV41,$BE$4:$BE$99,0),3))-8,1)),1)*IF(LEFT(BV41,4)="pool",IF(INDEX($BE$4:$BJ$99,MATCH(BV41,$BE$4:$BE$99,0),6)&lt;1,1,INDEX($BE$4:$BJ$99,MATCH(BV41,$BE$4:$BE$99,0),6)),INDEX(Calculation_Tab,MATCH(BV41,Identifier,0),10)),1)*(1+Calculation!$Q$6),"-")</f>
        <v>-</v>
      </c>
      <c r="CD41" s="509" t="str">
        <f ca="1">IFERROR(INDEX(Cluster!AC:AD,MATCH(IF(LEFT(BV41,4)="Pool",INDEX(Cluster!$D$29:$AA$412,MATCH(INDEX(Calculation_Tab,MATCH(INDEX($BE$4:$BJ$99,MATCH(BV41,$BE$4:$BE$99,0),3),Flow_Cell_Lane,0),3),Cluster!$F$29:$F$412,0),24),INDEX(Cluster!$D$29:$AA$412,MATCH(BV41,Cluster!$F$29:$F$412,0),24)),Cluster!AC:AC,0),2),"-")</f>
        <v>-</v>
      </c>
      <c r="CE41" s="378" t="str">
        <f ca="1">IFERROR(IF(BV41&lt;&gt;"-",Calculation!$AK$6,"-"),"-")</f>
        <v>-</v>
      </c>
      <c r="CF41" s="378" t="str">
        <f ca="1">IF(OR(LEFT(ListAndConversion!BW41,3)="Dil",LEFT(ListAndConversion!BW41,3)="Poo"),ListAndConversion!$BT$4,IF(LEFT(ListAndConversion!BW41,3)="Sou",INDEX(ListAndConversion!$AT$3:$AV$387,MATCH(ListAndConversion!BV41,ListAndConversion!$AV$3:$AV$387,0),1),"-"))</f>
        <v>-</v>
      </c>
      <c r="CG41" s="498" t="str">
        <f ca="1">IF(OR(LEFT(ListAndConversion!BW41,3)="Dil",LEFT(ListAndConversion!BW41,3)="Poo"),ListAndConversion!BU41,IF(LEFT(ListAndConversion!BW41,3)="Sou",INDEX(ListAndConversion!$AT$4:$AV$387,MATCH(ListAndConversion!BV41,ListAndConversion!$AV$4:$AV$387,0),2),"-"))</f>
        <v>-</v>
      </c>
      <c r="CH41" s="378"/>
      <c r="CI41" s="487" t="str">
        <f t="shared" ca="1" si="19"/>
        <v>-</v>
      </c>
      <c r="CJ41" s="378" t="str">
        <f t="shared" ca="1" si="30"/>
        <v>-</v>
      </c>
      <c r="CK41" s="378" t="str">
        <f t="shared" ca="1" si="30"/>
        <v>-</v>
      </c>
      <c r="CL41" s="378" t="str">
        <f t="shared" ca="1" si="30"/>
        <v>-</v>
      </c>
      <c r="CM41" s="378" t="str">
        <f t="shared" ca="1" si="30"/>
        <v>-</v>
      </c>
      <c r="CN41" s="378" t="str">
        <f t="shared" ca="1" si="30"/>
        <v>-</v>
      </c>
      <c r="CO41" s="378" t="str">
        <f t="shared" ca="1" si="30"/>
        <v>-</v>
      </c>
      <c r="CP41" s="378" t="str">
        <f t="shared" ca="1" si="30"/>
        <v>-</v>
      </c>
      <c r="CQ41" s="378" t="str">
        <f t="shared" ca="1" si="30"/>
        <v>-</v>
      </c>
      <c r="CR41" s="510" t="str">
        <f ca="1">IFERROR(IF(LEFT(BW41,3)="Poo",INDEX($BE$4:$BJ$99,MATCH(CI41,$BG$4:$BG$99,0),6)*((15/50))*Calculation!$AK$6,INDEX(Calculation_Tab,MATCH(BV41,Identifier,0),10)/(IF(LEN(INDEX(Calculation_Tab,MATCH(BV41,Identifier,0),9))&gt;8,LEN(INDEX(Calculation_Tab,MATCH(BV41,Identifier,0),9))-8,1))*((15/50)*Calculation!$AK$6)),"-")</f>
        <v>-</v>
      </c>
      <c r="CS41" s="498" t="str">
        <f ca="1">IF(CI41="-","-",IF(COUNTIF($CI$3:CI41,CI41)&gt;1,0,IFERROR((35/50)*Calculation!$AK$6,"-")))</f>
        <v>-</v>
      </c>
    </row>
    <row r="42" spans="4:97" x14ac:dyDescent="0.5">
      <c r="D42" s="487" t="e">
        <f t="shared" si="0"/>
        <v>#DIV/0!</v>
      </c>
      <c r="E42" s="496" t="e">
        <f t="array" ref="E42">IF(IF((ROW(E42)-3)&lt;(ListAndConversion!$A$15),INDEX(Flow_Cell_Lane,MIN(IF(COUNTIF($E$2:E41,Flow_Cell_Lane)=0,ROW(Flow_Cell_Lane)-9))),"-")="","-",IF((ROW(E42)-3)&lt;(ListAndConversion!$A$15),INDEX(Flow_Cell_Lane,MIN(IF(COUNTIF($E$2:E41,Flow_Cell_Lane)=0,ROW(Flow_Cell_Lane)-9))),"-"))</f>
        <v>#DIV/0!</v>
      </c>
      <c r="F42" s="378" t="e">
        <f t="shared" si="1"/>
        <v>#DIV/0!</v>
      </c>
      <c r="G42" s="378" t="e">
        <f t="shared" si="29"/>
        <v>#DIV/0!</v>
      </c>
      <c r="H42" s="378" t="e">
        <f t="shared" si="29"/>
        <v>#DIV/0!</v>
      </c>
      <c r="I42" s="378" t="e">
        <f t="shared" si="29"/>
        <v>#DIV/0!</v>
      </c>
      <c r="J42" s="378" t="e">
        <f t="shared" si="29"/>
        <v>#DIV/0!</v>
      </c>
      <c r="K42" s="378" t="e">
        <f t="shared" si="29"/>
        <v>#DIV/0!</v>
      </c>
      <c r="L42" s="378" t="e">
        <f t="shared" si="29"/>
        <v>#DIV/0!</v>
      </c>
      <c r="M42" s="378" t="e">
        <f t="shared" si="29"/>
        <v>#DIV/0!</v>
      </c>
      <c r="N42" s="497" t="e">
        <f t="shared" si="3"/>
        <v>#DIV/0!</v>
      </c>
      <c r="O42" s="497" t="str">
        <f t="array" ref="O42">IFERROR(INDEX(Calculation!I:AN,MATCH(ListAndConversion!E42,Calculation!I:I,0),31),"-")</f>
        <v>-</v>
      </c>
      <c r="P42" s="498">
        <f>IF(COUNTIFS(Calculation!$I$10:$I$393,E42,Direct_Denaturation,"-")&lt;&gt;1,COUNTIFS(Calculation!$I$10:$I$393,E42,Direct_Denaturation,"-"),0)</f>
        <v>0</v>
      </c>
      <c r="Q42" s="378"/>
      <c r="R42" s="487" t="e">
        <f t="array" ref="R42">IF(IF((ROW(R42)-3)&lt;(Calculation!$H$6),INDEX(Flow_Cell,MIN(IF(COUNTIF($R$2:R41,Flow_Cell)=0,ROW(Flow_Cell)-9))),"-")="","-",IF((ROW(R42)-3)&lt;(Calculation!$H$6),INDEX(Flow_Cell,MIN(IF(COUNTIF($R$2:R41,Flow_Cell)=0,ROW(Flow_Cell)-9))),"-"))</f>
        <v>#DIV/0!</v>
      </c>
      <c r="S42" s="378" t="e">
        <f t="shared" si="31"/>
        <v>#DIV/0!</v>
      </c>
      <c r="T42" s="378">
        <v>8</v>
      </c>
      <c r="U42" s="498">
        <v>40</v>
      </c>
      <c r="V42" s="487">
        <v>39</v>
      </c>
      <c r="W42" s="497" t="s">
        <v>287</v>
      </c>
      <c r="X42" s="497" t="s">
        <v>365</v>
      </c>
      <c r="Y42" s="378">
        <v>39</v>
      </c>
      <c r="Z42" s="378" t="str">
        <f t="shared" ca="1" si="32"/>
        <v>-</v>
      </c>
      <c r="AA42" s="508" t="str">
        <f t="array" aca="1" ref="AA42" ca="1">IFERROR(INDEX(Calculation_Tab,SMALL(ROW(Sample_Intermediate_Dil)*(Sample_Intermediate_Dil&lt;&gt;"-"),COUNTIF(Sample_Intermediate_Dil,"-")+ROW()-3)-9,5),"-")</f>
        <v>-</v>
      </c>
      <c r="AB42" s="378" t="str">
        <f t="array" aca="1" ref="AB42" ca="1">IFERROR(INDEX($A$3:$B$12,MATCH(INDEX(Calculation_Tab,SMALL(ROW(Sample_Intermediate_Dil)*(Sample_Intermediate_Dil&lt;&gt;"-"),COUNTIF(Sample_Intermediate_Dil,"-")+ROW()-3)-9,5),$A$3:$A$12,0),2),"-")</f>
        <v>-</v>
      </c>
      <c r="AC42" s="509" t="str">
        <f t="array" aca="1" ref="AC42" ca="1">IFERROR(INDEX(Coordinate,MATCH(INDEX(Calculation_Tab,SMALL(ROW(Sample_Intermediate_Dil)*(Sample_Intermediate_Dil&lt;&gt;"-"),COUNTIF(Sample_Intermediate_Dil,"-")+ROW()-3)-9,6),$X$4:$X$99,0),2),"-")</f>
        <v>-</v>
      </c>
      <c r="AD42" s="510" t="str">
        <f t="array" aca="1" ref="AD42" ca="1">IFERROR(INDEX(Calculation_Tab,SMALL(ROW(Sample_Intermediate_Dil)*(Sample_Intermediate_Dil&lt;&gt;"-"),COUNTIF(Sample_Intermediate_Dil,"-")+ROW()-3)-9,24),"-")</f>
        <v>-</v>
      </c>
      <c r="AE42" s="510" t="str">
        <f t="array" aca="1" ref="AE42" ca="1">IFERROR(INDEX(Calculation_Tab,SMALL(ROW(Sample_Intermediate_Dil)*(Sample_Intermediate_Dil&lt;&gt;"-"),COUNTIF(Sample_Intermediate_Dil,"-")+ROW()-3)-9,25),"-")</f>
        <v>-</v>
      </c>
      <c r="AF42" s="510" t="str">
        <f t="array" aca="1" ref="AF42" ca="1">IFERROR(INDEX(Calculation_Tab,SMALL(ROW(Sample_Intermediate_Dil)*(Sample_Intermediate_Dil&lt;&gt;"-"),COUNTIF(Sample_Intermediate_Dil,"-")+ROW()-3)-9,26),"-")</f>
        <v>-</v>
      </c>
      <c r="AG42" s="511" t="str">
        <f t="array" aca="1" ref="AG42" ca="1">IFERROR(INDEX(Calculation_Tab,SMALL(ROW(Sample_Intermediate_Dil)*(Sample_Intermediate_Dil&lt;&gt;"-"),COUNTIF(Sample_Intermediate_Dil,"-")+ROW()-3)-9,27),"-")</f>
        <v>-</v>
      </c>
      <c r="AI42" s="487">
        <v>39</v>
      </c>
      <c r="AJ42" s="497" t="s">
        <v>160</v>
      </c>
      <c r="AK42" s="378">
        <v>39</v>
      </c>
      <c r="AL42" s="378" t="str">
        <f t="shared" ca="1" si="6"/>
        <v>-</v>
      </c>
      <c r="AM42" s="378" t="str">
        <f t="array" aca="1" ref="AM42" ca="1">IFERROR(IF(AI42&lt;=$AB$2,"-",INDEX(Calculation_Tab,SMALL(ROW(Main_Dil)*(Main_Dil&lt;&gt;"-"),COUNTIF(Main_Dil,"-")+ROW()-3-$AB$2)-9,5)),"-")</f>
        <v>-</v>
      </c>
      <c r="AN42" s="378" t="str">
        <f t="array" aca="1" ref="AN42" ca="1">IFERROR(IF(AI42&lt;=$AB$2,"-",INDEX($A$3:$B$12,MATCH(INDEX(Calculation_Tab,SMALL(ROW(Main_Dil)*(Main_Dil&lt;&gt;"-"),COUNTIF(Main_Dil,"-")+ROW()-3-$AB$2)-9,5),$A$3:$A$12,0),2)),"-")</f>
        <v>-</v>
      </c>
      <c r="AO42" s="378" t="str">
        <f t="array" aca="1" ref="AO42" ca="1">IFERROR(IF(AI42&lt;=$AB$2,"-",INDEX(Coordinate,MATCH(INDEX(Calculation_Tab,SMALL(ROW(Main_Dil)*(Main_Dil&lt;&gt;"-"),COUNTIF(Main_Dil,"-")+ROW()-3-$AB$2)-9,6),$X$4:$X$99,0),2)),"-")</f>
        <v>-</v>
      </c>
      <c r="AP42" s="510" t="str">
        <f t="array" aca="1" ref="AP42" ca="1">IFERROR(IF(AI42&lt;=$AB$2,"-",INDEX(Calculation_Tab,SMALL(ROW(Main_Dil)*(Main_Dil&lt;&gt;"-"),COUNTIF(Main_Dil,"-")+ROW()-3-$AB$2)-9,21)),"-")</f>
        <v>-</v>
      </c>
      <c r="AQ42" s="511" t="str">
        <f t="array" aca="1" ref="AQ42" ca="1">IFERROR(IF(AI42&lt;=$AB$2,"-",INDEX(Calculation_Tab,SMALL(ROW(Main_Dil)*(Main_Dil&lt;&gt;"-"),COUNTIF(Main_Dil,"-")+ROW()-3-$AB$2)-9,22)),"-")</f>
        <v>-</v>
      </c>
      <c r="AR42" s="487" t="str">
        <f t="shared" ca="1" si="7"/>
        <v>-</v>
      </c>
      <c r="AS42" s="378">
        <v>39</v>
      </c>
      <c r="AT42" s="497" t="s">
        <v>160</v>
      </c>
      <c r="AU42" s="498">
        <v>39</v>
      </c>
      <c r="AV42" s="378" t="str">
        <f t="shared" ca="1" si="8"/>
        <v>-</v>
      </c>
      <c r="AW42" s="378" t="str">
        <f t="array" aca="1" ref="AW42" ca="1">IFERROR(IF(AS42&lt;=$AB$2+$AN$2,"-",INDEX(Calculation_Tab,SMALL(ROW(Direct_Denaturation)*(Direct_Denaturation&lt;&gt;"-"),COUNTIF(Direct_Denaturation,"-")+ROW()-3-$AB$2-$AN$2)-9,5)),"-")</f>
        <v>-</v>
      </c>
      <c r="AX42" s="378" t="str">
        <f t="array" aca="1" ref="AX42" ca="1">IFERROR(IF(AS42&lt;=$AB$2+$AN$2,"-",INDEX($A$3:$B$12,MATCH(INDEX(Calculation_Tab,SMALL(ROW(Direct_Denaturation)*(Direct_Denaturation&lt;&gt;"-"),COUNTIF(Direct_Denaturation,"-")+ROW()-3-$AB$2-$AN$2)-9,5),$A$3:$A$12,0),2)),"-")</f>
        <v>-</v>
      </c>
      <c r="AY42" s="378" t="str">
        <f t="array" aca="1" ref="AY42" ca="1">IFERROR(IF(AS42&lt;=$AB$2+$AN$2,"-",INDEX(Coordinate,MATCH(INDEX(Calculation_Tab,SMALL(ROW(Direct_Denaturation)*(Direct_Denaturation&lt;&gt;"-"),COUNTIF(Direct_Denaturation,"-")+ROW()-3-$AB$2-$AN$2)-9,6),$X$4:$X$99,0),2)),"-")</f>
        <v>-</v>
      </c>
      <c r="AZ42" s="510" t="str">
        <f t="array" aca="1" ref="AZ42" ca="1">IFERROR(IF(AS42&lt;=$AB$2+$AN$2,"-",INDEX(Calculation_Tab,SMALL(ROW(Direct_Denaturation)*(Direct_Denaturation&lt;&gt;"-"),COUNTIF(Direct_Denaturation,"-")+ROW()-3-$AB$2-$AN$2)-9,32)),"-")</f>
        <v>-</v>
      </c>
      <c r="BA42" s="510" t="str">
        <f t="array" aca="1" ref="BA42" ca="1">IFERROR(IF(AS42&lt;=$AB$2+$AN$2,"-",INDEX(Calculation_Tab,SMALL(ROW(Direct_Denaturation)*(Direct_Denaturation&lt;&gt;"-"),COUNTIF(Direct_Denaturation,"-")+ROW()-3-$AB$2-$AN$2)-9,34)),"-")</f>
        <v>-</v>
      </c>
      <c r="BB42" s="510" t="str">
        <f t="array" aca="1" ref="BB42" ca="1">IFERROR(IF(AS42&lt;=$AB$2+$AN$2,"-",INDEX(Calculation_Tab,SMALL(ROW(Direct_Denaturation)*(Direct_Denaturation&lt;&gt;"-"),COUNTIF(Direct_Denaturation,"-")+ROW()-3-$AB$2-$AN$2)-9,33)),"-")</f>
        <v>-</v>
      </c>
      <c r="BC42" s="510" t="str">
        <f t="array" aca="1" ref="BC42" ca="1">IFERROR(IF(AS42&lt;=$AB$2+$AN$2,"-",INDEX(Calculation_Tab,SMALL(ROW(Direct_Denaturation)*(Direct_Denaturation&lt;&gt;"-"),COUNTIF(Direct_Denaturation,"-")+ROW()-3-$AB$2-$AN$2)-9,35)),"-")</f>
        <v>-</v>
      </c>
      <c r="BD42" s="511" t="str">
        <f t="shared" ca="1" si="9"/>
        <v>-</v>
      </c>
      <c r="BE42" s="494" t="s">
        <v>366</v>
      </c>
      <c r="BF42" s="378">
        <v>39</v>
      </c>
      <c r="BG42" s="515" t="str">
        <v>-</v>
      </c>
      <c r="BH42" s="516" t="str">
        <f>IFERROR(IF((Calculation!$AR$6/INDEX(ListAndConversion!D:P,MATCH(BG42,E:E,0),13))&lt;Calculation!$O$6,INDEX(ListAndConversion!D:P,MATCH(BG42,E:E,0),13)*Calculation!$O$6,Calculation!$AR$6),"-")</f>
        <v>-</v>
      </c>
      <c r="BI42" s="517" t="str">
        <f t="shared" si="33"/>
        <v>-</v>
      </c>
      <c r="BJ42" s="518" t="str">
        <f t="shared" si="34"/>
        <v>-</v>
      </c>
      <c r="BK42" s="378" t="s">
        <v>158</v>
      </c>
      <c r="BL42" s="378">
        <v>39</v>
      </c>
      <c r="BM42" s="487" t="str">
        <f t="array" aca="1" ref="BM42" ca="1">IFERROR(INDEX(Calculation_Tab,SMALL(ROW(ToPool)*(ToPool&lt;&gt;"-"),COUNTIF(ToPool,"-")+ROW()-3)-9,3),"-")</f>
        <v>-</v>
      </c>
      <c r="BN42" s="378" t="str">
        <f t="shared" ca="1" si="12"/>
        <v>-</v>
      </c>
      <c r="BO42" s="378" t="str">
        <f t="shared" ca="1" si="13"/>
        <v>-</v>
      </c>
      <c r="BP42" s="523" t="str">
        <f t="shared" ca="1" si="14"/>
        <v>-</v>
      </c>
      <c r="BQ42" s="378" t="str">
        <f t="array" aca="1" ref="BQ42" ca="1">IFERROR(INDEX(BE:BG,MATCH(INDEX(Calculation_Tab,SMALL(ROW(ToPool)*(ToPool&lt;&gt;"-"),COUNTIF(ToPool,"-")+ROW()-3)-9,9),BG:BG,0),2),"-")</f>
        <v>-</v>
      </c>
      <c r="BR42" s="510" t="str">
        <f t="shared" ca="1" si="15"/>
        <v>-</v>
      </c>
      <c r="BS42" s="511" t="str">
        <f t="shared" ca="1" si="16"/>
        <v>-</v>
      </c>
      <c r="BT42" s="378" t="s">
        <v>164</v>
      </c>
      <c r="BU42" s="487" t="str">
        <f t="shared" ca="1" si="21"/>
        <v>-</v>
      </c>
      <c r="BV42" s="487" t="str">
        <f t="array" aca="1" ref="BV4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42" s="378" t="str">
        <f t="shared" ca="1" si="17"/>
        <v>-</v>
      </c>
      <c r="BX42" s="378" t="str">
        <f t="shared" ca="1" si="18"/>
        <v>-</v>
      </c>
      <c r="BY42" s="510" t="str">
        <f ca="1">IFERROR(ROUND(INDEX(Cluster,MATCH(IF(LEFT(BV42,4)="Pool",INDEX(Cluster,MATCH(INDEX(Calculation_Tab,MATCH(INDEX($BE$4:$BJ$99,MATCH(BV42,$BE$4:$BE$99,0),3),Flow_Cell_Lane,0),3),Cluster!$F$29:$F$412,0),6),BV42),Identifier_Cluster,0),19)*IF(LEFT(BV42,4)="pool",IF(LEN(INDEX($BE$4:$BJ$99,MATCH(BV42,$BE$4:$BE$99,0),3))=10,2,IF(LEN(INDEX($BE$4:$BJ$99,MATCH(BV42,$BE$4:$BE$99,0),3))&gt;10,LEN(INDEX($BE$4:$BJ$99,MATCH(BV42,$BE$4:$BE$99,0),3))-8,1)),1)*IF(LEFT(BV42,4)="pool",IF(INDEX($BE$4:$BJ$99,MATCH(BV42,$BE$4:$BE$99,0),6)&lt;1,1,INDEX($BE$4:$BJ$99,MATCH(BV42,$BE$4:$BE$99,0),6)),INDEX(Calculation_Tab,MATCH(BV42,Identifier,0),10)),1)*(1+Calculation!$Q$6),"-")</f>
        <v>-</v>
      </c>
      <c r="BZ42" s="378" t="str">
        <f ca="1">IFERROR((0.5/50)*CE42/Calculation!$AG$6*(IF(LEFT(BV42,4)="Pool",IF(LEN(INDEX($BE$4:$BJ$99,MATCH(BV42,$BE$4:$BE$99,0),3))=10,2,IF(LEN(INDEX($BE$4:$BJ$99,MATCH(BV42,$BE$4:$BE$99,0),3))&gt;10,LEN(INDEX($BE$4:$BJ$99,MATCH(BV42,$BE$4:$BE$99,0),3))-8,1)),IF(INDEX(Calculation_Tab,MATCH(BV42,Identifier,0),10)&gt;1,INDEX(Calculation_Tab,MATCH(BV42,Identifier,0),10),1)))*(1+Calculation!$Q$6),"-")</f>
        <v>-</v>
      </c>
      <c r="CA42" s="510" t="str">
        <f ca="1">IFERROR(IF((BZ42*Calculation!$AG$6/0.05)-SUM(BY42:BZ42,CC42)&gt;0,(BZ42*Calculation!$AG$6/0.05)-SUM(BY42:BZ42,CC42),0),"-")</f>
        <v>-</v>
      </c>
      <c r="CB42" s="510" t="str">
        <f ca="1">IFERROR(5/50*CE42*(IF(LEFT(BV42,4)="Pool",IF(LEN(INDEX($BE$4:$BJ$99,MATCH(BV42,$BE$4:$BE$99,0),3))=10,2,IF(LEN(INDEX($BE$4:$BJ$99,MATCH(BV42,$BE$4:$BE$99,0),3))&gt;10,LEN(INDEX($BE$4:$BJ$99,MATCH(BV42,$BE$4:$BE$99,0),3))-8,1)),IF(INDEX(Calculation_Tab,MATCH(BV42,Identifier,0),10)&gt;1,INDEX(Calculation_Tab,MATCH(BV42,Identifier,0),10),1)))*(1+Calculation!$Q$6),"-")</f>
        <v>-</v>
      </c>
      <c r="CC42" s="508" t="str">
        <f ca="1">IFERROR(ROUND(INDEX(Cluster,MATCH(IF(LEFT(BV42,4)="Pool",INDEX(Cluster,MATCH(INDEX(Calculation_Tab,MATCH(INDEX($BE$4:$BJ$99,MATCH(BV42,$BE$4:$BE$99,0),3),Flow_Cell_Lane,0),3),Cluster!$F$29:$F$412,0),6),BV42),Identifier_Cluster,0),20)*IF(LEFT(BV42,4)="pool",IF(LEN(INDEX($BE$4:$BJ$99,MATCH(BV42,$BE$4:$BE$99,0),3))=10,2,IF(LEN(INDEX($BE$4:$BJ$99,MATCH(BV42,$BE$4:$BE$99,0),3))&gt;10,LEN(INDEX($BE$4:$BJ$99,MATCH(BV42,$BE$4:$BE$99,0),3))-8,1)),1)*IF(LEFT(BV42,4)="pool",IF(INDEX($BE$4:$BJ$99,MATCH(BV42,$BE$4:$BE$99,0),6)&lt;1,1,INDEX($BE$4:$BJ$99,MATCH(BV42,$BE$4:$BE$99,0),6)),INDEX(Calculation_Tab,MATCH(BV42,Identifier,0),10)),1)*(1+Calculation!$Q$6),"-")</f>
        <v>-</v>
      </c>
      <c r="CD42" s="509" t="str">
        <f ca="1">IFERROR(INDEX(Cluster!AC:AD,MATCH(IF(LEFT(BV42,4)="Pool",INDEX(Cluster!$D$29:$AA$412,MATCH(INDEX(Calculation_Tab,MATCH(INDEX($BE$4:$BJ$99,MATCH(BV42,$BE$4:$BE$99,0),3),Flow_Cell_Lane,0),3),Cluster!$F$29:$F$412,0),24),INDEX(Cluster!$D$29:$AA$412,MATCH(BV42,Cluster!$F$29:$F$412,0),24)),Cluster!AC:AC,0),2),"-")</f>
        <v>-</v>
      </c>
      <c r="CE42" s="378" t="str">
        <f ca="1">IFERROR(IF(BV42&lt;&gt;"-",Calculation!$AK$6,"-"),"-")</f>
        <v>-</v>
      </c>
      <c r="CF42" s="378" t="str">
        <f ca="1">IF(OR(LEFT(ListAndConversion!BW42,3)="Dil",LEFT(ListAndConversion!BW42,3)="Poo"),ListAndConversion!$BT$4,IF(LEFT(ListAndConversion!BW42,3)="Sou",INDEX(ListAndConversion!$AT$3:$AV$387,MATCH(ListAndConversion!BV42,ListAndConversion!$AV$3:$AV$387,0),1),"-"))</f>
        <v>-</v>
      </c>
      <c r="CG42" s="498" t="str">
        <f ca="1">IF(OR(LEFT(ListAndConversion!BW42,3)="Dil",LEFT(ListAndConversion!BW42,3)="Poo"),ListAndConversion!BU42,IF(LEFT(ListAndConversion!BW42,3)="Sou",INDEX(ListAndConversion!$AT$4:$AV$387,MATCH(ListAndConversion!BV42,ListAndConversion!$AV$4:$AV$387,0),2),"-"))</f>
        <v>-</v>
      </c>
      <c r="CH42" s="378"/>
      <c r="CI42" s="487" t="str">
        <f t="shared" ca="1" si="19"/>
        <v>-</v>
      </c>
      <c r="CJ42" s="378" t="str">
        <f t="shared" ca="1" si="30"/>
        <v>-</v>
      </c>
      <c r="CK42" s="378" t="str">
        <f t="shared" ca="1" si="30"/>
        <v>-</v>
      </c>
      <c r="CL42" s="378" t="str">
        <f t="shared" ca="1" si="30"/>
        <v>-</v>
      </c>
      <c r="CM42" s="378" t="str">
        <f t="shared" ca="1" si="30"/>
        <v>-</v>
      </c>
      <c r="CN42" s="378" t="str">
        <f t="shared" ca="1" si="30"/>
        <v>-</v>
      </c>
      <c r="CO42" s="378" t="str">
        <f t="shared" ca="1" si="30"/>
        <v>-</v>
      </c>
      <c r="CP42" s="378" t="str">
        <f t="shared" ca="1" si="30"/>
        <v>-</v>
      </c>
      <c r="CQ42" s="378" t="str">
        <f t="shared" ca="1" si="30"/>
        <v>-</v>
      </c>
      <c r="CR42" s="510" t="str">
        <f ca="1">IFERROR(IF(LEFT(BW42,3)="Poo",INDEX($BE$4:$BJ$99,MATCH(CI42,$BG$4:$BG$99,0),6)*((15/50))*Calculation!$AK$6,INDEX(Calculation_Tab,MATCH(BV42,Identifier,0),10)/(IF(LEN(INDEX(Calculation_Tab,MATCH(BV42,Identifier,0),9))&gt;8,LEN(INDEX(Calculation_Tab,MATCH(BV42,Identifier,0),9))-8,1))*((15/50)*Calculation!$AK$6)),"-")</f>
        <v>-</v>
      </c>
      <c r="CS42" s="498" t="str">
        <f ca="1">IF(CI42="-","-",IF(COUNTIF($CI$3:CI42,CI42)&gt;1,0,IFERROR((35/50)*Calculation!$AK$6,"-")))</f>
        <v>-</v>
      </c>
    </row>
    <row r="43" spans="4:97" x14ac:dyDescent="0.5">
      <c r="D43" s="487" t="e">
        <f t="shared" si="0"/>
        <v>#DIV/0!</v>
      </c>
      <c r="E43" s="496" t="e">
        <f t="array" ref="E43">IF(IF((ROW(E43)-3)&lt;(ListAndConversion!$A$15),INDEX(Flow_Cell_Lane,MIN(IF(COUNTIF($E$2:E42,Flow_Cell_Lane)=0,ROW(Flow_Cell_Lane)-9))),"-")="","-",IF((ROW(E43)-3)&lt;(ListAndConversion!$A$15),INDEX(Flow_Cell_Lane,MIN(IF(COUNTIF($E$2:E42,Flow_Cell_Lane)=0,ROW(Flow_Cell_Lane)-9))),"-"))</f>
        <v>#DIV/0!</v>
      </c>
      <c r="F43" s="378" t="e">
        <f t="shared" si="1"/>
        <v>#DIV/0!</v>
      </c>
      <c r="G43" s="378" t="e">
        <f t="shared" ref="G43:M52" si="35">IF($D43&gt;8,IF($D43&gt;=(8+G$2),CONCATENATE(LEFT($E43,7),RIGHT(LEFT($E43,8+G$2),1)),""),"")</f>
        <v>#DIV/0!</v>
      </c>
      <c r="H43" s="378" t="e">
        <f t="shared" si="35"/>
        <v>#DIV/0!</v>
      </c>
      <c r="I43" s="378" t="e">
        <f t="shared" si="35"/>
        <v>#DIV/0!</v>
      </c>
      <c r="J43" s="378" t="e">
        <f t="shared" si="35"/>
        <v>#DIV/0!</v>
      </c>
      <c r="K43" s="378" t="e">
        <f t="shared" si="35"/>
        <v>#DIV/0!</v>
      </c>
      <c r="L43" s="378" t="e">
        <f t="shared" si="35"/>
        <v>#DIV/0!</v>
      </c>
      <c r="M43" s="378" t="e">
        <f t="shared" si="35"/>
        <v>#DIV/0!</v>
      </c>
      <c r="N43" s="497" t="e">
        <f t="shared" si="3"/>
        <v>#DIV/0!</v>
      </c>
      <c r="O43" s="497" t="str">
        <f t="array" ref="O43">IFERROR(INDEX(Calculation!I:AN,MATCH(ListAndConversion!E43,Calculation!I:I,0),31),"-")</f>
        <v>-</v>
      </c>
      <c r="P43" s="498">
        <f>IF(COUNTIFS(Calculation!$I$10:$I$393,E43,Direct_Denaturation,"-")&lt;&gt;1,COUNTIFS(Calculation!$I$10:$I$393,E43,Direct_Denaturation,"-"),0)</f>
        <v>0</v>
      </c>
      <c r="Q43" s="378"/>
      <c r="R43" s="487" t="e">
        <f t="array" ref="R43">IF(IF((ROW(R43)-3)&lt;(Calculation!$H$6),INDEX(Flow_Cell,MIN(IF(COUNTIF($R$2:R42,Flow_Cell)=0,ROW(Flow_Cell)-9))),"-")="","-",IF((ROW(R43)-3)&lt;(Calculation!$H$6),INDEX(Flow_Cell,MIN(IF(COUNTIF($R$2:R42,Flow_Cell)=0,ROW(Flow_Cell)-9))),"-"))</f>
        <v>#DIV/0!</v>
      </c>
      <c r="S43" s="378" t="e">
        <f t="shared" ref="S43:S50" si="36">IF($R$8="-","-",CONCATENATE($R$8,"-",T43))</f>
        <v>#DIV/0!</v>
      </c>
      <c r="T43" s="378">
        <v>1</v>
      </c>
      <c r="U43" s="498">
        <v>41</v>
      </c>
      <c r="V43" s="487">
        <v>40</v>
      </c>
      <c r="W43" s="497" t="s">
        <v>287</v>
      </c>
      <c r="X43" s="497" t="s">
        <v>367</v>
      </c>
      <c r="Y43" s="378">
        <v>40</v>
      </c>
      <c r="Z43" s="378" t="str">
        <f t="shared" ca="1" si="32"/>
        <v>-</v>
      </c>
      <c r="AA43" s="508" t="str">
        <f t="array" aca="1" ref="AA43" ca="1">IFERROR(INDEX(Calculation_Tab,SMALL(ROW(Sample_Intermediate_Dil)*(Sample_Intermediate_Dil&lt;&gt;"-"),COUNTIF(Sample_Intermediate_Dil,"-")+ROW()-3)-9,5),"-")</f>
        <v>-</v>
      </c>
      <c r="AB43" s="378" t="str">
        <f t="array" aca="1" ref="AB43" ca="1">IFERROR(INDEX($A$3:$B$12,MATCH(INDEX(Calculation_Tab,SMALL(ROW(Sample_Intermediate_Dil)*(Sample_Intermediate_Dil&lt;&gt;"-"),COUNTIF(Sample_Intermediate_Dil,"-")+ROW()-3)-9,5),$A$3:$A$12,0),2),"-")</f>
        <v>-</v>
      </c>
      <c r="AC43" s="509" t="str">
        <f t="array" aca="1" ref="AC43" ca="1">IFERROR(INDEX(Coordinate,MATCH(INDEX(Calculation_Tab,SMALL(ROW(Sample_Intermediate_Dil)*(Sample_Intermediate_Dil&lt;&gt;"-"),COUNTIF(Sample_Intermediate_Dil,"-")+ROW()-3)-9,6),$X$4:$X$99,0),2),"-")</f>
        <v>-</v>
      </c>
      <c r="AD43" s="510" t="str">
        <f t="array" aca="1" ref="AD43" ca="1">IFERROR(INDEX(Calculation_Tab,SMALL(ROW(Sample_Intermediate_Dil)*(Sample_Intermediate_Dil&lt;&gt;"-"),COUNTIF(Sample_Intermediate_Dil,"-")+ROW()-3)-9,24),"-")</f>
        <v>-</v>
      </c>
      <c r="AE43" s="510" t="str">
        <f t="array" aca="1" ref="AE43" ca="1">IFERROR(INDEX(Calculation_Tab,SMALL(ROW(Sample_Intermediate_Dil)*(Sample_Intermediate_Dil&lt;&gt;"-"),COUNTIF(Sample_Intermediate_Dil,"-")+ROW()-3)-9,25),"-")</f>
        <v>-</v>
      </c>
      <c r="AF43" s="510" t="str">
        <f t="array" aca="1" ref="AF43" ca="1">IFERROR(INDEX(Calculation_Tab,SMALL(ROW(Sample_Intermediate_Dil)*(Sample_Intermediate_Dil&lt;&gt;"-"),COUNTIF(Sample_Intermediate_Dil,"-")+ROW()-3)-9,26),"-")</f>
        <v>-</v>
      </c>
      <c r="AG43" s="511" t="str">
        <f t="array" aca="1" ref="AG43" ca="1">IFERROR(INDEX(Calculation_Tab,SMALL(ROW(Sample_Intermediate_Dil)*(Sample_Intermediate_Dil&lt;&gt;"-"),COUNTIF(Sample_Intermediate_Dil,"-")+ROW()-3)-9,27),"-")</f>
        <v>-</v>
      </c>
      <c r="AI43" s="487">
        <v>40</v>
      </c>
      <c r="AJ43" s="497" t="s">
        <v>160</v>
      </c>
      <c r="AK43" s="378">
        <v>40</v>
      </c>
      <c r="AL43" s="378" t="str">
        <f t="shared" ca="1" si="6"/>
        <v>-</v>
      </c>
      <c r="AM43" s="378" t="str">
        <f t="array" aca="1" ref="AM43" ca="1">IFERROR(IF(AI43&lt;=$AB$2,"-",INDEX(Calculation_Tab,SMALL(ROW(Main_Dil)*(Main_Dil&lt;&gt;"-"),COUNTIF(Main_Dil,"-")+ROW()-3-$AB$2)-9,5)),"-")</f>
        <v>-</v>
      </c>
      <c r="AN43" s="378" t="str">
        <f t="array" aca="1" ref="AN43" ca="1">IFERROR(IF(AI43&lt;=$AB$2,"-",INDEX($A$3:$B$12,MATCH(INDEX(Calculation_Tab,SMALL(ROW(Main_Dil)*(Main_Dil&lt;&gt;"-"),COUNTIF(Main_Dil,"-")+ROW()-3-$AB$2)-9,5),$A$3:$A$12,0),2)),"-")</f>
        <v>-</v>
      </c>
      <c r="AO43" s="378" t="str">
        <f t="array" aca="1" ref="AO43" ca="1">IFERROR(IF(AI43&lt;=$AB$2,"-",INDEX(Coordinate,MATCH(INDEX(Calculation_Tab,SMALL(ROW(Main_Dil)*(Main_Dil&lt;&gt;"-"),COUNTIF(Main_Dil,"-")+ROW()-3-$AB$2)-9,6),$X$4:$X$99,0),2)),"-")</f>
        <v>-</v>
      </c>
      <c r="AP43" s="510" t="str">
        <f t="array" aca="1" ref="AP43" ca="1">IFERROR(IF(AI43&lt;=$AB$2,"-",INDEX(Calculation_Tab,SMALL(ROW(Main_Dil)*(Main_Dil&lt;&gt;"-"),COUNTIF(Main_Dil,"-")+ROW()-3-$AB$2)-9,21)),"-")</f>
        <v>-</v>
      </c>
      <c r="AQ43" s="511" t="str">
        <f t="array" aca="1" ref="AQ43" ca="1">IFERROR(IF(AI43&lt;=$AB$2,"-",INDEX(Calculation_Tab,SMALL(ROW(Main_Dil)*(Main_Dil&lt;&gt;"-"),COUNTIF(Main_Dil,"-")+ROW()-3-$AB$2)-9,22)),"-")</f>
        <v>-</v>
      </c>
      <c r="AR43" s="487" t="str">
        <f t="shared" ca="1" si="7"/>
        <v>-</v>
      </c>
      <c r="AS43" s="378">
        <v>40</v>
      </c>
      <c r="AT43" s="497" t="s">
        <v>160</v>
      </c>
      <c r="AU43" s="498">
        <v>40</v>
      </c>
      <c r="AV43" s="378" t="str">
        <f t="shared" ca="1" si="8"/>
        <v>-</v>
      </c>
      <c r="AW43" s="378" t="str">
        <f t="array" aca="1" ref="AW43" ca="1">IFERROR(IF(AS43&lt;=$AB$2+$AN$2,"-",INDEX(Calculation_Tab,SMALL(ROW(Direct_Denaturation)*(Direct_Denaturation&lt;&gt;"-"),COUNTIF(Direct_Denaturation,"-")+ROW()-3-$AB$2-$AN$2)-9,5)),"-")</f>
        <v>-</v>
      </c>
      <c r="AX43" s="378" t="str">
        <f t="array" aca="1" ref="AX43" ca="1">IFERROR(IF(AS43&lt;=$AB$2+$AN$2,"-",INDEX($A$3:$B$12,MATCH(INDEX(Calculation_Tab,SMALL(ROW(Direct_Denaturation)*(Direct_Denaturation&lt;&gt;"-"),COUNTIF(Direct_Denaturation,"-")+ROW()-3-$AB$2-$AN$2)-9,5),$A$3:$A$12,0),2)),"-")</f>
        <v>-</v>
      </c>
      <c r="AY43" s="378" t="str">
        <f t="array" aca="1" ref="AY43" ca="1">IFERROR(IF(AS43&lt;=$AB$2+$AN$2,"-",INDEX(Coordinate,MATCH(INDEX(Calculation_Tab,SMALL(ROW(Direct_Denaturation)*(Direct_Denaturation&lt;&gt;"-"),COUNTIF(Direct_Denaturation,"-")+ROW()-3-$AB$2-$AN$2)-9,6),$X$4:$X$99,0),2)),"-")</f>
        <v>-</v>
      </c>
      <c r="AZ43" s="510" t="str">
        <f t="array" aca="1" ref="AZ43" ca="1">IFERROR(IF(AS43&lt;=$AB$2+$AN$2,"-",INDEX(Calculation_Tab,SMALL(ROW(Direct_Denaturation)*(Direct_Denaturation&lt;&gt;"-"),COUNTIF(Direct_Denaturation,"-")+ROW()-3-$AB$2-$AN$2)-9,32)),"-")</f>
        <v>-</v>
      </c>
      <c r="BA43" s="510" t="str">
        <f t="array" aca="1" ref="BA43" ca="1">IFERROR(IF(AS43&lt;=$AB$2+$AN$2,"-",INDEX(Calculation_Tab,SMALL(ROW(Direct_Denaturation)*(Direct_Denaturation&lt;&gt;"-"),COUNTIF(Direct_Denaturation,"-")+ROW()-3-$AB$2-$AN$2)-9,34)),"-")</f>
        <v>-</v>
      </c>
      <c r="BB43" s="510" t="str">
        <f t="array" aca="1" ref="BB43" ca="1">IFERROR(IF(AS43&lt;=$AB$2+$AN$2,"-",INDEX(Calculation_Tab,SMALL(ROW(Direct_Denaturation)*(Direct_Denaturation&lt;&gt;"-"),COUNTIF(Direct_Denaturation,"-")+ROW()-3-$AB$2-$AN$2)-9,33)),"-")</f>
        <v>-</v>
      </c>
      <c r="BC43" s="510" t="str">
        <f t="array" aca="1" ref="BC43" ca="1">IFERROR(IF(AS43&lt;=$AB$2+$AN$2,"-",INDEX(Calculation_Tab,SMALL(ROW(Direct_Denaturation)*(Direct_Denaturation&lt;&gt;"-"),COUNTIF(Direct_Denaturation,"-")+ROW()-3-$AB$2-$AN$2)-9,35)),"-")</f>
        <v>-</v>
      </c>
      <c r="BD43" s="511" t="str">
        <f t="shared" ca="1" si="9"/>
        <v>-</v>
      </c>
      <c r="BE43" s="494" t="s">
        <v>368</v>
      </c>
      <c r="BF43" s="378">
        <v>40</v>
      </c>
      <c r="BG43" s="515" t="str">
        <v>-</v>
      </c>
      <c r="BH43" s="516" t="str">
        <f>IFERROR(IF((Calculation!$AR$6/INDEX(ListAndConversion!D:P,MATCH(BG43,E:E,0),13))&lt;Calculation!$O$6,INDEX(ListAndConversion!D:P,MATCH(BG43,E:E,0),13)*Calculation!$O$6,Calculation!$AR$6),"-")</f>
        <v>-</v>
      </c>
      <c r="BI43" s="517" t="str">
        <f t="shared" si="33"/>
        <v>-</v>
      </c>
      <c r="BJ43" s="518" t="str">
        <f t="shared" si="34"/>
        <v>-</v>
      </c>
      <c r="BK43" s="378" t="s">
        <v>158</v>
      </c>
      <c r="BL43" s="378">
        <v>40</v>
      </c>
      <c r="BM43" s="487" t="str">
        <f t="array" aca="1" ref="BM43" ca="1">IFERROR(INDEX(Calculation_Tab,SMALL(ROW(ToPool)*(ToPool&lt;&gt;"-"),COUNTIF(ToPool,"-")+ROW()-3)-9,3),"-")</f>
        <v>-</v>
      </c>
      <c r="BN43" s="378" t="str">
        <f t="shared" ca="1" si="12"/>
        <v>-</v>
      </c>
      <c r="BO43" s="378" t="str">
        <f t="shared" ca="1" si="13"/>
        <v>-</v>
      </c>
      <c r="BP43" s="523" t="str">
        <f t="shared" ca="1" si="14"/>
        <v>-</v>
      </c>
      <c r="BQ43" s="378" t="str">
        <f t="array" aca="1" ref="BQ43" ca="1">IFERROR(INDEX(BE:BG,MATCH(INDEX(Calculation_Tab,SMALL(ROW(ToPool)*(ToPool&lt;&gt;"-"),COUNTIF(ToPool,"-")+ROW()-3)-9,9),BG:BG,0),2),"-")</f>
        <v>-</v>
      </c>
      <c r="BR43" s="510" t="str">
        <f t="shared" ca="1" si="15"/>
        <v>-</v>
      </c>
      <c r="BS43" s="511" t="str">
        <f t="shared" ca="1" si="16"/>
        <v>-</v>
      </c>
      <c r="BT43" s="378" t="s">
        <v>164</v>
      </c>
      <c r="BU43" s="487" t="str">
        <f t="shared" ca="1" si="21"/>
        <v>-</v>
      </c>
      <c r="BV43" s="487" t="str">
        <f t="array" aca="1" ref="BV4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43" s="378" t="str">
        <f t="shared" ca="1" si="17"/>
        <v>-</v>
      </c>
      <c r="BX43" s="378" t="str">
        <f t="shared" ca="1" si="18"/>
        <v>-</v>
      </c>
      <c r="BY43" s="510" t="str">
        <f ca="1">IFERROR(ROUND(INDEX(Cluster,MATCH(IF(LEFT(BV43,4)="Pool",INDEX(Cluster,MATCH(INDEX(Calculation_Tab,MATCH(INDEX($BE$4:$BJ$99,MATCH(BV43,$BE$4:$BE$99,0),3),Flow_Cell_Lane,0),3),Cluster!$F$29:$F$412,0),6),BV43),Identifier_Cluster,0),19)*IF(LEFT(BV43,4)="pool",IF(LEN(INDEX($BE$4:$BJ$99,MATCH(BV43,$BE$4:$BE$99,0),3))=10,2,IF(LEN(INDEX($BE$4:$BJ$99,MATCH(BV43,$BE$4:$BE$99,0),3))&gt;10,LEN(INDEX($BE$4:$BJ$99,MATCH(BV43,$BE$4:$BE$99,0),3))-8,1)),1)*IF(LEFT(BV43,4)="pool",IF(INDEX($BE$4:$BJ$99,MATCH(BV43,$BE$4:$BE$99,0),6)&lt;1,1,INDEX($BE$4:$BJ$99,MATCH(BV43,$BE$4:$BE$99,0),6)),INDEX(Calculation_Tab,MATCH(BV43,Identifier,0),10)),1)*(1+Calculation!$Q$6),"-")</f>
        <v>-</v>
      </c>
      <c r="BZ43" s="378" t="str">
        <f ca="1">IFERROR((0.5/50)*CE43/Calculation!$AG$6*(IF(LEFT(BV43,4)="Pool",IF(LEN(INDEX($BE$4:$BJ$99,MATCH(BV43,$BE$4:$BE$99,0),3))=10,2,IF(LEN(INDEX($BE$4:$BJ$99,MATCH(BV43,$BE$4:$BE$99,0),3))&gt;10,LEN(INDEX($BE$4:$BJ$99,MATCH(BV43,$BE$4:$BE$99,0),3))-8,1)),IF(INDEX(Calculation_Tab,MATCH(BV43,Identifier,0),10)&gt;1,INDEX(Calculation_Tab,MATCH(BV43,Identifier,0),10),1)))*(1+Calculation!$Q$6),"-")</f>
        <v>-</v>
      </c>
      <c r="CA43" s="510" t="str">
        <f ca="1">IFERROR(IF((BZ43*Calculation!$AG$6/0.05)-SUM(BY43:BZ43,CC43)&gt;0,(BZ43*Calculation!$AG$6/0.05)-SUM(BY43:BZ43,CC43),0),"-")</f>
        <v>-</v>
      </c>
      <c r="CB43" s="510" t="str">
        <f ca="1">IFERROR(5/50*CE43*(IF(LEFT(BV43,4)="Pool",IF(LEN(INDEX($BE$4:$BJ$99,MATCH(BV43,$BE$4:$BE$99,0),3))=10,2,IF(LEN(INDEX($BE$4:$BJ$99,MATCH(BV43,$BE$4:$BE$99,0),3))&gt;10,LEN(INDEX($BE$4:$BJ$99,MATCH(BV43,$BE$4:$BE$99,0),3))-8,1)),IF(INDEX(Calculation_Tab,MATCH(BV43,Identifier,0),10)&gt;1,INDEX(Calculation_Tab,MATCH(BV43,Identifier,0),10),1)))*(1+Calculation!$Q$6),"-")</f>
        <v>-</v>
      </c>
      <c r="CC43" s="508" t="str">
        <f ca="1">IFERROR(ROUND(INDEX(Cluster,MATCH(IF(LEFT(BV43,4)="Pool",INDEX(Cluster,MATCH(INDEX(Calculation_Tab,MATCH(INDEX($BE$4:$BJ$99,MATCH(BV43,$BE$4:$BE$99,0),3),Flow_Cell_Lane,0),3),Cluster!$F$29:$F$412,0),6),BV43),Identifier_Cluster,0),20)*IF(LEFT(BV43,4)="pool",IF(LEN(INDEX($BE$4:$BJ$99,MATCH(BV43,$BE$4:$BE$99,0),3))=10,2,IF(LEN(INDEX($BE$4:$BJ$99,MATCH(BV43,$BE$4:$BE$99,0),3))&gt;10,LEN(INDEX($BE$4:$BJ$99,MATCH(BV43,$BE$4:$BE$99,0),3))-8,1)),1)*IF(LEFT(BV43,4)="pool",IF(INDEX($BE$4:$BJ$99,MATCH(BV43,$BE$4:$BE$99,0),6)&lt;1,1,INDEX($BE$4:$BJ$99,MATCH(BV43,$BE$4:$BE$99,0),6)),INDEX(Calculation_Tab,MATCH(BV43,Identifier,0),10)),1)*(1+Calculation!$Q$6),"-")</f>
        <v>-</v>
      </c>
      <c r="CD43" s="509" t="str">
        <f ca="1">IFERROR(INDEX(Cluster!AC:AD,MATCH(IF(LEFT(BV43,4)="Pool",INDEX(Cluster!$D$29:$AA$412,MATCH(INDEX(Calculation_Tab,MATCH(INDEX($BE$4:$BJ$99,MATCH(BV43,$BE$4:$BE$99,0),3),Flow_Cell_Lane,0),3),Cluster!$F$29:$F$412,0),24),INDEX(Cluster!$D$29:$AA$412,MATCH(BV43,Cluster!$F$29:$F$412,0),24)),Cluster!AC:AC,0),2),"-")</f>
        <v>-</v>
      </c>
      <c r="CE43" s="378" t="str">
        <f ca="1">IFERROR(IF(BV43&lt;&gt;"-",Calculation!$AK$6,"-"),"-")</f>
        <v>-</v>
      </c>
      <c r="CF43" s="378" t="str">
        <f ca="1">IF(OR(LEFT(ListAndConversion!BW43,3)="Dil",LEFT(ListAndConversion!BW43,3)="Poo"),ListAndConversion!$BT$4,IF(LEFT(ListAndConversion!BW43,3)="Sou",INDEX(ListAndConversion!$AT$3:$AV$387,MATCH(ListAndConversion!BV43,ListAndConversion!$AV$3:$AV$387,0),1),"-"))</f>
        <v>-</v>
      </c>
      <c r="CG43" s="498" t="str">
        <f ca="1">IF(OR(LEFT(ListAndConversion!BW43,3)="Dil",LEFT(ListAndConversion!BW43,3)="Poo"),ListAndConversion!BU43,IF(LEFT(ListAndConversion!BW43,3)="Sou",INDEX(ListAndConversion!$AT$4:$AV$387,MATCH(ListAndConversion!BV43,ListAndConversion!$AV$4:$AV$387,0),2),"-"))</f>
        <v>-</v>
      </c>
      <c r="CH43" s="531"/>
      <c r="CI43" s="487" t="str">
        <f t="shared" ca="1" si="19"/>
        <v>-</v>
      </c>
      <c r="CJ43" s="378" t="str">
        <f t="shared" ca="1" si="30"/>
        <v>-</v>
      </c>
      <c r="CK43" s="378" t="str">
        <f t="shared" ca="1" si="30"/>
        <v>-</v>
      </c>
      <c r="CL43" s="378" t="str">
        <f t="shared" ca="1" si="30"/>
        <v>-</v>
      </c>
      <c r="CM43" s="378" t="str">
        <f t="shared" ca="1" si="30"/>
        <v>-</v>
      </c>
      <c r="CN43" s="378" t="str">
        <f t="shared" ca="1" si="30"/>
        <v>-</v>
      </c>
      <c r="CO43" s="378" t="str">
        <f t="shared" ca="1" si="30"/>
        <v>-</v>
      </c>
      <c r="CP43" s="378" t="str">
        <f t="shared" ca="1" si="30"/>
        <v>-</v>
      </c>
      <c r="CQ43" s="378" t="str">
        <f t="shared" ca="1" si="30"/>
        <v>-</v>
      </c>
      <c r="CR43" s="510" t="str">
        <f ca="1">IFERROR(IF(LEFT(BW43,3)="Poo",INDEX($BE$4:$BJ$99,MATCH(CI43,$BG$4:$BG$99,0),6)*((15/50))*Calculation!$AK$6,INDEX(Calculation_Tab,MATCH(BV43,Identifier,0),10)/(IF(LEN(INDEX(Calculation_Tab,MATCH(BV43,Identifier,0),9))&gt;8,LEN(INDEX(Calculation_Tab,MATCH(BV43,Identifier,0),9))-8,1))*((15/50)*Calculation!$AK$6)),"-")</f>
        <v>-</v>
      </c>
      <c r="CS43" s="498" t="str">
        <f ca="1">IF(CI43="-","-",IF(COUNTIF($CI$3:CI43,CI43)&gt;1,0,IFERROR((35/50)*Calculation!$AK$6,"-")))</f>
        <v>-</v>
      </c>
    </row>
    <row r="44" spans="4:97" x14ac:dyDescent="0.5">
      <c r="D44" s="487" t="e">
        <f t="shared" si="0"/>
        <v>#DIV/0!</v>
      </c>
      <c r="E44" s="496" t="e">
        <f t="array" ref="E44">IF(IF((ROW(E44)-3)&lt;(ListAndConversion!$A$15),INDEX(Flow_Cell_Lane,MIN(IF(COUNTIF($E$2:E43,Flow_Cell_Lane)=0,ROW(Flow_Cell_Lane)-9))),"-")="","-",IF((ROW(E44)-3)&lt;(ListAndConversion!$A$15),INDEX(Flow_Cell_Lane,MIN(IF(COUNTIF($E$2:E43,Flow_Cell_Lane)=0,ROW(Flow_Cell_Lane)-9))),"-"))</f>
        <v>#DIV/0!</v>
      </c>
      <c r="F44" s="378" t="e">
        <f t="shared" si="1"/>
        <v>#DIV/0!</v>
      </c>
      <c r="G44" s="378" t="e">
        <f t="shared" si="35"/>
        <v>#DIV/0!</v>
      </c>
      <c r="H44" s="378" t="e">
        <f t="shared" si="35"/>
        <v>#DIV/0!</v>
      </c>
      <c r="I44" s="378" t="e">
        <f t="shared" si="35"/>
        <v>#DIV/0!</v>
      </c>
      <c r="J44" s="378" t="e">
        <f t="shared" si="35"/>
        <v>#DIV/0!</v>
      </c>
      <c r="K44" s="378" t="e">
        <f t="shared" si="35"/>
        <v>#DIV/0!</v>
      </c>
      <c r="L44" s="378" t="e">
        <f t="shared" si="35"/>
        <v>#DIV/0!</v>
      </c>
      <c r="M44" s="378" t="e">
        <f t="shared" si="35"/>
        <v>#DIV/0!</v>
      </c>
      <c r="N44" s="497" t="e">
        <f t="shared" si="3"/>
        <v>#DIV/0!</v>
      </c>
      <c r="O44" s="497" t="str">
        <f t="array" ref="O44">IFERROR(INDEX(Calculation!I:AN,MATCH(ListAndConversion!E44,Calculation!I:I,0),31),"-")</f>
        <v>-</v>
      </c>
      <c r="P44" s="498">
        <f>IF(COUNTIFS(Calculation!$I$10:$I$393,E44,Direct_Denaturation,"-")&lt;&gt;1,COUNTIFS(Calculation!$I$10:$I$393,E44,Direct_Denaturation,"-"),0)</f>
        <v>0</v>
      </c>
      <c r="Q44" s="378"/>
      <c r="R44" s="487" t="e">
        <f t="array" ref="R44">IF(IF((ROW(R44)-3)&lt;(Calculation!$H$6),INDEX(Flow_Cell,MIN(IF(COUNTIF($R$2:R43,Flow_Cell)=0,ROW(Flow_Cell)-9))),"-")="","-",IF((ROW(R44)-3)&lt;(Calculation!$H$6),INDEX(Flow_Cell,MIN(IF(COUNTIF($R$2:R43,Flow_Cell)=0,ROW(Flow_Cell)-9))),"-"))</f>
        <v>#DIV/0!</v>
      </c>
      <c r="S44" s="378" t="e">
        <f t="shared" si="36"/>
        <v>#DIV/0!</v>
      </c>
      <c r="T44" s="378">
        <v>2</v>
      </c>
      <c r="U44" s="498">
        <v>42</v>
      </c>
      <c r="V44" s="487">
        <v>41</v>
      </c>
      <c r="W44" s="497" t="s">
        <v>287</v>
      </c>
      <c r="X44" s="497" t="s">
        <v>369</v>
      </c>
      <c r="Y44" s="378">
        <v>41</v>
      </c>
      <c r="Z44" s="378" t="str">
        <f t="shared" ca="1" si="32"/>
        <v>-</v>
      </c>
      <c r="AA44" s="508" t="str">
        <f t="array" aca="1" ref="AA44" ca="1">IFERROR(INDEX(Calculation_Tab,SMALL(ROW(Sample_Intermediate_Dil)*(Sample_Intermediate_Dil&lt;&gt;"-"),COUNTIF(Sample_Intermediate_Dil,"-")+ROW()-3)-9,5),"-")</f>
        <v>-</v>
      </c>
      <c r="AB44" s="378" t="str">
        <f t="array" aca="1" ref="AB44" ca="1">IFERROR(INDEX($A$3:$B$12,MATCH(INDEX(Calculation_Tab,SMALL(ROW(Sample_Intermediate_Dil)*(Sample_Intermediate_Dil&lt;&gt;"-"),COUNTIF(Sample_Intermediate_Dil,"-")+ROW()-3)-9,5),$A$3:$A$12,0),2),"-")</f>
        <v>-</v>
      </c>
      <c r="AC44" s="509" t="str">
        <f t="array" aca="1" ref="AC44" ca="1">IFERROR(INDEX(Coordinate,MATCH(INDEX(Calculation_Tab,SMALL(ROW(Sample_Intermediate_Dil)*(Sample_Intermediate_Dil&lt;&gt;"-"),COUNTIF(Sample_Intermediate_Dil,"-")+ROW()-3)-9,6),$X$4:$X$99,0),2),"-")</f>
        <v>-</v>
      </c>
      <c r="AD44" s="510" t="str">
        <f t="array" aca="1" ref="AD44" ca="1">IFERROR(INDEX(Calculation_Tab,SMALL(ROW(Sample_Intermediate_Dil)*(Sample_Intermediate_Dil&lt;&gt;"-"),COUNTIF(Sample_Intermediate_Dil,"-")+ROW()-3)-9,24),"-")</f>
        <v>-</v>
      </c>
      <c r="AE44" s="510" t="str">
        <f t="array" aca="1" ref="AE44" ca="1">IFERROR(INDEX(Calculation_Tab,SMALL(ROW(Sample_Intermediate_Dil)*(Sample_Intermediate_Dil&lt;&gt;"-"),COUNTIF(Sample_Intermediate_Dil,"-")+ROW()-3)-9,25),"-")</f>
        <v>-</v>
      </c>
      <c r="AF44" s="510" t="str">
        <f t="array" aca="1" ref="AF44" ca="1">IFERROR(INDEX(Calculation_Tab,SMALL(ROW(Sample_Intermediate_Dil)*(Sample_Intermediate_Dil&lt;&gt;"-"),COUNTIF(Sample_Intermediate_Dil,"-")+ROW()-3)-9,26),"-")</f>
        <v>-</v>
      </c>
      <c r="AG44" s="511" t="str">
        <f t="array" aca="1" ref="AG44" ca="1">IFERROR(INDEX(Calculation_Tab,SMALL(ROW(Sample_Intermediate_Dil)*(Sample_Intermediate_Dil&lt;&gt;"-"),COUNTIF(Sample_Intermediate_Dil,"-")+ROW()-3)-9,27),"-")</f>
        <v>-</v>
      </c>
      <c r="AI44" s="487">
        <v>41</v>
      </c>
      <c r="AJ44" s="497" t="s">
        <v>160</v>
      </c>
      <c r="AK44" s="378">
        <v>41</v>
      </c>
      <c r="AL44" s="378" t="str">
        <f t="shared" ca="1" si="6"/>
        <v>-</v>
      </c>
      <c r="AM44" s="378" t="str">
        <f t="array" aca="1" ref="AM44" ca="1">IFERROR(IF(AI44&lt;=$AB$2,"-",INDEX(Calculation_Tab,SMALL(ROW(Main_Dil)*(Main_Dil&lt;&gt;"-"),COUNTIF(Main_Dil,"-")+ROW()-3-$AB$2)-9,5)),"-")</f>
        <v>-</v>
      </c>
      <c r="AN44" s="378" t="str">
        <f t="array" aca="1" ref="AN44" ca="1">IFERROR(IF(AI44&lt;=$AB$2,"-",INDEX($A$3:$B$12,MATCH(INDEX(Calculation_Tab,SMALL(ROW(Main_Dil)*(Main_Dil&lt;&gt;"-"),COUNTIF(Main_Dil,"-")+ROW()-3-$AB$2)-9,5),$A$3:$A$12,0),2)),"-")</f>
        <v>-</v>
      </c>
      <c r="AO44" s="378" t="str">
        <f t="array" aca="1" ref="AO44" ca="1">IFERROR(IF(AI44&lt;=$AB$2,"-",INDEX(Coordinate,MATCH(INDEX(Calculation_Tab,SMALL(ROW(Main_Dil)*(Main_Dil&lt;&gt;"-"),COUNTIF(Main_Dil,"-")+ROW()-3-$AB$2)-9,6),$X$4:$X$99,0),2)),"-")</f>
        <v>-</v>
      </c>
      <c r="AP44" s="510" t="str">
        <f t="array" aca="1" ref="AP44" ca="1">IFERROR(IF(AI44&lt;=$AB$2,"-",INDEX(Calculation_Tab,SMALL(ROW(Main_Dil)*(Main_Dil&lt;&gt;"-"),COUNTIF(Main_Dil,"-")+ROW()-3-$AB$2)-9,21)),"-")</f>
        <v>-</v>
      </c>
      <c r="AQ44" s="511" t="str">
        <f t="array" aca="1" ref="AQ44" ca="1">IFERROR(IF(AI44&lt;=$AB$2,"-",INDEX(Calculation_Tab,SMALL(ROW(Main_Dil)*(Main_Dil&lt;&gt;"-"),COUNTIF(Main_Dil,"-")+ROW()-3-$AB$2)-9,22)),"-")</f>
        <v>-</v>
      </c>
      <c r="AR44" s="487" t="str">
        <f t="shared" ca="1" si="7"/>
        <v>-</v>
      </c>
      <c r="AS44" s="378">
        <v>41</v>
      </c>
      <c r="AT44" s="497" t="s">
        <v>160</v>
      </c>
      <c r="AU44" s="498">
        <v>41</v>
      </c>
      <c r="AV44" s="378" t="str">
        <f t="shared" ca="1" si="8"/>
        <v>-</v>
      </c>
      <c r="AW44" s="378" t="str">
        <f t="array" aca="1" ref="AW44" ca="1">IFERROR(IF(AS44&lt;=$AB$2+$AN$2,"-",INDEX(Calculation_Tab,SMALL(ROW(Direct_Denaturation)*(Direct_Denaturation&lt;&gt;"-"),COUNTIF(Direct_Denaturation,"-")+ROW()-3-$AB$2-$AN$2)-9,5)),"-")</f>
        <v>-</v>
      </c>
      <c r="AX44" s="378" t="str">
        <f t="array" aca="1" ref="AX44" ca="1">IFERROR(IF(AS44&lt;=$AB$2+$AN$2,"-",INDEX($A$3:$B$12,MATCH(INDEX(Calculation_Tab,SMALL(ROW(Direct_Denaturation)*(Direct_Denaturation&lt;&gt;"-"),COUNTIF(Direct_Denaturation,"-")+ROW()-3-$AB$2-$AN$2)-9,5),$A$3:$A$12,0),2)),"-")</f>
        <v>-</v>
      </c>
      <c r="AY44" s="378" t="str">
        <f t="array" aca="1" ref="AY44" ca="1">IFERROR(IF(AS44&lt;=$AB$2+$AN$2,"-",INDEX(Coordinate,MATCH(INDEX(Calculation_Tab,SMALL(ROW(Direct_Denaturation)*(Direct_Denaturation&lt;&gt;"-"),COUNTIF(Direct_Denaturation,"-")+ROW()-3-$AB$2-$AN$2)-9,6),$X$4:$X$99,0),2)),"-")</f>
        <v>-</v>
      </c>
      <c r="AZ44" s="510" t="str">
        <f t="array" aca="1" ref="AZ44" ca="1">IFERROR(IF(AS44&lt;=$AB$2+$AN$2,"-",INDEX(Calculation_Tab,SMALL(ROW(Direct_Denaturation)*(Direct_Denaturation&lt;&gt;"-"),COUNTIF(Direct_Denaturation,"-")+ROW()-3-$AB$2-$AN$2)-9,32)),"-")</f>
        <v>-</v>
      </c>
      <c r="BA44" s="510" t="str">
        <f t="array" aca="1" ref="BA44" ca="1">IFERROR(IF(AS44&lt;=$AB$2+$AN$2,"-",INDEX(Calculation_Tab,SMALL(ROW(Direct_Denaturation)*(Direct_Denaturation&lt;&gt;"-"),COUNTIF(Direct_Denaturation,"-")+ROW()-3-$AB$2-$AN$2)-9,34)),"-")</f>
        <v>-</v>
      </c>
      <c r="BB44" s="510" t="str">
        <f t="array" aca="1" ref="BB44" ca="1">IFERROR(IF(AS44&lt;=$AB$2+$AN$2,"-",INDEX(Calculation_Tab,SMALL(ROW(Direct_Denaturation)*(Direct_Denaturation&lt;&gt;"-"),COUNTIF(Direct_Denaturation,"-")+ROW()-3-$AB$2-$AN$2)-9,33)),"-")</f>
        <v>-</v>
      </c>
      <c r="BC44" s="510" t="str">
        <f t="array" aca="1" ref="BC44" ca="1">IFERROR(IF(AS44&lt;=$AB$2+$AN$2,"-",INDEX(Calculation_Tab,SMALL(ROW(Direct_Denaturation)*(Direct_Denaturation&lt;&gt;"-"),COUNTIF(Direct_Denaturation,"-")+ROW()-3-$AB$2-$AN$2)-9,35)),"-")</f>
        <v>-</v>
      </c>
      <c r="BD44" s="511" t="str">
        <f t="shared" ca="1" si="9"/>
        <v>-</v>
      </c>
      <c r="BE44" s="494" t="s">
        <v>370</v>
      </c>
      <c r="BF44" s="378">
        <v>41</v>
      </c>
      <c r="BG44" s="515" t="str">
        <v>-</v>
      </c>
      <c r="BH44" s="516" t="str">
        <f>IFERROR(IF((Calculation!$AR$6/INDEX(ListAndConversion!D:P,MATCH(BG44,E:E,0),13))&lt;Calculation!$O$6,INDEX(ListAndConversion!D:P,MATCH(BG44,E:E,0),13)*Calculation!$O$6,Calculation!$AR$6),"-")</f>
        <v>-</v>
      </c>
      <c r="BI44" s="517" t="str">
        <f t="shared" si="33"/>
        <v>-</v>
      </c>
      <c r="BJ44" s="518" t="str">
        <f t="shared" si="34"/>
        <v>-</v>
      </c>
      <c r="BK44" s="378" t="s">
        <v>158</v>
      </c>
      <c r="BL44" s="378">
        <v>41</v>
      </c>
      <c r="BM44" s="487" t="str">
        <f t="array" aca="1" ref="BM44" ca="1">IFERROR(INDEX(Calculation_Tab,SMALL(ROW(ToPool)*(ToPool&lt;&gt;"-"),COUNTIF(ToPool,"-")+ROW()-3)-9,3),"-")</f>
        <v>-</v>
      </c>
      <c r="BN44" s="378" t="str">
        <f t="shared" ca="1" si="12"/>
        <v>-</v>
      </c>
      <c r="BO44" s="378" t="str">
        <f t="shared" ca="1" si="13"/>
        <v>-</v>
      </c>
      <c r="BP44" s="523" t="str">
        <f t="shared" ca="1" si="14"/>
        <v>-</v>
      </c>
      <c r="BQ44" s="378" t="str">
        <f t="array" aca="1" ref="BQ44" ca="1">IFERROR(INDEX(BE:BG,MATCH(INDEX(Calculation_Tab,SMALL(ROW(ToPool)*(ToPool&lt;&gt;"-"),COUNTIF(ToPool,"-")+ROW()-3)-9,9),BG:BG,0),2),"-")</f>
        <v>-</v>
      </c>
      <c r="BR44" s="510" t="str">
        <f t="shared" ca="1" si="15"/>
        <v>-</v>
      </c>
      <c r="BS44" s="511" t="str">
        <f t="shared" ca="1" si="16"/>
        <v>-</v>
      </c>
      <c r="BT44" s="378" t="s">
        <v>164</v>
      </c>
      <c r="BU44" s="487" t="str">
        <f t="shared" ca="1" si="21"/>
        <v>-</v>
      </c>
      <c r="BV44" s="487" t="str">
        <f t="array" aca="1" ref="BV4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44" s="378" t="str">
        <f t="shared" ca="1" si="17"/>
        <v>-</v>
      </c>
      <c r="BX44" s="378" t="str">
        <f t="shared" ca="1" si="18"/>
        <v>-</v>
      </c>
      <c r="BY44" s="510" t="str">
        <f ca="1">IFERROR(ROUND(INDEX(Cluster,MATCH(IF(LEFT(BV44,4)="Pool",INDEX(Cluster,MATCH(INDEX(Calculation_Tab,MATCH(INDEX($BE$4:$BJ$99,MATCH(BV44,$BE$4:$BE$99,0),3),Flow_Cell_Lane,0),3),Cluster!$F$29:$F$412,0),6),BV44),Identifier_Cluster,0),19)*IF(LEFT(BV44,4)="pool",IF(LEN(INDEX($BE$4:$BJ$99,MATCH(BV44,$BE$4:$BE$99,0),3))=10,2,IF(LEN(INDEX($BE$4:$BJ$99,MATCH(BV44,$BE$4:$BE$99,0),3))&gt;10,LEN(INDEX($BE$4:$BJ$99,MATCH(BV44,$BE$4:$BE$99,0),3))-8,1)),1)*IF(LEFT(BV44,4)="pool",IF(INDEX($BE$4:$BJ$99,MATCH(BV44,$BE$4:$BE$99,0),6)&lt;1,1,INDEX($BE$4:$BJ$99,MATCH(BV44,$BE$4:$BE$99,0),6)),INDEX(Calculation_Tab,MATCH(BV44,Identifier,0),10)),1)*(1+Calculation!$Q$6),"-")</f>
        <v>-</v>
      </c>
      <c r="BZ44" s="378" t="str">
        <f ca="1">IFERROR((0.5/50)*CE44/Calculation!$AG$6*(IF(LEFT(BV44,4)="Pool",IF(LEN(INDEX($BE$4:$BJ$99,MATCH(BV44,$BE$4:$BE$99,0),3))=10,2,IF(LEN(INDEX($BE$4:$BJ$99,MATCH(BV44,$BE$4:$BE$99,0),3))&gt;10,LEN(INDEX($BE$4:$BJ$99,MATCH(BV44,$BE$4:$BE$99,0),3))-8,1)),IF(INDEX(Calculation_Tab,MATCH(BV44,Identifier,0),10)&gt;1,INDEX(Calculation_Tab,MATCH(BV44,Identifier,0),10),1)))*(1+Calculation!$Q$6),"-")</f>
        <v>-</v>
      </c>
      <c r="CA44" s="510" t="str">
        <f ca="1">IFERROR(IF((BZ44*Calculation!$AG$6/0.05)-SUM(BY44:BZ44,CC44)&gt;0,(BZ44*Calculation!$AG$6/0.05)-SUM(BY44:BZ44,CC44),0),"-")</f>
        <v>-</v>
      </c>
      <c r="CB44" s="510" t="str">
        <f ca="1">IFERROR(5/50*CE44*(IF(LEFT(BV44,4)="Pool",IF(LEN(INDEX($BE$4:$BJ$99,MATCH(BV44,$BE$4:$BE$99,0),3))=10,2,IF(LEN(INDEX($BE$4:$BJ$99,MATCH(BV44,$BE$4:$BE$99,0),3))&gt;10,LEN(INDEX($BE$4:$BJ$99,MATCH(BV44,$BE$4:$BE$99,0),3))-8,1)),IF(INDEX(Calculation_Tab,MATCH(BV44,Identifier,0),10)&gt;1,INDEX(Calculation_Tab,MATCH(BV44,Identifier,0),10),1)))*(1+Calculation!$Q$6),"-")</f>
        <v>-</v>
      </c>
      <c r="CC44" s="508" t="str">
        <f ca="1">IFERROR(ROUND(INDEX(Cluster,MATCH(IF(LEFT(BV44,4)="Pool",INDEX(Cluster,MATCH(INDEX(Calculation_Tab,MATCH(INDEX($BE$4:$BJ$99,MATCH(BV44,$BE$4:$BE$99,0),3),Flow_Cell_Lane,0),3),Cluster!$F$29:$F$412,0),6),BV44),Identifier_Cluster,0),20)*IF(LEFT(BV44,4)="pool",IF(LEN(INDEX($BE$4:$BJ$99,MATCH(BV44,$BE$4:$BE$99,0),3))=10,2,IF(LEN(INDEX($BE$4:$BJ$99,MATCH(BV44,$BE$4:$BE$99,0),3))&gt;10,LEN(INDEX($BE$4:$BJ$99,MATCH(BV44,$BE$4:$BE$99,0),3))-8,1)),1)*IF(LEFT(BV44,4)="pool",IF(INDEX($BE$4:$BJ$99,MATCH(BV44,$BE$4:$BE$99,0),6)&lt;1,1,INDEX($BE$4:$BJ$99,MATCH(BV44,$BE$4:$BE$99,0),6)),INDEX(Calculation_Tab,MATCH(BV44,Identifier,0),10)),1)*(1+Calculation!$Q$6),"-")</f>
        <v>-</v>
      </c>
      <c r="CD44" s="509" t="str">
        <f ca="1">IFERROR(INDEX(Cluster!AC:AD,MATCH(IF(LEFT(BV44,4)="Pool",INDEX(Cluster!$D$29:$AA$412,MATCH(INDEX(Calculation_Tab,MATCH(INDEX($BE$4:$BJ$99,MATCH(BV44,$BE$4:$BE$99,0),3),Flow_Cell_Lane,0),3),Cluster!$F$29:$F$412,0),24),INDEX(Cluster!$D$29:$AA$412,MATCH(BV44,Cluster!$F$29:$F$412,0),24)),Cluster!AC:AC,0),2),"-")</f>
        <v>-</v>
      </c>
      <c r="CE44" s="378" t="str">
        <f ca="1">IFERROR(IF(BV44&lt;&gt;"-",Calculation!$AK$6,"-"),"-")</f>
        <v>-</v>
      </c>
      <c r="CF44" s="378" t="str">
        <f ca="1">IF(OR(LEFT(ListAndConversion!BW44,3)="Dil",LEFT(ListAndConversion!BW44,3)="Poo"),ListAndConversion!$BT$4,IF(LEFT(ListAndConversion!BW44,3)="Sou",INDEX(ListAndConversion!$AT$3:$AV$387,MATCH(ListAndConversion!BV44,ListAndConversion!$AV$3:$AV$387,0),1),"-"))</f>
        <v>-</v>
      </c>
      <c r="CG44" s="498" t="str">
        <f ca="1">IF(OR(LEFT(ListAndConversion!BW44,3)="Dil",LEFT(ListAndConversion!BW44,3)="Poo"),ListAndConversion!BU44,IF(LEFT(ListAndConversion!BW44,3)="Sou",INDEX(ListAndConversion!$AT$4:$AV$387,MATCH(ListAndConversion!BV44,ListAndConversion!$AV$4:$AV$387,0),2),"-"))</f>
        <v>-</v>
      </c>
      <c r="CH44" s="531"/>
      <c r="CI44" s="487" t="str">
        <f t="shared" ca="1" si="19"/>
        <v>-</v>
      </c>
      <c r="CJ44" s="378" t="str">
        <f t="shared" ref="CJ44:CQ53" ca="1" si="37">IFERROR(INDEX($R$3:$U$98,MATCH(INDEX($F$3:$M$387,MATCH($CI44,$E$3:$E$386,0),CJ$3),$S$3:$S$98,0),4),"-")</f>
        <v>-</v>
      </c>
      <c r="CK44" s="378" t="str">
        <f t="shared" ca="1" si="37"/>
        <v>-</v>
      </c>
      <c r="CL44" s="378" t="str">
        <f t="shared" ca="1" si="37"/>
        <v>-</v>
      </c>
      <c r="CM44" s="378" t="str">
        <f t="shared" ca="1" si="37"/>
        <v>-</v>
      </c>
      <c r="CN44" s="378" t="str">
        <f t="shared" ca="1" si="37"/>
        <v>-</v>
      </c>
      <c r="CO44" s="378" t="str">
        <f t="shared" ca="1" si="37"/>
        <v>-</v>
      </c>
      <c r="CP44" s="378" t="str">
        <f t="shared" ca="1" si="37"/>
        <v>-</v>
      </c>
      <c r="CQ44" s="378" t="str">
        <f t="shared" ca="1" si="37"/>
        <v>-</v>
      </c>
      <c r="CR44" s="510" t="str">
        <f ca="1">IFERROR(IF(LEFT(BW44,3)="Poo",INDEX($BE$4:$BJ$99,MATCH(CI44,$BG$4:$BG$99,0),6)*((15/50))*Calculation!$AK$6,INDEX(Calculation_Tab,MATCH(BV44,Identifier,0),10)/(IF(LEN(INDEX(Calculation_Tab,MATCH(BV44,Identifier,0),9))&gt;8,LEN(INDEX(Calculation_Tab,MATCH(BV44,Identifier,0),9))-8,1))*((15/50)*Calculation!$AK$6)),"-")</f>
        <v>-</v>
      </c>
      <c r="CS44" s="498" t="str">
        <f ca="1">IF(CI44="-","-",IF(COUNTIF($CI$3:CI44,CI44)&gt;1,0,IFERROR((35/50)*Calculation!$AK$6,"-")))</f>
        <v>-</v>
      </c>
    </row>
    <row r="45" spans="4:97" x14ac:dyDescent="0.5">
      <c r="D45" s="487" t="e">
        <f t="shared" si="0"/>
        <v>#DIV/0!</v>
      </c>
      <c r="E45" s="496" t="e">
        <f t="array" ref="E45">IF(IF((ROW(E45)-3)&lt;(ListAndConversion!$A$15),INDEX(Flow_Cell_Lane,MIN(IF(COUNTIF($E$2:E44,Flow_Cell_Lane)=0,ROW(Flow_Cell_Lane)-9))),"-")="","-",IF((ROW(E45)-3)&lt;(ListAndConversion!$A$15),INDEX(Flow_Cell_Lane,MIN(IF(COUNTIF($E$2:E44,Flow_Cell_Lane)=0,ROW(Flow_Cell_Lane)-9))),"-"))</f>
        <v>#DIV/0!</v>
      </c>
      <c r="F45" s="378" t="e">
        <f t="shared" si="1"/>
        <v>#DIV/0!</v>
      </c>
      <c r="G45" s="378" t="e">
        <f t="shared" si="35"/>
        <v>#DIV/0!</v>
      </c>
      <c r="H45" s="378" t="e">
        <f t="shared" si="35"/>
        <v>#DIV/0!</v>
      </c>
      <c r="I45" s="378" t="e">
        <f t="shared" si="35"/>
        <v>#DIV/0!</v>
      </c>
      <c r="J45" s="378" t="e">
        <f t="shared" si="35"/>
        <v>#DIV/0!</v>
      </c>
      <c r="K45" s="378" t="e">
        <f t="shared" si="35"/>
        <v>#DIV/0!</v>
      </c>
      <c r="L45" s="378" t="e">
        <f t="shared" si="35"/>
        <v>#DIV/0!</v>
      </c>
      <c r="M45" s="378" t="e">
        <f t="shared" si="35"/>
        <v>#DIV/0!</v>
      </c>
      <c r="N45" s="497" t="e">
        <f t="shared" si="3"/>
        <v>#DIV/0!</v>
      </c>
      <c r="O45" s="497" t="str">
        <f t="array" ref="O45">IFERROR(INDEX(Calculation!I:AN,MATCH(ListAndConversion!E45,Calculation!I:I,0),31),"-")</f>
        <v>-</v>
      </c>
      <c r="P45" s="498">
        <f>IF(COUNTIFS(Calculation!$I$10:$I$393,E45,Direct_Denaturation,"-")&lt;&gt;1,COUNTIFS(Calculation!$I$10:$I$393,E45,Direct_Denaturation,"-"),0)</f>
        <v>0</v>
      </c>
      <c r="Q45" s="378"/>
      <c r="R45" s="487" t="e">
        <f t="array" ref="R45">IF(IF((ROW(R45)-3)&lt;(Calculation!$H$6),INDEX(Flow_Cell,MIN(IF(COUNTIF($R$2:R44,Flow_Cell)=0,ROW(Flow_Cell)-9))),"-")="","-",IF((ROW(R45)-3)&lt;(Calculation!$H$6),INDEX(Flow_Cell,MIN(IF(COUNTIF($R$2:R44,Flow_Cell)=0,ROW(Flow_Cell)-9))),"-"))</f>
        <v>#DIV/0!</v>
      </c>
      <c r="S45" s="378" t="e">
        <f t="shared" si="36"/>
        <v>#DIV/0!</v>
      </c>
      <c r="T45" s="378">
        <v>3</v>
      </c>
      <c r="U45" s="498">
        <v>43</v>
      </c>
      <c r="V45" s="487">
        <v>42</v>
      </c>
      <c r="W45" s="497" t="s">
        <v>287</v>
      </c>
      <c r="X45" s="497" t="s">
        <v>371</v>
      </c>
      <c r="Y45" s="378">
        <v>42</v>
      </c>
      <c r="Z45" s="378" t="str">
        <f t="shared" ca="1" si="32"/>
        <v>-</v>
      </c>
      <c r="AA45" s="508" t="str">
        <f t="array" aca="1" ref="AA45" ca="1">IFERROR(INDEX(Calculation_Tab,SMALL(ROW(Sample_Intermediate_Dil)*(Sample_Intermediate_Dil&lt;&gt;"-"),COUNTIF(Sample_Intermediate_Dil,"-")+ROW()-3)-9,5),"-")</f>
        <v>-</v>
      </c>
      <c r="AB45" s="378" t="str">
        <f t="array" aca="1" ref="AB45" ca="1">IFERROR(INDEX($A$3:$B$12,MATCH(INDEX(Calculation_Tab,SMALL(ROW(Sample_Intermediate_Dil)*(Sample_Intermediate_Dil&lt;&gt;"-"),COUNTIF(Sample_Intermediate_Dil,"-")+ROW()-3)-9,5),$A$3:$A$12,0),2),"-")</f>
        <v>-</v>
      </c>
      <c r="AC45" s="509" t="str">
        <f t="array" aca="1" ref="AC45" ca="1">IFERROR(INDEX(Coordinate,MATCH(INDEX(Calculation_Tab,SMALL(ROW(Sample_Intermediate_Dil)*(Sample_Intermediate_Dil&lt;&gt;"-"),COUNTIF(Sample_Intermediate_Dil,"-")+ROW()-3)-9,6),$X$4:$X$99,0),2),"-")</f>
        <v>-</v>
      </c>
      <c r="AD45" s="510" t="str">
        <f t="array" aca="1" ref="AD45" ca="1">IFERROR(INDEX(Calculation_Tab,SMALL(ROW(Sample_Intermediate_Dil)*(Sample_Intermediate_Dil&lt;&gt;"-"),COUNTIF(Sample_Intermediate_Dil,"-")+ROW()-3)-9,24),"-")</f>
        <v>-</v>
      </c>
      <c r="AE45" s="510" t="str">
        <f t="array" aca="1" ref="AE45" ca="1">IFERROR(INDEX(Calculation_Tab,SMALL(ROW(Sample_Intermediate_Dil)*(Sample_Intermediate_Dil&lt;&gt;"-"),COUNTIF(Sample_Intermediate_Dil,"-")+ROW()-3)-9,25),"-")</f>
        <v>-</v>
      </c>
      <c r="AF45" s="510" t="str">
        <f t="array" aca="1" ref="AF45" ca="1">IFERROR(INDEX(Calculation_Tab,SMALL(ROW(Sample_Intermediate_Dil)*(Sample_Intermediate_Dil&lt;&gt;"-"),COUNTIF(Sample_Intermediate_Dil,"-")+ROW()-3)-9,26),"-")</f>
        <v>-</v>
      </c>
      <c r="AG45" s="511" t="str">
        <f t="array" aca="1" ref="AG45" ca="1">IFERROR(INDEX(Calculation_Tab,SMALL(ROW(Sample_Intermediate_Dil)*(Sample_Intermediate_Dil&lt;&gt;"-"),COUNTIF(Sample_Intermediate_Dil,"-")+ROW()-3)-9,27),"-")</f>
        <v>-</v>
      </c>
      <c r="AI45" s="487">
        <v>42</v>
      </c>
      <c r="AJ45" s="497" t="s">
        <v>160</v>
      </c>
      <c r="AK45" s="378">
        <v>42</v>
      </c>
      <c r="AL45" s="378" t="str">
        <f t="shared" ca="1" si="6"/>
        <v>-</v>
      </c>
      <c r="AM45" s="378" t="str">
        <f t="array" aca="1" ref="AM45" ca="1">IFERROR(IF(AI45&lt;=$AB$2,"-",INDEX(Calculation_Tab,SMALL(ROW(Main_Dil)*(Main_Dil&lt;&gt;"-"),COUNTIF(Main_Dil,"-")+ROW()-3-$AB$2)-9,5)),"-")</f>
        <v>-</v>
      </c>
      <c r="AN45" s="378" t="str">
        <f t="array" aca="1" ref="AN45" ca="1">IFERROR(IF(AI45&lt;=$AB$2,"-",INDEX($A$3:$B$12,MATCH(INDEX(Calculation_Tab,SMALL(ROW(Main_Dil)*(Main_Dil&lt;&gt;"-"),COUNTIF(Main_Dil,"-")+ROW()-3-$AB$2)-9,5),$A$3:$A$12,0),2)),"-")</f>
        <v>-</v>
      </c>
      <c r="AO45" s="378" t="str">
        <f t="array" aca="1" ref="AO45" ca="1">IFERROR(IF(AI45&lt;=$AB$2,"-",INDEX(Coordinate,MATCH(INDEX(Calculation_Tab,SMALL(ROW(Main_Dil)*(Main_Dil&lt;&gt;"-"),COUNTIF(Main_Dil,"-")+ROW()-3-$AB$2)-9,6),$X$4:$X$99,0),2)),"-")</f>
        <v>-</v>
      </c>
      <c r="AP45" s="510" t="str">
        <f t="array" aca="1" ref="AP45" ca="1">IFERROR(IF(AI45&lt;=$AB$2,"-",INDEX(Calculation_Tab,SMALL(ROW(Main_Dil)*(Main_Dil&lt;&gt;"-"),COUNTIF(Main_Dil,"-")+ROW()-3-$AB$2)-9,21)),"-")</f>
        <v>-</v>
      </c>
      <c r="AQ45" s="511" t="str">
        <f t="array" aca="1" ref="AQ45" ca="1">IFERROR(IF(AI45&lt;=$AB$2,"-",INDEX(Calculation_Tab,SMALL(ROW(Main_Dil)*(Main_Dil&lt;&gt;"-"),COUNTIF(Main_Dil,"-")+ROW()-3-$AB$2)-9,22)),"-")</f>
        <v>-</v>
      </c>
      <c r="AR45" s="487" t="str">
        <f t="shared" ca="1" si="7"/>
        <v>-</v>
      </c>
      <c r="AS45" s="378">
        <v>42</v>
      </c>
      <c r="AT45" s="497" t="s">
        <v>160</v>
      </c>
      <c r="AU45" s="498">
        <v>42</v>
      </c>
      <c r="AV45" s="378" t="str">
        <f t="shared" ca="1" si="8"/>
        <v>-</v>
      </c>
      <c r="AW45" s="378" t="str">
        <f t="array" aca="1" ref="AW45" ca="1">IFERROR(IF(AS45&lt;=$AB$2+$AN$2,"-",INDEX(Calculation_Tab,SMALL(ROW(Direct_Denaturation)*(Direct_Denaturation&lt;&gt;"-"),COUNTIF(Direct_Denaturation,"-")+ROW()-3-$AB$2-$AN$2)-9,5)),"-")</f>
        <v>-</v>
      </c>
      <c r="AX45" s="378" t="str">
        <f t="array" aca="1" ref="AX45" ca="1">IFERROR(IF(AS45&lt;=$AB$2+$AN$2,"-",INDEX($A$3:$B$12,MATCH(INDEX(Calculation_Tab,SMALL(ROW(Direct_Denaturation)*(Direct_Denaturation&lt;&gt;"-"),COUNTIF(Direct_Denaturation,"-")+ROW()-3-$AB$2-$AN$2)-9,5),$A$3:$A$12,0),2)),"-")</f>
        <v>-</v>
      </c>
      <c r="AY45" s="378" t="str">
        <f t="array" aca="1" ref="AY45" ca="1">IFERROR(IF(AS45&lt;=$AB$2+$AN$2,"-",INDEX(Coordinate,MATCH(INDEX(Calculation_Tab,SMALL(ROW(Direct_Denaturation)*(Direct_Denaturation&lt;&gt;"-"),COUNTIF(Direct_Denaturation,"-")+ROW()-3-$AB$2-$AN$2)-9,6),$X$4:$X$99,0),2)),"-")</f>
        <v>-</v>
      </c>
      <c r="AZ45" s="510" t="str">
        <f t="array" aca="1" ref="AZ45" ca="1">IFERROR(IF(AS45&lt;=$AB$2+$AN$2,"-",INDEX(Calculation_Tab,SMALL(ROW(Direct_Denaturation)*(Direct_Denaturation&lt;&gt;"-"),COUNTIF(Direct_Denaturation,"-")+ROW()-3-$AB$2-$AN$2)-9,32)),"-")</f>
        <v>-</v>
      </c>
      <c r="BA45" s="510" t="str">
        <f t="array" aca="1" ref="BA45" ca="1">IFERROR(IF(AS45&lt;=$AB$2+$AN$2,"-",INDEX(Calculation_Tab,SMALL(ROW(Direct_Denaturation)*(Direct_Denaturation&lt;&gt;"-"),COUNTIF(Direct_Denaturation,"-")+ROW()-3-$AB$2-$AN$2)-9,34)),"-")</f>
        <v>-</v>
      </c>
      <c r="BB45" s="510" t="str">
        <f t="array" aca="1" ref="BB45" ca="1">IFERROR(IF(AS45&lt;=$AB$2+$AN$2,"-",INDEX(Calculation_Tab,SMALL(ROW(Direct_Denaturation)*(Direct_Denaturation&lt;&gt;"-"),COUNTIF(Direct_Denaturation,"-")+ROW()-3-$AB$2-$AN$2)-9,33)),"-")</f>
        <v>-</v>
      </c>
      <c r="BC45" s="510" t="str">
        <f t="array" aca="1" ref="BC45" ca="1">IFERROR(IF(AS45&lt;=$AB$2+$AN$2,"-",INDEX(Calculation_Tab,SMALL(ROW(Direct_Denaturation)*(Direct_Denaturation&lt;&gt;"-"),COUNTIF(Direct_Denaturation,"-")+ROW()-3-$AB$2-$AN$2)-9,35)),"-")</f>
        <v>-</v>
      </c>
      <c r="BD45" s="511" t="str">
        <f t="shared" ca="1" si="9"/>
        <v>-</v>
      </c>
      <c r="BE45" s="494" t="s">
        <v>372</v>
      </c>
      <c r="BF45" s="378">
        <v>42</v>
      </c>
      <c r="BG45" s="515" t="str">
        <v>-</v>
      </c>
      <c r="BH45" s="516" t="str">
        <f>IFERROR(IF((Calculation!$AR$6/INDEX(ListAndConversion!D:P,MATCH(BG45,E:E,0),13))&lt;Calculation!$O$6,INDEX(ListAndConversion!D:P,MATCH(BG45,E:E,0),13)*Calculation!$O$6,Calculation!$AR$6),"-")</f>
        <v>-</v>
      </c>
      <c r="BI45" s="517" t="str">
        <f t="shared" si="33"/>
        <v>-</v>
      </c>
      <c r="BJ45" s="518" t="str">
        <f t="shared" si="34"/>
        <v>-</v>
      </c>
      <c r="BK45" s="378" t="s">
        <v>158</v>
      </c>
      <c r="BL45" s="378">
        <v>42</v>
      </c>
      <c r="BM45" s="487" t="str">
        <f t="array" aca="1" ref="BM45" ca="1">IFERROR(INDEX(Calculation_Tab,SMALL(ROW(ToPool)*(ToPool&lt;&gt;"-"),COUNTIF(ToPool,"-")+ROW()-3)-9,3),"-")</f>
        <v>-</v>
      </c>
      <c r="BN45" s="378" t="str">
        <f t="shared" ca="1" si="12"/>
        <v>-</v>
      </c>
      <c r="BO45" s="378" t="str">
        <f t="shared" ca="1" si="13"/>
        <v>-</v>
      </c>
      <c r="BP45" s="523" t="str">
        <f t="shared" ca="1" si="14"/>
        <v>-</v>
      </c>
      <c r="BQ45" s="378" t="str">
        <f t="array" aca="1" ref="BQ45" ca="1">IFERROR(INDEX(BE:BG,MATCH(INDEX(Calculation_Tab,SMALL(ROW(ToPool)*(ToPool&lt;&gt;"-"),COUNTIF(ToPool,"-")+ROW()-3)-9,9),BG:BG,0),2),"-")</f>
        <v>-</v>
      </c>
      <c r="BR45" s="510" t="str">
        <f t="shared" ca="1" si="15"/>
        <v>-</v>
      </c>
      <c r="BS45" s="511" t="str">
        <f t="shared" ca="1" si="16"/>
        <v>-</v>
      </c>
      <c r="BT45" s="378" t="s">
        <v>164</v>
      </c>
      <c r="BU45" s="487" t="str">
        <f t="shared" ca="1" si="21"/>
        <v>-</v>
      </c>
      <c r="BV45" s="487" t="str">
        <f t="array" aca="1" ref="BV4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45" s="378" t="str">
        <f t="shared" ca="1" si="17"/>
        <v>-</v>
      </c>
      <c r="BX45" s="378" t="str">
        <f t="shared" ca="1" si="18"/>
        <v>-</v>
      </c>
      <c r="BY45" s="510" t="str">
        <f ca="1">IFERROR(ROUND(INDEX(Cluster,MATCH(IF(LEFT(BV45,4)="Pool",INDEX(Cluster,MATCH(INDEX(Calculation_Tab,MATCH(INDEX($BE$4:$BJ$99,MATCH(BV45,$BE$4:$BE$99,0),3),Flow_Cell_Lane,0),3),Cluster!$F$29:$F$412,0),6),BV45),Identifier_Cluster,0),19)*IF(LEFT(BV45,4)="pool",IF(LEN(INDEX($BE$4:$BJ$99,MATCH(BV45,$BE$4:$BE$99,0),3))=10,2,IF(LEN(INDEX($BE$4:$BJ$99,MATCH(BV45,$BE$4:$BE$99,0),3))&gt;10,LEN(INDEX($BE$4:$BJ$99,MATCH(BV45,$BE$4:$BE$99,0),3))-8,1)),1)*IF(LEFT(BV45,4)="pool",IF(INDEX($BE$4:$BJ$99,MATCH(BV45,$BE$4:$BE$99,0),6)&lt;1,1,INDEX($BE$4:$BJ$99,MATCH(BV45,$BE$4:$BE$99,0),6)),INDEX(Calculation_Tab,MATCH(BV45,Identifier,0),10)),1)*(1+Calculation!$Q$6),"-")</f>
        <v>-</v>
      </c>
      <c r="BZ45" s="378" t="str">
        <f ca="1">IFERROR((0.5/50)*CE45/Calculation!$AG$6*(IF(LEFT(BV45,4)="Pool",IF(LEN(INDEX($BE$4:$BJ$99,MATCH(BV45,$BE$4:$BE$99,0),3))=10,2,IF(LEN(INDEX($BE$4:$BJ$99,MATCH(BV45,$BE$4:$BE$99,0),3))&gt;10,LEN(INDEX($BE$4:$BJ$99,MATCH(BV45,$BE$4:$BE$99,0),3))-8,1)),IF(INDEX(Calculation_Tab,MATCH(BV45,Identifier,0),10)&gt;1,INDEX(Calculation_Tab,MATCH(BV45,Identifier,0),10),1)))*(1+Calculation!$Q$6),"-")</f>
        <v>-</v>
      </c>
      <c r="CA45" s="510" t="str">
        <f ca="1">IFERROR(IF((BZ45*Calculation!$AG$6/0.05)-SUM(BY45:BZ45,CC45)&gt;0,(BZ45*Calculation!$AG$6/0.05)-SUM(BY45:BZ45,CC45),0),"-")</f>
        <v>-</v>
      </c>
      <c r="CB45" s="510" t="str">
        <f ca="1">IFERROR(5/50*CE45*(IF(LEFT(BV45,4)="Pool",IF(LEN(INDEX($BE$4:$BJ$99,MATCH(BV45,$BE$4:$BE$99,0),3))=10,2,IF(LEN(INDEX($BE$4:$BJ$99,MATCH(BV45,$BE$4:$BE$99,0),3))&gt;10,LEN(INDEX($BE$4:$BJ$99,MATCH(BV45,$BE$4:$BE$99,0),3))-8,1)),IF(INDEX(Calculation_Tab,MATCH(BV45,Identifier,0),10)&gt;1,INDEX(Calculation_Tab,MATCH(BV45,Identifier,0),10),1)))*(1+Calculation!$Q$6),"-")</f>
        <v>-</v>
      </c>
      <c r="CC45" s="508" t="str">
        <f ca="1">IFERROR(ROUND(INDEX(Cluster,MATCH(IF(LEFT(BV45,4)="Pool",INDEX(Cluster,MATCH(INDEX(Calculation_Tab,MATCH(INDEX($BE$4:$BJ$99,MATCH(BV45,$BE$4:$BE$99,0),3),Flow_Cell_Lane,0),3),Cluster!$F$29:$F$412,0),6),BV45),Identifier_Cluster,0),20)*IF(LEFT(BV45,4)="pool",IF(LEN(INDEX($BE$4:$BJ$99,MATCH(BV45,$BE$4:$BE$99,0),3))=10,2,IF(LEN(INDEX($BE$4:$BJ$99,MATCH(BV45,$BE$4:$BE$99,0),3))&gt;10,LEN(INDEX($BE$4:$BJ$99,MATCH(BV45,$BE$4:$BE$99,0),3))-8,1)),1)*IF(LEFT(BV45,4)="pool",IF(INDEX($BE$4:$BJ$99,MATCH(BV45,$BE$4:$BE$99,0),6)&lt;1,1,INDEX($BE$4:$BJ$99,MATCH(BV45,$BE$4:$BE$99,0),6)),INDEX(Calculation_Tab,MATCH(BV45,Identifier,0),10)),1)*(1+Calculation!$Q$6),"-")</f>
        <v>-</v>
      </c>
      <c r="CD45" s="509" t="str">
        <f ca="1">IFERROR(INDEX(Cluster!AC:AD,MATCH(IF(LEFT(BV45,4)="Pool",INDEX(Cluster!$D$29:$AA$412,MATCH(INDEX(Calculation_Tab,MATCH(INDEX($BE$4:$BJ$99,MATCH(BV45,$BE$4:$BE$99,0),3),Flow_Cell_Lane,0),3),Cluster!$F$29:$F$412,0),24),INDEX(Cluster!$D$29:$AA$412,MATCH(BV45,Cluster!$F$29:$F$412,0),24)),Cluster!AC:AC,0),2),"-")</f>
        <v>-</v>
      </c>
      <c r="CE45" s="378" t="str">
        <f ca="1">IFERROR(IF(BV45&lt;&gt;"-",Calculation!$AK$6,"-"),"-")</f>
        <v>-</v>
      </c>
      <c r="CF45" s="378" t="str">
        <f ca="1">IF(OR(LEFT(ListAndConversion!BW45,3)="Dil",LEFT(ListAndConversion!BW45,3)="Poo"),ListAndConversion!$BT$4,IF(LEFT(ListAndConversion!BW45,3)="Sou",INDEX(ListAndConversion!$AT$3:$AV$387,MATCH(ListAndConversion!BV45,ListAndConversion!$AV$3:$AV$387,0),1),"-"))</f>
        <v>-</v>
      </c>
      <c r="CG45" s="498" t="str">
        <f ca="1">IF(OR(LEFT(ListAndConversion!BW45,3)="Dil",LEFT(ListAndConversion!BW45,3)="Poo"),ListAndConversion!BU45,IF(LEFT(ListAndConversion!BW45,3)="Sou",INDEX(ListAndConversion!$AT$4:$AV$387,MATCH(ListAndConversion!BV45,ListAndConversion!$AV$4:$AV$387,0),2),"-"))</f>
        <v>-</v>
      </c>
      <c r="CH45" s="531"/>
      <c r="CI45" s="487" t="str">
        <f t="shared" ca="1" si="19"/>
        <v>-</v>
      </c>
      <c r="CJ45" s="378" t="str">
        <f t="shared" ca="1" si="37"/>
        <v>-</v>
      </c>
      <c r="CK45" s="378" t="str">
        <f t="shared" ca="1" si="37"/>
        <v>-</v>
      </c>
      <c r="CL45" s="378" t="str">
        <f t="shared" ca="1" si="37"/>
        <v>-</v>
      </c>
      <c r="CM45" s="378" t="str">
        <f t="shared" ca="1" si="37"/>
        <v>-</v>
      </c>
      <c r="CN45" s="378" t="str">
        <f t="shared" ca="1" si="37"/>
        <v>-</v>
      </c>
      <c r="CO45" s="378" t="str">
        <f t="shared" ca="1" si="37"/>
        <v>-</v>
      </c>
      <c r="CP45" s="378" t="str">
        <f t="shared" ca="1" si="37"/>
        <v>-</v>
      </c>
      <c r="CQ45" s="378" t="str">
        <f t="shared" ca="1" si="37"/>
        <v>-</v>
      </c>
      <c r="CR45" s="510" t="str">
        <f ca="1">IFERROR(IF(LEFT(BW45,3)="Poo",INDEX($BE$4:$BJ$99,MATCH(CI45,$BG$4:$BG$99,0),6)*((15/50))*Calculation!$AK$6,INDEX(Calculation_Tab,MATCH(BV45,Identifier,0),10)/(IF(LEN(INDEX(Calculation_Tab,MATCH(BV45,Identifier,0),9))&gt;8,LEN(INDEX(Calculation_Tab,MATCH(BV45,Identifier,0),9))-8,1))*((15/50)*Calculation!$AK$6)),"-")</f>
        <v>-</v>
      </c>
      <c r="CS45" s="498" t="str">
        <f ca="1">IF(CI45="-","-",IF(COUNTIF($CI$3:CI45,CI45)&gt;1,0,IFERROR((35/50)*Calculation!$AK$6,"-")))</f>
        <v>-</v>
      </c>
    </row>
    <row r="46" spans="4:97" x14ac:dyDescent="0.5">
      <c r="D46" s="487" t="e">
        <f t="shared" si="0"/>
        <v>#DIV/0!</v>
      </c>
      <c r="E46" s="496" t="e">
        <f t="array" ref="E46">IF(IF((ROW(E46)-3)&lt;(ListAndConversion!$A$15),INDEX(Flow_Cell_Lane,MIN(IF(COUNTIF($E$2:E45,Flow_Cell_Lane)=0,ROW(Flow_Cell_Lane)-9))),"-")="","-",IF((ROW(E46)-3)&lt;(ListAndConversion!$A$15),INDEX(Flow_Cell_Lane,MIN(IF(COUNTIF($E$2:E45,Flow_Cell_Lane)=0,ROW(Flow_Cell_Lane)-9))),"-"))</f>
        <v>#DIV/0!</v>
      </c>
      <c r="F46" s="378" t="e">
        <f t="shared" si="1"/>
        <v>#DIV/0!</v>
      </c>
      <c r="G46" s="378" t="e">
        <f t="shared" si="35"/>
        <v>#DIV/0!</v>
      </c>
      <c r="H46" s="378" t="e">
        <f t="shared" si="35"/>
        <v>#DIV/0!</v>
      </c>
      <c r="I46" s="378" t="e">
        <f t="shared" si="35"/>
        <v>#DIV/0!</v>
      </c>
      <c r="J46" s="378" t="e">
        <f t="shared" si="35"/>
        <v>#DIV/0!</v>
      </c>
      <c r="K46" s="378" t="e">
        <f t="shared" si="35"/>
        <v>#DIV/0!</v>
      </c>
      <c r="L46" s="378" t="e">
        <f t="shared" si="35"/>
        <v>#DIV/0!</v>
      </c>
      <c r="M46" s="378" t="e">
        <f t="shared" si="35"/>
        <v>#DIV/0!</v>
      </c>
      <c r="N46" s="497" t="e">
        <f t="shared" si="3"/>
        <v>#DIV/0!</v>
      </c>
      <c r="O46" s="497" t="str">
        <f t="array" ref="O46">IFERROR(INDEX(Calculation!I:AN,MATCH(ListAndConversion!E46,Calculation!I:I,0),31),"-")</f>
        <v>-</v>
      </c>
      <c r="P46" s="498">
        <f>IF(COUNTIFS(Calculation!$I$10:$I$393,E46,Direct_Denaturation,"-")&lt;&gt;1,COUNTIFS(Calculation!$I$10:$I$393,E46,Direct_Denaturation,"-"),0)</f>
        <v>0</v>
      </c>
      <c r="Q46" s="378"/>
      <c r="R46" s="487" t="e">
        <f t="array" ref="R46">IF(IF((ROW(R46)-3)&lt;(Calculation!$H$6),INDEX(Flow_Cell,MIN(IF(COUNTIF($R$2:R45,Flow_Cell)=0,ROW(Flow_Cell)-9))),"-")="","-",IF((ROW(R46)-3)&lt;(Calculation!$H$6),INDEX(Flow_Cell,MIN(IF(COUNTIF($R$2:R45,Flow_Cell)=0,ROW(Flow_Cell)-9))),"-"))</f>
        <v>#DIV/0!</v>
      </c>
      <c r="S46" s="378" t="e">
        <f t="shared" si="36"/>
        <v>#DIV/0!</v>
      </c>
      <c r="T46" s="378">
        <v>4</v>
      </c>
      <c r="U46" s="498">
        <v>44</v>
      </c>
      <c r="V46" s="487">
        <v>43</v>
      </c>
      <c r="W46" s="497" t="s">
        <v>287</v>
      </c>
      <c r="X46" s="497" t="s">
        <v>373</v>
      </c>
      <c r="Y46" s="378">
        <v>43</v>
      </c>
      <c r="Z46" s="378" t="str">
        <f t="shared" ca="1" si="32"/>
        <v>-</v>
      </c>
      <c r="AA46" s="508" t="str">
        <f t="array" aca="1" ref="AA46" ca="1">IFERROR(INDEX(Calculation_Tab,SMALL(ROW(Sample_Intermediate_Dil)*(Sample_Intermediate_Dil&lt;&gt;"-"),COUNTIF(Sample_Intermediate_Dil,"-")+ROW()-3)-9,5),"-")</f>
        <v>-</v>
      </c>
      <c r="AB46" s="378" t="str">
        <f t="array" aca="1" ref="AB46" ca="1">IFERROR(INDEX($A$3:$B$12,MATCH(INDEX(Calculation_Tab,SMALL(ROW(Sample_Intermediate_Dil)*(Sample_Intermediate_Dil&lt;&gt;"-"),COUNTIF(Sample_Intermediate_Dil,"-")+ROW()-3)-9,5),$A$3:$A$12,0),2),"-")</f>
        <v>-</v>
      </c>
      <c r="AC46" s="509" t="str">
        <f t="array" aca="1" ref="AC46" ca="1">IFERROR(INDEX(Coordinate,MATCH(INDEX(Calculation_Tab,SMALL(ROW(Sample_Intermediate_Dil)*(Sample_Intermediate_Dil&lt;&gt;"-"),COUNTIF(Sample_Intermediate_Dil,"-")+ROW()-3)-9,6),$X$4:$X$99,0),2),"-")</f>
        <v>-</v>
      </c>
      <c r="AD46" s="510" t="str">
        <f t="array" aca="1" ref="AD46" ca="1">IFERROR(INDEX(Calculation_Tab,SMALL(ROW(Sample_Intermediate_Dil)*(Sample_Intermediate_Dil&lt;&gt;"-"),COUNTIF(Sample_Intermediate_Dil,"-")+ROW()-3)-9,24),"-")</f>
        <v>-</v>
      </c>
      <c r="AE46" s="510" t="str">
        <f t="array" aca="1" ref="AE46" ca="1">IFERROR(INDEX(Calculation_Tab,SMALL(ROW(Sample_Intermediate_Dil)*(Sample_Intermediate_Dil&lt;&gt;"-"),COUNTIF(Sample_Intermediate_Dil,"-")+ROW()-3)-9,25),"-")</f>
        <v>-</v>
      </c>
      <c r="AF46" s="510" t="str">
        <f t="array" aca="1" ref="AF46" ca="1">IFERROR(INDEX(Calculation_Tab,SMALL(ROW(Sample_Intermediate_Dil)*(Sample_Intermediate_Dil&lt;&gt;"-"),COUNTIF(Sample_Intermediate_Dil,"-")+ROW()-3)-9,26),"-")</f>
        <v>-</v>
      </c>
      <c r="AG46" s="511" t="str">
        <f t="array" aca="1" ref="AG46" ca="1">IFERROR(INDEX(Calculation_Tab,SMALL(ROW(Sample_Intermediate_Dil)*(Sample_Intermediate_Dil&lt;&gt;"-"),COUNTIF(Sample_Intermediate_Dil,"-")+ROW()-3)-9,27),"-")</f>
        <v>-</v>
      </c>
      <c r="AI46" s="487">
        <v>43</v>
      </c>
      <c r="AJ46" s="497" t="s">
        <v>160</v>
      </c>
      <c r="AK46" s="378">
        <v>43</v>
      </c>
      <c r="AL46" s="378" t="str">
        <f t="shared" ca="1" si="6"/>
        <v>-</v>
      </c>
      <c r="AM46" s="378" t="str">
        <f t="array" aca="1" ref="AM46" ca="1">IFERROR(IF(AI46&lt;=$AB$2,"-",INDEX(Calculation_Tab,SMALL(ROW(Main_Dil)*(Main_Dil&lt;&gt;"-"),COUNTIF(Main_Dil,"-")+ROW()-3-$AB$2)-9,5)),"-")</f>
        <v>-</v>
      </c>
      <c r="AN46" s="378" t="str">
        <f t="array" aca="1" ref="AN46" ca="1">IFERROR(IF(AI46&lt;=$AB$2,"-",INDEX($A$3:$B$12,MATCH(INDEX(Calculation_Tab,SMALL(ROW(Main_Dil)*(Main_Dil&lt;&gt;"-"),COUNTIF(Main_Dil,"-")+ROW()-3-$AB$2)-9,5),$A$3:$A$12,0),2)),"-")</f>
        <v>-</v>
      </c>
      <c r="AO46" s="378" t="str">
        <f t="array" aca="1" ref="AO46" ca="1">IFERROR(IF(AI46&lt;=$AB$2,"-",INDEX(Coordinate,MATCH(INDEX(Calculation_Tab,SMALL(ROW(Main_Dil)*(Main_Dil&lt;&gt;"-"),COUNTIF(Main_Dil,"-")+ROW()-3-$AB$2)-9,6),$X$4:$X$99,0),2)),"-")</f>
        <v>-</v>
      </c>
      <c r="AP46" s="510" t="str">
        <f t="array" aca="1" ref="AP46" ca="1">IFERROR(IF(AI46&lt;=$AB$2,"-",INDEX(Calculation_Tab,SMALL(ROW(Main_Dil)*(Main_Dil&lt;&gt;"-"),COUNTIF(Main_Dil,"-")+ROW()-3-$AB$2)-9,21)),"-")</f>
        <v>-</v>
      </c>
      <c r="AQ46" s="511" t="str">
        <f t="array" aca="1" ref="AQ46" ca="1">IFERROR(IF(AI46&lt;=$AB$2,"-",INDEX(Calculation_Tab,SMALL(ROW(Main_Dil)*(Main_Dil&lt;&gt;"-"),COUNTIF(Main_Dil,"-")+ROW()-3-$AB$2)-9,22)),"-")</f>
        <v>-</v>
      </c>
      <c r="AR46" s="487" t="str">
        <f t="shared" ca="1" si="7"/>
        <v>-</v>
      </c>
      <c r="AS46" s="378">
        <v>43</v>
      </c>
      <c r="AT46" s="497" t="s">
        <v>160</v>
      </c>
      <c r="AU46" s="498">
        <v>43</v>
      </c>
      <c r="AV46" s="378" t="str">
        <f t="shared" ca="1" si="8"/>
        <v>-</v>
      </c>
      <c r="AW46" s="378" t="str">
        <f t="array" aca="1" ref="AW46" ca="1">IFERROR(IF(AS46&lt;=$AB$2+$AN$2,"-",INDEX(Calculation_Tab,SMALL(ROW(Direct_Denaturation)*(Direct_Denaturation&lt;&gt;"-"),COUNTIF(Direct_Denaturation,"-")+ROW()-3-$AB$2-$AN$2)-9,5)),"-")</f>
        <v>-</v>
      </c>
      <c r="AX46" s="378" t="str">
        <f t="array" aca="1" ref="AX46" ca="1">IFERROR(IF(AS46&lt;=$AB$2+$AN$2,"-",INDEX($A$3:$B$12,MATCH(INDEX(Calculation_Tab,SMALL(ROW(Direct_Denaturation)*(Direct_Denaturation&lt;&gt;"-"),COUNTIF(Direct_Denaturation,"-")+ROW()-3-$AB$2-$AN$2)-9,5),$A$3:$A$12,0),2)),"-")</f>
        <v>-</v>
      </c>
      <c r="AY46" s="378" t="str">
        <f t="array" aca="1" ref="AY46" ca="1">IFERROR(IF(AS46&lt;=$AB$2+$AN$2,"-",INDEX(Coordinate,MATCH(INDEX(Calculation_Tab,SMALL(ROW(Direct_Denaturation)*(Direct_Denaturation&lt;&gt;"-"),COUNTIF(Direct_Denaturation,"-")+ROW()-3-$AB$2-$AN$2)-9,6),$X$4:$X$99,0),2)),"-")</f>
        <v>-</v>
      </c>
      <c r="AZ46" s="510" t="str">
        <f t="array" aca="1" ref="AZ46" ca="1">IFERROR(IF(AS46&lt;=$AB$2+$AN$2,"-",INDEX(Calculation_Tab,SMALL(ROW(Direct_Denaturation)*(Direct_Denaturation&lt;&gt;"-"),COUNTIF(Direct_Denaturation,"-")+ROW()-3-$AB$2-$AN$2)-9,32)),"-")</f>
        <v>-</v>
      </c>
      <c r="BA46" s="510" t="str">
        <f t="array" aca="1" ref="BA46" ca="1">IFERROR(IF(AS46&lt;=$AB$2+$AN$2,"-",INDEX(Calculation_Tab,SMALL(ROW(Direct_Denaturation)*(Direct_Denaturation&lt;&gt;"-"),COUNTIF(Direct_Denaturation,"-")+ROW()-3-$AB$2-$AN$2)-9,34)),"-")</f>
        <v>-</v>
      </c>
      <c r="BB46" s="510" t="str">
        <f t="array" aca="1" ref="BB46" ca="1">IFERROR(IF(AS46&lt;=$AB$2+$AN$2,"-",INDEX(Calculation_Tab,SMALL(ROW(Direct_Denaturation)*(Direct_Denaturation&lt;&gt;"-"),COUNTIF(Direct_Denaturation,"-")+ROW()-3-$AB$2-$AN$2)-9,33)),"-")</f>
        <v>-</v>
      </c>
      <c r="BC46" s="510" t="str">
        <f t="array" aca="1" ref="BC46" ca="1">IFERROR(IF(AS46&lt;=$AB$2+$AN$2,"-",INDEX(Calculation_Tab,SMALL(ROW(Direct_Denaturation)*(Direct_Denaturation&lt;&gt;"-"),COUNTIF(Direct_Denaturation,"-")+ROW()-3-$AB$2-$AN$2)-9,35)),"-")</f>
        <v>-</v>
      </c>
      <c r="BD46" s="511" t="str">
        <f t="shared" ca="1" si="9"/>
        <v>-</v>
      </c>
      <c r="BE46" s="494" t="s">
        <v>374</v>
      </c>
      <c r="BF46" s="378">
        <v>43</v>
      </c>
      <c r="BG46" s="515" t="str">
        <v>-</v>
      </c>
      <c r="BH46" s="516" t="str">
        <f>IFERROR(IF((Calculation!$AR$6/INDEX(ListAndConversion!D:P,MATCH(BG46,E:E,0),13))&lt;Calculation!$O$6,INDEX(ListAndConversion!D:P,MATCH(BG46,E:E,0),13)*Calculation!$O$6,Calculation!$AR$6),"-")</f>
        <v>-</v>
      </c>
      <c r="BI46" s="517" t="str">
        <f t="shared" si="33"/>
        <v>-</v>
      </c>
      <c r="BJ46" s="518" t="str">
        <f t="shared" si="34"/>
        <v>-</v>
      </c>
      <c r="BK46" s="378" t="s">
        <v>158</v>
      </c>
      <c r="BL46" s="378">
        <v>43</v>
      </c>
      <c r="BM46" s="487" t="str">
        <f t="array" aca="1" ref="BM46" ca="1">IFERROR(INDEX(Calculation_Tab,SMALL(ROW(ToPool)*(ToPool&lt;&gt;"-"),COUNTIF(ToPool,"-")+ROW()-3)-9,3),"-")</f>
        <v>-</v>
      </c>
      <c r="BN46" s="378" t="str">
        <f t="shared" ca="1" si="12"/>
        <v>-</v>
      </c>
      <c r="BO46" s="378" t="str">
        <f t="shared" ca="1" si="13"/>
        <v>-</v>
      </c>
      <c r="BP46" s="523" t="str">
        <f t="shared" ca="1" si="14"/>
        <v>-</v>
      </c>
      <c r="BQ46" s="378" t="str">
        <f t="array" aca="1" ref="BQ46" ca="1">IFERROR(INDEX(BE:BG,MATCH(INDEX(Calculation_Tab,SMALL(ROW(ToPool)*(ToPool&lt;&gt;"-"),COUNTIF(ToPool,"-")+ROW()-3)-9,9),BG:BG,0),2),"-")</f>
        <v>-</v>
      </c>
      <c r="BR46" s="510" t="str">
        <f t="shared" ca="1" si="15"/>
        <v>-</v>
      </c>
      <c r="BS46" s="511" t="str">
        <f t="shared" ca="1" si="16"/>
        <v>-</v>
      </c>
      <c r="BT46" s="378" t="s">
        <v>164</v>
      </c>
      <c r="BU46" s="487" t="str">
        <f t="shared" ca="1" si="21"/>
        <v>-</v>
      </c>
      <c r="BV46" s="487" t="str">
        <f t="array" aca="1" ref="BV4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46" s="378" t="str">
        <f t="shared" ca="1" si="17"/>
        <v>-</v>
      </c>
      <c r="BX46" s="378" t="str">
        <f t="shared" ca="1" si="18"/>
        <v>-</v>
      </c>
      <c r="BY46" s="510" t="str">
        <f ca="1">IFERROR(ROUND(INDEX(Cluster,MATCH(IF(LEFT(BV46,4)="Pool",INDEX(Cluster,MATCH(INDEX(Calculation_Tab,MATCH(INDEX($BE$4:$BJ$99,MATCH(BV46,$BE$4:$BE$99,0),3),Flow_Cell_Lane,0),3),Cluster!$F$29:$F$412,0),6),BV46),Identifier_Cluster,0),19)*IF(LEFT(BV46,4)="pool",IF(LEN(INDEX($BE$4:$BJ$99,MATCH(BV46,$BE$4:$BE$99,0),3))=10,2,IF(LEN(INDEX($BE$4:$BJ$99,MATCH(BV46,$BE$4:$BE$99,0),3))&gt;10,LEN(INDEX($BE$4:$BJ$99,MATCH(BV46,$BE$4:$BE$99,0),3))-8,1)),1)*IF(LEFT(BV46,4)="pool",IF(INDEX($BE$4:$BJ$99,MATCH(BV46,$BE$4:$BE$99,0),6)&lt;1,1,INDEX($BE$4:$BJ$99,MATCH(BV46,$BE$4:$BE$99,0),6)),INDEX(Calculation_Tab,MATCH(BV46,Identifier,0),10)),1)*(1+Calculation!$Q$6),"-")</f>
        <v>-</v>
      </c>
      <c r="BZ46" s="378" t="str">
        <f ca="1">IFERROR((0.5/50)*CE46/Calculation!$AG$6*(IF(LEFT(BV46,4)="Pool",IF(LEN(INDEX($BE$4:$BJ$99,MATCH(BV46,$BE$4:$BE$99,0),3))=10,2,IF(LEN(INDEX($BE$4:$BJ$99,MATCH(BV46,$BE$4:$BE$99,0),3))&gt;10,LEN(INDEX($BE$4:$BJ$99,MATCH(BV46,$BE$4:$BE$99,0),3))-8,1)),IF(INDEX(Calculation_Tab,MATCH(BV46,Identifier,0),10)&gt;1,INDEX(Calculation_Tab,MATCH(BV46,Identifier,0),10),1)))*(1+Calculation!$Q$6),"-")</f>
        <v>-</v>
      </c>
      <c r="CA46" s="510" t="str">
        <f ca="1">IFERROR(IF((BZ46*Calculation!$AG$6/0.05)-SUM(BY46:BZ46,CC46)&gt;0,(BZ46*Calculation!$AG$6/0.05)-SUM(BY46:BZ46,CC46),0),"-")</f>
        <v>-</v>
      </c>
      <c r="CB46" s="510" t="str">
        <f ca="1">IFERROR(5/50*CE46*(IF(LEFT(BV46,4)="Pool",IF(LEN(INDEX($BE$4:$BJ$99,MATCH(BV46,$BE$4:$BE$99,0),3))=10,2,IF(LEN(INDEX($BE$4:$BJ$99,MATCH(BV46,$BE$4:$BE$99,0),3))&gt;10,LEN(INDEX($BE$4:$BJ$99,MATCH(BV46,$BE$4:$BE$99,0),3))-8,1)),IF(INDEX(Calculation_Tab,MATCH(BV46,Identifier,0),10)&gt;1,INDEX(Calculation_Tab,MATCH(BV46,Identifier,0),10),1)))*(1+Calculation!$Q$6),"-")</f>
        <v>-</v>
      </c>
      <c r="CC46" s="508" t="str">
        <f ca="1">IFERROR(ROUND(INDEX(Cluster,MATCH(IF(LEFT(BV46,4)="Pool",INDEX(Cluster,MATCH(INDEX(Calculation_Tab,MATCH(INDEX($BE$4:$BJ$99,MATCH(BV46,$BE$4:$BE$99,0),3),Flow_Cell_Lane,0),3),Cluster!$F$29:$F$412,0),6),BV46),Identifier_Cluster,0),20)*IF(LEFT(BV46,4)="pool",IF(LEN(INDEX($BE$4:$BJ$99,MATCH(BV46,$BE$4:$BE$99,0),3))=10,2,IF(LEN(INDEX($BE$4:$BJ$99,MATCH(BV46,$BE$4:$BE$99,0),3))&gt;10,LEN(INDEX($BE$4:$BJ$99,MATCH(BV46,$BE$4:$BE$99,0),3))-8,1)),1)*IF(LEFT(BV46,4)="pool",IF(INDEX($BE$4:$BJ$99,MATCH(BV46,$BE$4:$BE$99,0),6)&lt;1,1,INDEX($BE$4:$BJ$99,MATCH(BV46,$BE$4:$BE$99,0),6)),INDEX(Calculation_Tab,MATCH(BV46,Identifier,0),10)),1)*(1+Calculation!$Q$6),"-")</f>
        <v>-</v>
      </c>
      <c r="CD46" s="509" t="str">
        <f ca="1">IFERROR(INDEX(Cluster!AC:AD,MATCH(IF(LEFT(BV46,4)="Pool",INDEX(Cluster!$D$29:$AA$412,MATCH(INDEX(Calculation_Tab,MATCH(INDEX($BE$4:$BJ$99,MATCH(BV46,$BE$4:$BE$99,0),3),Flow_Cell_Lane,0),3),Cluster!$F$29:$F$412,0),24),INDEX(Cluster!$D$29:$AA$412,MATCH(BV46,Cluster!$F$29:$F$412,0),24)),Cluster!AC:AC,0),2),"-")</f>
        <v>-</v>
      </c>
      <c r="CE46" s="378" t="str">
        <f ca="1">IFERROR(IF(BV46&lt;&gt;"-",Calculation!$AK$6,"-"),"-")</f>
        <v>-</v>
      </c>
      <c r="CF46" s="378" t="str">
        <f ca="1">IF(OR(LEFT(ListAndConversion!BW46,3)="Dil",LEFT(ListAndConversion!BW46,3)="Poo"),ListAndConversion!$BT$4,IF(LEFT(ListAndConversion!BW46,3)="Sou",INDEX(ListAndConversion!$AT$3:$AV$387,MATCH(ListAndConversion!BV46,ListAndConversion!$AV$3:$AV$387,0),1),"-"))</f>
        <v>-</v>
      </c>
      <c r="CG46" s="498" t="str">
        <f ca="1">IF(OR(LEFT(ListAndConversion!BW46,3)="Dil",LEFT(ListAndConversion!BW46,3)="Poo"),ListAndConversion!BU46,IF(LEFT(ListAndConversion!BW46,3)="Sou",INDEX(ListAndConversion!$AT$4:$AV$387,MATCH(ListAndConversion!BV46,ListAndConversion!$AV$4:$AV$387,0),2),"-"))</f>
        <v>-</v>
      </c>
      <c r="CH46" s="531"/>
      <c r="CI46" s="487" t="str">
        <f t="shared" ca="1" si="19"/>
        <v>-</v>
      </c>
      <c r="CJ46" s="378" t="str">
        <f t="shared" ca="1" si="37"/>
        <v>-</v>
      </c>
      <c r="CK46" s="378" t="str">
        <f t="shared" ca="1" si="37"/>
        <v>-</v>
      </c>
      <c r="CL46" s="378" t="str">
        <f t="shared" ca="1" si="37"/>
        <v>-</v>
      </c>
      <c r="CM46" s="378" t="str">
        <f t="shared" ca="1" si="37"/>
        <v>-</v>
      </c>
      <c r="CN46" s="378" t="str">
        <f t="shared" ca="1" si="37"/>
        <v>-</v>
      </c>
      <c r="CO46" s="378" t="str">
        <f t="shared" ca="1" si="37"/>
        <v>-</v>
      </c>
      <c r="CP46" s="378" t="str">
        <f t="shared" ca="1" si="37"/>
        <v>-</v>
      </c>
      <c r="CQ46" s="378" t="str">
        <f t="shared" ca="1" si="37"/>
        <v>-</v>
      </c>
      <c r="CR46" s="510" t="str">
        <f ca="1">IFERROR(IF(LEFT(BW46,3)="Poo",INDEX($BE$4:$BJ$99,MATCH(CI46,$BG$4:$BG$99,0),6)*((15/50))*Calculation!$AK$6,INDEX(Calculation_Tab,MATCH(BV46,Identifier,0),10)/(IF(LEN(INDEX(Calculation_Tab,MATCH(BV46,Identifier,0),9))&gt;8,LEN(INDEX(Calculation_Tab,MATCH(BV46,Identifier,0),9))-8,1))*((15/50)*Calculation!$AK$6)),"-")</f>
        <v>-</v>
      </c>
      <c r="CS46" s="498" t="str">
        <f ca="1">IF(CI46="-","-",IF(COUNTIF($CI$3:CI46,CI46)&gt;1,0,IFERROR((35/50)*Calculation!$AK$6,"-")))</f>
        <v>-</v>
      </c>
    </row>
    <row r="47" spans="4:97" x14ac:dyDescent="0.5">
      <c r="D47" s="487" t="e">
        <f t="shared" si="0"/>
        <v>#DIV/0!</v>
      </c>
      <c r="E47" s="496" t="e">
        <f t="array" ref="E47">IF(IF((ROW(E47)-3)&lt;(ListAndConversion!$A$15),INDEX(Flow_Cell_Lane,MIN(IF(COUNTIF($E$2:E46,Flow_Cell_Lane)=0,ROW(Flow_Cell_Lane)-9))),"-")="","-",IF((ROW(E47)-3)&lt;(ListAndConversion!$A$15),INDEX(Flow_Cell_Lane,MIN(IF(COUNTIF($E$2:E46,Flow_Cell_Lane)=0,ROW(Flow_Cell_Lane)-9))),"-"))</f>
        <v>#DIV/0!</v>
      </c>
      <c r="F47" s="378" t="e">
        <f t="shared" si="1"/>
        <v>#DIV/0!</v>
      </c>
      <c r="G47" s="378" t="e">
        <f t="shared" si="35"/>
        <v>#DIV/0!</v>
      </c>
      <c r="H47" s="378" t="e">
        <f t="shared" si="35"/>
        <v>#DIV/0!</v>
      </c>
      <c r="I47" s="378" t="e">
        <f t="shared" si="35"/>
        <v>#DIV/0!</v>
      </c>
      <c r="J47" s="378" t="e">
        <f t="shared" si="35"/>
        <v>#DIV/0!</v>
      </c>
      <c r="K47" s="378" t="e">
        <f t="shared" si="35"/>
        <v>#DIV/0!</v>
      </c>
      <c r="L47" s="378" t="e">
        <f t="shared" si="35"/>
        <v>#DIV/0!</v>
      </c>
      <c r="M47" s="378" t="e">
        <f t="shared" si="35"/>
        <v>#DIV/0!</v>
      </c>
      <c r="N47" s="497" t="e">
        <f t="shared" si="3"/>
        <v>#DIV/0!</v>
      </c>
      <c r="O47" s="497" t="str">
        <f t="array" ref="O47">IFERROR(INDEX(Calculation!I:AN,MATCH(ListAndConversion!E47,Calculation!I:I,0),31),"-")</f>
        <v>-</v>
      </c>
      <c r="P47" s="498">
        <f>IF(COUNTIFS(Calculation!$I$10:$I$393,E47,Direct_Denaturation,"-")&lt;&gt;1,COUNTIFS(Calculation!$I$10:$I$393,E47,Direct_Denaturation,"-"),0)</f>
        <v>0</v>
      </c>
      <c r="Q47" s="378"/>
      <c r="R47" s="487" t="e">
        <f t="array" ref="R47">IF(IF((ROW(R47)-3)&lt;(Calculation!$H$6),INDEX(Flow_Cell,MIN(IF(COUNTIF($R$2:R46,Flow_Cell)=0,ROW(Flow_Cell)-9))),"-")="","-",IF((ROW(R47)-3)&lt;(Calculation!$H$6),INDEX(Flow_Cell,MIN(IF(COUNTIF($R$2:R46,Flow_Cell)=0,ROW(Flow_Cell)-9))),"-"))</f>
        <v>#DIV/0!</v>
      </c>
      <c r="S47" s="378" t="e">
        <f t="shared" si="36"/>
        <v>#DIV/0!</v>
      </c>
      <c r="T47" s="378">
        <v>5</v>
      </c>
      <c r="U47" s="498">
        <v>45</v>
      </c>
      <c r="V47" s="487">
        <v>44</v>
      </c>
      <c r="W47" s="497" t="s">
        <v>287</v>
      </c>
      <c r="X47" s="497" t="s">
        <v>375</v>
      </c>
      <c r="Y47" s="378">
        <v>44</v>
      </c>
      <c r="Z47" s="378" t="str">
        <f t="shared" ca="1" si="32"/>
        <v>-</v>
      </c>
      <c r="AA47" s="508" t="str">
        <f t="array" aca="1" ref="AA47" ca="1">IFERROR(INDEX(Calculation_Tab,SMALL(ROW(Sample_Intermediate_Dil)*(Sample_Intermediate_Dil&lt;&gt;"-"),COUNTIF(Sample_Intermediate_Dil,"-")+ROW()-3)-9,5),"-")</f>
        <v>-</v>
      </c>
      <c r="AB47" s="378" t="str">
        <f t="array" aca="1" ref="AB47" ca="1">IFERROR(INDEX($A$3:$B$12,MATCH(INDEX(Calculation_Tab,SMALL(ROW(Sample_Intermediate_Dil)*(Sample_Intermediate_Dil&lt;&gt;"-"),COUNTIF(Sample_Intermediate_Dil,"-")+ROW()-3)-9,5),$A$3:$A$12,0),2),"-")</f>
        <v>-</v>
      </c>
      <c r="AC47" s="509" t="str">
        <f t="array" aca="1" ref="AC47" ca="1">IFERROR(INDEX(Coordinate,MATCH(INDEX(Calculation_Tab,SMALL(ROW(Sample_Intermediate_Dil)*(Sample_Intermediate_Dil&lt;&gt;"-"),COUNTIF(Sample_Intermediate_Dil,"-")+ROW()-3)-9,6),$X$4:$X$99,0),2),"-")</f>
        <v>-</v>
      </c>
      <c r="AD47" s="510" t="str">
        <f t="array" aca="1" ref="AD47" ca="1">IFERROR(INDEX(Calculation_Tab,SMALL(ROW(Sample_Intermediate_Dil)*(Sample_Intermediate_Dil&lt;&gt;"-"),COUNTIF(Sample_Intermediate_Dil,"-")+ROW()-3)-9,24),"-")</f>
        <v>-</v>
      </c>
      <c r="AE47" s="510" t="str">
        <f t="array" aca="1" ref="AE47" ca="1">IFERROR(INDEX(Calculation_Tab,SMALL(ROW(Sample_Intermediate_Dil)*(Sample_Intermediate_Dil&lt;&gt;"-"),COUNTIF(Sample_Intermediate_Dil,"-")+ROW()-3)-9,25),"-")</f>
        <v>-</v>
      </c>
      <c r="AF47" s="510" t="str">
        <f t="array" aca="1" ref="AF47" ca="1">IFERROR(INDEX(Calculation_Tab,SMALL(ROW(Sample_Intermediate_Dil)*(Sample_Intermediate_Dil&lt;&gt;"-"),COUNTIF(Sample_Intermediate_Dil,"-")+ROW()-3)-9,26),"-")</f>
        <v>-</v>
      </c>
      <c r="AG47" s="511" t="str">
        <f t="array" aca="1" ref="AG47" ca="1">IFERROR(INDEX(Calculation_Tab,SMALL(ROW(Sample_Intermediate_Dil)*(Sample_Intermediate_Dil&lt;&gt;"-"),COUNTIF(Sample_Intermediate_Dil,"-")+ROW()-3)-9,27),"-")</f>
        <v>-</v>
      </c>
      <c r="AI47" s="487">
        <v>44</v>
      </c>
      <c r="AJ47" s="497" t="s">
        <v>160</v>
      </c>
      <c r="AK47" s="378">
        <v>44</v>
      </c>
      <c r="AL47" s="378" t="str">
        <f t="shared" ca="1" si="6"/>
        <v>-</v>
      </c>
      <c r="AM47" s="378" t="str">
        <f t="array" aca="1" ref="AM47" ca="1">IFERROR(IF(AI47&lt;=$AB$2,"-",INDEX(Calculation_Tab,SMALL(ROW(Main_Dil)*(Main_Dil&lt;&gt;"-"),COUNTIF(Main_Dil,"-")+ROW()-3-$AB$2)-9,5)),"-")</f>
        <v>-</v>
      </c>
      <c r="AN47" s="378" t="str">
        <f t="array" aca="1" ref="AN47" ca="1">IFERROR(IF(AI47&lt;=$AB$2,"-",INDEX($A$3:$B$12,MATCH(INDEX(Calculation_Tab,SMALL(ROW(Main_Dil)*(Main_Dil&lt;&gt;"-"),COUNTIF(Main_Dil,"-")+ROW()-3-$AB$2)-9,5),$A$3:$A$12,0),2)),"-")</f>
        <v>-</v>
      </c>
      <c r="AO47" s="378" t="str">
        <f t="array" aca="1" ref="AO47" ca="1">IFERROR(IF(AI47&lt;=$AB$2,"-",INDEX(Coordinate,MATCH(INDEX(Calculation_Tab,SMALL(ROW(Main_Dil)*(Main_Dil&lt;&gt;"-"),COUNTIF(Main_Dil,"-")+ROW()-3-$AB$2)-9,6),$X$4:$X$99,0),2)),"-")</f>
        <v>-</v>
      </c>
      <c r="AP47" s="510" t="str">
        <f t="array" aca="1" ref="AP47" ca="1">IFERROR(IF(AI47&lt;=$AB$2,"-",INDEX(Calculation_Tab,SMALL(ROW(Main_Dil)*(Main_Dil&lt;&gt;"-"),COUNTIF(Main_Dil,"-")+ROW()-3-$AB$2)-9,21)),"-")</f>
        <v>-</v>
      </c>
      <c r="AQ47" s="511" t="str">
        <f t="array" aca="1" ref="AQ47" ca="1">IFERROR(IF(AI47&lt;=$AB$2,"-",INDEX(Calculation_Tab,SMALL(ROW(Main_Dil)*(Main_Dil&lt;&gt;"-"),COUNTIF(Main_Dil,"-")+ROW()-3-$AB$2)-9,22)),"-")</f>
        <v>-</v>
      </c>
      <c r="AR47" s="487" t="str">
        <f t="shared" ca="1" si="7"/>
        <v>-</v>
      </c>
      <c r="AS47" s="378">
        <v>44</v>
      </c>
      <c r="AT47" s="497" t="s">
        <v>160</v>
      </c>
      <c r="AU47" s="498">
        <v>44</v>
      </c>
      <c r="AV47" s="378" t="str">
        <f t="shared" ca="1" si="8"/>
        <v>-</v>
      </c>
      <c r="AW47" s="378" t="str">
        <f t="array" aca="1" ref="AW47" ca="1">IFERROR(IF(AS47&lt;=$AB$2+$AN$2,"-",INDEX(Calculation_Tab,SMALL(ROW(Direct_Denaturation)*(Direct_Denaturation&lt;&gt;"-"),COUNTIF(Direct_Denaturation,"-")+ROW()-3-$AB$2-$AN$2)-9,5)),"-")</f>
        <v>-</v>
      </c>
      <c r="AX47" s="378" t="str">
        <f t="array" aca="1" ref="AX47" ca="1">IFERROR(IF(AS47&lt;=$AB$2+$AN$2,"-",INDEX($A$3:$B$12,MATCH(INDEX(Calculation_Tab,SMALL(ROW(Direct_Denaturation)*(Direct_Denaturation&lt;&gt;"-"),COUNTIF(Direct_Denaturation,"-")+ROW()-3-$AB$2-$AN$2)-9,5),$A$3:$A$12,0),2)),"-")</f>
        <v>-</v>
      </c>
      <c r="AY47" s="378" t="str">
        <f t="array" aca="1" ref="AY47" ca="1">IFERROR(IF(AS47&lt;=$AB$2+$AN$2,"-",INDEX(Coordinate,MATCH(INDEX(Calculation_Tab,SMALL(ROW(Direct_Denaturation)*(Direct_Denaturation&lt;&gt;"-"),COUNTIF(Direct_Denaturation,"-")+ROW()-3-$AB$2-$AN$2)-9,6),$X$4:$X$99,0),2)),"-")</f>
        <v>-</v>
      </c>
      <c r="AZ47" s="510" t="str">
        <f t="array" aca="1" ref="AZ47" ca="1">IFERROR(IF(AS47&lt;=$AB$2+$AN$2,"-",INDEX(Calculation_Tab,SMALL(ROW(Direct_Denaturation)*(Direct_Denaturation&lt;&gt;"-"),COUNTIF(Direct_Denaturation,"-")+ROW()-3-$AB$2-$AN$2)-9,32)),"-")</f>
        <v>-</v>
      </c>
      <c r="BA47" s="510" t="str">
        <f t="array" aca="1" ref="BA47" ca="1">IFERROR(IF(AS47&lt;=$AB$2+$AN$2,"-",INDEX(Calculation_Tab,SMALL(ROW(Direct_Denaturation)*(Direct_Denaturation&lt;&gt;"-"),COUNTIF(Direct_Denaturation,"-")+ROW()-3-$AB$2-$AN$2)-9,34)),"-")</f>
        <v>-</v>
      </c>
      <c r="BB47" s="510" t="str">
        <f t="array" aca="1" ref="BB47" ca="1">IFERROR(IF(AS47&lt;=$AB$2+$AN$2,"-",INDEX(Calculation_Tab,SMALL(ROW(Direct_Denaturation)*(Direct_Denaturation&lt;&gt;"-"),COUNTIF(Direct_Denaturation,"-")+ROW()-3-$AB$2-$AN$2)-9,33)),"-")</f>
        <v>-</v>
      </c>
      <c r="BC47" s="510" t="str">
        <f t="array" aca="1" ref="BC47" ca="1">IFERROR(IF(AS47&lt;=$AB$2+$AN$2,"-",INDEX(Calculation_Tab,SMALL(ROW(Direct_Denaturation)*(Direct_Denaturation&lt;&gt;"-"),COUNTIF(Direct_Denaturation,"-")+ROW()-3-$AB$2-$AN$2)-9,35)),"-")</f>
        <v>-</v>
      </c>
      <c r="BD47" s="511" t="str">
        <f t="shared" ca="1" si="9"/>
        <v>-</v>
      </c>
      <c r="BE47" s="494" t="s">
        <v>376</v>
      </c>
      <c r="BF47" s="378">
        <v>44</v>
      </c>
      <c r="BG47" s="515" t="str">
        <v>-</v>
      </c>
      <c r="BH47" s="516" t="str">
        <f>IFERROR(IF((Calculation!$AR$6/INDEX(ListAndConversion!D:P,MATCH(BG47,E:E,0),13))&lt;Calculation!$O$6,INDEX(ListAndConversion!D:P,MATCH(BG47,E:E,0),13)*Calculation!$O$6,Calculation!$AR$6),"-")</f>
        <v>-</v>
      </c>
      <c r="BI47" s="517" t="str">
        <f t="shared" si="33"/>
        <v>-</v>
      </c>
      <c r="BJ47" s="518" t="str">
        <f t="shared" si="34"/>
        <v>-</v>
      </c>
      <c r="BK47" s="378" t="s">
        <v>158</v>
      </c>
      <c r="BL47" s="378">
        <v>44</v>
      </c>
      <c r="BM47" s="487" t="str">
        <f t="array" aca="1" ref="BM47" ca="1">IFERROR(INDEX(Calculation_Tab,SMALL(ROW(ToPool)*(ToPool&lt;&gt;"-"),COUNTIF(ToPool,"-")+ROW()-3)-9,3),"-")</f>
        <v>-</v>
      </c>
      <c r="BN47" s="378" t="str">
        <f t="shared" ca="1" si="12"/>
        <v>-</v>
      </c>
      <c r="BO47" s="378" t="str">
        <f t="shared" ca="1" si="13"/>
        <v>-</v>
      </c>
      <c r="BP47" s="523" t="str">
        <f t="shared" ca="1" si="14"/>
        <v>-</v>
      </c>
      <c r="BQ47" s="378" t="str">
        <f t="array" aca="1" ref="BQ47" ca="1">IFERROR(INDEX(BE:BG,MATCH(INDEX(Calculation_Tab,SMALL(ROW(ToPool)*(ToPool&lt;&gt;"-"),COUNTIF(ToPool,"-")+ROW()-3)-9,9),BG:BG,0),2),"-")</f>
        <v>-</v>
      </c>
      <c r="BR47" s="510" t="str">
        <f t="shared" ca="1" si="15"/>
        <v>-</v>
      </c>
      <c r="BS47" s="511" t="str">
        <f t="shared" ca="1" si="16"/>
        <v>-</v>
      </c>
      <c r="BT47" s="378" t="s">
        <v>164</v>
      </c>
      <c r="BU47" s="487" t="str">
        <f t="shared" ca="1" si="21"/>
        <v>-</v>
      </c>
      <c r="BV47" s="487" t="str">
        <f t="array" aca="1" ref="BV4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47" s="378" t="str">
        <f t="shared" ca="1" si="17"/>
        <v>-</v>
      </c>
      <c r="BX47" s="378" t="str">
        <f t="shared" ca="1" si="18"/>
        <v>-</v>
      </c>
      <c r="BY47" s="510" t="str">
        <f ca="1">IFERROR(ROUND(INDEX(Cluster,MATCH(IF(LEFT(BV47,4)="Pool",INDEX(Cluster,MATCH(INDEX(Calculation_Tab,MATCH(INDEX($BE$4:$BJ$99,MATCH(BV47,$BE$4:$BE$99,0),3),Flow_Cell_Lane,0),3),Cluster!$F$29:$F$412,0),6),BV47),Identifier_Cluster,0),19)*IF(LEFT(BV47,4)="pool",IF(LEN(INDEX($BE$4:$BJ$99,MATCH(BV47,$BE$4:$BE$99,0),3))=10,2,IF(LEN(INDEX($BE$4:$BJ$99,MATCH(BV47,$BE$4:$BE$99,0),3))&gt;10,LEN(INDEX($BE$4:$BJ$99,MATCH(BV47,$BE$4:$BE$99,0),3))-8,1)),1)*IF(LEFT(BV47,4)="pool",IF(INDEX($BE$4:$BJ$99,MATCH(BV47,$BE$4:$BE$99,0),6)&lt;1,1,INDEX($BE$4:$BJ$99,MATCH(BV47,$BE$4:$BE$99,0),6)),INDEX(Calculation_Tab,MATCH(BV47,Identifier,0),10)),1)*(1+Calculation!$Q$6),"-")</f>
        <v>-</v>
      </c>
      <c r="BZ47" s="378" t="str">
        <f ca="1">IFERROR((0.5/50)*CE47/Calculation!$AG$6*(IF(LEFT(BV47,4)="Pool",IF(LEN(INDEX($BE$4:$BJ$99,MATCH(BV47,$BE$4:$BE$99,0),3))=10,2,IF(LEN(INDEX($BE$4:$BJ$99,MATCH(BV47,$BE$4:$BE$99,0),3))&gt;10,LEN(INDEX($BE$4:$BJ$99,MATCH(BV47,$BE$4:$BE$99,0),3))-8,1)),IF(INDEX(Calculation_Tab,MATCH(BV47,Identifier,0),10)&gt;1,INDEX(Calculation_Tab,MATCH(BV47,Identifier,0),10),1)))*(1+Calculation!$Q$6),"-")</f>
        <v>-</v>
      </c>
      <c r="CA47" s="510" t="str">
        <f ca="1">IFERROR(IF((BZ47*Calculation!$AG$6/0.05)-SUM(BY47:BZ47,CC47)&gt;0,(BZ47*Calculation!$AG$6/0.05)-SUM(BY47:BZ47,CC47),0),"-")</f>
        <v>-</v>
      </c>
      <c r="CB47" s="510" t="str">
        <f ca="1">IFERROR(5/50*CE47*(IF(LEFT(BV47,4)="Pool",IF(LEN(INDEX($BE$4:$BJ$99,MATCH(BV47,$BE$4:$BE$99,0),3))=10,2,IF(LEN(INDEX($BE$4:$BJ$99,MATCH(BV47,$BE$4:$BE$99,0),3))&gt;10,LEN(INDEX($BE$4:$BJ$99,MATCH(BV47,$BE$4:$BE$99,0),3))-8,1)),IF(INDEX(Calculation_Tab,MATCH(BV47,Identifier,0),10)&gt;1,INDEX(Calculation_Tab,MATCH(BV47,Identifier,0),10),1)))*(1+Calculation!$Q$6),"-")</f>
        <v>-</v>
      </c>
      <c r="CC47" s="508" t="str">
        <f ca="1">IFERROR(ROUND(INDEX(Cluster,MATCH(IF(LEFT(BV47,4)="Pool",INDEX(Cluster,MATCH(INDEX(Calculation_Tab,MATCH(INDEX($BE$4:$BJ$99,MATCH(BV47,$BE$4:$BE$99,0),3),Flow_Cell_Lane,0),3),Cluster!$F$29:$F$412,0),6),BV47),Identifier_Cluster,0),20)*IF(LEFT(BV47,4)="pool",IF(LEN(INDEX($BE$4:$BJ$99,MATCH(BV47,$BE$4:$BE$99,0),3))=10,2,IF(LEN(INDEX($BE$4:$BJ$99,MATCH(BV47,$BE$4:$BE$99,0),3))&gt;10,LEN(INDEX($BE$4:$BJ$99,MATCH(BV47,$BE$4:$BE$99,0),3))-8,1)),1)*IF(LEFT(BV47,4)="pool",IF(INDEX($BE$4:$BJ$99,MATCH(BV47,$BE$4:$BE$99,0),6)&lt;1,1,INDEX($BE$4:$BJ$99,MATCH(BV47,$BE$4:$BE$99,0),6)),INDEX(Calculation_Tab,MATCH(BV47,Identifier,0),10)),1)*(1+Calculation!$Q$6),"-")</f>
        <v>-</v>
      </c>
      <c r="CD47" s="509" t="str">
        <f ca="1">IFERROR(INDEX(Cluster!AC:AD,MATCH(IF(LEFT(BV47,4)="Pool",INDEX(Cluster!$D$29:$AA$412,MATCH(INDEX(Calculation_Tab,MATCH(INDEX($BE$4:$BJ$99,MATCH(BV47,$BE$4:$BE$99,0),3),Flow_Cell_Lane,0),3),Cluster!$F$29:$F$412,0),24),INDEX(Cluster!$D$29:$AA$412,MATCH(BV47,Cluster!$F$29:$F$412,0),24)),Cluster!AC:AC,0),2),"-")</f>
        <v>-</v>
      </c>
      <c r="CE47" s="378" t="str">
        <f ca="1">IFERROR(IF(BV47&lt;&gt;"-",Calculation!$AK$6,"-"),"-")</f>
        <v>-</v>
      </c>
      <c r="CF47" s="378" t="str">
        <f ca="1">IF(OR(LEFT(ListAndConversion!BW47,3)="Dil",LEFT(ListAndConversion!BW47,3)="Poo"),ListAndConversion!$BT$4,IF(LEFT(ListAndConversion!BW47,3)="Sou",INDEX(ListAndConversion!$AT$3:$AV$387,MATCH(ListAndConversion!BV47,ListAndConversion!$AV$3:$AV$387,0),1),"-"))</f>
        <v>-</v>
      </c>
      <c r="CG47" s="498" t="str">
        <f ca="1">IF(OR(LEFT(ListAndConversion!BW47,3)="Dil",LEFT(ListAndConversion!BW47,3)="Poo"),ListAndConversion!BU47,IF(LEFT(ListAndConversion!BW47,3)="Sou",INDEX(ListAndConversion!$AT$4:$AV$387,MATCH(ListAndConversion!BV47,ListAndConversion!$AV$4:$AV$387,0),2),"-"))</f>
        <v>-</v>
      </c>
      <c r="CH47" s="378"/>
      <c r="CI47" s="487" t="str">
        <f t="shared" ca="1" si="19"/>
        <v>-</v>
      </c>
      <c r="CJ47" s="378" t="str">
        <f t="shared" ca="1" si="37"/>
        <v>-</v>
      </c>
      <c r="CK47" s="378" t="str">
        <f t="shared" ca="1" si="37"/>
        <v>-</v>
      </c>
      <c r="CL47" s="378" t="str">
        <f t="shared" ca="1" si="37"/>
        <v>-</v>
      </c>
      <c r="CM47" s="378" t="str">
        <f t="shared" ca="1" si="37"/>
        <v>-</v>
      </c>
      <c r="CN47" s="378" t="str">
        <f t="shared" ca="1" si="37"/>
        <v>-</v>
      </c>
      <c r="CO47" s="378" t="str">
        <f t="shared" ca="1" si="37"/>
        <v>-</v>
      </c>
      <c r="CP47" s="378" t="str">
        <f t="shared" ca="1" si="37"/>
        <v>-</v>
      </c>
      <c r="CQ47" s="378" t="str">
        <f t="shared" ca="1" si="37"/>
        <v>-</v>
      </c>
      <c r="CR47" s="510" t="str">
        <f ca="1">IFERROR(IF(LEFT(BW47,3)="Poo",INDEX($BE$4:$BJ$99,MATCH(CI47,$BG$4:$BG$99,0),6)*((15/50))*Calculation!$AK$6,INDEX(Calculation_Tab,MATCH(BV47,Identifier,0),10)/(IF(LEN(INDEX(Calculation_Tab,MATCH(BV47,Identifier,0),9))&gt;8,LEN(INDEX(Calculation_Tab,MATCH(BV47,Identifier,0),9))-8,1))*((15/50)*Calculation!$AK$6)),"-")</f>
        <v>-</v>
      </c>
      <c r="CS47" s="498" t="str">
        <f ca="1">IF(CI47="-","-",IF(COUNTIF($CI$3:CI47,CI47)&gt;1,0,IFERROR((35/50)*Calculation!$AK$6,"-")))</f>
        <v>-</v>
      </c>
    </row>
    <row r="48" spans="4:97" x14ac:dyDescent="0.5">
      <c r="D48" s="487" t="e">
        <f t="shared" si="0"/>
        <v>#DIV/0!</v>
      </c>
      <c r="E48" s="496" t="e">
        <f t="array" ref="E48">IF(IF((ROW(E48)-3)&lt;(ListAndConversion!$A$15),INDEX(Flow_Cell_Lane,MIN(IF(COUNTIF($E$2:E47,Flow_Cell_Lane)=0,ROW(Flow_Cell_Lane)-9))),"-")="","-",IF((ROW(E48)-3)&lt;(ListAndConversion!$A$15),INDEX(Flow_Cell_Lane,MIN(IF(COUNTIF($E$2:E47,Flow_Cell_Lane)=0,ROW(Flow_Cell_Lane)-9))),"-"))</f>
        <v>#DIV/0!</v>
      </c>
      <c r="F48" s="378" t="e">
        <f t="shared" si="1"/>
        <v>#DIV/0!</v>
      </c>
      <c r="G48" s="378" t="e">
        <f t="shared" si="35"/>
        <v>#DIV/0!</v>
      </c>
      <c r="H48" s="378" t="e">
        <f t="shared" si="35"/>
        <v>#DIV/0!</v>
      </c>
      <c r="I48" s="378" t="e">
        <f t="shared" si="35"/>
        <v>#DIV/0!</v>
      </c>
      <c r="J48" s="378" t="e">
        <f t="shared" si="35"/>
        <v>#DIV/0!</v>
      </c>
      <c r="K48" s="378" t="e">
        <f t="shared" si="35"/>
        <v>#DIV/0!</v>
      </c>
      <c r="L48" s="378" t="e">
        <f t="shared" si="35"/>
        <v>#DIV/0!</v>
      </c>
      <c r="M48" s="378" t="e">
        <f t="shared" si="35"/>
        <v>#DIV/0!</v>
      </c>
      <c r="N48" s="497" t="e">
        <f t="shared" si="3"/>
        <v>#DIV/0!</v>
      </c>
      <c r="O48" s="497" t="str">
        <f t="array" ref="O48">IFERROR(INDEX(Calculation!I:AN,MATCH(ListAndConversion!E48,Calculation!I:I,0),31),"-")</f>
        <v>-</v>
      </c>
      <c r="P48" s="498">
        <f>IF(COUNTIFS(Calculation!$I$10:$I$393,E48,Direct_Denaturation,"-")&lt;&gt;1,COUNTIFS(Calculation!$I$10:$I$393,E48,Direct_Denaturation,"-"),0)</f>
        <v>0</v>
      </c>
      <c r="Q48" s="378"/>
      <c r="R48" s="487" t="e">
        <f t="array" ref="R48">IF(IF((ROW(R48)-3)&lt;(Calculation!$H$6),INDEX(Flow_Cell,MIN(IF(COUNTIF($R$2:R47,Flow_Cell)=0,ROW(Flow_Cell)-9))),"-")="","-",IF((ROW(R48)-3)&lt;(Calculation!$H$6),INDEX(Flow_Cell,MIN(IF(COUNTIF($R$2:R47,Flow_Cell)=0,ROW(Flow_Cell)-9))),"-"))</f>
        <v>#DIV/0!</v>
      </c>
      <c r="S48" s="378" t="e">
        <f t="shared" si="36"/>
        <v>#DIV/0!</v>
      </c>
      <c r="T48" s="378">
        <v>6</v>
      </c>
      <c r="U48" s="498">
        <v>46</v>
      </c>
      <c r="V48" s="487">
        <v>45</v>
      </c>
      <c r="W48" s="497" t="s">
        <v>287</v>
      </c>
      <c r="X48" s="497" t="s">
        <v>377</v>
      </c>
      <c r="Y48" s="378">
        <v>45</v>
      </c>
      <c r="Z48" s="378" t="str">
        <f t="shared" ca="1" si="32"/>
        <v>-</v>
      </c>
      <c r="AA48" s="508" t="str">
        <f t="array" aca="1" ref="AA48" ca="1">IFERROR(INDEX(Calculation_Tab,SMALL(ROW(Sample_Intermediate_Dil)*(Sample_Intermediate_Dil&lt;&gt;"-"),COUNTIF(Sample_Intermediate_Dil,"-")+ROW()-3)-9,5),"-")</f>
        <v>-</v>
      </c>
      <c r="AB48" s="378" t="str">
        <f t="array" aca="1" ref="AB48" ca="1">IFERROR(INDEX($A$3:$B$12,MATCH(INDEX(Calculation_Tab,SMALL(ROW(Sample_Intermediate_Dil)*(Sample_Intermediate_Dil&lt;&gt;"-"),COUNTIF(Sample_Intermediate_Dil,"-")+ROW()-3)-9,5),$A$3:$A$12,0),2),"-")</f>
        <v>-</v>
      </c>
      <c r="AC48" s="509" t="str">
        <f t="array" aca="1" ref="AC48" ca="1">IFERROR(INDEX(Coordinate,MATCH(INDEX(Calculation_Tab,SMALL(ROW(Sample_Intermediate_Dil)*(Sample_Intermediate_Dil&lt;&gt;"-"),COUNTIF(Sample_Intermediate_Dil,"-")+ROW()-3)-9,6),$X$4:$X$99,0),2),"-")</f>
        <v>-</v>
      </c>
      <c r="AD48" s="510" t="str">
        <f t="array" aca="1" ref="AD48" ca="1">IFERROR(INDEX(Calculation_Tab,SMALL(ROW(Sample_Intermediate_Dil)*(Sample_Intermediate_Dil&lt;&gt;"-"),COUNTIF(Sample_Intermediate_Dil,"-")+ROW()-3)-9,24),"-")</f>
        <v>-</v>
      </c>
      <c r="AE48" s="510" t="str">
        <f t="array" aca="1" ref="AE48" ca="1">IFERROR(INDEX(Calculation_Tab,SMALL(ROW(Sample_Intermediate_Dil)*(Sample_Intermediate_Dil&lt;&gt;"-"),COUNTIF(Sample_Intermediate_Dil,"-")+ROW()-3)-9,25),"-")</f>
        <v>-</v>
      </c>
      <c r="AF48" s="510" t="str">
        <f t="array" aca="1" ref="AF48" ca="1">IFERROR(INDEX(Calculation_Tab,SMALL(ROW(Sample_Intermediate_Dil)*(Sample_Intermediate_Dil&lt;&gt;"-"),COUNTIF(Sample_Intermediate_Dil,"-")+ROW()-3)-9,26),"-")</f>
        <v>-</v>
      </c>
      <c r="AG48" s="511" t="str">
        <f t="array" aca="1" ref="AG48" ca="1">IFERROR(INDEX(Calculation_Tab,SMALL(ROW(Sample_Intermediate_Dil)*(Sample_Intermediate_Dil&lt;&gt;"-"),COUNTIF(Sample_Intermediate_Dil,"-")+ROW()-3)-9,27),"-")</f>
        <v>-</v>
      </c>
      <c r="AI48" s="487">
        <v>45</v>
      </c>
      <c r="AJ48" s="497" t="s">
        <v>160</v>
      </c>
      <c r="AK48" s="378">
        <v>45</v>
      </c>
      <c r="AL48" s="378" t="str">
        <f t="shared" ca="1" si="6"/>
        <v>-</v>
      </c>
      <c r="AM48" s="378" t="str">
        <f t="array" aca="1" ref="AM48" ca="1">IFERROR(IF(AI48&lt;=$AB$2,"-",INDEX(Calculation_Tab,SMALL(ROW(Main_Dil)*(Main_Dil&lt;&gt;"-"),COUNTIF(Main_Dil,"-")+ROW()-3-$AB$2)-9,5)),"-")</f>
        <v>-</v>
      </c>
      <c r="AN48" s="378" t="str">
        <f t="array" aca="1" ref="AN48" ca="1">IFERROR(IF(AI48&lt;=$AB$2,"-",INDEX($A$3:$B$12,MATCH(INDEX(Calculation_Tab,SMALL(ROW(Main_Dil)*(Main_Dil&lt;&gt;"-"),COUNTIF(Main_Dil,"-")+ROW()-3-$AB$2)-9,5),$A$3:$A$12,0),2)),"-")</f>
        <v>-</v>
      </c>
      <c r="AO48" s="378" t="str">
        <f t="array" aca="1" ref="AO48" ca="1">IFERROR(IF(AI48&lt;=$AB$2,"-",INDEX(Coordinate,MATCH(INDEX(Calculation_Tab,SMALL(ROW(Main_Dil)*(Main_Dil&lt;&gt;"-"),COUNTIF(Main_Dil,"-")+ROW()-3-$AB$2)-9,6),$X$4:$X$99,0),2)),"-")</f>
        <v>-</v>
      </c>
      <c r="AP48" s="510" t="str">
        <f t="array" aca="1" ref="AP48" ca="1">IFERROR(IF(AI48&lt;=$AB$2,"-",INDEX(Calculation_Tab,SMALL(ROW(Main_Dil)*(Main_Dil&lt;&gt;"-"),COUNTIF(Main_Dil,"-")+ROW()-3-$AB$2)-9,21)),"-")</f>
        <v>-</v>
      </c>
      <c r="AQ48" s="511" t="str">
        <f t="array" aca="1" ref="AQ48" ca="1">IFERROR(IF(AI48&lt;=$AB$2,"-",INDEX(Calculation_Tab,SMALL(ROW(Main_Dil)*(Main_Dil&lt;&gt;"-"),COUNTIF(Main_Dil,"-")+ROW()-3-$AB$2)-9,22)),"-")</f>
        <v>-</v>
      </c>
      <c r="AR48" s="487" t="str">
        <f t="shared" ca="1" si="7"/>
        <v>-</v>
      </c>
      <c r="AS48" s="378">
        <v>45</v>
      </c>
      <c r="AT48" s="497" t="s">
        <v>160</v>
      </c>
      <c r="AU48" s="498">
        <v>45</v>
      </c>
      <c r="AV48" s="378" t="str">
        <f t="shared" ca="1" si="8"/>
        <v>-</v>
      </c>
      <c r="AW48" s="378" t="str">
        <f t="array" aca="1" ref="AW48" ca="1">IFERROR(IF(AS48&lt;=$AB$2+$AN$2,"-",INDEX(Calculation_Tab,SMALL(ROW(Direct_Denaturation)*(Direct_Denaturation&lt;&gt;"-"),COUNTIF(Direct_Denaturation,"-")+ROW()-3-$AB$2-$AN$2)-9,5)),"-")</f>
        <v>-</v>
      </c>
      <c r="AX48" s="378" t="str">
        <f t="array" aca="1" ref="AX48" ca="1">IFERROR(IF(AS48&lt;=$AB$2+$AN$2,"-",INDEX($A$3:$B$12,MATCH(INDEX(Calculation_Tab,SMALL(ROW(Direct_Denaturation)*(Direct_Denaturation&lt;&gt;"-"),COUNTIF(Direct_Denaturation,"-")+ROW()-3-$AB$2-$AN$2)-9,5),$A$3:$A$12,0),2)),"-")</f>
        <v>-</v>
      </c>
      <c r="AY48" s="378" t="str">
        <f t="array" aca="1" ref="AY48" ca="1">IFERROR(IF(AS48&lt;=$AB$2+$AN$2,"-",INDEX(Coordinate,MATCH(INDEX(Calculation_Tab,SMALL(ROW(Direct_Denaturation)*(Direct_Denaturation&lt;&gt;"-"),COUNTIF(Direct_Denaturation,"-")+ROW()-3-$AB$2-$AN$2)-9,6),$X$4:$X$99,0),2)),"-")</f>
        <v>-</v>
      </c>
      <c r="AZ48" s="510" t="str">
        <f t="array" aca="1" ref="AZ48" ca="1">IFERROR(IF(AS48&lt;=$AB$2+$AN$2,"-",INDEX(Calculation_Tab,SMALL(ROW(Direct_Denaturation)*(Direct_Denaturation&lt;&gt;"-"),COUNTIF(Direct_Denaturation,"-")+ROW()-3-$AB$2-$AN$2)-9,32)),"-")</f>
        <v>-</v>
      </c>
      <c r="BA48" s="510" t="str">
        <f t="array" aca="1" ref="BA48" ca="1">IFERROR(IF(AS48&lt;=$AB$2+$AN$2,"-",INDEX(Calculation_Tab,SMALL(ROW(Direct_Denaturation)*(Direct_Denaturation&lt;&gt;"-"),COUNTIF(Direct_Denaturation,"-")+ROW()-3-$AB$2-$AN$2)-9,34)),"-")</f>
        <v>-</v>
      </c>
      <c r="BB48" s="510" t="str">
        <f t="array" aca="1" ref="BB48" ca="1">IFERROR(IF(AS48&lt;=$AB$2+$AN$2,"-",INDEX(Calculation_Tab,SMALL(ROW(Direct_Denaturation)*(Direct_Denaturation&lt;&gt;"-"),COUNTIF(Direct_Denaturation,"-")+ROW()-3-$AB$2-$AN$2)-9,33)),"-")</f>
        <v>-</v>
      </c>
      <c r="BC48" s="510" t="str">
        <f t="array" aca="1" ref="BC48" ca="1">IFERROR(IF(AS48&lt;=$AB$2+$AN$2,"-",INDEX(Calculation_Tab,SMALL(ROW(Direct_Denaturation)*(Direct_Denaturation&lt;&gt;"-"),COUNTIF(Direct_Denaturation,"-")+ROW()-3-$AB$2-$AN$2)-9,35)),"-")</f>
        <v>-</v>
      </c>
      <c r="BD48" s="511" t="str">
        <f t="shared" ca="1" si="9"/>
        <v>-</v>
      </c>
      <c r="BE48" s="494" t="s">
        <v>378</v>
      </c>
      <c r="BF48" s="378">
        <v>45</v>
      </c>
      <c r="BG48" s="515" t="str">
        <v>-</v>
      </c>
      <c r="BH48" s="516" t="str">
        <f>IFERROR(IF((Calculation!$AR$6/INDEX(ListAndConversion!D:P,MATCH(BG48,E:E,0),13))&lt;Calculation!$O$6,INDEX(ListAndConversion!D:P,MATCH(BG48,E:E,0),13)*Calculation!$O$6,Calculation!$AR$6),"-")</f>
        <v>-</v>
      </c>
      <c r="BI48" s="517" t="str">
        <f t="shared" si="33"/>
        <v>-</v>
      </c>
      <c r="BJ48" s="518" t="str">
        <f t="shared" si="34"/>
        <v>-</v>
      </c>
      <c r="BK48" s="378" t="s">
        <v>158</v>
      </c>
      <c r="BL48" s="378">
        <v>45</v>
      </c>
      <c r="BM48" s="487" t="str">
        <f t="array" aca="1" ref="BM48" ca="1">IFERROR(INDEX(Calculation_Tab,SMALL(ROW(ToPool)*(ToPool&lt;&gt;"-"),COUNTIF(ToPool,"-")+ROW()-3)-9,3),"-")</f>
        <v>-</v>
      </c>
      <c r="BN48" s="378" t="str">
        <f t="shared" ca="1" si="12"/>
        <v>-</v>
      </c>
      <c r="BO48" s="378" t="str">
        <f t="shared" ca="1" si="13"/>
        <v>-</v>
      </c>
      <c r="BP48" s="523" t="str">
        <f t="shared" ca="1" si="14"/>
        <v>-</v>
      </c>
      <c r="BQ48" s="378" t="str">
        <f t="array" aca="1" ref="BQ48" ca="1">IFERROR(INDEX(BE:BG,MATCH(INDEX(Calculation_Tab,SMALL(ROW(ToPool)*(ToPool&lt;&gt;"-"),COUNTIF(ToPool,"-")+ROW()-3)-9,9),BG:BG,0),2),"-")</f>
        <v>-</v>
      </c>
      <c r="BR48" s="510" t="str">
        <f t="shared" ca="1" si="15"/>
        <v>-</v>
      </c>
      <c r="BS48" s="511" t="str">
        <f t="shared" ca="1" si="16"/>
        <v>-</v>
      </c>
      <c r="BT48" s="378" t="s">
        <v>164</v>
      </c>
      <c r="BU48" s="487" t="str">
        <f t="shared" ca="1" si="21"/>
        <v>-</v>
      </c>
      <c r="BV48" s="487" t="str">
        <f t="array" aca="1" ref="BV4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48" s="378" t="str">
        <f t="shared" ca="1" si="17"/>
        <v>-</v>
      </c>
      <c r="BX48" s="378" t="str">
        <f t="shared" ca="1" si="18"/>
        <v>-</v>
      </c>
      <c r="BY48" s="510" t="str">
        <f ca="1">IFERROR(ROUND(INDEX(Cluster,MATCH(IF(LEFT(BV48,4)="Pool",INDEX(Cluster,MATCH(INDEX(Calculation_Tab,MATCH(INDEX($BE$4:$BJ$99,MATCH(BV48,$BE$4:$BE$99,0),3),Flow_Cell_Lane,0),3),Cluster!$F$29:$F$412,0),6),BV48),Identifier_Cluster,0),19)*IF(LEFT(BV48,4)="pool",IF(LEN(INDEX($BE$4:$BJ$99,MATCH(BV48,$BE$4:$BE$99,0),3))=10,2,IF(LEN(INDEX($BE$4:$BJ$99,MATCH(BV48,$BE$4:$BE$99,0),3))&gt;10,LEN(INDEX($BE$4:$BJ$99,MATCH(BV48,$BE$4:$BE$99,0),3))-8,1)),1)*IF(LEFT(BV48,4)="pool",IF(INDEX($BE$4:$BJ$99,MATCH(BV48,$BE$4:$BE$99,0),6)&lt;1,1,INDEX($BE$4:$BJ$99,MATCH(BV48,$BE$4:$BE$99,0),6)),INDEX(Calculation_Tab,MATCH(BV48,Identifier,0),10)),1)*(1+Calculation!$Q$6),"-")</f>
        <v>-</v>
      </c>
      <c r="BZ48" s="378" t="str">
        <f ca="1">IFERROR((0.5/50)*CE48/Calculation!$AG$6*(IF(LEFT(BV48,4)="Pool",IF(LEN(INDEX($BE$4:$BJ$99,MATCH(BV48,$BE$4:$BE$99,0),3))=10,2,IF(LEN(INDEX($BE$4:$BJ$99,MATCH(BV48,$BE$4:$BE$99,0),3))&gt;10,LEN(INDEX($BE$4:$BJ$99,MATCH(BV48,$BE$4:$BE$99,0),3))-8,1)),IF(INDEX(Calculation_Tab,MATCH(BV48,Identifier,0),10)&gt;1,INDEX(Calculation_Tab,MATCH(BV48,Identifier,0),10),1)))*(1+Calculation!$Q$6),"-")</f>
        <v>-</v>
      </c>
      <c r="CA48" s="510" t="str">
        <f ca="1">IFERROR(IF((BZ48*Calculation!$AG$6/0.05)-SUM(BY48:BZ48,CC48)&gt;0,(BZ48*Calculation!$AG$6/0.05)-SUM(BY48:BZ48,CC48),0),"-")</f>
        <v>-</v>
      </c>
      <c r="CB48" s="510" t="str">
        <f ca="1">IFERROR(5/50*CE48*(IF(LEFT(BV48,4)="Pool",IF(LEN(INDEX($BE$4:$BJ$99,MATCH(BV48,$BE$4:$BE$99,0),3))=10,2,IF(LEN(INDEX($BE$4:$BJ$99,MATCH(BV48,$BE$4:$BE$99,0),3))&gt;10,LEN(INDEX($BE$4:$BJ$99,MATCH(BV48,$BE$4:$BE$99,0),3))-8,1)),IF(INDEX(Calculation_Tab,MATCH(BV48,Identifier,0),10)&gt;1,INDEX(Calculation_Tab,MATCH(BV48,Identifier,0),10),1)))*(1+Calculation!$Q$6),"-")</f>
        <v>-</v>
      </c>
      <c r="CC48" s="508" t="str">
        <f ca="1">IFERROR(ROUND(INDEX(Cluster,MATCH(IF(LEFT(BV48,4)="Pool",INDEX(Cluster,MATCH(INDEX(Calculation_Tab,MATCH(INDEX($BE$4:$BJ$99,MATCH(BV48,$BE$4:$BE$99,0),3),Flow_Cell_Lane,0),3),Cluster!$F$29:$F$412,0),6),BV48),Identifier_Cluster,0),20)*IF(LEFT(BV48,4)="pool",IF(LEN(INDEX($BE$4:$BJ$99,MATCH(BV48,$BE$4:$BE$99,0),3))=10,2,IF(LEN(INDEX($BE$4:$BJ$99,MATCH(BV48,$BE$4:$BE$99,0),3))&gt;10,LEN(INDEX($BE$4:$BJ$99,MATCH(BV48,$BE$4:$BE$99,0),3))-8,1)),1)*IF(LEFT(BV48,4)="pool",IF(INDEX($BE$4:$BJ$99,MATCH(BV48,$BE$4:$BE$99,0),6)&lt;1,1,INDEX($BE$4:$BJ$99,MATCH(BV48,$BE$4:$BE$99,0),6)),INDEX(Calculation_Tab,MATCH(BV48,Identifier,0),10)),1)*(1+Calculation!$Q$6),"-")</f>
        <v>-</v>
      </c>
      <c r="CD48" s="509" t="str">
        <f ca="1">IFERROR(INDEX(Cluster!AC:AD,MATCH(IF(LEFT(BV48,4)="Pool",INDEX(Cluster!$D$29:$AA$412,MATCH(INDEX(Calculation_Tab,MATCH(INDEX($BE$4:$BJ$99,MATCH(BV48,$BE$4:$BE$99,0),3),Flow_Cell_Lane,0),3),Cluster!$F$29:$F$412,0),24),INDEX(Cluster!$D$29:$AA$412,MATCH(BV48,Cluster!$F$29:$F$412,0),24)),Cluster!AC:AC,0),2),"-")</f>
        <v>-</v>
      </c>
      <c r="CE48" s="378" t="str">
        <f ca="1">IFERROR(IF(BV48&lt;&gt;"-",Calculation!$AK$6,"-"),"-")</f>
        <v>-</v>
      </c>
      <c r="CF48" s="378" t="str">
        <f ca="1">IF(OR(LEFT(ListAndConversion!BW48,3)="Dil",LEFT(ListAndConversion!BW48,3)="Poo"),ListAndConversion!$BT$4,IF(LEFT(ListAndConversion!BW48,3)="Sou",INDEX(ListAndConversion!$AT$3:$AV$387,MATCH(ListAndConversion!BV48,ListAndConversion!$AV$3:$AV$387,0),1),"-"))</f>
        <v>-</v>
      </c>
      <c r="CG48" s="498" t="str">
        <f ca="1">IF(OR(LEFT(ListAndConversion!BW48,3)="Dil",LEFT(ListAndConversion!BW48,3)="Poo"),ListAndConversion!BU48,IF(LEFT(ListAndConversion!BW48,3)="Sou",INDEX(ListAndConversion!$AT$4:$AV$387,MATCH(ListAndConversion!BV48,ListAndConversion!$AV$4:$AV$387,0),2),"-"))</f>
        <v>-</v>
      </c>
      <c r="CH48" s="378"/>
      <c r="CI48" s="487" t="str">
        <f t="shared" ca="1" si="19"/>
        <v>-</v>
      </c>
      <c r="CJ48" s="378" t="str">
        <f t="shared" ca="1" si="37"/>
        <v>-</v>
      </c>
      <c r="CK48" s="378" t="str">
        <f t="shared" ca="1" si="37"/>
        <v>-</v>
      </c>
      <c r="CL48" s="378" t="str">
        <f t="shared" ca="1" si="37"/>
        <v>-</v>
      </c>
      <c r="CM48" s="378" t="str">
        <f t="shared" ca="1" si="37"/>
        <v>-</v>
      </c>
      <c r="CN48" s="378" t="str">
        <f t="shared" ca="1" si="37"/>
        <v>-</v>
      </c>
      <c r="CO48" s="378" t="str">
        <f t="shared" ca="1" si="37"/>
        <v>-</v>
      </c>
      <c r="CP48" s="378" t="str">
        <f t="shared" ca="1" si="37"/>
        <v>-</v>
      </c>
      <c r="CQ48" s="378" t="str">
        <f t="shared" ca="1" si="37"/>
        <v>-</v>
      </c>
      <c r="CR48" s="510" t="str">
        <f ca="1">IFERROR(IF(LEFT(BW48,3)="Poo",INDEX($BE$4:$BJ$99,MATCH(CI48,$BG$4:$BG$99,0),6)*((15/50))*Calculation!$AK$6,INDEX(Calculation_Tab,MATCH(BV48,Identifier,0),10)/(IF(LEN(INDEX(Calculation_Tab,MATCH(BV48,Identifier,0),9))&gt;8,LEN(INDEX(Calculation_Tab,MATCH(BV48,Identifier,0),9))-8,1))*((15/50)*Calculation!$AK$6)),"-")</f>
        <v>-</v>
      </c>
      <c r="CS48" s="498" t="str">
        <f ca="1">IF(CI48="-","-",IF(COUNTIF($CI$3:CI48,CI48)&gt;1,0,IFERROR((35/50)*Calculation!$AK$6,"-")))</f>
        <v>-</v>
      </c>
    </row>
    <row r="49" spans="4:97" x14ac:dyDescent="0.5">
      <c r="D49" s="487" t="e">
        <f t="shared" si="0"/>
        <v>#DIV/0!</v>
      </c>
      <c r="E49" s="496" t="e">
        <f t="array" ref="E49">IF(IF((ROW(E49)-3)&lt;(ListAndConversion!$A$15),INDEX(Flow_Cell_Lane,MIN(IF(COUNTIF($E$2:E48,Flow_Cell_Lane)=0,ROW(Flow_Cell_Lane)-9))),"-")="","-",IF((ROW(E49)-3)&lt;(ListAndConversion!$A$15),INDEX(Flow_Cell_Lane,MIN(IF(COUNTIF($E$2:E48,Flow_Cell_Lane)=0,ROW(Flow_Cell_Lane)-9))),"-"))</f>
        <v>#DIV/0!</v>
      </c>
      <c r="F49" s="378" t="e">
        <f t="shared" si="1"/>
        <v>#DIV/0!</v>
      </c>
      <c r="G49" s="378" t="e">
        <f t="shared" si="35"/>
        <v>#DIV/0!</v>
      </c>
      <c r="H49" s="378" t="e">
        <f t="shared" si="35"/>
        <v>#DIV/0!</v>
      </c>
      <c r="I49" s="378" t="e">
        <f t="shared" si="35"/>
        <v>#DIV/0!</v>
      </c>
      <c r="J49" s="378" t="e">
        <f t="shared" si="35"/>
        <v>#DIV/0!</v>
      </c>
      <c r="K49" s="378" t="e">
        <f t="shared" si="35"/>
        <v>#DIV/0!</v>
      </c>
      <c r="L49" s="378" t="e">
        <f t="shared" si="35"/>
        <v>#DIV/0!</v>
      </c>
      <c r="M49" s="378" t="e">
        <f t="shared" si="35"/>
        <v>#DIV/0!</v>
      </c>
      <c r="N49" s="497" t="e">
        <f t="shared" si="3"/>
        <v>#DIV/0!</v>
      </c>
      <c r="O49" s="497" t="str">
        <f t="array" ref="O49">IFERROR(INDEX(Calculation!I:AN,MATCH(ListAndConversion!E49,Calculation!I:I,0),31),"-")</f>
        <v>-</v>
      </c>
      <c r="P49" s="498">
        <f>IF(COUNTIFS(Calculation!$I$10:$I$393,E49,Direct_Denaturation,"-")&lt;&gt;1,COUNTIFS(Calculation!$I$10:$I$393,E49,Direct_Denaturation,"-"),0)</f>
        <v>0</v>
      </c>
      <c r="Q49" s="378"/>
      <c r="R49" s="487" t="e">
        <f t="array" ref="R49">IF(IF((ROW(R49)-3)&lt;(Calculation!$H$6),INDEX(Flow_Cell,MIN(IF(COUNTIF($R$2:R48,Flow_Cell)=0,ROW(Flow_Cell)-9))),"-")="","-",IF((ROW(R49)-3)&lt;(Calculation!$H$6),INDEX(Flow_Cell,MIN(IF(COUNTIF($R$2:R48,Flow_Cell)=0,ROW(Flow_Cell)-9))),"-"))</f>
        <v>#DIV/0!</v>
      </c>
      <c r="S49" s="378" t="e">
        <f t="shared" si="36"/>
        <v>#DIV/0!</v>
      </c>
      <c r="T49" s="378">
        <v>7</v>
      </c>
      <c r="U49" s="498">
        <v>47</v>
      </c>
      <c r="V49" s="487">
        <v>46</v>
      </c>
      <c r="W49" s="497" t="s">
        <v>287</v>
      </c>
      <c r="X49" s="497" t="s">
        <v>379</v>
      </c>
      <c r="Y49" s="378">
        <v>46</v>
      </c>
      <c r="Z49" s="378" t="str">
        <f t="shared" ca="1" si="32"/>
        <v>-</v>
      </c>
      <c r="AA49" s="508" t="str">
        <f t="array" aca="1" ref="AA49" ca="1">IFERROR(INDEX(Calculation_Tab,SMALL(ROW(Sample_Intermediate_Dil)*(Sample_Intermediate_Dil&lt;&gt;"-"),COUNTIF(Sample_Intermediate_Dil,"-")+ROW()-3)-9,5),"-")</f>
        <v>-</v>
      </c>
      <c r="AB49" s="378" t="str">
        <f t="array" aca="1" ref="AB49" ca="1">IFERROR(INDEX($A$3:$B$12,MATCH(INDEX(Calculation_Tab,SMALL(ROW(Sample_Intermediate_Dil)*(Sample_Intermediate_Dil&lt;&gt;"-"),COUNTIF(Sample_Intermediate_Dil,"-")+ROW()-3)-9,5),$A$3:$A$12,0),2),"-")</f>
        <v>-</v>
      </c>
      <c r="AC49" s="509" t="str">
        <f t="array" aca="1" ref="AC49" ca="1">IFERROR(INDEX(Coordinate,MATCH(INDEX(Calculation_Tab,SMALL(ROW(Sample_Intermediate_Dil)*(Sample_Intermediate_Dil&lt;&gt;"-"),COUNTIF(Sample_Intermediate_Dil,"-")+ROW()-3)-9,6),$X$4:$X$99,0),2),"-")</f>
        <v>-</v>
      </c>
      <c r="AD49" s="510" t="str">
        <f t="array" aca="1" ref="AD49" ca="1">IFERROR(INDEX(Calculation_Tab,SMALL(ROW(Sample_Intermediate_Dil)*(Sample_Intermediate_Dil&lt;&gt;"-"),COUNTIF(Sample_Intermediate_Dil,"-")+ROW()-3)-9,24),"-")</f>
        <v>-</v>
      </c>
      <c r="AE49" s="510" t="str">
        <f t="array" aca="1" ref="AE49" ca="1">IFERROR(INDEX(Calculation_Tab,SMALL(ROW(Sample_Intermediate_Dil)*(Sample_Intermediate_Dil&lt;&gt;"-"),COUNTIF(Sample_Intermediate_Dil,"-")+ROW()-3)-9,25),"-")</f>
        <v>-</v>
      </c>
      <c r="AF49" s="510" t="str">
        <f t="array" aca="1" ref="AF49" ca="1">IFERROR(INDEX(Calculation_Tab,SMALL(ROW(Sample_Intermediate_Dil)*(Sample_Intermediate_Dil&lt;&gt;"-"),COUNTIF(Sample_Intermediate_Dil,"-")+ROW()-3)-9,26),"-")</f>
        <v>-</v>
      </c>
      <c r="AG49" s="511" t="str">
        <f t="array" aca="1" ref="AG49" ca="1">IFERROR(INDEX(Calculation_Tab,SMALL(ROW(Sample_Intermediate_Dil)*(Sample_Intermediate_Dil&lt;&gt;"-"),COUNTIF(Sample_Intermediate_Dil,"-")+ROW()-3)-9,27),"-")</f>
        <v>-</v>
      </c>
      <c r="AI49" s="487">
        <v>46</v>
      </c>
      <c r="AJ49" s="497" t="s">
        <v>160</v>
      </c>
      <c r="AK49" s="378">
        <v>46</v>
      </c>
      <c r="AL49" s="378" t="str">
        <f t="shared" ca="1" si="6"/>
        <v>-</v>
      </c>
      <c r="AM49" s="378" t="str">
        <f t="array" aca="1" ref="AM49" ca="1">IFERROR(IF(AI49&lt;=$AB$2,"-",INDEX(Calculation_Tab,SMALL(ROW(Main_Dil)*(Main_Dil&lt;&gt;"-"),COUNTIF(Main_Dil,"-")+ROW()-3-$AB$2)-9,5)),"-")</f>
        <v>-</v>
      </c>
      <c r="AN49" s="378" t="str">
        <f t="array" aca="1" ref="AN49" ca="1">IFERROR(IF(AI49&lt;=$AB$2,"-",INDEX($A$3:$B$12,MATCH(INDEX(Calculation_Tab,SMALL(ROW(Main_Dil)*(Main_Dil&lt;&gt;"-"),COUNTIF(Main_Dil,"-")+ROW()-3-$AB$2)-9,5),$A$3:$A$12,0),2)),"-")</f>
        <v>-</v>
      </c>
      <c r="AO49" s="378" t="str">
        <f t="array" aca="1" ref="AO49" ca="1">IFERROR(IF(AI49&lt;=$AB$2,"-",INDEX(Coordinate,MATCH(INDEX(Calculation_Tab,SMALL(ROW(Main_Dil)*(Main_Dil&lt;&gt;"-"),COUNTIF(Main_Dil,"-")+ROW()-3-$AB$2)-9,6),$X$4:$X$99,0),2)),"-")</f>
        <v>-</v>
      </c>
      <c r="AP49" s="510" t="str">
        <f t="array" aca="1" ref="AP49" ca="1">IFERROR(IF(AI49&lt;=$AB$2,"-",INDEX(Calculation_Tab,SMALL(ROW(Main_Dil)*(Main_Dil&lt;&gt;"-"),COUNTIF(Main_Dil,"-")+ROW()-3-$AB$2)-9,21)),"-")</f>
        <v>-</v>
      </c>
      <c r="AQ49" s="511" t="str">
        <f t="array" aca="1" ref="AQ49" ca="1">IFERROR(IF(AI49&lt;=$AB$2,"-",INDEX(Calculation_Tab,SMALL(ROW(Main_Dil)*(Main_Dil&lt;&gt;"-"),COUNTIF(Main_Dil,"-")+ROW()-3-$AB$2)-9,22)),"-")</f>
        <v>-</v>
      </c>
      <c r="AR49" s="487" t="str">
        <f t="shared" ca="1" si="7"/>
        <v>-</v>
      </c>
      <c r="AS49" s="378">
        <v>46</v>
      </c>
      <c r="AT49" s="497" t="s">
        <v>160</v>
      </c>
      <c r="AU49" s="498">
        <v>46</v>
      </c>
      <c r="AV49" s="378" t="str">
        <f t="shared" ca="1" si="8"/>
        <v>-</v>
      </c>
      <c r="AW49" s="378" t="str">
        <f t="array" aca="1" ref="AW49" ca="1">IFERROR(IF(AS49&lt;=$AB$2+$AN$2,"-",INDEX(Calculation_Tab,SMALL(ROW(Direct_Denaturation)*(Direct_Denaturation&lt;&gt;"-"),COUNTIF(Direct_Denaturation,"-")+ROW()-3-$AB$2-$AN$2)-9,5)),"-")</f>
        <v>-</v>
      </c>
      <c r="AX49" s="378" t="str">
        <f t="array" aca="1" ref="AX49" ca="1">IFERROR(IF(AS49&lt;=$AB$2+$AN$2,"-",INDEX($A$3:$B$12,MATCH(INDEX(Calculation_Tab,SMALL(ROW(Direct_Denaturation)*(Direct_Denaturation&lt;&gt;"-"),COUNTIF(Direct_Denaturation,"-")+ROW()-3-$AB$2-$AN$2)-9,5),$A$3:$A$12,0),2)),"-")</f>
        <v>-</v>
      </c>
      <c r="AY49" s="378" t="str">
        <f t="array" aca="1" ref="AY49" ca="1">IFERROR(IF(AS49&lt;=$AB$2+$AN$2,"-",INDEX(Coordinate,MATCH(INDEX(Calculation_Tab,SMALL(ROW(Direct_Denaturation)*(Direct_Denaturation&lt;&gt;"-"),COUNTIF(Direct_Denaturation,"-")+ROW()-3-$AB$2-$AN$2)-9,6),$X$4:$X$99,0),2)),"-")</f>
        <v>-</v>
      </c>
      <c r="AZ49" s="510" t="str">
        <f t="array" aca="1" ref="AZ49" ca="1">IFERROR(IF(AS49&lt;=$AB$2+$AN$2,"-",INDEX(Calculation_Tab,SMALL(ROW(Direct_Denaturation)*(Direct_Denaturation&lt;&gt;"-"),COUNTIF(Direct_Denaturation,"-")+ROW()-3-$AB$2-$AN$2)-9,32)),"-")</f>
        <v>-</v>
      </c>
      <c r="BA49" s="510" t="str">
        <f t="array" aca="1" ref="BA49" ca="1">IFERROR(IF(AS49&lt;=$AB$2+$AN$2,"-",INDEX(Calculation_Tab,SMALL(ROW(Direct_Denaturation)*(Direct_Denaturation&lt;&gt;"-"),COUNTIF(Direct_Denaturation,"-")+ROW()-3-$AB$2-$AN$2)-9,34)),"-")</f>
        <v>-</v>
      </c>
      <c r="BB49" s="510" t="str">
        <f t="array" aca="1" ref="BB49" ca="1">IFERROR(IF(AS49&lt;=$AB$2+$AN$2,"-",INDEX(Calculation_Tab,SMALL(ROW(Direct_Denaturation)*(Direct_Denaturation&lt;&gt;"-"),COUNTIF(Direct_Denaturation,"-")+ROW()-3-$AB$2-$AN$2)-9,33)),"-")</f>
        <v>-</v>
      </c>
      <c r="BC49" s="510" t="str">
        <f t="array" aca="1" ref="BC49" ca="1">IFERROR(IF(AS49&lt;=$AB$2+$AN$2,"-",INDEX(Calculation_Tab,SMALL(ROW(Direct_Denaturation)*(Direct_Denaturation&lt;&gt;"-"),COUNTIF(Direct_Denaturation,"-")+ROW()-3-$AB$2-$AN$2)-9,35)),"-")</f>
        <v>-</v>
      </c>
      <c r="BD49" s="511" t="str">
        <f t="shared" ca="1" si="9"/>
        <v>-</v>
      </c>
      <c r="BE49" s="494" t="s">
        <v>380</v>
      </c>
      <c r="BF49" s="378">
        <v>46</v>
      </c>
      <c r="BG49" s="515" t="str">
        <v>-</v>
      </c>
      <c r="BH49" s="516" t="str">
        <f>IFERROR(IF((Calculation!$AR$6/INDEX(ListAndConversion!D:P,MATCH(BG49,E:E,0),13))&lt;Calculation!$O$6,INDEX(ListAndConversion!D:P,MATCH(BG49,E:E,0),13)*Calculation!$O$6,Calculation!$AR$6),"-")</f>
        <v>-</v>
      </c>
      <c r="BI49" s="517" t="str">
        <f t="shared" si="33"/>
        <v>-</v>
      </c>
      <c r="BJ49" s="518" t="str">
        <f t="shared" si="34"/>
        <v>-</v>
      </c>
      <c r="BK49" s="378" t="s">
        <v>158</v>
      </c>
      <c r="BL49" s="378">
        <v>46</v>
      </c>
      <c r="BM49" s="487" t="str">
        <f t="array" aca="1" ref="BM49" ca="1">IFERROR(INDEX(Calculation_Tab,SMALL(ROW(ToPool)*(ToPool&lt;&gt;"-"),COUNTIF(ToPool,"-")+ROW()-3)-9,3),"-")</f>
        <v>-</v>
      </c>
      <c r="BN49" s="378" t="str">
        <f t="shared" ca="1" si="12"/>
        <v>-</v>
      </c>
      <c r="BO49" s="378" t="str">
        <f t="shared" ca="1" si="13"/>
        <v>-</v>
      </c>
      <c r="BP49" s="523" t="str">
        <f t="shared" ca="1" si="14"/>
        <v>-</v>
      </c>
      <c r="BQ49" s="378" t="str">
        <f t="array" aca="1" ref="BQ49" ca="1">IFERROR(INDEX(BE:BG,MATCH(INDEX(Calculation_Tab,SMALL(ROW(ToPool)*(ToPool&lt;&gt;"-"),COUNTIF(ToPool,"-")+ROW()-3)-9,9),BG:BG,0),2),"-")</f>
        <v>-</v>
      </c>
      <c r="BR49" s="510" t="str">
        <f t="shared" ca="1" si="15"/>
        <v>-</v>
      </c>
      <c r="BS49" s="511" t="str">
        <f t="shared" ca="1" si="16"/>
        <v>-</v>
      </c>
      <c r="BT49" s="378" t="s">
        <v>164</v>
      </c>
      <c r="BU49" s="487" t="str">
        <f t="shared" ca="1" si="21"/>
        <v>-</v>
      </c>
      <c r="BV49" s="487" t="str">
        <f t="array" aca="1" ref="BV4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49" s="378" t="str">
        <f t="shared" ca="1" si="17"/>
        <v>-</v>
      </c>
      <c r="BX49" s="378" t="str">
        <f t="shared" ca="1" si="18"/>
        <v>-</v>
      </c>
      <c r="BY49" s="510" t="str">
        <f ca="1">IFERROR(ROUND(INDEX(Cluster,MATCH(IF(LEFT(BV49,4)="Pool",INDEX(Cluster,MATCH(INDEX(Calculation_Tab,MATCH(INDEX($BE$4:$BJ$99,MATCH(BV49,$BE$4:$BE$99,0),3),Flow_Cell_Lane,0),3),Cluster!$F$29:$F$412,0),6),BV49),Identifier_Cluster,0),19)*IF(LEFT(BV49,4)="pool",IF(LEN(INDEX($BE$4:$BJ$99,MATCH(BV49,$BE$4:$BE$99,0),3))=10,2,IF(LEN(INDEX($BE$4:$BJ$99,MATCH(BV49,$BE$4:$BE$99,0),3))&gt;10,LEN(INDEX($BE$4:$BJ$99,MATCH(BV49,$BE$4:$BE$99,0),3))-8,1)),1)*IF(LEFT(BV49,4)="pool",IF(INDEX($BE$4:$BJ$99,MATCH(BV49,$BE$4:$BE$99,0),6)&lt;1,1,INDEX($BE$4:$BJ$99,MATCH(BV49,$BE$4:$BE$99,0),6)),INDEX(Calculation_Tab,MATCH(BV49,Identifier,0),10)),1)*(1+Calculation!$Q$6),"-")</f>
        <v>-</v>
      </c>
      <c r="BZ49" s="378" t="str">
        <f ca="1">IFERROR((0.5/50)*CE49/Calculation!$AG$6*(IF(LEFT(BV49,4)="Pool",IF(LEN(INDEX($BE$4:$BJ$99,MATCH(BV49,$BE$4:$BE$99,0),3))=10,2,IF(LEN(INDEX($BE$4:$BJ$99,MATCH(BV49,$BE$4:$BE$99,0),3))&gt;10,LEN(INDEX($BE$4:$BJ$99,MATCH(BV49,$BE$4:$BE$99,0),3))-8,1)),IF(INDEX(Calculation_Tab,MATCH(BV49,Identifier,0),10)&gt;1,INDEX(Calculation_Tab,MATCH(BV49,Identifier,0),10),1)))*(1+Calculation!$Q$6),"-")</f>
        <v>-</v>
      </c>
      <c r="CA49" s="510" t="str">
        <f ca="1">IFERROR(IF((BZ49*Calculation!$AG$6/0.05)-SUM(BY49:BZ49,CC49)&gt;0,(BZ49*Calculation!$AG$6/0.05)-SUM(BY49:BZ49,CC49),0),"-")</f>
        <v>-</v>
      </c>
      <c r="CB49" s="510" t="str">
        <f ca="1">IFERROR(5/50*CE49*(IF(LEFT(BV49,4)="Pool",IF(LEN(INDEX($BE$4:$BJ$99,MATCH(BV49,$BE$4:$BE$99,0),3))=10,2,IF(LEN(INDEX($BE$4:$BJ$99,MATCH(BV49,$BE$4:$BE$99,0),3))&gt;10,LEN(INDEX($BE$4:$BJ$99,MATCH(BV49,$BE$4:$BE$99,0),3))-8,1)),IF(INDEX(Calculation_Tab,MATCH(BV49,Identifier,0),10)&gt;1,INDEX(Calculation_Tab,MATCH(BV49,Identifier,0),10),1)))*(1+Calculation!$Q$6),"-")</f>
        <v>-</v>
      </c>
      <c r="CC49" s="508" t="str">
        <f ca="1">IFERROR(ROUND(INDEX(Cluster,MATCH(IF(LEFT(BV49,4)="Pool",INDEX(Cluster,MATCH(INDEX(Calculation_Tab,MATCH(INDEX($BE$4:$BJ$99,MATCH(BV49,$BE$4:$BE$99,0),3),Flow_Cell_Lane,0),3),Cluster!$F$29:$F$412,0),6),BV49),Identifier_Cluster,0),20)*IF(LEFT(BV49,4)="pool",IF(LEN(INDEX($BE$4:$BJ$99,MATCH(BV49,$BE$4:$BE$99,0),3))=10,2,IF(LEN(INDEX($BE$4:$BJ$99,MATCH(BV49,$BE$4:$BE$99,0),3))&gt;10,LEN(INDEX($BE$4:$BJ$99,MATCH(BV49,$BE$4:$BE$99,0),3))-8,1)),1)*IF(LEFT(BV49,4)="pool",IF(INDEX($BE$4:$BJ$99,MATCH(BV49,$BE$4:$BE$99,0),6)&lt;1,1,INDEX($BE$4:$BJ$99,MATCH(BV49,$BE$4:$BE$99,0),6)),INDEX(Calculation_Tab,MATCH(BV49,Identifier,0),10)),1)*(1+Calculation!$Q$6),"-")</f>
        <v>-</v>
      </c>
      <c r="CD49" s="509" t="str">
        <f ca="1">IFERROR(INDEX(Cluster!AC:AD,MATCH(IF(LEFT(BV49,4)="Pool",INDEX(Cluster!$D$29:$AA$412,MATCH(INDEX(Calculation_Tab,MATCH(INDEX($BE$4:$BJ$99,MATCH(BV49,$BE$4:$BE$99,0),3),Flow_Cell_Lane,0),3),Cluster!$F$29:$F$412,0),24),INDEX(Cluster!$D$29:$AA$412,MATCH(BV49,Cluster!$F$29:$F$412,0),24)),Cluster!AC:AC,0),2),"-")</f>
        <v>-</v>
      </c>
      <c r="CE49" s="378" t="str">
        <f ca="1">IFERROR(IF(BV49&lt;&gt;"-",Calculation!$AK$6,"-"),"-")</f>
        <v>-</v>
      </c>
      <c r="CF49" s="378" t="str">
        <f ca="1">IF(OR(LEFT(ListAndConversion!BW49,3)="Dil",LEFT(ListAndConversion!BW49,3)="Poo"),ListAndConversion!$BT$4,IF(LEFT(ListAndConversion!BW49,3)="Sou",INDEX(ListAndConversion!$AT$3:$AV$387,MATCH(ListAndConversion!BV49,ListAndConversion!$AV$3:$AV$387,0),1),"-"))</f>
        <v>-</v>
      </c>
      <c r="CG49" s="498" t="str">
        <f ca="1">IF(OR(LEFT(ListAndConversion!BW49,3)="Dil",LEFT(ListAndConversion!BW49,3)="Poo"),ListAndConversion!BU49,IF(LEFT(ListAndConversion!BW49,3)="Sou",INDEX(ListAndConversion!$AT$4:$AV$387,MATCH(ListAndConversion!BV49,ListAndConversion!$AV$4:$AV$387,0),2),"-"))</f>
        <v>-</v>
      </c>
      <c r="CH49" s="378"/>
      <c r="CI49" s="487" t="str">
        <f t="shared" ca="1" si="19"/>
        <v>-</v>
      </c>
      <c r="CJ49" s="378" t="str">
        <f t="shared" ca="1" si="37"/>
        <v>-</v>
      </c>
      <c r="CK49" s="378" t="str">
        <f t="shared" ca="1" si="37"/>
        <v>-</v>
      </c>
      <c r="CL49" s="378" t="str">
        <f t="shared" ca="1" si="37"/>
        <v>-</v>
      </c>
      <c r="CM49" s="378" t="str">
        <f t="shared" ca="1" si="37"/>
        <v>-</v>
      </c>
      <c r="CN49" s="378" t="str">
        <f t="shared" ca="1" si="37"/>
        <v>-</v>
      </c>
      <c r="CO49" s="378" t="str">
        <f t="shared" ca="1" si="37"/>
        <v>-</v>
      </c>
      <c r="CP49" s="378" t="str">
        <f t="shared" ca="1" si="37"/>
        <v>-</v>
      </c>
      <c r="CQ49" s="378" t="str">
        <f t="shared" ca="1" si="37"/>
        <v>-</v>
      </c>
      <c r="CR49" s="510" t="str">
        <f ca="1">IFERROR(IF(LEFT(BW49,3)="Poo",INDEX($BE$4:$BJ$99,MATCH(CI49,$BG$4:$BG$99,0),6)*((15/50))*Calculation!$AK$6,INDEX(Calculation_Tab,MATCH(BV49,Identifier,0),10)/(IF(LEN(INDEX(Calculation_Tab,MATCH(BV49,Identifier,0),9))&gt;8,LEN(INDEX(Calculation_Tab,MATCH(BV49,Identifier,0),9))-8,1))*((15/50)*Calculation!$AK$6)),"-")</f>
        <v>-</v>
      </c>
      <c r="CS49" s="498" t="str">
        <f ca="1">IF(CI49="-","-",IF(COUNTIF($CI$3:CI49,CI49)&gt;1,0,IFERROR((35/50)*Calculation!$AK$6,"-")))</f>
        <v>-</v>
      </c>
    </row>
    <row r="50" spans="4:97" x14ac:dyDescent="0.5">
      <c r="D50" s="487" t="e">
        <f t="shared" si="0"/>
        <v>#DIV/0!</v>
      </c>
      <c r="E50" s="496" t="e">
        <f t="array" ref="E50">IF(IF((ROW(E50)-3)&lt;(ListAndConversion!$A$15),INDEX(Flow_Cell_Lane,MIN(IF(COUNTIF($E$2:E49,Flow_Cell_Lane)=0,ROW(Flow_Cell_Lane)-9))),"-")="","-",IF((ROW(E50)-3)&lt;(ListAndConversion!$A$15),INDEX(Flow_Cell_Lane,MIN(IF(COUNTIF($E$2:E49,Flow_Cell_Lane)=0,ROW(Flow_Cell_Lane)-9))),"-"))</f>
        <v>#DIV/0!</v>
      </c>
      <c r="F50" s="378" t="e">
        <f t="shared" si="1"/>
        <v>#DIV/0!</v>
      </c>
      <c r="G50" s="378" t="e">
        <f t="shared" si="35"/>
        <v>#DIV/0!</v>
      </c>
      <c r="H50" s="378" t="e">
        <f t="shared" si="35"/>
        <v>#DIV/0!</v>
      </c>
      <c r="I50" s="378" t="e">
        <f t="shared" si="35"/>
        <v>#DIV/0!</v>
      </c>
      <c r="J50" s="378" t="e">
        <f t="shared" si="35"/>
        <v>#DIV/0!</v>
      </c>
      <c r="K50" s="378" t="e">
        <f t="shared" si="35"/>
        <v>#DIV/0!</v>
      </c>
      <c r="L50" s="378" t="e">
        <f t="shared" si="35"/>
        <v>#DIV/0!</v>
      </c>
      <c r="M50" s="378" t="e">
        <f t="shared" si="35"/>
        <v>#DIV/0!</v>
      </c>
      <c r="N50" s="497" t="e">
        <f t="shared" si="3"/>
        <v>#DIV/0!</v>
      </c>
      <c r="O50" s="497" t="str">
        <f t="array" ref="O50">IFERROR(INDEX(Calculation!I:AN,MATCH(ListAndConversion!E50,Calculation!I:I,0),31),"-")</f>
        <v>-</v>
      </c>
      <c r="P50" s="498">
        <f>IF(COUNTIFS(Calculation!$I$10:$I$393,E50,Direct_Denaturation,"-")&lt;&gt;1,COUNTIFS(Calculation!$I$10:$I$393,E50,Direct_Denaturation,"-"),0)</f>
        <v>0</v>
      </c>
      <c r="Q50" s="378"/>
      <c r="R50" s="487" t="e">
        <f t="array" ref="R50">IF(IF((ROW(R50)-3)&lt;(Calculation!$H$6),INDEX(Flow_Cell,MIN(IF(COUNTIF($R$2:R49,Flow_Cell)=0,ROW(Flow_Cell)-9))),"-")="","-",IF((ROW(R50)-3)&lt;(Calculation!$H$6),INDEX(Flow_Cell,MIN(IF(COUNTIF($R$2:R49,Flow_Cell)=0,ROW(Flow_Cell)-9))),"-"))</f>
        <v>#DIV/0!</v>
      </c>
      <c r="S50" s="378" t="e">
        <f t="shared" si="36"/>
        <v>#DIV/0!</v>
      </c>
      <c r="T50" s="378">
        <v>8</v>
      </c>
      <c r="U50" s="498">
        <v>48</v>
      </c>
      <c r="V50" s="487">
        <v>47</v>
      </c>
      <c r="W50" s="497" t="s">
        <v>287</v>
      </c>
      <c r="X50" s="497" t="s">
        <v>381</v>
      </c>
      <c r="Y50" s="378">
        <v>47</v>
      </c>
      <c r="Z50" s="378" t="str">
        <f t="shared" ca="1" si="32"/>
        <v>-</v>
      </c>
      <c r="AA50" s="508" t="str">
        <f t="array" aca="1" ref="AA50" ca="1">IFERROR(INDEX(Calculation_Tab,SMALL(ROW(Sample_Intermediate_Dil)*(Sample_Intermediate_Dil&lt;&gt;"-"),COUNTIF(Sample_Intermediate_Dil,"-")+ROW()-3)-9,5),"-")</f>
        <v>-</v>
      </c>
      <c r="AB50" s="378" t="str">
        <f t="array" aca="1" ref="AB50" ca="1">IFERROR(INDEX($A$3:$B$12,MATCH(INDEX(Calculation_Tab,SMALL(ROW(Sample_Intermediate_Dil)*(Sample_Intermediate_Dil&lt;&gt;"-"),COUNTIF(Sample_Intermediate_Dil,"-")+ROW()-3)-9,5),$A$3:$A$12,0),2),"-")</f>
        <v>-</v>
      </c>
      <c r="AC50" s="509" t="str">
        <f t="array" aca="1" ref="AC50" ca="1">IFERROR(INDEX(Coordinate,MATCH(INDEX(Calculation_Tab,SMALL(ROW(Sample_Intermediate_Dil)*(Sample_Intermediate_Dil&lt;&gt;"-"),COUNTIF(Sample_Intermediate_Dil,"-")+ROW()-3)-9,6),$X$4:$X$99,0),2),"-")</f>
        <v>-</v>
      </c>
      <c r="AD50" s="510" t="str">
        <f t="array" aca="1" ref="AD50" ca="1">IFERROR(INDEX(Calculation_Tab,SMALL(ROW(Sample_Intermediate_Dil)*(Sample_Intermediate_Dil&lt;&gt;"-"),COUNTIF(Sample_Intermediate_Dil,"-")+ROW()-3)-9,24),"-")</f>
        <v>-</v>
      </c>
      <c r="AE50" s="510" t="str">
        <f t="array" aca="1" ref="AE50" ca="1">IFERROR(INDEX(Calculation_Tab,SMALL(ROW(Sample_Intermediate_Dil)*(Sample_Intermediate_Dil&lt;&gt;"-"),COUNTIF(Sample_Intermediate_Dil,"-")+ROW()-3)-9,25),"-")</f>
        <v>-</v>
      </c>
      <c r="AF50" s="510" t="str">
        <f t="array" aca="1" ref="AF50" ca="1">IFERROR(INDEX(Calculation_Tab,SMALL(ROW(Sample_Intermediate_Dil)*(Sample_Intermediate_Dil&lt;&gt;"-"),COUNTIF(Sample_Intermediate_Dil,"-")+ROW()-3)-9,26),"-")</f>
        <v>-</v>
      </c>
      <c r="AG50" s="511" t="str">
        <f t="array" aca="1" ref="AG50" ca="1">IFERROR(INDEX(Calculation_Tab,SMALL(ROW(Sample_Intermediate_Dil)*(Sample_Intermediate_Dil&lt;&gt;"-"),COUNTIF(Sample_Intermediate_Dil,"-")+ROW()-3)-9,27),"-")</f>
        <v>-</v>
      </c>
      <c r="AI50" s="487">
        <v>47</v>
      </c>
      <c r="AJ50" s="497" t="s">
        <v>160</v>
      </c>
      <c r="AK50" s="378">
        <v>47</v>
      </c>
      <c r="AL50" s="378" t="str">
        <f t="shared" ca="1" si="6"/>
        <v>-</v>
      </c>
      <c r="AM50" s="378" t="str">
        <f t="array" aca="1" ref="AM50" ca="1">IFERROR(IF(AI50&lt;=$AB$2,"-",INDEX(Calculation_Tab,SMALL(ROW(Main_Dil)*(Main_Dil&lt;&gt;"-"),COUNTIF(Main_Dil,"-")+ROW()-3-$AB$2)-9,5)),"-")</f>
        <v>-</v>
      </c>
      <c r="AN50" s="378" t="str">
        <f t="array" aca="1" ref="AN50" ca="1">IFERROR(IF(AI50&lt;=$AB$2,"-",INDEX($A$3:$B$12,MATCH(INDEX(Calculation_Tab,SMALL(ROW(Main_Dil)*(Main_Dil&lt;&gt;"-"),COUNTIF(Main_Dil,"-")+ROW()-3-$AB$2)-9,5),$A$3:$A$12,0),2)),"-")</f>
        <v>-</v>
      </c>
      <c r="AO50" s="378" t="str">
        <f t="array" aca="1" ref="AO50" ca="1">IFERROR(IF(AI50&lt;=$AB$2,"-",INDEX(Coordinate,MATCH(INDEX(Calculation_Tab,SMALL(ROW(Main_Dil)*(Main_Dil&lt;&gt;"-"),COUNTIF(Main_Dil,"-")+ROW()-3-$AB$2)-9,6),$X$4:$X$99,0),2)),"-")</f>
        <v>-</v>
      </c>
      <c r="AP50" s="510" t="str">
        <f t="array" aca="1" ref="AP50" ca="1">IFERROR(IF(AI50&lt;=$AB$2,"-",INDEX(Calculation_Tab,SMALL(ROW(Main_Dil)*(Main_Dil&lt;&gt;"-"),COUNTIF(Main_Dil,"-")+ROW()-3-$AB$2)-9,21)),"-")</f>
        <v>-</v>
      </c>
      <c r="AQ50" s="511" t="str">
        <f t="array" aca="1" ref="AQ50" ca="1">IFERROR(IF(AI50&lt;=$AB$2,"-",INDEX(Calculation_Tab,SMALL(ROW(Main_Dil)*(Main_Dil&lt;&gt;"-"),COUNTIF(Main_Dil,"-")+ROW()-3-$AB$2)-9,22)),"-")</f>
        <v>-</v>
      </c>
      <c r="AR50" s="487" t="str">
        <f t="shared" ca="1" si="7"/>
        <v>-</v>
      </c>
      <c r="AS50" s="378">
        <v>47</v>
      </c>
      <c r="AT50" s="497" t="s">
        <v>160</v>
      </c>
      <c r="AU50" s="498">
        <v>47</v>
      </c>
      <c r="AV50" s="378" t="str">
        <f t="shared" ca="1" si="8"/>
        <v>-</v>
      </c>
      <c r="AW50" s="378" t="str">
        <f t="array" aca="1" ref="AW50" ca="1">IFERROR(IF(AS50&lt;=$AB$2+$AN$2,"-",INDEX(Calculation_Tab,SMALL(ROW(Direct_Denaturation)*(Direct_Denaturation&lt;&gt;"-"),COUNTIF(Direct_Denaturation,"-")+ROW()-3-$AB$2-$AN$2)-9,5)),"-")</f>
        <v>-</v>
      </c>
      <c r="AX50" s="378" t="str">
        <f t="array" aca="1" ref="AX50" ca="1">IFERROR(IF(AS50&lt;=$AB$2+$AN$2,"-",INDEX($A$3:$B$12,MATCH(INDEX(Calculation_Tab,SMALL(ROW(Direct_Denaturation)*(Direct_Denaturation&lt;&gt;"-"),COUNTIF(Direct_Denaturation,"-")+ROW()-3-$AB$2-$AN$2)-9,5),$A$3:$A$12,0),2)),"-")</f>
        <v>-</v>
      </c>
      <c r="AY50" s="378" t="str">
        <f t="array" aca="1" ref="AY50" ca="1">IFERROR(IF(AS50&lt;=$AB$2+$AN$2,"-",INDEX(Coordinate,MATCH(INDEX(Calculation_Tab,SMALL(ROW(Direct_Denaturation)*(Direct_Denaturation&lt;&gt;"-"),COUNTIF(Direct_Denaturation,"-")+ROW()-3-$AB$2-$AN$2)-9,6),$X$4:$X$99,0),2)),"-")</f>
        <v>-</v>
      </c>
      <c r="AZ50" s="510" t="str">
        <f t="array" aca="1" ref="AZ50" ca="1">IFERROR(IF(AS50&lt;=$AB$2+$AN$2,"-",INDEX(Calculation_Tab,SMALL(ROW(Direct_Denaturation)*(Direct_Denaturation&lt;&gt;"-"),COUNTIF(Direct_Denaturation,"-")+ROW()-3-$AB$2-$AN$2)-9,32)),"-")</f>
        <v>-</v>
      </c>
      <c r="BA50" s="510" t="str">
        <f t="array" aca="1" ref="BA50" ca="1">IFERROR(IF(AS50&lt;=$AB$2+$AN$2,"-",INDEX(Calculation_Tab,SMALL(ROW(Direct_Denaturation)*(Direct_Denaturation&lt;&gt;"-"),COUNTIF(Direct_Denaturation,"-")+ROW()-3-$AB$2-$AN$2)-9,34)),"-")</f>
        <v>-</v>
      </c>
      <c r="BB50" s="510" t="str">
        <f t="array" aca="1" ref="BB50" ca="1">IFERROR(IF(AS50&lt;=$AB$2+$AN$2,"-",INDEX(Calculation_Tab,SMALL(ROW(Direct_Denaturation)*(Direct_Denaturation&lt;&gt;"-"),COUNTIF(Direct_Denaturation,"-")+ROW()-3-$AB$2-$AN$2)-9,33)),"-")</f>
        <v>-</v>
      </c>
      <c r="BC50" s="510" t="str">
        <f t="array" aca="1" ref="BC50" ca="1">IFERROR(IF(AS50&lt;=$AB$2+$AN$2,"-",INDEX(Calculation_Tab,SMALL(ROW(Direct_Denaturation)*(Direct_Denaturation&lt;&gt;"-"),COUNTIF(Direct_Denaturation,"-")+ROW()-3-$AB$2-$AN$2)-9,35)),"-")</f>
        <v>-</v>
      </c>
      <c r="BD50" s="511" t="str">
        <f t="shared" ca="1" si="9"/>
        <v>-</v>
      </c>
      <c r="BE50" s="494" t="s">
        <v>382</v>
      </c>
      <c r="BF50" s="378">
        <v>47</v>
      </c>
      <c r="BG50" s="515" t="str">
        <v>-</v>
      </c>
      <c r="BH50" s="516" t="str">
        <f>IFERROR(IF((Calculation!$AR$6/INDEX(ListAndConversion!D:P,MATCH(BG50,E:E,0),13))&lt;Calculation!$O$6,INDEX(ListAndConversion!D:P,MATCH(BG50,E:E,0),13)*Calculation!$O$6,Calculation!$AR$6),"-")</f>
        <v>-</v>
      </c>
      <c r="BI50" s="517" t="str">
        <f t="shared" si="33"/>
        <v>-</v>
      </c>
      <c r="BJ50" s="518" t="str">
        <f t="shared" si="34"/>
        <v>-</v>
      </c>
      <c r="BK50" s="378" t="s">
        <v>158</v>
      </c>
      <c r="BL50" s="378">
        <v>47</v>
      </c>
      <c r="BM50" s="487" t="str">
        <f t="array" aca="1" ref="BM50" ca="1">IFERROR(INDEX(Calculation_Tab,SMALL(ROW(ToPool)*(ToPool&lt;&gt;"-"),COUNTIF(ToPool,"-")+ROW()-3)-9,3),"-")</f>
        <v>-</v>
      </c>
      <c r="BN50" s="378" t="str">
        <f t="shared" ca="1" si="12"/>
        <v>-</v>
      </c>
      <c r="BO50" s="378" t="str">
        <f t="shared" ca="1" si="13"/>
        <v>-</v>
      </c>
      <c r="BP50" s="523" t="str">
        <f t="shared" ca="1" si="14"/>
        <v>-</v>
      </c>
      <c r="BQ50" s="378" t="str">
        <f t="array" aca="1" ref="BQ50" ca="1">IFERROR(INDEX(BE:BG,MATCH(INDEX(Calculation_Tab,SMALL(ROW(ToPool)*(ToPool&lt;&gt;"-"),COUNTIF(ToPool,"-")+ROW()-3)-9,9),BG:BG,0),2),"-")</f>
        <v>-</v>
      </c>
      <c r="BR50" s="510" t="str">
        <f t="shared" ca="1" si="15"/>
        <v>-</v>
      </c>
      <c r="BS50" s="511" t="str">
        <f t="shared" ca="1" si="16"/>
        <v>-</v>
      </c>
      <c r="BT50" s="378" t="s">
        <v>164</v>
      </c>
      <c r="BU50" s="487" t="str">
        <f t="shared" ca="1" si="21"/>
        <v>-</v>
      </c>
      <c r="BV50" s="487" t="str">
        <f t="array" aca="1" ref="BV5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50" s="378" t="str">
        <f t="shared" ca="1" si="17"/>
        <v>-</v>
      </c>
      <c r="BX50" s="378" t="str">
        <f t="shared" ca="1" si="18"/>
        <v>-</v>
      </c>
      <c r="BY50" s="510" t="str">
        <f ca="1">IFERROR(ROUND(INDEX(Cluster,MATCH(IF(LEFT(BV50,4)="Pool",INDEX(Cluster,MATCH(INDEX(Calculation_Tab,MATCH(INDEX($BE$4:$BJ$99,MATCH(BV50,$BE$4:$BE$99,0),3),Flow_Cell_Lane,0),3),Cluster!$F$29:$F$412,0),6),BV50),Identifier_Cluster,0),19)*IF(LEFT(BV50,4)="pool",IF(LEN(INDEX($BE$4:$BJ$99,MATCH(BV50,$BE$4:$BE$99,0),3))=10,2,IF(LEN(INDEX($BE$4:$BJ$99,MATCH(BV50,$BE$4:$BE$99,0),3))&gt;10,LEN(INDEX($BE$4:$BJ$99,MATCH(BV50,$BE$4:$BE$99,0),3))-8,1)),1)*IF(LEFT(BV50,4)="pool",IF(INDEX($BE$4:$BJ$99,MATCH(BV50,$BE$4:$BE$99,0),6)&lt;1,1,INDEX($BE$4:$BJ$99,MATCH(BV50,$BE$4:$BE$99,0),6)),INDEX(Calculation_Tab,MATCH(BV50,Identifier,0),10)),1)*(1+Calculation!$Q$6),"-")</f>
        <v>-</v>
      </c>
      <c r="BZ50" s="378" t="str">
        <f ca="1">IFERROR((0.5/50)*CE50/Calculation!$AG$6*(IF(LEFT(BV50,4)="Pool",IF(LEN(INDEX($BE$4:$BJ$99,MATCH(BV50,$BE$4:$BE$99,0),3))=10,2,IF(LEN(INDEX($BE$4:$BJ$99,MATCH(BV50,$BE$4:$BE$99,0),3))&gt;10,LEN(INDEX($BE$4:$BJ$99,MATCH(BV50,$BE$4:$BE$99,0),3))-8,1)),IF(INDEX(Calculation_Tab,MATCH(BV50,Identifier,0),10)&gt;1,INDEX(Calculation_Tab,MATCH(BV50,Identifier,0),10),1)))*(1+Calculation!$Q$6),"-")</f>
        <v>-</v>
      </c>
      <c r="CA50" s="510" t="str">
        <f ca="1">IFERROR(IF((BZ50*Calculation!$AG$6/0.05)-SUM(BY50:BZ50,CC50)&gt;0,(BZ50*Calculation!$AG$6/0.05)-SUM(BY50:BZ50,CC50),0),"-")</f>
        <v>-</v>
      </c>
      <c r="CB50" s="510" t="str">
        <f ca="1">IFERROR(5/50*CE50*(IF(LEFT(BV50,4)="Pool",IF(LEN(INDEX($BE$4:$BJ$99,MATCH(BV50,$BE$4:$BE$99,0),3))=10,2,IF(LEN(INDEX($BE$4:$BJ$99,MATCH(BV50,$BE$4:$BE$99,0),3))&gt;10,LEN(INDEX($BE$4:$BJ$99,MATCH(BV50,$BE$4:$BE$99,0),3))-8,1)),IF(INDEX(Calculation_Tab,MATCH(BV50,Identifier,0),10)&gt;1,INDEX(Calculation_Tab,MATCH(BV50,Identifier,0),10),1)))*(1+Calculation!$Q$6),"-")</f>
        <v>-</v>
      </c>
      <c r="CC50" s="508" t="str">
        <f ca="1">IFERROR(ROUND(INDEX(Cluster,MATCH(IF(LEFT(BV50,4)="Pool",INDEX(Cluster,MATCH(INDEX(Calculation_Tab,MATCH(INDEX($BE$4:$BJ$99,MATCH(BV50,$BE$4:$BE$99,0),3),Flow_Cell_Lane,0),3),Cluster!$F$29:$F$412,0),6),BV50),Identifier_Cluster,0),20)*IF(LEFT(BV50,4)="pool",IF(LEN(INDEX($BE$4:$BJ$99,MATCH(BV50,$BE$4:$BE$99,0),3))=10,2,IF(LEN(INDEX($BE$4:$BJ$99,MATCH(BV50,$BE$4:$BE$99,0),3))&gt;10,LEN(INDEX($BE$4:$BJ$99,MATCH(BV50,$BE$4:$BE$99,0),3))-8,1)),1)*IF(LEFT(BV50,4)="pool",IF(INDEX($BE$4:$BJ$99,MATCH(BV50,$BE$4:$BE$99,0),6)&lt;1,1,INDEX($BE$4:$BJ$99,MATCH(BV50,$BE$4:$BE$99,0),6)),INDEX(Calculation_Tab,MATCH(BV50,Identifier,0),10)),1)*(1+Calculation!$Q$6),"-")</f>
        <v>-</v>
      </c>
      <c r="CD50" s="509" t="str">
        <f ca="1">IFERROR(INDEX(Cluster!AC:AD,MATCH(IF(LEFT(BV50,4)="Pool",INDEX(Cluster!$D$29:$AA$412,MATCH(INDEX(Calculation_Tab,MATCH(INDEX($BE$4:$BJ$99,MATCH(BV50,$BE$4:$BE$99,0),3),Flow_Cell_Lane,0),3),Cluster!$F$29:$F$412,0),24),INDEX(Cluster!$D$29:$AA$412,MATCH(BV50,Cluster!$F$29:$F$412,0),24)),Cluster!AC:AC,0),2),"-")</f>
        <v>-</v>
      </c>
      <c r="CE50" s="378" t="str">
        <f ca="1">IFERROR(IF(BV50&lt;&gt;"-",Calculation!$AK$6,"-"),"-")</f>
        <v>-</v>
      </c>
      <c r="CF50" s="378" t="str">
        <f ca="1">IF(OR(LEFT(ListAndConversion!BW50,3)="Dil",LEFT(ListAndConversion!BW50,3)="Poo"),ListAndConversion!$BT$4,IF(LEFT(ListAndConversion!BW50,3)="Sou",INDEX(ListAndConversion!$AT$3:$AV$387,MATCH(ListAndConversion!BV50,ListAndConversion!$AV$3:$AV$387,0),1),"-"))</f>
        <v>-</v>
      </c>
      <c r="CG50" s="498" t="str">
        <f ca="1">IF(OR(LEFT(ListAndConversion!BW50,3)="Dil",LEFT(ListAndConversion!BW50,3)="Poo"),ListAndConversion!BU50,IF(LEFT(ListAndConversion!BW50,3)="Sou",INDEX(ListAndConversion!$AT$4:$AV$387,MATCH(ListAndConversion!BV50,ListAndConversion!$AV$4:$AV$387,0),2),"-"))</f>
        <v>-</v>
      </c>
      <c r="CH50" s="378"/>
      <c r="CI50" s="487" t="str">
        <f t="shared" ca="1" si="19"/>
        <v>-</v>
      </c>
      <c r="CJ50" s="378" t="str">
        <f t="shared" ca="1" si="37"/>
        <v>-</v>
      </c>
      <c r="CK50" s="378" t="str">
        <f t="shared" ca="1" si="37"/>
        <v>-</v>
      </c>
      <c r="CL50" s="378" t="str">
        <f t="shared" ca="1" si="37"/>
        <v>-</v>
      </c>
      <c r="CM50" s="378" t="str">
        <f t="shared" ca="1" si="37"/>
        <v>-</v>
      </c>
      <c r="CN50" s="378" t="str">
        <f t="shared" ca="1" si="37"/>
        <v>-</v>
      </c>
      <c r="CO50" s="378" t="str">
        <f t="shared" ca="1" si="37"/>
        <v>-</v>
      </c>
      <c r="CP50" s="378" t="str">
        <f t="shared" ca="1" si="37"/>
        <v>-</v>
      </c>
      <c r="CQ50" s="378" t="str">
        <f t="shared" ca="1" si="37"/>
        <v>-</v>
      </c>
      <c r="CR50" s="510" t="str">
        <f ca="1">IFERROR(IF(LEFT(BW50,3)="Poo",INDEX($BE$4:$BJ$99,MATCH(CI50,$BG$4:$BG$99,0),6)*((15/50))*Calculation!$AK$6,INDEX(Calculation_Tab,MATCH(BV50,Identifier,0),10)/(IF(LEN(INDEX(Calculation_Tab,MATCH(BV50,Identifier,0),9))&gt;8,LEN(INDEX(Calculation_Tab,MATCH(BV50,Identifier,0),9))-8,1))*((15/50)*Calculation!$AK$6)),"-")</f>
        <v>-</v>
      </c>
      <c r="CS50" s="498" t="str">
        <f ca="1">IF(CI50="-","-",IF(COUNTIF($CI$3:CI50,CI50)&gt;1,0,IFERROR((35/50)*Calculation!$AK$6,"-")))</f>
        <v>-</v>
      </c>
    </row>
    <row r="51" spans="4:97" x14ac:dyDescent="0.5">
      <c r="D51" s="487" t="e">
        <f t="shared" si="0"/>
        <v>#DIV/0!</v>
      </c>
      <c r="E51" s="496" t="e">
        <f t="array" ref="E51">IF(IF((ROW(E51)-3)&lt;(ListAndConversion!$A$15),INDEX(Flow_Cell_Lane,MIN(IF(COUNTIF($E$2:E50,Flow_Cell_Lane)=0,ROW(Flow_Cell_Lane)-9))),"-")="","-",IF((ROW(E51)-3)&lt;(ListAndConversion!$A$15),INDEX(Flow_Cell_Lane,MIN(IF(COUNTIF($E$2:E50,Flow_Cell_Lane)=0,ROW(Flow_Cell_Lane)-9))),"-"))</f>
        <v>#DIV/0!</v>
      </c>
      <c r="F51" s="378" t="e">
        <f t="shared" si="1"/>
        <v>#DIV/0!</v>
      </c>
      <c r="G51" s="378" t="e">
        <f t="shared" si="35"/>
        <v>#DIV/0!</v>
      </c>
      <c r="H51" s="378" t="e">
        <f t="shared" si="35"/>
        <v>#DIV/0!</v>
      </c>
      <c r="I51" s="378" t="e">
        <f t="shared" si="35"/>
        <v>#DIV/0!</v>
      </c>
      <c r="J51" s="378" t="e">
        <f t="shared" si="35"/>
        <v>#DIV/0!</v>
      </c>
      <c r="K51" s="378" t="e">
        <f t="shared" si="35"/>
        <v>#DIV/0!</v>
      </c>
      <c r="L51" s="378" t="e">
        <f t="shared" si="35"/>
        <v>#DIV/0!</v>
      </c>
      <c r="M51" s="378" t="e">
        <f t="shared" si="35"/>
        <v>#DIV/0!</v>
      </c>
      <c r="N51" s="497" t="e">
        <f t="shared" si="3"/>
        <v>#DIV/0!</v>
      </c>
      <c r="O51" s="497" t="str">
        <f t="array" ref="O51">IFERROR(INDEX(Calculation!I:AN,MATCH(ListAndConversion!E51,Calculation!I:I,0),31),"-")</f>
        <v>-</v>
      </c>
      <c r="P51" s="498">
        <f>IF(COUNTIFS(Calculation!$I$10:$I$393,E51,Direct_Denaturation,"-")&lt;&gt;1,COUNTIFS(Calculation!$I$10:$I$393,E51,Direct_Denaturation,"-"),0)</f>
        <v>0</v>
      </c>
      <c r="Q51" s="378"/>
      <c r="R51" s="487" t="e">
        <f t="array" ref="R51">IF(IF((ROW(R51)-3)&lt;(Calculation!$H$6),INDEX(Flow_Cell,MIN(IF(COUNTIF($R$2:R50,Flow_Cell)=0,ROW(Flow_Cell)-9))),"-")="","-",IF((ROW(R51)-3)&lt;(Calculation!$H$6),INDEX(Flow_Cell,MIN(IF(COUNTIF($R$2:R50,Flow_Cell)=0,ROW(Flow_Cell)-9))),"-"))</f>
        <v>#DIV/0!</v>
      </c>
      <c r="S51" s="378" t="e">
        <f t="shared" ref="S51:S58" si="38">IF($R$9="-","-",CONCATENATE($R$9,"-",T51))</f>
        <v>#DIV/0!</v>
      </c>
      <c r="T51" s="378">
        <v>1</v>
      </c>
      <c r="U51" s="498">
        <v>49</v>
      </c>
      <c r="V51" s="487">
        <v>48</v>
      </c>
      <c r="W51" s="497" t="s">
        <v>287</v>
      </c>
      <c r="X51" s="497" t="s">
        <v>383</v>
      </c>
      <c r="Y51" s="378">
        <v>48</v>
      </c>
      <c r="Z51" s="378" t="str">
        <f t="shared" ca="1" si="32"/>
        <v>-</v>
      </c>
      <c r="AA51" s="508" t="str">
        <f t="array" aca="1" ref="AA51" ca="1">IFERROR(INDEX(Calculation_Tab,SMALL(ROW(Sample_Intermediate_Dil)*(Sample_Intermediate_Dil&lt;&gt;"-"),COUNTIF(Sample_Intermediate_Dil,"-")+ROW()-3)-9,5),"-")</f>
        <v>-</v>
      </c>
      <c r="AB51" s="378" t="str">
        <f t="array" aca="1" ref="AB51" ca="1">IFERROR(INDEX($A$3:$B$12,MATCH(INDEX(Calculation_Tab,SMALL(ROW(Sample_Intermediate_Dil)*(Sample_Intermediate_Dil&lt;&gt;"-"),COUNTIF(Sample_Intermediate_Dil,"-")+ROW()-3)-9,5),$A$3:$A$12,0),2),"-")</f>
        <v>-</v>
      </c>
      <c r="AC51" s="509" t="str">
        <f t="array" aca="1" ref="AC51" ca="1">IFERROR(INDEX(Coordinate,MATCH(INDEX(Calculation_Tab,SMALL(ROW(Sample_Intermediate_Dil)*(Sample_Intermediate_Dil&lt;&gt;"-"),COUNTIF(Sample_Intermediate_Dil,"-")+ROW()-3)-9,6),$X$4:$X$99,0),2),"-")</f>
        <v>-</v>
      </c>
      <c r="AD51" s="510" t="str">
        <f t="array" aca="1" ref="AD51" ca="1">IFERROR(INDEX(Calculation_Tab,SMALL(ROW(Sample_Intermediate_Dil)*(Sample_Intermediate_Dil&lt;&gt;"-"),COUNTIF(Sample_Intermediate_Dil,"-")+ROW()-3)-9,24),"-")</f>
        <v>-</v>
      </c>
      <c r="AE51" s="510" t="str">
        <f t="array" aca="1" ref="AE51" ca="1">IFERROR(INDEX(Calculation_Tab,SMALL(ROW(Sample_Intermediate_Dil)*(Sample_Intermediate_Dil&lt;&gt;"-"),COUNTIF(Sample_Intermediate_Dil,"-")+ROW()-3)-9,25),"-")</f>
        <v>-</v>
      </c>
      <c r="AF51" s="510" t="str">
        <f t="array" aca="1" ref="AF51" ca="1">IFERROR(INDEX(Calculation_Tab,SMALL(ROW(Sample_Intermediate_Dil)*(Sample_Intermediate_Dil&lt;&gt;"-"),COUNTIF(Sample_Intermediate_Dil,"-")+ROW()-3)-9,26),"-")</f>
        <v>-</v>
      </c>
      <c r="AG51" s="511" t="str">
        <f t="array" aca="1" ref="AG51" ca="1">IFERROR(INDEX(Calculation_Tab,SMALL(ROW(Sample_Intermediate_Dil)*(Sample_Intermediate_Dil&lt;&gt;"-"),COUNTIF(Sample_Intermediate_Dil,"-")+ROW()-3)-9,27),"-")</f>
        <v>-</v>
      </c>
      <c r="AI51" s="487">
        <v>48</v>
      </c>
      <c r="AJ51" s="497" t="s">
        <v>160</v>
      </c>
      <c r="AK51" s="378">
        <v>48</v>
      </c>
      <c r="AL51" s="378" t="str">
        <f t="shared" ca="1" si="6"/>
        <v>-</v>
      </c>
      <c r="AM51" s="378" t="str">
        <f t="array" aca="1" ref="AM51" ca="1">IFERROR(IF(AI51&lt;=$AB$2,"-",INDEX(Calculation_Tab,SMALL(ROW(Main_Dil)*(Main_Dil&lt;&gt;"-"),COUNTIF(Main_Dil,"-")+ROW()-3-$AB$2)-9,5)),"-")</f>
        <v>-</v>
      </c>
      <c r="AN51" s="378" t="str">
        <f t="array" aca="1" ref="AN51" ca="1">IFERROR(IF(AI51&lt;=$AB$2,"-",INDEX($A$3:$B$12,MATCH(INDEX(Calculation_Tab,SMALL(ROW(Main_Dil)*(Main_Dil&lt;&gt;"-"),COUNTIF(Main_Dil,"-")+ROW()-3-$AB$2)-9,5),$A$3:$A$12,0),2)),"-")</f>
        <v>-</v>
      </c>
      <c r="AO51" s="378" t="str">
        <f t="array" aca="1" ref="AO51" ca="1">IFERROR(IF(AI51&lt;=$AB$2,"-",INDEX(Coordinate,MATCH(INDEX(Calculation_Tab,SMALL(ROW(Main_Dil)*(Main_Dil&lt;&gt;"-"),COUNTIF(Main_Dil,"-")+ROW()-3-$AB$2)-9,6),$X$4:$X$99,0),2)),"-")</f>
        <v>-</v>
      </c>
      <c r="AP51" s="510" t="str">
        <f t="array" aca="1" ref="AP51" ca="1">IFERROR(IF(AI51&lt;=$AB$2,"-",INDEX(Calculation_Tab,SMALL(ROW(Main_Dil)*(Main_Dil&lt;&gt;"-"),COUNTIF(Main_Dil,"-")+ROW()-3-$AB$2)-9,21)),"-")</f>
        <v>-</v>
      </c>
      <c r="AQ51" s="511" t="str">
        <f t="array" aca="1" ref="AQ51" ca="1">IFERROR(IF(AI51&lt;=$AB$2,"-",INDEX(Calculation_Tab,SMALL(ROW(Main_Dil)*(Main_Dil&lt;&gt;"-"),COUNTIF(Main_Dil,"-")+ROW()-3-$AB$2)-9,22)),"-")</f>
        <v>-</v>
      </c>
      <c r="AR51" s="487" t="str">
        <f t="shared" ca="1" si="7"/>
        <v>-</v>
      </c>
      <c r="AS51" s="378">
        <v>48</v>
      </c>
      <c r="AT51" s="497" t="s">
        <v>160</v>
      </c>
      <c r="AU51" s="498">
        <v>48</v>
      </c>
      <c r="AV51" s="378" t="str">
        <f t="shared" ca="1" si="8"/>
        <v>-</v>
      </c>
      <c r="AW51" s="378" t="str">
        <f t="array" aca="1" ref="AW51" ca="1">IFERROR(IF(AS51&lt;=$AB$2+$AN$2,"-",INDEX(Calculation_Tab,SMALL(ROW(Direct_Denaturation)*(Direct_Denaturation&lt;&gt;"-"),COUNTIF(Direct_Denaturation,"-")+ROW()-3-$AB$2-$AN$2)-9,5)),"-")</f>
        <v>-</v>
      </c>
      <c r="AX51" s="378" t="str">
        <f t="array" aca="1" ref="AX51" ca="1">IFERROR(IF(AS51&lt;=$AB$2+$AN$2,"-",INDEX($A$3:$B$12,MATCH(INDEX(Calculation_Tab,SMALL(ROW(Direct_Denaturation)*(Direct_Denaturation&lt;&gt;"-"),COUNTIF(Direct_Denaturation,"-")+ROW()-3-$AB$2-$AN$2)-9,5),$A$3:$A$12,0),2)),"-")</f>
        <v>-</v>
      </c>
      <c r="AY51" s="378" t="str">
        <f t="array" aca="1" ref="AY51" ca="1">IFERROR(IF(AS51&lt;=$AB$2+$AN$2,"-",INDEX(Coordinate,MATCH(INDEX(Calculation_Tab,SMALL(ROW(Direct_Denaturation)*(Direct_Denaturation&lt;&gt;"-"),COUNTIF(Direct_Denaturation,"-")+ROW()-3-$AB$2-$AN$2)-9,6),$X$4:$X$99,0),2)),"-")</f>
        <v>-</v>
      </c>
      <c r="AZ51" s="510" t="str">
        <f t="array" aca="1" ref="AZ51" ca="1">IFERROR(IF(AS51&lt;=$AB$2+$AN$2,"-",INDEX(Calculation_Tab,SMALL(ROW(Direct_Denaturation)*(Direct_Denaturation&lt;&gt;"-"),COUNTIF(Direct_Denaturation,"-")+ROW()-3-$AB$2-$AN$2)-9,32)),"-")</f>
        <v>-</v>
      </c>
      <c r="BA51" s="510" t="str">
        <f t="array" aca="1" ref="BA51" ca="1">IFERROR(IF(AS51&lt;=$AB$2+$AN$2,"-",INDEX(Calculation_Tab,SMALL(ROW(Direct_Denaturation)*(Direct_Denaturation&lt;&gt;"-"),COUNTIF(Direct_Denaturation,"-")+ROW()-3-$AB$2-$AN$2)-9,34)),"-")</f>
        <v>-</v>
      </c>
      <c r="BB51" s="510" t="str">
        <f t="array" aca="1" ref="BB51" ca="1">IFERROR(IF(AS51&lt;=$AB$2+$AN$2,"-",INDEX(Calculation_Tab,SMALL(ROW(Direct_Denaturation)*(Direct_Denaturation&lt;&gt;"-"),COUNTIF(Direct_Denaturation,"-")+ROW()-3-$AB$2-$AN$2)-9,33)),"-")</f>
        <v>-</v>
      </c>
      <c r="BC51" s="510" t="str">
        <f t="array" aca="1" ref="BC51" ca="1">IFERROR(IF(AS51&lt;=$AB$2+$AN$2,"-",INDEX(Calculation_Tab,SMALL(ROW(Direct_Denaturation)*(Direct_Denaturation&lt;&gt;"-"),COUNTIF(Direct_Denaturation,"-")+ROW()-3-$AB$2-$AN$2)-9,35)),"-")</f>
        <v>-</v>
      </c>
      <c r="BD51" s="511" t="str">
        <f t="shared" ca="1" si="9"/>
        <v>-</v>
      </c>
      <c r="BE51" s="494" t="s">
        <v>384</v>
      </c>
      <c r="BF51" s="378">
        <v>48</v>
      </c>
      <c r="BG51" s="515" t="str">
        <v>-</v>
      </c>
      <c r="BH51" s="516" t="str">
        <f>IFERROR(IF((Calculation!$AR$6/INDEX(ListAndConversion!D:P,MATCH(BG51,E:E,0),13))&lt;Calculation!$O$6,INDEX(ListAndConversion!D:P,MATCH(BG51,E:E,0),13)*Calculation!$O$6,Calculation!$AR$6),"-")</f>
        <v>-</v>
      </c>
      <c r="BI51" s="517" t="str">
        <f t="shared" si="33"/>
        <v>-</v>
      </c>
      <c r="BJ51" s="518" t="str">
        <f t="shared" si="34"/>
        <v>-</v>
      </c>
      <c r="BK51" s="378" t="s">
        <v>158</v>
      </c>
      <c r="BL51" s="378">
        <v>48</v>
      </c>
      <c r="BM51" s="487" t="str">
        <f t="array" aca="1" ref="BM51" ca="1">IFERROR(INDEX(Calculation_Tab,SMALL(ROW(ToPool)*(ToPool&lt;&gt;"-"),COUNTIF(ToPool,"-")+ROW()-3)-9,3),"-")</f>
        <v>-</v>
      </c>
      <c r="BN51" s="378" t="str">
        <f t="shared" ca="1" si="12"/>
        <v>-</v>
      </c>
      <c r="BO51" s="378" t="str">
        <f t="shared" ca="1" si="13"/>
        <v>-</v>
      </c>
      <c r="BP51" s="523" t="str">
        <f t="shared" ca="1" si="14"/>
        <v>-</v>
      </c>
      <c r="BQ51" s="378" t="str">
        <f t="array" aca="1" ref="BQ51" ca="1">IFERROR(INDEX(BE:BG,MATCH(INDEX(Calculation_Tab,SMALL(ROW(ToPool)*(ToPool&lt;&gt;"-"),COUNTIF(ToPool,"-")+ROW()-3)-9,9),BG:BG,0),2),"-")</f>
        <v>-</v>
      </c>
      <c r="BR51" s="510" t="str">
        <f t="shared" ca="1" si="15"/>
        <v>-</v>
      </c>
      <c r="BS51" s="511" t="str">
        <f t="shared" ca="1" si="16"/>
        <v>-</v>
      </c>
      <c r="BT51" s="378" t="s">
        <v>164</v>
      </c>
      <c r="BU51" s="487" t="str">
        <f t="shared" ca="1" si="21"/>
        <v>-</v>
      </c>
      <c r="BV51" s="487" t="str">
        <f t="array" aca="1" ref="BV5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51" s="378" t="str">
        <f t="shared" ca="1" si="17"/>
        <v>-</v>
      </c>
      <c r="BX51" s="378" t="str">
        <f t="shared" ca="1" si="18"/>
        <v>-</v>
      </c>
      <c r="BY51" s="510" t="str">
        <f ca="1">IFERROR(ROUND(INDEX(Cluster,MATCH(IF(LEFT(BV51,4)="Pool",INDEX(Cluster,MATCH(INDEX(Calculation_Tab,MATCH(INDEX($BE$4:$BJ$99,MATCH(BV51,$BE$4:$BE$99,0),3),Flow_Cell_Lane,0),3),Cluster!$F$29:$F$412,0),6),BV51),Identifier_Cluster,0),19)*IF(LEFT(BV51,4)="pool",IF(LEN(INDEX($BE$4:$BJ$99,MATCH(BV51,$BE$4:$BE$99,0),3))=10,2,IF(LEN(INDEX($BE$4:$BJ$99,MATCH(BV51,$BE$4:$BE$99,0),3))&gt;10,LEN(INDEX($BE$4:$BJ$99,MATCH(BV51,$BE$4:$BE$99,0),3))-8,1)),1)*IF(LEFT(BV51,4)="pool",IF(INDEX($BE$4:$BJ$99,MATCH(BV51,$BE$4:$BE$99,0),6)&lt;1,1,INDEX($BE$4:$BJ$99,MATCH(BV51,$BE$4:$BE$99,0),6)),INDEX(Calculation_Tab,MATCH(BV51,Identifier,0),10)),1)*(1+Calculation!$Q$6),"-")</f>
        <v>-</v>
      </c>
      <c r="BZ51" s="378" t="str">
        <f ca="1">IFERROR((0.5/50)*CE51/Calculation!$AG$6*(IF(LEFT(BV51,4)="Pool",IF(LEN(INDEX($BE$4:$BJ$99,MATCH(BV51,$BE$4:$BE$99,0),3))=10,2,IF(LEN(INDEX($BE$4:$BJ$99,MATCH(BV51,$BE$4:$BE$99,0),3))&gt;10,LEN(INDEX($BE$4:$BJ$99,MATCH(BV51,$BE$4:$BE$99,0),3))-8,1)),IF(INDEX(Calculation_Tab,MATCH(BV51,Identifier,0),10)&gt;1,INDEX(Calculation_Tab,MATCH(BV51,Identifier,0),10),1)))*(1+Calculation!$Q$6),"-")</f>
        <v>-</v>
      </c>
      <c r="CA51" s="510" t="str">
        <f ca="1">IFERROR(IF((BZ51*Calculation!$AG$6/0.05)-SUM(BY51:BZ51,CC51)&gt;0,(BZ51*Calculation!$AG$6/0.05)-SUM(BY51:BZ51,CC51),0),"-")</f>
        <v>-</v>
      </c>
      <c r="CB51" s="510" t="str">
        <f ca="1">IFERROR(5/50*CE51*(IF(LEFT(BV51,4)="Pool",IF(LEN(INDEX($BE$4:$BJ$99,MATCH(BV51,$BE$4:$BE$99,0),3))=10,2,IF(LEN(INDEX($BE$4:$BJ$99,MATCH(BV51,$BE$4:$BE$99,0),3))&gt;10,LEN(INDEX($BE$4:$BJ$99,MATCH(BV51,$BE$4:$BE$99,0),3))-8,1)),IF(INDEX(Calculation_Tab,MATCH(BV51,Identifier,0),10)&gt;1,INDEX(Calculation_Tab,MATCH(BV51,Identifier,0),10),1)))*(1+Calculation!$Q$6),"-")</f>
        <v>-</v>
      </c>
      <c r="CC51" s="508" t="str">
        <f ca="1">IFERROR(ROUND(INDEX(Cluster,MATCH(IF(LEFT(BV51,4)="Pool",INDEX(Cluster,MATCH(INDEX(Calculation_Tab,MATCH(INDEX($BE$4:$BJ$99,MATCH(BV51,$BE$4:$BE$99,0),3),Flow_Cell_Lane,0),3),Cluster!$F$29:$F$412,0),6),BV51),Identifier_Cluster,0),20)*IF(LEFT(BV51,4)="pool",IF(LEN(INDEX($BE$4:$BJ$99,MATCH(BV51,$BE$4:$BE$99,0),3))=10,2,IF(LEN(INDEX($BE$4:$BJ$99,MATCH(BV51,$BE$4:$BE$99,0),3))&gt;10,LEN(INDEX($BE$4:$BJ$99,MATCH(BV51,$BE$4:$BE$99,0),3))-8,1)),1)*IF(LEFT(BV51,4)="pool",IF(INDEX($BE$4:$BJ$99,MATCH(BV51,$BE$4:$BE$99,0),6)&lt;1,1,INDEX($BE$4:$BJ$99,MATCH(BV51,$BE$4:$BE$99,0),6)),INDEX(Calculation_Tab,MATCH(BV51,Identifier,0),10)),1)*(1+Calculation!$Q$6),"-")</f>
        <v>-</v>
      </c>
      <c r="CD51" s="509" t="str">
        <f ca="1">IFERROR(INDEX(Cluster!AC:AD,MATCH(IF(LEFT(BV51,4)="Pool",INDEX(Cluster!$D$29:$AA$412,MATCH(INDEX(Calculation_Tab,MATCH(INDEX($BE$4:$BJ$99,MATCH(BV51,$BE$4:$BE$99,0),3),Flow_Cell_Lane,0),3),Cluster!$F$29:$F$412,0),24),INDEX(Cluster!$D$29:$AA$412,MATCH(BV51,Cluster!$F$29:$F$412,0),24)),Cluster!AC:AC,0),2),"-")</f>
        <v>-</v>
      </c>
      <c r="CE51" s="378" t="str">
        <f ca="1">IFERROR(IF(BV51&lt;&gt;"-",Calculation!$AK$6,"-"),"-")</f>
        <v>-</v>
      </c>
      <c r="CF51" s="378" t="str">
        <f ca="1">IF(OR(LEFT(ListAndConversion!BW51,3)="Dil",LEFT(ListAndConversion!BW51,3)="Poo"),ListAndConversion!$BT$4,IF(LEFT(ListAndConversion!BW51,3)="Sou",INDEX(ListAndConversion!$AT$3:$AV$387,MATCH(ListAndConversion!BV51,ListAndConversion!$AV$3:$AV$387,0),1),"-"))</f>
        <v>-</v>
      </c>
      <c r="CG51" s="498" t="str">
        <f ca="1">IF(OR(LEFT(ListAndConversion!BW51,3)="Dil",LEFT(ListAndConversion!BW51,3)="Poo"),ListAndConversion!BU51,IF(LEFT(ListAndConversion!BW51,3)="Sou",INDEX(ListAndConversion!$AT$4:$AV$387,MATCH(ListAndConversion!BV51,ListAndConversion!$AV$4:$AV$387,0),2),"-"))</f>
        <v>-</v>
      </c>
      <c r="CH51" s="378"/>
      <c r="CI51" s="487" t="str">
        <f t="shared" ca="1" si="19"/>
        <v>-</v>
      </c>
      <c r="CJ51" s="378" t="str">
        <f t="shared" ca="1" si="37"/>
        <v>-</v>
      </c>
      <c r="CK51" s="378" t="str">
        <f t="shared" ca="1" si="37"/>
        <v>-</v>
      </c>
      <c r="CL51" s="378" t="str">
        <f t="shared" ca="1" si="37"/>
        <v>-</v>
      </c>
      <c r="CM51" s="378" t="str">
        <f t="shared" ca="1" si="37"/>
        <v>-</v>
      </c>
      <c r="CN51" s="378" t="str">
        <f t="shared" ca="1" si="37"/>
        <v>-</v>
      </c>
      <c r="CO51" s="378" t="str">
        <f t="shared" ca="1" si="37"/>
        <v>-</v>
      </c>
      <c r="CP51" s="378" t="str">
        <f t="shared" ca="1" si="37"/>
        <v>-</v>
      </c>
      <c r="CQ51" s="378" t="str">
        <f t="shared" ca="1" si="37"/>
        <v>-</v>
      </c>
      <c r="CR51" s="510" t="str">
        <f ca="1">IFERROR(IF(LEFT(BW51,3)="Poo",INDEX($BE$4:$BJ$99,MATCH(CI51,$BG$4:$BG$99,0),6)*((15/50))*Calculation!$AK$6,INDEX(Calculation_Tab,MATCH(BV51,Identifier,0),10)/(IF(LEN(INDEX(Calculation_Tab,MATCH(BV51,Identifier,0),9))&gt;8,LEN(INDEX(Calculation_Tab,MATCH(BV51,Identifier,0),9))-8,1))*((15/50)*Calculation!$AK$6)),"-")</f>
        <v>-</v>
      </c>
      <c r="CS51" s="498" t="str">
        <f ca="1">IF(CI51="-","-",IF(COUNTIF($CI$3:CI51,CI51)&gt;1,0,IFERROR((35/50)*Calculation!$AK$6,"-")))</f>
        <v>-</v>
      </c>
    </row>
    <row r="52" spans="4:97" x14ac:dyDescent="0.5">
      <c r="D52" s="487" t="e">
        <f t="shared" si="0"/>
        <v>#DIV/0!</v>
      </c>
      <c r="E52" s="496" t="e">
        <f t="array" ref="E52">IF(IF((ROW(E52)-3)&lt;(ListAndConversion!$A$15),INDEX(Flow_Cell_Lane,MIN(IF(COUNTIF($E$2:E51,Flow_Cell_Lane)=0,ROW(Flow_Cell_Lane)-9))),"-")="","-",IF((ROW(E52)-3)&lt;(ListAndConversion!$A$15),INDEX(Flow_Cell_Lane,MIN(IF(COUNTIF($E$2:E51,Flow_Cell_Lane)=0,ROW(Flow_Cell_Lane)-9))),"-"))</f>
        <v>#DIV/0!</v>
      </c>
      <c r="F52" s="378" t="e">
        <f t="shared" si="1"/>
        <v>#DIV/0!</v>
      </c>
      <c r="G52" s="378" t="e">
        <f t="shared" si="35"/>
        <v>#DIV/0!</v>
      </c>
      <c r="H52" s="378" t="e">
        <f t="shared" si="35"/>
        <v>#DIV/0!</v>
      </c>
      <c r="I52" s="378" t="e">
        <f t="shared" si="35"/>
        <v>#DIV/0!</v>
      </c>
      <c r="J52" s="378" t="e">
        <f t="shared" si="35"/>
        <v>#DIV/0!</v>
      </c>
      <c r="K52" s="378" t="e">
        <f t="shared" si="35"/>
        <v>#DIV/0!</v>
      </c>
      <c r="L52" s="378" t="e">
        <f t="shared" si="35"/>
        <v>#DIV/0!</v>
      </c>
      <c r="M52" s="378" t="e">
        <f t="shared" si="35"/>
        <v>#DIV/0!</v>
      </c>
      <c r="N52" s="497" t="e">
        <f t="shared" si="3"/>
        <v>#DIV/0!</v>
      </c>
      <c r="O52" s="497" t="str">
        <f t="array" ref="O52">IFERROR(INDEX(Calculation!I:AN,MATCH(ListAndConversion!E52,Calculation!I:I,0),31),"-")</f>
        <v>-</v>
      </c>
      <c r="P52" s="498">
        <f>IF(COUNTIFS(Calculation!$I$10:$I$393,E52,Direct_Denaturation,"-")&lt;&gt;1,COUNTIFS(Calculation!$I$10:$I$393,E52,Direct_Denaturation,"-"),0)</f>
        <v>0</v>
      </c>
      <c r="Q52" s="378"/>
      <c r="R52" s="487" t="e">
        <f t="array" ref="R52">IF(IF((ROW(R52)-3)&lt;(Calculation!$H$6),INDEX(Flow_Cell,MIN(IF(COUNTIF($R$2:R51,Flow_Cell)=0,ROW(Flow_Cell)-9))),"-")="","-",IF((ROW(R52)-3)&lt;(Calculation!$H$6),INDEX(Flow_Cell,MIN(IF(COUNTIF($R$2:R51,Flow_Cell)=0,ROW(Flow_Cell)-9))),"-"))</f>
        <v>#DIV/0!</v>
      </c>
      <c r="S52" s="378" t="e">
        <f t="shared" si="38"/>
        <v>#DIV/0!</v>
      </c>
      <c r="T52" s="378">
        <v>2</v>
      </c>
      <c r="U52" s="498">
        <v>50</v>
      </c>
      <c r="V52" s="487">
        <v>49</v>
      </c>
      <c r="W52" s="497" t="s">
        <v>287</v>
      </c>
      <c r="X52" s="497" t="s">
        <v>385</v>
      </c>
      <c r="Y52" s="378">
        <v>49</v>
      </c>
      <c r="Z52" s="378" t="str">
        <f t="shared" ca="1" si="32"/>
        <v>-</v>
      </c>
      <c r="AA52" s="508" t="str">
        <f t="array" aca="1" ref="AA52" ca="1">IFERROR(INDEX(Calculation_Tab,SMALL(ROW(Sample_Intermediate_Dil)*(Sample_Intermediate_Dil&lt;&gt;"-"),COUNTIF(Sample_Intermediate_Dil,"-")+ROW()-3)-9,5),"-")</f>
        <v>-</v>
      </c>
      <c r="AB52" s="378" t="str">
        <f t="array" aca="1" ref="AB52" ca="1">IFERROR(INDEX($A$3:$B$12,MATCH(INDEX(Calculation_Tab,SMALL(ROW(Sample_Intermediate_Dil)*(Sample_Intermediate_Dil&lt;&gt;"-"),COUNTIF(Sample_Intermediate_Dil,"-")+ROW()-3)-9,5),$A$3:$A$12,0),2),"-")</f>
        <v>-</v>
      </c>
      <c r="AC52" s="509" t="str">
        <f t="array" aca="1" ref="AC52" ca="1">IFERROR(INDEX(Coordinate,MATCH(INDEX(Calculation_Tab,SMALL(ROW(Sample_Intermediate_Dil)*(Sample_Intermediate_Dil&lt;&gt;"-"),COUNTIF(Sample_Intermediate_Dil,"-")+ROW()-3)-9,6),$X$4:$X$99,0),2),"-")</f>
        <v>-</v>
      </c>
      <c r="AD52" s="510" t="str">
        <f t="array" aca="1" ref="AD52" ca="1">IFERROR(INDEX(Calculation_Tab,SMALL(ROW(Sample_Intermediate_Dil)*(Sample_Intermediate_Dil&lt;&gt;"-"),COUNTIF(Sample_Intermediate_Dil,"-")+ROW()-3)-9,24),"-")</f>
        <v>-</v>
      </c>
      <c r="AE52" s="510" t="str">
        <f t="array" aca="1" ref="AE52" ca="1">IFERROR(INDEX(Calculation_Tab,SMALL(ROW(Sample_Intermediate_Dil)*(Sample_Intermediate_Dil&lt;&gt;"-"),COUNTIF(Sample_Intermediate_Dil,"-")+ROW()-3)-9,25),"-")</f>
        <v>-</v>
      </c>
      <c r="AF52" s="510" t="str">
        <f t="array" aca="1" ref="AF52" ca="1">IFERROR(INDEX(Calculation_Tab,SMALL(ROW(Sample_Intermediate_Dil)*(Sample_Intermediate_Dil&lt;&gt;"-"),COUNTIF(Sample_Intermediate_Dil,"-")+ROW()-3)-9,26),"-")</f>
        <v>-</v>
      </c>
      <c r="AG52" s="511" t="str">
        <f t="array" aca="1" ref="AG52" ca="1">IFERROR(INDEX(Calculation_Tab,SMALL(ROW(Sample_Intermediate_Dil)*(Sample_Intermediate_Dil&lt;&gt;"-"),COUNTIF(Sample_Intermediate_Dil,"-")+ROW()-3)-9,27),"-")</f>
        <v>-</v>
      </c>
      <c r="AI52" s="487">
        <v>49</v>
      </c>
      <c r="AJ52" s="497" t="s">
        <v>160</v>
      </c>
      <c r="AK52" s="378">
        <v>49</v>
      </c>
      <c r="AL52" s="378" t="str">
        <f t="shared" ca="1" si="6"/>
        <v>-</v>
      </c>
      <c r="AM52" s="378" t="str">
        <f t="array" aca="1" ref="AM52" ca="1">IFERROR(IF(AI52&lt;=$AB$2,"-",INDEX(Calculation_Tab,SMALL(ROW(Main_Dil)*(Main_Dil&lt;&gt;"-"),COUNTIF(Main_Dil,"-")+ROW()-3-$AB$2)-9,5)),"-")</f>
        <v>-</v>
      </c>
      <c r="AN52" s="378" t="str">
        <f t="array" aca="1" ref="AN52" ca="1">IFERROR(IF(AI52&lt;=$AB$2,"-",INDEX($A$3:$B$12,MATCH(INDEX(Calculation_Tab,SMALL(ROW(Main_Dil)*(Main_Dil&lt;&gt;"-"),COUNTIF(Main_Dil,"-")+ROW()-3-$AB$2)-9,5),$A$3:$A$12,0),2)),"-")</f>
        <v>-</v>
      </c>
      <c r="AO52" s="378" t="str">
        <f t="array" aca="1" ref="AO52" ca="1">IFERROR(IF(AI52&lt;=$AB$2,"-",INDEX(Coordinate,MATCH(INDEX(Calculation_Tab,SMALL(ROW(Main_Dil)*(Main_Dil&lt;&gt;"-"),COUNTIF(Main_Dil,"-")+ROW()-3-$AB$2)-9,6),$X$4:$X$99,0),2)),"-")</f>
        <v>-</v>
      </c>
      <c r="AP52" s="510" t="str">
        <f t="array" aca="1" ref="AP52" ca="1">IFERROR(IF(AI52&lt;=$AB$2,"-",INDEX(Calculation_Tab,SMALL(ROW(Main_Dil)*(Main_Dil&lt;&gt;"-"),COUNTIF(Main_Dil,"-")+ROW()-3-$AB$2)-9,21)),"-")</f>
        <v>-</v>
      </c>
      <c r="AQ52" s="511" t="str">
        <f t="array" aca="1" ref="AQ52" ca="1">IFERROR(IF(AI52&lt;=$AB$2,"-",INDEX(Calculation_Tab,SMALL(ROW(Main_Dil)*(Main_Dil&lt;&gt;"-"),COUNTIF(Main_Dil,"-")+ROW()-3-$AB$2)-9,22)),"-")</f>
        <v>-</v>
      </c>
      <c r="AR52" s="487" t="str">
        <f t="shared" ca="1" si="7"/>
        <v>-</v>
      </c>
      <c r="AS52" s="378">
        <v>49</v>
      </c>
      <c r="AT52" s="497" t="s">
        <v>160</v>
      </c>
      <c r="AU52" s="498">
        <v>49</v>
      </c>
      <c r="AV52" s="378" t="str">
        <f t="shared" ca="1" si="8"/>
        <v>-</v>
      </c>
      <c r="AW52" s="378" t="str">
        <f t="array" aca="1" ref="AW52" ca="1">IFERROR(IF(AS52&lt;=$AB$2+$AN$2,"-",INDEX(Calculation_Tab,SMALL(ROW(Direct_Denaturation)*(Direct_Denaturation&lt;&gt;"-"),COUNTIF(Direct_Denaturation,"-")+ROW()-3-$AB$2-$AN$2)-9,5)),"-")</f>
        <v>-</v>
      </c>
      <c r="AX52" s="378" t="str">
        <f t="array" aca="1" ref="AX52" ca="1">IFERROR(IF(AS52&lt;=$AB$2+$AN$2,"-",INDEX($A$3:$B$12,MATCH(INDEX(Calculation_Tab,SMALL(ROW(Direct_Denaturation)*(Direct_Denaturation&lt;&gt;"-"),COUNTIF(Direct_Denaturation,"-")+ROW()-3-$AB$2-$AN$2)-9,5),$A$3:$A$12,0),2)),"-")</f>
        <v>-</v>
      </c>
      <c r="AY52" s="378" t="str">
        <f t="array" aca="1" ref="AY52" ca="1">IFERROR(IF(AS52&lt;=$AB$2+$AN$2,"-",INDEX(Coordinate,MATCH(INDEX(Calculation_Tab,SMALL(ROW(Direct_Denaturation)*(Direct_Denaturation&lt;&gt;"-"),COUNTIF(Direct_Denaturation,"-")+ROW()-3-$AB$2-$AN$2)-9,6),$X$4:$X$99,0),2)),"-")</f>
        <v>-</v>
      </c>
      <c r="AZ52" s="510" t="str">
        <f t="array" aca="1" ref="AZ52" ca="1">IFERROR(IF(AS52&lt;=$AB$2+$AN$2,"-",INDEX(Calculation_Tab,SMALL(ROW(Direct_Denaturation)*(Direct_Denaturation&lt;&gt;"-"),COUNTIF(Direct_Denaturation,"-")+ROW()-3-$AB$2-$AN$2)-9,32)),"-")</f>
        <v>-</v>
      </c>
      <c r="BA52" s="510" t="str">
        <f t="array" aca="1" ref="BA52" ca="1">IFERROR(IF(AS52&lt;=$AB$2+$AN$2,"-",INDEX(Calculation_Tab,SMALL(ROW(Direct_Denaturation)*(Direct_Denaturation&lt;&gt;"-"),COUNTIF(Direct_Denaturation,"-")+ROW()-3-$AB$2-$AN$2)-9,34)),"-")</f>
        <v>-</v>
      </c>
      <c r="BB52" s="510" t="str">
        <f t="array" aca="1" ref="BB52" ca="1">IFERROR(IF(AS52&lt;=$AB$2+$AN$2,"-",INDEX(Calculation_Tab,SMALL(ROW(Direct_Denaturation)*(Direct_Denaturation&lt;&gt;"-"),COUNTIF(Direct_Denaturation,"-")+ROW()-3-$AB$2-$AN$2)-9,33)),"-")</f>
        <v>-</v>
      </c>
      <c r="BC52" s="510" t="str">
        <f t="array" aca="1" ref="BC52" ca="1">IFERROR(IF(AS52&lt;=$AB$2+$AN$2,"-",INDEX(Calculation_Tab,SMALL(ROW(Direct_Denaturation)*(Direct_Denaturation&lt;&gt;"-"),COUNTIF(Direct_Denaturation,"-")+ROW()-3-$AB$2-$AN$2)-9,35)),"-")</f>
        <v>-</v>
      </c>
      <c r="BD52" s="511" t="str">
        <f t="shared" ca="1" si="9"/>
        <v>-</v>
      </c>
      <c r="BE52" s="494" t="s">
        <v>386</v>
      </c>
      <c r="BF52" s="378">
        <v>49</v>
      </c>
      <c r="BG52" s="515" t="str">
        <v>-</v>
      </c>
      <c r="BH52" s="516" t="str">
        <f>IFERROR(IF((Calculation!$AR$6/INDEX(ListAndConversion!D:P,MATCH(BG52,E:E,0),13))&lt;Calculation!$O$6,INDEX(ListAndConversion!D:P,MATCH(BG52,E:E,0),13)*Calculation!$O$6,Calculation!$AR$6),"-")</f>
        <v>-</v>
      </c>
      <c r="BI52" s="517" t="str">
        <f t="shared" si="33"/>
        <v>-</v>
      </c>
      <c r="BJ52" s="518" t="str">
        <f t="shared" si="34"/>
        <v>-</v>
      </c>
      <c r="BK52" s="378" t="s">
        <v>158</v>
      </c>
      <c r="BL52" s="378">
        <v>49</v>
      </c>
      <c r="BM52" s="487" t="str">
        <f t="array" aca="1" ref="BM52" ca="1">IFERROR(INDEX(Calculation_Tab,SMALL(ROW(ToPool)*(ToPool&lt;&gt;"-"),COUNTIF(ToPool,"-")+ROW()-3)-9,3),"-")</f>
        <v>-</v>
      </c>
      <c r="BN52" s="378" t="str">
        <f t="shared" ca="1" si="12"/>
        <v>-</v>
      </c>
      <c r="BO52" s="378" t="str">
        <f t="shared" ca="1" si="13"/>
        <v>-</v>
      </c>
      <c r="BP52" s="523" t="str">
        <f t="shared" ca="1" si="14"/>
        <v>-</v>
      </c>
      <c r="BQ52" s="378" t="str">
        <f t="array" aca="1" ref="BQ52" ca="1">IFERROR(INDEX(BE:BG,MATCH(INDEX(Calculation_Tab,SMALL(ROW(ToPool)*(ToPool&lt;&gt;"-"),COUNTIF(ToPool,"-")+ROW()-3)-9,9),BG:BG,0),2),"-")</f>
        <v>-</v>
      </c>
      <c r="BR52" s="510" t="str">
        <f t="shared" ca="1" si="15"/>
        <v>-</v>
      </c>
      <c r="BS52" s="511" t="str">
        <f t="shared" ca="1" si="16"/>
        <v>-</v>
      </c>
      <c r="BT52" s="378" t="s">
        <v>164</v>
      </c>
      <c r="BU52" s="487" t="str">
        <f t="shared" ca="1" si="21"/>
        <v>-</v>
      </c>
      <c r="BV52" s="487" t="str">
        <f t="array" aca="1" ref="BV5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52" s="378" t="str">
        <f t="shared" ca="1" si="17"/>
        <v>-</v>
      </c>
      <c r="BX52" s="378" t="str">
        <f t="shared" ca="1" si="18"/>
        <v>-</v>
      </c>
      <c r="BY52" s="510" t="str">
        <f ca="1">IFERROR(ROUND(INDEX(Cluster,MATCH(IF(LEFT(BV52,4)="Pool",INDEX(Cluster,MATCH(INDEX(Calculation_Tab,MATCH(INDEX($BE$4:$BJ$99,MATCH(BV52,$BE$4:$BE$99,0),3),Flow_Cell_Lane,0),3),Cluster!$F$29:$F$412,0),6),BV52),Identifier_Cluster,0),19)*IF(LEFT(BV52,4)="pool",IF(LEN(INDEX($BE$4:$BJ$99,MATCH(BV52,$BE$4:$BE$99,0),3))=10,2,IF(LEN(INDEX($BE$4:$BJ$99,MATCH(BV52,$BE$4:$BE$99,0),3))&gt;10,LEN(INDEX($BE$4:$BJ$99,MATCH(BV52,$BE$4:$BE$99,0),3))-8,1)),1)*IF(LEFT(BV52,4)="pool",IF(INDEX($BE$4:$BJ$99,MATCH(BV52,$BE$4:$BE$99,0),6)&lt;1,1,INDEX($BE$4:$BJ$99,MATCH(BV52,$BE$4:$BE$99,0),6)),INDEX(Calculation_Tab,MATCH(BV52,Identifier,0),10)),1)*(1+Calculation!$Q$6),"-")</f>
        <v>-</v>
      </c>
      <c r="BZ52" s="378" t="str">
        <f ca="1">IFERROR((0.5/50)*CE52/Calculation!$AG$6*(IF(LEFT(BV52,4)="Pool",IF(LEN(INDEX($BE$4:$BJ$99,MATCH(BV52,$BE$4:$BE$99,0),3))=10,2,IF(LEN(INDEX($BE$4:$BJ$99,MATCH(BV52,$BE$4:$BE$99,0),3))&gt;10,LEN(INDEX($BE$4:$BJ$99,MATCH(BV52,$BE$4:$BE$99,0),3))-8,1)),IF(INDEX(Calculation_Tab,MATCH(BV52,Identifier,0),10)&gt;1,INDEX(Calculation_Tab,MATCH(BV52,Identifier,0),10),1)))*(1+Calculation!$Q$6),"-")</f>
        <v>-</v>
      </c>
      <c r="CA52" s="510" t="str">
        <f ca="1">IFERROR(IF((BZ52*Calculation!$AG$6/0.05)-SUM(BY52:BZ52,CC52)&gt;0,(BZ52*Calculation!$AG$6/0.05)-SUM(BY52:BZ52,CC52),0),"-")</f>
        <v>-</v>
      </c>
      <c r="CB52" s="510" t="str">
        <f ca="1">IFERROR(5/50*CE52*(IF(LEFT(BV52,4)="Pool",IF(LEN(INDEX($BE$4:$BJ$99,MATCH(BV52,$BE$4:$BE$99,0),3))=10,2,IF(LEN(INDEX($BE$4:$BJ$99,MATCH(BV52,$BE$4:$BE$99,0),3))&gt;10,LEN(INDEX($BE$4:$BJ$99,MATCH(BV52,$BE$4:$BE$99,0),3))-8,1)),IF(INDEX(Calculation_Tab,MATCH(BV52,Identifier,0),10)&gt;1,INDEX(Calculation_Tab,MATCH(BV52,Identifier,0),10),1)))*(1+Calculation!$Q$6),"-")</f>
        <v>-</v>
      </c>
      <c r="CC52" s="508" t="str">
        <f ca="1">IFERROR(ROUND(INDEX(Cluster,MATCH(IF(LEFT(BV52,4)="Pool",INDEX(Cluster,MATCH(INDEX(Calculation_Tab,MATCH(INDEX($BE$4:$BJ$99,MATCH(BV52,$BE$4:$BE$99,0),3),Flow_Cell_Lane,0),3),Cluster!$F$29:$F$412,0),6),BV52),Identifier_Cluster,0),20)*IF(LEFT(BV52,4)="pool",IF(LEN(INDEX($BE$4:$BJ$99,MATCH(BV52,$BE$4:$BE$99,0),3))=10,2,IF(LEN(INDEX($BE$4:$BJ$99,MATCH(BV52,$BE$4:$BE$99,0),3))&gt;10,LEN(INDEX($BE$4:$BJ$99,MATCH(BV52,$BE$4:$BE$99,0),3))-8,1)),1)*IF(LEFT(BV52,4)="pool",IF(INDEX($BE$4:$BJ$99,MATCH(BV52,$BE$4:$BE$99,0),6)&lt;1,1,INDEX($BE$4:$BJ$99,MATCH(BV52,$BE$4:$BE$99,0),6)),INDEX(Calculation_Tab,MATCH(BV52,Identifier,0),10)),1)*(1+Calculation!$Q$6),"-")</f>
        <v>-</v>
      </c>
      <c r="CD52" s="509" t="str">
        <f ca="1">IFERROR(INDEX(Cluster!AC:AD,MATCH(IF(LEFT(BV52,4)="Pool",INDEX(Cluster!$D$29:$AA$412,MATCH(INDEX(Calculation_Tab,MATCH(INDEX($BE$4:$BJ$99,MATCH(BV52,$BE$4:$BE$99,0),3),Flow_Cell_Lane,0),3),Cluster!$F$29:$F$412,0),24),INDEX(Cluster!$D$29:$AA$412,MATCH(BV52,Cluster!$F$29:$F$412,0),24)),Cluster!AC:AC,0),2),"-")</f>
        <v>-</v>
      </c>
      <c r="CE52" s="378" t="str">
        <f ca="1">IFERROR(IF(BV52&lt;&gt;"-",Calculation!$AK$6,"-"),"-")</f>
        <v>-</v>
      </c>
      <c r="CF52" s="378" t="str">
        <f ca="1">IF(OR(LEFT(ListAndConversion!BW52,3)="Dil",LEFT(ListAndConversion!BW52,3)="Poo"),ListAndConversion!$BT$4,IF(LEFT(ListAndConversion!BW52,3)="Sou",INDEX(ListAndConversion!$AT$3:$AV$387,MATCH(ListAndConversion!BV52,ListAndConversion!$AV$3:$AV$387,0),1),"-"))</f>
        <v>-</v>
      </c>
      <c r="CG52" s="498" t="str">
        <f ca="1">IF(OR(LEFT(ListAndConversion!BW52,3)="Dil",LEFT(ListAndConversion!BW52,3)="Poo"),ListAndConversion!BU52,IF(LEFT(ListAndConversion!BW52,3)="Sou",INDEX(ListAndConversion!$AT$4:$AV$387,MATCH(ListAndConversion!BV52,ListAndConversion!$AV$4:$AV$387,0),2),"-"))</f>
        <v>-</v>
      </c>
      <c r="CH52" s="378"/>
      <c r="CI52" s="487" t="str">
        <f t="shared" ca="1" si="19"/>
        <v>-</v>
      </c>
      <c r="CJ52" s="378" t="str">
        <f t="shared" ca="1" si="37"/>
        <v>-</v>
      </c>
      <c r="CK52" s="378" t="str">
        <f t="shared" ca="1" si="37"/>
        <v>-</v>
      </c>
      <c r="CL52" s="378" t="str">
        <f t="shared" ca="1" si="37"/>
        <v>-</v>
      </c>
      <c r="CM52" s="378" t="str">
        <f t="shared" ca="1" si="37"/>
        <v>-</v>
      </c>
      <c r="CN52" s="378" t="str">
        <f t="shared" ca="1" si="37"/>
        <v>-</v>
      </c>
      <c r="CO52" s="378" t="str">
        <f t="shared" ca="1" si="37"/>
        <v>-</v>
      </c>
      <c r="CP52" s="378" t="str">
        <f t="shared" ca="1" si="37"/>
        <v>-</v>
      </c>
      <c r="CQ52" s="378" t="str">
        <f t="shared" ca="1" si="37"/>
        <v>-</v>
      </c>
      <c r="CR52" s="510" t="str">
        <f ca="1">IFERROR(IF(LEFT(BW52,3)="Poo",INDEX($BE$4:$BJ$99,MATCH(CI52,$BG$4:$BG$99,0),6)*((15/50))*Calculation!$AK$6,INDEX(Calculation_Tab,MATCH(BV52,Identifier,0),10)/(IF(LEN(INDEX(Calculation_Tab,MATCH(BV52,Identifier,0),9))&gt;8,LEN(INDEX(Calculation_Tab,MATCH(BV52,Identifier,0),9))-8,1))*((15/50)*Calculation!$AK$6)),"-")</f>
        <v>-</v>
      </c>
      <c r="CS52" s="498" t="str">
        <f ca="1">IF(CI52="-","-",IF(COUNTIF($CI$3:CI52,CI52)&gt;1,0,IFERROR((35/50)*Calculation!$AK$6,"-")))</f>
        <v>-</v>
      </c>
    </row>
    <row r="53" spans="4:97" x14ac:dyDescent="0.5">
      <c r="D53" s="487" t="e">
        <f t="shared" si="0"/>
        <v>#DIV/0!</v>
      </c>
      <c r="E53" s="496" t="e">
        <f t="array" ref="E53">IF(IF((ROW(E53)-3)&lt;(ListAndConversion!$A$15),INDEX(Flow_Cell_Lane,MIN(IF(COUNTIF($E$2:E52,Flow_Cell_Lane)=0,ROW(Flow_Cell_Lane)-9))),"-")="","-",IF((ROW(E53)-3)&lt;(ListAndConversion!$A$15),INDEX(Flow_Cell_Lane,MIN(IF(COUNTIF($E$2:E52,Flow_Cell_Lane)=0,ROW(Flow_Cell_Lane)-9))),"-"))</f>
        <v>#DIV/0!</v>
      </c>
      <c r="F53" s="378" t="e">
        <f t="shared" si="1"/>
        <v>#DIV/0!</v>
      </c>
      <c r="G53" s="378" t="e">
        <f t="shared" ref="G53:M62" si="39">IF($D53&gt;8,IF($D53&gt;=(8+G$2),CONCATENATE(LEFT($E53,7),RIGHT(LEFT($E53,8+G$2),1)),""),"")</f>
        <v>#DIV/0!</v>
      </c>
      <c r="H53" s="378" t="e">
        <f t="shared" si="39"/>
        <v>#DIV/0!</v>
      </c>
      <c r="I53" s="378" t="e">
        <f t="shared" si="39"/>
        <v>#DIV/0!</v>
      </c>
      <c r="J53" s="378" t="e">
        <f t="shared" si="39"/>
        <v>#DIV/0!</v>
      </c>
      <c r="K53" s="378" t="e">
        <f t="shared" si="39"/>
        <v>#DIV/0!</v>
      </c>
      <c r="L53" s="378" t="e">
        <f t="shared" si="39"/>
        <v>#DIV/0!</v>
      </c>
      <c r="M53" s="378" t="e">
        <f t="shared" si="39"/>
        <v>#DIV/0!</v>
      </c>
      <c r="N53" s="497" t="e">
        <f t="shared" si="3"/>
        <v>#DIV/0!</v>
      </c>
      <c r="O53" s="497" t="str">
        <f t="array" ref="O53">IFERROR(INDEX(Calculation!I:AN,MATCH(ListAndConversion!E53,Calculation!I:I,0),31),"-")</f>
        <v>-</v>
      </c>
      <c r="P53" s="498">
        <f>IF(COUNTIFS(Calculation!$I$10:$I$393,E53,Direct_Denaturation,"-")&lt;&gt;1,COUNTIFS(Calculation!$I$10:$I$393,E53,Direct_Denaturation,"-"),0)</f>
        <v>0</v>
      </c>
      <c r="Q53" s="378"/>
      <c r="R53" s="487" t="e">
        <f t="array" ref="R53">IF(IF((ROW(R53)-3)&lt;(Calculation!$H$6),INDEX(Flow_Cell,MIN(IF(COUNTIF($R$2:R52,Flow_Cell)=0,ROW(Flow_Cell)-9))),"-")="","-",IF((ROW(R53)-3)&lt;(Calculation!$H$6),INDEX(Flow_Cell,MIN(IF(COUNTIF($R$2:R52,Flow_Cell)=0,ROW(Flow_Cell)-9))),"-"))</f>
        <v>#DIV/0!</v>
      </c>
      <c r="S53" s="378" t="e">
        <f t="shared" si="38"/>
        <v>#DIV/0!</v>
      </c>
      <c r="T53" s="378">
        <v>3</v>
      </c>
      <c r="U53" s="498">
        <v>51</v>
      </c>
      <c r="V53" s="487">
        <v>50</v>
      </c>
      <c r="W53" s="497" t="s">
        <v>287</v>
      </c>
      <c r="X53" s="497" t="s">
        <v>387</v>
      </c>
      <c r="Y53" s="378">
        <v>50</v>
      </c>
      <c r="Z53" s="378" t="str">
        <f t="shared" ca="1" si="32"/>
        <v>-</v>
      </c>
      <c r="AA53" s="508" t="str">
        <f t="array" aca="1" ref="AA53" ca="1">IFERROR(INDEX(Calculation_Tab,SMALL(ROW(Sample_Intermediate_Dil)*(Sample_Intermediate_Dil&lt;&gt;"-"),COUNTIF(Sample_Intermediate_Dil,"-")+ROW()-3)-9,5),"-")</f>
        <v>-</v>
      </c>
      <c r="AB53" s="378" t="str">
        <f t="array" aca="1" ref="AB53" ca="1">IFERROR(INDEX($A$3:$B$12,MATCH(INDEX(Calculation_Tab,SMALL(ROW(Sample_Intermediate_Dil)*(Sample_Intermediate_Dil&lt;&gt;"-"),COUNTIF(Sample_Intermediate_Dil,"-")+ROW()-3)-9,5),$A$3:$A$12,0),2),"-")</f>
        <v>-</v>
      </c>
      <c r="AC53" s="509" t="str">
        <f t="array" aca="1" ref="AC53" ca="1">IFERROR(INDEX(Coordinate,MATCH(INDEX(Calculation_Tab,SMALL(ROW(Sample_Intermediate_Dil)*(Sample_Intermediate_Dil&lt;&gt;"-"),COUNTIF(Sample_Intermediate_Dil,"-")+ROW()-3)-9,6),$X$4:$X$99,0),2),"-")</f>
        <v>-</v>
      </c>
      <c r="AD53" s="510" t="str">
        <f t="array" aca="1" ref="AD53" ca="1">IFERROR(INDEX(Calculation_Tab,SMALL(ROW(Sample_Intermediate_Dil)*(Sample_Intermediate_Dil&lt;&gt;"-"),COUNTIF(Sample_Intermediate_Dil,"-")+ROW()-3)-9,24),"-")</f>
        <v>-</v>
      </c>
      <c r="AE53" s="510" t="str">
        <f t="array" aca="1" ref="AE53" ca="1">IFERROR(INDEX(Calculation_Tab,SMALL(ROW(Sample_Intermediate_Dil)*(Sample_Intermediate_Dil&lt;&gt;"-"),COUNTIF(Sample_Intermediate_Dil,"-")+ROW()-3)-9,25),"-")</f>
        <v>-</v>
      </c>
      <c r="AF53" s="510" t="str">
        <f t="array" aca="1" ref="AF53" ca="1">IFERROR(INDEX(Calculation_Tab,SMALL(ROW(Sample_Intermediate_Dil)*(Sample_Intermediate_Dil&lt;&gt;"-"),COUNTIF(Sample_Intermediate_Dil,"-")+ROW()-3)-9,26),"-")</f>
        <v>-</v>
      </c>
      <c r="AG53" s="511" t="str">
        <f t="array" aca="1" ref="AG53" ca="1">IFERROR(INDEX(Calculation_Tab,SMALL(ROW(Sample_Intermediate_Dil)*(Sample_Intermediate_Dil&lt;&gt;"-"),COUNTIF(Sample_Intermediate_Dil,"-")+ROW()-3)-9,27),"-")</f>
        <v>-</v>
      </c>
      <c r="AI53" s="487">
        <v>50</v>
      </c>
      <c r="AJ53" s="497" t="s">
        <v>160</v>
      </c>
      <c r="AK53" s="378">
        <v>50</v>
      </c>
      <c r="AL53" s="378" t="str">
        <f t="shared" ca="1" si="6"/>
        <v>-</v>
      </c>
      <c r="AM53" s="378" t="str">
        <f t="array" aca="1" ref="AM53" ca="1">IFERROR(IF(AI53&lt;=$AB$2,"-",INDEX(Calculation_Tab,SMALL(ROW(Main_Dil)*(Main_Dil&lt;&gt;"-"),COUNTIF(Main_Dil,"-")+ROW()-3-$AB$2)-9,5)),"-")</f>
        <v>-</v>
      </c>
      <c r="AN53" s="378" t="str">
        <f t="array" aca="1" ref="AN53" ca="1">IFERROR(IF(AI53&lt;=$AB$2,"-",INDEX($A$3:$B$12,MATCH(INDEX(Calculation_Tab,SMALL(ROW(Main_Dil)*(Main_Dil&lt;&gt;"-"),COUNTIF(Main_Dil,"-")+ROW()-3-$AB$2)-9,5),$A$3:$A$12,0),2)),"-")</f>
        <v>-</v>
      </c>
      <c r="AO53" s="378" t="str">
        <f t="array" aca="1" ref="AO53" ca="1">IFERROR(IF(AI53&lt;=$AB$2,"-",INDEX(Coordinate,MATCH(INDEX(Calculation_Tab,SMALL(ROW(Main_Dil)*(Main_Dil&lt;&gt;"-"),COUNTIF(Main_Dil,"-")+ROW()-3-$AB$2)-9,6),$X$4:$X$99,0),2)),"-")</f>
        <v>-</v>
      </c>
      <c r="AP53" s="510" t="str">
        <f t="array" aca="1" ref="AP53" ca="1">IFERROR(IF(AI53&lt;=$AB$2,"-",INDEX(Calculation_Tab,SMALL(ROW(Main_Dil)*(Main_Dil&lt;&gt;"-"),COUNTIF(Main_Dil,"-")+ROW()-3-$AB$2)-9,21)),"-")</f>
        <v>-</v>
      </c>
      <c r="AQ53" s="511" t="str">
        <f t="array" aca="1" ref="AQ53" ca="1">IFERROR(IF(AI53&lt;=$AB$2,"-",INDEX(Calculation_Tab,SMALL(ROW(Main_Dil)*(Main_Dil&lt;&gt;"-"),COUNTIF(Main_Dil,"-")+ROW()-3-$AB$2)-9,22)),"-")</f>
        <v>-</v>
      </c>
      <c r="AR53" s="487" t="str">
        <f t="shared" ca="1" si="7"/>
        <v>-</v>
      </c>
      <c r="AS53" s="378">
        <v>50</v>
      </c>
      <c r="AT53" s="497" t="s">
        <v>160</v>
      </c>
      <c r="AU53" s="498">
        <v>50</v>
      </c>
      <c r="AV53" s="378" t="str">
        <f t="shared" ca="1" si="8"/>
        <v>-</v>
      </c>
      <c r="AW53" s="378" t="str">
        <f t="array" aca="1" ref="AW53" ca="1">IFERROR(IF(AS53&lt;=$AB$2+$AN$2,"-",INDEX(Calculation_Tab,SMALL(ROW(Direct_Denaturation)*(Direct_Denaturation&lt;&gt;"-"),COUNTIF(Direct_Denaturation,"-")+ROW()-3-$AB$2-$AN$2)-9,5)),"-")</f>
        <v>-</v>
      </c>
      <c r="AX53" s="378" t="str">
        <f t="array" aca="1" ref="AX53" ca="1">IFERROR(IF(AS53&lt;=$AB$2+$AN$2,"-",INDEX($A$3:$B$12,MATCH(INDEX(Calculation_Tab,SMALL(ROW(Direct_Denaturation)*(Direct_Denaturation&lt;&gt;"-"),COUNTIF(Direct_Denaturation,"-")+ROW()-3-$AB$2-$AN$2)-9,5),$A$3:$A$12,0),2)),"-")</f>
        <v>-</v>
      </c>
      <c r="AY53" s="378" t="str">
        <f t="array" aca="1" ref="AY53" ca="1">IFERROR(IF(AS53&lt;=$AB$2+$AN$2,"-",INDEX(Coordinate,MATCH(INDEX(Calculation_Tab,SMALL(ROW(Direct_Denaturation)*(Direct_Denaturation&lt;&gt;"-"),COUNTIF(Direct_Denaturation,"-")+ROW()-3-$AB$2-$AN$2)-9,6),$X$4:$X$99,0),2)),"-")</f>
        <v>-</v>
      </c>
      <c r="AZ53" s="510" t="str">
        <f t="array" aca="1" ref="AZ53" ca="1">IFERROR(IF(AS53&lt;=$AB$2+$AN$2,"-",INDEX(Calculation_Tab,SMALL(ROW(Direct_Denaturation)*(Direct_Denaturation&lt;&gt;"-"),COUNTIF(Direct_Denaturation,"-")+ROW()-3-$AB$2-$AN$2)-9,32)),"-")</f>
        <v>-</v>
      </c>
      <c r="BA53" s="510" t="str">
        <f t="array" aca="1" ref="BA53" ca="1">IFERROR(IF(AS53&lt;=$AB$2+$AN$2,"-",INDEX(Calculation_Tab,SMALL(ROW(Direct_Denaturation)*(Direct_Denaturation&lt;&gt;"-"),COUNTIF(Direct_Denaturation,"-")+ROW()-3-$AB$2-$AN$2)-9,34)),"-")</f>
        <v>-</v>
      </c>
      <c r="BB53" s="510" t="str">
        <f t="array" aca="1" ref="BB53" ca="1">IFERROR(IF(AS53&lt;=$AB$2+$AN$2,"-",INDEX(Calculation_Tab,SMALL(ROW(Direct_Denaturation)*(Direct_Denaturation&lt;&gt;"-"),COUNTIF(Direct_Denaturation,"-")+ROW()-3-$AB$2-$AN$2)-9,33)),"-")</f>
        <v>-</v>
      </c>
      <c r="BC53" s="510" t="str">
        <f t="array" aca="1" ref="BC53" ca="1">IFERROR(IF(AS53&lt;=$AB$2+$AN$2,"-",INDEX(Calculation_Tab,SMALL(ROW(Direct_Denaturation)*(Direct_Denaturation&lt;&gt;"-"),COUNTIF(Direct_Denaturation,"-")+ROW()-3-$AB$2-$AN$2)-9,35)),"-")</f>
        <v>-</v>
      </c>
      <c r="BD53" s="511" t="str">
        <f t="shared" ca="1" si="9"/>
        <v>-</v>
      </c>
      <c r="BE53" s="494" t="s">
        <v>388</v>
      </c>
      <c r="BF53" s="378">
        <v>50</v>
      </c>
      <c r="BG53" s="515" t="str">
        <v>-</v>
      </c>
      <c r="BH53" s="516" t="str">
        <f>IFERROR(IF((Calculation!$AR$6/INDEX(ListAndConversion!D:P,MATCH(BG53,E:E,0),13))&lt;Calculation!$O$6,INDEX(ListAndConversion!D:P,MATCH(BG53,E:E,0),13)*Calculation!$O$6,Calculation!$AR$6),"-")</f>
        <v>-</v>
      </c>
      <c r="BI53" s="517" t="str">
        <f t="shared" si="33"/>
        <v>-</v>
      </c>
      <c r="BJ53" s="518" t="str">
        <f t="shared" si="34"/>
        <v>-</v>
      </c>
      <c r="BK53" s="378" t="s">
        <v>158</v>
      </c>
      <c r="BL53" s="378">
        <v>50</v>
      </c>
      <c r="BM53" s="487" t="str">
        <f t="array" aca="1" ref="BM53" ca="1">IFERROR(INDEX(Calculation_Tab,SMALL(ROW(ToPool)*(ToPool&lt;&gt;"-"),COUNTIF(ToPool,"-")+ROW()-3)-9,3),"-")</f>
        <v>-</v>
      </c>
      <c r="BN53" s="378" t="str">
        <f t="shared" ca="1" si="12"/>
        <v>-</v>
      </c>
      <c r="BO53" s="378" t="str">
        <f t="shared" ca="1" si="13"/>
        <v>-</v>
      </c>
      <c r="BP53" s="523" t="str">
        <f t="shared" ca="1" si="14"/>
        <v>-</v>
      </c>
      <c r="BQ53" s="378" t="str">
        <f t="array" aca="1" ref="BQ53" ca="1">IFERROR(INDEX(BE:BG,MATCH(INDEX(Calculation_Tab,SMALL(ROW(ToPool)*(ToPool&lt;&gt;"-"),COUNTIF(ToPool,"-")+ROW()-3)-9,9),BG:BG,0),2),"-")</f>
        <v>-</v>
      </c>
      <c r="BR53" s="510" t="str">
        <f t="shared" ca="1" si="15"/>
        <v>-</v>
      </c>
      <c r="BS53" s="511" t="str">
        <f t="shared" ca="1" si="16"/>
        <v>-</v>
      </c>
      <c r="BT53" s="378" t="s">
        <v>164</v>
      </c>
      <c r="BU53" s="487" t="str">
        <f t="shared" ca="1" si="21"/>
        <v>-</v>
      </c>
      <c r="BV53" s="487" t="str">
        <f t="array" aca="1" ref="BV5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53" s="378" t="str">
        <f t="shared" ca="1" si="17"/>
        <v>-</v>
      </c>
      <c r="BX53" s="378" t="str">
        <f t="shared" ca="1" si="18"/>
        <v>-</v>
      </c>
      <c r="BY53" s="510" t="str">
        <f ca="1">IFERROR(ROUND(INDEX(Cluster,MATCH(IF(LEFT(BV53,4)="Pool",INDEX(Cluster,MATCH(INDEX(Calculation_Tab,MATCH(INDEX($BE$4:$BJ$99,MATCH(BV53,$BE$4:$BE$99,0),3),Flow_Cell_Lane,0),3),Cluster!$F$29:$F$412,0),6),BV53),Identifier_Cluster,0),19)*IF(LEFT(BV53,4)="pool",IF(LEN(INDEX($BE$4:$BJ$99,MATCH(BV53,$BE$4:$BE$99,0),3))=10,2,IF(LEN(INDEX($BE$4:$BJ$99,MATCH(BV53,$BE$4:$BE$99,0),3))&gt;10,LEN(INDEX($BE$4:$BJ$99,MATCH(BV53,$BE$4:$BE$99,0),3))-8,1)),1)*IF(LEFT(BV53,4)="pool",IF(INDEX($BE$4:$BJ$99,MATCH(BV53,$BE$4:$BE$99,0),6)&lt;1,1,INDEX($BE$4:$BJ$99,MATCH(BV53,$BE$4:$BE$99,0),6)),INDEX(Calculation_Tab,MATCH(BV53,Identifier,0),10)),1)*(1+Calculation!$Q$6),"-")</f>
        <v>-</v>
      </c>
      <c r="BZ53" s="378" t="str">
        <f ca="1">IFERROR((0.5/50)*CE53/Calculation!$AG$6*(IF(LEFT(BV53,4)="Pool",IF(LEN(INDEX($BE$4:$BJ$99,MATCH(BV53,$BE$4:$BE$99,0),3))=10,2,IF(LEN(INDEX($BE$4:$BJ$99,MATCH(BV53,$BE$4:$BE$99,0),3))&gt;10,LEN(INDEX($BE$4:$BJ$99,MATCH(BV53,$BE$4:$BE$99,0),3))-8,1)),IF(INDEX(Calculation_Tab,MATCH(BV53,Identifier,0),10)&gt;1,INDEX(Calculation_Tab,MATCH(BV53,Identifier,0),10),1)))*(1+Calculation!$Q$6),"-")</f>
        <v>-</v>
      </c>
      <c r="CA53" s="510" t="str">
        <f ca="1">IFERROR(IF((BZ53*Calculation!$AG$6/0.05)-SUM(BY53:BZ53,CC53)&gt;0,(BZ53*Calculation!$AG$6/0.05)-SUM(BY53:BZ53,CC53),0),"-")</f>
        <v>-</v>
      </c>
      <c r="CB53" s="510" t="str">
        <f ca="1">IFERROR(5/50*CE53*(IF(LEFT(BV53,4)="Pool",IF(LEN(INDEX($BE$4:$BJ$99,MATCH(BV53,$BE$4:$BE$99,0),3))=10,2,IF(LEN(INDEX($BE$4:$BJ$99,MATCH(BV53,$BE$4:$BE$99,0),3))&gt;10,LEN(INDEX($BE$4:$BJ$99,MATCH(BV53,$BE$4:$BE$99,0),3))-8,1)),IF(INDEX(Calculation_Tab,MATCH(BV53,Identifier,0),10)&gt;1,INDEX(Calculation_Tab,MATCH(BV53,Identifier,0),10),1)))*(1+Calculation!$Q$6),"-")</f>
        <v>-</v>
      </c>
      <c r="CC53" s="508" t="str">
        <f ca="1">IFERROR(ROUND(INDEX(Cluster,MATCH(IF(LEFT(BV53,4)="Pool",INDEX(Cluster,MATCH(INDEX(Calculation_Tab,MATCH(INDEX($BE$4:$BJ$99,MATCH(BV53,$BE$4:$BE$99,0),3),Flow_Cell_Lane,0),3),Cluster!$F$29:$F$412,0),6),BV53),Identifier_Cluster,0),20)*IF(LEFT(BV53,4)="pool",IF(LEN(INDEX($BE$4:$BJ$99,MATCH(BV53,$BE$4:$BE$99,0),3))=10,2,IF(LEN(INDEX($BE$4:$BJ$99,MATCH(BV53,$BE$4:$BE$99,0),3))&gt;10,LEN(INDEX($BE$4:$BJ$99,MATCH(BV53,$BE$4:$BE$99,0),3))-8,1)),1)*IF(LEFT(BV53,4)="pool",IF(INDEX($BE$4:$BJ$99,MATCH(BV53,$BE$4:$BE$99,0),6)&lt;1,1,INDEX($BE$4:$BJ$99,MATCH(BV53,$BE$4:$BE$99,0),6)),INDEX(Calculation_Tab,MATCH(BV53,Identifier,0),10)),1)*(1+Calculation!$Q$6),"-")</f>
        <v>-</v>
      </c>
      <c r="CD53" s="509" t="str">
        <f ca="1">IFERROR(INDEX(Cluster!AC:AD,MATCH(IF(LEFT(BV53,4)="Pool",INDEX(Cluster!$D$29:$AA$412,MATCH(INDEX(Calculation_Tab,MATCH(INDEX($BE$4:$BJ$99,MATCH(BV53,$BE$4:$BE$99,0),3),Flow_Cell_Lane,0),3),Cluster!$F$29:$F$412,0),24),INDEX(Cluster!$D$29:$AA$412,MATCH(BV53,Cluster!$F$29:$F$412,0),24)),Cluster!AC:AC,0),2),"-")</f>
        <v>-</v>
      </c>
      <c r="CE53" s="378" t="str">
        <f ca="1">IFERROR(IF(BV53&lt;&gt;"-",Calculation!$AK$6,"-"),"-")</f>
        <v>-</v>
      </c>
      <c r="CF53" s="378" t="str">
        <f ca="1">IF(OR(LEFT(ListAndConversion!BW53,3)="Dil",LEFT(ListAndConversion!BW53,3)="Poo"),ListAndConversion!$BT$4,IF(LEFT(ListAndConversion!BW53,3)="Sou",INDEX(ListAndConversion!$AT$3:$AV$387,MATCH(ListAndConversion!BV53,ListAndConversion!$AV$3:$AV$387,0),1),"-"))</f>
        <v>-</v>
      </c>
      <c r="CG53" s="498" t="str">
        <f ca="1">IF(OR(LEFT(ListAndConversion!BW53,3)="Dil",LEFT(ListAndConversion!BW53,3)="Poo"),ListAndConversion!BU53,IF(LEFT(ListAndConversion!BW53,3)="Sou",INDEX(ListAndConversion!$AT$4:$AV$387,MATCH(ListAndConversion!BV53,ListAndConversion!$AV$4:$AV$387,0),2),"-"))</f>
        <v>-</v>
      </c>
      <c r="CH53" s="378"/>
      <c r="CI53" s="487" t="str">
        <f t="shared" ca="1" si="19"/>
        <v>-</v>
      </c>
      <c r="CJ53" s="378" t="str">
        <f t="shared" ca="1" si="37"/>
        <v>-</v>
      </c>
      <c r="CK53" s="378" t="str">
        <f t="shared" ca="1" si="37"/>
        <v>-</v>
      </c>
      <c r="CL53" s="378" t="str">
        <f t="shared" ca="1" si="37"/>
        <v>-</v>
      </c>
      <c r="CM53" s="378" t="str">
        <f t="shared" ca="1" si="37"/>
        <v>-</v>
      </c>
      <c r="CN53" s="378" t="str">
        <f t="shared" ca="1" si="37"/>
        <v>-</v>
      </c>
      <c r="CO53" s="378" t="str">
        <f t="shared" ca="1" si="37"/>
        <v>-</v>
      </c>
      <c r="CP53" s="378" t="str">
        <f t="shared" ca="1" si="37"/>
        <v>-</v>
      </c>
      <c r="CQ53" s="378" t="str">
        <f t="shared" ca="1" si="37"/>
        <v>-</v>
      </c>
      <c r="CR53" s="510" t="str">
        <f ca="1">IFERROR(IF(LEFT(BW53,3)="Poo",INDEX($BE$4:$BJ$99,MATCH(CI53,$BG$4:$BG$99,0),6)*((15/50))*Calculation!$AK$6,INDEX(Calculation_Tab,MATCH(BV53,Identifier,0),10)/(IF(LEN(INDEX(Calculation_Tab,MATCH(BV53,Identifier,0),9))&gt;8,LEN(INDEX(Calculation_Tab,MATCH(BV53,Identifier,0),9))-8,1))*((15/50)*Calculation!$AK$6)),"-")</f>
        <v>-</v>
      </c>
      <c r="CS53" s="498" t="str">
        <f ca="1">IF(CI53="-","-",IF(COUNTIF($CI$3:CI53,CI53)&gt;1,0,IFERROR((35/50)*Calculation!$AK$6,"-")))</f>
        <v>-</v>
      </c>
    </row>
    <row r="54" spans="4:97" x14ac:dyDescent="0.5">
      <c r="D54" s="487" t="e">
        <f t="shared" si="0"/>
        <v>#DIV/0!</v>
      </c>
      <c r="E54" s="496" t="e">
        <f t="array" ref="E54">IF(IF((ROW(E54)-3)&lt;(ListAndConversion!$A$15),INDEX(Flow_Cell_Lane,MIN(IF(COUNTIF($E$2:E53,Flow_Cell_Lane)=0,ROW(Flow_Cell_Lane)-9))),"-")="","-",IF((ROW(E54)-3)&lt;(ListAndConversion!$A$15),INDEX(Flow_Cell_Lane,MIN(IF(COUNTIF($E$2:E53,Flow_Cell_Lane)=0,ROW(Flow_Cell_Lane)-9))),"-"))</f>
        <v>#DIV/0!</v>
      </c>
      <c r="F54" s="378" t="e">
        <f t="shared" si="1"/>
        <v>#DIV/0!</v>
      </c>
      <c r="G54" s="378" t="e">
        <f t="shared" si="39"/>
        <v>#DIV/0!</v>
      </c>
      <c r="H54" s="378" t="e">
        <f t="shared" si="39"/>
        <v>#DIV/0!</v>
      </c>
      <c r="I54" s="378" t="e">
        <f t="shared" si="39"/>
        <v>#DIV/0!</v>
      </c>
      <c r="J54" s="378" t="e">
        <f t="shared" si="39"/>
        <v>#DIV/0!</v>
      </c>
      <c r="K54" s="378" t="e">
        <f t="shared" si="39"/>
        <v>#DIV/0!</v>
      </c>
      <c r="L54" s="378" t="e">
        <f t="shared" si="39"/>
        <v>#DIV/0!</v>
      </c>
      <c r="M54" s="378" t="e">
        <f t="shared" si="39"/>
        <v>#DIV/0!</v>
      </c>
      <c r="N54" s="497" t="e">
        <f t="shared" si="3"/>
        <v>#DIV/0!</v>
      </c>
      <c r="O54" s="497" t="str">
        <f t="array" ref="O54">IFERROR(INDEX(Calculation!I:AN,MATCH(ListAndConversion!E54,Calculation!I:I,0),31),"-")</f>
        <v>-</v>
      </c>
      <c r="P54" s="498">
        <f>IF(COUNTIFS(Calculation!$I$10:$I$393,E54,Direct_Denaturation,"-")&lt;&gt;1,COUNTIFS(Calculation!$I$10:$I$393,E54,Direct_Denaturation,"-"),0)</f>
        <v>0</v>
      </c>
      <c r="Q54" s="378"/>
      <c r="R54" s="487" t="e">
        <f t="array" ref="R54">IF(IF((ROW(R54)-3)&lt;(Calculation!$H$6),INDEX(Flow_Cell,MIN(IF(COUNTIF($R$2:R53,Flow_Cell)=0,ROW(Flow_Cell)-9))),"-")="","-",IF((ROW(R54)-3)&lt;(Calculation!$H$6),INDEX(Flow_Cell,MIN(IF(COUNTIF($R$2:R53,Flow_Cell)=0,ROW(Flow_Cell)-9))),"-"))</f>
        <v>#DIV/0!</v>
      </c>
      <c r="S54" s="378" t="e">
        <f t="shared" si="38"/>
        <v>#DIV/0!</v>
      </c>
      <c r="T54" s="378">
        <v>4</v>
      </c>
      <c r="U54" s="498">
        <v>52</v>
      </c>
      <c r="V54" s="487">
        <v>51</v>
      </c>
      <c r="W54" s="497" t="s">
        <v>287</v>
      </c>
      <c r="X54" s="497" t="s">
        <v>22</v>
      </c>
      <c r="Y54" s="378">
        <v>51</v>
      </c>
      <c r="Z54" s="378" t="str">
        <f t="shared" ca="1" si="32"/>
        <v>-</v>
      </c>
      <c r="AA54" s="508" t="str">
        <f t="array" aca="1" ref="AA54" ca="1">IFERROR(INDEX(Calculation_Tab,SMALL(ROW(Sample_Intermediate_Dil)*(Sample_Intermediate_Dil&lt;&gt;"-"),COUNTIF(Sample_Intermediate_Dil,"-")+ROW()-3)-9,5),"-")</f>
        <v>-</v>
      </c>
      <c r="AB54" s="378" t="str">
        <f t="array" aca="1" ref="AB54" ca="1">IFERROR(INDEX($A$3:$B$12,MATCH(INDEX(Calculation_Tab,SMALL(ROW(Sample_Intermediate_Dil)*(Sample_Intermediate_Dil&lt;&gt;"-"),COUNTIF(Sample_Intermediate_Dil,"-")+ROW()-3)-9,5),$A$3:$A$12,0),2),"-")</f>
        <v>-</v>
      </c>
      <c r="AC54" s="509" t="str">
        <f t="array" aca="1" ref="AC54" ca="1">IFERROR(INDEX(Coordinate,MATCH(INDEX(Calculation_Tab,SMALL(ROW(Sample_Intermediate_Dil)*(Sample_Intermediate_Dil&lt;&gt;"-"),COUNTIF(Sample_Intermediate_Dil,"-")+ROW()-3)-9,6),$X$4:$X$99,0),2),"-")</f>
        <v>-</v>
      </c>
      <c r="AD54" s="510" t="str">
        <f t="array" aca="1" ref="AD54" ca="1">IFERROR(INDEX(Calculation_Tab,SMALL(ROW(Sample_Intermediate_Dil)*(Sample_Intermediate_Dil&lt;&gt;"-"),COUNTIF(Sample_Intermediate_Dil,"-")+ROW()-3)-9,24),"-")</f>
        <v>-</v>
      </c>
      <c r="AE54" s="510" t="str">
        <f t="array" aca="1" ref="AE54" ca="1">IFERROR(INDEX(Calculation_Tab,SMALL(ROW(Sample_Intermediate_Dil)*(Sample_Intermediate_Dil&lt;&gt;"-"),COUNTIF(Sample_Intermediate_Dil,"-")+ROW()-3)-9,25),"-")</f>
        <v>-</v>
      </c>
      <c r="AF54" s="510" t="str">
        <f t="array" aca="1" ref="AF54" ca="1">IFERROR(INDEX(Calculation_Tab,SMALL(ROW(Sample_Intermediate_Dil)*(Sample_Intermediate_Dil&lt;&gt;"-"),COUNTIF(Sample_Intermediate_Dil,"-")+ROW()-3)-9,26),"-")</f>
        <v>-</v>
      </c>
      <c r="AG54" s="511" t="str">
        <f t="array" aca="1" ref="AG54" ca="1">IFERROR(INDEX(Calculation_Tab,SMALL(ROW(Sample_Intermediate_Dil)*(Sample_Intermediate_Dil&lt;&gt;"-"),COUNTIF(Sample_Intermediate_Dil,"-")+ROW()-3)-9,27),"-")</f>
        <v>-</v>
      </c>
      <c r="AI54" s="487">
        <v>51</v>
      </c>
      <c r="AJ54" s="497" t="s">
        <v>160</v>
      </c>
      <c r="AK54" s="378">
        <v>51</v>
      </c>
      <c r="AL54" s="378" t="str">
        <f t="shared" ca="1" si="6"/>
        <v>-</v>
      </c>
      <c r="AM54" s="378" t="str">
        <f t="array" aca="1" ref="AM54" ca="1">IFERROR(IF(AI54&lt;=$AB$2,"-",INDEX(Calculation_Tab,SMALL(ROW(Main_Dil)*(Main_Dil&lt;&gt;"-"),COUNTIF(Main_Dil,"-")+ROW()-3-$AB$2)-9,5)),"-")</f>
        <v>-</v>
      </c>
      <c r="AN54" s="378" t="str">
        <f t="array" aca="1" ref="AN54" ca="1">IFERROR(IF(AI54&lt;=$AB$2,"-",INDEX($A$3:$B$12,MATCH(INDEX(Calculation_Tab,SMALL(ROW(Main_Dil)*(Main_Dil&lt;&gt;"-"),COUNTIF(Main_Dil,"-")+ROW()-3-$AB$2)-9,5),$A$3:$A$12,0),2)),"-")</f>
        <v>-</v>
      </c>
      <c r="AO54" s="378" t="str">
        <f t="array" aca="1" ref="AO54" ca="1">IFERROR(IF(AI54&lt;=$AB$2,"-",INDEX(Coordinate,MATCH(INDEX(Calculation_Tab,SMALL(ROW(Main_Dil)*(Main_Dil&lt;&gt;"-"),COUNTIF(Main_Dil,"-")+ROW()-3-$AB$2)-9,6),$X$4:$X$99,0),2)),"-")</f>
        <v>-</v>
      </c>
      <c r="AP54" s="510" t="str">
        <f t="array" aca="1" ref="AP54" ca="1">IFERROR(IF(AI54&lt;=$AB$2,"-",INDEX(Calculation_Tab,SMALL(ROW(Main_Dil)*(Main_Dil&lt;&gt;"-"),COUNTIF(Main_Dil,"-")+ROW()-3-$AB$2)-9,21)),"-")</f>
        <v>-</v>
      </c>
      <c r="AQ54" s="511" t="str">
        <f t="array" aca="1" ref="AQ54" ca="1">IFERROR(IF(AI54&lt;=$AB$2,"-",INDEX(Calculation_Tab,SMALL(ROW(Main_Dil)*(Main_Dil&lt;&gt;"-"),COUNTIF(Main_Dil,"-")+ROW()-3-$AB$2)-9,22)),"-")</f>
        <v>-</v>
      </c>
      <c r="AR54" s="487" t="str">
        <f t="shared" ca="1" si="7"/>
        <v>-</v>
      </c>
      <c r="AS54" s="378">
        <v>51</v>
      </c>
      <c r="AT54" s="497" t="s">
        <v>160</v>
      </c>
      <c r="AU54" s="498">
        <v>51</v>
      </c>
      <c r="AV54" s="378" t="str">
        <f t="shared" ca="1" si="8"/>
        <v>-</v>
      </c>
      <c r="AW54" s="378" t="str">
        <f t="array" aca="1" ref="AW54" ca="1">IFERROR(IF(AS54&lt;=$AB$2+$AN$2,"-",INDEX(Calculation_Tab,SMALL(ROW(Direct_Denaturation)*(Direct_Denaturation&lt;&gt;"-"),COUNTIF(Direct_Denaturation,"-")+ROW()-3-$AB$2-$AN$2)-9,5)),"-")</f>
        <v>-</v>
      </c>
      <c r="AX54" s="378" t="str">
        <f t="array" aca="1" ref="AX54" ca="1">IFERROR(IF(AS54&lt;=$AB$2+$AN$2,"-",INDEX($A$3:$B$12,MATCH(INDEX(Calculation_Tab,SMALL(ROW(Direct_Denaturation)*(Direct_Denaturation&lt;&gt;"-"),COUNTIF(Direct_Denaturation,"-")+ROW()-3-$AB$2-$AN$2)-9,5),$A$3:$A$12,0),2)),"-")</f>
        <v>-</v>
      </c>
      <c r="AY54" s="378" t="str">
        <f t="array" aca="1" ref="AY54" ca="1">IFERROR(IF(AS54&lt;=$AB$2+$AN$2,"-",INDEX(Coordinate,MATCH(INDEX(Calculation_Tab,SMALL(ROW(Direct_Denaturation)*(Direct_Denaturation&lt;&gt;"-"),COUNTIF(Direct_Denaturation,"-")+ROW()-3-$AB$2-$AN$2)-9,6),$X$4:$X$99,0),2)),"-")</f>
        <v>-</v>
      </c>
      <c r="AZ54" s="510" t="str">
        <f t="array" aca="1" ref="AZ54" ca="1">IFERROR(IF(AS54&lt;=$AB$2+$AN$2,"-",INDEX(Calculation_Tab,SMALL(ROW(Direct_Denaturation)*(Direct_Denaturation&lt;&gt;"-"),COUNTIF(Direct_Denaturation,"-")+ROW()-3-$AB$2-$AN$2)-9,32)),"-")</f>
        <v>-</v>
      </c>
      <c r="BA54" s="510" t="str">
        <f t="array" aca="1" ref="BA54" ca="1">IFERROR(IF(AS54&lt;=$AB$2+$AN$2,"-",INDEX(Calculation_Tab,SMALL(ROW(Direct_Denaturation)*(Direct_Denaturation&lt;&gt;"-"),COUNTIF(Direct_Denaturation,"-")+ROW()-3-$AB$2-$AN$2)-9,34)),"-")</f>
        <v>-</v>
      </c>
      <c r="BB54" s="510" t="str">
        <f t="array" aca="1" ref="BB54" ca="1">IFERROR(IF(AS54&lt;=$AB$2+$AN$2,"-",INDEX(Calculation_Tab,SMALL(ROW(Direct_Denaturation)*(Direct_Denaturation&lt;&gt;"-"),COUNTIF(Direct_Denaturation,"-")+ROW()-3-$AB$2-$AN$2)-9,33)),"-")</f>
        <v>-</v>
      </c>
      <c r="BC54" s="510" t="str">
        <f t="array" aca="1" ref="BC54" ca="1">IFERROR(IF(AS54&lt;=$AB$2+$AN$2,"-",INDEX(Calculation_Tab,SMALL(ROW(Direct_Denaturation)*(Direct_Denaturation&lt;&gt;"-"),COUNTIF(Direct_Denaturation,"-")+ROW()-3-$AB$2-$AN$2)-9,35)),"-")</f>
        <v>-</v>
      </c>
      <c r="BD54" s="511" t="str">
        <f t="shared" ca="1" si="9"/>
        <v>-</v>
      </c>
      <c r="BE54" s="494" t="s">
        <v>389</v>
      </c>
      <c r="BF54" s="378">
        <v>51</v>
      </c>
      <c r="BG54" s="515" t="str">
        <v>-</v>
      </c>
      <c r="BH54" s="516" t="str">
        <f>IFERROR(IF((Calculation!$AR$6/INDEX(ListAndConversion!D:P,MATCH(BG54,E:E,0),13))&lt;Calculation!$O$6,INDEX(ListAndConversion!D:P,MATCH(BG54,E:E,0),13)*Calculation!$O$6,Calculation!$AR$6),"-")</f>
        <v>-</v>
      </c>
      <c r="BI54" s="517" t="str">
        <f t="shared" si="33"/>
        <v>-</v>
      </c>
      <c r="BJ54" s="518" t="str">
        <f t="shared" si="34"/>
        <v>-</v>
      </c>
      <c r="BK54" s="378" t="s">
        <v>158</v>
      </c>
      <c r="BL54" s="378">
        <v>51</v>
      </c>
      <c r="BM54" s="487" t="str">
        <f t="array" aca="1" ref="BM54" ca="1">IFERROR(INDEX(Calculation_Tab,SMALL(ROW(ToPool)*(ToPool&lt;&gt;"-"),COUNTIF(ToPool,"-")+ROW()-3)-9,3),"-")</f>
        <v>-</v>
      </c>
      <c r="BN54" s="378" t="str">
        <f t="shared" ca="1" si="12"/>
        <v>-</v>
      </c>
      <c r="BO54" s="378" t="str">
        <f t="shared" ca="1" si="13"/>
        <v>-</v>
      </c>
      <c r="BP54" s="523" t="str">
        <f t="shared" ca="1" si="14"/>
        <v>-</v>
      </c>
      <c r="BQ54" s="378" t="str">
        <f t="array" aca="1" ref="BQ54" ca="1">IFERROR(INDEX(BE:BG,MATCH(INDEX(Calculation_Tab,SMALL(ROW(ToPool)*(ToPool&lt;&gt;"-"),COUNTIF(ToPool,"-")+ROW()-3)-9,9),BG:BG,0),2),"-")</f>
        <v>-</v>
      </c>
      <c r="BR54" s="510" t="str">
        <f t="shared" ca="1" si="15"/>
        <v>-</v>
      </c>
      <c r="BS54" s="511" t="str">
        <f t="shared" ca="1" si="16"/>
        <v>-</v>
      </c>
      <c r="BT54" s="378" t="s">
        <v>164</v>
      </c>
      <c r="BU54" s="487" t="str">
        <f t="shared" ca="1" si="21"/>
        <v>-</v>
      </c>
      <c r="BV54" s="487" t="str">
        <f t="array" aca="1" ref="BV5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54" s="378" t="str">
        <f t="shared" ca="1" si="17"/>
        <v>-</v>
      </c>
      <c r="BX54" s="378" t="str">
        <f t="shared" ca="1" si="18"/>
        <v>-</v>
      </c>
      <c r="BY54" s="510" t="str">
        <f ca="1">IFERROR(ROUND(INDEX(Cluster,MATCH(IF(LEFT(BV54,4)="Pool",INDEX(Cluster,MATCH(INDEX(Calculation_Tab,MATCH(INDEX($BE$4:$BJ$99,MATCH(BV54,$BE$4:$BE$99,0),3),Flow_Cell_Lane,0),3),Cluster!$F$29:$F$412,0),6),BV54),Identifier_Cluster,0),19)*IF(LEFT(BV54,4)="pool",IF(LEN(INDEX($BE$4:$BJ$99,MATCH(BV54,$BE$4:$BE$99,0),3))=10,2,IF(LEN(INDEX($BE$4:$BJ$99,MATCH(BV54,$BE$4:$BE$99,0),3))&gt;10,LEN(INDEX($BE$4:$BJ$99,MATCH(BV54,$BE$4:$BE$99,0),3))-8,1)),1)*IF(LEFT(BV54,4)="pool",IF(INDEX($BE$4:$BJ$99,MATCH(BV54,$BE$4:$BE$99,0),6)&lt;1,1,INDEX($BE$4:$BJ$99,MATCH(BV54,$BE$4:$BE$99,0),6)),INDEX(Calculation_Tab,MATCH(BV54,Identifier,0),10)),1)*(1+Calculation!$Q$6),"-")</f>
        <v>-</v>
      </c>
      <c r="BZ54" s="378" t="str">
        <f ca="1">IFERROR((0.5/50)*CE54/Calculation!$AG$6*(IF(LEFT(BV54,4)="Pool",IF(LEN(INDEX($BE$4:$BJ$99,MATCH(BV54,$BE$4:$BE$99,0),3))=10,2,IF(LEN(INDEX($BE$4:$BJ$99,MATCH(BV54,$BE$4:$BE$99,0),3))&gt;10,LEN(INDEX($BE$4:$BJ$99,MATCH(BV54,$BE$4:$BE$99,0),3))-8,1)),IF(INDEX(Calculation_Tab,MATCH(BV54,Identifier,0),10)&gt;1,INDEX(Calculation_Tab,MATCH(BV54,Identifier,0),10),1)))*(1+Calculation!$Q$6),"-")</f>
        <v>-</v>
      </c>
      <c r="CA54" s="510" t="str">
        <f ca="1">IFERROR(IF((BZ54*Calculation!$AG$6/0.05)-SUM(BY54:BZ54,CC54)&gt;0,(BZ54*Calculation!$AG$6/0.05)-SUM(BY54:BZ54,CC54),0),"-")</f>
        <v>-</v>
      </c>
      <c r="CB54" s="510" t="str">
        <f ca="1">IFERROR(5/50*CE54*(IF(LEFT(BV54,4)="Pool",IF(LEN(INDEX($BE$4:$BJ$99,MATCH(BV54,$BE$4:$BE$99,0),3))=10,2,IF(LEN(INDEX($BE$4:$BJ$99,MATCH(BV54,$BE$4:$BE$99,0),3))&gt;10,LEN(INDEX($BE$4:$BJ$99,MATCH(BV54,$BE$4:$BE$99,0),3))-8,1)),IF(INDEX(Calculation_Tab,MATCH(BV54,Identifier,0),10)&gt;1,INDEX(Calculation_Tab,MATCH(BV54,Identifier,0),10),1)))*(1+Calculation!$Q$6),"-")</f>
        <v>-</v>
      </c>
      <c r="CC54" s="508" t="str">
        <f ca="1">IFERROR(ROUND(INDEX(Cluster,MATCH(IF(LEFT(BV54,4)="Pool",INDEX(Cluster,MATCH(INDEX(Calculation_Tab,MATCH(INDEX($BE$4:$BJ$99,MATCH(BV54,$BE$4:$BE$99,0),3),Flow_Cell_Lane,0),3),Cluster!$F$29:$F$412,0),6),BV54),Identifier_Cluster,0),20)*IF(LEFT(BV54,4)="pool",IF(LEN(INDEX($BE$4:$BJ$99,MATCH(BV54,$BE$4:$BE$99,0),3))=10,2,IF(LEN(INDEX($BE$4:$BJ$99,MATCH(BV54,$BE$4:$BE$99,0),3))&gt;10,LEN(INDEX($BE$4:$BJ$99,MATCH(BV54,$BE$4:$BE$99,0),3))-8,1)),1)*IF(LEFT(BV54,4)="pool",IF(INDEX($BE$4:$BJ$99,MATCH(BV54,$BE$4:$BE$99,0),6)&lt;1,1,INDEX($BE$4:$BJ$99,MATCH(BV54,$BE$4:$BE$99,0),6)),INDEX(Calculation_Tab,MATCH(BV54,Identifier,0),10)),1)*(1+Calculation!$Q$6),"-")</f>
        <v>-</v>
      </c>
      <c r="CD54" s="509" t="str">
        <f ca="1">IFERROR(INDEX(Cluster!AC:AD,MATCH(IF(LEFT(BV54,4)="Pool",INDEX(Cluster!$D$29:$AA$412,MATCH(INDEX(Calculation_Tab,MATCH(INDEX($BE$4:$BJ$99,MATCH(BV54,$BE$4:$BE$99,0),3),Flow_Cell_Lane,0),3),Cluster!$F$29:$F$412,0),24),INDEX(Cluster!$D$29:$AA$412,MATCH(BV54,Cluster!$F$29:$F$412,0),24)),Cluster!AC:AC,0),2),"-")</f>
        <v>-</v>
      </c>
      <c r="CE54" s="378" t="str">
        <f ca="1">IFERROR(IF(BV54&lt;&gt;"-",Calculation!$AK$6,"-"),"-")</f>
        <v>-</v>
      </c>
      <c r="CF54" s="378" t="str">
        <f ca="1">IF(OR(LEFT(ListAndConversion!BW54,3)="Dil",LEFT(ListAndConversion!BW54,3)="Poo"),ListAndConversion!$BT$4,IF(LEFT(ListAndConversion!BW54,3)="Sou",INDEX(ListAndConversion!$AT$3:$AV$387,MATCH(ListAndConversion!BV54,ListAndConversion!$AV$3:$AV$387,0),1),"-"))</f>
        <v>-</v>
      </c>
      <c r="CG54" s="498" t="str">
        <f ca="1">IF(OR(LEFT(ListAndConversion!BW54,3)="Dil",LEFT(ListAndConversion!BW54,3)="Poo"),ListAndConversion!BU54,IF(LEFT(ListAndConversion!BW54,3)="Sou",INDEX(ListAndConversion!$AT$4:$AV$387,MATCH(ListAndConversion!BV54,ListAndConversion!$AV$4:$AV$387,0),2),"-"))</f>
        <v>-</v>
      </c>
      <c r="CH54" s="378"/>
      <c r="CI54" s="487" t="str">
        <f t="shared" ca="1" si="19"/>
        <v>-</v>
      </c>
      <c r="CJ54" s="378" t="str">
        <f t="shared" ref="CJ54:CQ63" ca="1" si="40">IFERROR(INDEX($R$3:$U$98,MATCH(INDEX($F$3:$M$387,MATCH($CI54,$E$3:$E$386,0),CJ$3),$S$3:$S$98,0),4),"-")</f>
        <v>-</v>
      </c>
      <c r="CK54" s="378" t="str">
        <f t="shared" ca="1" si="40"/>
        <v>-</v>
      </c>
      <c r="CL54" s="378" t="str">
        <f t="shared" ca="1" si="40"/>
        <v>-</v>
      </c>
      <c r="CM54" s="378" t="str">
        <f t="shared" ca="1" si="40"/>
        <v>-</v>
      </c>
      <c r="CN54" s="378" t="str">
        <f t="shared" ca="1" si="40"/>
        <v>-</v>
      </c>
      <c r="CO54" s="378" t="str">
        <f t="shared" ca="1" si="40"/>
        <v>-</v>
      </c>
      <c r="CP54" s="378" t="str">
        <f t="shared" ca="1" si="40"/>
        <v>-</v>
      </c>
      <c r="CQ54" s="378" t="str">
        <f t="shared" ca="1" si="40"/>
        <v>-</v>
      </c>
      <c r="CR54" s="510" t="str">
        <f ca="1">IFERROR(IF(LEFT(BW54,3)="Poo",INDEX($BE$4:$BJ$99,MATCH(CI54,$BG$4:$BG$99,0),6)*((15/50))*Calculation!$AK$6,INDEX(Calculation_Tab,MATCH(BV54,Identifier,0),10)/(IF(LEN(INDEX(Calculation_Tab,MATCH(BV54,Identifier,0),9))&gt;8,LEN(INDEX(Calculation_Tab,MATCH(BV54,Identifier,0),9))-8,1))*((15/50)*Calculation!$AK$6)),"-")</f>
        <v>-</v>
      </c>
      <c r="CS54" s="498" t="str">
        <f ca="1">IF(CI54="-","-",IF(COUNTIF($CI$3:CI54,CI54)&gt;1,0,IFERROR((35/50)*Calculation!$AK$6,"-")))</f>
        <v>-</v>
      </c>
    </row>
    <row r="55" spans="4:97" x14ac:dyDescent="0.5">
      <c r="D55" s="487" t="e">
        <f t="shared" si="0"/>
        <v>#DIV/0!</v>
      </c>
      <c r="E55" s="496" t="e">
        <f t="array" ref="E55">IF(IF((ROW(E55)-3)&lt;(ListAndConversion!$A$15),INDEX(Flow_Cell_Lane,MIN(IF(COUNTIF($E$2:E54,Flow_Cell_Lane)=0,ROW(Flow_Cell_Lane)-9))),"-")="","-",IF((ROW(E55)-3)&lt;(ListAndConversion!$A$15),INDEX(Flow_Cell_Lane,MIN(IF(COUNTIF($E$2:E54,Flow_Cell_Lane)=0,ROW(Flow_Cell_Lane)-9))),"-"))</f>
        <v>#DIV/0!</v>
      </c>
      <c r="F55" s="378" t="e">
        <f t="shared" si="1"/>
        <v>#DIV/0!</v>
      </c>
      <c r="G55" s="378" t="e">
        <f t="shared" si="39"/>
        <v>#DIV/0!</v>
      </c>
      <c r="H55" s="378" t="e">
        <f t="shared" si="39"/>
        <v>#DIV/0!</v>
      </c>
      <c r="I55" s="378" t="e">
        <f t="shared" si="39"/>
        <v>#DIV/0!</v>
      </c>
      <c r="J55" s="378" t="e">
        <f t="shared" si="39"/>
        <v>#DIV/0!</v>
      </c>
      <c r="K55" s="378" t="e">
        <f t="shared" si="39"/>
        <v>#DIV/0!</v>
      </c>
      <c r="L55" s="378" t="e">
        <f t="shared" si="39"/>
        <v>#DIV/0!</v>
      </c>
      <c r="M55" s="378" t="e">
        <f t="shared" si="39"/>
        <v>#DIV/0!</v>
      </c>
      <c r="N55" s="497" t="e">
        <f t="shared" si="3"/>
        <v>#DIV/0!</v>
      </c>
      <c r="O55" s="497" t="str">
        <f t="array" ref="O55">IFERROR(INDEX(Calculation!I:AN,MATCH(ListAndConversion!E55,Calculation!I:I,0),31),"-")</f>
        <v>-</v>
      </c>
      <c r="P55" s="498">
        <f>IF(COUNTIFS(Calculation!$I$10:$I$393,E55,Direct_Denaturation,"-")&lt;&gt;1,COUNTIFS(Calculation!$I$10:$I$393,E55,Direct_Denaturation,"-"),0)</f>
        <v>0</v>
      </c>
      <c r="Q55" s="378"/>
      <c r="R55" s="487" t="e">
        <f t="array" ref="R55">IF(IF((ROW(R55)-3)&lt;(Calculation!$H$6),INDEX(Flow_Cell,MIN(IF(COUNTIF($R$2:R54,Flow_Cell)=0,ROW(Flow_Cell)-9))),"-")="","-",IF((ROW(R55)-3)&lt;(Calculation!$H$6),INDEX(Flow_Cell,MIN(IF(COUNTIF($R$2:R54,Flow_Cell)=0,ROW(Flow_Cell)-9))),"-"))</f>
        <v>#DIV/0!</v>
      </c>
      <c r="S55" s="378" t="e">
        <f t="shared" si="38"/>
        <v>#DIV/0!</v>
      </c>
      <c r="T55" s="378">
        <v>5</v>
      </c>
      <c r="U55" s="498">
        <v>53</v>
      </c>
      <c r="V55" s="487">
        <v>52</v>
      </c>
      <c r="W55" s="497" t="s">
        <v>287</v>
      </c>
      <c r="X55" s="497" t="s">
        <v>23</v>
      </c>
      <c r="Y55" s="378">
        <v>52</v>
      </c>
      <c r="Z55" s="378" t="str">
        <f t="shared" ca="1" si="32"/>
        <v>-</v>
      </c>
      <c r="AA55" s="508" t="str">
        <f t="array" aca="1" ref="AA55" ca="1">IFERROR(INDEX(Calculation_Tab,SMALL(ROW(Sample_Intermediate_Dil)*(Sample_Intermediate_Dil&lt;&gt;"-"),COUNTIF(Sample_Intermediate_Dil,"-")+ROW()-3)-9,5),"-")</f>
        <v>-</v>
      </c>
      <c r="AB55" s="378" t="str">
        <f t="array" aca="1" ref="AB55" ca="1">IFERROR(INDEX($A$3:$B$12,MATCH(INDEX(Calculation_Tab,SMALL(ROW(Sample_Intermediate_Dil)*(Sample_Intermediate_Dil&lt;&gt;"-"),COUNTIF(Sample_Intermediate_Dil,"-")+ROW()-3)-9,5),$A$3:$A$12,0),2),"-")</f>
        <v>-</v>
      </c>
      <c r="AC55" s="509" t="str">
        <f t="array" aca="1" ref="AC55" ca="1">IFERROR(INDEX(Coordinate,MATCH(INDEX(Calculation_Tab,SMALL(ROW(Sample_Intermediate_Dil)*(Sample_Intermediate_Dil&lt;&gt;"-"),COUNTIF(Sample_Intermediate_Dil,"-")+ROW()-3)-9,6),$X$4:$X$99,0),2),"-")</f>
        <v>-</v>
      </c>
      <c r="AD55" s="510" t="str">
        <f t="array" aca="1" ref="AD55" ca="1">IFERROR(INDEX(Calculation_Tab,SMALL(ROW(Sample_Intermediate_Dil)*(Sample_Intermediate_Dil&lt;&gt;"-"),COUNTIF(Sample_Intermediate_Dil,"-")+ROW()-3)-9,24),"-")</f>
        <v>-</v>
      </c>
      <c r="AE55" s="510" t="str">
        <f t="array" aca="1" ref="AE55" ca="1">IFERROR(INDEX(Calculation_Tab,SMALL(ROW(Sample_Intermediate_Dil)*(Sample_Intermediate_Dil&lt;&gt;"-"),COUNTIF(Sample_Intermediate_Dil,"-")+ROW()-3)-9,25),"-")</f>
        <v>-</v>
      </c>
      <c r="AF55" s="510" t="str">
        <f t="array" aca="1" ref="AF55" ca="1">IFERROR(INDEX(Calculation_Tab,SMALL(ROW(Sample_Intermediate_Dil)*(Sample_Intermediate_Dil&lt;&gt;"-"),COUNTIF(Sample_Intermediate_Dil,"-")+ROW()-3)-9,26),"-")</f>
        <v>-</v>
      </c>
      <c r="AG55" s="511" t="str">
        <f t="array" aca="1" ref="AG55" ca="1">IFERROR(INDEX(Calculation_Tab,SMALL(ROW(Sample_Intermediate_Dil)*(Sample_Intermediate_Dil&lt;&gt;"-"),COUNTIF(Sample_Intermediate_Dil,"-")+ROW()-3)-9,27),"-")</f>
        <v>-</v>
      </c>
      <c r="AI55" s="487">
        <v>52</v>
      </c>
      <c r="AJ55" s="497" t="s">
        <v>160</v>
      </c>
      <c r="AK55" s="378">
        <v>52</v>
      </c>
      <c r="AL55" s="378" t="str">
        <f t="shared" ca="1" si="6"/>
        <v>-</v>
      </c>
      <c r="AM55" s="378" t="str">
        <f t="array" aca="1" ref="AM55" ca="1">IFERROR(IF(AI55&lt;=$AB$2,"-",INDEX(Calculation_Tab,SMALL(ROW(Main_Dil)*(Main_Dil&lt;&gt;"-"),COUNTIF(Main_Dil,"-")+ROW()-3-$AB$2)-9,5)),"-")</f>
        <v>-</v>
      </c>
      <c r="AN55" s="378" t="str">
        <f t="array" aca="1" ref="AN55" ca="1">IFERROR(IF(AI55&lt;=$AB$2,"-",INDEX($A$3:$B$12,MATCH(INDEX(Calculation_Tab,SMALL(ROW(Main_Dil)*(Main_Dil&lt;&gt;"-"),COUNTIF(Main_Dil,"-")+ROW()-3-$AB$2)-9,5),$A$3:$A$12,0),2)),"-")</f>
        <v>-</v>
      </c>
      <c r="AO55" s="378" t="str">
        <f t="array" aca="1" ref="AO55" ca="1">IFERROR(IF(AI55&lt;=$AB$2,"-",INDEX(Coordinate,MATCH(INDEX(Calculation_Tab,SMALL(ROW(Main_Dil)*(Main_Dil&lt;&gt;"-"),COUNTIF(Main_Dil,"-")+ROW()-3-$AB$2)-9,6),$X$4:$X$99,0),2)),"-")</f>
        <v>-</v>
      </c>
      <c r="AP55" s="510" t="str">
        <f t="array" aca="1" ref="AP55" ca="1">IFERROR(IF(AI55&lt;=$AB$2,"-",INDEX(Calculation_Tab,SMALL(ROW(Main_Dil)*(Main_Dil&lt;&gt;"-"),COUNTIF(Main_Dil,"-")+ROW()-3-$AB$2)-9,21)),"-")</f>
        <v>-</v>
      </c>
      <c r="AQ55" s="511" t="str">
        <f t="array" aca="1" ref="AQ55" ca="1">IFERROR(IF(AI55&lt;=$AB$2,"-",INDEX(Calculation_Tab,SMALL(ROW(Main_Dil)*(Main_Dil&lt;&gt;"-"),COUNTIF(Main_Dil,"-")+ROW()-3-$AB$2)-9,22)),"-")</f>
        <v>-</v>
      </c>
      <c r="AR55" s="487" t="str">
        <f t="shared" ca="1" si="7"/>
        <v>-</v>
      </c>
      <c r="AS55" s="378">
        <v>52</v>
      </c>
      <c r="AT55" s="497" t="s">
        <v>160</v>
      </c>
      <c r="AU55" s="498">
        <v>52</v>
      </c>
      <c r="AV55" s="378" t="str">
        <f t="shared" ca="1" si="8"/>
        <v>-</v>
      </c>
      <c r="AW55" s="378" t="str">
        <f t="array" aca="1" ref="AW55" ca="1">IFERROR(IF(AS55&lt;=$AB$2+$AN$2,"-",INDEX(Calculation_Tab,SMALL(ROW(Direct_Denaturation)*(Direct_Denaturation&lt;&gt;"-"),COUNTIF(Direct_Denaturation,"-")+ROW()-3-$AB$2-$AN$2)-9,5)),"-")</f>
        <v>-</v>
      </c>
      <c r="AX55" s="378" t="str">
        <f t="array" aca="1" ref="AX55" ca="1">IFERROR(IF(AS55&lt;=$AB$2+$AN$2,"-",INDEX($A$3:$B$12,MATCH(INDEX(Calculation_Tab,SMALL(ROW(Direct_Denaturation)*(Direct_Denaturation&lt;&gt;"-"),COUNTIF(Direct_Denaturation,"-")+ROW()-3-$AB$2-$AN$2)-9,5),$A$3:$A$12,0),2)),"-")</f>
        <v>-</v>
      </c>
      <c r="AY55" s="378" t="str">
        <f t="array" aca="1" ref="AY55" ca="1">IFERROR(IF(AS55&lt;=$AB$2+$AN$2,"-",INDEX(Coordinate,MATCH(INDEX(Calculation_Tab,SMALL(ROW(Direct_Denaturation)*(Direct_Denaturation&lt;&gt;"-"),COUNTIF(Direct_Denaturation,"-")+ROW()-3-$AB$2-$AN$2)-9,6),$X$4:$X$99,0),2)),"-")</f>
        <v>-</v>
      </c>
      <c r="AZ55" s="510" t="str">
        <f t="array" aca="1" ref="AZ55" ca="1">IFERROR(IF(AS55&lt;=$AB$2+$AN$2,"-",INDEX(Calculation_Tab,SMALL(ROW(Direct_Denaturation)*(Direct_Denaturation&lt;&gt;"-"),COUNTIF(Direct_Denaturation,"-")+ROW()-3-$AB$2-$AN$2)-9,32)),"-")</f>
        <v>-</v>
      </c>
      <c r="BA55" s="510" t="str">
        <f t="array" aca="1" ref="BA55" ca="1">IFERROR(IF(AS55&lt;=$AB$2+$AN$2,"-",INDEX(Calculation_Tab,SMALL(ROW(Direct_Denaturation)*(Direct_Denaturation&lt;&gt;"-"),COUNTIF(Direct_Denaturation,"-")+ROW()-3-$AB$2-$AN$2)-9,34)),"-")</f>
        <v>-</v>
      </c>
      <c r="BB55" s="510" t="str">
        <f t="array" aca="1" ref="BB55" ca="1">IFERROR(IF(AS55&lt;=$AB$2+$AN$2,"-",INDEX(Calculation_Tab,SMALL(ROW(Direct_Denaturation)*(Direct_Denaturation&lt;&gt;"-"),COUNTIF(Direct_Denaturation,"-")+ROW()-3-$AB$2-$AN$2)-9,33)),"-")</f>
        <v>-</v>
      </c>
      <c r="BC55" s="510" t="str">
        <f t="array" aca="1" ref="BC55" ca="1">IFERROR(IF(AS55&lt;=$AB$2+$AN$2,"-",INDEX(Calculation_Tab,SMALL(ROW(Direct_Denaturation)*(Direct_Denaturation&lt;&gt;"-"),COUNTIF(Direct_Denaturation,"-")+ROW()-3-$AB$2-$AN$2)-9,35)),"-")</f>
        <v>-</v>
      </c>
      <c r="BD55" s="511" t="str">
        <f t="shared" ca="1" si="9"/>
        <v>-</v>
      </c>
      <c r="BE55" s="494" t="s">
        <v>390</v>
      </c>
      <c r="BF55" s="378">
        <v>52</v>
      </c>
      <c r="BG55" s="515" t="str">
        <v>-</v>
      </c>
      <c r="BH55" s="516" t="str">
        <f>IFERROR(IF((Calculation!$AR$6/INDEX(ListAndConversion!D:P,MATCH(BG55,E:E,0),13))&lt;Calculation!$O$6,INDEX(ListAndConversion!D:P,MATCH(BG55,E:E,0),13)*Calculation!$O$6,Calculation!$AR$6),"-")</f>
        <v>-</v>
      </c>
      <c r="BI55" s="517" t="str">
        <f t="shared" si="33"/>
        <v>-</v>
      </c>
      <c r="BJ55" s="518" t="str">
        <f t="shared" si="34"/>
        <v>-</v>
      </c>
      <c r="BK55" s="378" t="s">
        <v>158</v>
      </c>
      <c r="BL55" s="378">
        <v>52</v>
      </c>
      <c r="BM55" s="487" t="str">
        <f t="array" aca="1" ref="BM55" ca="1">IFERROR(INDEX(Calculation_Tab,SMALL(ROW(ToPool)*(ToPool&lt;&gt;"-"),COUNTIF(ToPool,"-")+ROW()-3)-9,3),"-")</f>
        <v>-</v>
      </c>
      <c r="BN55" s="378" t="str">
        <f t="shared" ca="1" si="12"/>
        <v>-</v>
      </c>
      <c r="BO55" s="378" t="str">
        <f t="shared" ca="1" si="13"/>
        <v>-</v>
      </c>
      <c r="BP55" s="523" t="str">
        <f t="shared" ca="1" si="14"/>
        <v>-</v>
      </c>
      <c r="BQ55" s="378" t="str">
        <f t="array" aca="1" ref="BQ55" ca="1">IFERROR(INDEX(BE:BG,MATCH(INDEX(Calculation_Tab,SMALL(ROW(ToPool)*(ToPool&lt;&gt;"-"),COUNTIF(ToPool,"-")+ROW()-3)-9,9),BG:BG,0),2),"-")</f>
        <v>-</v>
      </c>
      <c r="BR55" s="510" t="str">
        <f t="shared" ca="1" si="15"/>
        <v>-</v>
      </c>
      <c r="BS55" s="511" t="str">
        <f t="shared" ca="1" si="16"/>
        <v>-</v>
      </c>
      <c r="BT55" s="378" t="s">
        <v>164</v>
      </c>
      <c r="BU55" s="487" t="str">
        <f t="shared" ca="1" si="21"/>
        <v>-</v>
      </c>
      <c r="BV55" s="487" t="str">
        <f t="array" aca="1" ref="BV5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55" s="378" t="str">
        <f t="shared" ca="1" si="17"/>
        <v>-</v>
      </c>
      <c r="BX55" s="378" t="str">
        <f t="shared" ca="1" si="18"/>
        <v>-</v>
      </c>
      <c r="BY55" s="510" t="str">
        <f ca="1">IFERROR(ROUND(INDEX(Cluster,MATCH(IF(LEFT(BV55,4)="Pool",INDEX(Cluster,MATCH(INDEX(Calculation_Tab,MATCH(INDEX($BE$4:$BJ$99,MATCH(BV55,$BE$4:$BE$99,0),3),Flow_Cell_Lane,0),3),Cluster!$F$29:$F$412,0),6),BV55),Identifier_Cluster,0),19)*IF(LEFT(BV55,4)="pool",IF(LEN(INDEX($BE$4:$BJ$99,MATCH(BV55,$BE$4:$BE$99,0),3))=10,2,IF(LEN(INDEX($BE$4:$BJ$99,MATCH(BV55,$BE$4:$BE$99,0),3))&gt;10,LEN(INDEX($BE$4:$BJ$99,MATCH(BV55,$BE$4:$BE$99,0),3))-8,1)),1)*IF(LEFT(BV55,4)="pool",IF(INDEX($BE$4:$BJ$99,MATCH(BV55,$BE$4:$BE$99,0),6)&lt;1,1,INDEX($BE$4:$BJ$99,MATCH(BV55,$BE$4:$BE$99,0),6)),INDEX(Calculation_Tab,MATCH(BV55,Identifier,0),10)),1)*(1+Calculation!$Q$6),"-")</f>
        <v>-</v>
      </c>
      <c r="BZ55" s="378" t="str">
        <f ca="1">IFERROR((0.5/50)*CE55/Calculation!$AG$6*(IF(LEFT(BV55,4)="Pool",IF(LEN(INDEX($BE$4:$BJ$99,MATCH(BV55,$BE$4:$BE$99,0),3))=10,2,IF(LEN(INDEX($BE$4:$BJ$99,MATCH(BV55,$BE$4:$BE$99,0),3))&gt;10,LEN(INDEX($BE$4:$BJ$99,MATCH(BV55,$BE$4:$BE$99,0),3))-8,1)),IF(INDEX(Calculation_Tab,MATCH(BV55,Identifier,0),10)&gt;1,INDEX(Calculation_Tab,MATCH(BV55,Identifier,0),10),1)))*(1+Calculation!$Q$6),"-")</f>
        <v>-</v>
      </c>
      <c r="CA55" s="510" t="str">
        <f ca="1">IFERROR(IF((BZ55*Calculation!$AG$6/0.05)-SUM(BY55:BZ55,CC55)&gt;0,(BZ55*Calculation!$AG$6/0.05)-SUM(BY55:BZ55,CC55),0),"-")</f>
        <v>-</v>
      </c>
      <c r="CB55" s="510" t="str">
        <f ca="1">IFERROR(5/50*CE55*(IF(LEFT(BV55,4)="Pool",IF(LEN(INDEX($BE$4:$BJ$99,MATCH(BV55,$BE$4:$BE$99,0),3))=10,2,IF(LEN(INDEX($BE$4:$BJ$99,MATCH(BV55,$BE$4:$BE$99,0),3))&gt;10,LEN(INDEX($BE$4:$BJ$99,MATCH(BV55,$BE$4:$BE$99,0),3))-8,1)),IF(INDEX(Calculation_Tab,MATCH(BV55,Identifier,0),10)&gt;1,INDEX(Calculation_Tab,MATCH(BV55,Identifier,0),10),1)))*(1+Calculation!$Q$6),"-")</f>
        <v>-</v>
      </c>
      <c r="CC55" s="508" t="str">
        <f ca="1">IFERROR(ROUND(INDEX(Cluster,MATCH(IF(LEFT(BV55,4)="Pool",INDEX(Cluster,MATCH(INDEX(Calculation_Tab,MATCH(INDEX($BE$4:$BJ$99,MATCH(BV55,$BE$4:$BE$99,0),3),Flow_Cell_Lane,0),3),Cluster!$F$29:$F$412,0),6),BV55),Identifier_Cluster,0),20)*IF(LEFT(BV55,4)="pool",IF(LEN(INDEX($BE$4:$BJ$99,MATCH(BV55,$BE$4:$BE$99,0),3))=10,2,IF(LEN(INDEX($BE$4:$BJ$99,MATCH(BV55,$BE$4:$BE$99,0),3))&gt;10,LEN(INDEX($BE$4:$BJ$99,MATCH(BV55,$BE$4:$BE$99,0),3))-8,1)),1)*IF(LEFT(BV55,4)="pool",IF(INDEX($BE$4:$BJ$99,MATCH(BV55,$BE$4:$BE$99,0),6)&lt;1,1,INDEX($BE$4:$BJ$99,MATCH(BV55,$BE$4:$BE$99,0),6)),INDEX(Calculation_Tab,MATCH(BV55,Identifier,0),10)),1)*(1+Calculation!$Q$6),"-")</f>
        <v>-</v>
      </c>
      <c r="CD55" s="509" t="str">
        <f ca="1">IFERROR(INDEX(Cluster!AC:AD,MATCH(IF(LEFT(BV55,4)="Pool",INDEX(Cluster!$D$29:$AA$412,MATCH(INDEX(Calculation_Tab,MATCH(INDEX($BE$4:$BJ$99,MATCH(BV55,$BE$4:$BE$99,0),3),Flow_Cell_Lane,0),3),Cluster!$F$29:$F$412,0),24),INDEX(Cluster!$D$29:$AA$412,MATCH(BV55,Cluster!$F$29:$F$412,0),24)),Cluster!AC:AC,0),2),"-")</f>
        <v>-</v>
      </c>
      <c r="CE55" s="378" t="str">
        <f ca="1">IFERROR(IF(BV55&lt;&gt;"-",Calculation!$AK$6,"-"),"-")</f>
        <v>-</v>
      </c>
      <c r="CF55" s="378" t="str">
        <f ca="1">IF(OR(LEFT(ListAndConversion!BW55,3)="Dil",LEFT(ListAndConversion!BW55,3)="Poo"),ListAndConversion!$BT$4,IF(LEFT(ListAndConversion!BW55,3)="Sou",INDEX(ListAndConversion!$AT$3:$AV$387,MATCH(ListAndConversion!BV55,ListAndConversion!$AV$3:$AV$387,0),1),"-"))</f>
        <v>-</v>
      </c>
      <c r="CG55" s="498" t="str">
        <f ca="1">IF(OR(LEFT(ListAndConversion!BW55,3)="Dil",LEFT(ListAndConversion!BW55,3)="Poo"),ListAndConversion!BU55,IF(LEFT(ListAndConversion!BW55,3)="Sou",INDEX(ListAndConversion!$AT$4:$AV$387,MATCH(ListAndConversion!BV55,ListAndConversion!$AV$4:$AV$387,0),2),"-"))</f>
        <v>-</v>
      </c>
      <c r="CH55" s="378"/>
      <c r="CI55" s="487" t="str">
        <f t="shared" ca="1" si="19"/>
        <v>-</v>
      </c>
      <c r="CJ55" s="378" t="str">
        <f t="shared" ca="1" si="40"/>
        <v>-</v>
      </c>
      <c r="CK55" s="378" t="str">
        <f t="shared" ca="1" si="40"/>
        <v>-</v>
      </c>
      <c r="CL55" s="378" t="str">
        <f t="shared" ca="1" si="40"/>
        <v>-</v>
      </c>
      <c r="CM55" s="378" t="str">
        <f t="shared" ca="1" si="40"/>
        <v>-</v>
      </c>
      <c r="CN55" s="378" t="str">
        <f t="shared" ca="1" si="40"/>
        <v>-</v>
      </c>
      <c r="CO55" s="378" t="str">
        <f t="shared" ca="1" si="40"/>
        <v>-</v>
      </c>
      <c r="CP55" s="378" t="str">
        <f t="shared" ca="1" si="40"/>
        <v>-</v>
      </c>
      <c r="CQ55" s="378" t="str">
        <f t="shared" ca="1" si="40"/>
        <v>-</v>
      </c>
      <c r="CR55" s="510" t="str">
        <f ca="1">IFERROR(IF(LEFT(BW55,3)="Poo",INDEX($BE$4:$BJ$99,MATCH(CI55,$BG$4:$BG$99,0),6)*((15/50))*Calculation!$AK$6,INDEX(Calculation_Tab,MATCH(BV55,Identifier,0),10)/(IF(LEN(INDEX(Calculation_Tab,MATCH(BV55,Identifier,0),9))&gt;8,LEN(INDEX(Calculation_Tab,MATCH(BV55,Identifier,0),9))-8,1))*((15/50)*Calculation!$AK$6)),"-")</f>
        <v>-</v>
      </c>
      <c r="CS55" s="498" t="str">
        <f ca="1">IF(CI55="-","-",IF(COUNTIF($CI$3:CI55,CI55)&gt;1,0,IFERROR((35/50)*Calculation!$AK$6,"-")))</f>
        <v>-</v>
      </c>
    </row>
    <row r="56" spans="4:97" x14ac:dyDescent="0.5">
      <c r="D56" s="487" t="e">
        <f t="shared" si="0"/>
        <v>#DIV/0!</v>
      </c>
      <c r="E56" s="496" t="e">
        <f t="array" ref="E56">IF(IF((ROW(E56)-3)&lt;(ListAndConversion!$A$15),INDEX(Flow_Cell_Lane,MIN(IF(COUNTIF($E$2:E55,Flow_Cell_Lane)=0,ROW(Flow_Cell_Lane)-9))),"-")="","-",IF((ROW(E56)-3)&lt;(ListAndConversion!$A$15),INDEX(Flow_Cell_Lane,MIN(IF(COUNTIF($E$2:E55,Flow_Cell_Lane)=0,ROW(Flow_Cell_Lane)-9))),"-"))</f>
        <v>#DIV/0!</v>
      </c>
      <c r="F56" s="378" t="e">
        <f t="shared" si="1"/>
        <v>#DIV/0!</v>
      </c>
      <c r="G56" s="378" t="e">
        <f t="shared" si="39"/>
        <v>#DIV/0!</v>
      </c>
      <c r="H56" s="378" t="e">
        <f t="shared" si="39"/>
        <v>#DIV/0!</v>
      </c>
      <c r="I56" s="378" t="e">
        <f t="shared" si="39"/>
        <v>#DIV/0!</v>
      </c>
      <c r="J56" s="378" t="e">
        <f t="shared" si="39"/>
        <v>#DIV/0!</v>
      </c>
      <c r="K56" s="378" t="e">
        <f t="shared" si="39"/>
        <v>#DIV/0!</v>
      </c>
      <c r="L56" s="378" t="e">
        <f t="shared" si="39"/>
        <v>#DIV/0!</v>
      </c>
      <c r="M56" s="378" t="e">
        <f t="shared" si="39"/>
        <v>#DIV/0!</v>
      </c>
      <c r="N56" s="497" t="e">
        <f t="shared" si="3"/>
        <v>#DIV/0!</v>
      </c>
      <c r="O56" s="497" t="str">
        <f t="array" ref="O56">IFERROR(INDEX(Calculation!I:AN,MATCH(ListAndConversion!E56,Calculation!I:I,0),31),"-")</f>
        <v>-</v>
      </c>
      <c r="P56" s="498">
        <f>IF(COUNTIFS(Calculation!$I$10:$I$393,E56,Direct_Denaturation,"-")&lt;&gt;1,COUNTIFS(Calculation!$I$10:$I$393,E56,Direct_Denaturation,"-"),0)</f>
        <v>0</v>
      </c>
      <c r="Q56" s="378"/>
      <c r="R56" s="487" t="e">
        <f t="array" ref="R56">IF(IF((ROW(R56)-3)&lt;(Calculation!$H$6),INDEX(Flow_Cell,MIN(IF(COUNTIF($R$2:R55,Flow_Cell)=0,ROW(Flow_Cell)-9))),"-")="","-",IF((ROW(R56)-3)&lt;(Calculation!$H$6),INDEX(Flow_Cell,MIN(IF(COUNTIF($R$2:R55,Flow_Cell)=0,ROW(Flow_Cell)-9))),"-"))</f>
        <v>#DIV/0!</v>
      </c>
      <c r="S56" s="378" t="e">
        <f t="shared" si="38"/>
        <v>#DIV/0!</v>
      </c>
      <c r="T56" s="378">
        <v>6</v>
      </c>
      <c r="U56" s="498">
        <v>54</v>
      </c>
      <c r="V56" s="487">
        <v>53</v>
      </c>
      <c r="W56" s="497" t="s">
        <v>287</v>
      </c>
      <c r="X56" s="497" t="s">
        <v>391</v>
      </c>
      <c r="Y56" s="378">
        <v>53</v>
      </c>
      <c r="Z56" s="378" t="str">
        <f t="shared" ca="1" si="32"/>
        <v>-</v>
      </c>
      <c r="AA56" s="508" t="str">
        <f t="array" aca="1" ref="AA56" ca="1">IFERROR(INDEX(Calculation_Tab,SMALL(ROW(Sample_Intermediate_Dil)*(Sample_Intermediate_Dil&lt;&gt;"-"),COUNTIF(Sample_Intermediate_Dil,"-")+ROW()-3)-9,5),"-")</f>
        <v>-</v>
      </c>
      <c r="AB56" s="378" t="str">
        <f t="array" aca="1" ref="AB56" ca="1">IFERROR(INDEX($A$3:$B$12,MATCH(INDEX(Calculation_Tab,SMALL(ROW(Sample_Intermediate_Dil)*(Sample_Intermediate_Dil&lt;&gt;"-"),COUNTIF(Sample_Intermediate_Dil,"-")+ROW()-3)-9,5),$A$3:$A$12,0),2),"-")</f>
        <v>-</v>
      </c>
      <c r="AC56" s="509" t="str">
        <f t="array" aca="1" ref="AC56" ca="1">IFERROR(INDEX(Coordinate,MATCH(INDEX(Calculation_Tab,SMALL(ROW(Sample_Intermediate_Dil)*(Sample_Intermediate_Dil&lt;&gt;"-"),COUNTIF(Sample_Intermediate_Dil,"-")+ROW()-3)-9,6),$X$4:$X$99,0),2),"-")</f>
        <v>-</v>
      </c>
      <c r="AD56" s="510" t="str">
        <f t="array" aca="1" ref="AD56" ca="1">IFERROR(INDEX(Calculation_Tab,SMALL(ROW(Sample_Intermediate_Dil)*(Sample_Intermediate_Dil&lt;&gt;"-"),COUNTIF(Sample_Intermediate_Dil,"-")+ROW()-3)-9,24),"-")</f>
        <v>-</v>
      </c>
      <c r="AE56" s="510" t="str">
        <f t="array" aca="1" ref="AE56" ca="1">IFERROR(INDEX(Calculation_Tab,SMALL(ROW(Sample_Intermediate_Dil)*(Sample_Intermediate_Dil&lt;&gt;"-"),COUNTIF(Sample_Intermediate_Dil,"-")+ROW()-3)-9,25),"-")</f>
        <v>-</v>
      </c>
      <c r="AF56" s="510" t="str">
        <f t="array" aca="1" ref="AF56" ca="1">IFERROR(INDEX(Calculation_Tab,SMALL(ROW(Sample_Intermediate_Dil)*(Sample_Intermediate_Dil&lt;&gt;"-"),COUNTIF(Sample_Intermediate_Dil,"-")+ROW()-3)-9,26),"-")</f>
        <v>-</v>
      </c>
      <c r="AG56" s="511" t="str">
        <f t="array" aca="1" ref="AG56" ca="1">IFERROR(INDEX(Calculation_Tab,SMALL(ROW(Sample_Intermediate_Dil)*(Sample_Intermediate_Dil&lt;&gt;"-"),COUNTIF(Sample_Intermediate_Dil,"-")+ROW()-3)-9,27),"-")</f>
        <v>-</v>
      </c>
      <c r="AI56" s="487">
        <v>53</v>
      </c>
      <c r="AJ56" s="497" t="s">
        <v>160</v>
      </c>
      <c r="AK56" s="378">
        <v>53</v>
      </c>
      <c r="AL56" s="378" t="str">
        <f t="shared" ca="1" si="6"/>
        <v>-</v>
      </c>
      <c r="AM56" s="378" t="str">
        <f t="array" aca="1" ref="AM56" ca="1">IFERROR(IF(AI56&lt;=$AB$2,"-",INDEX(Calculation_Tab,SMALL(ROW(Main_Dil)*(Main_Dil&lt;&gt;"-"),COUNTIF(Main_Dil,"-")+ROW()-3-$AB$2)-9,5)),"-")</f>
        <v>-</v>
      </c>
      <c r="AN56" s="378" t="str">
        <f t="array" aca="1" ref="AN56" ca="1">IFERROR(IF(AI56&lt;=$AB$2,"-",INDEX($A$3:$B$12,MATCH(INDEX(Calculation_Tab,SMALL(ROW(Main_Dil)*(Main_Dil&lt;&gt;"-"),COUNTIF(Main_Dil,"-")+ROW()-3-$AB$2)-9,5),$A$3:$A$12,0),2)),"-")</f>
        <v>-</v>
      </c>
      <c r="AO56" s="378" t="str">
        <f t="array" aca="1" ref="AO56" ca="1">IFERROR(IF(AI56&lt;=$AB$2,"-",INDEX(Coordinate,MATCH(INDEX(Calculation_Tab,SMALL(ROW(Main_Dil)*(Main_Dil&lt;&gt;"-"),COUNTIF(Main_Dil,"-")+ROW()-3-$AB$2)-9,6),$X$4:$X$99,0),2)),"-")</f>
        <v>-</v>
      </c>
      <c r="AP56" s="510" t="str">
        <f t="array" aca="1" ref="AP56" ca="1">IFERROR(IF(AI56&lt;=$AB$2,"-",INDEX(Calculation_Tab,SMALL(ROW(Main_Dil)*(Main_Dil&lt;&gt;"-"),COUNTIF(Main_Dil,"-")+ROW()-3-$AB$2)-9,21)),"-")</f>
        <v>-</v>
      </c>
      <c r="AQ56" s="511" t="str">
        <f t="array" aca="1" ref="AQ56" ca="1">IFERROR(IF(AI56&lt;=$AB$2,"-",INDEX(Calculation_Tab,SMALL(ROW(Main_Dil)*(Main_Dil&lt;&gt;"-"),COUNTIF(Main_Dil,"-")+ROW()-3-$AB$2)-9,22)),"-")</f>
        <v>-</v>
      </c>
      <c r="AR56" s="487" t="str">
        <f t="shared" ca="1" si="7"/>
        <v>-</v>
      </c>
      <c r="AS56" s="378">
        <v>53</v>
      </c>
      <c r="AT56" s="497" t="s">
        <v>160</v>
      </c>
      <c r="AU56" s="498">
        <v>53</v>
      </c>
      <c r="AV56" s="378" t="str">
        <f t="shared" ca="1" si="8"/>
        <v>-</v>
      </c>
      <c r="AW56" s="378" t="str">
        <f t="array" aca="1" ref="AW56" ca="1">IFERROR(IF(AS56&lt;=$AB$2+$AN$2,"-",INDEX(Calculation_Tab,SMALL(ROW(Direct_Denaturation)*(Direct_Denaturation&lt;&gt;"-"),COUNTIF(Direct_Denaturation,"-")+ROW()-3-$AB$2-$AN$2)-9,5)),"-")</f>
        <v>-</v>
      </c>
      <c r="AX56" s="378" t="str">
        <f t="array" aca="1" ref="AX56" ca="1">IFERROR(IF(AS56&lt;=$AB$2+$AN$2,"-",INDEX($A$3:$B$12,MATCH(INDEX(Calculation_Tab,SMALL(ROW(Direct_Denaturation)*(Direct_Denaturation&lt;&gt;"-"),COUNTIF(Direct_Denaturation,"-")+ROW()-3-$AB$2-$AN$2)-9,5),$A$3:$A$12,0),2)),"-")</f>
        <v>-</v>
      </c>
      <c r="AY56" s="378" t="str">
        <f t="array" aca="1" ref="AY56" ca="1">IFERROR(IF(AS56&lt;=$AB$2+$AN$2,"-",INDEX(Coordinate,MATCH(INDEX(Calculation_Tab,SMALL(ROW(Direct_Denaturation)*(Direct_Denaturation&lt;&gt;"-"),COUNTIF(Direct_Denaturation,"-")+ROW()-3-$AB$2-$AN$2)-9,6),$X$4:$X$99,0),2)),"-")</f>
        <v>-</v>
      </c>
      <c r="AZ56" s="510" t="str">
        <f t="array" aca="1" ref="AZ56" ca="1">IFERROR(IF(AS56&lt;=$AB$2+$AN$2,"-",INDEX(Calculation_Tab,SMALL(ROW(Direct_Denaturation)*(Direct_Denaturation&lt;&gt;"-"),COUNTIF(Direct_Denaturation,"-")+ROW()-3-$AB$2-$AN$2)-9,32)),"-")</f>
        <v>-</v>
      </c>
      <c r="BA56" s="510" t="str">
        <f t="array" aca="1" ref="BA56" ca="1">IFERROR(IF(AS56&lt;=$AB$2+$AN$2,"-",INDEX(Calculation_Tab,SMALL(ROW(Direct_Denaturation)*(Direct_Denaturation&lt;&gt;"-"),COUNTIF(Direct_Denaturation,"-")+ROW()-3-$AB$2-$AN$2)-9,34)),"-")</f>
        <v>-</v>
      </c>
      <c r="BB56" s="510" t="str">
        <f t="array" aca="1" ref="BB56" ca="1">IFERROR(IF(AS56&lt;=$AB$2+$AN$2,"-",INDEX(Calculation_Tab,SMALL(ROW(Direct_Denaturation)*(Direct_Denaturation&lt;&gt;"-"),COUNTIF(Direct_Denaturation,"-")+ROW()-3-$AB$2-$AN$2)-9,33)),"-")</f>
        <v>-</v>
      </c>
      <c r="BC56" s="510" t="str">
        <f t="array" aca="1" ref="BC56" ca="1">IFERROR(IF(AS56&lt;=$AB$2+$AN$2,"-",INDEX(Calculation_Tab,SMALL(ROW(Direct_Denaturation)*(Direct_Denaturation&lt;&gt;"-"),COUNTIF(Direct_Denaturation,"-")+ROW()-3-$AB$2-$AN$2)-9,35)),"-")</f>
        <v>-</v>
      </c>
      <c r="BD56" s="511" t="str">
        <f t="shared" ca="1" si="9"/>
        <v>-</v>
      </c>
      <c r="BE56" s="494" t="s">
        <v>392</v>
      </c>
      <c r="BF56" s="378">
        <v>53</v>
      </c>
      <c r="BG56" s="515" t="str">
        <v>-</v>
      </c>
      <c r="BH56" s="516" t="str">
        <f>IFERROR(IF((Calculation!$AR$6/INDEX(ListAndConversion!D:P,MATCH(BG56,E:E,0),13))&lt;Calculation!$O$6,INDEX(ListAndConversion!D:P,MATCH(BG56,E:E,0),13)*Calculation!$O$6,Calculation!$AR$6),"-")</f>
        <v>-</v>
      </c>
      <c r="BI56" s="517" t="str">
        <f t="shared" si="33"/>
        <v>-</v>
      </c>
      <c r="BJ56" s="518" t="str">
        <f t="shared" si="34"/>
        <v>-</v>
      </c>
      <c r="BK56" s="378" t="s">
        <v>158</v>
      </c>
      <c r="BL56" s="378">
        <v>53</v>
      </c>
      <c r="BM56" s="487" t="str">
        <f t="array" aca="1" ref="BM56" ca="1">IFERROR(INDEX(Calculation_Tab,SMALL(ROW(ToPool)*(ToPool&lt;&gt;"-"),COUNTIF(ToPool,"-")+ROW()-3)-9,3),"-")</f>
        <v>-</v>
      </c>
      <c r="BN56" s="378" t="str">
        <f t="shared" ca="1" si="12"/>
        <v>-</v>
      </c>
      <c r="BO56" s="378" t="str">
        <f t="shared" ca="1" si="13"/>
        <v>-</v>
      </c>
      <c r="BP56" s="523" t="str">
        <f t="shared" ca="1" si="14"/>
        <v>-</v>
      </c>
      <c r="BQ56" s="378" t="str">
        <f t="array" aca="1" ref="BQ56" ca="1">IFERROR(INDEX(BE:BG,MATCH(INDEX(Calculation_Tab,SMALL(ROW(ToPool)*(ToPool&lt;&gt;"-"),COUNTIF(ToPool,"-")+ROW()-3)-9,9),BG:BG,0),2),"-")</f>
        <v>-</v>
      </c>
      <c r="BR56" s="510" t="str">
        <f t="shared" ca="1" si="15"/>
        <v>-</v>
      </c>
      <c r="BS56" s="511" t="str">
        <f t="shared" ca="1" si="16"/>
        <v>-</v>
      </c>
      <c r="BT56" s="378" t="s">
        <v>164</v>
      </c>
      <c r="BU56" s="487" t="str">
        <f t="shared" ca="1" si="21"/>
        <v>-</v>
      </c>
      <c r="BV56" s="487" t="str">
        <f t="array" aca="1" ref="BV5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56" s="378" t="str">
        <f t="shared" ca="1" si="17"/>
        <v>-</v>
      </c>
      <c r="BX56" s="378" t="str">
        <f t="shared" ca="1" si="18"/>
        <v>-</v>
      </c>
      <c r="BY56" s="510" t="str">
        <f ca="1">IFERROR(ROUND(INDEX(Cluster,MATCH(IF(LEFT(BV56,4)="Pool",INDEX(Cluster,MATCH(INDEX(Calculation_Tab,MATCH(INDEX($BE$4:$BJ$99,MATCH(BV56,$BE$4:$BE$99,0),3),Flow_Cell_Lane,0),3),Cluster!$F$29:$F$412,0),6),BV56),Identifier_Cluster,0),19)*IF(LEFT(BV56,4)="pool",IF(LEN(INDEX($BE$4:$BJ$99,MATCH(BV56,$BE$4:$BE$99,0),3))=10,2,IF(LEN(INDEX($BE$4:$BJ$99,MATCH(BV56,$BE$4:$BE$99,0),3))&gt;10,LEN(INDEX($BE$4:$BJ$99,MATCH(BV56,$BE$4:$BE$99,0),3))-8,1)),1)*IF(LEFT(BV56,4)="pool",IF(INDEX($BE$4:$BJ$99,MATCH(BV56,$BE$4:$BE$99,0),6)&lt;1,1,INDEX($BE$4:$BJ$99,MATCH(BV56,$BE$4:$BE$99,0),6)),INDEX(Calculation_Tab,MATCH(BV56,Identifier,0),10)),1)*(1+Calculation!$Q$6),"-")</f>
        <v>-</v>
      </c>
      <c r="BZ56" s="378" t="str">
        <f ca="1">IFERROR((0.5/50)*CE56/Calculation!$AG$6*(IF(LEFT(BV56,4)="Pool",IF(LEN(INDEX($BE$4:$BJ$99,MATCH(BV56,$BE$4:$BE$99,0),3))=10,2,IF(LEN(INDEX($BE$4:$BJ$99,MATCH(BV56,$BE$4:$BE$99,0),3))&gt;10,LEN(INDEX($BE$4:$BJ$99,MATCH(BV56,$BE$4:$BE$99,0),3))-8,1)),IF(INDEX(Calculation_Tab,MATCH(BV56,Identifier,0),10)&gt;1,INDEX(Calculation_Tab,MATCH(BV56,Identifier,0),10),1)))*(1+Calculation!$Q$6),"-")</f>
        <v>-</v>
      </c>
      <c r="CA56" s="510" t="str">
        <f ca="1">IFERROR(IF((BZ56*Calculation!$AG$6/0.05)-SUM(BY56:BZ56,CC56)&gt;0,(BZ56*Calculation!$AG$6/0.05)-SUM(BY56:BZ56,CC56),0),"-")</f>
        <v>-</v>
      </c>
      <c r="CB56" s="510" t="str">
        <f ca="1">IFERROR(5/50*CE56*(IF(LEFT(BV56,4)="Pool",IF(LEN(INDEX($BE$4:$BJ$99,MATCH(BV56,$BE$4:$BE$99,0),3))=10,2,IF(LEN(INDEX($BE$4:$BJ$99,MATCH(BV56,$BE$4:$BE$99,0),3))&gt;10,LEN(INDEX($BE$4:$BJ$99,MATCH(BV56,$BE$4:$BE$99,0),3))-8,1)),IF(INDEX(Calculation_Tab,MATCH(BV56,Identifier,0),10)&gt;1,INDEX(Calculation_Tab,MATCH(BV56,Identifier,0),10),1)))*(1+Calculation!$Q$6),"-")</f>
        <v>-</v>
      </c>
      <c r="CC56" s="508" t="str">
        <f ca="1">IFERROR(ROUND(INDEX(Cluster,MATCH(IF(LEFT(BV56,4)="Pool",INDEX(Cluster,MATCH(INDEX(Calculation_Tab,MATCH(INDEX($BE$4:$BJ$99,MATCH(BV56,$BE$4:$BE$99,0),3),Flow_Cell_Lane,0),3),Cluster!$F$29:$F$412,0),6),BV56),Identifier_Cluster,0),20)*IF(LEFT(BV56,4)="pool",IF(LEN(INDEX($BE$4:$BJ$99,MATCH(BV56,$BE$4:$BE$99,0),3))=10,2,IF(LEN(INDEX($BE$4:$BJ$99,MATCH(BV56,$BE$4:$BE$99,0),3))&gt;10,LEN(INDEX($BE$4:$BJ$99,MATCH(BV56,$BE$4:$BE$99,0),3))-8,1)),1)*IF(LEFT(BV56,4)="pool",IF(INDEX($BE$4:$BJ$99,MATCH(BV56,$BE$4:$BE$99,0),6)&lt;1,1,INDEX($BE$4:$BJ$99,MATCH(BV56,$BE$4:$BE$99,0),6)),INDEX(Calculation_Tab,MATCH(BV56,Identifier,0),10)),1)*(1+Calculation!$Q$6),"-")</f>
        <v>-</v>
      </c>
      <c r="CD56" s="509" t="str">
        <f ca="1">IFERROR(INDEX(Cluster!AC:AD,MATCH(IF(LEFT(BV56,4)="Pool",INDEX(Cluster!$D$29:$AA$412,MATCH(INDEX(Calculation_Tab,MATCH(INDEX($BE$4:$BJ$99,MATCH(BV56,$BE$4:$BE$99,0),3),Flow_Cell_Lane,0),3),Cluster!$F$29:$F$412,0),24),INDEX(Cluster!$D$29:$AA$412,MATCH(BV56,Cluster!$F$29:$F$412,0),24)),Cluster!AC:AC,0),2),"-")</f>
        <v>-</v>
      </c>
      <c r="CE56" s="378" t="str">
        <f ca="1">IFERROR(IF(BV56&lt;&gt;"-",Calculation!$AK$6,"-"),"-")</f>
        <v>-</v>
      </c>
      <c r="CF56" s="378" t="str">
        <f ca="1">IF(OR(LEFT(ListAndConversion!BW56,3)="Dil",LEFT(ListAndConversion!BW56,3)="Poo"),ListAndConversion!$BT$4,IF(LEFT(ListAndConversion!BW56,3)="Sou",INDEX(ListAndConversion!$AT$3:$AV$387,MATCH(ListAndConversion!BV56,ListAndConversion!$AV$3:$AV$387,0),1),"-"))</f>
        <v>-</v>
      </c>
      <c r="CG56" s="498" t="str">
        <f ca="1">IF(OR(LEFT(ListAndConversion!BW56,3)="Dil",LEFT(ListAndConversion!BW56,3)="Poo"),ListAndConversion!BU56,IF(LEFT(ListAndConversion!BW56,3)="Sou",INDEX(ListAndConversion!$AT$4:$AV$387,MATCH(ListAndConversion!BV56,ListAndConversion!$AV$4:$AV$387,0),2),"-"))</f>
        <v>-</v>
      </c>
      <c r="CH56" s="378"/>
      <c r="CI56" s="487" t="str">
        <f t="shared" ca="1" si="19"/>
        <v>-</v>
      </c>
      <c r="CJ56" s="378" t="str">
        <f t="shared" ca="1" si="40"/>
        <v>-</v>
      </c>
      <c r="CK56" s="378" t="str">
        <f t="shared" ca="1" si="40"/>
        <v>-</v>
      </c>
      <c r="CL56" s="378" t="str">
        <f t="shared" ca="1" si="40"/>
        <v>-</v>
      </c>
      <c r="CM56" s="378" t="str">
        <f t="shared" ca="1" si="40"/>
        <v>-</v>
      </c>
      <c r="CN56" s="378" t="str">
        <f t="shared" ca="1" si="40"/>
        <v>-</v>
      </c>
      <c r="CO56" s="378" t="str">
        <f t="shared" ca="1" si="40"/>
        <v>-</v>
      </c>
      <c r="CP56" s="378" t="str">
        <f t="shared" ca="1" si="40"/>
        <v>-</v>
      </c>
      <c r="CQ56" s="378" t="str">
        <f t="shared" ca="1" si="40"/>
        <v>-</v>
      </c>
      <c r="CR56" s="510" t="str">
        <f ca="1">IFERROR(IF(LEFT(BW56,3)="Poo",INDEX($BE$4:$BJ$99,MATCH(CI56,$BG$4:$BG$99,0),6)*((15/50))*Calculation!$AK$6,INDEX(Calculation_Tab,MATCH(BV56,Identifier,0),10)/(IF(LEN(INDEX(Calculation_Tab,MATCH(BV56,Identifier,0),9))&gt;8,LEN(INDEX(Calculation_Tab,MATCH(BV56,Identifier,0),9))-8,1))*((15/50)*Calculation!$AK$6)),"-")</f>
        <v>-</v>
      </c>
      <c r="CS56" s="498" t="str">
        <f ca="1">IF(CI56="-","-",IF(COUNTIF($CI$3:CI56,CI56)&gt;1,0,IFERROR((35/50)*Calculation!$AK$6,"-")))</f>
        <v>-</v>
      </c>
    </row>
    <row r="57" spans="4:97" x14ac:dyDescent="0.5">
      <c r="D57" s="487" t="e">
        <f t="shared" si="0"/>
        <v>#DIV/0!</v>
      </c>
      <c r="E57" s="496" t="e">
        <f t="array" ref="E57">IF(IF((ROW(E57)-3)&lt;(ListAndConversion!$A$15),INDEX(Flow_Cell_Lane,MIN(IF(COUNTIF($E$2:E56,Flow_Cell_Lane)=0,ROW(Flow_Cell_Lane)-9))),"-")="","-",IF((ROW(E57)-3)&lt;(ListAndConversion!$A$15),INDEX(Flow_Cell_Lane,MIN(IF(COUNTIF($E$2:E56,Flow_Cell_Lane)=0,ROW(Flow_Cell_Lane)-9))),"-"))</f>
        <v>#DIV/0!</v>
      </c>
      <c r="F57" s="378" t="e">
        <f t="shared" si="1"/>
        <v>#DIV/0!</v>
      </c>
      <c r="G57" s="378" t="e">
        <f t="shared" si="39"/>
        <v>#DIV/0!</v>
      </c>
      <c r="H57" s="378" t="e">
        <f t="shared" si="39"/>
        <v>#DIV/0!</v>
      </c>
      <c r="I57" s="378" t="e">
        <f t="shared" si="39"/>
        <v>#DIV/0!</v>
      </c>
      <c r="J57" s="378" t="e">
        <f t="shared" si="39"/>
        <v>#DIV/0!</v>
      </c>
      <c r="K57" s="378" t="e">
        <f t="shared" si="39"/>
        <v>#DIV/0!</v>
      </c>
      <c r="L57" s="378" t="e">
        <f t="shared" si="39"/>
        <v>#DIV/0!</v>
      </c>
      <c r="M57" s="378" t="e">
        <f t="shared" si="39"/>
        <v>#DIV/0!</v>
      </c>
      <c r="N57" s="497" t="e">
        <f t="shared" si="3"/>
        <v>#DIV/0!</v>
      </c>
      <c r="O57" s="497" t="str">
        <f t="array" ref="O57">IFERROR(INDEX(Calculation!I:AN,MATCH(ListAndConversion!E57,Calculation!I:I,0),31),"-")</f>
        <v>-</v>
      </c>
      <c r="P57" s="498">
        <f>IF(COUNTIFS(Calculation!$I$10:$I$393,E57,Direct_Denaturation,"-")&lt;&gt;1,COUNTIFS(Calculation!$I$10:$I$393,E57,Direct_Denaturation,"-"),0)</f>
        <v>0</v>
      </c>
      <c r="Q57" s="378"/>
      <c r="R57" s="487" t="e">
        <f t="array" ref="R57">IF(IF((ROW(R57)-3)&lt;(Calculation!$H$6),INDEX(Flow_Cell,MIN(IF(COUNTIF($R$2:R56,Flow_Cell)=0,ROW(Flow_Cell)-9))),"-")="","-",IF((ROW(R57)-3)&lt;(Calculation!$H$6),INDEX(Flow_Cell,MIN(IF(COUNTIF($R$2:R56,Flow_Cell)=0,ROW(Flow_Cell)-9))),"-"))</f>
        <v>#DIV/0!</v>
      </c>
      <c r="S57" s="378" t="e">
        <f t="shared" si="38"/>
        <v>#DIV/0!</v>
      </c>
      <c r="T57" s="378">
        <v>7</v>
      </c>
      <c r="U57" s="498">
        <v>55</v>
      </c>
      <c r="V57" s="487">
        <v>54</v>
      </c>
      <c r="W57" s="497" t="s">
        <v>287</v>
      </c>
      <c r="X57" s="497" t="s">
        <v>393</v>
      </c>
      <c r="Y57" s="378">
        <v>54</v>
      </c>
      <c r="Z57" s="378" t="str">
        <f t="shared" ca="1" si="32"/>
        <v>-</v>
      </c>
      <c r="AA57" s="508" t="str">
        <f t="array" aca="1" ref="AA57" ca="1">IFERROR(INDEX(Calculation_Tab,SMALL(ROW(Sample_Intermediate_Dil)*(Sample_Intermediate_Dil&lt;&gt;"-"),COUNTIF(Sample_Intermediate_Dil,"-")+ROW()-3)-9,5),"-")</f>
        <v>-</v>
      </c>
      <c r="AB57" s="378" t="str">
        <f t="array" aca="1" ref="AB57" ca="1">IFERROR(INDEX($A$3:$B$12,MATCH(INDEX(Calculation_Tab,SMALL(ROW(Sample_Intermediate_Dil)*(Sample_Intermediate_Dil&lt;&gt;"-"),COUNTIF(Sample_Intermediate_Dil,"-")+ROW()-3)-9,5),$A$3:$A$12,0),2),"-")</f>
        <v>-</v>
      </c>
      <c r="AC57" s="509" t="str">
        <f t="array" aca="1" ref="AC57" ca="1">IFERROR(INDEX(Coordinate,MATCH(INDEX(Calculation_Tab,SMALL(ROW(Sample_Intermediate_Dil)*(Sample_Intermediate_Dil&lt;&gt;"-"),COUNTIF(Sample_Intermediate_Dil,"-")+ROW()-3)-9,6),$X$4:$X$99,0),2),"-")</f>
        <v>-</v>
      </c>
      <c r="AD57" s="510" t="str">
        <f t="array" aca="1" ref="AD57" ca="1">IFERROR(INDEX(Calculation_Tab,SMALL(ROW(Sample_Intermediate_Dil)*(Sample_Intermediate_Dil&lt;&gt;"-"),COUNTIF(Sample_Intermediate_Dil,"-")+ROW()-3)-9,24),"-")</f>
        <v>-</v>
      </c>
      <c r="AE57" s="510" t="str">
        <f t="array" aca="1" ref="AE57" ca="1">IFERROR(INDEX(Calculation_Tab,SMALL(ROW(Sample_Intermediate_Dil)*(Sample_Intermediate_Dil&lt;&gt;"-"),COUNTIF(Sample_Intermediate_Dil,"-")+ROW()-3)-9,25),"-")</f>
        <v>-</v>
      </c>
      <c r="AF57" s="510" t="str">
        <f t="array" aca="1" ref="AF57" ca="1">IFERROR(INDEX(Calculation_Tab,SMALL(ROW(Sample_Intermediate_Dil)*(Sample_Intermediate_Dil&lt;&gt;"-"),COUNTIF(Sample_Intermediate_Dil,"-")+ROW()-3)-9,26),"-")</f>
        <v>-</v>
      </c>
      <c r="AG57" s="511" t="str">
        <f t="array" aca="1" ref="AG57" ca="1">IFERROR(INDEX(Calculation_Tab,SMALL(ROW(Sample_Intermediate_Dil)*(Sample_Intermediate_Dil&lt;&gt;"-"),COUNTIF(Sample_Intermediate_Dil,"-")+ROW()-3)-9,27),"-")</f>
        <v>-</v>
      </c>
      <c r="AI57" s="487">
        <v>54</v>
      </c>
      <c r="AJ57" s="497" t="s">
        <v>160</v>
      </c>
      <c r="AK57" s="378">
        <v>54</v>
      </c>
      <c r="AL57" s="378" t="str">
        <f t="shared" ca="1" si="6"/>
        <v>-</v>
      </c>
      <c r="AM57" s="378" t="str">
        <f t="array" aca="1" ref="AM57" ca="1">IFERROR(IF(AI57&lt;=$AB$2,"-",INDEX(Calculation_Tab,SMALL(ROW(Main_Dil)*(Main_Dil&lt;&gt;"-"),COUNTIF(Main_Dil,"-")+ROW()-3-$AB$2)-9,5)),"-")</f>
        <v>-</v>
      </c>
      <c r="AN57" s="378" t="str">
        <f t="array" aca="1" ref="AN57" ca="1">IFERROR(IF(AI57&lt;=$AB$2,"-",INDEX($A$3:$B$12,MATCH(INDEX(Calculation_Tab,SMALL(ROW(Main_Dil)*(Main_Dil&lt;&gt;"-"),COUNTIF(Main_Dil,"-")+ROW()-3-$AB$2)-9,5),$A$3:$A$12,0),2)),"-")</f>
        <v>-</v>
      </c>
      <c r="AO57" s="378" t="str">
        <f t="array" aca="1" ref="AO57" ca="1">IFERROR(IF(AI57&lt;=$AB$2,"-",INDEX(Coordinate,MATCH(INDEX(Calculation_Tab,SMALL(ROW(Main_Dil)*(Main_Dil&lt;&gt;"-"),COUNTIF(Main_Dil,"-")+ROW()-3-$AB$2)-9,6),$X$4:$X$99,0),2)),"-")</f>
        <v>-</v>
      </c>
      <c r="AP57" s="510" t="str">
        <f t="array" aca="1" ref="AP57" ca="1">IFERROR(IF(AI57&lt;=$AB$2,"-",INDEX(Calculation_Tab,SMALL(ROW(Main_Dil)*(Main_Dil&lt;&gt;"-"),COUNTIF(Main_Dil,"-")+ROW()-3-$AB$2)-9,21)),"-")</f>
        <v>-</v>
      </c>
      <c r="AQ57" s="511" t="str">
        <f t="array" aca="1" ref="AQ57" ca="1">IFERROR(IF(AI57&lt;=$AB$2,"-",INDEX(Calculation_Tab,SMALL(ROW(Main_Dil)*(Main_Dil&lt;&gt;"-"),COUNTIF(Main_Dil,"-")+ROW()-3-$AB$2)-9,22)),"-")</f>
        <v>-</v>
      </c>
      <c r="AR57" s="487" t="str">
        <f t="shared" ca="1" si="7"/>
        <v>-</v>
      </c>
      <c r="AS57" s="378">
        <v>54</v>
      </c>
      <c r="AT57" s="497" t="s">
        <v>160</v>
      </c>
      <c r="AU57" s="498">
        <v>54</v>
      </c>
      <c r="AV57" s="378" t="str">
        <f t="shared" ca="1" si="8"/>
        <v>-</v>
      </c>
      <c r="AW57" s="378" t="str">
        <f t="array" aca="1" ref="AW57" ca="1">IFERROR(IF(AS57&lt;=$AB$2+$AN$2,"-",INDEX(Calculation_Tab,SMALL(ROW(Direct_Denaturation)*(Direct_Denaturation&lt;&gt;"-"),COUNTIF(Direct_Denaturation,"-")+ROW()-3-$AB$2-$AN$2)-9,5)),"-")</f>
        <v>-</v>
      </c>
      <c r="AX57" s="378" t="str">
        <f t="array" aca="1" ref="AX57" ca="1">IFERROR(IF(AS57&lt;=$AB$2+$AN$2,"-",INDEX($A$3:$B$12,MATCH(INDEX(Calculation_Tab,SMALL(ROW(Direct_Denaturation)*(Direct_Denaturation&lt;&gt;"-"),COUNTIF(Direct_Denaturation,"-")+ROW()-3-$AB$2-$AN$2)-9,5),$A$3:$A$12,0),2)),"-")</f>
        <v>-</v>
      </c>
      <c r="AY57" s="378" t="str">
        <f t="array" aca="1" ref="AY57" ca="1">IFERROR(IF(AS57&lt;=$AB$2+$AN$2,"-",INDEX(Coordinate,MATCH(INDEX(Calculation_Tab,SMALL(ROW(Direct_Denaturation)*(Direct_Denaturation&lt;&gt;"-"),COUNTIF(Direct_Denaturation,"-")+ROW()-3-$AB$2-$AN$2)-9,6),$X$4:$X$99,0),2)),"-")</f>
        <v>-</v>
      </c>
      <c r="AZ57" s="510" t="str">
        <f t="array" aca="1" ref="AZ57" ca="1">IFERROR(IF(AS57&lt;=$AB$2+$AN$2,"-",INDEX(Calculation_Tab,SMALL(ROW(Direct_Denaturation)*(Direct_Denaturation&lt;&gt;"-"),COUNTIF(Direct_Denaturation,"-")+ROW()-3-$AB$2-$AN$2)-9,32)),"-")</f>
        <v>-</v>
      </c>
      <c r="BA57" s="510" t="str">
        <f t="array" aca="1" ref="BA57" ca="1">IFERROR(IF(AS57&lt;=$AB$2+$AN$2,"-",INDEX(Calculation_Tab,SMALL(ROW(Direct_Denaturation)*(Direct_Denaturation&lt;&gt;"-"),COUNTIF(Direct_Denaturation,"-")+ROW()-3-$AB$2-$AN$2)-9,34)),"-")</f>
        <v>-</v>
      </c>
      <c r="BB57" s="510" t="str">
        <f t="array" aca="1" ref="BB57" ca="1">IFERROR(IF(AS57&lt;=$AB$2+$AN$2,"-",INDEX(Calculation_Tab,SMALL(ROW(Direct_Denaturation)*(Direct_Denaturation&lt;&gt;"-"),COUNTIF(Direct_Denaturation,"-")+ROW()-3-$AB$2-$AN$2)-9,33)),"-")</f>
        <v>-</v>
      </c>
      <c r="BC57" s="510" t="str">
        <f t="array" aca="1" ref="BC57" ca="1">IFERROR(IF(AS57&lt;=$AB$2+$AN$2,"-",INDEX(Calculation_Tab,SMALL(ROW(Direct_Denaturation)*(Direct_Denaturation&lt;&gt;"-"),COUNTIF(Direct_Denaturation,"-")+ROW()-3-$AB$2-$AN$2)-9,35)),"-")</f>
        <v>-</v>
      </c>
      <c r="BD57" s="511" t="str">
        <f t="shared" ca="1" si="9"/>
        <v>-</v>
      </c>
      <c r="BE57" s="494" t="s">
        <v>394</v>
      </c>
      <c r="BF57" s="378">
        <v>54</v>
      </c>
      <c r="BG57" s="515" t="str">
        <v>-</v>
      </c>
      <c r="BH57" s="516" t="str">
        <f>IFERROR(IF((Calculation!$AR$6/INDEX(ListAndConversion!D:P,MATCH(BG57,E:E,0),13))&lt;Calculation!$O$6,INDEX(ListAndConversion!D:P,MATCH(BG57,E:E,0),13)*Calculation!$O$6,Calculation!$AR$6),"-")</f>
        <v>-</v>
      </c>
      <c r="BI57" s="517" t="str">
        <f t="shared" si="33"/>
        <v>-</v>
      </c>
      <c r="BJ57" s="518" t="str">
        <f t="shared" si="34"/>
        <v>-</v>
      </c>
      <c r="BK57" s="378" t="s">
        <v>158</v>
      </c>
      <c r="BL57" s="378">
        <v>54</v>
      </c>
      <c r="BM57" s="487" t="str">
        <f t="array" aca="1" ref="BM57" ca="1">IFERROR(INDEX(Calculation_Tab,SMALL(ROW(ToPool)*(ToPool&lt;&gt;"-"),COUNTIF(ToPool,"-")+ROW()-3)-9,3),"-")</f>
        <v>-</v>
      </c>
      <c r="BN57" s="378" t="str">
        <f t="shared" ca="1" si="12"/>
        <v>-</v>
      </c>
      <c r="BO57" s="378" t="str">
        <f t="shared" ca="1" si="13"/>
        <v>-</v>
      </c>
      <c r="BP57" s="523" t="str">
        <f t="shared" ca="1" si="14"/>
        <v>-</v>
      </c>
      <c r="BQ57" s="378" t="str">
        <f t="array" aca="1" ref="BQ57" ca="1">IFERROR(INDEX(BE:BG,MATCH(INDEX(Calculation_Tab,SMALL(ROW(ToPool)*(ToPool&lt;&gt;"-"),COUNTIF(ToPool,"-")+ROW()-3)-9,9),BG:BG,0),2),"-")</f>
        <v>-</v>
      </c>
      <c r="BR57" s="510" t="str">
        <f t="shared" ca="1" si="15"/>
        <v>-</v>
      </c>
      <c r="BS57" s="511" t="str">
        <f t="shared" ca="1" si="16"/>
        <v>-</v>
      </c>
      <c r="BT57" s="378" t="s">
        <v>164</v>
      </c>
      <c r="BU57" s="487" t="str">
        <f t="shared" ca="1" si="21"/>
        <v>-</v>
      </c>
      <c r="BV57" s="487" t="str">
        <f t="array" aca="1" ref="BV5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57" s="378" t="str">
        <f t="shared" ca="1" si="17"/>
        <v>-</v>
      </c>
      <c r="BX57" s="378" t="str">
        <f t="shared" ca="1" si="18"/>
        <v>-</v>
      </c>
      <c r="BY57" s="510" t="str">
        <f ca="1">IFERROR(ROUND(INDEX(Cluster,MATCH(IF(LEFT(BV57,4)="Pool",INDEX(Cluster,MATCH(INDEX(Calculation_Tab,MATCH(INDEX($BE$4:$BJ$99,MATCH(BV57,$BE$4:$BE$99,0),3),Flow_Cell_Lane,0),3),Cluster!$F$29:$F$412,0),6),BV57),Identifier_Cluster,0),19)*IF(LEFT(BV57,4)="pool",IF(LEN(INDEX($BE$4:$BJ$99,MATCH(BV57,$BE$4:$BE$99,0),3))=10,2,IF(LEN(INDEX($BE$4:$BJ$99,MATCH(BV57,$BE$4:$BE$99,0),3))&gt;10,LEN(INDEX($BE$4:$BJ$99,MATCH(BV57,$BE$4:$BE$99,0),3))-8,1)),1)*IF(LEFT(BV57,4)="pool",IF(INDEX($BE$4:$BJ$99,MATCH(BV57,$BE$4:$BE$99,0),6)&lt;1,1,INDEX($BE$4:$BJ$99,MATCH(BV57,$BE$4:$BE$99,0),6)),INDEX(Calculation_Tab,MATCH(BV57,Identifier,0),10)),1)*(1+Calculation!$Q$6),"-")</f>
        <v>-</v>
      </c>
      <c r="BZ57" s="378" t="str">
        <f ca="1">IFERROR((0.5/50)*CE57/Calculation!$AG$6*(IF(LEFT(BV57,4)="Pool",IF(LEN(INDEX($BE$4:$BJ$99,MATCH(BV57,$BE$4:$BE$99,0),3))=10,2,IF(LEN(INDEX($BE$4:$BJ$99,MATCH(BV57,$BE$4:$BE$99,0),3))&gt;10,LEN(INDEX($BE$4:$BJ$99,MATCH(BV57,$BE$4:$BE$99,0),3))-8,1)),IF(INDEX(Calculation_Tab,MATCH(BV57,Identifier,0),10)&gt;1,INDEX(Calculation_Tab,MATCH(BV57,Identifier,0),10),1)))*(1+Calculation!$Q$6),"-")</f>
        <v>-</v>
      </c>
      <c r="CA57" s="510" t="str">
        <f ca="1">IFERROR(IF((BZ57*Calculation!$AG$6/0.05)-SUM(BY57:BZ57,CC57)&gt;0,(BZ57*Calculation!$AG$6/0.05)-SUM(BY57:BZ57,CC57),0),"-")</f>
        <v>-</v>
      </c>
      <c r="CB57" s="510" t="str">
        <f ca="1">IFERROR(5/50*CE57*(IF(LEFT(BV57,4)="Pool",IF(LEN(INDEX($BE$4:$BJ$99,MATCH(BV57,$BE$4:$BE$99,0),3))=10,2,IF(LEN(INDEX($BE$4:$BJ$99,MATCH(BV57,$BE$4:$BE$99,0),3))&gt;10,LEN(INDEX($BE$4:$BJ$99,MATCH(BV57,$BE$4:$BE$99,0),3))-8,1)),IF(INDEX(Calculation_Tab,MATCH(BV57,Identifier,0),10)&gt;1,INDEX(Calculation_Tab,MATCH(BV57,Identifier,0),10),1)))*(1+Calculation!$Q$6),"-")</f>
        <v>-</v>
      </c>
      <c r="CC57" s="508" t="str">
        <f ca="1">IFERROR(ROUND(INDEX(Cluster,MATCH(IF(LEFT(BV57,4)="Pool",INDEX(Cluster,MATCH(INDEX(Calculation_Tab,MATCH(INDEX($BE$4:$BJ$99,MATCH(BV57,$BE$4:$BE$99,0),3),Flow_Cell_Lane,0),3),Cluster!$F$29:$F$412,0),6),BV57),Identifier_Cluster,0),20)*IF(LEFT(BV57,4)="pool",IF(LEN(INDEX($BE$4:$BJ$99,MATCH(BV57,$BE$4:$BE$99,0),3))=10,2,IF(LEN(INDEX($BE$4:$BJ$99,MATCH(BV57,$BE$4:$BE$99,0),3))&gt;10,LEN(INDEX($BE$4:$BJ$99,MATCH(BV57,$BE$4:$BE$99,0),3))-8,1)),1)*IF(LEFT(BV57,4)="pool",IF(INDEX($BE$4:$BJ$99,MATCH(BV57,$BE$4:$BE$99,0),6)&lt;1,1,INDEX($BE$4:$BJ$99,MATCH(BV57,$BE$4:$BE$99,0),6)),INDEX(Calculation_Tab,MATCH(BV57,Identifier,0),10)),1)*(1+Calculation!$Q$6),"-")</f>
        <v>-</v>
      </c>
      <c r="CD57" s="509" t="str">
        <f ca="1">IFERROR(INDEX(Cluster!AC:AD,MATCH(IF(LEFT(BV57,4)="Pool",INDEX(Cluster!$D$29:$AA$412,MATCH(INDEX(Calculation_Tab,MATCH(INDEX($BE$4:$BJ$99,MATCH(BV57,$BE$4:$BE$99,0),3),Flow_Cell_Lane,0),3),Cluster!$F$29:$F$412,0),24),INDEX(Cluster!$D$29:$AA$412,MATCH(BV57,Cluster!$F$29:$F$412,0),24)),Cluster!AC:AC,0),2),"-")</f>
        <v>-</v>
      </c>
      <c r="CE57" s="378" t="str">
        <f ca="1">IFERROR(IF(BV57&lt;&gt;"-",Calculation!$AK$6,"-"),"-")</f>
        <v>-</v>
      </c>
      <c r="CF57" s="378" t="str">
        <f ca="1">IF(OR(LEFT(ListAndConversion!BW57,3)="Dil",LEFT(ListAndConversion!BW57,3)="Poo"),ListAndConversion!$BT$4,IF(LEFT(ListAndConversion!BW57,3)="Sou",INDEX(ListAndConversion!$AT$3:$AV$387,MATCH(ListAndConversion!BV57,ListAndConversion!$AV$3:$AV$387,0),1),"-"))</f>
        <v>-</v>
      </c>
      <c r="CG57" s="498" t="str">
        <f ca="1">IF(OR(LEFT(ListAndConversion!BW57,3)="Dil",LEFT(ListAndConversion!BW57,3)="Poo"),ListAndConversion!BU57,IF(LEFT(ListAndConversion!BW57,3)="Sou",INDEX(ListAndConversion!$AT$4:$AV$387,MATCH(ListAndConversion!BV57,ListAndConversion!$AV$4:$AV$387,0),2),"-"))</f>
        <v>-</v>
      </c>
      <c r="CH57" s="378"/>
      <c r="CI57" s="487" t="str">
        <f t="shared" ca="1" si="19"/>
        <v>-</v>
      </c>
      <c r="CJ57" s="378" t="str">
        <f t="shared" ca="1" si="40"/>
        <v>-</v>
      </c>
      <c r="CK57" s="378" t="str">
        <f t="shared" ca="1" si="40"/>
        <v>-</v>
      </c>
      <c r="CL57" s="378" t="str">
        <f t="shared" ca="1" si="40"/>
        <v>-</v>
      </c>
      <c r="CM57" s="378" t="str">
        <f t="shared" ca="1" si="40"/>
        <v>-</v>
      </c>
      <c r="CN57" s="378" t="str">
        <f t="shared" ca="1" si="40"/>
        <v>-</v>
      </c>
      <c r="CO57" s="378" t="str">
        <f t="shared" ca="1" si="40"/>
        <v>-</v>
      </c>
      <c r="CP57" s="378" t="str">
        <f t="shared" ca="1" si="40"/>
        <v>-</v>
      </c>
      <c r="CQ57" s="378" t="str">
        <f t="shared" ca="1" si="40"/>
        <v>-</v>
      </c>
      <c r="CR57" s="510" t="str">
        <f ca="1">IFERROR(IF(LEFT(BW57,3)="Poo",INDEX($BE$4:$BJ$99,MATCH(CI57,$BG$4:$BG$99,0),6)*((15/50))*Calculation!$AK$6,INDEX(Calculation_Tab,MATCH(BV57,Identifier,0),10)/(IF(LEN(INDEX(Calculation_Tab,MATCH(BV57,Identifier,0),9))&gt;8,LEN(INDEX(Calculation_Tab,MATCH(BV57,Identifier,0),9))-8,1))*((15/50)*Calculation!$AK$6)),"-")</f>
        <v>-</v>
      </c>
      <c r="CS57" s="498" t="str">
        <f ca="1">IF(CI57="-","-",IF(COUNTIF($CI$3:CI57,CI57)&gt;1,0,IFERROR((35/50)*Calculation!$AK$6,"-")))</f>
        <v>-</v>
      </c>
    </row>
    <row r="58" spans="4:97" x14ac:dyDescent="0.5">
      <c r="D58" s="487" t="e">
        <f t="shared" si="0"/>
        <v>#DIV/0!</v>
      </c>
      <c r="E58" s="496" t="e">
        <f t="array" ref="E58">IF(IF((ROW(E58)-3)&lt;(ListAndConversion!$A$15),INDEX(Flow_Cell_Lane,MIN(IF(COUNTIF($E$2:E57,Flow_Cell_Lane)=0,ROW(Flow_Cell_Lane)-9))),"-")="","-",IF((ROW(E58)-3)&lt;(ListAndConversion!$A$15),INDEX(Flow_Cell_Lane,MIN(IF(COUNTIF($E$2:E57,Flow_Cell_Lane)=0,ROW(Flow_Cell_Lane)-9))),"-"))</f>
        <v>#DIV/0!</v>
      </c>
      <c r="F58" s="378" t="e">
        <f t="shared" si="1"/>
        <v>#DIV/0!</v>
      </c>
      <c r="G58" s="378" t="e">
        <f t="shared" si="39"/>
        <v>#DIV/0!</v>
      </c>
      <c r="H58" s="378" t="e">
        <f t="shared" si="39"/>
        <v>#DIV/0!</v>
      </c>
      <c r="I58" s="378" t="e">
        <f t="shared" si="39"/>
        <v>#DIV/0!</v>
      </c>
      <c r="J58" s="378" t="e">
        <f t="shared" si="39"/>
        <v>#DIV/0!</v>
      </c>
      <c r="K58" s="378" t="e">
        <f t="shared" si="39"/>
        <v>#DIV/0!</v>
      </c>
      <c r="L58" s="378" t="e">
        <f t="shared" si="39"/>
        <v>#DIV/0!</v>
      </c>
      <c r="M58" s="378" t="e">
        <f t="shared" si="39"/>
        <v>#DIV/0!</v>
      </c>
      <c r="N58" s="497" t="e">
        <f t="shared" si="3"/>
        <v>#DIV/0!</v>
      </c>
      <c r="O58" s="497" t="str">
        <f t="array" ref="O58">IFERROR(INDEX(Calculation!I:AN,MATCH(ListAndConversion!E58,Calculation!I:I,0),31),"-")</f>
        <v>-</v>
      </c>
      <c r="P58" s="498">
        <f>IF(COUNTIFS(Calculation!$I$10:$I$393,E58,Direct_Denaturation,"-")&lt;&gt;1,COUNTIFS(Calculation!$I$10:$I$393,E58,Direct_Denaturation,"-"),0)</f>
        <v>0</v>
      </c>
      <c r="Q58" s="378"/>
      <c r="R58" s="487" t="e">
        <f t="array" ref="R58">IF(IF((ROW(R58)-3)&lt;(Calculation!$H$6),INDEX(Flow_Cell,MIN(IF(COUNTIF($R$2:R57,Flow_Cell)=0,ROW(Flow_Cell)-9))),"-")="","-",IF((ROW(R58)-3)&lt;(Calculation!$H$6),INDEX(Flow_Cell,MIN(IF(COUNTIF($R$2:R57,Flow_Cell)=0,ROW(Flow_Cell)-9))),"-"))</f>
        <v>#DIV/0!</v>
      </c>
      <c r="S58" s="378" t="e">
        <f t="shared" si="38"/>
        <v>#DIV/0!</v>
      </c>
      <c r="T58" s="378">
        <v>8</v>
      </c>
      <c r="U58" s="498">
        <v>56</v>
      </c>
      <c r="V58" s="487">
        <v>55</v>
      </c>
      <c r="W58" s="497" t="s">
        <v>287</v>
      </c>
      <c r="X58" s="497" t="s">
        <v>395</v>
      </c>
      <c r="Y58" s="378">
        <v>55</v>
      </c>
      <c r="Z58" s="378" t="str">
        <f t="shared" ca="1" si="32"/>
        <v>-</v>
      </c>
      <c r="AA58" s="508" t="str">
        <f t="array" aca="1" ref="AA58" ca="1">IFERROR(INDEX(Calculation_Tab,SMALL(ROW(Sample_Intermediate_Dil)*(Sample_Intermediate_Dil&lt;&gt;"-"),COUNTIF(Sample_Intermediate_Dil,"-")+ROW()-3)-9,5),"-")</f>
        <v>-</v>
      </c>
      <c r="AB58" s="378" t="str">
        <f t="array" aca="1" ref="AB58" ca="1">IFERROR(INDEX($A$3:$B$12,MATCH(INDEX(Calculation_Tab,SMALL(ROW(Sample_Intermediate_Dil)*(Sample_Intermediate_Dil&lt;&gt;"-"),COUNTIF(Sample_Intermediate_Dil,"-")+ROW()-3)-9,5),$A$3:$A$12,0),2),"-")</f>
        <v>-</v>
      </c>
      <c r="AC58" s="509" t="str">
        <f t="array" aca="1" ref="AC58" ca="1">IFERROR(INDEX(Coordinate,MATCH(INDEX(Calculation_Tab,SMALL(ROW(Sample_Intermediate_Dil)*(Sample_Intermediate_Dil&lt;&gt;"-"),COUNTIF(Sample_Intermediate_Dil,"-")+ROW()-3)-9,6),$X$4:$X$99,0),2),"-")</f>
        <v>-</v>
      </c>
      <c r="AD58" s="510" t="str">
        <f t="array" aca="1" ref="AD58" ca="1">IFERROR(INDEX(Calculation_Tab,SMALL(ROW(Sample_Intermediate_Dil)*(Sample_Intermediate_Dil&lt;&gt;"-"),COUNTIF(Sample_Intermediate_Dil,"-")+ROW()-3)-9,24),"-")</f>
        <v>-</v>
      </c>
      <c r="AE58" s="510" t="str">
        <f t="array" aca="1" ref="AE58" ca="1">IFERROR(INDEX(Calculation_Tab,SMALL(ROW(Sample_Intermediate_Dil)*(Sample_Intermediate_Dil&lt;&gt;"-"),COUNTIF(Sample_Intermediate_Dil,"-")+ROW()-3)-9,25),"-")</f>
        <v>-</v>
      </c>
      <c r="AF58" s="510" t="str">
        <f t="array" aca="1" ref="AF58" ca="1">IFERROR(INDEX(Calculation_Tab,SMALL(ROW(Sample_Intermediate_Dil)*(Sample_Intermediate_Dil&lt;&gt;"-"),COUNTIF(Sample_Intermediate_Dil,"-")+ROW()-3)-9,26),"-")</f>
        <v>-</v>
      </c>
      <c r="AG58" s="511" t="str">
        <f t="array" aca="1" ref="AG58" ca="1">IFERROR(INDEX(Calculation_Tab,SMALL(ROW(Sample_Intermediate_Dil)*(Sample_Intermediate_Dil&lt;&gt;"-"),COUNTIF(Sample_Intermediate_Dil,"-")+ROW()-3)-9,27),"-")</f>
        <v>-</v>
      </c>
      <c r="AI58" s="487">
        <v>55</v>
      </c>
      <c r="AJ58" s="497" t="s">
        <v>160</v>
      </c>
      <c r="AK58" s="378">
        <v>55</v>
      </c>
      <c r="AL58" s="378" t="str">
        <f t="shared" ca="1" si="6"/>
        <v>-</v>
      </c>
      <c r="AM58" s="378" t="str">
        <f t="array" aca="1" ref="AM58" ca="1">IFERROR(IF(AI58&lt;=$AB$2,"-",INDEX(Calculation_Tab,SMALL(ROW(Main_Dil)*(Main_Dil&lt;&gt;"-"),COUNTIF(Main_Dil,"-")+ROW()-3-$AB$2)-9,5)),"-")</f>
        <v>-</v>
      </c>
      <c r="AN58" s="378" t="str">
        <f t="array" aca="1" ref="AN58" ca="1">IFERROR(IF(AI58&lt;=$AB$2,"-",INDEX($A$3:$B$12,MATCH(INDEX(Calculation_Tab,SMALL(ROW(Main_Dil)*(Main_Dil&lt;&gt;"-"),COUNTIF(Main_Dil,"-")+ROW()-3-$AB$2)-9,5),$A$3:$A$12,0),2)),"-")</f>
        <v>-</v>
      </c>
      <c r="AO58" s="378" t="str">
        <f t="array" aca="1" ref="AO58" ca="1">IFERROR(IF(AI58&lt;=$AB$2,"-",INDEX(Coordinate,MATCH(INDEX(Calculation_Tab,SMALL(ROW(Main_Dil)*(Main_Dil&lt;&gt;"-"),COUNTIF(Main_Dil,"-")+ROW()-3-$AB$2)-9,6),$X$4:$X$99,0),2)),"-")</f>
        <v>-</v>
      </c>
      <c r="AP58" s="510" t="str">
        <f t="array" aca="1" ref="AP58" ca="1">IFERROR(IF(AI58&lt;=$AB$2,"-",INDEX(Calculation_Tab,SMALL(ROW(Main_Dil)*(Main_Dil&lt;&gt;"-"),COUNTIF(Main_Dil,"-")+ROW()-3-$AB$2)-9,21)),"-")</f>
        <v>-</v>
      </c>
      <c r="AQ58" s="511" t="str">
        <f t="array" aca="1" ref="AQ58" ca="1">IFERROR(IF(AI58&lt;=$AB$2,"-",INDEX(Calculation_Tab,SMALL(ROW(Main_Dil)*(Main_Dil&lt;&gt;"-"),COUNTIF(Main_Dil,"-")+ROW()-3-$AB$2)-9,22)),"-")</f>
        <v>-</v>
      </c>
      <c r="AR58" s="487" t="str">
        <f t="shared" ca="1" si="7"/>
        <v>-</v>
      </c>
      <c r="AS58" s="378">
        <v>55</v>
      </c>
      <c r="AT58" s="497" t="s">
        <v>160</v>
      </c>
      <c r="AU58" s="498">
        <v>55</v>
      </c>
      <c r="AV58" s="378" t="str">
        <f t="shared" ca="1" si="8"/>
        <v>-</v>
      </c>
      <c r="AW58" s="378" t="str">
        <f t="array" aca="1" ref="AW58" ca="1">IFERROR(IF(AS58&lt;=$AB$2+$AN$2,"-",INDEX(Calculation_Tab,SMALL(ROW(Direct_Denaturation)*(Direct_Denaturation&lt;&gt;"-"),COUNTIF(Direct_Denaturation,"-")+ROW()-3-$AB$2-$AN$2)-9,5)),"-")</f>
        <v>-</v>
      </c>
      <c r="AX58" s="378" t="str">
        <f t="array" aca="1" ref="AX58" ca="1">IFERROR(IF(AS58&lt;=$AB$2+$AN$2,"-",INDEX($A$3:$B$12,MATCH(INDEX(Calculation_Tab,SMALL(ROW(Direct_Denaturation)*(Direct_Denaturation&lt;&gt;"-"),COUNTIF(Direct_Denaturation,"-")+ROW()-3-$AB$2-$AN$2)-9,5),$A$3:$A$12,0),2)),"-")</f>
        <v>-</v>
      </c>
      <c r="AY58" s="378" t="str">
        <f t="array" aca="1" ref="AY58" ca="1">IFERROR(IF(AS58&lt;=$AB$2+$AN$2,"-",INDEX(Coordinate,MATCH(INDEX(Calculation_Tab,SMALL(ROW(Direct_Denaturation)*(Direct_Denaturation&lt;&gt;"-"),COUNTIF(Direct_Denaturation,"-")+ROW()-3-$AB$2-$AN$2)-9,6),$X$4:$X$99,0),2)),"-")</f>
        <v>-</v>
      </c>
      <c r="AZ58" s="510" t="str">
        <f t="array" aca="1" ref="AZ58" ca="1">IFERROR(IF(AS58&lt;=$AB$2+$AN$2,"-",INDEX(Calculation_Tab,SMALL(ROW(Direct_Denaturation)*(Direct_Denaturation&lt;&gt;"-"),COUNTIF(Direct_Denaturation,"-")+ROW()-3-$AB$2-$AN$2)-9,32)),"-")</f>
        <v>-</v>
      </c>
      <c r="BA58" s="510" t="str">
        <f t="array" aca="1" ref="BA58" ca="1">IFERROR(IF(AS58&lt;=$AB$2+$AN$2,"-",INDEX(Calculation_Tab,SMALL(ROW(Direct_Denaturation)*(Direct_Denaturation&lt;&gt;"-"),COUNTIF(Direct_Denaturation,"-")+ROW()-3-$AB$2-$AN$2)-9,34)),"-")</f>
        <v>-</v>
      </c>
      <c r="BB58" s="510" t="str">
        <f t="array" aca="1" ref="BB58" ca="1">IFERROR(IF(AS58&lt;=$AB$2+$AN$2,"-",INDEX(Calculation_Tab,SMALL(ROW(Direct_Denaturation)*(Direct_Denaturation&lt;&gt;"-"),COUNTIF(Direct_Denaturation,"-")+ROW()-3-$AB$2-$AN$2)-9,33)),"-")</f>
        <v>-</v>
      </c>
      <c r="BC58" s="510" t="str">
        <f t="array" aca="1" ref="BC58" ca="1">IFERROR(IF(AS58&lt;=$AB$2+$AN$2,"-",INDEX(Calculation_Tab,SMALL(ROW(Direct_Denaturation)*(Direct_Denaturation&lt;&gt;"-"),COUNTIF(Direct_Denaturation,"-")+ROW()-3-$AB$2-$AN$2)-9,35)),"-")</f>
        <v>-</v>
      </c>
      <c r="BD58" s="511" t="str">
        <f t="shared" ca="1" si="9"/>
        <v>-</v>
      </c>
      <c r="BE58" s="494" t="s">
        <v>396</v>
      </c>
      <c r="BF58" s="378">
        <v>55</v>
      </c>
      <c r="BG58" s="515" t="str">
        <v>-</v>
      </c>
      <c r="BH58" s="516" t="str">
        <f>IFERROR(IF((Calculation!$AR$6/INDEX(ListAndConversion!D:P,MATCH(BG58,E:E,0),13))&lt;Calculation!$O$6,INDEX(ListAndConversion!D:P,MATCH(BG58,E:E,0),13)*Calculation!$O$6,Calculation!$AR$6),"-")</f>
        <v>-</v>
      </c>
      <c r="BI58" s="517" t="str">
        <f t="shared" si="33"/>
        <v>-</v>
      </c>
      <c r="BJ58" s="518" t="str">
        <f t="shared" si="34"/>
        <v>-</v>
      </c>
      <c r="BK58" s="378" t="s">
        <v>158</v>
      </c>
      <c r="BL58" s="378">
        <v>55</v>
      </c>
      <c r="BM58" s="487" t="str">
        <f t="array" aca="1" ref="BM58" ca="1">IFERROR(INDEX(Calculation_Tab,SMALL(ROW(ToPool)*(ToPool&lt;&gt;"-"),COUNTIF(ToPool,"-")+ROW()-3)-9,3),"-")</f>
        <v>-</v>
      </c>
      <c r="BN58" s="378" t="str">
        <f t="shared" ca="1" si="12"/>
        <v>-</v>
      </c>
      <c r="BO58" s="378" t="str">
        <f t="shared" ca="1" si="13"/>
        <v>-</v>
      </c>
      <c r="BP58" s="523" t="str">
        <f t="shared" ca="1" si="14"/>
        <v>-</v>
      </c>
      <c r="BQ58" s="378" t="str">
        <f t="array" aca="1" ref="BQ58" ca="1">IFERROR(INDEX(BE:BG,MATCH(INDEX(Calculation_Tab,SMALL(ROW(ToPool)*(ToPool&lt;&gt;"-"),COUNTIF(ToPool,"-")+ROW()-3)-9,9),BG:BG,0),2),"-")</f>
        <v>-</v>
      </c>
      <c r="BR58" s="510" t="str">
        <f t="shared" ca="1" si="15"/>
        <v>-</v>
      </c>
      <c r="BS58" s="511" t="str">
        <f t="shared" ca="1" si="16"/>
        <v>-</v>
      </c>
      <c r="BT58" s="378" t="s">
        <v>164</v>
      </c>
      <c r="BU58" s="487" t="str">
        <f t="shared" ca="1" si="21"/>
        <v>-</v>
      </c>
      <c r="BV58" s="487" t="str">
        <f t="array" aca="1" ref="BV5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58" s="378" t="str">
        <f t="shared" ca="1" si="17"/>
        <v>-</v>
      </c>
      <c r="BX58" s="378" t="str">
        <f t="shared" ca="1" si="18"/>
        <v>-</v>
      </c>
      <c r="BY58" s="510" t="str">
        <f ca="1">IFERROR(ROUND(INDEX(Cluster,MATCH(IF(LEFT(BV58,4)="Pool",INDEX(Cluster,MATCH(INDEX(Calculation_Tab,MATCH(INDEX($BE$4:$BJ$99,MATCH(BV58,$BE$4:$BE$99,0),3),Flow_Cell_Lane,0),3),Cluster!$F$29:$F$412,0),6),BV58),Identifier_Cluster,0),19)*IF(LEFT(BV58,4)="pool",IF(LEN(INDEX($BE$4:$BJ$99,MATCH(BV58,$BE$4:$BE$99,0),3))=10,2,IF(LEN(INDEX($BE$4:$BJ$99,MATCH(BV58,$BE$4:$BE$99,0),3))&gt;10,LEN(INDEX($BE$4:$BJ$99,MATCH(BV58,$BE$4:$BE$99,0),3))-8,1)),1)*IF(LEFT(BV58,4)="pool",IF(INDEX($BE$4:$BJ$99,MATCH(BV58,$BE$4:$BE$99,0),6)&lt;1,1,INDEX($BE$4:$BJ$99,MATCH(BV58,$BE$4:$BE$99,0),6)),INDEX(Calculation_Tab,MATCH(BV58,Identifier,0),10)),1)*(1+Calculation!$Q$6),"-")</f>
        <v>-</v>
      </c>
      <c r="BZ58" s="378" t="str">
        <f ca="1">IFERROR((0.5/50)*CE58/Calculation!$AG$6*(IF(LEFT(BV58,4)="Pool",IF(LEN(INDEX($BE$4:$BJ$99,MATCH(BV58,$BE$4:$BE$99,0),3))=10,2,IF(LEN(INDEX($BE$4:$BJ$99,MATCH(BV58,$BE$4:$BE$99,0),3))&gt;10,LEN(INDEX($BE$4:$BJ$99,MATCH(BV58,$BE$4:$BE$99,0),3))-8,1)),IF(INDEX(Calculation_Tab,MATCH(BV58,Identifier,0),10)&gt;1,INDEX(Calculation_Tab,MATCH(BV58,Identifier,0),10),1)))*(1+Calculation!$Q$6),"-")</f>
        <v>-</v>
      </c>
      <c r="CA58" s="510" t="str">
        <f ca="1">IFERROR(IF((BZ58*Calculation!$AG$6/0.05)-SUM(BY58:BZ58,CC58)&gt;0,(BZ58*Calculation!$AG$6/0.05)-SUM(BY58:BZ58,CC58),0),"-")</f>
        <v>-</v>
      </c>
      <c r="CB58" s="510" t="str">
        <f ca="1">IFERROR(5/50*CE58*(IF(LEFT(BV58,4)="Pool",IF(LEN(INDEX($BE$4:$BJ$99,MATCH(BV58,$BE$4:$BE$99,0),3))=10,2,IF(LEN(INDEX($BE$4:$BJ$99,MATCH(BV58,$BE$4:$BE$99,0),3))&gt;10,LEN(INDEX($BE$4:$BJ$99,MATCH(BV58,$BE$4:$BE$99,0),3))-8,1)),IF(INDEX(Calculation_Tab,MATCH(BV58,Identifier,0),10)&gt;1,INDEX(Calculation_Tab,MATCH(BV58,Identifier,0),10),1)))*(1+Calculation!$Q$6),"-")</f>
        <v>-</v>
      </c>
      <c r="CC58" s="508" t="str">
        <f ca="1">IFERROR(ROUND(INDEX(Cluster,MATCH(IF(LEFT(BV58,4)="Pool",INDEX(Cluster,MATCH(INDEX(Calculation_Tab,MATCH(INDEX($BE$4:$BJ$99,MATCH(BV58,$BE$4:$BE$99,0),3),Flow_Cell_Lane,0),3),Cluster!$F$29:$F$412,0),6),BV58),Identifier_Cluster,0),20)*IF(LEFT(BV58,4)="pool",IF(LEN(INDEX($BE$4:$BJ$99,MATCH(BV58,$BE$4:$BE$99,0),3))=10,2,IF(LEN(INDEX($BE$4:$BJ$99,MATCH(BV58,$BE$4:$BE$99,0),3))&gt;10,LEN(INDEX($BE$4:$BJ$99,MATCH(BV58,$BE$4:$BE$99,0),3))-8,1)),1)*IF(LEFT(BV58,4)="pool",IF(INDEX($BE$4:$BJ$99,MATCH(BV58,$BE$4:$BE$99,0),6)&lt;1,1,INDEX($BE$4:$BJ$99,MATCH(BV58,$BE$4:$BE$99,0),6)),INDEX(Calculation_Tab,MATCH(BV58,Identifier,0),10)),1)*(1+Calculation!$Q$6),"-")</f>
        <v>-</v>
      </c>
      <c r="CD58" s="509" t="str">
        <f ca="1">IFERROR(INDEX(Cluster!AC:AD,MATCH(IF(LEFT(BV58,4)="Pool",INDEX(Cluster!$D$29:$AA$412,MATCH(INDEX(Calculation_Tab,MATCH(INDEX($BE$4:$BJ$99,MATCH(BV58,$BE$4:$BE$99,0),3),Flow_Cell_Lane,0),3),Cluster!$F$29:$F$412,0),24),INDEX(Cluster!$D$29:$AA$412,MATCH(BV58,Cluster!$F$29:$F$412,0),24)),Cluster!AC:AC,0),2),"-")</f>
        <v>-</v>
      </c>
      <c r="CE58" s="378" t="str">
        <f ca="1">IFERROR(IF(BV58&lt;&gt;"-",Calculation!$AK$6,"-"),"-")</f>
        <v>-</v>
      </c>
      <c r="CF58" s="378" t="str">
        <f ca="1">IF(OR(LEFT(ListAndConversion!BW58,3)="Dil",LEFT(ListAndConversion!BW58,3)="Poo"),ListAndConversion!$BT$4,IF(LEFT(ListAndConversion!BW58,3)="Sou",INDEX(ListAndConversion!$AT$3:$AV$387,MATCH(ListAndConversion!BV58,ListAndConversion!$AV$3:$AV$387,0),1),"-"))</f>
        <v>-</v>
      </c>
      <c r="CG58" s="498" t="str">
        <f ca="1">IF(OR(LEFT(ListAndConversion!BW58,3)="Dil",LEFT(ListAndConversion!BW58,3)="Poo"),ListAndConversion!BU58,IF(LEFT(ListAndConversion!BW58,3)="Sou",INDEX(ListAndConversion!$AT$4:$AV$387,MATCH(ListAndConversion!BV58,ListAndConversion!$AV$4:$AV$387,0),2),"-"))</f>
        <v>-</v>
      </c>
      <c r="CH58" s="378"/>
      <c r="CI58" s="487" t="str">
        <f t="shared" ca="1" si="19"/>
        <v>-</v>
      </c>
      <c r="CJ58" s="378" t="str">
        <f t="shared" ca="1" si="40"/>
        <v>-</v>
      </c>
      <c r="CK58" s="378" t="str">
        <f t="shared" ca="1" si="40"/>
        <v>-</v>
      </c>
      <c r="CL58" s="378" t="str">
        <f t="shared" ca="1" si="40"/>
        <v>-</v>
      </c>
      <c r="CM58" s="378" t="str">
        <f t="shared" ca="1" si="40"/>
        <v>-</v>
      </c>
      <c r="CN58" s="378" t="str">
        <f t="shared" ca="1" si="40"/>
        <v>-</v>
      </c>
      <c r="CO58" s="378" t="str">
        <f t="shared" ca="1" si="40"/>
        <v>-</v>
      </c>
      <c r="CP58" s="378" t="str">
        <f t="shared" ca="1" si="40"/>
        <v>-</v>
      </c>
      <c r="CQ58" s="378" t="str">
        <f t="shared" ca="1" si="40"/>
        <v>-</v>
      </c>
      <c r="CR58" s="510" t="str">
        <f ca="1">IFERROR(IF(LEFT(BW58,3)="Poo",INDEX($BE$4:$BJ$99,MATCH(CI58,$BG$4:$BG$99,0),6)*((15/50))*Calculation!$AK$6,INDEX(Calculation_Tab,MATCH(BV58,Identifier,0),10)/(IF(LEN(INDEX(Calculation_Tab,MATCH(BV58,Identifier,0),9))&gt;8,LEN(INDEX(Calculation_Tab,MATCH(BV58,Identifier,0),9))-8,1))*((15/50)*Calculation!$AK$6)),"-")</f>
        <v>-</v>
      </c>
      <c r="CS58" s="498" t="str">
        <f ca="1">IF(CI58="-","-",IF(COUNTIF($CI$3:CI58,CI58)&gt;1,0,IFERROR((35/50)*Calculation!$AK$6,"-")))</f>
        <v>-</v>
      </c>
    </row>
    <row r="59" spans="4:97" x14ac:dyDescent="0.5">
      <c r="D59" s="487" t="e">
        <f t="shared" si="0"/>
        <v>#DIV/0!</v>
      </c>
      <c r="E59" s="496" t="e">
        <f t="array" ref="E59">IF(IF((ROW(E59)-3)&lt;(ListAndConversion!$A$15),INDEX(Flow_Cell_Lane,MIN(IF(COUNTIF($E$2:E58,Flow_Cell_Lane)=0,ROW(Flow_Cell_Lane)-9))),"-")="","-",IF((ROW(E59)-3)&lt;(ListAndConversion!$A$15),INDEX(Flow_Cell_Lane,MIN(IF(COUNTIF($E$2:E58,Flow_Cell_Lane)=0,ROW(Flow_Cell_Lane)-9))),"-"))</f>
        <v>#DIV/0!</v>
      </c>
      <c r="F59" s="378" t="e">
        <f t="shared" si="1"/>
        <v>#DIV/0!</v>
      </c>
      <c r="G59" s="378" t="e">
        <f t="shared" si="39"/>
        <v>#DIV/0!</v>
      </c>
      <c r="H59" s="378" t="e">
        <f t="shared" si="39"/>
        <v>#DIV/0!</v>
      </c>
      <c r="I59" s="378" t="e">
        <f t="shared" si="39"/>
        <v>#DIV/0!</v>
      </c>
      <c r="J59" s="378" t="e">
        <f t="shared" si="39"/>
        <v>#DIV/0!</v>
      </c>
      <c r="K59" s="378" t="e">
        <f t="shared" si="39"/>
        <v>#DIV/0!</v>
      </c>
      <c r="L59" s="378" t="e">
        <f t="shared" si="39"/>
        <v>#DIV/0!</v>
      </c>
      <c r="M59" s="378" t="e">
        <f t="shared" si="39"/>
        <v>#DIV/0!</v>
      </c>
      <c r="N59" s="497" t="e">
        <f t="shared" si="3"/>
        <v>#DIV/0!</v>
      </c>
      <c r="O59" s="497" t="str">
        <f t="array" ref="O59">IFERROR(INDEX(Calculation!I:AN,MATCH(ListAndConversion!E59,Calculation!I:I,0),31),"-")</f>
        <v>-</v>
      </c>
      <c r="P59" s="498">
        <f>IF(COUNTIFS(Calculation!$I$10:$I$393,E59,Direct_Denaturation,"-")&lt;&gt;1,COUNTIFS(Calculation!$I$10:$I$393,E59,Direct_Denaturation,"-"),0)</f>
        <v>0</v>
      </c>
      <c r="Q59" s="378"/>
      <c r="R59" s="487" t="e">
        <f t="array" ref="R59">IF(IF((ROW(R59)-3)&lt;(Calculation!$H$6),INDEX(Flow_Cell,MIN(IF(COUNTIF($R$2:R58,Flow_Cell)=0,ROW(Flow_Cell)-9))),"-")="","-",IF((ROW(R59)-3)&lt;(Calculation!$H$6),INDEX(Flow_Cell,MIN(IF(COUNTIF($R$2:R58,Flow_Cell)=0,ROW(Flow_Cell)-9))),"-"))</f>
        <v>#DIV/0!</v>
      </c>
      <c r="S59" s="378" t="e">
        <f t="shared" ref="S59:S66" si="41">IF($R$10="-","-",CONCATENATE($R$10,"-",T59))</f>
        <v>#DIV/0!</v>
      </c>
      <c r="T59" s="378">
        <v>1</v>
      </c>
      <c r="U59" s="498">
        <v>57</v>
      </c>
      <c r="V59" s="487">
        <v>56</v>
      </c>
      <c r="W59" s="497" t="s">
        <v>287</v>
      </c>
      <c r="X59" s="497" t="s">
        <v>397</v>
      </c>
      <c r="Y59" s="378">
        <v>56</v>
      </c>
      <c r="Z59" s="378" t="str">
        <f t="shared" ca="1" si="32"/>
        <v>-</v>
      </c>
      <c r="AA59" s="508" t="str">
        <f t="array" aca="1" ref="AA59" ca="1">IFERROR(INDEX(Calculation_Tab,SMALL(ROW(Sample_Intermediate_Dil)*(Sample_Intermediate_Dil&lt;&gt;"-"),COUNTIF(Sample_Intermediate_Dil,"-")+ROW()-3)-9,5),"-")</f>
        <v>-</v>
      </c>
      <c r="AB59" s="378" t="str">
        <f t="array" aca="1" ref="AB59" ca="1">IFERROR(INDEX($A$3:$B$12,MATCH(INDEX(Calculation_Tab,SMALL(ROW(Sample_Intermediate_Dil)*(Sample_Intermediate_Dil&lt;&gt;"-"),COUNTIF(Sample_Intermediate_Dil,"-")+ROW()-3)-9,5),$A$3:$A$12,0),2),"-")</f>
        <v>-</v>
      </c>
      <c r="AC59" s="509" t="str">
        <f t="array" aca="1" ref="AC59" ca="1">IFERROR(INDEX(Coordinate,MATCH(INDEX(Calculation_Tab,SMALL(ROW(Sample_Intermediate_Dil)*(Sample_Intermediate_Dil&lt;&gt;"-"),COUNTIF(Sample_Intermediate_Dil,"-")+ROW()-3)-9,6),$X$4:$X$99,0),2),"-")</f>
        <v>-</v>
      </c>
      <c r="AD59" s="510" t="str">
        <f t="array" aca="1" ref="AD59" ca="1">IFERROR(INDEX(Calculation_Tab,SMALL(ROW(Sample_Intermediate_Dil)*(Sample_Intermediate_Dil&lt;&gt;"-"),COUNTIF(Sample_Intermediate_Dil,"-")+ROW()-3)-9,24),"-")</f>
        <v>-</v>
      </c>
      <c r="AE59" s="510" t="str">
        <f t="array" aca="1" ref="AE59" ca="1">IFERROR(INDEX(Calculation_Tab,SMALL(ROW(Sample_Intermediate_Dil)*(Sample_Intermediate_Dil&lt;&gt;"-"),COUNTIF(Sample_Intermediate_Dil,"-")+ROW()-3)-9,25),"-")</f>
        <v>-</v>
      </c>
      <c r="AF59" s="510" t="str">
        <f t="array" aca="1" ref="AF59" ca="1">IFERROR(INDEX(Calculation_Tab,SMALL(ROW(Sample_Intermediate_Dil)*(Sample_Intermediate_Dil&lt;&gt;"-"),COUNTIF(Sample_Intermediate_Dil,"-")+ROW()-3)-9,26),"-")</f>
        <v>-</v>
      </c>
      <c r="AG59" s="511" t="str">
        <f t="array" aca="1" ref="AG59" ca="1">IFERROR(INDEX(Calculation_Tab,SMALL(ROW(Sample_Intermediate_Dil)*(Sample_Intermediate_Dil&lt;&gt;"-"),COUNTIF(Sample_Intermediate_Dil,"-")+ROW()-3)-9,27),"-")</f>
        <v>-</v>
      </c>
      <c r="AI59" s="487">
        <v>56</v>
      </c>
      <c r="AJ59" s="497" t="s">
        <v>160</v>
      </c>
      <c r="AK59" s="378">
        <v>56</v>
      </c>
      <c r="AL59" s="378" t="str">
        <f t="shared" ca="1" si="6"/>
        <v>-</v>
      </c>
      <c r="AM59" s="378" t="str">
        <f t="array" aca="1" ref="AM59" ca="1">IFERROR(IF(AI59&lt;=$AB$2,"-",INDEX(Calculation_Tab,SMALL(ROW(Main_Dil)*(Main_Dil&lt;&gt;"-"),COUNTIF(Main_Dil,"-")+ROW()-3-$AB$2)-9,5)),"-")</f>
        <v>-</v>
      </c>
      <c r="AN59" s="378" t="str">
        <f t="array" aca="1" ref="AN59" ca="1">IFERROR(IF(AI59&lt;=$AB$2,"-",INDEX($A$3:$B$12,MATCH(INDEX(Calculation_Tab,SMALL(ROW(Main_Dil)*(Main_Dil&lt;&gt;"-"),COUNTIF(Main_Dil,"-")+ROW()-3-$AB$2)-9,5),$A$3:$A$12,0),2)),"-")</f>
        <v>-</v>
      </c>
      <c r="AO59" s="378" t="str">
        <f t="array" aca="1" ref="AO59" ca="1">IFERROR(IF(AI59&lt;=$AB$2,"-",INDEX(Coordinate,MATCH(INDEX(Calculation_Tab,SMALL(ROW(Main_Dil)*(Main_Dil&lt;&gt;"-"),COUNTIF(Main_Dil,"-")+ROW()-3-$AB$2)-9,6),$X$4:$X$99,0),2)),"-")</f>
        <v>-</v>
      </c>
      <c r="AP59" s="510" t="str">
        <f t="array" aca="1" ref="AP59" ca="1">IFERROR(IF(AI59&lt;=$AB$2,"-",INDEX(Calculation_Tab,SMALL(ROW(Main_Dil)*(Main_Dil&lt;&gt;"-"),COUNTIF(Main_Dil,"-")+ROW()-3-$AB$2)-9,21)),"-")</f>
        <v>-</v>
      </c>
      <c r="AQ59" s="511" t="str">
        <f t="array" aca="1" ref="AQ59" ca="1">IFERROR(IF(AI59&lt;=$AB$2,"-",INDEX(Calculation_Tab,SMALL(ROW(Main_Dil)*(Main_Dil&lt;&gt;"-"),COUNTIF(Main_Dil,"-")+ROW()-3-$AB$2)-9,22)),"-")</f>
        <v>-</v>
      </c>
      <c r="AR59" s="487" t="str">
        <f t="shared" ca="1" si="7"/>
        <v>-</v>
      </c>
      <c r="AS59" s="378">
        <v>56</v>
      </c>
      <c r="AT59" s="497" t="s">
        <v>160</v>
      </c>
      <c r="AU59" s="498">
        <v>56</v>
      </c>
      <c r="AV59" s="378" t="str">
        <f t="shared" ca="1" si="8"/>
        <v>-</v>
      </c>
      <c r="AW59" s="378" t="str">
        <f t="array" aca="1" ref="AW59" ca="1">IFERROR(IF(AS59&lt;=$AB$2+$AN$2,"-",INDEX(Calculation_Tab,SMALL(ROW(Direct_Denaturation)*(Direct_Denaturation&lt;&gt;"-"),COUNTIF(Direct_Denaturation,"-")+ROW()-3-$AB$2-$AN$2)-9,5)),"-")</f>
        <v>-</v>
      </c>
      <c r="AX59" s="378" t="str">
        <f t="array" aca="1" ref="AX59" ca="1">IFERROR(IF(AS59&lt;=$AB$2+$AN$2,"-",INDEX($A$3:$B$12,MATCH(INDEX(Calculation_Tab,SMALL(ROW(Direct_Denaturation)*(Direct_Denaturation&lt;&gt;"-"),COUNTIF(Direct_Denaturation,"-")+ROW()-3-$AB$2-$AN$2)-9,5),$A$3:$A$12,0),2)),"-")</f>
        <v>-</v>
      </c>
      <c r="AY59" s="378" t="str">
        <f t="array" aca="1" ref="AY59" ca="1">IFERROR(IF(AS59&lt;=$AB$2+$AN$2,"-",INDEX(Coordinate,MATCH(INDEX(Calculation_Tab,SMALL(ROW(Direct_Denaturation)*(Direct_Denaturation&lt;&gt;"-"),COUNTIF(Direct_Denaturation,"-")+ROW()-3-$AB$2-$AN$2)-9,6),$X$4:$X$99,0),2)),"-")</f>
        <v>-</v>
      </c>
      <c r="AZ59" s="510" t="str">
        <f t="array" aca="1" ref="AZ59" ca="1">IFERROR(IF(AS59&lt;=$AB$2+$AN$2,"-",INDEX(Calculation_Tab,SMALL(ROW(Direct_Denaturation)*(Direct_Denaturation&lt;&gt;"-"),COUNTIF(Direct_Denaturation,"-")+ROW()-3-$AB$2-$AN$2)-9,32)),"-")</f>
        <v>-</v>
      </c>
      <c r="BA59" s="510" t="str">
        <f t="array" aca="1" ref="BA59" ca="1">IFERROR(IF(AS59&lt;=$AB$2+$AN$2,"-",INDEX(Calculation_Tab,SMALL(ROW(Direct_Denaturation)*(Direct_Denaturation&lt;&gt;"-"),COUNTIF(Direct_Denaturation,"-")+ROW()-3-$AB$2-$AN$2)-9,34)),"-")</f>
        <v>-</v>
      </c>
      <c r="BB59" s="510" t="str">
        <f t="array" aca="1" ref="BB59" ca="1">IFERROR(IF(AS59&lt;=$AB$2+$AN$2,"-",INDEX(Calculation_Tab,SMALL(ROW(Direct_Denaturation)*(Direct_Denaturation&lt;&gt;"-"),COUNTIF(Direct_Denaturation,"-")+ROW()-3-$AB$2-$AN$2)-9,33)),"-")</f>
        <v>-</v>
      </c>
      <c r="BC59" s="510" t="str">
        <f t="array" aca="1" ref="BC59" ca="1">IFERROR(IF(AS59&lt;=$AB$2+$AN$2,"-",INDEX(Calculation_Tab,SMALL(ROW(Direct_Denaturation)*(Direct_Denaturation&lt;&gt;"-"),COUNTIF(Direct_Denaturation,"-")+ROW()-3-$AB$2-$AN$2)-9,35)),"-")</f>
        <v>-</v>
      </c>
      <c r="BD59" s="511" t="str">
        <f t="shared" ca="1" si="9"/>
        <v>-</v>
      </c>
      <c r="BE59" s="494" t="s">
        <v>398</v>
      </c>
      <c r="BF59" s="378">
        <v>56</v>
      </c>
      <c r="BG59" s="515" t="str">
        <v>-</v>
      </c>
      <c r="BH59" s="516" t="str">
        <f>IFERROR(IF((Calculation!$AR$6/INDEX(ListAndConversion!D:P,MATCH(BG59,E:E,0),13))&lt;Calculation!$O$6,INDEX(ListAndConversion!D:P,MATCH(BG59,E:E,0),13)*Calculation!$O$6,Calculation!$AR$6),"-")</f>
        <v>-</v>
      </c>
      <c r="BI59" s="517" t="str">
        <f t="shared" si="33"/>
        <v>-</v>
      </c>
      <c r="BJ59" s="518" t="str">
        <f t="shared" si="34"/>
        <v>-</v>
      </c>
      <c r="BK59" s="378" t="s">
        <v>158</v>
      </c>
      <c r="BL59" s="378">
        <v>56</v>
      </c>
      <c r="BM59" s="487" t="str">
        <f t="array" aca="1" ref="BM59" ca="1">IFERROR(INDEX(Calculation_Tab,SMALL(ROW(ToPool)*(ToPool&lt;&gt;"-"),COUNTIF(ToPool,"-")+ROW()-3)-9,3),"-")</f>
        <v>-</v>
      </c>
      <c r="BN59" s="378" t="str">
        <f t="shared" ca="1" si="12"/>
        <v>-</v>
      </c>
      <c r="BO59" s="378" t="str">
        <f t="shared" ca="1" si="13"/>
        <v>-</v>
      </c>
      <c r="BP59" s="523" t="str">
        <f t="shared" ca="1" si="14"/>
        <v>-</v>
      </c>
      <c r="BQ59" s="378" t="str">
        <f t="array" aca="1" ref="BQ59" ca="1">IFERROR(INDEX(BE:BG,MATCH(INDEX(Calculation_Tab,SMALL(ROW(ToPool)*(ToPool&lt;&gt;"-"),COUNTIF(ToPool,"-")+ROW()-3)-9,9),BG:BG,0),2),"-")</f>
        <v>-</v>
      </c>
      <c r="BR59" s="510" t="str">
        <f t="shared" ca="1" si="15"/>
        <v>-</v>
      </c>
      <c r="BS59" s="511" t="str">
        <f t="shared" ca="1" si="16"/>
        <v>-</v>
      </c>
      <c r="BT59" s="378" t="s">
        <v>164</v>
      </c>
      <c r="BU59" s="487" t="str">
        <f t="shared" ca="1" si="21"/>
        <v>-</v>
      </c>
      <c r="BV59" s="487" t="str">
        <f t="array" aca="1" ref="BV5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59" s="378" t="str">
        <f t="shared" ca="1" si="17"/>
        <v>-</v>
      </c>
      <c r="BX59" s="378" t="str">
        <f t="shared" ca="1" si="18"/>
        <v>-</v>
      </c>
      <c r="BY59" s="510" t="str">
        <f ca="1">IFERROR(ROUND(INDEX(Cluster,MATCH(IF(LEFT(BV59,4)="Pool",INDEX(Cluster,MATCH(INDEX(Calculation_Tab,MATCH(INDEX($BE$4:$BJ$99,MATCH(BV59,$BE$4:$BE$99,0),3),Flow_Cell_Lane,0),3),Cluster!$F$29:$F$412,0),6),BV59),Identifier_Cluster,0),19)*IF(LEFT(BV59,4)="pool",IF(LEN(INDEX($BE$4:$BJ$99,MATCH(BV59,$BE$4:$BE$99,0),3))=10,2,IF(LEN(INDEX($BE$4:$BJ$99,MATCH(BV59,$BE$4:$BE$99,0),3))&gt;10,LEN(INDEX($BE$4:$BJ$99,MATCH(BV59,$BE$4:$BE$99,0),3))-8,1)),1)*IF(LEFT(BV59,4)="pool",IF(INDEX($BE$4:$BJ$99,MATCH(BV59,$BE$4:$BE$99,0),6)&lt;1,1,INDEX($BE$4:$BJ$99,MATCH(BV59,$BE$4:$BE$99,0),6)),INDEX(Calculation_Tab,MATCH(BV59,Identifier,0),10)),1)*(1+Calculation!$Q$6),"-")</f>
        <v>-</v>
      </c>
      <c r="BZ59" s="378" t="str">
        <f ca="1">IFERROR((0.5/50)*CE59/Calculation!$AG$6*(IF(LEFT(BV59,4)="Pool",IF(LEN(INDEX($BE$4:$BJ$99,MATCH(BV59,$BE$4:$BE$99,0),3))=10,2,IF(LEN(INDEX($BE$4:$BJ$99,MATCH(BV59,$BE$4:$BE$99,0),3))&gt;10,LEN(INDEX($BE$4:$BJ$99,MATCH(BV59,$BE$4:$BE$99,0),3))-8,1)),IF(INDEX(Calculation_Tab,MATCH(BV59,Identifier,0),10)&gt;1,INDEX(Calculation_Tab,MATCH(BV59,Identifier,0),10),1)))*(1+Calculation!$Q$6),"-")</f>
        <v>-</v>
      </c>
      <c r="CA59" s="510" t="str">
        <f ca="1">IFERROR(IF((BZ59*Calculation!$AG$6/0.05)-SUM(BY59:BZ59,CC59)&gt;0,(BZ59*Calculation!$AG$6/0.05)-SUM(BY59:BZ59,CC59),0),"-")</f>
        <v>-</v>
      </c>
      <c r="CB59" s="510" t="str">
        <f ca="1">IFERROR(5/50*CE59*(IF(LEFT(BV59,4)="Pool",IF(LEN(INDEX($BE$4:$BJ$99,MATCH(BV59,$BE$4:$BE$99,0),3))=10,2,IF(LEN(INDEX($BE$4:$BJ$99,MATCH(BV59,$BE$4:$BE$99,0),3))&gt;10,LEN(INDEX($BE$4:$BJ$99,MATCH(BV59,$BE$4:$BE$99,0),3))-8,1)),IF(INDEX(Calculation_Tab,MATCH(BV59,Identifier,0),10)&gt;1,INDEX(Calculation_Tab,MATCH(BV59,Identifier,0),10),1)))*(1+Calculation!$Q$6),"-")</f>
        <v>-</v>
      </c>
      <c r="CC59" s="508" t="str">
        <f ca="1">IFERROR(ROUND(INDEX(Cluster,MATCH(IF(LEFT(BV59,4)="Pool",INDEX(Cluster,MATCH(INDEX(Calculation_Tab,MATCH(INDEX($BE$4:$BJ$99,MATCH(BV59,$BE$4:$BE$99,0),3),Flow_Cell_Lane,0),3),Cluster!$F$29:$F$412,0),6),BV59),Identifier_Cluster,0),20)*IF(LEFT(BV59,4)="pool",IF(LEN(INDEX($BE$4:$BJ$99,MATCH(BV59,$BE$4:$BE$99,0),3))=10,2,IF(LEN(INDEX($BE$4:$BJ$99,MATCH(BV59,$BE$4:$BE$99,0),3))&gt;10,LEN(INDEX($BE$4:$BJ$99,MATCH(BV59,$BE$4:$BE$99,0),3))-8,1)),1)*IF(LEFT(BV59,4)="pool",IF(INDEX($BE$4:$BJ$99,MATCH(BV59,$BE$4:$BE$99,0),6)&lt;1,1,INDEX($BE$4:$BJ$99,MATCH(BV59,$BE$4:$BE$99,0),6)),INDEX(Calculation_Tab,MATCH(BV59,Identifier,0),10)),1)*(1+Calculation!$Q$6),"-")</f>
        <v>-</v>
      </c>
      <c r="CD59" s="509" t="str">
        <f ca="1">IFERROR(INDEX(Cluster!AC:AD,MATCH(IF(LEFT(BV59,4)="Pool",INDEX(Cluster!$D$29:$AA$412,MATCH(INDEX(Calculation_Tab,MATCH(INDEX($BE$4:$BJ$99,MATCH(BV59,$BE$4:$BE$99,0),3),Flow_Cell_Lane,0),3),Cluster!$F$29:$F$412,0),24),INDEX(Cluster!$D$29:$AA$412,MATCH(BV59,Cluster!$F$29:$F$412,0),24)),Cluster!AC:AC,0),2),"-")</f>
        <v>-</v>
      </c>
      <c r="CE59" s="378" t="str">
        <f ca="1">IFERROR(IF(BV59&lt;&gt;"-",Calculation!$AK$6,"-"),"-")</f>
        <v>-</v>
      </c>
      <c r="CF59" s="378" t="str">
        <f ca="1">IF(OR(LEFT(ListAndConversion!BW59,3)="Dil",LEFT(ListAndConversion!BW59,3)="Poo"),ListAndConversion!$BT$4,IF(LEFT(ListAndConversion!BW59,3)="Sou",INDEX(ListAndConversion!$AT$3:$AV$387,MATCH(ListAndConversion!BV59,ListAndConversion!$AV$3:$AV$387,0),1),"-"))</f>
        <v>-</v>
      </c>
      <c r="CG59" s="498" t="str">
        <f ca="1">IF(OR(LEFT(ListAndConversion!BW59,3)="Dil",LEFT(ListAndConversion!BW59,3)="Poo"),ListAndConversion!BU59,IF(LEFT(ListAndConversion!BW59,3)="Sou",INDEX(ListAndConversion!$AT$4:$AV$387,MATCH(ListAndConversion!BV59,ListAndConversion!$AV$4:$AV$387,0),2),"-"))</f>
        <v>-</v>
      </c>
      <c r="CH59" s="378"/>
      <c r="CI59" s="487" t="str">
        <f t="shared" ca="1" si="19"/>
        <v>-</v>
      </c>
      <c r="CJ59" s="378" t="str">
        <f t="shared" ca="1" si="40"/>
        <v>-</v>
      </c>
      <c r="CK59" s="378" t="str">
        <f t="shared" ca="1" si="40"/>
        <v>-</v>
      </c>
      <c r="CL59" s="378" t="str">
        <f t="shared" ca="1" si="40"/>
        <v>-</v>
      </c>
      <c r="CM59" s="378" t="str">
        <f t="shared" ca="1" si="40"/>
        <v>-</v>
      </c>
      <c r="CN59" s="378" t="str">
        <f t="shared" ca="1" si="40"/>
        <v>-</v>
      </c>
      <c r="CO59" s="378" t="str">
        <f t="shared" ca="1" si="40"/>
        <v>-</v>
      </c>
      <c r="CP59" s="378" t="str">
        <f t="shared" ca="1" si="40"/>
        <v>-</v>
      </c>
      <c r="CQ59" s="378" t="str">
        <f t="shared" ca="1" si="40"/>
        <v>-</v>
      </c>
      <c r="CR59" s="510" t="str">
        <f ca="1">IFERROR(IF(LEFT(BW59,3)="Poo",INDEX($BE$4:$BJ$99,MATCH(CI59,$BG$4:$BG$99,0),6)*((15/50))*Calculation!$AK$6,INDEX(Calculation_Tab,MATCH(BV59,Identifier,0),10)/(IF(LEN(INDEX(Calculation_Tab,MATCH(BV59,Identifier,0),9))&gt;8,LEN(INDEX(Calculation_Tab,MATCH(BV59,Identifier,0),9))-8,1))*((15/50)*Calculation!$AK$6)),"-")</f>
        <v>-</v>
      </c>
      <c r="CS59" s="498" t="str">
        <f ca="1">IF(CI59="-","-",IF(COUNTIF($CI$3:CI59,CI59)&gt;1,0,IFERROR((35/50)*Calculation!$AK$6,"-")))</f>
        <v>-</v>
      </c>
    </row>
    <row r="60" spans="4:97" x14ac:dyDescent="0.5">
      <c r="D60" s="487" t="e">
        <f t="shared" si="0"/>
        <v>#DIV/0!</v>
      </c>
      <c r="E60" s="496" t="e">
        <f t="array" ref="E60">IF(IF((ROW(E60)-3)&lt;(ListAndConversion!$A$15),INDEX(Flow_Cell_Lane,MIN(IF(COUNTIF($E$2:E59,Flow_Cell_Lane)=0,ROW(Flow_Cell_Lane)-9))),"-")="","-",IF((ROW(E60)-3)&lt;(ListAndConversion!$A$15),INDEX(Flow_Cell_Lane,MIN(IF(COUNTIF($E$2:E59,Flow_Cell_Lane)=0,ROW(Flow_Cell_Lane)-9))),"-"))</f>
        <v>#DIV/0!</v>
      </c>
      <c r="F60" s="378" t="e">
        <f t="shared" si="1"/>
        <v>#DIV/0!</v>
      </c>
      <c r="G60" s="378" t="e">
        <f t="shared" si="39"/>
        <v>#DIV/0!</v>
      </c>
      <c r="H60" s="378" t="e">
        <f t="shared" si="39"/>
        <v>#DIV/0!</v>
      </c>
      <c r="I60" s="378" t="e">
        <f t="shared" si="39"/>
        <v>#DIV/0!</v>
      </c>
      <c r="J60" s="378" t="e">
        <f t="shared" si="39"/>
        <v>#DIV/0!</v>
      </c>
      <c r="K60" s="378" t="e">
        <f t="shared" si="39"/>
        <v>#DIV/0!</v>
      </c>
      <c r="L60" s="378" t="e">
        <f t="shared" si="39"/>
        <v>#DIV/0!</v>
      </c>
      <c r="M60" s="378" t="e">
        <f t="shared" si="39"/>
        <v>#DIV/0!</v>
      </c>
      <c r="N60" s="497" t="e">
        <f t="shared" si="3"/>
        <v>#DIV/0!</v>
      </c>
      <c r="O60" s="497" t="str">
        <f t="array" ref="O60">IFERROR(INDEX(Calculation!I:AN,MATCH(ListAndConversion!E60,Calculation!I:I,0),31),"-")</f>
        <v>-</v>
      </c>
      <c r="P60" s="498">
        <f>IF(COUNTIFS(Calculation!$I$10:$I$393,E60,Direct_Denaturation,"-")&lt;&gt;1,COUNTIFS(Calculation!$I$10:$I$393,E60,Direct_Denaturation,"-"),0)</f>
        <v>0</v>
      </c>
      <c r="Q60" s="378"/>
      <c r="R60" s="487" t="e">
        <f t="array" ref="R60">IF(IF((ROW(R60)-3)&lt;(Calculation!$H$6),INDEX(Flow_Cell,MIN(IF(COUNTIF($R$2:R59,Flow_Cell)=0,ROW(Flow_Cell)-9))),"-")="","-",IF((ROW(R60)-3)&lt;(Calculation!$H$6),INDEX(Flow_Cell,MIN(IF(COUNTIF($R$2:R59,Flow_Cell)=0,ROW(Flow_Cell)-9))),"-"))</f>
        <v>#DIV/0!</v>
      </c>
      <c r="S60" s="378" t="e">
        <f t="shared" si="41"/>
        <v>#DIV/0!</v>
      </c>
      <c r="T60" s="378">
        <v>2</v>
      </c>
      <c r="U60" s="498">
        <v>58</v>
      </c>
      <c r="V60" s="487">
        <v>57</v>
      </c>
      <c r="W60" s="497" t="s">
        <v>287</v>
      </c>
      <c r="X60" s="497" t="s">
        <v>399</v>
      </c>
      <c r="Y60" s="378">
        <v>57</v>
      </c>
      <c r="Z60" s="378" t="str">
        <f t="shared" ca="1" si="32"/>
        <v>-</v>
      </c>
      <c r="AA60" s="508" t="str">
        <f t="array" aca="1" ref="AA60" ca="1">IFERROR(INDEX(Calculation_Tab,SMALL(ROW(Sample_Intermediate_Dil)*(Sample_Intermediate_Dil&lt;&gt;"-"),COUNTIF(Sample_Intermediate_Dil,"-")+ROW()-3)-9,5),"-")</f>
        <v>-</v>
      </c>
      <c r="AB60" s="378" t="str">
        <f t="array" aca="1" ref="AB60" ca="1">IFERROR(INDEX($A$3:$B$12,MATCH(INDEX(Calculation_Tab,SMALL(ROW(Sample_Intermediate_Dil)*(Sample_Intermediate_Dil&lt;&gt;"-"),COUNTIF(Sample_Intermediate_Dil,"-")+ROW()-3)-9,5),$A$3:$A$12,0),2),"-")</f>
        <v>-</v>
      </c>
      <c r="AC60" s="509" t="str">
        <f t="array" aca="1" ref="AC60" ca="1">IFERROR(INDEX(Coordinate,MATCH(INDEX(Calculation_Tab,SMALL(ROW(Sample_Intermediate_Dil)*(Sample_Intermediate_Dil&lt;&gt;"-"),COUNTIF(Sample_Intermediate_Dil,"-")+ROW()-3)-9,6),$X$4:$X$99,0),2),"-")</f>
        <v>-</v>
      </c>
      <c r="AD60" s="510" t="str">
        <f t="array" aca="1" ref="AD60" ca="1">IFERROR(INDEX(Calculation_Tab,SMALL(ROW(Sample_Intermediate_Dil)*(Sample_Intermediate_Dil&lt;&gt;"-"),COUNTIF(Sample_Intermediate_Dil,"-")+ROW()-3)-9,24),"-")</f>
        <v>-</v>
      </c>
      <c r="AE60" s="510" t="str">
        <f t="array" aca="1" ref="AE60" ca="1">IFERROR(INDEX(Calculation_Tab,SMALL(ROW(Sample_Intermediate_Dil)*(Sample_Intermediate_Dil&lt;&gt;"-"),COUNTIF(Sample_Intermediate_Dil,"-")+ROW()-3)-9,25),"-")</f>
        <v>-</v>
      </c>
      <c r="AF60" s="510" t="str">
        <f t="array" aca="1" ref="AF60" ca="1">IFERROR(INDEX(Calculation_Tab,SMALL(ROW(Sample_Intermediate_Dil)*(Sample_Intermediate_Dil&lt;&gt;"-"),COUNTIF(Sample_Intermediate_Dil,"-")+ROW()-3)-9,26),"-")</f>
        <v>-</v>
      </c>
      <c r="AG60" s="511" t="str">
        <f t="array" aca="1" ref="AG60" ca="1">IFERROR(INDEX(Calculation_Tab,SMALL(ROW(Sample_Intermediate_Dil)*(Sample_Intermediate_Dil&lt;&gt;"-"),COUNTIF(Sample_Intermediate_Dil,"-")+ROW()-3)-9,27),"-")</f>
        <v>-</v>
      </c>
      <c r="AI60" s="487">
        <v>57</v>
      </c>
      <c r="AJ60" s="497" t="s">
        <v>160</v>
      </c>
      <c r="AK60" s="378">
        <v>57</v>
      </c>
      <c r="AL60" s="378" t="str">
        <f t="shared" ca="1" si="6"/>
        <v>-</v>
      </c>
      <c r="AM60" s="378" t="str">
        <f t="array" aca="1" ref="AM60" ca="1">IFERROR(IF(AI60&lt;=$AB$2,"-",INDEX(Calculation_Tab,SMALL(ROW(Main_Dil)*(Main_Dil&lt;&gt;"-"),COUNTIF(Main_Dil,"-")+ROW()-3-$AB$2)-9,5)),"-")</f>
        <v>-</v>
      </c>
      <c r="AN60" s="378" t="str">
        <f t="array" aca="1" ref="AN60" ca="1">IFERROR(IF(AI60&lt;=$AB$2,"-",INDEX($A$3:$B$12,MATCH(INDEX(Calculation_Tab,SMALL(ROW(Main_Dil)*(Main_Dil&lt;&gt;"-"),COUNTIF(Main_Dil,"-")+ROW()-3-$AB$2)-9,5),$A$3:$A$12,0),2)),"-")</f>
        <v>-</v>
      </c>
      <c r="AO60" s="378" t="str">
        <f t="array" aca="1" ref="AO60" ca="1">IFERROR(IF(AI60&lt;=$AB$2,"-",INDEX(Coordinate,MATCH(INDEX(Calculation_Tab,SMALL(ROW(Main_Dil)*(Main_Dil&lt;&gt;"-"),COUNTIF(Main_Dil,"-")+ROW()-3-$AB$2)-9,6),$X$4:$X$99,0),2)),"-")</f>
        <v>-</v>
      </c>
      <c r="AP60" s="510" t="str">
        <f t="array" aca="1" ref="AP60" ca="1">IFERROR(IF(AI60&lt;=$AB$2,"-",INDEX(Calculation_Tab,SMALL(ROW(Main_Dil)*(Main_Dil&lt;&gt;"-"),COUNTIF(Main_Dil,"-")+ROW()-3-$AB$2)-9,21)),"-")</f>
        <v>-</v>
      </c>
      <c r="AQ60" s="511" t="str">
        <f t="array" aca="1" ref="AQ60" ca="1">IFERROR(IF(AI60&lt;=$AB$2,"-",INDEX(Calculation_Tab,SMALL(ROW(Main_Dil)*(Main_Dil&lt;&gt;"-"),COUNTIF(Main_Dil,"-")+ROW()-3-$AB$2)-9,22)),"-")</f>
        <v>-</v>
      </c>
      <c r="AR60" s="487" t="str">
        <f t="shared" ca="1" si="7"/>
        <v>-</v>
      </c>
      <c r="AS60" s="378">
        <v>57</v>
      </c>
      <c r="AT60" s="497" t="s">
        <v>160</v>
      </c>
      <c r="AU60" s="498">
        <v>57</v>
      </c>
      <c r="AV60" s="378" t="str">
        <f t="shared" ca="1" si="8"/>
        <v>-</v>
      </c>
      <c r="AW60" s="378" t="str">
        <f t="array" aca="1" ref="AW60" ca="1">IFERROR(IF(AS60&lt;=$AB$2+$AN$2,"-",INDEX(Calculation_Tab,SMALL(ROW(Direct_Denaturation)*(Direct_Denaturation&lt;&gt;"-"),COUNTIF(Direct_Denaturation,"-")+ROW()-3-$AB$2-$AN$2)-9,5)),"-")</f>
        <v>-</v>
      </c>
      <c r="AX60" s="378" t="str">
        <f t="array" aca="1" ref="AX60" ca="1">IFERROR(IF(AS60&lt;=$AB$2+$AN$2,"-",INDEX($A$3:$B$12,MATCH(INDEX(Calculation_Tab,SMALL(ROW(Direct_Denaturation)*(Direct_Denaturation&lt;&gt;"-"),COUNTIF(Direct_Denaturation,"-")+ROW()-3-$AB$2-$AN$2)-9,5),$A$3:$A$12,0),2)),"-")</f>
        <v>-</v>
      </c>
      <c r="AY60" s="378" t="str">
        <f t="array" aca="1" ref="AY60" ca="1">IFERROR(IF(AS60&lt;=$AB$2+$AN$2,"-",INDEX(Coordinate,MATCH(INDEX(Calculation_Tab,SMALL(ROW(Direct_Denaturation)*(Direct_Denaturation&lt;&gt;"-"),COUNTIF(Direct_Denaturation,"-")+ROW()-3-$AB$2-$AN$2)-9,6),$X$4:$X$99,0),2)),"-")</f>
        <v>-</v>
      </c>
      <c r="AZ60" s="510" t="str">
        <f t="array" aca="1" ref="AZ60" ca="1">IFERROR(IF(AS60&lt;=$AB$2+$AN$2,"-",INDEX(Calculation_Tab,SMALL(ROW(Direct_Denaturation)*(Direct_Denaturation&lt;&gt;"-"),COUNTIF(Direct_Denaturation,"-")+ROW()-3-$AB$2-$AN$2)-9,32)),"-")</f>
        <v>-</v>
      </c>
      <c r="BA60" s="510" t="str">
        <f t="array" aca="1" ref="BA60" ca="1">IFERROR(IF(AS60&lt;=$AB$2+$AN$2,"-",INDEX(Calculation_Tab,SMALL(ROW(Direct_Denaturation)*(Direct_Denaturation&lt;&gt;"-"),COUNTIF(Direct_Denaturation,"-")+ROW()-3-$AB$2-$AN$2)-9,34)),"-")</f>
        <v>-</v>
      </c>
      <c r="BB60" s="510" t="str">
        <f t="array" aca="1" ref="BB60" ca="1">IFERROR(IF(AS60&lt;=$AB$2+$AN$2,"-",INDEX(Calculation_Tab,SMALL(ROW(Direct_Denaturation)*(Direct_Denaturation&lt;&gt;"-"),COUNTIF(Direct_Denaturation,"-")+ROW()-3-$AB$2-$AN$2)-9,33)),"-")</f>
        <v>-</v>
      </c>
      <c r="BC60" s="510" t="str">
        <f t="array" aca="1" ref="BC60" ca="1">IFERROR(IF(AS60&lt;=$AB$2+$AN$2,"-",INDEX(Calculation_Tab,SMALL(ROW(Direct_Denaturation)*(Direct_Denaturation&lt;&gt;"-"),COUNTIF(Direct_Denaturation,"-")+ROW()-3-$AB$2-$AN$2)-9,35)),"-")</f>
        <v>-</v>
      </c>
      <c r="BD60" s="511" t="str">
        <f t="shared" ca="1" si="9"/>
        <v>-</v>
      </c>
      <c r="BE60" s="494" t="s">
        <v>400</v>
      </c>
      <c r="BF60" s="378">
        <v>57</v>
      </c>
      <c r="BG60" s="515" t="str">
        <v>-</v>
      </c>
      <c r="BH60" s="516" t="str">
        <f>IFERROR(IF((Calculation!$AR$6/INDEX(ListAndConversion!D:P,MATCH(BG60,E:E,0),13))&lt;Calculation!$O$6,INDEX(ListAndConversion!D:P,MATCH(BG60,E:E,0),13)*Calculation!$O$6,Calculation!$AR$6),"-")</f>
        <v>-</v>
      </c>
      <c r="BI60" s="517" t="str">
        <f t="shared" si="33"/>
        <v>-</v>
      </c>
      <c r="BJ60" s="518" t="str">
        <f t="shared" si="34"/>
        <v>-</v>
      </c>
      <c r="BK60" s="378" t="s">
        <v>158</v>
      </c>
      <c r="BL60" s="378">
        <v>57</v>
      </c>
      <c r="BM60" s="487" t="str">
        <f t="array" aca="1" ref="BM60" ca="1">IFERROR(INDEX(Calculation_Tab,SMALL(ROW(ToPool)*(ToPool&lt;&gt;"-"),COUNTIF(ToPool,"-")+ROW()-3)-9,3),"-")</f>
        <v>-</v>
      </c>
      <c r="BN60" s="378" t="str">
        <f t="shared" ca="1" si="12"/>
        <v>-</v>
      </c>
      <c r="BO60" s="378" t="str">
        <f t="shared" ca="1" si="13"/>
        <v>-</v>
      </c>
      <c r="BP60" s="523" t="str">
        <f t="shared" ca="1" si="14"/>
        <v>-</v>
      </c>
      <c r="BQ60" s="378" t="str">
        <f t="array" aca="1" ref="BQ60" ca="1">IFERROR(INDEX(BE:BG,MATCH(INDEX(Calculation_Tab,SMALL(ROW(ToPool)*(ToPool&lt;&gt;"-"),COUNTIF(ToPool,"-")+ROW()-3)-9,9),BG:BG,0),2),"-")</f>
        <v>-</v>
      </c>
      <c r="BR60" s="510" t="str">
        <f t="shared" ca="1" si="15"/>
        <v>-</v>
      </c>
      <c r="BS60" s="511" t="str">
        <f t="shared" ca="1" si="16"/>
        <v>-</v>
      </c>
      <c r="BT60" s="378" t="s">
        <v>164</v>
      </c>
      <c r="BU60" s="487" t="str">
        <f t="shared" ca="1" si="21"/>
        <v>-</v>
      </c>
      <c r="BV60" s="487" t="str">
        <f t="array" aca="1" ref="BV6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60" s="378" t="str">
        <f t="shared" ca="1" si="17"/>
        <v>-</v>
      </c>
      <c r="BX60" s="378" t="str">
        <f t="shared" ca="1" si="18"/>
        <v>-</v>
      </c>
      <c r="BY60" s="510" t="str">
        <f ca="1">IFERROR(ROUND(INDEX(Cluster,MATCH(IF(LEFT(BV60,4)="Pool",INDEX(Cluster,MATCH(INDEX(Calculation_Tab,MATCH(INDEX($BE$4:$BJ$99,MATCH(BV60,$BE$4:$BE$99,0),3),Flow_Cell_Lane,0),3),Cluster!$F$29:$F$412,0),6),BV60),Identifier_Cluster,0),19)*IF(LEFT(BV60,4)="pool",IF(LEN(INDEX($BE$4:$BJ$99,MATCH(BV60,$BE$4:$BE$99,0),3))=10,2,IF(LEN(INDEX($BE$4:$BJ$99,MATCH(BV60,$BE$4:$BE$99,0),3))&gt;10,LEN(INDEX($BE$4:$BJ$99,MATCH(BV60,$BE$4:$BE$99,0),3))-8,1)),1)*IF(LEFT(BV60,4)="pool",IF(INDEX($BE$4:$BJ$99,MATCH(BV60,$BE$4:$BE$99,0),6)&lt;1,1,INDEX($BE$4:$BJ$99,MATCH(BV60,$BE$4:$BE$99,0),6)),INDEX(Calculation_Tab,MATCH(BV60,Identifier,0),10)),1)*(1+Calculation!$Q$6),"-")</f>
        <v>-</v>
      </c>
      <c r="BZ60" s="378" t="str">
        <f ca="1">IFERROR((0.5/50)*CE60/Calculation!$AG$6*(IF(LEFT(BV60,4)="Pool",IF(LEN(INDEX($BE$4:$BJ$99,MATCH(BV60,$BE$4:$BE$99,0),3))=10,2,IF(LEN(INDEX($BE$4:$BJ$99,MATCH(BV60,$BE$4:$BE$99,0),3))&gt;10,LEN(INDEX($BE$4:$BJ$99,MATCH(BV60,$BE$4:$BE$99,0),3))-8,1)),IF(INDEX(Calculation_Tab,MATCH(BV60,Identifier,0),10)&gt;1,INDEX(Calculation_Tab,MATCH(BV60,Identifier,0),10),1)))*(1+Calculation!$Q$6),"-")</f>
        <v>-</v>
      </c>
      <c r="CA60" s="510" t="str">
        <f ca="1">IFERROR(IF((BZ60*Calculation!$AG$6/0.05)-SUM(BY60:BZ60,CC60)&gt;0,(BZ60*Calculation!$AG$6/0.05)-SUM(BY60:BZ60,CC60),0),"-")</f>
        <v>-</v>
      </c>
      <c r="CB60" s="510" t="str">
        <f ca="1">IFERROR(5/50*CE60*(IF(LEFT(BV60,4)="Pool",IF(LEN(INDEX($BE$4:$BJ$99,MATCH(BV60,$BE$4:$BE$99,0),3))=10,2,IF(LEN(INDEX($BE$4:$BJ$99,MATCH(BV60,$BE$4:$BE$99,0),3))&gt;10,LEN(INDEX($BE$4:$BJ$99,MATCH(BV60,$BE$4:$BE$99,0),3))-8,1)),IF(INDEX(Calculation_Tab,MATCH(BV60,Identifier,0),10)&gt;1,INDEX(Calculation_Tab,MATCH(BV60,Identifier,0),10),1)))*(1+Calculation!$Q$6),"-")</f>
        <v>-</v>
      </c>
      <c r="CC60" s="508" t="str">
        <f ca="1">IFERROR(ROUND(INDEX(Cluster,MATCH(IF(LEFT(BV60,4)="Pool",INDEX(Cluster,MATCH(INDEX(Calculation_Tab,MATCH(INDEX($BE$4:$BJ$99,MATCH(BV60,$BE$4:$BE$99,0),3),Flow_Cell_Lane,0),3),Cluster!$F$29:$F$412,0),6),BV60),Identifier_Cluster,0),20)*IF(LEFT(BV60,4)="pool",IF(LEN(INDEX($BE$4:$BJ$99,MATCH(BV60,$BE$4:$BE$99,0),3))=10,2,IF(LEN(INDEX($BE$4:$BJ$99,MATCH(BV60,$BE$4:$BE$99,0),3))&gt;10,LEN(INDEX($BE$4:$BJ$99,MATCH(BV60,$BE$4:$BE$99,0),3))-8,1)),1)*IF(LEFT(BV60,4)="pool",IF(INDEX($BE$4:$BJ$99,MATCH(BV60,$BE$4:$BE$99,0),6)&lt;1,1,INDEX($BE$4:$BJ$99,MATCH(BV60,$BE$4:$BE$99,0),6)),INDEX(Calculation_Tab,MATCH(BV60,Identifier,0),10)),1)*(1+Calculation!$Q$6),"-")</f>
        <v>-</v>
      </c>
      <c r="CD60" s="509" t="str">
        <f ca="1">IFERROR(INDEX(Cluster!AC:AD,MATCH(IF(LEFT(BV60,4)="Pool",INDEX(Cluster!$D$29:$AA$412,MATCH(INDEX(Calculation_Tab,MATCH(INDEX($BE$4:$BJ$99,MATCH(BV60,$BE$4:$BE$99,0),3),Flow_Cell_Lane,0),3),Cluster!$F$29:$F$412,0),24),INDEX(Cluster!$D$29:$AA$412,MATCH(BV60,Cluster!$F$29:$F$412,0),24)),Cluster!AC:AC,0),2),"-")</f>
        <v>-</v>
      </c>
      <c r="CE60" s="378" t="str">
        <f ca="1">IFERROR(IF(BV60&lt;&gt;"-",Calculation!$AK$6,"-"),"-")</f>
        <v>-</v>
      </c>
      <c r="CF60" s="378" t="str">
        <f ca="1">IF(OR(LEFT(ListAndConversion!BW60,3)="Dil",LEFT(ListAndConversion!BW60,3)="Poo"),ListAndConversion!$BT$4,IF(LEFT(ListAndConversion!BW60,3)="Sou",INDEX(ListAndConversion!$AT$3:$AV$387,MATCH(ListAndConversion!BV60,ListAndConversion!$AV$3:$AV$387,0),1),"-"))</f>
        <v>-</v>
      </c>
      <c r="CG60" s="498" t="str">
        <f ca="1">IF(OR(LEFT(ListAndConversion!BW60,3)="Dil",LEFT(ListAndConversion!BW60,3)="Poo"),ListAndConversion!BU60,IF(LEFT(ListAndConversion!BW60,3)="Sou",INDEX(ListAndConversion!$AT$4:$AV$387,MATCH(ListAndConversion!BV60,ListAndConversion!$AV$4:$AV$387,0),2),"-"))</f>
        <v>-</v>
      </c>
      <c r="CH60" s="378"/>
      <c r="CI60" s="487" t="str">
        <f t="shared" ca="1" si="19"/>
        <v>-</v>
      </c>
      <c r="CJ60" s="378" t="str">
        <f t="shared" ca="1" si="40"/>
        <v>-</v>
      </c>
      <c r="CK60" s="378" t="str">
        <f t="shared" ca="1" si="40"/>
        <v>-</v>
      </c>
      <c r="CL60" s="378" t="str">
        <f t="shared" ca="1" si="40"/>
        <v>-</v>
      </c>
      <c r="CM60" s="378" t="str">
        <f t="shared" ca="1" si="40"/>
        <v>-</v>
      </c>
      <c r="CN60" s="378" t="str">
        <f t="shared" ca="1" si="40"/>
        <v>-</v>
      </c>
      <c r="CO60" s="378" t="str">
        <f t="shared" ca="1" si="40"/>
        <v>-</v>
      </c>
      <c r="CP60" s="378" t="str">
        <f t="shared" ca="1" si="40"/>
        <v>-</v>
      </c>
      <c r="CQ60" s="378" t="str">
        <f t="shared" ca="1" si="40"/>
        <v>-</v>
      </c>
      <c r="CR60" s="510" t="str">
        <f ca="1">IFERROR(IF(LEFT(BW60,3)="Poo",INDEX($BE$4:$BJ$99,MATCH(CI60,$BG$4:$BG$99,0),6)*((15/50))*Calculation!$AK$6,INDEX(Calculation_Tab,MATCH(BV60,Identifier,0),10)/(IF(LEN(INDEX(Calculation_Tab,MATCH(BV60,Identifier,0),9))&gt;8,LEN(INDEX(Calculation_Tab,MATCH(BV60,Identifier,0),9))-8,1))*((15/50)*Calculation!$AK$6)),"-")</f>
        <v>-</v>
      </c>
      <c r="CS60" s="498" t="str">
        <f ca="1">IF(CI60="-","-",IF(COUNTIF($CI$3:CI60,CI60)&gt;1,0,IFERROR((35/50)*Calculation!$AK$6,"-")))</f>
        <v>-</v>
      </c>
    </row>
    <row r="61" spans="4:97" x14ac:dyDescent="0.5">
      <c r="D61" s="487" t="e">
        <f t="shared" si="0"/>
        <v>#DIV/0!</v>
      </c>
      <c r="E61" s="496" t="e">
        <f t="array" ref="E61">IF(IF((ROW(E61)-3)&lt;(ListAndConversion!$A$15),INDEX(Flow_Cell_Lane,MIN(IF(COUNTIF($E$2:E60,Flow_Cell_Lane)=0,ROW(Flow_Cell_Lane)-9))),"-")="","-",IF((ROW(E61)-3)&lt;(ListAndConversion!$A$15),INDEX(Flow_Cell_Lane,MIN(IF(COUNTIF($E$2:E60,Flow_Cell_Lane)=0,ROW(Flow_Cell_Lane)-9))),"-"))</f>
        <v>#DIV/0!</v>
      </c>
      <c r="F61" s="378" t="e">
        <f t="shared" si="1"/>
        <v>#DIV/0!</v>
      </c>
      <c r="G61" s="378" t="e">
        <f t="shared" si="39"/>
        <v>#DIV/0!</v>
      </c>
      <c r="H61" s="378" t="e">
        <f t="shared" si="39"/>
        <v>#DIV/0!</v>
      </c>
      <c r="I61" s="378" t="e">
        <f t="shared" si="39"/>
        <v>#DIV/0!</v>
      </c>
      <c r="J61" s="378" t="e">
        <f t="shared" si="39"/>
        <v>#DIV/0!</v>
      </c>
      <c r="K61" s="378" t="e">
        <f t="shared" si="39"/>
        <v>#DIV/0!</v>
      </c>
      <c r="L61" s="378" t="e">
        <f t="shared" si="39"/>
        <v>#DIV/0!</v>
      </c>
      <c r="M61" s="378" t="e">
        <f t="shared" si="39"/>
        <v>#DIV/0!</v>
      </c>
      <c r="N61" s="497" t="e">
        <f t="shared" si="3"/>
        <v>#DIV/0!</v>
      </c>
      <c r="O61" s="497" t="str">
        <f t="array" ref="O61">IFERROR(INDEX(Calculation!I:AN,MATCH(ListAndConversion!E61,Calculation!I:I,0),31),"-")</f>
        <v>-</v>
      </c>
      <c r="P61" s="498">
        <f>IF(COUNTIFS(Calculation!$I$10:$I$393,E61,Direct_Denaturation,"-")&lt;&gt;1,COUNTIFS(Calculation!$I$10:$I$393,E61,Direct_Denaturation,"-"),0)</f>
        <v>0</v>
      </c>
      <c r="Q61" s="378"/>
      <c r="R61" s="487" t="e">
        <f t="array" ref="R61">IF(IF((ROW(R61)-3)&lt;(Calculation!$H$6),INDEX(Flow_Cell,MIN(IF(COUNTIF($R$2:R60,Flow_Cell)=0,ROW(Flow_Cell)-9))),"-")="","-",IF((ROW(R61)-3)&lt;(Calculation!$H$6),INDEX(Flow_Cell,MIN(IF(COUNTIF($R$2:R60,Flow_Cell)=0,ROW(Flow_Cell)-9))),"-"))</f>
        <v>#DIV/0!</v>
      </c>
      <c r="S61" s="378" t="e">
        <f t="shared" si="41"/>
        <v>#DIV/0!</v>
      </c>
      <c r="T61" s="378">
        <v>3</v>
      </c>
      <c r="U61" s="498">
        <v>59</v>
      </c>
      <c r="V61" s="487">
        <v>58</v>
      </c>
      <c r="W61" s="497" t="s">
        <v>287</v>
      </c>
      <c r="X61" s="497" t="s">
        <v>401</v>
      </c>
      <c r="Y61" s="378">
        <v>58</v>
      </c>
      <c r="Z61" s="378" t="str">
        <f t="shared" ca="1" si="32"/>
        <v>-</v>
      </c>
      <c r="AA61" s="508" t="str">
        <f t="array" aca="1" ref="AA61" ca="1">IFERROR(INDEX(Calculation_Tab,SMALL(ROW(Sample_Intermediate_Dil)*(Sample_Intermediate_Dil&lt;&gt;"-"),COUNTIF(Sample_Intermediate_Dil,"-")+ROW()-3)-9,5),"-")</f>
        <v>-</v>
      </c>
      <c r="AB61" s="378" t="str">
        <f t="array" aca="1" ref="AB61" ca="1">IFERROR(INDEX($A$3:$B$12,MATCH(INDEX(Calculation_Tab,SMALL(ROW(Sample_Intermediate_Dil)*(Sample_Intermediate_Dil&lt;&gt;"-"),COUNTIF(Sample_Intermediate_Dil,"-")+ROW()-3)-9,5),$A$3:$A$12,0),2),"-")</f>
        <v>-</v>
      </c>
      <c r="AC61" s="509" t="str">
        <f t="array" aca="1" ref="AC61" ca="1">IFERROR(INDEX(Coordinate,MATCH(INDEX(Calculation_Tab,SMALL(ROW(Sample_Intermediate_Dil)*(Sample_Intermediate_Dil&lt;&gt;"-"),COUNTIF(Sample_Intermediate_Dil,"-")+ROW()-3)-9,6),$X$4:$X$99,0),2),"-")</f>
        <v>-</v>
      </c>
      <c r="AD61" s="510" t="str">
        <f t="array" aca="1" ref="AD61" ca="1">IFERROR(INDEX(Calculation_Tab,SMALL(ROW(Sample_Intermediate_Dil)*(Sample_Intermediate_Dil&lt;&gt;"-"),COUNTIF(Sample_Intermediate_Dil,"-")+ROW()-3)-9,24),"-")</f>
        <v>-</v>
      </c>
      <c r="AE61" s="510" t="str">
        <f t="array" aca="1" ref="AE61" ca="1">IFERROR(INDEX(Calculation_Tab,SMALL(ROW(Sample_Intermediate_Dil)*(Sample_Intermediate_Dil&lt;&gt;"-"),COUNTIF(Sample_Intermediate_Dil,"-")+ROW()-3)-9,25),"-")</f>
        <v>-</v>
      </c>
      <c r="AF61" s="510" t="str">
        <f t="array" aca="1" ref="AF61" ca="1">IFERROR(INDEX(Calculation_Tab,SMALL(ROW(Sample_Intermediate_Dil)*(Sample_Intermediate_Dil&lt;&gt;"-"),COUNTIF(Sample_Intermediate_Dil,"-")+ROW()-3)-9,26),"-")</f>
        <v>-</v>
      </c>
      <c r="AG61" s="511" t="str">
        <f t="array" aca="1" ref="AG61" ca="1">IFERROR(INDEX(Calculation_Tab,SMALL(ROW(Sample_Intermediate_Dil)*(Sample_Intermediate_Dil&lt;&gt;"-"),COUNTIF(Sample_Intermediate_Dil,"-")+ROW()-3)-9,27),"-")</f>
        <v>-</v>
      </c>
      <c r="AI61" s="487">
        <v>58</v>
      </c>
      <c r="AJ61" s="497" t="s">
        <v>160</v>
      </c>
      <c r="AK61" s="378">
        <v>58</v>
      </c>
      <c r="AL61" s="378" t="str">
        <f t="shared" ca="1" si="6"/>
        <v>-</v>
      </c>
      <c r="AM61" s="378" t="str">
        <f t="array" aca="1" ref="AM61" ca="1">IFERROR(IF(AI61&lt;=$AB$2,"-",INDEX(Calculation_Tab,SMALL(ROW(Main_Dil)*(Main_Dil&lt;&gt;"-"),COUNTIF(Main_Dil,"-")+ROW()-3-$AB$2)-9,5)),"-")</f>
        <v>-</v>
      </c>
      <c r="AN61" s="378" t="str">
        <f t="array" aca="1" ref="AN61" ca="1">IFERROR(IF(AI61&lt;=$AB$2,"-",INDEX($A$3:$B$12,MATCH(INDEX(Calculation_Tab,SMALL(ROW(Main_Dil)*(Main_Dil&lt;&gt;"-"),COUNTIF(Main_Dil,"-")+ROW()-3-$AB$2)-9,5),$A$3:$A$12,0),2)),"-")</f>
        <v>-</v>
      </c>
      <c r="AO61" s="378" t="str">
        <f t="array" aca="1" ref="AO61" ca="1">IFERROR(IF(AI61&lt;=$AB$2,"-",INDEX(Coordinate,MATCH(INDEX(Calculation_Tab,SMALL(ROW(Main_Dil)*(Main_Dil&lt;&gt;"-"),COUNTIF(Main_Dil,"-")+ROW()-3-$AB$2)-9,6),$X$4:$X$99,0),2)),"-")</f>
        <v>-</v>
      </c>
      <c r="AP61" s="510" t="str">
        <f t="array" aca="1" ref="AP61" ca="1">IFERROR(IF(AI61&lt;=$AB$2,"-",INDEX(Calculation_Tab,SMALL(ROW(Main_Dil)*(Main_Dil&lt;&gt;"-"),COUNTIF(Main_Dil,"-")+ROW()-3-$AB$2)-9,21)),"-")</f>
        <v>-</v>
      </c>
      <c r="AQ61" s="511" t="str">
        <f t="array" aca="1" ref="AQ61" ca="1">IFERROR(IF(AI61&lt;=$AB$2,"-",INDEX(Calculation_Tab,SMALL(ROW(Main_Dil)*(Main_Dil&lt;&gt;"-"),COUNTIF(Main_Dil,"-")+ROW()-3-$AB$2)-9,22)),"-")</f>
        <v>-</v>
      </c>
      <c r="AR61" s="487" t="str">
        <f t="shared" ca="1" si="7"/>
        <v>-</v>
      </c>
      <c r="AS61" s="378">
        <v>58</v>
      </c>
      <c r="AT61" s="497" t="s">
        <v>160</v>
      </c>
      <c r="AU61" s="498">
        <v>58</v>
      </c>
      <c r="AV61" s="378" t="str">
        <f t="shared" ca="1" si="8"/>
        <v>-</v>
      </c>
      <c r="AW61" s="378" t="str">
        <f t="array" aca="1" ref="AW61" ca="1">IFERROR(IF(AS61&lt;=$AB$2+$AN$2,"-",INDEX(Calculation_Tab,SMALL(ROW(Direct_Denaturation)*(Direct_Denaturation&lt;&gt;"-"),COUNTIF(Direct_Denaturation,"-")+ROW()-3-$AB$2-$AN$2)-9,5)),"-")</f>
        <v>-</v>
      </c>
      <c r="AX61" s="378" t="str">
        <f t="array" aca="1" ref="AX61" ca="1">IFERROR(IF(AS61&lt;=$AB$2+$AN$2,"-",INDEX($A$3:$B$12,MATCH(INDEX(Calculation_Tab,SMALL(ROW(Direct_Denaturation)*(Direct_Denaturation&lt;&gt;"-"),COUNTIF(Direct_Denaturation,"-")+ROW()-3-$AB$2-$AN$2)-9,5),$A$3:$A$12,0),2)),"-")</f>
        <v>-</v>
      </c>
      <c r="AY61" s="378" t="str">
        <f t="array" aca="1" ref="AY61" ca="1">IFERROR(IF(AS61&lt;=$AB$2+$AN$2,"-",INDEX(Coordinate,MATCH(INDEX(Calculation_Tab,SMALL(ROW(Direct_Denaturation)*(Direct_Denaturation&lt;&gt;"-"),COUNTIF(Direct_Denaturation,"-")+ROW()-3-$AB$2-$AN$2)-9,6),$X$4:$X$99,0),2)),"-")</f>
        <v>-</v>
      </c>
      <c r="AZ61" s="510" t="str">
        <f t="array" aca="1" ref="AZ61" ca="1">IFERROR(IF(AS61&lt;=$AB$2+$AN$2,"-",INDEX(Calculation_Tab,SMALL(ROW(Direct_Denaturation)*(Direct_Denaturation&lt;&gt;"-"),COUNTIF(Direct_Denaturation,"-")+ROW()-3-$AB$2-$AN$2)-9,32)),"-")</f>
        <v>-</v>
      </c>
      <c r="BA61" s="510" t="str">
        <f t="array" aca="1" ref="BA61" ca="1">IFERROR(IF(AS61&lt;=$AB$2+$AN$2,"-",INDEX(Calculation_Tab,SMALL(ROW(Direct_Denaturation)*(Direct_Denaturation&lt;&gt;"-"),COUNTIF(Direct_Denaturation,"-")+ROW()-3-$AB$2-$AN$2)-9,34)),"-")</f>
        <v>-</v>
      </c>
      <c r="BB61" s="510" t="str">
        <f t="array" aca="1" ref="BB61" ca="1">IFERROR(IF(AS61&lt;=$AB$2+$AN$2,"-",INDEX(Calculation_Tab,SMALL(ROW(Direct_Denaturation)*(Direct_Denaturation&lt;&gt;"-"),COUNTIF(Direct_Denaturation,"-")+ROW()-3-$AB$2-$AN$2)-9,33)),"-")</f>
        <v>-</v>
      </c>
      <c r="BC61" s="510" t="str">
        <f t="array" aca="1" ref="BC61" ca="1">IFERROR(IF(AS61&lt;=$AB$2+$AN$2,"-",INDEX(Calculation_Tab,SMALL(ROW(Direct_Denaturation)*(Direct_Denaturation&lt;&gt;"-"),COUNTIF(Direct_Denaturation,"-")+ROW()-3-$AB$2-$AN$2)-9,35)),"-")</f>
        <v>-</v>
      </c>
      <c r="BD61" s="511" t="str">
        <f t="shared" ca="1" si="9"/>
        <v>-</v>
      </c>
      <c r="BE61" s="494" t="s">
        <v>402</v>
      </c>
      <c r="BF61" s="378">
        <v>58</v>
      </c>
      <c r="BG61" s="515" t="str">
        <v>-</v>
      </c>
      <c r="BH61" s="516" t="str">
        <f>IFERROR(IF((Calculation!$AR$6/INDEX(ListAndConversion!D:P,MATCH(BG61,E:E,0),13))&lt;Calculation!$O$6,INDEX(ListAndConversion!D:P,MATCH(BG61,E:E,0),13)*Calculation!$O$6,Calculation!$AR$6),"-")</f>
        <v>-</v>
      </c>
      <c r="BI61" s="517" t="str">
        <f t="shared" si="33"/>
        <v>-</v>
      </c>
      <c r="BJ61" s="518" t="str">
        <f t="shared" si="34"/>
        <v>-</v>
      </c>
      <c r="BK61" s="378" t="s">
        <v>158</v>
      </c>
      <c r="BL61" s="378">
        <v>58</v>
      </c>
      <c r="BM61" s="487" t="str">
        <f t="array" aca="1" ref="BM61" ca="1">IFERROR(INDEX(Calculation_Tab,SMALL(ROW(ToPool)*(ToPool&lt;&gt;"-"),COUNTIF(ToPool,"-")+ROW()-3)-9,3),"-")</f>
        <v>-</v>
      </c>
      <c r="BN61" s="378" t="str">
        <f t="shared" ca="1" si="12"/>
        <v>-</v>
      </c>
      <c r="BO61" s="378" t="str">
        <f t="shared" ca="1" si="13"/>
        <v>-</v>
      </c>
      <c r="BP61" s="523" t="str">
        <f t="shared" ca="1" si="14"/>
        <v>-</v>
      </c>
      <c r="BQ61" s="378" t="str">
        <f t="array" aca="1" ref="BQ61" ca="1">IFERROR(INDEX(BE:BG,MATCH(INDEX(Calculation_Tab,SMALL(ROW(ToPool)*(ToPool&lt;&gt;"-"),COUNTIF(ToPool,"-")+ROW()-3)-9,9),BG:BG,0),2),"-")</f>
        <v>-</v>
      </c>
      <c r="BR61" s="510" t="str">
        <f t="shared" ca="1" si="15"/>
        <v>-</v>
      </c>
      <c r="BS61" s="511" t="str">
        <f t="shared" ca="1" si="16"/>
        <v>-</v>
      </c>
      <c r="BT61" s="378" t="s">
        <v>164</v>
      </c>
      <c r="BU61" s="487" t="str">
        <f t="shared" ca="1" si="21"/>
        <v>-</v>
      </c>
      <c r="BV61" s="487" t="str">
        <f t="array" aca="1" ref="BV6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61" s="378" t="str">
        <f t="shared" ca="1" si="17"/>
        <v>-</v>
      </c>
      <c r="BX61" s="378" t="str">
        <f t="shared" ca="1" si="18"/>
        <v>-</v>
      </c>
      <c r="BY61" s="510" t="str">
        <f ca="1">IFERROR(ROUND(INDEX(Cluster,MATCH(IF(LEFT(BV61,4)="Pool",INDEX(Cluster,MATCH(INDEX(Calculation_Tab,MATCH(INDEX($BE$4:$BJ$99,MATCH(BV61,$BE$4:$BE$99,0),3),Flow_Cell_Lane,0),3),Cluster!$F$29:$F$412,0),6),BV61),Identifier_Cluster,0),19)*IF(LEFT(BV61,4)="pool",IF(LEN(INDEX($BE$4:$BJ$99,MATCH(BV61,$BE$4:$BE$99,0),3))=10,2,IF(LEN(INDEX($BE$4:$BJ$99,MATCH(BV61,$BE$4:$BE$99,0),3))&gt;10,LEN(INDEX($BE$4:$BJ$99,MATCH(BV61,$BE$4:$BE$99,0),3))-8,1)),1)*IF(LEFT(BV61,4)="pool",IF(INDEX($BE$4:$BJ$99,MATCH(BV61,$BE$4:$BE$99,0),6)&lt;1,1,INDEX($BE$4:$BJ$99,MATCH(BV61,$BE$4:$BE$99,0),6)),INDEX(Calculation_Tab,MATCH(BV61,Identifier,0),10)),1)*(1+Calculation!$Q$6),"-")</f>
        <v>-</v>
      </c>
      <c r="BZ61" s="378" t="str">
        <f ca="1">IFERROR((0.5/50)*CE61/Calculation!$AG$6*(IF(LEFT(BV61,4)="Pool",IF(LEN(INDEX($BE$4:$BJ$99,MATCH(BV61,$BE$4:$BE$99,0),3))=10,2,IF(LEN(INDEX($BE$4:$BJ$99,MATCH(BV61,$BE$4:$BE$99,0),3))&gt;10,LEN(INDEX($BE$4:$BJ$99,MATCH(BV61,$BE$4:$BE$99,0),3))-8,1)),IF(INDEX(Calculation_Tab,MATCH(BV61,Identifier,0),10)&gt;1,INDEX(Calculation_Tab,MATCH(BV61,Identifier,0),10),1)))*(1+Calculation!$Q$6),"-")</f>
        <v>-</v>
      </c>
      <c r="CA61" s="510" t="str">
        <f ca="1">IFERROR(IF((BZ61*Calculation!$AG$6/0.05)-SUM(BY61:BZ61,CC61)&gt;0,(BZ61*Calculation!$AG$6/0.05)-SUM(BY61:BZ61,CC61),0),"-")</f>
        <v>-</v>
      </c>
      <c r="CB61" s="510" t="str">
        <f ca="1">IFERROR(5/50*CE61*(IF(LEFT(BV61,4)="Pool",IF(LEN(INDEX($BE$4:$BJ$99,MATCH(BV61,$BE$4:$BE$99,0),3))=10,2,IF(LEN(INDEX($BE$4:$BJ$99,MATCH(BV61,$BE$4:$BE$99,0),3))&gt;10,LEN(INDEX($BE$4:$BJ$99,MATCH(BV61,$BE$4:$BE$99,0),3))-8,1)),IF(INDEX(Calculation_Tab,MATCH(BV61,Identifier,0),10)&gt;1,INDEX(Calculation_Tab,MATCH(BV61,Identifier,0),10),1)))*(1+Calculation!$Q$6),"-")</f>
        <v>-</v>
      </c>
      <c r="CC61" s="508" t="str">
        <f ca="1">IFERROR(ROUND(INDEX(Cluster,MATCH(IF(LEFT(BV61,4)="Pool",INDEX(Cluster,MATCH(INDEX(Calculation_Tab,MATCH(INDEX($BE$4:$BJ$99,MATCH(BV61,$BE$4:$BE$99,0),3),Flow_Cell_Lane,0),3),Cluster!$F$29:$F$412,0),6),BV61),Identifier_Cluster,0),20)*IF(LEFT(BV61,4)="pool",IF(LEN(INDEX($BE$4:$BJ$99,MATCH(BV61,$BE$4:$BE$99,0),3))=10,2,IF(LEN(INDEX($BE$4:$BJ$99,MATCH(BV61,$BE$4:$BE$99,0),3))&gt;10,LEN(INDEX($BE$4:$BJ$99,MATCH(BV61,$BE$4:$BE$99,0),3))-8,1)),1)*IF(LEFT(BV61,4)="pool",IF(INDEX($BE$4:$BJ$99,MATCH(BV61,$BE$4:$BE$99,0),6)&lt;1,1,INDEX($BE$4:$BJ$99,MATCH(BV61,$BE$4:$BE$99,0),6)),INDEX(Calculation_Tab,MATCH(BV61,Identifier,0),10)),1)*(1+Calculation!$Q$6),"-")</f>
        <v>-</v>
      </c>
      <c r="CD61" s="509" t="str">
        <f ca="1">IFERROR(INDEX(Cluster!AC:AD,MATCH(IF(LEFT(BV61,4)="Pool",INDEX(Cluster!$D$29:$AA$412,MATCH(INDEX(Calculation_Tab,MATCH(INDEX($BE$4:$BJ$99,MATCH(BV61,$BE$4:$BE$99,0),3),Flow_Cell_Lane,0),3),Cluster!$F$29:$F$412,0),24),INDEX(Cluster!$D$29:$AA$412,MATCH(BV61,Cluster!$F$29:$F$412,0),24)),Cluster!AC:AC,0),2),"-")</f>
        <v>-</v>
      </c>
      <c r="CE61" s="378" t="str">
        <f ca="1">IFERROR(IF(BV61&lt;&gt;"-",Calculation!$AK$6,"-"),"-")</f>
        <v>-</v>
      </c>
      <c r="CF61" s="378" t="str">
        <f ca="1">IF(OR(LEFT(ListAndConversion!BW61,3)="Dil",LEFT(ListAndConversion!BW61,3)="Poo"),ListAndConversion!$BT$4,IF(LEFT(ListAndConversion!BW61,3)="Sou",INDEX(ListAndConversion!$AT$3:$AV$387,MATCH(ListAndConversion!BV61,ListAndConversion!$AV$3:$AV$387,0),1),"-"))</f>
        <v>-</v>
      </c>
      <c r="CG61" s="498" t="str">
        <f ca="1">IF(OR(LEFT(ListAndConversion!BW61,3)="Dil",LEFT(ListAndConversion!BW61,3)="Poo"),ListAndConversion!BU61,IF(LEFT(ListAndConversion!BW61,3)="Sou",INDEX(ListAndConversion!$AT$4:$AV$387,MATCH(ListAndConversion!BV61,ListAndConversion!$AV$4:$AV$387,0),2),"-"))</f>
        <v>-</v>
      </c>
      <c r="CH61" s="378"/>
      <c r="CI61" s="487" t="str">
        <f t="shared" ca="1" si="19"/>
        <v>-</v>
      </c>
      <c r="CJ61" s="378" t="str">
        <f t="shared" ca="1" si="40"/>
        <v>-</v>
      </c>
      <c r="CK61" s="378" t="str">
        <f t="shared" ca="1" si="40"/>
        <v>-</v>
      </c>
      <c r="CL61" s="378" t="str">
        <f t="shared" ca="1" si="40"/>
        <v>-</v>
      </c>
      <c r="CM61" s="378" t="str">
        <f t="shared" ca="1" si="40"/>
        <v>-</v>
      </c>
      <c r="CN61" s="378" t="str">
        <f t="shared" ca="1" si="40"/>
        <v>-</v>
      </c>
      <c r="CO61" s="378" t="str">
        <f t="shared" ca="1" si="40"/>
        <v>-</v>
      </c>
      <c r="CP61" s="378" t="str">
        <f t="shared" ca="1" si="40"/>
        <v>-</v>
      </c>
      <c r="CQ61" s="378" t="str">
        <f t="shared" ca="1" si="40"/>
        <v>-</v>
      </c>
      <c r="CR61" s="510" t="str">
        <f ca="1">IFERROR(IF(LEFT(BW61,3)="Poo",INDEX($BE$4:$BJ$99,MATCH(CI61,$BG$4:$BG$99,0),6)*((15/50))*Calculation!$AK$6,INDEX(Calculation_Tab,MATCH(BV61,Identifier,0),10)/(IF(LEN(INDEX(Calculation_Tab,MATCH(BV61,Identifier,0),9))&gt;8,LEN(INDEX(Calculation_Tab,MATCH(BV61,Identifier,0),9))-8,1))*((15/50)*Calculation!$AK$6)),"-")</f>
        <v>-</v>
      </c>
      <c r="CS61" s="498" t="str">
        <f ca="1">IF(CI61="-","-",IF(COUNTIF($CI$3:CI61,CI61)&gt;1,0,IFERROR((35/50)*Calculation!$AK$6,"-")))</f>
        <v>-</v>
      </c>
    </row>
    <row r="62" spans="4:97" x14ac:dyDescent="0.5">
      <c r="D62" s="487" t="e">
        <f t="shared" si="0"/>
        <v>#DIV/0!</v>
      </c>
      <c r="E62" s="496" t="e">
        <f t="array" ref="E62">IF(IF((ROW(E62)-3)&lt;(ListAndConversion!$A$15),INDEX(Flow_Cell_Lane,MIN(IF(COUNTIF($E$2:E61,Flow_Cell_Lane)=0,ROW(Flow_Cell_Lane)-9))),"-")="","-",IF((ROW(E62)-3)&lt;(ListAndConversion!$A$15),INDEX(Flow_Cell_Lane,MIN(IF(COUNTIF($E$2:E61,Flow_Cell_Lane)=0,ROW(Flow_Cell_Lane)-9))),"-"))</f>
        <v>#DIV/0!</v>
      </c>
      <c r="F62" s="378" t="e">
        <f t="shared" si="1"/>
        <v>#DIV/0!</v>
      </c>
      <c r="G62" s="378" t="e">
        <f t="shared" si="39"/>
        <v>#DIV/0!</v>
      </c>
      <c r="H62" s="378" t="e">
        <f t="shared" si="39"/>
        <v>#DIV/0!</v>
      </c>
      <c r="I62" s="378" t="e">
        <f t="shared" si="39"/>
        <v>#DIV/0!</v>
      </c>
      <c r="J62" s="378" t="e">
        <f t="shared" si="39"/>
        <v>#DIV/0!</v>
      </c>
      <c r="K62" s="378" t="e">
        <f t="shared" si="39"/>
        <v>#DIV/0!</v>
      </c>
      <c r="L62" s="378" t="e">
        <f t="shared" si="39"/>
        <v>#DIV/0!</v>
      </c>
      <c r="M62" s="378" t="e">
        <f t="shared" si="39"/>
        <v>#DIV/0!</v>
      </c>
      <c r="N62" s="497" t="e">
        <f t="shared" si="3"/>
        <v>#DIV/0!</v>
      </c>
      <c r="O62" s="497" t="str">
        <f t="array" ref="O62">IFERROR(INDEX(Calculation!I:AN,MATCH(ListAndConversion!E62,Calculation!I:I,0),31),"-")</f>
        <v>-</v>
      </c>
      <c r="P62" s="498">
        <f>IF(COUNTIFS(Calculation!$I$10:$I$393,E62,Direct_Denaturation,"-")&lt;&gt;1,COUNTIFS(Calculation!$I$10:$I$393,E62,Direct_Denaturation,"-"),0)</f>
        <v>0</v>
      </c>
      <c r="Q62" s="378"/>
      <c r="R62" s="487" t="e">
        <f t="array" ref="R62">IF(IF((ROW(R62)-3)&lt;(Calculation!$H$6),INDEX(Flow_Cell,MIN(IF(COUNTIF($R$2:R61,Flow_Cell)=0,ROW(Flow_Cell)-9))),"-")="","-",IF((ROW(R62)-3)&lt;(Calculation!$H$6),INDEX(Flow_Cell,MIN(IF(COUNTIF($R$2:R61,Flow_Cell)=0,ROW(Flow_Cell)-9))),"-"))</f>
        <v>#DIV/0!</v>
      </c>
      <c r="S62" s="378" t="e">
        <f t="shared" si="41"/>
        <v>#DIV/0!</v>
      </c>
      <c r="T62" s="378">
        <v>4</v>
      </c>
      <c r="U62" s="498">
        <v>60</v>
      </c>
      <c r="V62" s="487">
        <v>59</v>
      </c>
      <c r="W62" s="497" t="s">
        <v>287</v>
      </c>
      <c r="X62" s="497" t="s">
        <v>403</v>
      </c>
      <c r="Y62" s="378">
        <v>59</v>
      </c>
      <c r="Z62" s="378" t="str">
        <f t="shared" ca="1" si="32"/>
        <v>-</v>
      </c>
      <c r="AA62" s="508" t="str">
        <f t="array" aca="1" ref="AA62" ca="1">IFERROR(INDEX(Calculation_Tab,SMALL(ROW(Sample_Intermediate_Dil)*(Sample_Intermediate_Dil&lt;&gt;"-"),COUNTIF(Sample_Intermediate_Dil,"-")+ROW()-3)-9,5),"-")</f>
        <v>-</v>
      </c>
      <c r="AB62" s="378" t="str">
        <f t="array" aca="1" ref="AB62" ca="1">IFERROR(INDEX($A$3:$B$12,MATCH(INDEX(Calculation_Tab,SMALL(ROW(Sample_Intermediate_Dil)*(Sample_Intermediate_Dil&lt;&gt;"-"),COUNTIF(Sample_Intermediate_Dil,"-")+ROW()-3)-9,5),$A$3:$A$12,0),2),"-")</f>
        <v>-</v>
      </c>
      <c r="AC62" s="509" t="str">
        <f t="array" aca="1" ref="AC62" ca="1">IFERROR(INDEX(Coordinate,MATCH(INDEX(Calculation_Tab,SMALL(ROW(Sample_Intermediate_Dil)*(Sample_Intermediate_Dil&lt;&gt;"-"),COUNTIF(Sample_Intermediate_Dil,"-")+ROW()-3)-9,6),$X$4:$X$99,0),2),"-")</f>
        <v>-</v>
      </c>
      <c r="AD62" s="510" t="str">
        <f t="array" aca="1" ref="AD62" ca="1">IFERROR(INDEX(Calculation_Tab,SMALL(ROW(Sample_Intermediate_Dil)*(Sample_Intermediate_Dil&lt;&gt;"-"),COUNTIF(Sample_Intermediate_Dil,"-")+ROW()-3)-9,24),"-")</f>
        <v>-</v>
      </c>
      <c r="AE62" s="510" t="str">
        <f t="array" aca="1" ref="AE62" ca="1">IFERROR(INDEX(Calculation_Tab,SMALL(ROW(Sample_Intermediate_Dil)*(Sample_Intermediate_Dil&lt;&gt;"-"),COUNTIF(Sample_Intermediate_Dil,"-")+ROW()-3)-9,25),"-")</f>
        <v>-</v>
      </c>
      <c r="AF62" s="510" t="str">
        <f t="array" aca="1" ref="AF62" ca="1">IFERROR(INDEX(Calculation_Tab,SMALL(ROW(Sample_Intermediate_Dil)*(Sample_Intermediate_Dil&lt;&gt;"-"),COUNTIF(Sample_Intermediate_Dil,"-")+ROW()-3)-9,26),"-")</f>
        <v>-</v>
      </c>
      <c r="AG62" s="511" t="str">
        <f t="array" aca="1" ref="AG62" ca="1">IFERROR(INDEX(Calculation_Tab,SMALL(ROW(Sample_Intermediate_Dil)*(Sample_Intermediate_Dil&lt;&gt;"-"),COUNTIF(Sample_Intermediate_Dil,"-")+ROW()-3)-9,27),"-")</f>
        <v>-</v>
      </c>
      <c r="AI62" s="487">
        <v>59</v>
      </c>
      <c r="AJ62" s="497" t="s">
        <v>160</v>
      </c>
      <c r="AK62" s="378">
        <v>59</v>
      </c>
      <c r="AL62" s="378" t="str">
        <f t="shared" ca="1" si="6"/>
        <v>-</v>
      </c>
      <c r="AM62" s="378" t="str">
        <f t="array" aca="1" ref="AM62" ca="1">IFERROR(IF(AI62&lt;=$AB$2,"-",INDEX(Calculation_Tab,SMALL(ROW(Main_Dil)*(Main_Dil&lt;&gt;"-"),COUNTIF(Main_Dil,"-")+ROW()-3-$AB$2)-9,5)),"-")</f>
        <v>-</v>
      </c>
      <c r="AN62" s="378" t="str">
        <f t="array" aca="1" ref="AN62" ca="1">IFERROR(IF(AI62&lt;=$AB$2,"-",INDEX($A$3:$B$12,MATCH(INDEX(Calculation_Tab,SMALL(ROW(Main_Dil)*(Main_Dil&lt;&gt;"-"),COUNTIF(Main_Dil,"-")+ROW()-3-$AB$2)-9,5),$A$3:$A$12,0),2)),"-")</f>
        <v>-</v>
      </c>
      <c r="AO62" s="378" t="str">
        <f t="array" aca="1" ref="AO62" ca="1">IFERROR(IF(AI62&lt;=$AB$2,"-",INDEX(Coordinate,MATCH(INDEX(Calculation_Tab,SMALL(ROW(Main_Dil)*(Main_Dil&lt;&gt;"-"),COUNTIF(Main_Dil,"-")+ROW()-3-$AB$2)-9,6),$X$4:$X$99,0),2)),"-")</f>
        <v>-</v>
      </c>
      <c r="AP62" s="510" t="str">
        <f t="array" aca="1" ref="AP62" ca="1">IFERROR(IF(AI62&lt;=$AB$2,"-",INDEX(Calculation_Tab,SMALL(ROW(Main_Dil)*(Main_Dil&lt;&gt;"-"),COUNTIF(Main_Dil,"-")+ROW()-3-$AB$2)-9,21)),"-")</f>
        <v>-</v>
      </c>
      <c r="AQ62" s="511" t="str">
        <f t="array" aca="1" ref="AQ62" ca="1">IFERROR(IF(AI62&lt;=$AB$2,"-",INDEX(Calculation_Tab,SMALL(ROW(Main_Dil)*(Main_Dil&lt;&gt;"-"),COUNTIF(Main_Dil,"-")+ROW()-3-$AB$2)-9,22)),"-")</f>
        <v>-</v>
      </c>
      <c r="AR62" s="487" t="str">
        <f t="shared" ca="1" si="7"/>
        <v>-</v>
      </c>
      <c r="AS62" s="378">
        <v>59</v>
      </c>
      <c r="AT62" s="497" t="s">
        <v>160</v>
      </c>
      <c r="AU62" s="498">
        <v>59</v>
      </c>
      <c r="AV62" s="378" t="str">
        <f t="shared" ca="1" si="8"/>
        <v>-</v>
      </c>
      <c r="AW62" s="378" t="str">
        <f t="array" aca="1" ref="AW62" ca="1">IFERROR(IF(AS62&lt;=$AB$2+$AN$2,"-",INDEX(Calculation_Tab,SMALL(ROW(Direct_Denaturation)*(Direct_Denaturation&lt;&gt;"-"),COUNTIF(Direct_Denaturation,"-")+ROW()-3-$AB$2-$AN$2)-9,5)),"-")</f>
        <v>-</v>
      </c>
      <c r="AX62" s="378" t="str">
        <f t="array" aca="1" ref="AX62" ca="1">IFERROR(IF(AS62&lt;=$AB$2+$AN$2,"-",INDEX($A$3:$B$12,MATCH(INDEX(Calculation_Tab,SMALL(ROW(Direct_Denaturation)*(Direct_Denaturation&lt;&gt;"-"),COUNTIF(Direct_Denaturation,"-")+ROW()-3-$AB$2-$AN$2)-9,5),$A$3:$A$12,0),2)),"-")</f>
        <v>-</v>
      </c>
      <c r="AY62" s="378" t="str">
        <f t="array" aca="1" ref="AY62" ca="1">IFERROR(IF(AS62&lt;=$AB$2+$AN$2,"-",INDEX(Coordinate,MATCH(INDEX(Calculation_Tab,SMALL(ROW(Direct_Denaturation)*(Direct_Denaturation&lt;&gt;"-"),COUNTIF(Direct_Denaturation,"-")+ROW()-3-$AB$2-$AN$2)-9,6),$X$4:$X$99,0),2)),"-")</f>
        <v>-</v>
      </c>
      <c r="AZ62" s="510" t="str">
        <f t="array" aca="1" ref="AZ62" ca="1">IFERROR(IF(AS62&lt;=$AB$2+$AN$2,"-",INDEX(Calculation_Tab,SMALL(ROW(Direct_Denaturation)*(Direct_Denaturation&lt;&gt;"-"),COUNTIF(Direct_Denaturation,"-")+ROW()-3-$AB$2-$AN$2)-9,32)),"-")</f>
        <v>-</v>
      </c>
      <c r="BA62" s="510" t="str">
        <f t="array" aca="1" ref="BA62" ca="1">IFERROR(IF(AS62&lt;=$AB$2+$AN$2,"-",INDEX(Calculation_Tab,SMALL(ROW(Direct_Denaturation)*(Direct_Denaturation&lt;&gt;"-"),COUNTIF(Direct_Denaturation,"-")+ROW()-3-$AB$2-$AN$2)-9,34)),"-")</f>
        <v>-</v>
      </c>
      <c r="BB62" s="510" t="str">
        <f t="array" aca="1" ref="BB62" ca="1">IFERROR(IF(AS62&lt;=$AB$2+$AN$2,"-",INDEX(Calculation_Tab,SMALL(ROW(Direct_Denaturation)*(Direct_Denaturation&lt;&gt;"-"),COUNTIF(Direct_Denaturation,"-")+ROW()-3-$AB$2-$AN$2)-9,33)),"-")</f>
        <v>-</v>
      </c>
      <c r="BC62" s="510" t="str">
        <f t="array" aca="1" ref="BC62" ca="1">IFERROR(IF(AS62&lt;=$AB$2+$AN$2,"-",INDEX(Calculation_Tab,SMALL(ROW(Direct_Denaturation)*(Direct_Denaturation&lt;&gt;"-"),COUNTIF(Direct_Denaturation,"-")+ROW()-3-$AB$2-$AN$2)-9,35)),"-")</f>
        <v>-</v>
      </c>
      <c r="BD62" s="511" t="str">
        <f t="shared" ca="1" si="9"/>
        <v>-</v>
      </c>
      <c r="BE62" s="494" t="s">
        <v>404</v>
      </c>
      <c r="BF62" s="378">
        <v>59</v>
      </c>
      <c r="BG62" s="515" t="str">
        <v>-</v>
      </c>
      <c r="BH62" s="516" t="str">
        <f>IFERROR(IF((Calculation!$AR$6/INDEX(ListAndConversion!D:P,MATCH(BG62,E:E,0),13))&lt;Calculation!$O$6,INDEX(ListAndConversion!D:P,MATCH(BG62,E:E,0),13)*Calculation!$O$6,Calculation!$AR$6),"-")</f>
        <v>-</v>
      </c>
      <c r="BI62" s="517" t="str">
        <f t="shared" si="33"/>
        <v>-</v>
      </c>
      <c r="BJ62" s="518" t="str">
        <f t="shared" si="34"/>
        <v>-</v>
      </c>
      <c r="BK62" s="378" t="s">
        <v>158</v>
      </c>
      <c r="BL62" s="378">
        <v>59</v>
      </c>
      <c r="BM62" s="487" t="str">
        <f t="array" aca="1" ref="BM62" ca="1">IFERROR(INDEX(Calculation_Tab,SMALL(ROW(ToPool)*(ToPool&lt;&gt;"-"),COUNTIF(ToPool,"-")+ROW()-3)-9,3),"-")</f>
        <v>-</v>
      </c>
      <c r="BN62" s="378" t="str">
        <f t="shared" ca="1" si="12"/>
        <v>-</v>
      </c>
      <c r="BO62" s="378" t="str">
        <f t="shared" ca="1" si="13"/>
        <v>-</v>
      </c>
      <c r="BP62" s="523" t="str">
        <f t="shared" ca="1" si="14"/>
        <v>-</v>
      </c>
      <c r="BQ62" s="378" t="str">
        <f t="array" aca="1" ref="BQ62" ca="1">IFERROR(INDEX(BE:BG,MATCH(INDEX(Calculation_Tab,SMALL(ROW(ToPool)*(ToPool&lt;&gt;"-"),COUNTIF(ToPool,"-")+ROW()-3)-9,9),BG:BG,0),2),"-")</f>
        <v>-</v>
      </c>
      <c r="BR62" s="510" t="str">
        <f t="shared" ca="1" si="15"/>
        <v>-</v>
      </c>
      <c r="BS62" s="511" t="str">
        <f t="shared" ca="1" si="16"/>
        <v>-</v>
      </c>
      <c r="BT62" s="378" t="s">
        <v>164</v>
      </c>
      <c r="BU62" s="487" t="str">
        <f t="shared" ca="1" si="21"/>
        <v>-</v>
      </c>
      <c r="BV62" s="487" t="str">
        <f t="array" aca="1" ref="BV6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62" s="378" t="str">
        <f t="shared" ca="1" si="17"/>
        <v>-</v>
      </c>
      <c r="BX62" s="378" t="str">
        <f t="shared" ca="1" si="18"/>
        <v>-</v>
      </c>
      <c r="BY62" s="510" t="str">
        <f ca="1">IFERROR(ROUND(INDEX(Cluster,MATCH(IF(LEFT(BV62,4)="Pool",INDEX(Cluster,MATCH(INDEX(Calculation_Tab,MATCH(INDEX($BE$4:$BJ$99,MATCH(BV62,$BE$4:$BE$99,0),3),Flow_Cell_Lane,0),3),Cluster!$F$29:$F$412,0),6),BV62),Identifier_Cluster,0),19)*IF(LEFT(BV62,4)="pool",IF(LEN(INDEX($BE$4:$BJ$99,MATCH(BV62,$BE$4:$BE$99,0),3))=10,2,IF(LEN(INDEX($BE$4:$BJ$99,MATCH(BV62,$BE$4:$BE$99,0),3))&gt;10,LEN(INDEX($BE$4:$BJ$99,MATCH(BV62,$BE$4:$BE$99,0),3))-8,1)),1)*IF(LEFT(BV62,4)="pool",IF(INDEX($BE$4:$BJ$99,MATCH(BV62,$BE$4:$BE$99,0),6)&lt;1,1,INDEX($BE$4:$BJ$99,MATCH(BV62,$BE$4:$BE$99,0),6)),INDEX(Calculation_Tab,MATCH(BV62,Identifier,0),10)),1)*(1+Calculation!$Q$6),"-")</f>
        <v>-</v>
      </c>
      <c r="BZ62" s="378" t="str">
        <f ca="1">IFERROR((0.5/50)*CE62/Calculation!$AG$6*(IF(LEFT(BV62,4)="Pool",IF(LEN(INDEX($BE$4:$BJ$99,MATCH(BV62,$BE$4:$BE$99,0),3))=10,2,IF(LEN(INDEX($BE$4:$BJ$99,MATCH(BV62,$BE$4:$BE$99,0),3))&gt;10,LEN(INDEX($BE$4:$BJ$99,MATCH(BV62,$BE$4:$BE$99,0),3))-8,1)),IF(INDEX(Calculation_Tab,MATCH(BV62,Identifier,0),10)&gt;1,INDEX(Calculation_Tab,MATCH(BV62,Identifier,0),10),1)))*(1+Calculation!$Q$6),"-")</f>
        <v>-</v>
      </c>
      <c r="CA62" s="510" t="str">
        <f ca="1">IFERROR(IF((BZ62*Calculation!$AG$6/0.05)-SUM(BY62:BZ62,CC62)&gt;0,(BZ62*Calculation!$AG$6/0.05)-SUM(BY62:BZ62,CC62),0),"-")</f>
        <v>-</v>
      </c>
      <c r="CB62" s="510" t="str">
        <f ca="1">IFERROR(5/50*CE62*(IF(LEFT(BV62,4)="Pool",IF(LEN(INDEX($BE$4:$BJ$99,MATCH(BV62,$BE$4:$BE$99,0),3))=10,2,IF(LEN(INDEX($BE$4:$BJ$99,MATCH(BV62,$BE$4:$BE$99,0),3))&gt;10,LEN(INDEX($BE$4:$BJ$99,MATCH(BV62,$BE$4:$BE$99,0),3))-8,1)),IF(INDEX(Calculation_Tab,MATCH(BV62,Identifier,0),10)&gt;1,INDEX(Calculation_Tab,MATCH(BV62,Identifier,0),10),1)))*(1+Calculation!$Q$6),"-")</f>
        <v>-</v>
      </c>
      <c r="CC62" s="508" t="str">
        <f ca="1">IFERROR(ROUND(INDEX(Cluster,MATCH(IF(LEFT(BV62,4)="Pool",INDEX(Cluster,MATCH(INDEX(Calculation_Tab,MATCH(INDEX($BE$4:$BJ$99,MATCH(BV62,$BE$4:$BE$99,0),3),Flow_Cell_Lane,0),3),Cluster!$F$29:$F$412,0),6),BV62),Identifier_Cluster,0),20)*IF(LEFT(BV62,4)="pool",IF(LEN(INDEX($BE$4:$BJ$99,MATCH(BV62,$BE$4:$BE$99,0),3))=10,2,IF(LEN(INDEX($BE$4:$BJ$99,MATCH(BV62,$BE$4:$BE$99,0),3))&gt;10,LEN(INDEX($BE$4:$BJ$99,MATCH(BV62,$BE$4:$BE$99,0),3))-8,1)),1)*IF(LEFT(BV62,4)="pool",IF(INDEX($BE$4:$BJ$99,MATCH(BV62,$BE$4:$BE$99,0),6)&lt;1,1,INDEX($BE$4:$BJ$99,MATCH(BV62,$BE$4:$BE$99,0),6)),INDEX(Calculation_Tab,MATCH(BV62,Identifier,0),10)),1)*(1+Calculation!$Q$6),"-")</f>
        <v>-</v>
      </c>
      <c r="CD62" s="509" t="str">
        <f ca="1">IFERROR(INDEX(Cluster!AC:AD,MATCH(IF(LEFT(BV62,4)="Pool",INDEX(Cluster!$D$29:$AA$412,MATCH(INDEX(Calculation_Tab,MATCH(INDEX($BE$4:$BJ$99,MATCH(BV62,$BE$4:$BE$99,0),3),Flow_Cell_Lane,0),3),Cluster!$F$29:$F$412,0),24),INDEX(Cluster!$D$29:$AA$412,MATCH(BV62,Cluster!$F$29:$F$412,0),24)),Cluster!AC:AC,0),2),"-")</f>
        <v>-</v>
      </c>
      <c r="CE62" s="378" t="str">
        <f ca="1">IFERROR(IF(BV62&lt;&gt;"-",Calculation!$AK$6,"-"),"-")</f>
        <v>-</v>
      </c>
      <c r="CF62" s="378" t="str">
        <f ca="1">IF(OR(LEFT(ListAndConversion!BW62,3)="Dil",LEFT(ListAndConversion!BW62,3)="Poo"),ListAndConversion!$BT$4,IF(LEFT(ListAndConversion!BW62,3)="Sou",INDEX(ListAndConversion!$AT$3:$AV$387,MATCH(ListAndConversion!BV62,ListAndConversion!$AV$3:$AV$387,0),1),"-"))</f>
        <v>-</v>
      </c>
      <c r="CG62" s="498" t="str">
        <f ca="1">IF(OR(LEFT(ListAndConversion!BW62,3)="Dil",LEFT(ListAndConversion!BW62,3)="Poo"),ListAndConversion!BU62,IF(LEFT(ListAndConversion!BW62,3)="Sou",INDEX(ListAndConversion!$AT$4:$AV$387,MATCH(ListAndConversion!BV62,ListAndConversion!$AV$4:$AV$387,0),2),"-"))</f>
        <v>-</v>
      </c>
      <c r="CH62" s="378"/>
      <c r="CI62" s="487" t="str">
        <f t="shared" ca="1" si="19"/>
        <v>-</v>
      </c>
      <c r="CJ62" s="378" t="str">
        <f t="shared" ca="1" si="40"/>
        <v>-</v>
      </c>
      <c r="CK62" s="378" t="str">
        <f t="shared" ca="1" si="40"/>
        <v>-</v>
      </c>
      <c r="CL62" s="378" t="str">
        <f t="shared" ca="1" si="40"/>
        <v>-</v>
      </c>
      <c r="CM62" s="378" t="str">
        <f t="shared" ca="1" si="40"/>
        <v>-</v>
      </c>
      <c r="CN62" s="378" t="str">
        <f t="shared" ca="1" si="40"/>
        <v>-</v>
      </c>
      <c r="CO62" s="378" t="str">
        <f t="shared" ca="1" si="40"/>
        <v>-</v>
      </c>
      <c r="CP62" s="378" t="str">
        <f t="shared" ca="1" si="40"/>
        <v>-</v>
      </c>
      <c r="CQ62" s="378" t="str">
        <f t="shared" ca="1" si="40"/>
        <v>-</v>
      </c>
      <c r="CR62" s="510" t="str">
        <f ca="1">IFERROR(IF(LEFT(BW62,3)="Poo",INDEX($BE$4:$BJ$99,MATCH(CI62,$BG$4:$BG$99,0),6)*((15/50))*Calculation!$AK$6,INDEX(Calculation_Tab,MATCH(BV62,Identifier,0),10)/(IF(LEN(INDEX(Calculation_Tab,MATCH(BV62,Identifier,0),9))&gt;8,LEN(INDEX(Calculation_Tab,MATCH(BV62,Identifier,0),9))-8,1))*((15/50)*Calculation!$AK$6)),"-")</f>
        <v>-</v>
      </c>
      <c r="CS62" s="498" t="str">
        <f ca="1">IF(CI62="-","-",IF(COUNTIF($CI$3:CI62,CI62)&gt;1,0,IFERROR((35/50)*Calculation!$AK$6,"-")))</f>
        <v>-</v>
      </c>
    </row>
    <row r="63" spans="4:97" x14ac:dyDescent="0.5">
      <c r="D63" s="487" t="e">
        <f t="shared" si="0"/>
        <v>#DIV/0!</v>
      </c>
      <c r="E63" s="496" t="e">
        <f t="array" ref="E63">IF(IF((ROW(E63)-3)&lt;(ListAndConversion!$A$15),INDEX(Flow_Cell_Lane,MIN(IF(COUNTIF($E$2:E62,Flow_Cell_Lane)=0,ROW(Flow_Cell_Lane)-9))),"-")="","-",IF((ROW(E63)-3)&lt;(ListAndConversion!$A$15),INDEX(Flow_Cell_Lane,MIN(IF(COUNTIF($E$2:E62,Flow_Cell_Lane)=0,ROW(Flow_Cell_Lane)-9))),"-"))</f>
        <v>#DIV/0!</v>
      </c>
      <c r="F63" s="378" t="e">
        <f t="shared" si="1"/>
        <v>#DIV/0!</v>
      </c>
      <c r="G63" s="378" t="e">
        <f t="shared" ref="G63:M72" si="42">IF($D63&gt;8,IF($D63&gt;=(8+G$2),CONCATENATE(LEFT($E63,7),RIGHT(LEFT($E63,8+G$2),1)),""),"")</f>
        <v>#DIV/0!</v>
      </c>
      <c r="H63" s="378" t="e">
        <f t="shared" si="42"/>
        <v>#DIV/0!</v>
      </c>
      <c r="I63" s="378" t="e">
        <f t="shared" si="42"/>
        <v>#DIV/0!</v>
      </c>
      <c r="J63" s="378" t="e">
        <f t="shared" si="42"/>
        <v>#DIV/0!</v>
      </c>
      <c r="K63" s="378" t="e">
        <f t="shared" si="42"/>
        <v>#DIV/0!</v>
      </c>
      <c r="L63" s="378" t="e">
        <f t="shared" si="42"/>
        <v>#DIV/0!</v>
      </c>
      <c r="M63" s="378" t="e">
        <f t="shared" si="42"/>
        <v>#DIV/0!</v>
      </c>
      <c r="N63" s="497" t="e">
        <f t="shared" si="3"/>
        <v>#DIV/0!</v>
      </c>
      <c r="O63" s="497" t="str">
        <f t="array" ref="O63">IFERROR(INDEX(Calculation!I:AN,MATCH(ListAndConversion!E63,Calculation!I:I,0),31),"-")</f>
        <v>-</v>
      </c>
      <c r="P63" s="498">
        <f>IF(COUNTIFS(Calculation!$I$10:$I$393,E63,Direct_Denaturation,"-")&lt;&gt;1,COUNTIFS(Calculation!$I$10:$I$393,E63,Direct_Denaturation,"-"),0)</f>
        <v>0</v>
      </c>
      <c r="Q63" s="378"/>
      <c r="R63" s="487" t="e">
        <f t="array" ref="R63">IF(IF((ROW(R63)-3)&lt;(Calculation!$H$6),INDEX(Flow_Cell,MIN(IF(COUNTIF($R$2:R62,Flow_Cell)=0,ROW(Flow_Cell)-9))),"-")="","-",IF((ROW(R63)-3)&lt;(Calculation!$H$6),INDEX(Flow_Cell,MIN(IF(COUNTIF($R$2:R62,Flow_Cell)=0,ROW(Flow_Cell)-9))),"-"))</f>
        <v>#DIV/0!</v>
      </c>
      <c r="S63" s="378" t="e">
        <f t="shared" si="41"/>
        <v>#DIV/0!</v>
      </c>
      <c r="T63" s="378">
        <v>5</v>
      </c>
      <c r="U63" s="498">
        <v>61</v>
      </c>
      <c r="V63" s="487">
        <v>60</v>
      </c>
      <c r="W63" s="497" t="s">
        <v>287</v>
      </c>
      <c r="X63" s="497" t="s">
        <v>405</v>
      </c>
      <c r="Y63" s="378">
        <v>60</v>
      </c>
      <c r="Z63" s="378" t="str">
        <f t="shared" ca="1" si="32"/>
        <v>-</v>
      </c>
      <c r="AA63" s="508" t="str">
        <f t="array" aca="1" ref="AA63" ca="1">IFERROR(INDEX(Calculation_Tab,SMALL(ROW(Sample_Intermediate_Dil)*(Sample_Intermediate_Dil&lt;&gt;"-"),COUNTIF(Sample_Intermediate_Dil,"-")+ROW()-3)-9,5),"-")</f>
        <v>-</v>
      </c>
      <c r="AB63" s="378" t="str">
        <f t="array" aca="1" ref="AB63" ca="1">IFERROR(INDEX($A$3:$B$12,MATCH(INDEX(Calculation_Tab,SMALL(ROW(Sample_Intermediate_Dil)*(Sample_Intermediate_Dil&lt;&gt;"-"),COUNTIF(Sample_Intermediate_Dil,"-")+ROW()-3)-9,5),$A$3:$A$12,0),2),"-")</f>
        <v>-</v>
      </c>
      <c r="AC63" s="509" t="str">
        <f t="array" aca="1" ref="AC63" ca="1">IFERROR(INDEX(Coordinate,MATCH(INDEX(Calculation_Tab,SMALL(ROW(Sample_Intermediate_Dil)*(Sample_Intermediate_Dil&lt;&gt;"-"),COUNTIF(Sample_Intermediate_Dil,"-")+ROW()-3)-9,6),$X$4:$X$99,0),2),"-")</f>
        <v>-</v>
      </c>
      <c r="AD63" s="510" t="str">
        <f t="array" aca="1" ref="AD63" ca="1">IFERROR(INDEX(Calculation_Tab,SMALL(ROW(Sample_Intermediate_Dil)*(Sample_Intermediate_Dil&lt;&gt;"-"),COUNTIF(Sample_Intermediate_Dil,"-")+ROW()-3)-9,24),"-")</f>
        <v>-</v>
      </c>
      <c r="AE63" s="510" t="str">
        <f t="array" aca="1" ref="AE63" ca="1">IFERROR(INDEX(Calculation_Tab,SMALL(ROW(Sample_Intermediate_Dil)*(Sample_Intermediate_Dil&lt;&gt;"-"),COUNTIF(Sample_Intermediate_Dil,"-")+ROW()-3)-9,25),"-")</f>
        <v>-</v>
      </c>
      <c r="AF63" s="510" t="str">
        <f t="array" aca="1" ref="AF63" ca="1">IFERROR(INDEX(Calculation_Tab,SMALL(ROW(Sample_Intermediate_Dil)*(Sample_Intermediate_Dil&lt;&gt;"-"),COUNTIF(Sample_Intermediate_Dil,"-")+ROW()-3)-9,26),"-")</f>
        <v>-</v>
      </c>
      <c r="AG63" s="511" t="str">
        <f t="array" aca="1" ref="AG63" ca="1">IFERROR(INDEX(Calculation_Tab,SMALL(ROW(Sample_Intermediate_Dil)*(Sample_Intermediate_Dil&lt;&gt;"-"),COUNTIF(Sample_Intermediate_Dil,"-")+ROW()-3)-9,27),"-")</f>
        <v>-</v>
      </c>
      <c r="AI63" s="487">
        <v>60</v>
      </c>
      <c r="AJ63" s="497" t="s">
        <v>160</v>
      </c>
      <c r="AK63" s="378">
        <v>60</v>
      </c>
      <c r="AL63" s="378" t="str">
        <f t="shared" ca="1" si="6"/>
        <v>-</v>
      </c>
      <c r="AM63" s="378" t="str">
        <f t="array" aca="1" ref="AM63" ca="1">IFERROR(IF(AI63&lt;=$AB$2,"-",INDEX(Calculation_Tab,SMALL(ROW(Main_Dil)*(Main_Dil&lt;&gt;"-"),COUNTIF(Main_Dil,"-")+ROW()-3-$AB$2)-9,5)),"-")</f>
        <v>-</v>
      </c>
      <c r="AN63" s="378" t="str">
        <f t="array" aca="1" ref="AN63" ca="1">IFERROR(IF(AI63&lt;=$AB$2,"-",INDEX($A$3:$B$12,MATCH(INDEX(Calculation_Tab,SMALL(ROW(Main_Dil)*(Main_Dil&lt;&gt;"-"),COUNTIF(Main_Dil,"-")+ROW()-3-$AB$2)-9,5),$A$3:$A$12,0),2)),"-")</f>
        <v>-</v>
      </c>
      <c r="AO63" s="378" t="str">
        <f t="array" aca="1" ref="AO63" ca="1">IFERROR(IF(AI63&lt;=$AB$2,"-",INDEX(Coordinate,MATCH(INDEX(Calculation_Tab,SMALL(ROW(Main_Dil)*(Main_Dil&lt;&gt;"-"),COUNTIF(Main_Dil,"-")+ROW()-3-$AB$2)-9,6),$X$4:$X$99,0),2)),"-")</f>
        <v>-</v>
      </c>
      <c r="AP63" s="510" t="str">
        <f t="array" aca="1" ref="AP63" ca="1">IFERROR(IF(AI63&lt;=$AB$2,"-",INDEX(Calculation_Tab,SMALL(ROW(Main_Dil)*(Main_Dil&lt;&gt;"-"),COUNTIF(Main_Dil,"-")+ROW()-3-$AB$2)-9,21)),"-")</f>
        <v>-</v>
      </c>
      <c r="AQ63" s="511" t="str">
        <f t="array" aca="1" ref="AQ63" ca="1">IFERROR(IF(AI63&lt;=$AB$2,"-",INDEX(Calculation_Tab,SMALL(ROW(Main_Dil)*(Main_Dil&lt;&gt;"-"),COUNTIF(Main_Dil,"-")+ROW()-3-$AB$2)-9,22)),"-")</f>
        <v>-</v>
      </c>
      <c r="AR63" s="487" t="str">
        <f t="shared" ca="1" si="7"/>
        <v>-</v>
      </c>
      <c r="AS63" s="378">
        <v>60</v>
      </c>
      <c r="AT63" s="497" t="s">
        <v>160</v>
      </c>
      <c r="AU63" s="498">
        <v>60</v>
      </c>
      <c r="AV63" s="378" t="str">
        <f t="shared" ca="1" si="8"/>
        <v>-</v>
      </c>
      <c r="AW63" s="378" t="str">
        <f t="array" aca="1" ref="AW63" ca="1">IFERROR(IF(AS63&lt;=$AB$2+$AN$2,"-",INDEX(Calculation_Tab,SMALL(ROW(Direct_Denaturation)*(Direct_Denaturation&lt;&gt;"-"),COUNTIF(Direct_Denaturation,"-")+ROW()-3-$AB$2-$AN$2)-9,5)),"-")</f>
        <v>-</v>
      </c>
      <c r="AX63" s="378" t="str">
        <f t="array" aca="1" ref="AX63" ca="1">IFERROR(IF(AS63&lt;=$AB$2+$AN$2,"-",INDEX($A$3:$B$12,MATCH(INDEX(Calculation_Tab,SMALL(ROW(Direct_Denaturation)*(Direct_Denaturation&lt;&gt;"-"),COUNTIF(Direct_Denaturation,"-")+ROW()-3-$AB$2-$AN$2)-9,5),$A$3:$A$12,0),2)),"-")</f>
        <v>-</v>
      </c>
      <c r="AY63" s="378" t="str">
        <f t="array" aca="1" ref="AY63" ca="1">IFERROR(IF(AS63&lt;=$AB$2+$AN$2,"-",INDEX(Coordinate,MATCH(INDEX(Calculation_Tab,SMALL(ROW(Direct_Denaturation)*(Direct_Denaturation&lt;&gt;"-"),COUNTIF(Direct_Denaturation,"-")+ROW()-3-$AB$2-$AN$2)-9,6),$X$4:$X$99,0),2)),"-")</f>
        <v>-</v>
      </c>
      <c r="AZ63" s="510" t="str">
        <f t="array" aca="1" ref="AZ63" ca="1">IFERROR(IF(AS63&lt;=$AB$2+$AN$2,"-",INDEX(Calculation_Tab,SMALL(ROW(Direct_Denaturation)*(Direct_Denaturation&lt;&gt;"-"),COUNTIF(Direct_Denaturation,"-")+ROW()-3-$AB$2-$AN$2)-9,32)),"-")</f>
        <v>-</v>
      </c>
      <c r="BA63" s="510" t="str">
        <f t="array" aca="1" ref="BA63" ca="1">IFERROR(IF(AS63&lt;=$AB$2+$AN$2,"-",INDEX(Calculation_Tab,SMALL(ROW(Direct_Denaturation)*(Direct_Denaturation&lt;&gt;"-"),COUNTIF(Direct_Denaturation,"-")+ROW()-3-$AB$2-$AN$2)-9,34)),"-")</f>
        <v>-</v>
      </c>
      <c r="BB63" s="510" t="str">
        <f t="array" aca="1" ref="BB63" ca="1">IFERROR(IF(AS63&lt;=$AB$2+$AN$2,"-",INDEX(Calculation_Tab,SMALL(ROW(Direct_Denaturation)*(Direct_Denaturation&lt;&gt;"-"),COUNTIF(Direct_Denaturation,"-")+ROW()-3-$AB$2-$AN$2)-9,33)),"-")</f>
        <v>-</v>
      </c>
      <c r="BC63" s="510" t="str">
        <f t="array" aca="1" ref="BC63" ca="1">IFERROR(IF(AS63&lt;=$AB$2+$AN$2,"-",INDEX(Calculation_Tab,SMALL(ROW(Direct_Denaturation)*(Direct_Denaturation&lt;&gt;"-"),COUNTIF(Direct_Denaturation,"-")+ROW()-3-$AB$2-$AN$2)-9,35)),"-")</f>
        <v>-</v>
      </c>
      <c r="BD63" s="511" t="str">
        <f t="shared" ca="1" si="9"/>
        <v>-</v>
      </c>
      <c r="BE63" s="494" t="s">
        <v>406</v>
      </c>
      <c r="BF63" s="378">
        <v>60</v>
      </c>
      <c r="BG63" s="515" t="str">
        <v>-</v>
      </c>
      <c r="BH63" s="516" t="str">
        <f>IFERROR(IF((Calculation!$AR$6/INDEX(ListAndConversion!D:P,MATCH(BG63,E:E,0),13))&lt;Calculation!$O$6,INDEX(ListAndConversion!D:P,MATCH(BG63,E:E,0),13)*Calculation!$O$6,Calculation!$AR$6),"-")</f>
        <v>-</v>
      </c>
      <c r="BI63" s="517" t="str">
        <f t="shared" si="33"/>
        <v>-</v>
      </c>
      <c r="BJ63" s="518" t="str">
        <f t="shared" si="34"/>
        <v>-</v>
      </c>
      <c r="BK63" s="378" t="s">
        <v>158</v>
      </c>
      <c r="BL63" s="378">
        <v>60</v>
      </c>
      <c r="BM63" s="487" t="str">
        <f t="array" aca="1" ref="BM63" ca="1">IFERROR(INDEX(Calculation_Tab,SMALL(ROW(ToPool)*(ToPool&lt;&gt;"-"),COUNTIF(ToPool,"-")+ROW()-3)-9,3),"-")</f>
        <v>-</v>
      </c>
      <c r="BN63" s="378" t="str">
        <f t="shared" ca="1" si="12"/>
        <v>-</v>
      </c>
      <c r="BO63" s="378" t="str">
        <f t="shared" ca="1" si="13"/>
        <v>-</v>
      </c>
      <c r="BP63" s="523" t="str">
        <f t="shared" ca="1" si="14"/>
        <v>-</v>
      </c>
      <c r="BQ63" s="378" t="str">
        <f t="array" aca="1" ref="BQ63" ca="1">IFERROR(INDEX(BE:BG,MATCH(INDEX(Calculation_Tab,SMALL(ROW(ToPool)*(ToPool&lt;&gt;"-"),COUNTIF(ToPool,"-")+ROW()-3)-9,9),BG:BG,0),2),"-")</f>
        <v>-</v>
      </c>
      <c r="BR63" s="510" t="str">
        <f t="shared" ca="1" si="15"/>
        <v>-</v>
      </c>
      <c r="BS63" s="511" t="str">
        <f t="shared" ca="1" si="16"/>
        <v>-</v>
      </c>
      <c r="BT63" s="378" t="s">
        <v>164</v>
      </c>
      <c r="BU63" s="487" t="str">
        <f t="shared" ca="1" si="21"/>
        <v>-</v>
      </c>
      <c r="BV63" s="487" t="str">
        <f t="array" aca="1" ref="BV6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63" s="378" t="str">
        <f t="shared" ca="1" si="17"/>
        <v>-</v>
      </c>
      <c r="BX63" s="378" t="str">
        <f t="shared" ca="1" si="18"/>
        <v>-</v>
      </c>
      <c r="BY63" s="510" t="str">
        <f ca="1">IFERROR(ROUND(INDEX(Cluster,MATCH(IF(LEFT(BV63,4)="Pool",INDEX(Cluster,MATCH(INDEX(Calculation_Tab,MATCH(INDEX($BE$4:$BJ$99,MATCH(BV63,$BE$4:$BE$99,0),3),Flow_Cell_Lane,0),3),Cluster!$F$29:$F$412,0),6),BV63),Identifier_Cluster,0),19)*IF(LEFT(BV63,4)="pool",IF(LEN(INDEX($BE$4:$BJ$99,MATCH(BV63,$BE$4:$BE$99,0),3))=10,2,IF(LEN(INDEX($BE$4:$BJ$99,MATCH(BV63,$BE$4:$BE$99,0),3))&gt;10,LEN(INDEX($BE$4:$BJ$99,MATCH(BV63,$BE$4:$BE$99,0),3))-8,1)),1)*IF(LEFT(BV63,4)="pool",IF(INDEX($BE$4:$BJ$99,MATCH(BV63,$BE$4:$BE$99,0),6)&lt;1,1,INDEX($BE$4:$BJ$99,MATCH(BV63,$BE$4:$BE$99,0),6)),INDEX(Calculation_Tab,MATCH(BV63,Identifier,0),10)),1)*(1+Calculation!$Q$6),"-")</f>
        <v>-</v>
      </c>
      <c r="BZ63" s="378" t="str">
        <f ca="1">IFERROR((0.5/50)*CE63/Calculation!$AG$6*(IF(LEFT(BV63,4)="Pool",IF(LEN(INDEX($BE$4:$BJ$99,MATCH(BV63,$BE$4:$BE$99,0),3))=10,2,IF(LEN(INDEX($BE$4:$BJ$99,MATCH(BV63,$BE$4:$BE$99,0),3))&gt;10,LEN(INDEX($BE$4:$BJ$99,MATCH(BV63,$BE$4:$BE$99,0),3))-8,1)),IF(INDEX(Calculation_Tab,MATCH(BV63,Identifier,0),10)&gt;1,INDEX(Calculation_Tab,MATCH(BV63,Identifier,0),10),1)))*(1+Calculation!$Q$6),"-")</f>
        <v>-</v>
      </c>
      <c r="CA63" s="510" t="str">
        <f ca="1">IFERROR(IF((BZ63*Calculation!$AG$6/0.05)-SUM(BY63:BZ63,CC63)&gt;0,(BZ63*Calculation!$AG$6/0.05)-SUM(BY63:BZ63,CC63),0),"-")</f>
        <v>-</v>
      </c>
      <c r="CB63" s="510" t="str">
        <f ca="1">IFERROR(5/50*CE63*(IF(LEFT(BV63,4)="Pool",IF(LEN(INDEX($BE$4:$BJ$99,MATCH(BV63,$BE$4:$BE$99,0),3))=10,2,IF(LEN(INDEX($BE$4:$BJ$99,MATCH(BV63,$BE$4:$BE$99,0),3))&gt;10,LEN(INDEX($BE$4:$BJ$99,MATCH(BV63,$BE$4:$BE$99,0),3))-8,1)),IF(INDEX(Calculation_Tab,MATCH(BV63,Identifier,0),10)&gt;1,INDEX(Calculation_Tab,MATCH(BV63,Identifier,0),10),1)))*(1+Calculation!$Q$6),"-")</f>
        <v>-</v>
      </c>
      <c r="CC63" s="508" t="str">
        <f ca="1">IFERROR(ROUND(INDEX(Cluster,MATCH(IF(LEFT(BV63,4)="Pool",INDEX(Cluster,MATCH(INDEX(Calculation_Tab,MATCH(INDEX($BE$4:$BJ$99,MATCH(BV63,$BE$4:$BE$99,0),3),Flow_Cell_Lane,0),3),Cluster!$F$29:$F$412,0),6),BV63),Identifier_Cluster,0),20)*IF(LEFT(BV63,4)="pool",IF(LEN(INDEX($BE$4:$BJ$99,MATCH(BV63,$BE$4:$BE$99,0),3))=10,2,IF(LEN(INDEX($BE$4:$BJ$99,MATCH(BV63,$BE$4:$BE$99,0),3))&gt;10,LEN(INDEX($BE$4:$BJ$99,MATCH(BV63,$BE$4:$BE$99,0),3))-8,1)),1)*IF(LEFT(BV63,4)="pool",IF(INDEX($BE$4:$BJ$99,MATCH(BV63,$BE$4:$BE$99,0),6)&lt;1,1,INDEX($BE$4:$BJ$99,MATCH(BV63,$BE$4:$BE$99,0),6)),INDEX(Calculation_Tab,MATCH(BV63,Identifier,0),10)),1)*(1+Calculation!$Q$6),"-")</f>
        <v>-</v>
      </c>
      <c r="CD63" s="509" t="str">
        <f ca="1">IFERROR(INDEX(Cluster!AC:AD,MATCH(IF(LEFT(BV63,4)="Pool",INDEX(Cluster!$D$29:$AA$412,MATCH(INDEX(Calculation_Tab,MATCH(INDEX($BE$4:$BJ$99,MATCH(BV63,$BE$4:$BE$99,0),3),Flow_Cell_Lane,0),3),Cluster!$F$29:$F$412,0),24),INDEX(Cluster!$D$29:$AA$412,MATCH(BV63,Cluster!$F$29:$F$412,0),24)),Cluster!AC:AC,0),2),"-")</f>
        <v>-</v>
      </c>
      <c r="CE63" s="378" t="str">
        <f ca="1">IFERROR(IF(BV63&lt;&gt;"-",Calculation!$AK$6,"-"),"-")</f>
        <v>-</v>
      </c>
      <c r="CF63" s="378" t="str">
        <f ca="1">IF(OR(LEFT(ListAndConversion!BW63,3)="Dil",LEFT(ListAndConversion!BW63,3)="Poo"),ListAndConversion!$BT$4,IF(LEFT(ListAndConversion!BW63,3)="Sou",INDEX(ListAndConversion!$AT$3:$AV$387,MATCH(ListAndConversion!BV63,ListAndConversion!$AV$3:$AV$387,0),1),"-"))</f>
        <v>-</v>
      </c>
      <c r="CG63" s="498" t="str">
        <f ca="1">IF(OR(LEFT(ListAndConversion!BW63,3)="Dil",LEFT(ListAndConversion!BW63,3)="Poo"),ListAndConversion!BU63,IF(LEFT(ListAndConversion!BW63,3)="Sou",INDEX(ListAndConversion!$AT$4:$AV$387,MATCH(ListAndConversion!BV63,ListAndConversion!$AV$4:$AV$387,0),2),"-"))</f>
        <v>-</v>
      </c>
      <c r="CH63" s="378"/>
      <c r="CI63" s="487" t="str">
        <f t="shared" ca="1" si="19"/>
        <v>-</v>
      </c>
      <c r="CJ63" s="378" t="str">
        <f t="shared" ca="1" si="40"/>
        <v>-</v>
      </c>
      <c r="CK63" s="378" t="str">
        <f t="shared" ca="1" si="40"/>
        <v>-</v>
      </c>
      <c r="CL63" s="378" t="str">
        <f t="shared" ca="1" si="40"/>
        <v>-</v>
      </c>
      <c r="CM63" s="378" t="str">
        <f t="shared" ca="1" si="40"/>
        <v>-</v>
      </c>
      <c r="CN63" s="378" t="str">
        <f t="shared" ca="1" si="40"/>
        <v>-</v>
      </c>
      <c r="CO63" s="378" t="str">
        <f t="shared" ca="1" si="40"/>
        <v>-</v>
      </c>
      <c r="CP63" s="378" t="str">
        <f t="shared" ca="1" si="40"/>
        <v>-</v>
      </c>
      <c r="CQ63" s="378" t="str">
        <f t="shared" ca="1" si="40"/>
        <v>-</v>
      </c>
      <c r="CR63" s="510" t="str">
        <f ca="1">IFERROR(IF(LEFT(BW63,3)="Poo",INDEX($BE$4:$BJ$99,MATCH(CI63,$BG$4:$BG$99,0),6)*((15/50))*Calculation!$AK$6,INDEX(Calculation_Tab,MATCH(BV63,Identifier,0),10)/(IF(LEN(INDEX(Calculation_Tab,MATCH(BV63,Identifier,0),9))&gt;8,LEN(INDEX(Calculation_Tab,MATCH(BV63,Identifier,0),9))-8,1))*((15/50)*Calculation!$AK$6)),"-")</f>
        <v>-</v>
      </c>
      <c r="CS63" s="498" t="str">
        <f ca="1">IF(CI63="-","-",IF(COUNTIF($CI$3:CI63,CI63)&gt;1,0,IFERROR((35/50)*Calculation!$AK$6,"-")))</f>
        <v>-</v>
      </c>
    </row>
    <row r="64" spans="4:97" x14ac:dyDescent="0.5">
      <c r="D64" s="487" t="e">
        <f t="shared" si="0"/>
        <v>#DIV/0!</v>
      </c>
      <c r="E64" s="496" t="e">
        <f t="array" ref="E64">IF(IF((ROW(E64)-3)&lt;(ListAndConversion!$A$15),INDEX(Flow_Cell_Lane,MIN(IF(COUNTIF($E$2:E63,Flow_Cell_Lane)=0,ROW(Flow_Cell_Lane)-9))),"-")="","-",IF((ROW(E64)-3)&lt;(ListAndConversion!$A$15),INDEX(Flow_Cell_Lane,MIN(IF(COUNTIF($E$2:E63,Flow_Cell_Lane)=0,ROW(Flow_Cell_Lane)-9))),"-"))</f>
        <v>#DIV/0!</v>
      </c>
      <c r="F64" s="378" t="e">
        <f t="shared" si="1"/>
        <v>#DIV/0!</v>
      </c>
      <c r="G64" s="378" t="e">
        <f t="shared" si="42"/>
        <v>#DIV/0!</v>
      </c>
      <c r="H64" s="378" t="e">
        <f t="shared" si="42"/>
        <v>#DIV/0!</v>
      </c>
      <c r="I64" s="378" t="e">
        <f t="shared" si="42"/>
        <v>#DIV/0!</v>
      </c>
      <c r="J64" s="378" t="e">
        <f t="shared" si="42"/>
        <v>#DIV/0!</v>
      </c>
      <c r="K64" s="378" t="e">
        <f t="shared" si="42"/>
        <v>#DIV/0!</v>
      </c>
      <c r="L64" s="378" t="e">
        <f t="shared" si="42"/>
        <v>#DIV/0!</v>
      </c>
      <c r="M64" s="378" t="e">
        <f t="shared" si="42"/>
        <v>#DIV/0!</v>
      </c>
      <c r="N64" s="497" t="e">
        <f t="shared" si="3"/>
        <v>#DIV/0!</v>
      </c>
      <c r="O64" s="497" t="str">
        <f t="array" ref="O64">IFERROR(INDEX(Calculation!I:AN,MATCH(ListAndConversion!E64,Calculation!I:I,0),31),"-")</f>
        <v>-</v>
      </c>
      <c r="P64" s="498">
        <f>IF(COUNTIFS(Calculation!$I$10:$I$393,E64,Direct_Denaturation,"-")&lt;&gt;1,COUNTIFS(Calculation!$I$10:$I$393,E64,Direct_Denaturation,"-"),0)</f>
        <v>0</v>
      </c>
      <c r="Q64" s="378"/>
      <c r="R64" s="487" t="e">
        <f t="array" ref="R64">IF(IF((ROW(R64)-3)&lt;(Calculation!$H$6),INDEX(Flow_Cell,MIN(IF(COUNTIF($R$2:R63,Flow_Cell)=0,ROW(Flow_Cell)-9))),"-")="","-",IF((ROW(R64)-3)&lt;(Calculation!$H$6),INDEX(Flow_Cell,MIN(IF(COUNTIF($R$2:R63,Flow_Cell)=0,ROW(Flow_Cell)-9))),"-"))</f>
        <v>#DIV/0!</v>
      </c>
      <c r="S64" s="378" t="e">
        <f t="shared" si="41"/>
        <v>#DIV/0!</v>
      </c>
      <c r="T64" s="378">
        <v>6</v>
      </c>
      <c r="U64" s="498">
        <v>62</v>
      </c>
      <c r="V64" s="487">
        <v>61</v>
      </c>
      <c r="W64" s="497" t="s">
        <v>287</v>
      </c>
      <c r="X64" s="497" t="s">
        <v>407</v>
      </c>
      <c r="Y64" s="378">
        <v>61</v>
      </c>
      <c r="Z64" s="378" t="str">
        <f t="shared" ca="1" si="32"/>
        <v>-</v>
      </c>
      <c r="AA64" s="508" t="str">
        <f t="array" aca="1" ref="AA64" ca="1">IFERROR(INDEX(Calculation_Tab,SMALL(ROW(Sample_Intermediate_Dil)*(Sample_Intermediate_Dil&lt;&gt;"-"),COUNTIF(Sample_Intermediate_Dil,"-")+ROW()-3)-9,5),"-")</f>
        <v>-</v>
      </c>
      <c r="AB64" s="378" t="str">
        <f t="array" aca="1" ref="AB64" ca="1">IFERROR(INDEX($A$3:$B$12,MATCH(INDEX(Calculation_Tab,SMALL(ROW(Sample_Intermediate_Dil)*(Sample_Intermediate_Dil&lt;&gt;"-"),COUNTIF(Sample_Intermediate_Dil,"-")+ROW()-3)-9,5),$A$3:$A$12,0),2),"-")</f>
        <v>-</v>
      </c>
      <c r="AC64" s="509" t="str">
        <f t="array" aca="1" ref="AC64" ca="1">IFERROR(INDEX(Coordinate,MATCH(INDEX(Calculation_Tab,SMALL(ROW(Sample_Intermediate_Dil)*(Sample_Intermediate_Dil&lt;&gt;"-"),COUNTIF(Sample_Intermediate_Dil,"-")+ROW()-3)-9,6),$X$4:$X$99,0),2),"-")</f>
        <v>-</v>
      </c>
      <c r="AD64" s="510" t="str">
        <f t="array" aca="1" ref="AD64" ca="1">IFERROR(INDEX(Calculation_Tab,SMALL(ROW(Sample_Intermediate_Dil)*(Sample_Intermediate_Dil&lt;&gt;"-"),COUNTIF(Sample_Intermediate_Dil,"-")+ROW()-3)-9,24),"-")</f>
        <v>-</v>
      </c>
      <c r="AE64" s="510" t="str">
        <f t="array" aca="1" ref="AE64" ca="1">IFERROR(INDEX(Calculation_Tab,SMALL(ROW(Sample_Intermediate_Dil)*(Sample_Intermediate_Dil&lt;&gt;"-"),COUNTIF(Sample_Intermediate_Dil,"-")+ROW()-3)-9,25),"-")</f>
        <v>-</v>
      </c>
      <c r="AF64" s="510" t="str">
        <f t="array" aca="1" ref="AF64" ca="1">IFERROR(INDEX(Calculation_Tab,SMALL(ROW(Sample_Intermediate_Dil)*(Sample_Intermediate_Dil&lt;&gt;"-"),COUNTIF(Sample_Intermediate_Dil,"-")+ROW()-3)-9,26),"-")</f>
        <v>-</v>
      </c>
      <c r="AG64" s="511" t="str">
        <f t="array" aca="1" ref="AG64" ca="1">IFERROR(INDEX(Calculation_Tab,SMALL(ROW(Sample_Intermediate_Dil)*(Sample_Intermediate_Dil&lt;&gt;"-"),COUNTIF(Sample_Intermediate_Dil,"-")+ROW()-3)-9,27),"-")</f>
        <v>-</v>
      </c>
      <c r="AI64" s="487">
        <v>61</v>
      </c>
      <c r="AJ64" s="497" t="s">
        <v>160</v>
      </c>
      <c r="AK64" s="378">
        <v>61</v>
      </c>
      <c r="AL64" s="378" t="str">
        <f t="shared" ca="1" si="6"/>
        <v>-</v>
      </c>
      <c r="AM64" s="378" t="str">
        <f t="array" aca="1" ref="AM64" ca="1">IFERROR(IF(AI64&lt;=$AB$2,"-",INDEX(Calculation_Tab,SMALL(ROW(Main_Dil)*(Main_Dil&lt;&gt;"-"),COUNTIF(Main_Dil,"-")+ROW()-3-$AB$2)-9,5)),"-")</f>
        <v>-</v>
      </c>
      <c r="AN64" s="378" t="str">
        <f t="array" aca="1" ref="AN64" ca="1">IFERROR(IF(AI64&lt;=$AB$2,"-",INDEX($A$3:$B$12,MATCH(INDEX(Calculation_Tab,SMALL(ROW(Main_Dil)*(Main_Dil&lt;&gt;"-"),COUNTIF(Main_Dil,"-")+ROW()-3-$AB$2)-9,5),$A$3:$A$12,0),2)),"-")</f>
        <v>-</v>
      </c>
      <c r="AO64" s="378" t="str">
        <f t="array" aca="1" ref="AO64" ca="1">IFERROR(IF(AI64&lt;=$AB$2,"-",INDEX(Coordinate,MATCH(INDEX(Calculation_Tab,SMALL(ROW(Main_Dil)*(Main_Dil&lt;&gt;"-"),COUNTIF(Main_Dil,"-")+ROW()-3-$AB$2)-9,6),$X$4:$X$99,0),2)),"-")</f>
        <v>-</v>
      </c>
      <c r="AP64" s="510" t="str">
        <f t="array" aca="1" ref="AP64" ca="1">IFERROR(IF(AI64&lt;=$AB$2,"-",INDEX(Calculation_Tab,SMALL(ROW(Main_Dil)*(Main_Dil&lt;&gt;"-"),COUNTIF(Main_Dil,"-")+ROW()-3-$AB$2)-9,21)),"-")</f>
        <v>-</v>
      </c>
      <c r="AQ64" s="511" t="str">
        <f t="array" aca="1" ref="AQ64" ca="1">IFERROR(IF(AI64&lt;=$AB$2,"-",INDEX(Calculation_Tab,SMALL(ROW(Main_Dil)*(Main_Dil&lt;&gt;"-"),COUNTIF(Main_Dil,"-")+ROW()-3-$AB$2)-9,22)),"-")</f>
        <v>-</v>
      </c>
      <c r="AR64" s="487" t="str">
        <f t="shared" ca="1" si="7"/>
        <v>-</v>
      </c>
      <c r="AS64" s="378">
        <v>61</v>
      </c>
      <c r="AT64" s="497" t="s">
        <v>160</v>
      </c>
      <c r="AU64" s="498">
        <v>61</v>
      </c>
      <c r="AV64" s="378" t="str">
        <f t="shared" ca="1" si="8"/>
        <v>-</v>
      </c>
      <c r="AW64" s="378" t="str">
        <f t="array" aca="1" ref="AW64" ca="1">IFERROR(IF(AS64&lt;=$AB$2+$AN$2,"-",INDEX(Calculation_Tab,SMALL(ROW(Direct_Denaturation)*(Direct_Denaturation&lt;&gt;"-"),COUNTIF(Direct_Denaturation,"-")+ROW()-3-$AB$2-$AN$2)-9,5)),"-")</f>
        <v>-</v>
      </c>
      <c r="AX64" s="378" t="str">
        <f t="array" aca="1" ref="AX64" ca="1">IFERROR(IF(AS64&lt;=$AB$2+$AN$2,"-",INDEX($A$3:$B$12,MATCH(INDEX(Calculation_Tab,SMALL(ROW(Direct_Denaturation)*(Direct_Denaturation&lt;&gt;"-"),COUNTIF(Direct_Denaturation,"-")+ROW()-3-$AB$2-$AN$2)-9,5),$A$3:$A$12,0),2)),"-")</f>
        <v>-</v>
      </c>
      <c r="AY64" s="378" t="str">
        <f t="array" aca="1" ref="AY64" ca="1">IFERROR(IF(AS64&lt;=$AB$2+$AN$2,"-",INDEX(Coordinate,MATCH(INDEX(Calculation_Tab,SMALL(ROW(Direct_Denaturation)*(Direct_Denaturation&lt;&gt;"-"),COUNTIF(Direct_Denaturation,"-")+ROW()-3-$AB$2-$AN$2)-9,6),$X$4:$X$99,0),2)),"-")</f>
        <v>-</v>
      </c>
      <c r="AZ64" s="510" t="str">
        <f t="array" aca="1" ref="AZ64" ca="1">IFERROR(IF(AS64&lt;=$AB$2+$AN$2,"-",INDEX(Calculation_Tab,SMALL(ROW(Direct_Denaturation)*(Direct_Denaturation&lt;&gt;"-"),COUNTIF(Direct_Denaturation,"-")+ROW()-3-$AB$2-$AN$2)-9,32)),"-")</f>
        <v>-</v>
      </c>
      <c r="BA64" s="510" t="str">
        <f t="array" aca="1" ref="BA64" ca="1">IFERROR(IF(AS64&lt;=$AB$2+$AN$2,"-",INDEX(Calculation_Tab,SMALL(ROW(Direct_Denaturation)*(Direct_Denaturation&lt;&gt;"-"),COUNTIF(Direct_Denaturation,"-")+ROW()-3-$AB$2-$AN$2)-9,34)),"-")</f>
        <v>-</v>
      </c>
      <c r="BB64" s="510" t="str">
        <f t="array" aca="1" ref="BB64" ca="1">IFERROR(IF(AS64&lt;=$AB$2+$AN$2,"-",INDEX(Calculation_Tab,SMALL(ROW(Direct_Denaturation)*(Direct_Denaturation&lt;&gt;"-"),COUNTIF(Direct_Denaturation,"-")+ROW()-3-$AB$2-$AN$2)-9,33)),"-")</f>
        <v>-</v>
      </c>
      <c r="BC64" s="510" t="str">
        <f t="array" aca="1" ref="BC64" ca="1">IFERROR(IF(AS64&lt;=$AB$2+$AN$2,"-",INDEX(Calculation_Tab,SMALL(ROW(Direct_Denaturation)*(Direct_Denaturation&lt;&gt;"-"),COUNTIF(Direct_Denaturation,"-")+ROW()-3-$AB$2-$AN$2)-9,35)),"-")</f>
        <v>-</v>
      </c>
      <c r="BD64" s="511" t="str">
        <f t="shared" ca="1" si="9"/>
        <v>-</v>
      </c>
      <c r="BE64" s="494" t="s">
        <v>408</v>
      </c>
      <c r="BF64" s="378">
        <v>61</v>
      </c>
      <c r="BG64" s="515" t="str">
        <v>-</v>
      </c>
      <c r="BH64" s="516" t="str">
        <f>IFERROR(IF((Calculation!$AR$6/INDEX(ListAndConversion!D:P,MATCH(BG64,E:E,0),13))&lt;Calculation!$O$6,INDEX(ListAndConversion!D:P,MATCH(BG64,E:E,0),13)*Calculation!$O$6,Calculation!$AR$6),"-")</f>
        <v>-</v>
      </c>
      <c r="BI64" s="517" t="str">
        <f t="shared" si="33"/>
        <v>-</v>
      </c>
      <c r="BJ64" s="518" t="str">
        <f t="shared" si="34"/>
        <v>-</v>
      </c>
      <c r="BK64" s="378" t="s">
        <v>158</v>
      </c>
      <c r="BL64" s="378">
        <v>61</v>
      </c>
      <c r="BM64" s="487" t="str">
        <f t="array" aca="1" ref="BM64" ca="1">IFERROR(INDEX(Calculation_Tab,SMALL(ROW(ToPool)*(ToPool&lt;&gt;"-"),COUNTIF(ToPool,"-")+ROW()-3)-9,3),"-")</f>
        <v>-</v>
      </c>
      <c r="BN64" s="378" t="str">
        <f t="shared" ca="1" si="12"/>
        <v>-</v>
      </c>
      <c r="BO64" s="378" t="str">
        <f t="shared" ca="1" si="13"/>
        <v>-</v>
      </c>
      <c r="BP64" s="523" t="str">
        <f t="shared" ca="1" si="14"/>
        <v>-</v>
      </c>
      <c r="BQ64" s="378" t="str">
        <f t="array" aca="1" ref="BQ64" ca="1">IFERROR(INDEX(BE:BG,MATCH(INDEX(Calculation_Tab,SMALL(ROW(ToPool)*(ToPool&lt;&gt;"-"),COUNTIF(ToPool,"-")+ROW()-3)-9,9),BG:BG,0),2),"-")</f>
        <v>-</v>
      </c>
      <c r="BR64" s="510" t="str">
        <f t="shared" ca="1" si="15"/>
        <v>-</v>
      </c>
      <c r="BS64" s="511" t="str">
        <f t="shared" ca="1" si="16"/>
        <v>-</v>
      </c>
      <c r="BT64" s="378" t="s">
        <v>164</v>
      </c>
      <c r="BU64" s="487" t="str">
        <f t="shared" ca="1" si="21"/>
        <v>-</v>
      </c>
      <c r="BV64" s="487" t="str">
        <f t="array" aca="1" ref="BV6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64" s="378" t="str">
        <f t="shared" ca="1" si="17"/>
        <v>-</v>
      </c>
      <c r="BX64" s="378" t="str">
        <f t="shared" ca="1" si="18"/>
        <v>-</v>
      </c>
      <c r="BY64" s="510" t="str">
        <f ca="1">IFERROR(ROUND(INDEX(Cluster,MATCH(IF(LEFT(BV64,4)="Pool",INDEX(Cluster,MATCH(INDEX(Calculation_Tab,MATCH(INDEX($BE$4:$BJ$99,MATCH(BV64,$BE$4:$BE$99,0),3),Flow_Cell_Lane,0),3),Cluster!$F$29:$F$412,0),6),BV64),Identifier_Cluster,0),19)*IF(LEFT(BV64,4)="pool",IF(LEN(INDEX($BE$4:$BJ$99,MATCH(BV64,$BE$4:$BE$99,0),3))=10,2,IF(LEN(INDEX($BE$4:$BJ$99,MATCH(BV64,$BE$4:$BE$99,0),3))&gt;10,LEN(INDEX($BE$4:$BJ$99,MATCH(BV64,$BE$4:$BE$99,0),3))-8,1)),1)*IF(LEFT(BV64,4)="pool",IF(INDEX($BE$4:$BJ$99,MATCH(BV64,$BE$4:$BE$99,0),6)&lt;1,1,INDEX($BE$4:$BJ$99,MATCH(BV64,$BE$4:$BE$99,0),6)),INDEX(Calculation_Tab,MATCH(BV64,Identifier,0),10)),1)*(1+Calculation!$Q$6),"-")</f>
        <v>-</v>
      </c>
      <c r="BZ64" s="378" t="str">
        <f ca="1">IFERROR((0.5/50)*CE64/Calculation!$AG$6*(IF(LEFT(BV64,4)="Pool",IF(LEN(INDEX($BE$4:$BJ$99,MATCH(BV64,$BE$4:$BE$99,0),3))=10,2,IF(LEN(INDEX($BE$4:$BJ$99,MATCH(BV64,$BE$4:$BE$99,0),3))&gt;10,LEN(INDEX($BE$4:$BJ$99,MATCH(BV64,$BE$4:$BE$99,0),3))-8,1)),IF(INDEX(Calculation_Tab,MATCH(BV64,Identifier,0),10)&gt;1,INDEX(Calculation_Tab,MATCH(BV64,Identifier,0),10),1)))*(1+Calculation!$Q$6),"-")</f>
        <v>-</v>
      </c>
      <c r="CA64" s="510" t="str">
        <f ca="1">IFERROR(IF((BZ64*Calculation!$AG$6/0.05)-SUM(BY64:BZ64,CC64)&gt;0,(BZ64*Calculation!$AG$6/0.05)-SUM(BY64:BZ64,CC64),0),"-")</f>
        <v>-</v>
      </c>
      <c r="CB64" s="510" t="str">
        <f ca="1">IFERROR(5/50*CE64*(IF(LEFT(BV64,4)="Pool",IF(LEN(INDEX($BE$4:$BJ$99,MATCH(BV64,$BE$4:$BE$99,0),3))=10,2,IF(LEN(INDEX($BE$4:$BJ$99,MATCH(BV64,$BE$4:$BE$99,0),3))&gt;10,LEN(INDEX($BE$4:$BJ$99,MATCH(BV64,$BE$4:$BE$99,0),3))-8,1)),IF(INDEX(Calculation_Tab,MATCH(BV64,Identifier,0),10)&gt;1,INDEX(Calculation_Tab,MATCH(BV64,Identifier,0),10),1)))*(1+Calculation!$Q$6),"-")</f>
        <v>-</v>
      </c>
      <c r="CC64" s="508" t="str">
        <f ca="1">IFERROR(ROUND(INDEX(Cluster,MATCH(IF(LEFT(BV64,4)="Pool",INDEX(Cluster,MATCH(INDEX(Calculation_Tab,MATCH(INDEX($BE$4:$BJ$99,MATCH(BV64,$BE$4:$BE$99,0),3),Flow_Cell_Lane,0),3),Cluster!$F$29:$F$412,0),6),BV64),Identifier_Cluster,0),20)*IF(LEFT(BV64,4)="pool",IF(LEN(INDEX($BE$4:$BJ$99,MATCH(BV64,$BE$4:$BE$99,0),3))=10,2,IF(LEN(INDEX($BE$4:$BJ$99,MATCH(BV64,$BE$4:$BE$99,0),3))&gt;10,LEN(INDEX($BE$4:$BJ$99,MATCH(BV64,$BE$4:$BE$99,0),3))-8,1)),1)*IF(LEFT(BV64,4)="pool",IF(INDEX($BE$4:$BJ$99,MATCH(BV64,$BE$4:$BE$99,0),6)&lt;1,1,INDEX($BE$4:$BJ$99,MATCH(BV64,$BE$4:$BE$99,0),6)),INDEX(Calculation_Tab,MATCH(BV64,Identifier,0),10)),1)*(1+Calculation!$Q$6),"-")</f>
        <v>-</v>
      </c>
      <c r="CD64" s="509" t="str">
        <f ca="1">IFERROR(INDEX(Cluster!AC:AD,MATCH(IF(LEFT(BV64,4)="Pool",INDEX(Cluster!$D$29:$AA$412,MATCH(INDEX(Calculation_Tab,MATCH(INDEX($BE$4:$BJ$99,MATCH(BV64,$BE$4:$BE$99,0),3),Flow_Cell_Lane,0),3),Cluster!$F$29:$F$412,0),24),INDEX(Cluster!$D$29:$AA$412,MATCH(BV64,Cluster!$F$29:$F$412,0),24)),Cluster!AC:AC,0),2),"-")</f>
        <v>-</v>
      </c>
      <c r="CE64" s="378" t="str">
        <f ca="1">IFERROR(IF(BV64&lt;&gt;"-",Calculation!$AK$6,"-"),"-")</f>
        <v>-</v>
      </c>
      <c r="CF64" s="378" t="str">
        <f ca="1">IF(OR(LEFT(ListAndConversion!BW64,3)="Dil",LEFT(ListAndConversion!BW64,3)="Poo"),ListAndConversion!$BT$4,IF(LEFT(ListAndConversion!BW64,3)="Sou",INDEX(ListAndConversion!$AT$3:$AV$387,MATCH(ListAndConversion!BV64,ListAndConversion!$AV$3:$AV$387,0),1),"-"))</f>
        <v>-</v>
      </c>
      <c r="CG64" s="498" t="str">
        <f ca="1">IF(OR(LEFT(ListAndConversion!BW64,3)="Dil",LEFT(ListAndConversion!BW64,3)="Poo"),ListAndConversion!BU64,IF(LEFT(ListAndConversion!BW64,3)="Sou",INDEX(ListAndConversion!$AT$4:$AV$387,MATCH(ListAndConversion!BV64,ListAndConversion!$AV$4:$AV$387,0),2),"-"))</f>
        <v>-</v>
      </c>
      <c r="CH64" s="378"/>
      <c r="CI64" s="487" t="str">
        <f t="shared" ca="1" si="19"/>
        <v>-</v>
      </c>
      <c r="CJ64" s="378" t="str">
        <f t="shared" ref="CJ64:CQ73" ca="1" si="43">IFERROR(INDEX($R$3:$U$98,MATCH(INDEX($F$3:$M$387,MATCH($CI64,$E$3:$E$386,0),CJ$3),$S$3:$S$98,0),4),"-")</f>
        <v>-</v>
      </c>
      <c r="CK64" s="378" t="str">
        <f t="shared" ca="1" si="43"/>
        <v>-</v>
      </c>
      <c r="CL64" s="378" t="str">
        <f t="shared" ca="1" si="43"/>
        <v>-</v>
      </c>
      <c r="CM64" s="378" t="str">
        <f t="shared" ca="1" si="43"/>
        <v>-</v>
      </c>
      <c r="CN64" s="378" t="str">
        <f t="shared" ca="1" si="43"/>
        <v>-</v>
      </c>
      <c r="CO64" s="378" t="str">
        <f t="shared" ca="1" si="43"/>
        <v>-</v>
      </c>
      <c r="CP64" s="378" t="str">
        <f t="shared" ca="1" si="43"/>
        <v>-</v>
      </c>
      <c r="CQ64" s="378" t="str">
        <f t="shared" ca="1" si="43"/>
        <v>-</v>
      </c>
      <c r="CR64" s="510" t="str">
        <f ca="1">IFERROR(IF(LEFT(BW64,3)="Poo",INDEX($BE$4:$BJ$99,MATCH(CI64,$BG$4:$BG$99,0),6)*((15/50))*Calculation!$AK$6,INDEX(Calculation_Tab,MATCH(BV64,Identifier,0),10)/(IF(LEN(INDEX(Calculation_Tab,MATCH(BV64,Identifier,0),9))&gt;8,LEN(INDEX(Calculation_Tab,MATCH(BV64,Identifier,0),9))-8,1))*((15/50)*Calculation!$AK$6)),"-")</f>
        <v>-</v>
      </c>
      <c r="CS64" s="498" t="str">
        <f ca="1">IF(CI64="-","-",IF(COUNTIF($CI$3:CI64,CI64)&gt;1,0,IFERROR((35/50)*Calculation!$AK$6,"-")))</f>
        <v>-</v>
      </c>
    </row>
    <row r="65" spans="4:97" x14ac:dyDescent="0.5">
      <c r="D65" s="487" t="e">
        <f t="shared" si="0"/>
        <v>#DIV/0!</v>
      </c>
      <c r="E65" s="496" t="e">
        <f t="array" ref="E65">IF(IF((ROW(E65)-3)&lt;(ListAndConversion!$A$15),INDEX(Flow_Cell_Lane,MIN(IF(COUNTIF($E$2:E64,Flow_Cell_Lane)=0,ROW(Flow_Cell_Lane)-9))),"-")="","-",IF((ROW(E65)-3)&lt;(ListAndConversion!$A$15),INDEX(Flow_Cell_Lane,MIN(IF(COUNTIF($E$2:E64,Flow_Cell_Lane)=0,ROW(Flow_Cell_Lane)-9))),"-"))</f>
        <v>#DIV/0!</v>
      </c>
      <c r="F65" s="378" t="e">
        <f t="shared" si="1"/>
        <v>#DIV/0!</v>
      </c>
      <c r="G65" s="378" t="e">
        <f t="shared" si="42"/>
        <v>#DIV/0!</v>
      </c>
      <c r="H65" s="378" t="e">
        <f t="shared" si="42"/>
        <v>#DIV/0!</v>
      </c>
      <c r="I65" s="378" t="e">
        <f t="shared" si="42"/>
        <v>#DIV/0!</v>
      </c>
      <c r="J65" s="378" t="e">
        <f t="shared" si="42"/>
        <v>#DIV/0!</v>
      </c>
      <c r="K65" s="378" t="e">
        <f t="shared" si="42"/>
        <v>#DIV/0!</v>
      </c>
      <c r="L65" s="378" t="e">
        <f t="shared" si="42"/>
        <v>#DIV/0!</v>
      </c>
      <c r="M65" s="378" t="e">
        <f t="shared" si="42"/>
        <v>#DIV/0!</v>
      </c>
      <c r="N65" s="497" t="e">
        <f t="shared" si="3"/>
        <v>#DIV/0!</v>
      </c>
      <c r="O65" s="497" t="str">
        <f t="array" ref="O65">IFERROR(INDEX(Calculation!I:AN,MATCH(ListAndConversion!E65,Calculation!I:I,0),31),"-")</f>
        <v>-</v>
      </c>
      <c r="P65" s="498">
        <f>IF(COUNTIFS(Calculation!$I$10:$I$393,E65,Direct_Denaturation,"-")&lt;&gt;1,COUNTIFS(Calculation!$I$10:$I$393,E65,Direct_Denaturation,"-"),0)</f>
        <v>0</v>
      </c>
      <c r="Q65" s="378"/>
      <c r="R65" s="487" t="e">
        <f t="array" ref="R65">IF(IF((ROW(R65)-3)&lt;(Calculation!$H$6),INDEX(Flow_Cell,MIN(IF(COUNTIF($R$2:R64,Flow_Cell)=0,ROW(Flow_Cell)-9))),"-")="","-",IF((ROW(R65)-3)&lt;(Calculation!$H$6),INDEX(Flow_Cell,MIN(IF(COUNTIF($R$2:R64,Flow_Cell)=0,ROW(Flow_Cell)-9))),"-"))</f>
        <v>#DIV/0!</v>
      </c>
      <c r="S65" s="378" t="e">
        <f t="shared" si="41"/>
        <v>#DIV/0!</v>
      </c>
      <c r="T65" s="378">
        <v>7</v>
      </c>
      <c r="U65" s="498">
        <v>63</v>
      </c>
      <c r="V65" s="487">
        <v>62</v>
      </c>
      <c r="W65" s="497" t="s">
        <v>287</v>
      </c>
      <c r="X65" s="497" t="s">
        <v>409</v>
      </c>
      <c r="Y65" s="378">
        <v>62</v>
      </c>
      <c r="Z65" s="378" t="str">
        <f t="shared" ca="1" si="32"/>
        <v>-</v>
      </c>
      <c r="AA65" s="508" t="str">
        <f t="array" aca="1" ref="AA65" ca="1">IFERROR(INDEX(Calculation_Tab,SMALL(ROW(Sample_Intermediate_Dil)*(Sample_Intermediate_Dil&lt;&gt;"-"),COUNTIF(Sample_Intermediate_Dil,"-")+ROW()-3)-9,5),"-")</f>
        <v>-</v>
      </c>
      <c r="AB65" s="378" t="str">
        <f t="array" aca="1" ref="AB65" ca="1">IFERROR(INDEX($A$3:$B$12,MATCH(INDEX(Calculation_Tab,SMALL(ROW(Sample_Intermediate_Dil)*(Sample_Intermediate_Dil&lt;&gt;"-"),COUNTIF(Sample_Intermediate_Dil,"-")+ROW()-3)-9,5),$A$3:$A$12,0),2),"-")</f>
        <v>-</v>
      </c>
      <c r="AC65" s="509" t="str">
        <f t="array" aca="1" ref="AC65" ca="1">IFERROR(INDEX(Coordinate,MATCH(INDEX(Calculation_Tab,SMALL(ROW(Sample_Intermediate_Dil)*(Sample_Intermediate_Dil&lt;&gt;"-"),COUNTIF(Sample_Intermediate_Dil,"-")+ROW()-3)-9,6),$X$4:$X$99,0),2),"-")</f>
        <v>-</v>
      </c>
      <c r="AD65" s="510" t="str">
        <f t="array" aca="1" ref="AD65" ca="1">IFERROR(INDEX(Calculation_Tab,SMALL(ROW(Sample_Intermediate_Dil)*(Sample_Intermediate_Dil&lt;&gt;"-"),COUNTIF(Sample_Intermediate_Dil,"-")+ROW()-3)-9,24),"-")</f>
        <v>-</v>
      </c>
      <c r="AE65" s="510" t="str">
        <f t="array" aca="1" ref="AE65" ca="1">IFERROR(INDEX(Calculation_Tab,SMALL(ROW(Sample_Intermediate_Dil)*(Sample_Intermediate_Dil&lt;&gt;"-"),COUNTIF(Sample_Intermediate_Dil,"-")+ROW()-3)-9,25),"-")</f>
        <v>-</v>
      </c>
      <c r="AF65" s="510" t="str">
        <f t="array" aca="1" ref="AF65" ca="1">IFERROR(INDEX(Calculation_Tab,SMALL(ROW(Sample_Intermediate_Dil)*(Sample_Intermediate_Dil&lt;&gt;"-"),COUNTIF(Sample_Intermediate_Dil,"-")+ROW()-3)-9,26),"-")</f>
        <v>-</v>
      </c>
      <c r="AG65" s="511" t="str">
        <f t="array" aca="1" ref="AG65" ca="1">IFERROR(INDEX(Calculation_Tab,SMALL(ROW(Sample_Intermediate_Dil)*(Sample_Intermediate_Dil&lt;&gt;"-"),COUNTIF(Sample_Intermediate_Dil,"-")+ROW()-3)-9,27),"-")</f>
        <v>-</v>
      </c>
      <c r="AI65" s="487">
        <v>62</v>
      </c>
      <c r="AJ65" s="497" t="s">
        <v>160</v>
      </c>
      <c r="AK65" s="378">
        <v>62</v>
      </c>
      <c r="AL65" s="378" t="str">
        <f t="shared" ca="1" si="6"/>
        <v>-</v>
      </c>
      <c r="AM65" s="378" t="str">
        <f t="array" aca="1" ref="AM65" ca="1">IFERROR(IF(AI65&lt;=$AB$2,"-",INDEX(Calculation_Tab,SMALL(ROW(Main_Dil)*(Main_Dil&lt;&gt;"-"),COUNTIF(Main_Dil,"-")+ROW()-3-$AB$2)-9,5)),"-")</f>
        <v>-</v>
      </c>
      <c r="AN65" s="378" t="str">
        <f t="array" aca="1" ref="AN65" ca="1">IFERROR(IF(AI65&lt;=$AB$2,"-",INDEX($A$3:$B$12,MATCH(INDEX(Calculation_Tab,SMALL(ROW(Main_Dil)*(Main_Dil&lt;&gt;"-"),COUNTIF(Main_Dil,"-")+ROW()-3-$AB$2)-9,5),$A$3:$A$12,0),2)),"-")</f>
        <v>-</v>
      </c>
      <c r="AO65" s="378" t="str">
        <f t="array" aca="1" ref="AO65" ca="1">IFERROR(IF(AI65&lt;=$AB$2,"-",INDEX(Coordinate,MATCH(INDEX(Calculation_Tab,SMALL(ROW(Main_Dil)*(Main_Dil&lt;&gt;"-"),COUNTIF(Main_Dil,"-")+ROW()-3-$AB$2)-9,6),$X$4:$X$99,0),2)),"-")</f>
        <v>-</v>
      </c>
      <c r="AP65" s="510" t="str">
        <f t="array" aca="1" ref="AP65" ca="1">IFERROR(IF(AI65&lt;=$AB$2,"-",INDEX(Calculation_Tab,SMALL(ROW(Main_Dil)*(Main_Dil&lt;&gt;"-"),COUNTIF(Main_Dil,"-")+ROW()-3-$AB$2)-9,21)),"-")</f>
        <v>-</v>
      </c>
      <c r="AQ65" s="511" t="str">
        <f t="array" aca="1" ref="AQ65" ca="1">IFERROR(IF(AI65&lt;=$AB$2,"-",INDEX(Calculation_Tab,SMALL(ROW(Main_Dil)*(Main_Dil&lt;&gt;"-"),COUNTIF(Main_Dil,"-")+ROW()-3-$AB$2)-9,22)),"-")</f>
        <v>-</v>
      </c>
      <c r="AR65" s="487" t="str">
        <f t="shared" ca="1" si="7"/>
        <v>-</v>
      </c>
      <c r="AS65" s="378">
        <v>62</v>
      </c>
      <c r="AT65" s="497" t="s">
        <v>160</v>
      </c>
      <c r="AU65" s="498">
        <v>62</v>
      </c>
      <c r="AV65" s="378" t="str">
        <f t="shared" ca="1" si="8"/>
        <v>-</v>
      </c>
      <c r="AW65" s="378" t="str">
        <f t="array" aca="1" ref="AW65" ca="1">IFERROR(IF(AS65&lt;=$AB$2+$AN$2,"-",INDEX(Calculation_Tab,SMALL(ROW(Direct_Denaturation)*(Direct_Denaturation&lt;&gt;"-"),COUNTIF(Direct_Denaturation,"-")+ROW()-3-$AB$2-$AN$2)-9,5)),"-")</f>
        <v>-</v>
      </c>
      <c r="AX65" s="378" t="str">
        <f t="array" aca="1" ref="AX65" ca="1">IFERROR(IF(AS65&lt;=$AB$2+$AN$2,"-",INDEX($A$3:$B$12,MATCH(INDEX(Calculation_Tab,SMALL(ROW(Direct_Denaturation)*(Direct_Denaturation&lt;&gt;"-"),COUNTIF(Direct_Denaturation,"-")+ROW()-3-$AB$2-$AN$2)-9,5),$A$3:$A$12,0),2)),"-")</f>
        <v>-</v>
      </c>
      <c r="AY65" s="378" t="str">
        <f t="array" aca="1" ref="AY65" ca="1">IFERROR(IF(AS65&lt;=$AB$2+$AN$2,"-",INDEX(Coordinate,MATCH(INDEX(Calculation_Tab,SMALL(ROW(Direct_Denaturation)*(Direct_Denaturation&lt;&gt;"-"),COUNTIF(Direct_Denaturation,"-")+ROW()-3-$AB$2-$AN$2)-9,6),$X$4:$X$99,0),2)),"-")</f>
        <v>-</v>
      </c>
      <c r="AZ65" s="510" t="str">
        <f t="array" aca="1" ref="AZ65" ca="1">IFERROR(IF(AS65&lt;=$AB$2+$AN$2,"-",INDEX(Calculation_Tab,SMALL(ROW(Direct_Denaturation)*(Direct_Denaturation&lt;&gt;"-"),COUNTIF(Direct_Denaturation,"-")+ROW()-3-$AB$2-$AN$2)-9,32)),"-")</f>
        <v>-</v>
      </c>
      <c r="BA65" s="510" t="str">
        <f t="array" aca="1" ref="BA65" ca="1">IFERROR(IF(AS65&lt;=$AB$2+$AN$2,"-",INDEX(Calculation_Tab,SMALL(ROW(Direct_Denaturation)*(Direct_Denaturation&lt;&gt;"-"),COUNTIF(Direct_Denaturation,"-")+ROW()-3-$AB$2-$AN$2)-9,34)),"-")</f>
        <v>-</v>
      </c>
      <c r="BB65" s="510" t="str">
        <f t="array" aca="1" ref="BB65" ca="1">IFERROR(IF(AS65&lt;=$AB$2+$AN$2,"-",INDEX(Calculation_Tab,SMALL(ROW(Direct_Denaturation)*(Direct_Denaturation&lt;&gt;"-"),COUNTIF(Direct_Denaturation,"-")+ROW()-3-$AB$2-$AN$2)-9,33)),"-")</f>
        <v>-</v>
      </c>
      <c r="BC65" s="510" t="str">
        <f t="array" aca="1" ref="BC65" ca="1">IFERROR(IF(AS65&lt;=$AB$2+$AN$2,"-",INDEX(Calculation_Tab,SMALL(ROW(Direct_Denaturation)*(Direct_Denaturation&lt;&gt;"-"),COUNTIF(Direct_Denaturation,"-")+ROW()-3-$AB$2-$AN$2)-9,35)),"-")</f>
        <v>-</v>
      </c>
      <c r="BD65" s="511" t="str">
        <f t="shared" ca="1" si="9"/>
        <v>-</v>
      </c>
      <c r="BE65" s="494" t="s">
        <v>410</v>
      </c>
      <c r="BF65" s="378">
        <v>62</v>
      </c>
      <c r="BG65" s="515" t="str">
        <v>-</v>
      </c>
      <c r="BH65" s="516" t="str">
        <f>IFERROR(IF((Calculation!$AR$6/INDEX(ListAndConversion!D:P,MATCH(BG65,E:E,0),13))&lt;Calculation!$O$6,INDEX(ListAndConversion!D:P,MATCH(BG65,E:E,0),13)*Calculation!$O$6,Calculation!$AR$6),"-")</f>
        <v>-</v>
      </c>
      <c r="BI65" s="517" t="str">
        <f t="shared" si="33"/>
        <v>-</v>
      </c>
      <c r="BJ65" s="518" t="str">
        <f t="shared" si="34"/>
        <v>-</v>
      </c>
      <c r="BK65" s="378" t="s">
        <v>158</v>
      </c>
      <c r="BL65" s="378">
        <v>62</v>
      </c>
      <c r="BM65" s="487" t="str">
        <f t="array" aca="1" ref="BM65" ca="1">IFERROR(INDEX(Calculation_Tab,SMALL(ROW(ToPool)*(ToPool&lt;&gt;"-"),COUNTIF(ToPool,"-")+ROW()-3)-9,3),"-")</f>
        <v>-</v>
      </c>
      <c r="BN65" s="378" t="str">
        <f t="shared" ca="1" si="12"/>
        <v>-</v>
      </c>
      <c r="BO65" s="378" t="str">
        <f t="shared" ca="1" si="13"/>
        <v>-</v>
      </c>
      <c r="BP65" s="523" t="str">
        <f t="shared" ca="1" si="14"/>
        <v>-</v>
      </c>
      <c r="BQ65" s="378" t="str">
        <f t="array" aca="1" ref="BQ65" ca="1">IFERROR(INDEX(BE:BG,MATCH(INDEX(Calculation_Tab,SMALL(ROW(ToPool)*(ToPool&lt;&gt;"-"),COUNTIF(ToPool,"-")+ROW()-3)-9,9),BG:BG,0),2),"-")</f>
        <v>-</v>
      </c>
      <c r="BR65" s="510" t="str">
        <f t="shared" ca="1" si="15"/>
        <v>-</v>
      </c>
      <c r="BS65" s="511" t="str">
        <f t="shared" ca="1" si="16"/>
        <v>-</v>
      </c>
      <c r="BT65" s="378" t="s">
        <v>164</v>
      </c>
      <c r="BU65" s="487" t="str">
        <f t="shared" ca="1" si="21"/>
        <v>-</v>
      </c>
      <c r="BV65" s="487" t="str">
        <f t="array" aca="1" ref="BV6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65" s="378" t="str">
        <f t="shared" ca="1" si="17"/>
        <v>-</v>
      </c>
      <c r="BX65" s="378" t="str">
        <f t="shared" ca="1" si="18"/>
        <v>-</v>
      </c>
      <c r="BY65" s="510" t="str">
        <f ca="1">IFERROR(ROUND(INDEX(Cluster,MATCH(IF(LEFT(BV65,4)="Pool",INDEX(Cluster,MATCH(INDEX(Calculation_Tab,MATCH(INDEX($BE$4:$BJ$99,MATCH(BV65,$BE$4:$BE$99,0),3),Flow_Cell_Lane,0),3),Cluster!$F$29:$F$412,0),6),BV65),Identifier_Cluster,0),19)*IF(LEFT(BV65,4)="pool",IF(LEN(INDEX($BE$4:$BJ$99,MATCH(BV65,$BE$4:$BE$99,0),3))=10,2,IF(LEN(INDEX($BE$4:$BJ$99,MATCH(BV65,$BE$4:$BE$99,0),3))&gt;10,LEN(INDEX($BE$4:$BJ$99,MATCH(BV65,$BE$4:$BE$99,0),3))-8,1)),1)*IF(LEFT(BV65,4)="pool",IF(INDEX($BE$4:$BJ$99,MATCH(BV65,$BE$4:$BE$99,0),6)&lt;1,1,INDEX($BE$4:$BJ$99,MATCH(BV65,$BE$4:$BE$99,0),6)),INDEX(Calculation_Tab,MATCH(BV65,Identifier,0),10)),1)*(1+Calculation!$Q$6),"-")</f>
        <v>-</v>
      </c>
      <c r="BZ65" s="378" t="str">
        <f ca="1">IFERROR((0.5/50)*CE65/Calculation!$AG$6*(IF(LEFT(BV65,4)="Pool",IF(LEN(INDEX($BE$4:$BJ$99,MATCH(BV65,$BE$4:$BE$99,0),3))=10,2,IF(LEN(INDEX($BE$4:$BJ$99,MATCH(BV65,$BE$4:$BE$99,0),3))&gt;10,LEN(INDEX($BE$4:$BJ$99,MATCH(BV65,$BE$4:$BE$99,0),3))-8,1)),IF(INDEX(Calculation_Tab,MATCH(BV65,Identifier,0),10)&gt;1,INDEX(Calculation_Tab,MATCH(BV65,Identifier,0),10),1)))*(1+Calculation!$Q$6),"-")</f>
        <v>-</v>
      </c>
      <c r="CA65" s="510" t="str">
        <f ca="1">IFERROR(IF((BZ65*Calculation!$AG$6/0.05)-SUM(BY65:BZ65,CC65)&gt;0,(BZ65*Calculation!$AG$6/0.05)-SUM(BY65:BZ65,CC65),0),"-")</f>
        <v>-</v>
      </c>
      <c r="CB65" s="510" t="str">
        <f ca="1">IFERROR(5/50*CE65*(IF(LEFT(BV65,4)="Pool",IF(LEN(INDEX($BE$4:$BJ$99,MATCH(BV65,$BE$4:$BE$99,0),3))=10,2,IF(LEN(INDEX($BE$4:$BJ$99,MATCH(BV65,$BE$4:$BE$99,0),3))&gt;10,LEN(INDEX($BE$4:$BJ$99,MATCH(BV65,$BE$4:$BE$99,0),3))-8,1)),IF(INDEX(Calculation_Tab,MATCH(BV65,Identifier,0),10)&gt;1,INDEX(Calculation_Tab,MATCH(BV65,Identifier,0),10),1)))*(1+Calculation!$Q$6),"-")</f>
        <v>-</v>
      </c>
      <c r="CC65" s="508" t="str">
        <f ca="1">IFERROR(ROUND(INDEX(Cluster,MATCH(IF(LEFT(BV65,4)="Pool",INDEX(Cluster,MATCH(INDEX(Calculation_Tab,MATCH(INDEX($BE$4:$BJ$99,MATCH(BV65,$BE$4:$BE$99,0),3),Flow_Cell_Lane,0),3),Cluster!$F$29:$F$412,0),6),BV65),Identifier_Cluster,0),20)*IF(LEFT(BV65,4)="pool",IF(LEN(INDEX($BE$4:$BJ$99,MATCH(BV65,$BE$4:$BE$99,0),3))=10,2,IF(LEN(INDEX($BE$4:$BJ$99,MATCH(BV65,$BE$4:$BE$99,0),3))&gt;10,LEN(INDEX($BE$4:$BJ$99,MATCH(BV65,$BE$4:$BE$99,0),3))-8,1)),1)*IF(LEFT(BV65,4)="pool",IF(INDEX($BE$4:$BJ$99,MATCH(BV65,$BE$4:$BE$99,0),6)&lt;1,1,INDEX($BE$4:$BJ$99,MATCH(BV65,$BE$4:$BE$99,0),6)),INDEX(Calculation_Tab,MATCH(BV65,Identifier,0),10)),1)*(1+Calculation!$Q$6),"-")</f>
        <v>-</v>
      </c>
      <c r="CD65" s="509" t="str">
        <f ca="1">IFERROR(INDEX(Cluster!AC:AD,MATCH(IF(LEFT(BV65,4)="Pool",INDEX(Cluster!$D$29:$AA$412,MATCH(INDEX(Calculation_Tab,MATCH(INDEX($BE$4:$BJ$99,MATCH(BV65,$BE$4:$BE$99,0),3),Flow_Cell_Lane,0),3),Cluster!$F$29:$F$412,0),24),INDEX(Cluster!$D$29:$AA$412,MATCH(BV65,Cluster!$F$29:$F$412,0),24)),Cluster!AC:AC,0),2),"-")</f>
        <v>-</v>
      </c>
      <c r="CE65" s="378" t="str">
        <f ca="1">IFERROR(IF(BV65&lt;&gt;"-",Calculation!$AK$6,"-"),"-")</f>
        <v>-</v>
      </c>
      <c r="CF65" s="378" t="str">
        <f ca="1">IF(OR(LEFT(ListAndConversion!BW65,3)="Dil",LEFT(ListAndConversion!BW65,3)="Poo"),ListAndConversion!$BT$4,IF(LEFT(ListAndConversion!BW65,3)="Sou",INDEX(ListAndConversion!$AT$3:$AV$387,MATCH(ListAndConversion!BV65,ListAndConversion!$AV$3:$AV$387,0),1),"-"))</f>
        <v>-</v>
      </c>
      <c r="CG65" s="498" t="str">
        <f ca="1">IF(OR(LEFT(ListAndConversion!BW65,3)="Dil",LEFT(ListAndConversion!BW65,3)="Poo"),ListAndConversion!BU65,IF(LEFT(ListAndConversion!BW65,3)="Sou",INDEX(ListAndConversion!$AT$4:$AV$387,MATCH(ListAndConversion!BV65,ListAndConversion!$AV$4:$AV$387,0),2),"-"))</f>
        <v>-</v>
      </c>
      <c r="CH65" s="378"/>
      <c r="CI65" s="487" t="str">
        <f t="shared" ca="1" si="19"/>
        <v>-</v>
      </c>
      <c r="CJ65" s="378" t="str">
        <f t="shared" ca="1" si="43"/>
        <v>-</v>
      </c>
      <c r="CK65" s="378" t="str">
        <f t="shared" ca="1" si="43"/>
        <v>-</v>
      </c>
      <c r="CL65" s="378" t="str">
        <f t="shared" ca="1" si="43"/>
        <v>-</v>
      </c>
      <c r="CM65" s="378" t="str">
        <f t="shared" ca="1" si="43"/>
        <v>-</v>
      </c>
      <c r="CN65" s="378" t="str">
        <f t="shared" ca="1" si="43"/>
        <v>-</v>
      </c>
      <c r="CO65" s="378" t="str">
        <f t="shared" ca="1" si="43"/>
        <v>-</v>
      </c>
      <c r="CP65" s="378" t="str">
        <f t="shared" ca="1" si="43"/>
        <v>-</v>
      </c>
      <c r="CQ65" s="378" t="str">
        <f t="shared" ca="1" si="43"/>
        <v>-</v>
      </c>
      <c r="CR65" s="510" t="str">
        <f ca="1">IFERROR(IF(LEFT(BW65,3)="Poo",INDEX($BE$4:$BJ$99,MATCH(CI65,$BG$4:$BG$99,0),6)*((15/50))*Calculation!$AK$6,INDEX(Calculation_Tab,MATCH(BV65,Identifier,0),10)/(IF(LEN(INDEX(Calculation_Tab,MATCH(BV65,Identifier,0),9))&gt;8,LEN(INDEX(Calculation_Tab,MATCH(BV65,Identifier,0),9))-8,1))*((15/50)*Calculation!$AK$6)),"-")</f>
        <v>-</v>
      </c>
      <c r="CS65" s="498" t="str">
        <f ca="1">IF(CI65="-","-",IF(COUNTIF($CI$3:CI65,CI65)&gt;1,0,IFERROR((35/50)*Calculation!$AK$6,"-")))</f>
        <v>-</v>
      </c>
    </row>
    <row r="66" spans="4:97" x14ac:dyDescent="0.5">
      <c r="D66" s="487" t="e">
        <f t="shared" si="0"/>
        <v>#DIV/0!</v>
      </c>
      <c r="E66" s="496" t="e">
        <f t="array" ref="E66">IF(IF((ROW(E66)-3)&lt;(ListAndConversion!$A$15),INDEX(Flow_Cell_Lane,MIN(IF(COUNTIF($E$2:E65,Flow_Cell_Lane)=0,ROW(Flow_Cell_Lane)-9))),"-")="","-",IF((ROW(E66)-3)&lt;(ListAndConversion!$A$15),INDEX(Flow_Cell_Lane,MIN(IF(COUNTIF($E$2:E65,Flow_Cell_Lane)=0,ROW(Flow_Cell_Lane)-9))),"-"))</f>
        <v>#DIV/0!</v>
      </c>
      <c r="F66" s="378" t="e">
        <f t="shared" si="1"/>
        <v>#DIV/0!</v>
      </c>
      <c r="G66" s="378" t="e">
        <f t="shared" si="42"/>
        <v>#DIV/0!</v>
      </c>
      <c r="H66" s="378" t="e">
        <f t="shared" si="42"/>
        <v>#DIV/0!</v>
      </c>
      <c r="I66" s="378" t="e">
        <f t="shared" si="42"/>
        <v>#DIV/0!</v>
      </c>
      <c r="J66" s="378" t="e">
        <f t="shared" si="42"/>
        <v>#DIV/0!</v>
      </c>
      <c r="K66" s="378" t="e">
        <f t="shared" si="42"/>
        <v>#DIV/0!</v>
      </c>
      <c r="L66" s="378" t="e">
        <f t="shared" si="42"/>
        <v>#DIV/0!</v>
      </c>
      <c r="M66" s="378" t="e">
        <f t="shared" si="42"/>
        <v>#DIV/0!</v>
      </c>
      <c r="N66" s="497" t="e">
        <f t="shared" si="3"/>
        <v>#DIV/0!</v>
      </c>
      <c r="O66" s="497" t="str">
        <f t="array" ref="O66">IFERROR(INDEX(Calculation!I:AN,MATCH(ListAndConversion!E66,Calculation!I:I,0),31),"-")</f>
        <v>-</v>
      </c>
      <c r="P66" s="498">
        <f>IF(COUNTIFS(Calculation!$I$10:$I$393,E66,Direct_Denaturation,"-")&lt;&gt;1,COUNTIFS(Calculation!$I$10:$I$393,E66,Direct_Denaturation,"-"),0)</f>
        <v>0</v>
      </c>
      <c r="Q66" s="378"/>
      <c r="R66" s="487" t="e">
        <f t="array" ref="R66">IF(IF((ROW(R66)-3)&lt;(Calculation!$H$6),INDEX(Flow_Cell,MIN(IF(COUNTIF($R$2:R65,Flow_Cell)=0,ROW(Flow_Cell)-9))),"-")="","-",IF((ROW(R66)-3)&lt;(Calculation!$H$6),INDEX(Flow_Cell,MIN(IF(COUNTIF($R$2:R65,Flow_Cell)=0,ROW(Flow_Cell)-9))),"-"))</f>
        <v>#DIV/0!</v>
      </c>
      <c r="S66" s="378" t="e">
        <f t="shared" si="41"/>
        <v>#DIV/0!</v>
      </c>
      <c r="T66" s="378">
        <v>8</v>
      </c>
      <c r="U66" s="498">
        <v>64</v>
      </c>
      <c r="V66" s="487">
        <v>63</v>
      </c>
      <c r="W66" s="497" t="s">
        <v>287</v>
      </c>
      <c r="X66" s="497" t="s">
        <v>411</v>
      </c>
      <c r="Y66" s="378">
        <v>63</v>
      </c>
      <c r="Z66" s="378" t="str">
        <f t="shared" ca="1" si="32"/>
        <v>-</v>
      </c>
      <c r="AA66" s="508" t="str">
        <f t="array" aca="1" ref="AA66" ca="1">IFERROR(INDEX(Calculation_Tab,SMALL(ROW(Sample_Intermediate_Dil)*(Sample_Intermediate_Dil&lt;&gt;"-"),COUNTIF(Sample_Intermediate_Dil,"-")+ROW()-3)-9,5),"-")</f>
        <v>-</v>
      </c>
      <c r="AB66" s="378" t="str">
        <f t="array" aca="1" ref="AB66" ca="1">IFERROR(INDEX($A$3:$B$12,MATCH(INDEX(Calculation_Tab,SMALL(ROW(Sample_Intermediate_Dil)*(Sample_Intermediate_Dil&lt;&gt;"-"),COUNTIF(Sample_Intermediate_Dil,"-")+ROW()-3)-9,5),$A$3:$A$12,0),2),"-")</f>
        <v>-</v>
      </c>
      <c r="AC66" s="509" t="str">
        <f t="array" aca="1" ref="AC66" ca="1">IFERROR(INDEX(Coordinate,MATCH(INDEX(Calculation_Tab,SMALL(ROW(Sample_Intermediate_Dil)*(Sample_Intermediate_Dil&lt;&gt;"-"),COUNTIF(Sample_Intermediate_Dil,"-")+ROW()-3)-9,6),$X$4:$X$99,0),2),"-")</f>
        <v>-</v>
      </c>
      <c r="AD66" s="510" t="str">
        <f t="array" aca="1" ref="AD66" ca="1">IFERROR(INDEX(Calculation_Tab,SMALL(ROW(Sample_Intermediate_Dil)*(Sample_Intermediate_Dil&lt;&gt;"-"),COUNTIF(Sample_Intermediate_Dil,"-")+ROW()-3)-9,24),"-")</f>
        <v>-</v>
      </c>
      <c r="AE66" s="510" t="str">
        <f t="array" aca="1" ref="AE66" ca="1">IFERROR(INDEX(Calculation_Tab,SMALL(ROW(Sample_Intermediate_Dil)*(Sample_Intermediate_Dil&lt;&gt;"-"),COUNTIF(Sample_Intermediate_Dil,"-")+ROW()-3)-9,25),"-")</f>
        <v>-</v>
      </c>
      <c r="AF66" s="510" t="str">
        <f t="array" aca="1" ref="AF66" ca="1">IFERROR(INDEX(Calculation_Tab,SMALL(ROW(Sample_Intermediate_Dil)*(Sample_Intermediate_Dil&lt;&gt;"-"),COUNTIF(Sample_Intermediate_Dil,"-")+ROW()-3)-9,26),"-")</f>
        <v>-</v>
      </c>
      <c r="AG66" s="511" t="str">
        <f t="array" aca="1" ref="AG66" ca="1">IFERROR(INDEX(Calculation_Tab,SMALL(ROW(Sample_Intermediate_Dil)*(Sample_Intermediate_Dil&lt;&gt;"-"),COUNTIF(Sample_Intermediate_Dil,"-")+ROW()-3)-9,27),"-")</f>
        <v>-</v>
      </c>
      <c r="AI66" s="487">
        <v>63</v>
      </c>
      <c r="AJ66" s="497" t="s">
        <v>160</v>
      </c>
      <c r="AK66" s="378">
        <v>63</v>
      </c>
      <c r="AL66" s="378" t="str">
        <f t="shared" ca="1" si="6"/>
        <v>-</v>
      </c>
      <c r="AM66" s="378" t="str">
        <f t="array" aca="1" ref="AM66" ca="1">IFERROR(IF(AI66&lt;=$AB$2,"-",INDEX(Calculation_Tab,SMALL(ROW(Main_Dil)*(Main_Dil&lt;&gt;"-"),COUNTIF(Main_Dil,"-")+ROW()-3-$AB$2)-9,5)),"-")</f>
        <v>-</v>
      </c>
      <c r="AN66" s="378" t="str">
        <f t="array" aca="1" ref="AN66" ca="1">IFERROR(IF(AI66&lt;=$AB$2,"-",INDEX($A$3:$B$12,MATCH(INDEX(Calculation_Tab,SMALL(ROW(Main_Dil)*(Main_Dil&lt;&gt;"-"),COUNTIF(Main_Dil,"-")+ROW()-3-$AB$2)-9,5),$A$3:$A$12,0),2)),"-")</f>
        <v>-</v>
      </c>
      <c r="AO66" s="378" t="str">
        <f t="array" aca="1" ref="AO66" ca="1">IFERROR(IF(AI66&lt;=$AB$2,"-",INDEX(Coordinate,MATCH(INDEX(Calculation_Tab,SMALL(ROW(Main_Dil)*(Main_Dil&lt;&gt;"-"),COUNTIF(Main_Dil,"-")+ROW()-3-$AB$2)-9,6),$X$4:$X$99,0),2)),"-")</f>
        <v>-</v>
      </c>
      <c r="AP66" s="510" t="str">
        <f t="array" aca="1" ref="AP66" ca="1">IFERROR(IF(AI66&lt;=$AB$2,"-",INDEX(Calculation_Tab,SMALL(ROW(Main_Dil)*(Main_Dil&lt;&gt;"-"),COUNTIF(Main_Dil,"-")+ROW()-3-$AB$2)-9,21)),"-")</f>
        <v>-</v>
      </c>
      <c r="AQ66" s="511" t="str">
        <f t="array" aca="1" ref="AQ66" ca="1">IFERROR(IF(AI66&lt;=$AB$2,"-",INDEX(Calculation_Tab,SMALL(ROW(Main_Dil)*(Main_Dil&lt;&gt;"-"),COUNTIF(Main_Dil,"-")+ROW()-3-$AB$2)-9,22)),"-")</f>
        <v>-</v>
      </c>
      <c r="AR66" s="487" t="str">
        <f t="shared" ca="1" si="7"/>
        <v>-</v>
      </c>
      <c r="AS66" s="378">
        <v>63</v>
      </c>
      <c r="AT66" s="497" t="s">
        <v>160</v>
      </c>
      <c r="AU66" s="498">
        <v>63</v>
      </c>
      <c r="AV66" s="378" t="str">
        <f t="shared" ca="1" si="8"/>
        <v>-</v>
      </c>
      <c r="AW66" s="378" t="str">
        <f t="array" aca="1" ref="AW66" ca="1">IFERROR(IF(AS66&lt;=$AB$2+$AN$2,"-",INDEX(Calculation_Tab,SMALL(ROW(Direct_Denaturation)*(Direct_Denaturation&lt;&gt;"-"),COUNTIF(Direct_Denaturation,"-")+ROW()-3-$AB$2-$AN$2)-9,5)),"-")</f>
        <v>-</v>
      </c>
      <c r="AX66" s="378" t="str">
        <f t="array" aca="1" ref="AX66" ca="1">IFERROR(IF(AS66&lt;=$AB$2+$AN$2,"-",INDEX($A$3:$B$12,MATCH(INDEX(Calculation_Tab,SMALL(ROW(Direct_Denaturation)*(Direct_Denaturation&lt;&gt;"-"),COUNTIF(Direct_Denaturation,"-")+ROW()-3-$AB$2-$AN$2)-9,5),$A$3:$A$12,0),2)),"-")</f>
        <v>-</v>
      </c>
      <c r="AY66" s="378" t="str">
        <f t="array" aca="1" ref="AY66" ca="1">IFERROR(IF(AS66&lt;=$AB$2+$AN$2,"-",INDEX(Coordinate,MATCH(INDEX(Calculation_Tab,SMALL(ROW(Direct_Denaturation)*(Direct_Denaturation&lt;&gt;"-"),COUNTIF(Direct_Denaturation,"-")+ROW()-3-$AB$2-$AN$2)-9,6),$X$4:$X$99,0),2)),"-")</f>
        <v>-</v>
      </c>
      <c r="AZ66" s="510" t="str">
        <f t="array" aca="1" ref="AZ66" ca="1">IFERROR(IF(AS66&lt;=$AB$2+$AN$2,"-",INDEX(Calculation_Tab,SMALL(ROW(Direct_Denaturation)*(Direct_Denaturation&lt;&gt;"-"),COUNTIF(Direct_Denaturation,"-")+ROW()-3-$AB$2-$AN$2)-9,32)),"-")</f>
        <v>-</v>
      </c>
      <c r="BA66" s="510" t="str">
        <f t="array" aca="1" ref="BA66" ca="1">IFERROR(IF(AS66&lt;=$AB$2+$AN$2,"-",INDEX(Calculation_Tab,SMALL(ROW(Direct_Denaturation)*(Direct_Denaturation&lt;&gt;"-"),COUNTIF(Direct_Denaturation,"-")+ROW()-3-$AB$2-$AN$2)-9,34)),"-")</f>
        <v>-</v>
      </c>
      <c r="BB66" s="510" t="str">
        <f t="array" aca="1" ref="BB66" ca="1">IFERROR(IF(AS66&lt;=$AB$2+$AN$2,"-",INDEX(Calculation_Tab,SMALL(ROW(Direct_Denaturation)*(Direct_Denaturation&lt;&gt;"-"),COUNTIF(Direct_Denaturation,"-")+ROW()-3-$AB$2-$AN$2)-9,33)),"-")</f>
        <v>-</v>
      </c>
      <c r="BC66" s="510" t="str">
        <f t="array" aca="1" ref="BC66" ca="1">IFERROR(IF(AS66&lt;=$AB$2+$AN$2,"-",INDEX(Calculation_Tab,SMALL(ROW(Direct_Denaturation)*(Direct_Denaturation&lt;&gt;"-"),COUNTIF(Direct_Denaturation,"-")+ROW()-3-$AB$2-$AN$2)-9,35)),"-")</f>
        <v>-</v>
      </c>
      <c r="BD66" s="511" t="str">
        <f t="shared" ca="1" si="9"/>
        <v>-</v>
      </c>
      <c r="BE66" s="494" t="s">
        <v>412</v>
      </c>
      <c r="BF66" s="378">
        <v>63</v>
      </c>
      <c r="BG66" s="515" t="str">
        <v>-</v>
      </c>
      <c r="BH66" s="516" t="str">
        <f>IFERROR(IF((Calculation!$AR$6/INDEX(ListAndConversion!D:P,MATCH(BG66,E:E,0),13))&lt;Calculation!$O$6,INDEX(ListAndConversion!D:P,MATCH(BG66,E:E,0),13)*Calculation!$O$6,Calculation!$AR$6),"-")</f>
        <v>-</v>
      </c>
      <c r="BI66" s="517" t="str">
        <f t="shared" si="33"/>
        <v>-</v>
      </c>
      <c r="BJ66" s="518" t="str">
        <f t="shared" si="34"/>
        <v>-</v>
      </c>
      <c r="BK66" s="378" t="s">
        <v>158</v>
      </c>
      <c r="BL66" s="378">
        <v>63</v>
      </c>
      <c r="BM66" s="487" t="str">
        <f t="array" aca="1" ref="BM66" ca="1">IFERROR(INDEX(Calculation_Tab,SMALL(ROW(ToPool)*(ToPool&lt;&gt;"-"),COUNTIF(ToPool,"-")+ROW()-3)-9,3),"-")</f>
        <v>-</v>
      </c>
      <c r="BN66" s="378" t="str">
        <f t="shared" ca="1" si="12"/>
        <v>-</v>
      </c>
      <c r="BO66" s="378" t="str">
        <f t="shared" ca="1" si="13"/>
        <v>-</v>
      </c>
      <c r="BP66" s="523" t="str">
        <f t="shared" ca="1" si="14"/>
        <v>-</v>
      </c>
      <c r="BQ66" s="378" t="str">
        <f t="array" aca="1" ref="BQ66" ca="1">IFERROR(INDEX(BE:BG,MATCH(INDEX(Calculation_Tab,SMALL(ROW(ToPool)*(ToPool&lt;&gt;"-"),COUNTIF(ToPool,"-")+ROW()-3)-9,9),BG:BG,0),2),"-")</f>
        <v>-</v>
      </c>
      <c r="BR66" s="510" t="str">
        <f t="shared" ca="1" si="15"/>
        <v>-</v>
      </c>
      <c r="BS66" s="511" t="str">
        <f t="shared" ca="1" si="16"/>
        <v>-</v>
      </c>
      <c r="BT66" s="378" t="s">
        <v>164</v>
      </c>
      <c r="BU66" s="487" t="str">
        <f t="shared" ca="1" si="21"/>
        <v>-</v>
      </c>
      <c r="BV66" s="487" t="str">
        <f t="array" aca="1" ref="BV6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66" s="378" t="str">
        <f t="shared" ca="1" si="17"/>
        <v>-</v>
      </c>
      <c r="BX66" s="378" t="str">
        <f t="shared" ca="1" si="18"/>
        <v>-</v>
      </c>
      <c r="BY66" s="510" t="str">
        <f ca="1">IFERROR(ROUND(INDEX(Cluster,MATCH(IF(LEFT(BV66,4)="Pool",INDEX(Cluster,MATCH(INDEX(Calculation_Tab,MATCH(INDEX($BE$4:$BJ$99,MATCH(BV66,$BE$4:$BE$99,0),3),Flow_Cell_Lane,0),3),Cluster!$F$29:$F$412,0),6),BV66),Identifier_Cluster,0),19)*IF(LEFT(BV66,4)="pool",IF(LEN(INDEX($BE$4:$BJ$99,MATCH(BV66,$BE$4:$BE$99,0),3))=10,2,IF(LEN(INDEX($BE$4:$BJ$99,MATCH(BV66,$BE$4:$BE$99,0),3))&gt;10,LEN(INDEX($BE$4:$BJ$99,MATCH(BV66,$BE$4:$BE$99,0),3))-8,1)),1)*IF(LEFT(BV66,4)="pool",IF(INDEX($BE$4:$BJ$99,MATCH(BV66,$BE$4:$BE$99,0),6)&lt;1,1,INDEX($BE$4:$BJ$99,MATCH(BV66,$BE$4:$BE$99,0),6)),INDEX(Calculation_Tab,MATCH(BV66,Identifier,0),10)),1)*(1+Calculation!$Q$6),"-")</f>
        <v>-</v>
      </c>
      <c r="BZ66" s="378" t="str">
        <f ca="1">IFERROR((0.5/50)*CE66/Calculation!$AG$6*(IF(LEFT(BV66,4)="Pool",IF(LEN(INDEX($BE$4:$BJ$99,MATCH(BV66,$BE$4:$BE$99,0),3))=10,2,IF(LEN(INDEX($BE$4:$BJ$99,MATCH(BV66,$BE$4:$BE$99,0),3))&gt;10,LEN(INDEX($BE$4:$BJ$99,MATCH(BV66,$BE$4:$BE$99,0),3))-8,1)),IF(INDEX(Calculation_Tab,MATCH(BV66,Identifier,0),10)&gt;1,INDEX(Calculation_Tab,MATCH(BV66,Identifier,0),10),1)))*(1+Calculation!$Q$6),"-")</f>
        <v>-</v>
      </c>
      <c r="CA66" s="510" t="str">
        <f ca="1">IFERROR(IF((BZ66*Calculation!$AG$6/0.05)-SUM(BY66:BZ66,CC66)&gt;0,(BZ66*Calculation!$AG$6/0.05)-SUM(BY66:BZ66,CC66),0),"-")</f>
        <v>-</v>
      </c>
      <c r="CB66" s="510" t="str">
        <f ca="1">IFERROR(5/50*CE66*(IF(LEFT(BV66,4)="Pool",IF(LEN(INDEX($BE$4:$BJ$99,MATCH(BV66,$BE$4:$BE$99,0),3))=10,2,IF(LEN(INDEX($BE$4:$BJ$99,MATCH(BV66,$BE$4:$BE$99,0),3))&gt;10,LEN(INDEX($BE$4:$BJ$99,MATCH(BV66,$BE$4:$BE$99,0),3))-8,1)),IF(INDEX(Calculation_Tab,MATCH(BV66,Identifier,0),10)&gt;1,INDEX(Calculation_Tab,MATCH(BV66,Identifier,0),10),1)))*(1+Calculation!$Q$6),"-")</f>
        <v>-</v>
      </c>
      <c r="CC66" s="508" t="str">
        <f ca="1">IFERROR(ROUND(INDEX(Cluster,MATCH(IF(LEFT(BV66,4)="Pool",INDEX(Cluster,MATCH(INDEX(Calculation_Tab,MATCH(INDEX($BE$4:$BJ$99,MATCH(BV66,$BE$4:$BE$99,0),3),Flow_Cell_Lane,0),3),Cluster!$F$29:$F$412,0),6),BV66),Identifier_Cluster,0),20)*IF(LEFT(BV66,4)="pool",IF(LEN(INDEX($BE$4:$BJ$99,MATCH(BV66,$BE$4:$BE$99,0),3))=10,2,IF(LEN(INDEX($BE$4:$BJ$99,MATCH(BV66,$BE$4:$BE$99,0),3))&gt;10,LEN(INDEX($BE$4:$BJ$99,MATCH(BV66,$BE$4:$BE$99,0),3))-8,1)),1)*IF(LEFT(BV66,4)="pool",IF(INDEX($BE$4:$BJ$99,MATCH(BV66,$BE$4:$BE$99,0),6)&lt;1,1,INDEX($BE$4:$BJ$99,MATCH(BV66,$BE$4:$BE$99,0),6)),INDEX(Calculation_Tab,MATCH(BV66,Identifier,0),10)),1)*(1+Calculation!$Q$6),"-")</f>
        <v>-</v>
      </c>
      <c r="CD66" s="509" t="str">
        <f ca="1">IFERROR(INDEX(Cluster!AC:AD,MATCH(IF(LEFT(BV66,4)="Pool",INDEX(Cluster!$D$29:$AA$412,MATCH(INDEX(Calculation_Tab,MATCH(INDEX($BE$4:$BJ$99,MATCH(BV66,$BE$4:$BE$99,0),3),Flow_Cell_Lane,0),3),Cluster!$F$29:$F$412,0),24),INDEX(Cluster!$D$29:$AA$412,MATCH(BV66,Cluster!$F$29:$F$412,0),24)),Cluster!AC:AC,0),2),"-")</f>
        <v>-</v>
      </c>
      <c r="CE66" s="378" t="str">
        <f ca="1">IFERROR(IF(BV66&lt;&gt;"-",Calculation!$AK$6,"-"),"-")</f>
        <v>-</v>
      </c>
      <c r="CF66" s="378" t="str">
        <f ca="1">IF(OR(LEFT(ListAndConversion!BW66,3)="Dil",LEFT(ListAndConversion!BW66,3)="Poo"),ListAndConversion!$BT$4,IF(LEFT(ListAndConversion!BW66,3)="Sou",INDEX(ListAndConversion!$AT$3:$AV$387,MATCH(ListAndConversion!BV66,ListAndConversion!$AV$3:$AV$387,0),1),"-"))</f>
        <v>-</v>
      </c>
      <c r="CG66" s="498" t="str">
        <f ca="1">IF(OR(LEFT(ListAndConversion!BW66,3)="Dil",LEFT(ListAndConversion!BW66,3)="Poo"),ListAndConversion!BU66,IF(LEFT(ListAndConversion!BW66,3)="Sou",INDEX(ListAndConversion!$AT$4:$AV$387,MATCH(ListAndConversion!BV66,ListAndConversion!$AV$4:$AV$387,0),2),"-"))</f>
        <v>-</v>
      </c>
      <c r="CH66" s="378"/>
      <c r="CI66" s="487" t="str">
        <f t="shared" ca="1" si="19"/>
        <v>-</v>
      </c>
      <c r="CJ66" s="378" t="str">
        <f t="shared" ca="1" si="43"/>
        <v>-</v>
      </c>
      <c r="CK66" s="378" t="str">
        <f t="shared" ca="1" si="43"/>
        <v>-</v>
      </c>
      <c r="CL66" s="378" t="str">
        <f t="shared" ca="1" si="43"/>
        <v>-</v>
      </c>
      <c r="CM66" s="378" t="str">
        <f t="shared" ca="1" si="43"/>
        <v>-</v>
      </c>
      <c r="CN66" s="378" t="str">
        <f t="shared" ca="1" si="43"/>
        <v>-</v>
      </c>
      <c r="CO66" s="378" t="str">
        <f t="shared" ca="1" si="43"/>
        <v>-</v>
      </c>
      <c r="CP66" s="378" t="str">
        <f t="shared" ca="1" si="43"/>
        <v>-</v>
      </c>
      <c r="CQ66" s="378" t="str">
        <f t="shared" ca="1" si="43"/>
        <v>-</v>
      </c>
      <c r="CR66" s="510" t="str">
        <f ca="1">IFERROR(IF(LEFT(BW66,3)="Poo",INDEX($BE$4:$BJ$99,MATCH(CI66,$BG$4:$BG$99,0),6)*((15/50))*Calculation!$AK$6,INDEX(Calculation_Tab,MATCH(BV66,Identifier,0),10)/(IF(LEN(INDEX(Calculation_Tab,MATCH(BV66,Identifier,0),9))&gt;8,LEN(INDEX(Calculation_Tab,MATCH(BV66,Identifier,0),9))-8,1))*((15/50)*Calculation!$AK$6)),"-")</f>
        <v>-</v>
      </c>
      <c r="CS66" s="498" t="str">
        <f ca="1">IF(CI66="-","-",IF(COUNTIF($CI$3:CI66,CI66)&gt;1,0,IFERROR((35/50)*Calculation!$AK$6,"-")))</f>
        <v>-</v>
      </c>
    </row>
    <row r="67" spans="4:97" x14ac:dyDescent="0.5">
      <c r="D67" s="487" t="e">
        <f t="shared" ref="D67:D130" si="44">LEN(E67)</f>
        <v>#DIV/0!</v>
      </c>
      <c r="E67" s="496" t="e">
        <f t="array" ref="E67">IF(IF((ROW(E67)-3)&lt;(ListAndConversion!$A$15),INDEX(Flow_Cell_Lane,MIN(IF(COUNTIF($E$2:E66,Flow_Cell_Lane)=0,ROW(Flow_Cell_Lane)-9))),"-")="","-",IF((ROW(E67)-3)&lt;(ListAndConversion!$A$15),INDEX(Flow_Cell_Lane,MIN(IF(COUNTIF($E$2:E66,Flow_Cell_Lane)=0,ROW(Flow_Cell_Lane)-9))),"-"))</f>
        <v>#DIV/0!</v>
      </c>
      <c r="F67" s="378" t="e">
        <f t="shared" ref="F67:F130" si="45">IF(D67&gt;=8,LEFT(E67,8),"")</f>
        <v>#DIV/0!</v>
      </c>
      <c r="G67" s="378" t="e">
        <f t="shared" si="42"/>
        <v>#DIV/0!</v>
      </c>
      <c r="H67" s="378" t="e">
        <f t="shared" si="42"/>
        <v>#DIV/0!</v>
      </c>
      <c r="I67" s="378" t="e">
        <f t="shared" si="42"/>
        <v>#DIV/0!</v>
      </c>
      <c r="J67" s="378" t="e">
        <f t="shared" si="42"/>
        <v>#DIV/0!</v>
      </c>
      <c r="K67" s="378" t="e">
        <f t="shared" si="42"/>
        <v>#DIV/0!</v>
      </c>
      <c r="L67" s="378" t="e">
        <f t="shared" si="42"/>
        <v>#DIV/0!</v>
      </c>
      <c r="M67" s="378" t="e">
        <f t="shared" si="42"/>
        <v>#DIV/0!</v>
      </c>
      <c r="N67" s="497" t="e">
        <f t="shared" ref="N67:N130" si="46">IF(E67="-","-",RIGHT(E67,D67-7))</f>
        <v>#DIV/0!</v>
      </c>
      <c r="O67" s="497" t="str">
        <f t="array" ref="O67">IFERROR(INDEX(Calculation!I:AN,MATCH(ListAndConversion!E67,Calculation!I:I,0),31),"-")</f>
        <v>-</v>
      </c>
      <c r="P67" s="498">
        <f>IF(COUNTIFS(Calculation!$I$10:$I$393,E67,Direct_Denaturation,"-")&lt;&gt;1,COUNTIFS(Calculation!$I$10:$I$393,E67,Direct_Denaturation,"-"),0)</f>
        <v>0</v>
      </c>
      <c r="Q67" s="378"/>
      <c r="R67" s="487" t="e">
        <f t="array" ref="R67">IF(IF((ROW(R67)-3)&lt;(Calculation!$H$6),INDEX(Flow_Cell,MIN(IF(COUNTIF($R$2:R66,Flow_Cell)=0,ROW(Flow_Cell)-9))),"-")="","-",IF((ROW(R67)-3)&lt;(Calculation!$H$6),INDEX(Flow_Cell,MIN(IF(COUNTIF($R$2:R66,Flow_Cell)=0,ROW(Flow_Cell)-9))),"-"))</f>
        <v>#DIV/0!</v>
      </c>
      <c r="S67" s="378" t="e">
        <f t="shared" ref="S67:S74" si="47">IF($R$11="-","-",CONCATENATE($R$11,"-",T67))</f>
        <v>#DIV/0!</v>
      </c>
      <c r="T67" s="378">
        <v>1</v>
      </c>
      <c r="U67" s="498">
        <v>65</v>
      </c>
      <c r="V67" s="487">
        <v>64</v>
      </c>
      <c r="W67" s="497" t="s">
        <v>287</v>
      </c>
      <c r="X67" s="497" t="s">
        <v>413</v>
      </c>
      <c r="Y67" s="378">
        <v>64</v>
      </c>
      <c r="Z67" s="378" t="str">
        <f t="shared" ca="1" si="32"/>
        <v>-</v>
      </c>
      <c r="AA67" s="508" t="str">
        <f t="array" aca="1" ref="AA67" ca="1">IFERROR(INDEX(Calculation_Tab,SMALL(ROW(Sample_Intermediate_Dil)*(Sample_Intermediate_Dil&lt;&gt;"-"),COUNTIF(Sample_Intermediate_Dil,"-")+ROW()-3)-9,5),"-")</f>
        <v>-</v>
      </c>
      <c r="AB67" s="378" t="str">
        <f t="array" aca="1" ref="AB67" ca="1">IFERROR(INDEX($A$3:$B$12,MATCH(INDEX(Calculation_Tab,SMALL(ROW(Sample_Intermediate_Dil)*(Sample_Intermediate_Dil&lt;&gt;"-"),COUNTIF(Sample_Intermediate_Dil,"-")+ROW()-3)-9,5),$A$3:$A$12,0),2),"-")</f>
        <v>-</v>
      </c>
      <c r="AC67" s="509" t="str">
        <f t="array" aca="1" ref="AC67" ca="1">IFERROR(INDEX(Coordinate,MATCH(INDEX(Calculation_Tab,SMALL(ROW(Sample_Intermediate_Dil)*(Sample_Intermediate_Dil&lt;&gt;"-"),COUNTIF(Sample_Intermediate_Dil,"-")+ROW()-3)-9,6),$X$4:$X$99,0),2),"-")</f>
        <v>-</v>
      </c>
      <c r="AD67" s="510" t="str">
        <f t="array" aca="1" ref="AD67" ca="1">IFERROR(INDEX(Calculation_Tab,SMALL(ROW(Sample_Intermediate_Dil)*(Sample_Intermediate_Dil&lt;&gt;"-"),COUNTIF(Sample_Intermediate_Dil,"-")+ROW()-3)-9,24),"-")</f>
        <v>-</v>
      </c>
      <c r="AE67" s="510" t="str">
        <f t="array" aca="1" ref="AE67" ca="1">IFERROR(INDEX(Calculation_Tab,SMALL(ROW(Sample_Intermediate_Dil)*(Sample_Intermediate_Dil&lt;&gt;"-"),COUNTIF(Sample_Intermediate_Dil,"-")+ROW()-3)-9,25),"-")</f>
        <v>-</v>
      </c>
      <c r="AF67" s="510" t="str">
        <f t="array" aca="1" ref="AF67" ca="1">IFERROR(INDEX(Calculation_Tab,SMALL(ROW(Sample_Intermediate_Dil)*(Sample_Intermediate_Dil&lt;&gt;"-"),COUNTIF(Sample_Intermediate_Dil,"-")+ROW()-3)-9,26),"-")</f>
        <v>-</v>
      </c>
      <c r="AG67" s="511" t="str">
        <f t="array" aca="1" ref="AG67" ca="1">IFERROR(INDEX(Calculation_Tab,SMALL(ROW(Sample_Intermediate_Dil)*(Sample_Intermediate_Dil&lt;&gt;"-"),COUNTIF(Sample_Intermediate_Dil,"-")+ROW()-3)-9,27),"-")</f>
        <v>-</v>
      </c>
      <c r="AI67" s="487">
        <v>64</v>
      </c>
      <c r="AJ67" s="497" t="s">
        <v>160</v>
      </c>
      <c r="AK67" s="378">
        <v>64</v>
      </c>
      <c r="AL67" s="378" t="str">
        <f t="shared" ca="1" si="6"/>
        <v>-</v>
      </c>
      <c r="AM67" s="378" t="str">
        <f t="array" aca="1" ref="AM67" ca="1">IFERROR(IF(AI67&lt;=$AB$2,"-",INDEX(Calculation_Tab,SMALL(ROW(Main_Dil)*(Main_Dil&lt;&gt;"-"),COUNTIF(Main_Dil,"-")+ROW()-3-$AB$2)-9,5)),"-")</f>
        <v>-</v>
      </c>
      <c r="AN67" s="378" t="str">
        <f t="array" aca="1" ref="AN67" ca="1">IFERROR(IF(AI67&lt;=$AB$2,"-",INDEX($A$3:$B$12,MATCH(INDEX(Calculation_Tab,SMALL(ROW(Main_Dil)*(Main_Dil&lt;&gt;"-"),COUNTIF(Main_Dil,"-")+ROW()-3-$AB$2)-9,5),$A$3:$A$12,0),2)),"-")</f>
        <v>-</v>
      </c>
      <c r="AO67" s="378" t="str">
        <f t="array" aca="1" ref="AO67" ca="1">IFERROR(IF(AI67&lt;=$AB$2,"-",INDEX(Coordinate,MATCH(INDEX(Calculation_Tab,SMALL(ROW(Main_Dil)*(Main_Dil&lt;&gt;"-"),COUNTIF(Main_Dil,"-")+ROW()-3-$AB$2)-9,6),$X$4:$X$99,0),2)),"-")</f>
        <v>-</v>
      </c>
      <c r="AP67" s="510" t="str">
        <f t="array" aca="1" ref="AP67" ca="1">IFERROR(IF(AI67&lt;=$AB$2,"-",INDEX(Calculation_Tab,SMALL(ROW(Main_Dil)*(Main_Dil&lt;&gt;"-"),COUNTIF(Main_Dil,"-")+ROW()-3-$AB$2)-9,21)),"-")</f>
        <v>-</v>
      </c>
      <c r="AQ67" s="511" t="str">
        <f t="array" aca="1" ref="AQ67" ca="1">IFERROR(IF(AI67&lt;=$AB$2,"-",INDEX(Calculation_Tab,SMALL(ROW(Main_Dil)*(Main_Dil&lt;&gt;"-"),COUNTIF(Main_Dil,"-")+ROW()-3-$AB$2)-9,22)),"-")</f>
        <v>-</v>
      </c>
      <c r="AR67" s="487" t="str">
        <f t="shared" ca="1" si="7"/>
        <v>-</v>
      </c>
      <c r="AS67" s="378">
        <v>64</v>
      </c>
      <c r="AT67" s="497" t="s">
        <v>160</v>
      </c>
      <c r="AU67" s="498">
        <v>64</v>
      </c>
      <c r="AV67" s="378" t="str">
        <f t="shared" ca="1" si="8"/>
        <v>-</v>
      </c>
      <c r="AW67" s="378" t="str">
        <f t="array" aca="1" ref="AW67" ca="1">IFERROR(IF(AS67&lt;=$AB$2+$AN$2,"-",INDEX(Calculation_Tab,SMALL(ROW(Direct_Denaturation)*(Direct_Denaturation&lt;&gt;"-"),COUNTIF(Direct_Denaturation,"-")+ROW()-3-$AB$2-$AN$2)-9,5)),"-")</f>
        <v>-</v>
      </c>
      <c r="AX67" s="378" t="str">
        <f t="array" aca="1" ref="AX67" ca="1">IFERROR(IF(AS67&lt;=$AB$2+$AN$2,"-",INDEX($A$3:$B$12,MATCH(INDEX(Calculation_Tab,SMALL(ROW(Direct_Denaturation)*(Direct_Denaturation&lt;&gt;"-"),COUNTIF(Direct_Denaturation,"-")+ROW()-3-$AB$2-$AN$2)-9,5),$A$3:$A$12,0),2)),"-")</f>
        <v>-</v>
      </c>
      <c r="AY67" s="378" t="str">
        <f t="array" aca="1" ref="AY67" ca="1">IFERROR(IF(AS67&lt;=$AB$2+$AN$2,"-",INDEX(Coordinate,MATCH(INDEX(Calculation_Tab,SMALL(ROW(Direct_Denaturation)*(Direct_Denaturation&lt;&gt;"-"),COUNTIF(Direct_Denaturation,"-")+ROW()-3-$AB$2-$AN$2)-9,6),$X$4:$X$99,0),2)),"-")</f>
        <v>-</v>
      </c>
      <c r="AZ67" s="510" t="str">
        <f t="array" aca="1" ref="AZ67" ca="1">IFERROR(IF(AS67&lt;=$AB$2+$AN$2,"-",INDEX(Calculation_Tab,SMALL(ROW(Direct_Denaturation)*(Direct_Denaturation&lt;&gt;"-"),COUNTIF(Direct_Denaturation,"-")+ROW()-3-$AB$2-$AN$2)-9,32)),"-")</f>
        <v>-</v>
      </c>
      <c r="BA67" s="510" t="str">
        <f t="array" aca="1" ref="BA67" ca="1">IFERROR(IF(AS67&lt;=$AB$2+$AN$2,"-",INDEX(Calculation_Tab,SMALL(ROW(Direct_Denaturation)*(Direct_Denaturation&lt;&gt;"-"),COUNTIF(Direct_Denaturation,"-")+ROW()-3-$AB$2-$AN$2)-9,34)),"-")</f>
        <v>-</v>
      </c>
      <c r="BB67" s="510" t="str">
        <f t="array" aca="1" ref="BB67" ca="1">IFERROR(IF(AS67&lt;=$AB$2+$AN$2,"-",INDEX(Calculation_Tab,SMALL(ROW(Direct_Denaturation)*(Direct_Denaturation&lt;&gt;"-"),COUNTIF(Direct_Denaturation,"-")+ROW()-3-$AB$2-$AN$2)-9,33)),"-")</f>
        <v>-</v>
      </c>
      <c r="BC67" s="510" t="str">
        <f t="array" aca="1" ref="BC67" ca="1">IFERROR(IF(AS67&lt;=$AB$2+$AN$2,"-",INDEX(Calculation_Tab,SMALL(ROW(Direct_Denaturation)*(Direct_Denaturation&lt;&gt;"-"),COUNTIF(Direct_Denaturation,"-")+ROW()-3-$AB$2-$AN$2)-9,35)),"-")</f>
        <v>-</v>
      </c>
      <c r="BD67" s="511" t="str">
        <f t="shared" ca="1" si="9"/>
        <v>-</v>
      </c>
      <c r="BE67" s="494" t="s">
        <v>414</v>
      </c>
      <c r="BF67" s="378">
        <v>64</v>
      </c>
      <c r="BG67" s="515" t="str">
        <v>-</v>
      </c>
      <c r="BH67" s="516" t="str">
        <f>IFERROR(IF((Calculation!$AR$6/INDEX(ListAndConversion!D:P,MATCH(BG67,E:E,0),13))&lt;Calculation!$O$6,INDEX(ListAndConversion!D:P,MATCH(BG67,E:E,0),13)*Calculation!$O$6,Calculation!$AR$6),"-")</f>
        <v>-</v>
      </c>
      <c r="BI67" s="517" t="str">
        <f t="shared" si="33"/>
        <v>-</v>
      </c>
      <c r="BJ67" s="518" t="str">
        <f t="shared" si="34"/>
        <v>-</v>
      </c>
      <c r="BK67" s="378" t="s">
        <v>158</v>
      </c>
      <c r="BL67" s="378">
        <v>64</v>
      </c>
      <c r="BM67" s="487" t="str">
        <f t="array" aca="1" ref="BM67" ca="1">IFERROR(INDEX(Calculation_Tab,SMALL(ROW(ToPool)*(ToPool&lt;&gt;"-"),COUNTIF(ToPool,"-")+ROW()-3)-9,3),"-")</f>
        <v>-</v>
      </c>
      <c r="BN67" s="378" t="str">
        <f t="shared" ca="1" si="12"/>
        <v>-</v>
      </c>
      <c r="BO67" s="378" t="str">
        <f t="shared" ca="1" si="13"/>
        <v>-</v>
      </c>
      <c r="BP67" s="523" t="str">
        <f t="shared" ca="1" si="14"/>
        <v>-</v>
      </c>
      <c r="BQ67" s="378" t="str">
        <f t="array" aca="1" ref="BQ67" ca="1">IFERROR(INDEX(BE:BG,MATCH(INDEX(Calculation_Tab,SMALL(ROW(ToPool)*(ToPool&lt;&gt;"-"),COUNTIF(ToPool,"-")+ROW()-3)-9,9),BG:BG,0),2),"-")</f>
        <v>-</v>
      </c>
      <c r="BR67" s="510" t="str">
        <f t="shared" ca="1" si="15"/>
        <v>-</v>
      </c>
      <c r="BS67" s="511" t="str">
        <f t="shared" ca="1" si="16"/>
        <v>-</v>
      </c>
      <c r="BT67" s="378" t="s">
        <v>164</v>
      </c>
      <c r="BU67" s="487" t="str">
        <f t="shared" ca="1" si="21"/>
        <v>-</v>
      </c>
      <c r="BV67" s="487" t="str">
        <f t="array" aca="1" ref="BV6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67" s="378" t="str">
        <f t="shared" ca="1" si="17"/>
        <v>-</v>
      </c>
      <c r="BX67" s="378" t="str">
        <f t="shared" ca="1" si="18"/>
        <v>-</v>
      </c>
      <c r="BY67" s="510" t="str">
        <f ca="1">IFERROR(ROUND(INDEX(Cluster,MATCH(IF(LEFT(BV67,4)="Pool",INDEX(Cluster,MATCH(INDEX(Calculation_Tab,MATCH(INDEX($BE$4:$BJ$99,MATCH(BV67,$BE$4:$BE$99,0),3),Flow_Cell_Lane,0),3),Cluster!$F$29:$F$412,0),6),BV67),Identifier_Cluster,0),19)*IF(LEFT(BV67,4)="pool",IF(LEN(INDEX($BE$4:$BJ$99,MATCH(BV67,$BE$4:$BE$99,0),3))=10,2,IF(LEN(INDEX($BE$4:$BJ$99,MATCH(BV67,$BE$4:$BE$99,0),3))&gt;10,LEN(INDEX($BE$4:$BJ$99,MATCH(BV67,$BE$4:$BE$99,0),3))-8,1)),1)*IF(LEFT(BV67,4)="pool",IF(INDEX($BE$4:$BJ$99,MATCH(BV67,$BE$4:$BE$99,0),6)&lt;1,1,INDEX($BE$4:$BJ$99,MATCH(BV67,$BE$4:$BE$99,0),6)),INDEX(Calculation_Tab,MATCH(BV67,Identifier,0),10)),1)*(1+Calculation!$Q$6),"-")</f>
        <v>-</v>
      </c>
      <c r="BZ67" s="378" t="str">
        <f ca="1">IFERROR((0.5/50)*CE67/Calculation!$AG$6*(IF(LEFT(BV67,4)="Pool",IF(LEN(INDEX($BE$4:$BJ$99,MATCH(BV67,$BE$4:$BE$99,0),3))=10,2,IF(LEN(INDEX($BE$4:$BJ$99,MATCH(BV67,$BE$4:$BE$99,0),3))&gt;10,LEN(INDEX($BE$4:$BJ$99,MATCH(BV67,$BE$4:$BE$99,0),3))-8,1)),IF(INDEX(Calculation_Tab,MATCH(BV67,Identifier,0),10)&gt;1,INDEX(Calculation_Tab,MATCH(BV67,Identifier,0),10),1)))*(1+Calculation!$Q$6),"-")</f>
        <v>-</v>
      </c>
      <c r="CA67" s="510" t="str">
        <f ca="1">IFERROR(IF((BZ67*Calculation!$AG$6/0.05)-SUM(BY67:BZ67,CC67)&gt;0,(BZ67*Calculation!$AG$6/0.05)-SUM(BY67:BZ67,CC67),0),"-")</f>
        <v>-</v>
      </c>
      <c r="CB67" s="510" t="str">
        <f ca="1">IFERROR(5/50*CE67*(IF(LEFT(BV67,4)="Pool",IF(LEN(INDEX($BE$4:$BJ$99,MATCH(BV67,$BE$4:$BE$99,0),3))=10,2,IF(LEN(INDEX($BE$4:$BJ$99,MATCH(BV67,$BE$4:$BE$99,0),3))&gt;10,LEN(INDEX($BE$4:$BJ$99,MATCH(BV67,$BE$4:$BE$99,0),3))-8,1)),IF(INDEX(Calculation_Tab,MATCH(BV67,Identifier,0),10)&gt;1,INDEX(Calculation_Tab,MATCH(BV67,Identifier,0),10),1)))*(1+Calculation!$Q$6),"-")</f>
        <v>-</v>
      </c>
      <c r="CC67" s="508" t="str">
        <f ca="1">IFERROR(ROUND(INDEX(Cluster,MATCH(IF(LEFT(BV67,4)="Pool",INDEX(Cluster,MATCH(INDEX(Calculation_Tab,MATCH(INDEX($BE$4:$BJ$99,MATCH(BV67,$BE$4:$BE$99,0),3),Flow_Cell_Lane,0),3),Cluster!$F$29:$F$412,0),6),BV67),Identifier_Cluster,0),20)*IF(LEFT(BV67,4)="pool",IF(LEN(INDEX($BE$4:$BJ$99,MATCH(BV67,$BE$4:$BE$99,0),3))=10,2,IF(LEN(INDEX($BE$4:$BJ$99,MATCH(BV67,$BE$4:$BE$99,0),3))&gt;10,LEN(INDEX($BE$4:$BJ$99,MATCH(BV67,$BE$4:$BE$99,0),3))-8,1)),1)*IF(LEFT(BV67,4)="pool",IF(INDEX($BE$4:$BJ$99,MATCH(BV67,$BE$4:$BE$99,0),6)&lt;1,1,INDEX($BE$4:$BJ$99,MATCH(BV67,$BE$4:$BE$99,0),6)),INDEX(Calculation_Tab,MATCH(BV67,Identifier,0),10)),1)*(1+Calculation!$Q$6),"-")</f>
        <v>-</v>
      </c>
      <c r="CD67" s="509" t="str">
        <f ca="1">IFERROR(INDEX(Cluster!AC:AD,MATCH(IF(LEFT(BV67,4)="Pool",INDEX(Cluster!$D$29:$AA$412,MATCH(INDEX(Calculation_Tab,MATCH(INDEX($BE$4:$BJ$99,MATCH(BV67,$BE$4:$BE$99,0),3),Flow_Cell_Lane,0),3),Cluster!$F$29:$F$412,0),24),INDEX(Cluster!$D$29:$AA$412,MATCH(BV67,Cluster!$F$29:$F$412,0),24)),Cluster!AC:AC,0),2),"-")</f>
        <v>-</v>
      </c>
      <c r="CE67" s="378" t="str">
        <f ca="1">IFERROR(IF(BV67&lt;&gt;"-",Calculation!$AK$6,"-"),"-")</f>
        <v>-</v>
      </c>
      <c r="CF67" s="378" t="str">
        <f ca="1">IF(OR(LEFT(ListAndConversion!BW67,3)="Dil",LEFT(ListAndConversion!BW67,3)="Poo"),ListAndConversion!$BT$4,IF(LEFT(ListAndConversion!BW67,3)="Sou",INDEX(ListAndConversion!$AT$3:$AV$387,MATCH(ListAndConversion!BV67,ListAndConversion!$AV$3:$AV$387,0),1),"-"))</f>
        <v>-</v>
      </c>
      <c r="CG67" s="498" t="str">
        <f ca="1">IF(OR(LEFT(ListAndConversion!BW67,3)="Dil",LEFT(ListAndConversion!BW67,3)="Poo"),ListAndConversion!BU67,IF(LEFT(ListAndConversion!BW67,3)="Sou",INDEX(ListAndConversion!$AT$4:$AV$387,MATCH(ListAndConversion!BV67,ListAndConversion!$AV$4:$AV$387,0),2),"-"))</f>
        <v>-</v>
      </c>
      <c r="CH67" s="378"/>
      <c r="CI67" s="487" t="str">
        <f t="shared" ca="1" si="19"/>
        <v>-</v>
      </c>
      <c r="CJ67" s="378" t="str">
        <f t="shared" ca="1" si="43"/>
        <v>-</v>
      </c>
      <c r="CK67" s="378" t="str">
        <f t="shared" ca="1" si="43"/>
        <v>-</v>
      </c>
      <c r="CL67" s="378" t="str">
        <f t="shared" ca="1" si="43"/>
        <v>-</v>
      </c>
      <c r="CM67" s="378" t="str">
        <f t="shared" ca="1" si="43"/>
        <v>-</v>
      </c>
      <c r="CN67" s="378" t="str">
        <f t="shared" ca="1" si="43"/>
        <v>-</v>
      </c>
      <c r="CO67" s="378" t="str">
        <f t="shared" ca="1" si="43"/>
        <v>-</v>
      </c>
      <c r="CP67" s="378" t="str">
        <f t="shared" ca="1" si="43"/>
        <v>-</v>
      </c>
      <c r="CQ67" s="378" t="str">
        <f t="shared" ca="1" si="43"/>
        <v>-</v>
      </c>
      <c r="CR67" s="510" t="str">
        <f ca="1">IFERROR(IF(LEFT(BW67,3)="Poo",INDEX($BE$4:$BJ$99,MATCH(CI67,$BG$4:$BG$99,0),6)*((15/50))*Calculation!$AK$6,INDEX(Calculation_Tab,MATCH(BV67,Identifier,0),10)/(IF(LEN(INDEX(Calculation_Tab,MATCH(BV67,Identifier,0),9))&gt;8,LEN(INDEX(Calculation_Tab,MATCH(BV67,Identifier,0),9))-8,1))*((15/50)*Calculation!$AK$6)),"-")</f>
        <v>-</v>
      </c>
      <c r="CS67" s="498" t="str">
        <f ca="1">IF(CI67="-","-",IF(COUNTIF($CI$3:CI67,CI67)&gt;1,0,IFERROR((35/50)*Calculation!$AK$6,"-")))</f>
        <v>-</v>
      </c>
    </row>
    <row r="68" spans="4:97" x14ac:dyDescent="0.5">
      <c r="D68" s="487" t="e">
        <f t="shared" si="44"/>
        <v>#DIV/0!</v>
      </c>
      <c r="E68" s="496" t="e">
        <f t="array" ref="E68">IF(IF((ROW(E68)-3)&lt;(ListAndConversion!$A$15),INDEX(Flow_Cell_Lane,MIN(IF(COUNTIF($E$2:E67,Flow_Cell_Lane)=0,ROW(Flow_Cell_Lane)-9))),"-")="","-",IF((ROW(E68)-3)&lt;(ListAndConversion!$A$15),INDEX(Flow_Cell_Lane,MIN(IF(COUNTIF($E$2:E67,Flow_Cell_Lane)=0,ROW(Flow_Cell_Lane)-9))),"-"))</f>
        <v>#DIV/0!</v>
      </c>
      <c r="F68" s="378" t="e">
        <f t="shared" si="45"/>
        <v>#DIV/0!</v>
      </c>
      <c r="G68" s="378" t="e">
        <f t="shared" si="42"/>
        <v>#DIV/0!</v>
      </c>
      <c r="H68" s="378" t="e">
        <f t="shared" si="42"/>
        <v>#DIV/0!</v>
      </c>
      <c r="I68" s="378" t="e">
        <f t="shared" si="42"/>
        <v>#DIV/0!</v>
      </c>
      <c r="J68" s="378" t="e">
        <f t="shared" si="42"/>
        <v>#DIV/0!</v>
      </c>
      <c r="K68" s="378" t="e">
        <f t="shared" si="42"/>
        <v>#DIV/0!</v>
      </c>
      <c r="L68" s="378" t="e">
        <f t="shared" si="42"/>
        <v>#DIV/0!</v>
      </c>
      <c r="M68" s="378" t="e">
        <f t="shared" si="42"/>
        <v>#DIV/0!</v>
      </c>
      <c r="N68" s="497" t="e">
        <f t="shared" si="46"/>
        <v>#DIV/0!</v>
      </c>
      <c r="O68" s="497" t="str">
        <f t="array" ref="O68">IFERROR(INDEX(Calculation!I:AN,MATCH(ListAndConversion!E68,Calculation!I:I,0),31),"-")</f>
        <v>-</v>
      </c>
      <c r="P68" s="498">
        <f>IF(COUNTIFS(Calculation!$I$10:$I$393,E68,Direct_Denaturation,"-")&lt;&gt;1,COUNTIFS(Calculation!$I$10:$I$393,E68,Direct_Denaturation,"-"),0)</f>
        <v>0</v>
      </c>
      <c r="Q68" s="378"/>
      <c r="R68" s="487" t="e">
        <f t="array" ref="R68">IF(IF((ROW(R68)-3)&lt;(Calculation!$H$6),INDEX(Flow_Cell,MIN(IF(COUNTIF($R$2:R67,Flow_Cell)=0,ROW(Flow_Cell)-9))),"-")="","-",IF((ROW(R68)-3)&lt;(Calculation!$H$6),INDEX(Flow_Cell,MIN(IF(COUNTIF($R$2:R67,Flow_Cell)=0,ROW(Flow_Cell)-9))),"-"))</f>
        <v>#DIV/0!</v>
      </c>
      <c r="S68" s="378" t="e">
        <f t="shared" si="47"/>
        <v>#DIV/0!</v>
      </c>
      <c r="T68" s="378">
        <v>2</v>
      </c>
      <c r="U68" s="498">
        <v>66</v>
      </c>
      <c r="V68" s="487">
        <v>65</v>
      </c>
      <c r="W68" s="497" t="s">
        <v>287</v>
      </c>
      <c r="X68" s="497" t="s">
        <v>415</v>
      </c>
      <c r="Y68" s="378">
        <v>65</v>
      </c>
      <c r="Z68" s="378" t="str">
        <f t="shared" ref="Z68:Z99" ca="1" si="48">IF(AA68&lt;&gt;"-",CONCATENATE(AA68,"-",AC68),"-")</f>
        <v>-</v>
      </c>
      <c r="AA68" s="508" t="str">
        <f t="array" aca="1" ref="AA68" ca="1">IFERROR(INDEX(Calculation_Tab,SMALL(ROW(Sample_Intermediate_Dil)*(Sample_Intermediate_Dil&lt;&gt;"-"),COUNTIF(Sample_Intermediate_Dil,"-")+ROW()-3)-9,5),"-")</f>
        <v>-</v>
      </c>
      <c r="AB68" s="378" t="str">
        <f t="array" aca="1" ref="AB68" ca="1">IFERROR(INDEX($A$3:$B$12,MATCH(INDEX(Calculation_Tab,SMALL(ROW(Sample_Intermediate_Dil)*(Sample_Intermediate_Dil&lt;&gt;"-"),COUNTIF(Sample_Intermediate_Dil,"-")+ROW()-3)-9,5),$A$3:$A$12,0),2),"-")</f>
        <v>-</v>
      </c>
      <c r="AC68" s="509" t="str">
        <f t="array" aca="1" ref="AC68" ca="1">IFERROR(INDEX(Coordinate,MATCH(INDEX(Calculation_Tab,SMALL(ROW(Sample_Intermediate_Dil)*(Sample_Intermediate_Dil&lt;&gt;"-"),COUNTIF(Sample_Intermediate_Dil,"-")+ROW()-3)-9,6),$X$4:$X$99,0),2),"-")</f>
        <v>-</v>
      </c>
      <c r="AD68" s="510" t="str">
        <f t="array" aca="1" ref="AD68" ca="1">IFERROR(INDEX(Calculation_Tab,SMALL(ROW(Sample_Intermediate_Dil)*(Sample_Intermediate_Dil&lt;&gt;"-"),COUNTIF(Sample_Intermediate_Dil,"-")+ROW()-3)-9,24),"-")</f>
        <v>-</v>
      </c>
      <c r="AE68" s="510" t="str">
        <f t="array" aca="1" ref="AE68" ca="1">IFERROR(INDEX(Calculation_Tab,SMALL(ROW(Sample_Intermediate_Dil)*(Sample_Intermediate_Dil&lt;&gt;"-"),COUNTIF(Sample_Intermediate_Dil,"-")+ROW()-3)-9,25),"-")</f>
        <v>-</v>
      </c>
      <c r="AF68" s="510" t="str">
        <f t="array" aca="1" ref="AF68" ca="1">IFERROR(INDEX(Calculation_Tab,SMALL(ROW(Sample_Intermediate_Dil)*(Sample_Intermediate_Dil&lt;&gt;"-"),COUNTIF(Sample_Intermediate_Dil,"-")+ROW()-3)-9,26),"-")</f>
        <v>-</v>
      </c>
      <c r="AG68" s="511" t="str">
        <f t="array" aca="1" ref="AG68" ca="1">IFERROR(INDEX(Calculation_Tab,SMALL(ROW(Sample_Intermediate_Dil)*(Sample_Intermediate_Dil&lt;&gt;"-"),COUNTIF(Sample_Intermediate_Dil,"-")+ROW()-3)-9,27),"-")</f>
        <v>-</v>
      </c>
      <c r="AI68" s="487">
        <v>65</v>
      </c>
      <c r="AJ68" s="497" t="s">
        <v>160</v>
      </c>
      <c r="AK68" s="378">
        <v>65</v>
      </c>
      <c r="AL68" s="378" t="str">
        <f t="shared" ref="AL68:AL131" ca="1" si="49">IF(AM68&lt;&gt;"-",CONCATENATE(AM68,"-",AO68),"-")</f>
        <v>-</v>
      </c>
      <c r="AM68" s="378" t="str">
        <f t="array" aca="1" ref="AM68" ca="1">IFERROR(IF(AI68&lt;=$AB$2,"-",INDEX(Calculation_Tab,SMALL(ROW(Main_Dil)*(Main_Dil&lt;&gt;"-"),COUNTIF(Main_Dil,"-")+ROW()-3-$AB$2)-9,5)),"-")</f>
        <v>-</v>
      </c>
      <c r="AN68" s="378" t="str">
        <f t="array" aca="1" ref="AN68" ca="1">IFERROR(IF(AI68&lt;=$AB$2,"-",INDEX($A$3:$B$12,MATCH(INDEX(Calculation_Tab,SMALL(ROW(Main_Dil)*(Main_Dil&lt;&gt;"-"),COUNTIF(Main_Dil,"-")+ROW()-3-$AB$2)-9,5),$A$3:$A$12,0),2)),"-")</f>
        <v>-</v>
      </c>
      <c r="AO68" s="378" t="str">
        <f t="array" aca="1" ref="AO68" ca="1">IFERROR(IF(AI68&lt;=$AB$2,"-",INDEX(Coordinate,MATCH(INDEX(Calculation_Tab,SMALL(ROW(Main_Dil)*(Main_Dil&lt;&gt;"-"),COUNTIF(Main_Dil,"-")+ROW()-3-$AB$2)-9,6),$X$4:$X$99,0),2)),"-")</f>
        <v>-</v>
      </c>
      <c r="AP68" s="510" t="str">
        <f t="array" aca="1" ref="AP68" ca="1">IFERROR(IF(AI68&lt;=$AB$2,"-",INDEX(Calculation_Tab,SMALL(ROW(Main_Dil)*(Main_Dil&lt;&gt;"-"),COUNTIF(Main_Dil,"-")+ROW()-3-$AB$2)-9,21)),"-")</f>
        <v>-</v>
      </c>
      <c r="AQ68" s="511" t="str">
        <f t="array" aca="1" ref="AQ68" ca="1">IFERROR(IF(AI68&lt;=$AB$2,"-",INDEX(Calculation_Tab,SMALL(ROW(Main_Dil)*(Main_Dil&lt;&gt;"-"),COUNTIF(Main_Dil,"-")+ROW()-3-$AB$2)-9,22)),"-")</f>
        <v>-</v>
      </c>
      <c r="AR68" s="487" t="str">
        <f t="shared" ref="AR68:AR131" ca="1" si="50">IFERROR(INDEX(Calculation_Tab,MATCH(AV68,Identifier,0),9),"-")</f>
        <v>-</v>
      </c>
      <c r="AS68" s="378">
        <v>65</v>
      </c>
      <c r="AT68" s="497" t="s">
        <v>160</v>
      </c>
      <c r="AU68" s="498">
        <v>65</v>
      </c>
      <c r="AV68" s="378" t="str">
        <f t="shared" ref="AV68:AV131" ca="1" si="51">IF(AW68&lt;&gt;"-",CONCATENATE(AW68,"-",AY68),"-")</f>
        <v>-</v>
      </c>
      <c r="AW68" s="378" t="str">
        <f t="array" aca="1" ref="AW68" ca="1">IFERROR(IF(AS68&lt;=$AB$2+$AN$2,"-",INDEX(Calculation_Tab,SMALL(ROW(Direct_Denaturation)*(Direct_Denaturation&lt;&gt;"-"),COUNTIF(Direct_Denaturation,"-")+ROW()-3-$AB$2-$AN$2)-9,5)),"-")</f>
        <v>-</v>
      </c>
      <c r="AX68" s="378" t="str">
        <f t="array" aca="1" ref="AX68" ca="1">IFERROR(IF(AS68&lt;=$AB$2+$AN$2,"-",INDEX($A$3:$B$12,MATCH(INDEX(Calculation_Tab,SMALL(ROW(Direct_Denaturation)*(Direct_Denaturation&lt;&gt;"-"),COUNTIF(Direct_Denaturation,"-")+ROW()-3-$AB$2-$AN$2)-9,5),$A$3:$A$12,0),2)),"-")</f>
        <v>-</v>
      </c>
      <c r="AY68" s="378" t="str">
        <f t="array" aca="1" ref="AY68" ca="1">IFERROR(IF(AS68&lt;=$AB$2+$AN$2,"-",INDEX(Coordinate,MATCH(INDEX(Calculation_Tab,SMALL(ROW(Direct_Denaturation)*(Direct_Denaturation&lt;&gt;"-"),COUNTIF(Direct_Denaturation,"-")+ROW()-3-$AB$2-$AN$2)-9,6),$X$4:$X$99,0),2)),"-")</f>
        <v>-</v>
      </c>
      <c r="AZ68" s="510" t="str">
        <f t="array" aca="1" ref="AZ68" ca="1">IFERROR(IF(AS68&lt;=$AB$2+$AN$2,"-",INDEX(Calculation_Tab,SMALL(ROW(Direct_Denaturation)*(Direct_Denaturation&lt;&gt;"-"),COUNTIF(Direct_Denaturation,"-")+ROW()-3-$AB$2-$AN$2)-9,32)),"-")</f>
        <v>-</v>
      </c>
      <c r="BA68" s="510" t="str">
        <f t="array" aca="1" ref="BA68" ca="1">IFERROR(IF(AS68&lt;=$AB$2+$AN$2,"-",INDEX(Calculation_Tab,SMALL(ROW(Direct_Denaturation)*(Direct_Denaturation&lt;&gt;"-"),COUNTIF(Direct_Denaturation,"-")+ROW()-3-$AB$2-$AN$2)-9,34)),"-")</f>
        <v>-</v>
      </c>
      <c r="BB68" s="510" t="str">
        <f t="array" aca="1" ref="BB68" ca="1">IFERROR(IF(AS68&lt;=$AB$2+$AN$2,"-",INDEX(Calculation_Tab,SMALL(ROW(Direct_Denaturation)*(Direct_Denaturation&lt;&gt;"-"),COUNTIF(Direct_Denaturation,"-")+ROW()-3-$AB$2-$AN$2)-9,33)),"-")</f>
        <v>-</v>
      </c>
      <c r="BC68" s="510" t="str">
        <f t="array" aca="1" ref="BC68" ca="1">IFERROR(IF(AS68&lt;=$AB$2+$AN$2,"-",INDEX(Calculation_Tab,SMALL(ROW(Direct_Denaturation)*(Direct_Denaturation&lt;&gt;"-"),COUNTIF(Direct_Denaturation,"-")+ROW()-3-$AB$2-$AN$2)-9,35)),"-")</f>
        <v>-</v>
      </c>
      <c r="BD68" s="511" t="str">
        <f t="shared" ref="BD68:BD131" ca="1" si="52">IFERROR((INDEX(Calculation_Tab,MATCH($AV68,Identifier,0),10))/(IF(LEN(INDEX(Calculation_Tab,MATCH($AV68,Identifier,0),9))&gt;8,LEN(INDEX(Calculation_Tab,MATCH($AV68,Identifier,0),9))-8,1))*INDEX(Calculation_Tab,MATCH($AV68,Identifier,0),30),"-")</f>
        <v>-</v>
      </c>
      <c r="BE68" s="494" t="s">
        <v>416</v>
      </c>
      <c r="BF68" s="378">
        <v>65</v>
      </c>
      <c r="BG68" s="515" t="str">
        <v>-</v>
      </c>
      <c r="BH68" s="516" t="str">
        <f>IFERROR(IF((Calculation!$AR$6/INDEX(ListAndConversion!D:P,MATCH(BG68,E:E,0),13))&lt;Calculation!$O$6,INDEX(ListAndConversion!D:P,MATCH(BG68,E:E,0),13)*Calculation!$O$6,Calculation!$AR$6),"-")</f>
        <v>-</v>
      </c>
      <c r="BI68" s="517" t="str">
        <f t="shared" ref="BI68:BI99" si="53">IF(BG68="-","-",SUMIF($BQ$4:$BQ$387,BF68,$BS$4:$BS$387)+SUMIF($AR$4:$AR$387,BG68,$BD$4:$BD$387))</f>
        <v>-</v>
      </c>
      <c r="BJ68" s="518" t="str">
        <f t="shared" ref="BJ68:BJ99" si="54">IF(BG68="-","-",SUMIF($BQ$4:$BQ$387,BF68,$BP$4:$BP$387))</f>
        <v>-</v>
      </c>
      <c r="BK68" s="378" t="s">
        <v>158</v>
      </c>
      <c r="BL68" s="378">
        <v>65</v>
      </c>
      <c r="BM68" s="487" t="str">
        <f t="array" aca="1" ref="BM68" ca="1">IFERROR(INDEX(Calculation_Tab,SMALL(ROW(ToPool)*(ToPool&lt;&gt;"-"),COUNTIF(ToPool,"-")+ROW()-3)-9,3),"-")</f>
        <v>-</v>
      </c>
      <c r="BN68" s="378" t="str">
        <f t="shared" ref="BN68:BN131" ca="1" si="55">IF(BM68="-","-",IFERROR(IFERROR(INDEX(AI:AQ,MATCH(BM68,AL:AL,0),2),INDEX(V:AQ,MATCH(BM68,Z:Z,0),15)),"-"))</f>
        <v>-</v>
      </c>
      <c r="BO68" s="378" t="str">
        <f t="shared" ref="BO68:BO131" ca="1" si="56">IF(BM68="-","-",IFERROR(IFERROR(INDEX(AI:AQ,MATCH(BM68,AL:AL,0),3),INDEX(V:AQ,MATCH(BM68,Z:Z,0),16)),"-"))</f>
        <v>-</v>
      </c>
      <c r="BP68" s="523" t="str">
        <f t="shared" ref="BP68:BP131" ca="1" si="57">IFERROR((INDEX(Calculation_Tab,MATCH($BM68,Identifier,0),10))/(IF(LEN(INDEX(Calculation_Tab,MATCH($BM68,Identifier,0),9))&gt;8,LEN(INDEX(Calculation_Tab,MATCH($BM68,Identifier,0),9))-8,1)),"-")</f>
        <v>-</v>
      </c>
      <c r="BQ68" s="378" t="str">
        <f t="array" aca="1" ref="BQ68" ca="1">IFERROR(INDEX(BE:BG,MATCH(INDEX(Calculation_Tab,SMALL(ROW(ToPool)*(ToPool&lt;&gt;"-"),COUNTIF(ToPool,"-")+ROW()-3)-9,9),BG:BG,0),2),"-")</f>
        <v>-</v>
      </c>
      <c r="BR68" s="510" t="str">
        <f t="shared" ref="BR68:BR131" ca="1" si="58">IFERROR(BS68/SUMIF($BQ$4:$BQ$387,BQ68,$BS$4:$BS$387)*(INDEX($BE$1:$BH$99,MATCH(INDEX(Calculation_Tab,MATCH(BM68,Identifier,0),9),BG:BG,0),4)),"-")</f>
        <v>-</v>
      </c>
      <c r="BS68" s="511" t="str">
        <f t="shared" ref="BS68:BS131" ca="1" si="59">IFERROR((INDEX(Calculation_Tab,MATCH($BM68,Identifier,0),10))/(IF(LEN(INDEX(Calculation_Tab,MATCH($BM68,Identifier,0),9))&gt;8,LEN(INDEX(Calculation_Tab,MATCH($BM68,Identifier,0),9))-8,1))*INDEX(Calculation_Tab,MATCH($BM68,Identifier,0),30),"-")</f>
        <v>-</v>
      </c>
      <c r="BT68" s="378" t="s">
        <v>164</v>
      </c>
      <c r="BU68" s="487" t="str">
        <f t="shared" ca="1" si="21"/>
        <v>-</v>
      </c>
      <c r="BV68" s="487" t="str">
        <f t="array" aca="1" ref="BV6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68" s="378" t="str">
        <f t="shared" ref="BW68:BW131" ca="1" si="60">IF($BV68="-","-",IFERROR(INDEX($AJ$4:$AL$387,MATCH($BV68,$AL$4:$AL$387,0),1),IFERROR(INDEX($Y$4:$AJ$99,MATCH($BV68,$Z$4:$Z$99,0),12),IFERROR(INDEX($AV$4:$AY$387,MATCH($BV68,$AV$4:$AV$387,0),3),IFERROR(INDEX($BE$4:$BK$99,MATCH($BV68,$BE$4:$BE$99,0),7),"-")))))</f>
        <v>-</v>
      </c>
      <c r="BX68" s="378" t="str">
        <f t="shared" ref="BX68:BX131" ca="1" si="61">IF($BV68="-","-",IFERROR(INDEX($AJ$4:$AL$387,MATCH($BV68,$AL$4:$AL$387,0),2),IFERROR(INDEX($Y$4:$AJ$99,MATCH($BV68,$Z$4:$Z$99,0),1),IFERROR(INDEX($AV$4:$AY$387,MATCH($BV68,$AV$4:$AV$387,0),4),IFERROR(INDEX($BE$4:$BK$99,MATCH($BV68,$BE$4:$BE$99,0),2),"-")))))</f>
        <v>-</v>
      </c>
      <c r="BY68" s="510" t="str">
        <f ca="1">IFERROR(ROUND(INDEX(Cluster,MATCH(IF(LEFT(BV68,4)="Pool",INDEX(Cluster,MATCH(INDEX(Calculation_Tab,MATCH(INDEX($BE$4:$BJ$99,MATCH(BV68,$BE$4:$BE$99,0),3),Flow_Cell_Lane,0),3),Cluster!$F$29:$F$412,0),6),BV68),Identifier_Cluster,0),19)*IF(LEFT(BV68,4)="pool",IF(LEN(INDEX($BE$4:$BJ$99,MATCH(BV68,$BE$4:$BE$99,0),3))=10,2,IF(LEN(INDEX($BE$4:$BJ$99,MATCH(BV68,$BE$4:$BE$99,0),3))&gt;10,LEN(INDEX($BE$4:$BJ$99,MATCH(BV68,$BE$4:$BE$99,0),3))-8,1)),1)*IF(LEFT(BV68,4)="pool",IF(INDEX($BE$4:$BJ$99,MATCH(BV68,$BE$4:$BE$99,0),6)&lt;1,1,INDEX($BE$4:$BJ$99,MATCH(BV68,$BE$4:$BE$99,0),6)),INDEX(Calculation_Tab,MATCH(BV68,Identifier,0),10)),1)*(1+Calculation!$Q$6),"-")</f>
        <v>-</v>
      </c>
      <c r="BZ68" s="378" t="str">
        <f ca="1">IFERROR((0.5/50)*CE68/Calculation!$AG$6*(IF(LEFT(BV68,4)="Pool",IF(LEN(INDEX($BE$4:$BJ$99,MATCH(BV68,$BE$4:$BE$99,0),3))=10,2,IF(LEN(INDEX($BE$4:$BJ$99,MATCH(BV68,$BE$4:$BE$99,0),3))&gt;10,LEN(INDEX($BE$4:$BJ$99,MATCH(BV68,$BE$4:$BE$99,0),3))-8,1)),IF(INDEX(Calculation_Tab,MATCH(BV68,Identifier,0),10)&gt;1,INDEX(Calculation_Tab,MATCH(BV68,Identifier,0),10),1)))*(1+Calculation!$Q$6),"-")</f>
        <v>-</v>
      </c>
      <c r="CA68" s="510" t="str">
        <f ca="1">IFERROR(IF((BZ68*Calculation!$AG$6/0.05)-SUM(BY68:BZ68,CC68)&gt;0,(BZ68*Calculation!$AG$6/0.05)-SUM(BY68:BZ68,CC68),0),"-")</f>
        <v>-</v>
      </c>
      <c r="CB68" s="510" t="str">
        <f ca="1">IFERROR(5/50*CE68*(IF(LEFT(BV68,4)="Pool",IF(LEN(INDEX($BE$4:$BJ$99,MATCH(BV68,$BE$4:$BE$99,0),3))=10,2,IF(LEN(INDEX($BE$4:$BJ$99,MATCH(BV68,$BE$4:$BE$99,0),3))&gt;10,LEN(INDEX($BE$4:$BJ$99,MATCH(BV68,$BE$4:$BE$99,0),3))-8,1)),IF(INDEX(Calculation_Tab,MATCH(BV68,Identifier,0),10)&gt;1,INDEX(Calculation_Tab,MATCH(BV68,Identifier,0),10),1)))*(1+Calculation!$Q$6),"-")</f>
        <v>-</v>
      </c>
      <c r="CC68" s="508" t="str">
        <f ca="1">IFERROR(ROUND(INDEX(Cluster,MATCH(IF(LEFT(BV68,4)="Pool",INDEX(Cluster,MATCH(INDEX(Calculation_Tab,MATCH(INDEX($BE$4:$BJ$99,MATCH(BV68,$BE$4:$BE$99,0),3),Flow_Cell_Lane,0),3),Cluster!$F$29:$F$412,0),6),BV68),Identifier_Cluster,0),20)*IF(LEFT(BV68,4)="pool",IF(LEN(INDEX($BE$4:$BJ$99,MATCH(BV68,$BE$4:$BE$99,0),3))=10,2,IF(LEN(INDEX($BE$4:$BJ$99,MATCH(BV68,$BE$4:$BE$99,0),3))&gt;10,LEN(INDEX($BE$4:$BJ$99,MATCH(BV68,$BE$4:$BE$99,0),3))-8,1)),1)*IF(LEFT(BV68,4)="pool",IF(INDEX($BE$4:$BJ$99,MATCH(BV68,$BE$4:$BE$99,0),6)&lt;1,1,INDEX($BE$4:$BJ$99,MATCH(BV68,$BE$4:$BE$99,0),6)),INDEX(Calculation_Tab,MATCH(BV68,Identifier,0),10)),1)*(1+Calculation!$Q$6),"-")</f>
        <v>-</v>
      </c>
      <c r="CD68" s="509" t="str">
        <f ca="1">IFERROR(INDEX(Cluster!AC:AD,MATCH(IF(LEFT(BV68,4)="Pool",INDEX(Cluster!$D$29:$AA$412,MATCH(INDEX(Calculation_Tab,MATCH(INDEX($BE$4:$BJ$99,MATCH(BV68,$BE$4:$BE$99,0),3),Flow_Cell_Lane,0),3),Cluster!$F$29:$F$412,0),24),INDEX(Cluster!$D$29:$AA$412,MATCH(BV68,Cluster!$F$29:$F$412,0),24)),Cluster!AC:AC,0),2),"-")</f>
        <v>-</v>
      </c>
      <c r="CE68" s="378" t="str">
        <f ca="1">IFERROR(IF(BV68&lt;&gt;"-",Calculation!$AK$6,"-"),"-")</f>
        <v>-</v>
      </c>
      <c r="CF68" s="378" t="str">
        <f ca="1">IF(OR(LEFT(ListAndConversion!BW68,3)="Dil",LEFT(ListAndConversion!BW68,3)="Poo"),ListAndConversion!$BT$4,IF(LEFT(ListAndConversion!BW68,3)="Sou",INDEX(ListAndConversion!$AT$3:$AV$387,MATCH(ListAndConversion!BV68,ListAndConversion!$AV$3:$AV$387,0),1),"-"))</f>
        <v>-</v>
      </c>
      <c r="CG68" s="498" t="str">
        <f ca="1">IF(OR(LEFT(ListAndConversion!BW68,3)="Dil",LEFT(ListAndConversion!BW68,3)="Poo"),ListAndConversion!BU68,IF(LEFT(ListAndConversion!BW68,3)="Sou",INDEX(ListAndConversion!$AT$4:$AV$387,MATCH(ListAndConversion!BV68,ListAndConversion!$AV$4:$AV$387,0),2),"-"))</f>
        <v>-</v>
      </c>
      <c r="CH68" s="378"/>
      <c r="CI68" s="487" t="str">
        <f t="shared" ref="CI68:CI131" ca="1" si="62">IFERROR(IF(LEFT(BV68,3)="poo",INDEX($BE$4:$BI$99,MATCH(BV68,$BE$4:$BE$99,0),3),INDEX(Calculation_Tab,MATCH(BV68,Identifier,0),9)),"-")</f>
        <v>-</v>
      </c>
      <c r="CJ68" s="378" t="str">
        <f t="shared" ca="1" si="43"/>
        <v>-</v>
      </c>
      <c r="CK68" s="378" t="str">
        <f t="shared" ca="1" si="43"/>
        <v>-</v>
      </c>
      <c r="CL68" s="378" t="str">
        <f t="shared" ca="1" si="43"/>
        <v>-</v>
      </c>
      <c r="CM68" s="378" t="str">
        <f t="shared" ca="1" si="43"/>
        <v>-</v>
      </c>
      <c r="CN68" s="378" t="str">
        <f t="shared" ca="1" si="43"/>
        <v>-</v>
      </c>
      <c r="CO68" s="378" t="str">
        <f t="shared" ca="1" si="43"/>
        <v>-</v>
      </c>
      <c r="CP68" s="378" t="str">
        <f t="shared" ca="1" si="43"/>
        <v>-</v>
      </c>
      <c r="CQ68" s="378" t="str">
        <f t="shared" ca="1" si="43"/>
        <v>-</v>
      </c>
      <c r="CR68" s="510" t="str">
        <f ca="1">IFERROR(IF(LEFT(BW68,3)="Poo",INDEX($BE$4:$BJ$99,MATCH(CI68,$BG$4:$BG$99,0),6)*((15/50))*Calculation!$AK$6,INDEX(Calculation_Tab,MATCH(BV68,Identifier,0),10)/(IF(LEN(INDEX(Calculation_Tab,MATCH(BV68,Identifier,0),9))&gt;8,LEN(INDEX(Calculation_Tab,MATCH(BV68,Identifier,0),9))-8,1))*((15/50)*Calculation!$AK$6)),"-")</f>
        <v>-</v>
      </c>
      <c r="CS68" s="498" t="str">
        <f ca="1">IF(CI68="-","-",IF(COUNTIF($CI$3:CI68,CI68)&gt;1,0,IFERROR((35/50)*Calculation!$AK$6,"-")))</f>
        <v>-</v>
      </c>
    </row>
    <row r="69" spans="4:97" x14ac:dyDescent="0.5">
      <c r="D69" s="487" t="e">
        <f t="shared" si="44"/>
        <v>#DIV/0!</v>
      </c>
      <c r="E69" s="496" t="e">
        <f t="array" ref="E69">IF(IF((ROW(E69)-3)&lt;(ListAndConversion!$A$15),INDEX(Flow_Cell_Lane,MIN(IF(COUNTIF($E$2:E68,Flow_Cell_Lane)=0,ROW(Flow_Cell_Lane)-9))),"-")="","-",IF((ROW(E69)-3)&lt;(ListAndConversion!$A$15),INDEX(Flow_Cell_Lane,MIN(IF(COUNTIF($E$2:E68,Flow_Cell_Lane)=0,ROW(Flow_Cell_Lane)-9))),"-"))</f>
        <v>#DIV/0!</v>
      </c>
      <c r="F69" s="378" t="e">
        <f t="shared" si="45"/>
        <v>#DIV/0!</v>
      </c>
      <c r="G69" s="378" t="e">
        <f t="shared" si="42"/>
        <v>#DIV/0!</v>
      </c>
      <c r="H69" s="378" t="e">
        <f t="shared" si="42"/>
        <v>#DIV/0!</v>
      </c>
      <c r="I69" s="378" t="e">
        <f t="shared" si="42"/>
        <v>#DIV/0!</v>
      </c>
      <c r="J69" s="378" t="e">
        <f t="shared" si="42"/>
        <v>#DIV/0!</v>
      </c>
      <c r="K69" s="378" t="e">
        <f t="shared" si="42"/>
        <v>#DIV/0!</v>
      </c>
      <c r="L69" s="378" t="e">
        <f t="shared" si="42"/>
        <v>#DIV/0!</v>
      </c>
      <c r="M69" s="378" t="e">
        <f t="shared" si="42"/>
        <v>#DIV/0!</v>
      </c>
      <c r="N69" s="497" t="e">
        <f t="shared" si="46"/>
        <v>#DIV/0!</v>
      </c>
      <c r="O69" s="497" t="str">
        <f t="array" ref="O69">IFERROR(INDEX(Calculation!I:AN,MATCH(ListAndConversion!E69,Calculation!I:I,0),31),"-")</f>
        <v>-</v>
      </c>
      <c r="P69" s="498">
        <f>IF(COUNTIFS(Calculation!$I$10:$I$393,E69,Direct_Denaturation,"-")&lt;&gt;1,COUNTIFS(Calculation!$I$10:$I$393,E69,Direct_Denaturation,"-"),0)</f>
        <v>0</v>
      </c>
      <c r="Q69" s="378"/>
      <c r="R69" s="487" t="e">
        <f t="array" ref="R69">IF(IF((ROW(R69)-3)&lt;(Calculation!$H$6),INDEX(Flow_Cell,MIN(IF(COUNTIF($R$2:R68,Flow_Cell)=0,ROW(Flow_Cell)-9))),"-")="","-",IF((ROW(R69)-3)&lt;(Calculation!$H$6),INDEX(Flow_Cell,MIN(IF(COUNTIF($R$2:R68,Flow_Cell)=0,ROW(Flow_Cell)-9))),"-"))</f>
        <v>#DIV/0!</v>
      </c>
      <c r="S69" s="378" t="e">
        <f t="shared" si="47"/>
        <v>#DIV/0!</v>
      </c>
      <c r="T69" s="378">
        <v>3</v>
      </c>
      <c r="U69" s="498">
        <v>67</v>
      </c>
      <c r="V69" s="487">
        <v>66</v>
      </c>
      <c r="W69" s="497" t="s">
        <v>287</v>
      </c>
      <c r="X69" s="497" t="s">
        <v>417</v>
      </c>
      <c r="Y69" s="378">
        <v>66</v>
      </c>
      <c r="Z69" s="378" t="str">
        <f t="shared" ca="1" si="48"/>
        <v>-</v>
      </c>
      <c r="AA69" s="508" t="str">
        <f t="array" aca="1" ref="AA69" ca="1">IFERROR(INDEX(Calculation_Tab,SMALL(ROW(Sample_Intermediate_Dil)*(Sample_Intermediate_Dil&lt;&gt;"-"),COUNTIF(Sample_Intermediate_Dil,"-")+ROW()-3)-9,5),"-")</f>
        <v>-</v>
      </c>
      <c r="AB69" s="378" t="str">
        <f t="array" aca="1" ref="AB69" ca="1">IFERROR(INDEX($A$3:$B$12,MATCH(INDEX(Calculation_Tab,SMALL(ROW(Sample_Intermediate_Dil)*(Sample_Intermediate_Dil&lt;&gt;"-"),COUNTIF(Sample_Intermediate_Dil,"-")+ROW()-3)-9,5),$A$3:$A$12,0),2),"-")</f>
        <v>-</v>
      </c>
      <c r="AC69" s="509" t="str">
        <f t="array" aca="1" ref="AC69" ca="1">IFERROR(INDEX(Coordinate,MATCH(INDEX(Calculation_Tab,SMALL(ROW(Sample_Intermediate_Dil)*(Sample_Intermediate_Dil&lt;&gt;"-"),COUNTIF(Sample_Intermediate_Dil,"-")+ROW()-3)-9,6),$X$4:$X$99,0),2),"-")</f>
        <v>-</v>
      </c>
      <c r="AD69" s="510" t="str">
        <f t="array" aca="1" ref="AD69" ca="1">IFERROR(INDEX(Calculation_Tab,SMALL(ROW(Sample_Intermediate_Dil)*(Sample_Intermediate_Dil&lt;&gt;"-"),COUNTIF(Sample_Intermediate_Dil,"-")+ROW()-3)-9,24),"-")</f>
        <v>-</v>
      </c>
      <c r="AE69" s="510" t="str">
        <f t="array" aca="1" ref="AE69" ca="1">IFERROR(INDEX(Calculation_Tab,SMALL(ROW(Sample_Intermediate_Dil)*(Sample_Intermediate_Dil&lt;&gt;"-"),COUNTIF(Sample_Intermediate_Dil,"-")+ROW()-3)-9,25),"-")</f>
        <v>-</v>
      </c>
      <c r="AF69" s="510" t="str">
        <f t="array" aca="1" ref="AF69" ca="1">IFERROR(INDEX(Calculation_Tab,SMALL(ROW(Sample_Intermediate_Dil)*(Sample_Intermediate_Dil&lt;&gt;"-"),COUNTIF(Sample_Intermediate_Dil,"-")+ROW()-3)-9,26),"-")</f>
        <v>-</v>
      </c>
      <c r="AG69" s="511" t="str">
        <f t="array" aca="1" ref="AG69" ca="1">IFERROR(INDEX(Calculation_Tab,SMALL(ROW(Sample_Intermediate_Dil)*(Sample_Intermediate_Dil&lt;&gt;"-"),COUNTIF(Sample_Intermediate_Dil,"-")+ROW()-3)-9,27),"-")</f>
        <v>-</v>
      </c>
      <c r="AI69" s="487">
        <v>66</v>
      </c>
      <c r="AJ69" s="497" t="s">
        <v>160</v>
      </c>
      <c r="AK69" s="378">
        <v>66</v>
      </c>
      <c r="AL69" s="378" t="str">
        <f t="shared" ca="1" si="49"/>
        <v>-</v>
      </c>
      <c r="AM69" s="378" t="str">
        <f t="array" aca="1" ref="AM69" ca="1">IFERROR(IF(AI69&lt;=$AB$2,"-",INDEX(Calculation_Tab,SMALL(ROW(Main_Dil)*(Main_Dil&lt;&gt;"-"),COUNTIF(Main_Dil,"-")+ROW()-3-$AB$2)-9,5)),"-")</f>
        <v>-</v>
      </c>
      <c r="AN69" s="378" t="str">
        <f t="array" aca="1" ref="AN69" ca="1">IFERROR(IF(AI69&lt;=$AB$2,"-",INDEX($A$3:$B$12,MATCH(INDEX(Calculation_Tab,SMALL(ROW(Main_Dil)*(Main_Dil&lt;&gt;"-"),COUNTIF(Main_Dil,"-")+ROW()-3-$AB$2)-9,5),$A$3:$A$12,0),2)),"-")</f>
        <v>-</v>
      </c>
      <c r="AO69" s="378" t="str">
        <f t="array" aca="1" ref="AO69" ca="1">IFERROR(IF(AI69&lt;=$AB$2,"-",INDEX(Coordinate,MATCH(INDEX(Calculation_Tab,SMALL(ROW(Main_Dil)*(Main_Dil&lt;&gt;"-"),COUNTIF(Main_Dil,"-")+ROW()-3-$AB$2)-9,6),$X$4:$X$99,0),2)),"-")</f>
        <v>-</v>
      </c>
      <c r="AP69" s="510" t="str">
        <f t="array" aca="1" ref="AP69" ca="1">IFERROR(IF(AI69&lt;=$AB$2,"-",INDEX(Calculation_Tab,SMALL(ROW(Main_Dil)*(Main_Dil&lt;&gt;"-"),COUNTIF(Main_Dil,"-")+ROW()-3-$AB$2)-9,21)),"-")</f>
        <v>-</v>
      </c>
      <c r="AQ69" s="511" t="str">
        <f t="array" aca="1" ref="AQ69" ca="1">IFERROR(IF(AI69&lt;=$AB$2,"-",INDEX(Calculation_Tab,SMALL(ROW(Main_Dil)*(Main_Dil&lt;&gt;"-"),COUNTIF(Main_Dil,"-")+ROW()-3-$AB$2)-9,22)),"-")</f>
        <v>-</v>
      </c>
      <c r="AR69" s="487" t="str">
        <f t="shared" ca="1" si="50"/>
        <v>-</v>
      </c>
      <c r="AS69" s="378">
        <v>66</v>
      </c>
      <c r="AT69" s="497" t="s">
        <v>160</v>
      </c>
      <c r="AU69" s="498">
        <v>66</v>
      </c>
      <c r="AV69" s="378" t="str">
        <f t="shared" ca="1" si="51"/>
        <v>-</v>
      </c>
      <c r="AW69" s="378" t="str">
        <f t="array" aca="1" ref="AW69" ca="1">IFERROR(IF(AS69&lt;=$AB$2+$AN$2,"-",INDEX(Calculation_Tab,SMALL(ROW(Direct_Denaturation)*(Direct_Denaturation&lt;&gt;"-"),COUNTIF(Direct_Denaturation,"-")+ROW()-3-$AB$2-$AN$2)-9,5)),"-")</f>
        <v>-</v>
      </c>
      <c r="AX69" s="378" t="str">
        <f t="array" aca="1" ref="AX69" ca="1">IFERROR(IF(AS69&lt;=$AB$2+$AN$2,"-",INDEX($A$3:$B$12,MATCH(INDEX(Calculation_Tab,SMALL(ROW(Direct_Denaturation)*(Direct_Denaturation&lt;&gt;"-"),COUNTIF(Direct_Denaturation,"-")+ROW()-3-$AB$2-$AN$2)-9,5),$A$3:$A$12,0),2)),"-")</f>
        <v>-</v>
      </c>
      <c r="AY69" s="378" t="str">
        <f t="array" aca="1" ref="AY69" ca="1">IFERROR(IF(AS69&lt;=$AB$2+$AN$2,"-",INDEX(Coordinate,MATCH(INDEX(Calculation_Tab,SMALL(ROW(Direct_Denaturation)*(Direct_Denaturation&lt;&gt;"-"),COUNTIF(Direct_Denaturation,"-")+ROW()-3-$AB$2-$AN$2)-9,6),$X$4:$X$99,0),2)),"-")</f>
        <v>-</v>
      </c>
      <c r="AZ69" s="510" t="str">
        <f t="array" aca="1" ref="AZ69" ca="1">IFERROR(IF(AS69&lt;=$AB$2+$AN$2,"-",INDEX(Calculation_Tab,SMALL(ROW(Direct_Denaturation)*(Direct_Denaturation&lt;&gt;"-"),COUNTIF(Direct_Denaturation,"-")+ROW()-3-$AB$2-$AN$2)-9,32)),"-")</f>
        <v>-</v>
      </c>
      <c r="BA69" s="510" t="str">
        <f t="array" aca="1" ref="BA69" ca="1">IFERROR(IF(AS69&lt;=$AB$2+$AN$2,"-",INDEX(Calculation_Tab,SMALL(ROW(Direct_Denaturation)*(Direct_Denaturation&lt;&gt;"-"),COUNTIF(Direct_Denaturation,"-")+ROW()-3-$AB$2-$AN$2)-9,34)),"-")</f>
        <v>-</v>
      </c>
      <c r="BB69" s="510" t="str">
        <f t="array" aca="1" ref="BB69" ca="1">IFERROR(IF(AS69&lt;=$AB$2+$AN$2,"-",INDEX(Calculation_Tab,SMALL(ROW(Direct_Denaturation)*(Direct_Denaturation&lt;&gt;"-"),COUNTIF(Direct_Denaturation,"-")+ROW()-3-$AB$2-$AN$2)-9,33)),"-")</f>
        <v>-</v>
      </c>
      <c r="BC69" s="510" t="str">
        <f t="array" aca="1" ref="BC69" ca="1">IFERROR(IF(AS69&lt;=$AB$2+$AN$2,"-",INDEX(Calculation_Tab,SMALL(ROW(Direct_Denaturation)*(Direct_Denaturation&lt;&gt;"-"),COUNTIF(Direct_Denaturation,"-")+ROW()-3-$AB$2-$AN$2)-9,35)),"-")</f>
        <v>-</v>
      </c>
      <c r="BD69" s="511" t="str">
        <f t="shared" ca="1" si="52"/>
        <v>-</v>
      </c>
      <c r="BE69" s="494" t="s">
        <v>418</v>
      </c>
      <c r="BF69" s="378">
        <v>66</v>
      </c>
      <c r="BG69" s="515" t="str">
        <v>-</v>
      </c>
      <c r="BH69" s="516" t="str">
        <f>IFERROR(IF((Calculation!$AR$6/INDEX(ListAndConversion!D:P,MATCH(BG69,E:E,0),13))&lt;Calculation!$O$6,INDEX(ListAndConversion!D:P,MATCH(BG69,E:E,0),13)*Calculation!$O$6,Calculation!$AR$6),"-")</f>
        <v>-</v>
      </c>
      <c r="BI69" s="517" t="str">
        <f t="shared" si="53"/>
        <v>-</v>
      </c>
      <c r="BJ69" s="518" t="str">
        <f t="shared" si="54"/>
        <v>-</v>
      </c>
      <c r="BK69" s="378" t="s">
        <v>158</v>
      </c>
      <c r="BL69" s="378">
        <v>66</v>
      </c>
      <c r="BM69" s="487" t="str">
        <f t="array" aca="1" ref="BM69" ca="1">IFERROR(INDEX(Calculation_Tab,SMALL(ROW(ToPool)*(ToPool&lt;&gt;"-"),COUNTIF(ToPool,"-")+ROW()-3)-9,3),"-")</f>
        <v>-</v>
      </c>
      <c r="BN69" s="378" t="str">
        <f t="shared" ca="1" si="55"/>
        <v>-</v>
      </c>
      <c r="BO69" s="378" t="str">
        <f t="shared" ca="1" si="56"/>
        <v>-</v>
      </c>
      <c r="BP69" s="523" t="str">
        <f t="shared" ca="1" si="57"/>
        <v>-</v>
      </c>
      <c r="BQ69" s="378" t="str">
        <f t="array" aca="1" ref="BQ69" ca="1">IFERROR(INDEX(BE:BG,MATCH(INDEX(Calculation_Tab,SMALL(ROW(ToPool)*(ToPool&lt;&gt;"-"),COUNTIF(ToPool,"-")+ROW()-3)-9,9),BG:BG,0),2),"-")</f>
        <v>-</v>
      </c>
      <c r="BR69" s="510" t="str">
        <f t="shared" ca="1" si="58"/>
        <v>-</v>
      </c>
      <c r="BS69" s="511" t="str">
        <f t="shared" ca="1" si="59"/>
        <v>-</v>
      </c>
      <c r="BT69" s="378" t="s">
        <v>164</v>
      </c>
      <c r="BU69" s="487" t="str">
        <f t="shared" ref="BU69:BU132" ca="1" si="63">IF(BW69="-","-",IF(OR(LEFT(BW69,3)="Dil",LEFT(BW69,3)="Poo"),BU68+1,BU68))</f>
        <v>-</v>
      </c>
      <c r="BV69" s="487" t="str">
        <f t="array" aca="1" ref="BV6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69" s="378" t="str">
        <f t="shared" ca="1" si="60"/>
        <v>-</v>
      </c>
      <c r="BX69" s="378" t="str">
        <f t="shared" ca="1" si="61"/>
        <v>-</v>
      </c>
      <c r="BY69" s="510" t="str">
        <f ca="1">IFERROR(ROUND(INDEX(Cluster,MATCH(IF(LEFT(BV69,4)="Pool",INDEX(Cluster,MATCH(INDEX(Calculation_Tab,MATCH(INDEX($BE$4:$BJ$99,MATCH(BV69,$BE$4:$BE$99,0),3),Flow_Cell_Lane,0),3),Cluster!$F$29:$F$412,0),6),BV69),Identifier_Cluster,0),19)*IF(LEFT(BV69,4)="pool",IF(LEN(INDEX($BE$4:$BJ$99,MATCH(BV69,$BE$4:$BE$99,0),3))=10,2,IF(LEN(INDEX($BE$4:$BJ$99,MATCH(BV69,$BE$4:$BE$99,0),3))&gt;10,LEN(INDEX($BE$4:$BJ$99,MATCH(BV69,$BE$4:$BE$99,0),3))-8,1)),1)*IF(LEFT(BV69,4)="pool",IF(INDEX($BE$4:$BJ$99,MATCH(BV69,$BE$4:$BE$99,0),6)&lt;1,1,INDEX($BE$4:$BJ$99,MATCH(BV69,$BE$4:$BE$99,0),6)),INDEX(Calculation_Tab,MATCH(BV69,Identifier,0),10)),1)*(1+Calculation!$Q$6),"-")</f>
        <v>-</v>
      </c>
      <c r="BZ69" s="378" t="str">
        <f ca="1">IFERROR((0.5/50)*CE69/Calculation!$AG$6*(IF(LEFT(BV69,4)="Pool",IF(LEN(INDEX($BE$4:$BJ$99,MATCH(BV69,$BE$4:$BE$99,0),3))=10,2,IF(LEN(INDEX($BE$4:$BJ$99,MATCH(BV69,$BE$4:$BE$99,0),3))&gt;10,LEN(INDEX($BE$4:$BJ$99,MATCH(BV69,$BE$4:$BE$99,0),3))-8,1)),IF(INDEX(Calculation_Tab,MATCH(BV69,Identifier,0),10)&gt;1,INDEX(Calculation_Tab,MATCH(BV69,Identifier,0),10),1)))*(1+Calculation!$Q$6),"-")</f>
        <v>-</v>
      </c>
      <c r="CA69" s="510" t="str">
        <f ca="1">IFERROR(IF((BZ69*Calculation!$AG$6/0.05)-SUM(BY69:BZ69,CC69)&gt;0,(BZ69*Calculation!$AG$6/0.05)-SUM(BY69:BZ69,CC69),0),"-")</f>
        <v>-</v>
      </c>
      <c r="CB69" s="510" t="str">
        <f ca="1">IFERROR(5/50*CE69*(IF(LEFT(BV69,4)="Pool",IF(LEN(INDEX($BE$4:$BJ$99,MATCH(BV69,$BE$4:$BE$99,0),3))=10,2,IF(LEN(INDEX($BE$4:$BJ$99,MATCH(BV69,$BE$4:$BE$99,0),3))&gt;10,LEN(INDEX($BE$4:$BJ$99,MATCH(BV69,$BE$4:$BE$99,0),3))-8,1)),IF(INDEX(Calculation_Tab,MATCH(BV69,Identifier,0),10)&gt;1,INDEX(Calculation_Tab,MATCH(BV69,Identifier,0),10),1)))*(1+Calculation!$Q$6),"-")</f>
        <v>-</v>
      </c>
      <c r="CC69" s="508" t="str">
        <f ca="1">IFERROR(ROUND(INDEX(Cluster,MATCH(IF(LEFT(BV69,4)="Pool",INDEX(Cluster,MATCH(INDEX(Calculation_Tab,MATCH(INDEX($BE$4:$BJ$99,MATCH(BV69,$BE$4:$BE$99,0),3),Flow_Cell_Lane,0),3),Cluster!$F$29:$F$412,0),6),BV69),Identifier_Cluster,0),20)*IF(LEFT(BV69,4)="pool",IF(LEN(INDEX($BE$4:$BJ$99,MATCH(BV69,$BE$4:$BE$99,0),3))=10,2,IF(LEN(INDEX($BE$4:$BJ$99,MATCH(BV69,$BE$4:$BE$99,0),3))&gt;10,LEN(INDEX($BE$4:$BJ$99,MATCH(BV69,$BE$4:$BE$99,0),3))-8,1)),1)*IF(LEFT(BV69,4)="pool",IF(INDEX($BE$4:$BJ$99,MATCH(BV69,$BE$4:$BE$99,0),6)&lt;1,1,INDEX($BE$4:$BJ$99,MATCH(BV69,$BE$4:$BE$99,0),6)),INDEX(Calculation_Tab,MATCH(BV69,Identifier,0),10)),1)*(1+Calculation!$Q$6),"-")</f>
        <v>-</v>
      </c>
      <c r="CD69" s="509" t="str">
        <f ca="1">IFERROR(INDEX(Cluster!AC:AD,MATCH(IF(LEFT(BV69,4)="Pool",INDEX(Cluster!$D$29:$AA$412,MATCH(INDEX(Calculation_Tab,MATCH(INDEX($BE$4:$BJ$99,MATCH(BV69,$BE$4:$BE$99,0),3),Flow_Cell_Lane,0),3),Cluster!$F$29:$F$412,0),24),INDEX(Cluster!$D$29:$AA$412,MATCH(BV69,Cluster!$F$29:$F$412,0),24)),Cluster!AC:AC,0),2),"-")</f>
        <v>-</v>
      </c>
      <c r="CE69" s="378" t="str">
        <f ca="1">IFERROR(IF(BV69&lt;&gt;"-",Calculation!$AK$6,"-"),"-")</f>
        <v>-</v>
      </c>
      <c r="CF69" s="378" t="str">
        <f ca="1">IF(OR(LEFT(ListAndConversion!BW69,3)="Dil",LEFT(ListAndConversion!BW69,3)="Poo"),ListAndConversion!$BT$4,IF(LEFT(ListAndConversion!BW69,3)="Sou",INDEX(ListAndConversion!$AT$3:$AV$387,MATCH(ListAndConversion!BV69,ListAndConversion!$AV$3:$AV$387,0),1),"-"))</f>
        <v>-</v>
      </c>
      <c r="CG69" s="498" t="str">
        <f ca="1">IF(OR(LEFT(ListAndConversion!BW69,3)="Dil",LEFT(ListAndConversion!BW69,3)="Poo"),ListAndConversion!BU69,IF(LEFT(ListAndConversion!BW69,3)="Sou",INDEX(ListAndConversion!$AT$4:$AV$387,MATCH(ListAndConversion!BV69,ListAndConversion!$AV$4:$AV$387,0),2),"-"))</f>
        <v>-</v>
      </c>
      <c r="CH69" s="378"/>
      <c r="CI69" s="487" t="str">
        <f t="shared" ca="1" si="62"/>
        <v>-</v>
      </c>
      <c r="CJ69" s="378" t="str">
        <f t="shared" ca="1" si="43"/>
        <v>-</v>
      </c>
      <c r="CK69" s="378" t="str">
        <f t="shared" ca="1" si="43"/>
        <v>-</v>
      </c>
      <c r="CL69" s="378" t="str">
        <f t="shared" ca="1" si="43"/>
        <v>-</v>
      </c>
      <c r="CM69" s="378" t="str">
        <f t="shared" ca="1" si="43"/>
        <v>-</v>
      </c>
      <c r="CN69" s="378" t="str">
        <f t="shared" ca="1" si="43"/>
        <v>-</v>
      </c>
      <c r="CO69" s="378" t="str">
        <f t="shared" ca="1" si="43"/>
        <v>-</v>
      </c>
      <c r="CP69" s="378" t="str">
        <f t="shared" ca="1" si="43"/>
        <v>-</v>
      </c>
      <c r="CQ69" s="378" t="str">
        <f t="shared" ca="1" si="43"/>
        <v>-</v>
      </c>
      <c r="CR69" s="510" t="str">
        <f ca="1">IFERROR(IF(LEFT(BW69,3)="Poo",INDEX($BE$4:$BJ$99,MATCH(CI69,$BG$4:$BG$99,0),6)*((15/50))*Calculation!$AK$6,INDEX(Calculation_Tab,MATCH(BV69,Identifier,0),10)/(IF(LEN(INDEX(Calculation_Tab,MATCH(BV69,Identifier,0),9))&gt;8,LEN(INDEX(Calculation_Tab,MATCH(BV69,Identifier,0),9))-8,1))*((15/50)*Calculation!$AK$6)),"-")</f>
        <v>-</v>
      </c>
      <c r="CS69" s="498" t="str">
        <f ca="1">IF(CI69="-","-",IF(COUNTIF($CI$3:CI69,CI69)&gt;1,0,IFERROR((35/50)*Calculation!$AK$6,"-")))</f>
        <v>-</v>
      </c>
    </row>
    <row r="70" spans="4:97" x14ac:dyDescent="0.5">
      <c r="D70" s="487" t="e">
        <f t="shared" si="44"/>
        <v>#DIV/0!</v>
      </c>
      <c r="E70" s="496" t="e">
        <f t="array" ref="E70">IF(IF((ROW(E70)-3)&lt;(ListAndConversion!$A$15),INDEX(Flow_Cell_Lane,MIN(IF(COUNTIF($E$2:E69,Flow_Cell_Lane)=0,ROW(Flow_Cell_Lane)-9))),"-")="","-",IF((ROW(E70)-3)&lt;(ListAndConversion!$A$15),INDEX(Flow_Cell_Lane,MIN(IF(COUNTIF($E$2:E69,Flow_Cell_Lane)=0,ROW(Flow_Cell_Lane)-9))),"-"))</f>
        <v>#DIV/0!</v>
      </c>
      <c r="F70" s="378" t="e">
        <f t="shared" si="45"/>
        <v>#DIV/0!</v>
      </c>
      <c r="G70" s="378" t="e">
        <f t="shared" si="42"/>
        <v>#DIV/0!</v>
      </c>
      <c r="H70" s="378" t="e">
        <f t="shared" si="42"/>
        <v>#DIV/0!</v>
      </c>
      <c r="I70" s="378" t="e">
        <f t="shared" si="42"/>
        <v>#DIV/0!</v>
      </c>
      <c r="J70" s="378" t="e">
        <f t="shared" si="42"/>
        <v>#DIV/0!</v>
      </c>
      <c r="K70" s="378" t="e">
        <f t="shared" si="42"/>
        <v>#DIV/0!</v>
      </c>
      <c r="L70" s="378" t="e">
        <f t="shared" si="42"/>
        <v>#DIV/0!</v>
      </c>
      <c r="M70" s="378" t="e">
        <f t="shared" si="42"/>
        <v>#DIV/0!</v>
      </c>
      <c r="N70" s="497" t="e">
        <f t="shared" si="46"/>
        <v>#DIV/0!</v>
      </c>
      <c r="O70" s="497" t="str">
        <f t="array" ref="O70">IFERROR(INDEX(Calculation!I:AN,MATCH(ListAndConversion!E70,Calculation!I:I,0),31),"-")</f>
        <v>-</v>
      </c>
      <c r="P70" s="498">
        <f>IF(COUNTIFS(Calculation!$I$10:$I$393,E70,Direct_Denaturation,"-")&lt;&gt;1,COUNTIFS(Calculation!$I$10:$I$393,E70,Direct_Denaturation,"-"),0)</f>
        <v>0</v>
      </c>
      <c r="Q70" s="378"/>
      <c r="R70" s="487" t="e">
        <f t="array" ref="R70">IF(IF((ROW(R70)-3)&lt;(Calculation!$H$6),INDEX(Flow_Cell,MIN(IF(COUNTIF($R$2:R69,Flow_Cell)=0,ROW(Flow_Cell)-9))),"-")="","-",IF((ROW(R70)-3)&lt;(Calculation!$H$6),INDEX(Flow_Cell,MIN(IF(COUNTIF($R$2:R69,Flow_Cell)=0,ROW(Flow_Cell)-9))),"-"))</f>
        <v>#DIV/0!</v>
      </c>
      <c r="S70" s="378" t="e">
        <f t="shared" si="47"/>
        <v>#DIV/0!</v>
      </c>
      <c r="T70" s="378">
        <v>4</v>
      </c>
      <c r="U70" s="498">
        <v>68</v>
      </c>
      <c r="V70" s="487">
        <v>67</v>
      </c>
      <c r="W70" s="497" t="s">
        <v>287</v>
      </c>
      <c r="X70" s="497" t="s">
        <v>419</v>
      </c>
      <c r="Y70" s="378">
        <v>67</v>
      </c>
      <c r="Z70" s="378" t="str">
        <f t="shared" ca="1" si="48"/>
        <v>-</v>
      </c>
      <c r="AA70" s="508" t="str">
        <f t="array" aca="1" ref="AA70" ca="1">IFERROR(INDEX(Calculation_Tab,SMALL(ROW(Sample_Intermediate_Dil)*(Sample_Intermediate_Dil&lt;&gt;"-"),COUNTIF(Sample_Intermediate_Dil,"-")+ROW()-3)-9,5),"-")</f>
        <v>-</v>
      </c>
      <c r="AB70" s="378" t="str">
        <f t="array" aca="1" ref="AB70" ca="1">IFERROR(INDEX($A$3:$B$12,MATCH(INDEX(Calculation_Tab,SMALL(ROW(Sample_Intermediate_Dil)*(Sample_Intermediate_Dil&lt;&gt;"-"),COUNTIF(Sample_Intermediate_Dil,"-")+ROW()-3)-9,5),$A$3:$A$12,0),2),"-")</f>
        <v>-</v>
      </c>
      <c r="AC70" s="509" t="str">
        <f t="array" aca="1" ref="AC70" ca="1">IFERROR(INDEX(Coordinate,MATCH(INDEX(Calculation_Tab,SMALL(ROW(Sample_Intermediate_Dil)*(Sample_Intermediate_Dil&lt;&gt;"-"),COUNTIF(Sample_Intermediate_Dil,"-")+ROW()-3)-9,6),$X$4:$X$99,0),2),"-")</f>
        <v>-</v>
      </c>
      <c r="AD70" s="510" t="str">
        <f t="array" aca="1" ref="AD70" ca="1">IFERROR(INDEX(Calculation_Tab,SMALL(ROW(Sample_Intermediate_Dil)*(Sample_Intermediate_Dil&lt;&gt;"-"),COUNTIF(Sample_Intermediate_Dil,"-")+ROW()-3)-9,24),"-")</f>
        <v>-</v>
      </c>
      <c r="AE70" s="510" t="str">
        <f t="array" aca="1" ref="AE70" ca="1">IFERROR(INDEX(Calculation_Tab,SMALL(ROW(Sample_Intermediate_Dil)*(Sample_Intermediate_Dil&lt;&gt;"-"),COUNTIF(Sample_Intermediate_Dil,"-")+ROW()-3)-9,25),"-")</f>
        <v>-</v>
      </c>
      <c r="AF70" s="510" t="str">
        <f t="array" aca="1" ref="AF70" ca="1">IFERROR(INDEX(Calculation_Tab,SMALL(ROW(Sample_Intermediate_Dil)*(Sample_Intermediate_Dil&lt;&gt;"-"),COUNTIF(Sample_Intermediate_Dil,"-")+ROW()-3)-9,26),"-")</f>
        <v>-</v>
      </c>
      <c r="AG70" s="511" t="str">
        <f t="array" aca="1" ref="AG70" ca="1">IFERROR(INDEX(Calculation_Tab,SMALL(ROW(Sample_Intermediate_Dil)*(Sample_Intermediate_Dil&lt;&gt;"-"),COUNTIF(Sample_Intermediate_Dil,"-")+ROW()-3)-9,27),"-")</f>
        <v>-</v>
      </c>
      <c r="AI70" s="487">
        <v>67</v>
      </c>
      <c r="AJ70" s="497" t="s">
        <v>160</v>
      </c>
      <c r="AK70" s="378">
        <v>67</v>
      </c>
      <c r="AL70" s="378" t="str">
        <f t="shared" ca="1" si="49"/>
        <v>-</v>
      </c>
      <c r="AM70" s="378" t="str">
        <f t="array" aca="1" ref="AM70" ca="1">IFERROR(IF(AI70&lt;=$AB$2,"-",INDEX(Calculation_Tab,SMALL(ROW(Main_Dil)*(Main_Dil&lt;&gt;"-"),COUNTIF(Main_Dil,"-")+ROW()-3-$AB$2)-9,5)),"-")</f>
        <v>-</v>
      </c>
      <c r="AN70" s="378" t="str">
        <f t="array" aca="1" ref="AN70" ca="1">IFERROR(IF(AI70&lt;=$AB$2,"-",INDEX($A$3:$B$12,MATCH(INDEX(Calculation_Tab,SMALL(ROW(Main_Dil)*(Main_Dil&lt;&gt;"-"),COUNTIF(Main_Dil,"-")+ROW()-3-$AB$2)-9,5),$A$3:$A$12,0),2)),"-")</f>
        <v>-</v>
      </c>
      <c r="AO70" s="378" t="str">
        <f t="array" aca="1" ref="AO70" ca="1">IFERROR(IF(AI70&lt;=$AB$2,"-",INDEX(Coordinate,MATCH(INDEX(Calculation_Tab,SMALL(ROW(Main_Dil)*(Main_Dil&lt;&gt;"-"),COUNTIF(Main_Dil,"-")+ROW()-3-$AB$2)-9,6),$X$4:$X$99,0),2)),"-")</f>
        <v>-</v>
      </c>
      <c r="AP70" s="510" t="str">
        <f t="array" aca="1" ref="AP70" ca="1">IFERROR(IF(AI70&lt;=$AB$2,"-",INDEX(Calculation_Tab,SMALL(ROW(Main_Dil)*(Main_Dil&lt;&gt;"-"),COUNTIF(Main_Dil,"-")+ROW()-3-$AB$2)-9,21)),"-")</f>
        <v>-</v>
      </c>
      <c r="AQ70" s="511" t="str">
        <f t="array" aca="1" ref="AQ70" ca="1">IFERROR(IF(AI70&lt;=$AB$2,"-",INDEX(Calculation_Tab,SMALL(ROW(Main_Dil)*(Main_Dil&lt;&gt;"-"),COUNTIF(Main_Dil,"-")+ROW()-3-$AB$2)-9,22)),"-")</f>
        <v>-</v>
      </c>
      <c r="AR70" s="487" t="str">
        <f t="shared" ca="1" si="50"/>
        <v>-</v>
      </c>
      <c r="AS70" s="378">
        <v>67</v>
      </c>
      <c r="AT70" s="497" t="s">
        <v>160</v>
      </c>
      <c r="AU70" s="498">
        <v>67</v>
      </c>
      <c r="AV70" s="378" t="str">
        <f t="shared" ca="1" si="51"/>
        <v>-</v>
      </c>
      <c r="AW70" s="378" t="str">
        <f t="array" aca="1" ref="AW70" ca="1">IFERROR(IF(AS70&lt;=$AB$2+$AN$2,"-",INDEX(Calculation_Tab,SMALL(ROW(Direct_Denaturation)*(Direct_Denaturation&lt;&gt;"-"),COUNTIF(Direct_Denaturation,"-")+ROW()-3-$AB$2-$AN$2)-9,5)),"-")</f>
        <v>-</v>
      </c>
      <c r="AX70" s="378" t="str">
        <f t="array" aca="1" ref="AX70" ca="1">IFERROR(IF(AS70&lt;=$AB$2+$AN$2,"-",INDEX($A$3:$B$12,MATCH(INDEX(Calculation_Tab,SMALL(ROW(Direct_Denaturation)*(Direct_Denaturation&lt;&gt;"-"),COUNTIF(Direct_Denaturation,"-")+ROW()-3-$AB$2-$AN$2)-9,5),$A$3:$A$12,0),2)),"-")</f>
        <v>-</v>
      </c>
      <c r="AY70" s="378" t="str">
        <f t="array" aca="1" ref="AY70" ca="1">IFERROR(IF(AS70&lt;=$AB$2+$AN$2,"-",INDEX(Coordinate,MATCH(INDEX(Calculation_Tab,SMALL(ROW(Direct_Denaturation)*(Direct_Denaturation&lt;&gt;"-"),COUNTIF(Direct_Denaturation,"-")+ROW()-3-$AB$2-$AN$2)-9,6),$X$4:$X$99,0),2)),"-")</f>
        <v>-</v>
      </c>
      <c r="AZ70" s="510" t="str">
        <f t="array" aca="1" ref="AZ70" ca="1">IFERROR(IF(AS70&lt;=$AB$2+$AN$2,"-",INDEX(Calculation_Tab,SMALL(ROW(Direct_Denaturation)*(Direct_Denaturation&lt;&gt;"-"),COUNTIF(Direct_Denaturation,"-")+ROW()-3-$AB$2-$AN$2)-9,32)),"-")</f>
        <v>-</v>
      </c>
      <c r="BA70" s="510" t="str">
        <f t="array" aca="1" ref="BA70" ca="1">IFERROR(IF(AS70&lt;=$AB$2+$AN$2,"-",INDEX(Calculation_Tab,SMALL(ROW(Direct_Denaturation)*(Direct_Denaturation&lt;&gt;"-"),COUNTIF(Direct_Denaturation,"-")+ROW()-3-$AB$2-$AN$2)-9,34)),"-")</f>
        <v>-</v>
      </c>
      <c r="BB70" s="510" t="str">
        <f t="array" aca="1" ref="BB70" ca="1">IFERROR(IF(AS70&lt;=$AB$2+$AN$2,"-",INDEX(Calculation_Tab,SMALL(ROW(Direct_Denaturation)*(Direct_Denaturation&lt;&gt;"-"),COUNTIF(Direct_Denaturation,"-")+ROW()-3-$AB$2-$AN$2)-9,33)),"-")</f>
        <v>-</v>
      </c>
      <c r="BC70" s="510" t="str">
        <f t="array" aca="1" ref="BC70" ca="1">IFERROR(IF(AS70&lt;=$AB$2+$AN$2,"-",INDEX(Calculation_Tab,SMALL(ROW(Direct_Denaturation)*(Direct_Denaturation&lt;&gt;"-"),COUNTIF(Direct_Denaturation,"-")+ROW()-3-$AB$2-$AN$2)-9,35)),"-")</f>
        <v>-</v>
      </c>
      <c r="BD70" s="511" t="str">
        <f t="shared" ca="1" si="52"/>
        <v>-</v>
      </c>
      <c r="BE70" s="494" t="s">
        <v>420</v>
      </c>
      <c r="BF70" s="378">
        <v>67</v>
      </c>
      <c r="BG70" s="515" t="str">
        <v>-</v>
      </c>
      <c r="BH70" s="516" t="str">
        <f>IFERROR(IF((Calculation!$AR$6/INDEX(ListAndConversion!D:P,MATCH(BG70,E:E,0),13))&lt;Calculation!$O$6,INDEX(ListAndConversion!D:P,MATCH(BG70,E:E,0),13)*Calculation!$O$6,Calculation!$AR$6),"-")</f>
        <v>-</v>
      </c>
      <c r="BI70" s="517" t="str">
        <f t="shared" si="53"/>
        <v>-</v>
      </c>
      <c r="BJ70" s="518" t="str">
        <f t="shared" si="54"/>
        <v>-</v>
      </c>
      <c r="BK70" s="378" t="s">
        <v>158</v>
      </c>
      <c r="BL70" s="378">
        <v>67</v>
      </c>
      <c r="BM70" s="487" t="str">
        <f t="array" aca="1" ref="BM70" ca="1">IFERROR(INDEX(Calculation_Tab,SMALL(ROW(ToPool)*(ToPool&lt;&gt;"-"),COUNTIF(ToPool,"-")+ROW()-3)-9,3),"-")</f>
        <v>-</v>
      </c>
      <c r="BN70" s="378" t="str">
        <f t="shared" ca="1" si="55"/>
        <v>-</v>
      </c>
      <c r="BO70" s="378" t="str">
        <f t="shared" ca="1" si="56"/>
        <v>-</v>
      </c>
      <c r="BP70" s="523" t="str">
        <f t="shared" ca="1" si="57"/>
        <v>-</v>
      </c>
      <c r="BQ70" s="378" t="str">
        <f t="array" aca="1" ref="BQ70" ca="1">IFERROR(INDEX(BE:BG,MATCH(INDEX(Calculation_Tab,SMALL(ROW(ToPool)*(ToPool&lt;&gt;"-"),COUNTIF(ToPool,"-")+ROW()-3)-9,9),BG:BG,0),2),"-")</f>
        <v>-</v>
      </c>
      <c r="BR70" s="510" t="str">
        <f t="shared" ca="1" si="58"/>
        <v>-</v>
      </c>
      <c r="BS70" s="511" t="str">
        <f t="shared" ca="1" si="59"/>
        <v>-</v>
      </c>
      <c r="BT70" s="378" t="s">
        <v>164</v>
      </c>
      <c r="BU70" s="487" t="str">
        <f t="shared" ca="1" si="63"/>
        <v>-</v>
      </c>
      <c r="BV70" s="487" t="str">
        <f t="array" aca="1" ref="BV7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70" s="378" t="str">
        <f t="shared" ca="1" si="60"/>
        <v>-</v>
      </c>
      <c r="BX70" s="378" t="str">
        <f t="shared" ca="1" si="61"/>
        <v>-</v>
      </c>
      <c r="BY70" s="510" t="str">
        <f ca="1">IFERROR(ROUND(INDEX(Cluster,MATCH(IF(LEFT(BV70,4)="Pool",INDEX(Cluster,MATCH(INDEX(Calculation_Tab,MATCH(INDEX($BE$4:$BJ$99,MATCH(BV70,$BE$4:$BE$99,0),3),Flow_Cell_Lane,0),3),Cluster!$F$29:$F$412,0),6),BV70),Identifier_Cluster,0),19)*IF(LEFT(BV70,4)="pool",IF(LEN(INDEX($BE$4:$BJ$99,MATCH(BV70,$BE$4:$BE$99,0),3))=10,2,IF(LEN(INDEX($BE$4:$BJ$99,MATCH(BV70,$BE$4:$BE$99,0),3))&gt;10,LEN(INDEX($BE$4:$BJ$99,MATCH(BV70,$BE$4:$BE$99,0),3))-8,1)),1)*IF(LEFT(BV70,4)="pool",IF(INDEX($BE$4:$BJ$99,MATCH(BV70,$BE$4:$BE$99,0),6)&lt;1,1,INDEX($BE$4:$BJ$99,MATCH(BV70,$BE$4:$BE$99,0),6)),INDEX(Calculation_Tab,MATCH(BV70,Identifier,0),10)),1)*(1+Calculation!$Q$6),"-")</f>
        <v>-</v>
      </c>
      <c r="BZ70" s="378" t="str">
        <f ca="1">IFERROR((0.5/50)*CE70/Calculation!$AG$6*(IF(LEFT(BV70,4)="Pool",IF(LEN(INDEX($BE$4:$BJ$99,MATCH(BV70,$BE$4:$BE$99,0),3))=10,2,IF(LEN(INDEX($BE$4:$BJ$99,MATCH(BV70,$BE$4:$BE$99,0),3))&gt;10,LEN(INDEX($BE$4:$BJ$99,MATCH(BV70,$BE$4:$BE$99,0),3))-8,1)),IF(INDEX(Calculation_Tab,MATCH(BV70,Identifier,0),10)&gt;1,INDEX(Calculation_Tab,MATCH(BV70,Identifier,0),10),1)))*(1+Calculation!$Q$6),"-")</f>
        <v>-</v>
      </c>
      <c r="CA70" s="510" t="str">
        <f ca="1">IFERROR(IF((BZ70*Calculation!$AG$6/0.05)-SUM(BY70:BZ70,CC70)&gt;0,(BZ70*Calculation!$AG$6/0.05)-SUM(BY70:BZ70,CC70),0),"-")</f>
        <v>-</v>
      </c>
      <c r="CB70" s="510" t="str">
        <f ca="1">IFERROR(5/50*CE70*(IF(LEFT(BV70,4)="Pool",IF(LEN(INDEX($BE$4:$BJ$99,MATCH(BV70,$BE$4:$BE$99,0),3))=10,2,IF(LEN(INDEX($BE$4:$BJ$99,MATCH(BV70,$BE$4:$BE$99,0),3))&gt;10,LEN(INDEX($BE$4:$BJ$99,MATCH(BV70,$BE$4:$BE$99,0),3))-8,1)),IF(INDEX(Calculation_Tab,MATCH(BV70,Identifier,0),10)&gt;1,INDEX(Calculation_Tab,MATCH(BV70,Identifier,0),10),1)))*(1+Calculation!$Q$6),"-")</f>
        <v>-</v>
      </c>
      <c r="CC70" s="508" t="str">
        <f ca="1">IFERROR(ROUND(INDEX(Cluster,MATCH(IF(LEFT(BV70,4)="Pool",INDEX(Cluster,MATCH(INDEX(Calculation_Tab,MATCH(INDEX($BE$4:$BJ$99,MATCH(BV70,$BE$4:$BE$99,0),3),Flow_Cell_Lane,0),3),Cluster!$F$29:$F$412,0),6),BV70),Identifier_Cluster,0),20)*IF(LEFT(BV70,4)="pool",IF(LEN(INDEX($BE$4:$BJ$99,MATCH(BV70,$BE$4:$BE$99,0),3))=10,2,IF(LEN(INDEX($BE$4:$BJ$99,MATCH(BV70,$BE$4:$BE$99,0),3))&gt;10,LEN(INDEX($BE$4:$BJ$99,MATCH(BV70,$BE$4:$BE$99,0),3))-8,1)),1)*IF(LEFT(BV70,4)="pool",IF(INDEX($BE$4:$BJ$99,MATCH(BV70,$BE$4:$BE$99,0),6)&lt;1,1,INDEX($BE$4:$BJ$99,MATCH(BV70,$BE$4:$BE$99,0),6)),INDEX(Calculation_Tab,MATCH(BV70,Identifier,0),10)),1)*(1+Calculation!$Q$6),"-")</f>
        <v>-</v>
      </c>
      <c r="CD70" s="509" t="str">
        <f ca="1">IFERROR(INDEX(Cluster!AC:AD,MATCH(IF(LEFT(BV70,4)="Pool",INDEX(Cluster!$D$29:$AA$412,MATCH(INDEX(Calculation_Tab,MATCH(INDEX($BE$4:$BJ$99,MATCH(BV70,$BE$4:$BE$99,0),3),Flow_Cell_Lane,0),3),Cluster!$F$29:$F$412,0),24),INDEX(Cluster!$D$29:$AA$412,MATCH(BV70,Cluster!$F$29:$F$412,0),24)),Cluster!AC:AC,0),2),"-")</f>
        <v>-</v>
      </c>
      <c r="CE70" s="378" t="str">
        <f ca="1">IFERROR(IF(BV70&lt;&gt;"-",Calculation!$AK$6,"-"),"-")</f>
        <v>-</v>
      </c>
      <c r="CF70" s="378" t="str">
        <f ca="1">IF(OR(LEFT(ListAndConversion!BW70,3)="Dil",LEFT(ListAndConversion!BW70,3)="Poo"),ListAndConversion!$BT$4,IF(LEFT(ListAndConversion!BW70,3)="Sou",INDEX(ListAndConversion!$AT$3:$AV$387,MATCH(ListAndConversion!BV70,ListAndConversion!$AV$3:$AV$387,0),1),"-"))</f>
        <v>-</v>
      </c>
      <c r="CG70" s="498" t="str">
        <f ca="1">IF(OR(LEFT(ListAndConversion!BW70,3)="Dil",LEFT(ListAndConversion!BW70,3)="Poo"),ListAndConversion!BU70,IF(LEFT(ListAndConversion!BW70,3)="Sou",INDEX(ListAndConversion!$AT$4:$AV$387,MATCH(ListAndConversion!BV70,ListAndConversion!$AV$4:$AV$387,0),2),"-"))</f>
        <v>-</v>
      </c>
      <c r="CH70" s="378"/>
      <c r="CI70" s="487" t="str">
        <f t="shared" ca="1" si="62"/>
        <v>-</v>
      </c>
      <c r="CJ70" s="378" t="str">
        <f t="shared" ca="1" si="43"/>
        <v>-</v>
      </c>
      <c r="CK70" s="378" t="str">
        <f t="shared" ca="1" si="43"/>
        <v>-</v>
      </c>
      <c r="CL70" s="378" t="str">
        <f t="shared" ca="1" si="43"/>
        <v>-</v>
      </c>
      <c r="CM70" s="378" t="str">
        <f t="shared" ca="1" si="43"/>
        <v>-</v>
      </c>
      <c r="CN70" s="378" t="str">
        <f t="shared" ca="1" si="43"/>
        <v>-</v>
      </c>
      <c r="CO70" s="378" t="str">
        <f t="shared" ca="1" si="43"/>
        <v>-</v>
      </c>
      <c r="CP70" s="378" t="str">
        <f t="shared" ca="1" si="43"/>
        <v>-</v>
      </c>
      <c r="CQ70" s="378" t="str">
        <f t="shared" ca="1" si="43"/>
        <v>-</v>
      </c>
      <c r="CR70" s="510" t="str">
        <f ca="1">IFERROR(IF(LEFT(BW70,3)="Poo",INDEX($BE$4:$BJ$99,MATCH(CI70,$BG$4:$BG$99,0),6)*((15/50))*Calculation!$AK$6,INDEX(Calculation_Tab,MATCH(BV70,Identifier,0),10)/(IF(LEN(INDEX(Calculation_Tab,MATCH(BV70,Identifier,0),9))&gt;8,LEN(INDEX(Calculation_Tab,MATCH(BV70,Identifier,0),9))-8,1))*((15/50)*Calculation!$AK$6)),"-")</f>
        <v>-</v>
      </c>
      <c r="CS70" s="498" t="str">
        <f ca="1">IF(CI70="-","-",IF(COUNTIF($CI$3:CI70,CI70)&gt;1,0,IFERROR((35/50)*Calculation!$AK$6,"-")))</f>
        <v>-</v>
      </c>
    </row>
    <row r="71" spans="4:97" x14ac:dyDescent="0.5">
      <c r="D71" s="487" t="e">
        <f t="shared" si="44"/>
        <v>#DIV/0!</v>
      </c>
      <c r="E71" s="496" t="e">
        <f t="array" ref="E71">IF(IF((ROW(E71)-3)&lt;(ListAndConversion!$A$15),INDEX(Flow_Cell_Lane,MIN(IF(COUNTIF($E$2:E70,Flow_Cell_Lane)=0,ROW(Flow_Cell_Lane)-9))),"-")="","-",IF((ROW(E71)-3)&lt;(ListAndConversion!$A$15),INDEX(Flow_Cell_Lane,MIN(IF(COUNTIF($E$2:E70,Flow_Cell_Lane)=0,ROW(Flow_Cell_Lane)-9))),"-"))</f>
        <v>#DIV/0!</v>
      </c>
      <c r="F71" s="378" t="e">
        <f t="shared" si="45"/>
        <v>#DIV/0!</v>
      </c>
      <c r="G71" s="378" t="e">
        <f t="shared" si="42"/>
        <v>#DIV/0!</v>
      </c>
      <c r="H71" s="378" t="e">
        <f t="shared" si="42"/>
        <v>#DIV/0!</v>
      </c>
      <c r="I71" s="378" t="e">
        <f t="shared" si="42"/>
        <v>#DIV/0!</v>
      </c>
      <c r="J71" s="378" t="e">
        <f t="shared" si="42"/>
        <v>#DIV/0!</v>
      </c>
      <c r="K71" s="378" t="e">
        <f t="shared" si="42"/>
        <v>#DIV/0!</v>
      </c>
      <c r="L71" s="378" t="e">
        <f t="shared" si="42"/>
        <v>#DIV/0!</v>
      </c>
      <c r="M71" s="378" t="e">
        <f t="shared" si="42"/>
        <v>#DIV/0!</v>
      </c>
      <c r="N71" s="497" t="e">
        <f t="shared" si="46"/>
        <v>#DIV/0!</v>
      </c>
      <c r="O71" s="497" t="str">
        <f t="array" ref="O71">IFERROR(INDEX(Calculation!I:AN,MATCH(ListAndConversion!E71,Calculation!I:I,0),31),"-")</f>
        <v>-</v>
      </c>
      <c r="P71" s="498">
        <f>IF(COUNTIFS(Calculation!$I$10:$I$393,E71,Direct_Denaturation,"-")&lt;&gt;1,COUNTIFS(Calculation!$I$10:$I$393,E71,Direct_Denaturation,"-"),0)</f>
        <v>0</v>
      </c>
      <c r="Q71" s="378"/>
      <c r="R71" s="487" t="e">
        <f t="array" ref="R71">IF(IF((ROW(R71)-3)&lt;(Calculation!$H$6),INDEX(Flow_Cell,MIN(IF(COUNTIF($R$2:R70,Flow_Cell)=0,ROW(Flow_Cell)-9))),"-")="","-",IF((ROW(R71)-3)&lt;(Calculation!$H$6),INDEX(Flow_Cell,MIN(IF(COUNTIF($R$2:R70,Flow_Cell)=0,ROW(Flow_Cell)-9))),"-"))</f>
        <v>#DIV/0!</v>
      </c>
      <c r="S71" s="378" t="e">
        <f t="shared" si="47"/>
        <v>#DIV/0!</v>
      </c>
      <c r="T71" s="378">
        <v>5</v>
      </c>
      <c r="U71" s="498">
        <v>69</v>
      </c>
      <c r="V71" s="487">
        <v>68</v>
      </c>
      <c r="W71" s="497" t="s">
        <v>287</v>
      </c>
      <c r="X71" s="497" t="s">
        <v>421</v>
      </c>
      <c r="Y71" s="378">
        <v>68</v>
      </c>
      <c r="Z71" s="378" t="str">
        <f t="shared" ca="1" si="48"/>
        <v>-</v>
      </c>
      <c r="AA71" s="508" t="str">
        <f t="array" aca="1" ref="AA71" ca="1">IFERROR(INDEX(Calculation_Tab,SMALL(ROW(Sample_Intermediate_Dil)*(Sample_Intermediate_Dil&lt;&gt;"-"),COUNTIF(Sample_Intermediate_Dil,"-")+ROW()-3)-9,5),"-")</f>
        <v>-</v>
      </c>
      <c r="AB71" s="378" t="str">
        <f t="array" aca="1" ref="AB71" ca="1">IFERROR(INDEX($A$3:$B$12,MATCH(INDEX(Calculation_Tab,SMALL(ROW(Sample_Intermediate_Dil)*(Sample_Intermediate_Dil&lt;&gt;"-"),COUNTIF(Sample_Intermediate_Dil,"-")+ROW()-3)-9,5),$A$3:$A$12,0),2),"-")</f>
        <v>-</v>
      </c>
      <c r="AC71" s="509" t="str">
        <f t="array" aca="1" ref="AC71" ca="1">IFERROR(INDEX(Coordinate,MATCH(INDEX(Calculation_Tab,SMALL(ROW(Sample_Intermediate_Dil)*(Sample_Intermediate_Dil&lt;&gt;"-"),COUNTIF(Sample_Intermediate_Dil,"-")+ROW()-3)-9,6),$X$4:$X$99,0),2),"-")</f>
        <v>-</v>
      </c>
      <c r="AD71" s="510" t="str">
        <f t="array" aca="1" ref="AD71" ca="1">IFERROR(INDEX(Calculation_Tab,SMALL(ROW(Sample_Intermediate_Dil)*(Sample_Intermediate_Dil&lt;&gt;"-"),COUNTIF(Sample_Intermediate_Dil,"-")+ROW()-3)-9,24),"-")</f>
        <v>-</v>
      </c>
      <c r="AE71" s="510" t="str">
        <f t="array" aca="1" ref="AE71" ca="1">IFERROR(INDEX(Calculation_Tab,SMALL(ROW(Sample_Intermediate_Dil)*(Sample_Intermediate_Dil&lt;&gt;"-"),COUNTIF(Sample_Intermediate_Dil,"-")+ROW()-3)-9,25),"-")</f>
        <v>-</v>
      </c>
      <c r="AF71" s="510" t="str">
        <f t="array" aca="1" ref="AF71" ca="1">IFERROR(INDEX(Calculation_Tab,SMALL(ROW(Sample_Intermediate_Dil)*(Sample_Intermediate_Dil&lt;&gt;"-"),COUNTIF(Sample_Intermediate_Dil,"-")+ROW()-3)-9,26),"-")</f>
        <v>-</v>
      </c>
      <c r="AG71" s="511" t="str">
        <f t="array" aca="1" ref="AG71" ca="1">IFERROR(INDEX(Calculation_Tab,SMALL(ROW(Sample_Intermediate_Dil)*(Sample_Intermediate_Dil&lt;&gt;"-"),COUNTIF(Sample_Intermediate_Dil,"-")+ROW()-3)-9,27),"-")</f>
        <v>-</v>
      </c>
      <c r="AI71" s="487">
        <v>68</v>
      </c>
      <c r="AJ71" s="497" t="s">
        <v>160</v>
      </c>
      <c r="AK71" s="378">
        <v>68</v>
      </c>
      <c r="AL71" s="378" t="str">
        <f t="shared" ca="1" si="49"/>
        <v>-</v>
      </c>
      <c r="AM71" s="378" t="str">
        <f t="array" aca="1" ref="AM71" ca="1">IFERROR(IF(AI71&lt;=$AB$2,"-",INDEX(Calculation_Tab,SMALL(ROW(Main_Dil)*(Main_Dil&lt;&gt;"-"),COUNTIF(Main_Dil,"-")+ROW()-3-$AB$2)-9,5)),"-")</f>
        <v>-</v>
      </c>
      <c r="AN71" s="378" t="str">
        <f t="array" aca="1" ref="AN71" ca="1">IFERROR(IF(AI71&lt;=$AB$2,"-",INDEX($A$3:$B$12,MATCH(INDEX(Calculation_Tab,SMALL(ROW(Main_Dil)*(Main_Dil&lt;&gt;"-"),COUNTIF(Main_Dil,"-")+ROW()-3-$AB$2)-9,5),$A$3:$A$12,0),2)),"-")</f>
        <v>-</v>
      </c>
      <c r="AO71" s="378" t="str">
        <f t="array" aca="1" ref="AO71" ca="1">IFERROR(IF(AI71&lt;=$AB$2,"-",INDEX(Coordinate,MATCH(INDEX(Calculation_Tab,SMALL(ROW(Main_Dil)*(Main_Dil&lt;&gt;"-"),COUNTIF(Main_Dil,"-")+ROW()-3-$AB$2)-9,6),$X$4:$X$99,0),2)),"-")</f>
        <v>-</v>
      </c>
      <c r="AP71" s="510" t="str">
        <f t="array" aca="1" ref="AP71" ca="1">IFERROR(IF(AI71&lt;=$AB$2,"-",INDEX(Calculation_Tab,SMALL(ROW(Main_Dil)*(Main_Dil&lt;&gt;"-"),COUNTIF(Main_Dil,"-")+ROW()-3-$AB$2)-9,21)),"-")</f>
        <v>-</v>
      </c>
      <c r="AQ71" s="511" t="str">
        <f t="array" aca="1" ref="AQ71" ca="1">IFERROR(IF(AI71&lt;=$AB$2,"-",INDEX(Calculation_Tab,SMALL(ROW(Main_Dil)*(Main_Dil&lt;&gt;"-"),COUNTIF(Main_Dil,"-")+ROW()-3-$AB$2)-9,22)),"-")</f>
        <v>-</v>
      </c>
      <c r="AR71" s="487" t="str">
        <f t="shared" ca="1" si="50"/>
        <v>-</v>
      </c>
      <c r="AS71" s="378">
        <v>68</v>
      </c>
      <c r="AT71" s="497" t="s">
        <v>160</v>
      </c>
      <c r="AU71" s="498">
        <v>68</v>
      </c>
      <c r="AV71" s="378" t="str">
        <f t="shared" ca="1" si="51"/>
        <v>-</v>
      </c>
      <c r="AW71" s="378" t="str">
        <f t="array" aca="1" ref="AW71" ca="1">IFERROR(IF(AS71&lt;=$AB$2+$AN$2,"-",INDEX(Calculation_Tab,SMALL(ROW(Direct_Denaturation)*(Direct_Denaturation&lt;&gt;"-"),COUNTIF(Direct_Denaturation,"-")+ROW()-3-$AB$2-$AN$2)-9,5)),"-")</f>
        <v>-</v>
      </c>
      <c r="AX71" s="378" t="str">
        <f t="array" aca="1" ref="AX71" ca="1">IFERROR(IF(AS71&lt;=$AB$2+$AN$2,"-",INDEX($A$3:$B$12,MATCH(INDEX(Calculation_Tab,SMALL(ROW(Direct_Denaturation)*(Direct_Denaturation&lt;&gt;"-"),COUNTIF(Direct_Denaturation,"-")+ROW()-3-$AB$2-$AN$2)-9,5),$A$3:$A$12,0),2)),"-")</f>
        <v>-</v>
      </c>
      <c r="AY71" s="378" t="str">
        <f t="array" aca="1" ref="AY71" ca="1">IFERROR(IF(AS71&lt;=$AB$2+$AN$2,"-",INDEX(Coordinate,MATCH(INDEX(Calculation_Tab,SMALL(ROW(Direct_Denaturation)*(Direct_Denaturation&lt;&gt;"-"),COUNTIF(Direct_Denaturation,"-")+ROW()-3-$AB$2-$AN$2)-9,6),$X$4:$X$99,0),2)),"-")</f>
        <v>-</v>
      </c>
      <c r="AZ71" s="510" t="str">
        <f t="array" aca="1" ref="AZ71" ca="1">IFERROR(IF(AS71&lt;=$AB$2+$AN$2,"-",INDEX(Calculation_Tab,SMALL(ROW(Direct_Denaturation)*(Direct_Denaturation&lt;&gt;"-"),COUNTIF(Direct_Denaturation,"-")+ROW()-3-$AB$2-$AN$2)-9,32)),"-")</f>
        <v>-</v>
      </c>
      <c r="BA71" s="510" t="str">
        <f t="array" aca="1" ref="BA71" ca="1">IFERROR(IF(AS71&lt;=$AB$2+$AN$2,"-",INDEX(Calculation_Tab,SMALL(ROW(Direct_Denaturation)*(Direct_Denaturation&lt;&gt;"-"),COUNTIF(Direct_Denaturation,"-")+ROW()-3-$AB$2-$AN$2)-9,34)),"-")</f>
        <v>-</v>
      </c>
      <c r="BB71" s="510" t="str">
        <f t="array" aca="1" ref="BB71" ca="1">IFERROR(IF(AS71&lt;=$AB$2+$AN$2,"-",INDEX(Calculation_Tab,SMALL(ROW(Direct_Denaturation)*(Direct_Denaturation&lt;&gt;"-"),COUNTIF(Direct_Denaturation,"-")+ROW()-3-$AB$2-$AN$2)-9,33)),"-")</f>
        <v>-</v>
      </c>
      <c r="BC71" s="510" t="str">
        <f t="array" aca="1" ref="BC71" ca="1">IFERROR(IF(AS71&lt;=$AB$2+$AN$2,"-",INDEX(Calculation_Tab,SMALL(ROW(Direct_Denaturation)*(Direct_Denaturation&lt;&gt;"-"),COUNTIF(Direct_Denaturation,"-")+ROW()-3-$AB$2-$AN$2)-9,35)),"-")</f>
        <v>-</v>
      </c>
      <c r="BD71" s="511" t="str">
        <f t="shared" ca="1" si="52"/>
        <v>-</v>
      </c>
      <c r="BE71" s="494" t="s">
        <v>422</v>
      </c>
      <c r="BF71" s="378">
        <v>68</v>
      </c>
      <c r="BG71" s="515" t="str">
        <v>-</v>
      </c>
      <c r="BH71" s="516" t="str">
        <f>IFERROR(IF((Calculation!$AR$6/INDEX(ListAndConversion!D:P,MATCH(BG71,E:E,0),13))&lt;Calculation!$O$6,INDEX(ListAndConversion!D:P,MATCH(BG71,E:E,0),13)*Calculation!$O$6,Calculation!$AR$6),"-")</f>
        <v>-</v>
      </c>
      <c r="BI71" s="517" t="str">
        <f t="shared" si="53"/>
        <v>-</v>
      </c>
      <c r="BJ71" s="518" t="str">
        <f t="shared" si="54"/>
        <v>-</v>
      </c>
      <c r="BK71" s="378" t="s">
        <v>158</v>
      </c>
      <c r="BL71" s="378">
        <v>68</v>
      </c>
      <c r="BM71" s="487" t="str">
        <f t="array" aca="1" ref="BM71" ca="1">IFERROR(INDEX(Calculation_Tab,SMALL(ROW(ToPool)*(ToPool&lt;&gt;"-"),COUNTIF(ToPool,"-")+ROW()-3)-9,3),"-")</f>
        <v>-</v>
      </c>
      <c r="BN71" s="378" t="str">
        <f t="shared" ca="1" si="55"/>
        <v>-</v>
      </c>
      <c r="BO71" s="378" t="str">
        <f t="shared" ca="1" si="56"/>
        <v>-</v>
      </c>
      <c r="BP71" s="523" t="str">
        <f t="shared" ca="1" si="57"/>
        <v>-</v>
      </c>
      <c r="BQ71" s="378" t="str">
        <f t="array" aca="1" ref="BQ71" ca="1">IFERROR(INDEX(BE:BG,MATCH(INDEX(Calculation_Tab,SMALL(ROW(ToPool)*(ToPool&lt;&gt;"-"),COUNTIF(ToPool,"-")+ROW()-3)-9,9),BG:BG,0),2),"-")</f>
        <v>-</v>
      </c>
      <c r="BR71" s="510" t="str">
        <f t="shared" ca="1" si="58"/>
        <v>-</v>
      </c>
      <c r="BS71" s="511" t="str">
        <f t="shared" ca="1" si="59"/>
        <v>-</v>
      </c>
      <c r="BT71" s="378" t="s">
        <v>164</v>
      </c>
      <c r="BU71" s="487" t="str">
        <f t="shared" ca="1" si="63"/>
        <v>-</v>
      </c>
      <c r="BV71" s="487" t="str">
        <f t="array" aca="1" ref="BV7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71" s="378" t="str">
        <f t="shared" ca="1" si="60"/>
        <v>-</v>
      </c>
      <c r="BX71" s="378" t="str">
        <f t="shared" ca="1" si="61"/>
        <v>-</v>
      </c>
      <c r="BY71" s="510" t="str">
        <f ca="1">IFERROR(ROUND(INDEX(Cluster,MATCH(IF(LEFT(BV71,4)="Pool",INDEX(Cluster,MATCH(INDEX(Calculation_Tab,MATCH(INDEX($BE$4:$BJ$99,MATCH(BV71,$BE$4:$BE$99,0),3),Flow_Cell_Lane,0),3),Cluster!$F$29:$F$412,0),6),BV71),Identifier_Cluster,0),19)*IF(LEFT(BV71,4)="pool",IF(LEN(INDEX($BE$4:$BJ$99,MATCH(BV71,$BE$4:$BE$99,0),3))=10,2,IF(LEN(INDEX($BE$4:$BJ$99,MATCH(BV71,$BE$4:$BE$99,0),3))&gt;10,LEN(INDEX($BE$4:$BJ$99,MATCH(BV71,$BE$4:$BE$99,0),3))-8,1)),1)*IF(LEFT(BV71,4)="pool",IF(INDEX($BE$4:$BJ$99,MATCH(BV71,$BE$4:$BE$99,0),6)&lt;1,1,INDEX($BE$4:$BJ$99,MATCH(BV71,$BE$4:$BE$99,0),6)),INDEX(Calculation_Tab,MATCH(BV71,Identifier,0),10)),1)*(1+Calculation!$Q$6),"-")</f>
        <v>-</v>
      </c>
      <c r="BZ71" s="378" t="str">
        <f ca="1">IFERROR((0.5/50)*CE71/Calculation!$AG$6*(IF(LEFT(BV71,4)="Pool",IF(LEN(INDEX($BE$4:$BJ$99,MATCH(BV71,$BE$4:$BE$99,0),3))=10,2,IF(LEN(INDEX($BE$4:$BJ$99,MATCH(BV71,$BE$4:$BE$99,0),3))&gt;10,LEN(INDEX($BE$4:$BJ$99,MATCH(BV71,$BE$4:$BE$99,0),3))-8,1)),IF(INDEX(Calculation_Tab,MATCH(BV71,Identifier,0),10)&gt;1,INDEX(Calculation_Tab,MATCH(BV71,Identifier,0),10),1)))*(1+Calculation!$Q$6),"-")</f>
        <v>-</v>
      </c>
      <c r="CA71" s="510" t="str">
        <f ca="1">IFERROR(IF((BZ71*Calculation!$AG$6/0.05)-SUM(BY71:BZ71,CC71)&gt;0,(BZ71*Calculation!$AG$6/0.05)-SUM(BY71:BZ71,CC71),0),"-")</f>
        <v>-</v>
      </c>
      <c r="CB71" s="510" t="str">
        <f ca="1">IFERROR(5/50*CE71*(IF(LEFT(BV71,4)="Pool",IF(LEN(INDEX($BE$4:$BJ$99,MATCH(BV71,$BE$4:$BE$99,0),3))=10,2,IF(LEN(INDEX($BE$4:$BJ$99,MATCH(BV71,$BE$4:$BE$99,0),3))&gt;10,LEN(INDEX($BE$4:$BJ$99,MATCH(BV71,$BE$4:$BE$99,0),3))-8,1)),IF(INDEX(Calculation_Tab,MATCH(BV71,Identifier,0),10)&gt;1,INDEX(Calculation_Tab,MATCH(BV71,Identifier,0),10),1)))*(1+Calculation!$Q$6),"-")</f>
        <v>-</v>
      </c>
      <c r="CC71" s="508" t="str">
        <f ca="1">IFERROR(ROUND(INDEX(Cluster,MATCH(IF(LEFT(BV71,4)="Pool",INDEX(Cluster,MATCH(INDEX(Calculation_Tab,MATCH(INDEX($BE$4:$BJ$99,MATCH(BV71,$BE$4:$BE$99,0),3),Flow_Cell_Lane,0),3),Cluster!$F$29:$F$412,0),6),BV71),Identifier_Cluster,0),20)*IF(LEFT(BV71,4)="pool",IF(LEN(INDEX($BE$4:$BJ$99,MATCH(BV71,$BE$4:$BE$99,0),3))=10,2,IF(LEN(INDEX($BE$4:$BJ$99,MATCH(BV71,$BE$4:$BE$99,0),3))&gt;10,LEN(INDEX($BE$4:$BJ$99,MATCH(BV71,$BE$4:$BE$99,0),3))-8,1)),1)*IF(LEFT(BV71,4)="pool",IF(INDEX($BE$4:$BJ$99,MATCH(BV71,$BE$4:$BE$99,0),6)&lt;1,1,INDEX($BE$4:$BJ$99,MATCH(BV71,$BE$4:$BE$99,0),6)),INDEX(Calculation_Tab,MATCH(BV71,Identifier,0),10)),1)*(1+Calculation!$Q$6),"-")</f>
        <v>-</v>
      </c>
      <c r="CD71" s="509" t="str">
        <f ca="1">IFERROR(INDEX(Cluster!AC:AD,MATCH(IF(LEFT(BV71,4)="Pool",INDEX(Cluster!$D$29:$AA$412,MATCH(INDEX(Calculation_Tab,MATCH(INDEX($BE$4:$BJ$99,MATCH(BV71,$BE$4:$BE$99,0),3),Flow_Cell_Lane,0),3),Cluster!$F$29:$F$412,0),24),INDEX(Cluster!$D$29:$AA$412,MATCH(BV71,Cluster!$F$29:$F$412,0),24)),Cluster!AC:AC,0),2),"-")</f>
        <v>-</v>
      </c>
      <c r="CE71" s="378" t="str">
        <f ca="1">IFERROR(IF(BV71&lt;&gt;"-",Calculation!$AK$6,"-"),"-")</f>
        <v>-</v>
      </c>
      <c r="CF71" s="378" t="str">
        <f ca="1">IF(OR(LEFT(ListAndConversion!BW71,3)="Dil",LEFT(ListAndConversion!BW71,3)="Poo"),ListAndConversion!$BT$4,IF(LEFT(ListAndConversion!BW71,3)="Sou",INDEX(ListAndConversion!$AT$3:$AV$387,MATCH(ListAndConversion!BV71,ListAndConversion!$AV$3:$AV$387,0),1),"-"))</f>
        <v>-</v>
      </c>
      <c r="CG71" s="498" t="str">
        <f ca="1">IF(OR(LEFT(ListAndConversion!BW71,3)="Dil",LEFT(ListAndConversion!BW71,3)="Poo"),ListAndConversion!BU71,IF(LEFT(ListAndConversion!BW71,3)="Sou",INDEX(ListAndConversion!$AT$4:$AV$387,MATCH(ListAndConversion!BV71,ListAndConversion!$AV$4:$AV$387,0),2),"-"))</f>
        <v>-</v>
      </c>
      <c r="CH71" s="378"/>
      <c r="CI71" s="487" t="str">
        <f t="shared" ca="1" si="62"/>
        <v>-</v>
      </c>
      <c r="CJ71" s="378" t="str">
        <f t="shared" ca="1" si="43"/>
        <v>-</v>
      </c>
      <c r="CK71" s="378" t="str">
        <f t="shared" ca="1" si="43"/>
        <v>-</v>
      </c>
      <c r="CL71" s="378" t="str">
        <f t="shared" ca="1" si="43"/>
        <v>-</v>
      </c>
      <c r="CM71" s="378" t="str">
        <f t="shared" ca="1" si="43"/>
        <v>-</v>
      </c>
      <c r="CN71" s="378" t="str">
        <f t="shared" ca="1" si="43"/>
        <v>-</v>
      </c>
      <c r="CO71" s="378" t="str">
        <f t="shared" ca="1" si="43"/>
        <v>-</v>
      </c>
      <c r="CP71" s="378" t="str">
        <f t="shared" ca="1" si="43"/>
        <v>-</v>
      </c>
      <c r="CQ71" s="378" t="str">
        <f t="shared" ca="1" si="43"/>
        <v>-</v>
      </c>
      <c r="CR71" s="510" t="str">
        <f ca="1">IFERROR(IF(LEFT(BW71,3)="Poo",INDEX($BE$4:$BJ$99,MATCH(CI71,$BG$4:$BG$99,0),6)*((15/50))*Calculation!$AK$6,INDEX(Calculation_Tab,MATCH(BV71,Identifier,0),10)/(IF(LEN(INDEX(Calculation_Tab,MATCH(BV71,Identifier,0),9))&gt;8,LEN(INDEX(Calculation_Tab,MATCH(BV71,Identifier,0),9))-8,1))*((15/50)*Calculation!$AK$6)),"-")</f>
        <v>-</v>
      </c>
      <c r="CS71" s="498" t="str">
        <f ca="1">IF(CI71="-","-",IF(COUNTIF($CI$3:CI71,CI71)&gt;1,0,IFERROR((35/50)*Calculation!$AK$6,"-")))</f>
        <v>-</v>
      </c>
    </row>
    <row r="72" spans="4:97" x14ac:dyDescent="0.5">
      <c r="D72" s="487" t="e">
        <f t="shared" si="44"/>
        <v>#DIV/0!</v>
      </c>
      <c r="E72" s="496" t="e">
        <f t="array" ref="E72">IF(IF((ROW(E72)-3)&lt;(ListAndConversion!$A$15),INDEX(Flow_Cell_Lane,MIN(IF(COUNTIF($E$2:E71,Flow_Cell_Lane)=0,ROW(Flow_Cell_Lane)-9))),"-")="","-",IF((ROW(E72)-3)&lt;(ListAndConversion!$A$15),INDEX(Flow_Cell_Lane,MIN(IF(COUNTIF($E$2:E71,Flow_Cell_Lane)=0,ROW(Flow_Cell_Lane)-9))),"-"))</f>
        <v>#DIV/0!</v>
      </c>
      <c r="F72" s="378" t="e">
        <f t="shared" si="45"/>
        <v>#DIV/0!</v>
      </c>
      <c r="G72" s="378" t="e">
        <f t="shared" si="42"/>
        <v>#DIV/0!</v>
      </c>
      <c r="H72" s="378" t="e">
        <f t="shared" si="42"/>
        <v>#DIV/0!</v>
      </c>
      <c r="I72" s="378" t="e">
        <f t="shared" si="42"/>
        <v>#DIV/0!</v>
      </c>
      <c r="J72" s="378" t="e">
        <f t="shared" si="42"/>
        <v>#DIV/0!</v>
      </c>
      <c r="K72" s="378" t="e">
        <f t="shared" si="42"/>
        <v>#DIV/0!</v>
      </c>
      <c r="L72" s="378" t="e">
        <f t="shared" si="42"/>
        <v>#DIV/0!</v>
      </c>
      <c r="M72" s="378" t="e">
        <f t="shared" si="42"/>
        <v>#DIV/0!</v>
      </c>
      <c r="N72" s="497" t="e">
        <f t="shared" si="46"/>
        <v>#DIV/0!</v>
      </c>
      <c r="O72" s="497" t="str">
        <f t="array" ref="O72">IFERROR(INDEX(Calculation!I:AN,MATCH(ListAndConversion!E72,Calculation!I:I,0),31),"-")</f>
        <v>-</v>
      </c>
      <c r="P72" s="498">
        <f>IF(COUNTIFS(Calculation!$I$10:$I$393,E72,Direct_Denaturation,"-")&lt;&gt;1,COUNTIFS(Calculation!$I$10:$I$393,E72,Direct_Denaturation,"-"),0)</f>
        <v>0</v>
      </c>
      <c r="Q72" s="378"/>
      <c r="R72" s="487" t="e">
        <f t="array" ref="R72">IF(IF((ROW(R72)-3)&lt;(Calculation!$H$6),INDEX(Flow_Cell,MIN(IF(COUNTIF($R$2:R71,Flow_Cell)=0,ROW(Flow_Cell)-9))),"-")="","-",IF((ROW(R72)-3)&lt;(Calculation!$H$6),INDEX(Flow_Cell,MIN(IF(COUNTIF($R$2:R71,Flow_Cell)=0,ROW(Flow_Cell)-9))),"-"))</f>
        <v>#DIV/0!</v>
      </c>
      <c r="S72" s="378" t="e">
        <f t="shared" si="47"/>
        <v>#DIV/0!</v>
      </c>
      <c r="T72" s="378">
        <v>6</v>
      </c>
      <c r="U72" s="498">
        <v>70</v>
      </c>
      <c r="V72" s="487">
        <v>69</v>
      </c>
      <c r="W72" s="497" t="s">
        <v>287</v>
      </c>
      <c r="X72" s="497" t="s">
        <v>423</v>
      </c>
      <c r="Y72" s="378">
        <v>69</v>
      </c>
      <c r="Z72" s="378" t="str">
        <f t="shared" ca="1" si="48"/>
        <v>-</v>
      </c>
      <c r="AA72" s="508" t="str">
        <f t="array" aca="1" ref="AA72" ca="1">IFERROR(INDEX(Calculation_Tab,SMALL(ROW(Sample_Intermediate_Dil)*(Sample_Intermediate_Dil&lt;&gt;"-"),COUNTIF(Sample_Intermediate_Dil,"-")+ROW()-3)-9,5),"-")</f>
        <v>-</v>
      </c>
      <c r="AB72" s="378" t="str">
        <f t="array" aca="1" ref="AB72" ca="1">IFERROR(INDEX($A$3:$B$12,MATCH(INDEX(Calculation_Tab,SMALL(ROW(Sample_Intermediate_Dil)*(Sample_Intermediate_Dil&lt;&gt;"-"),COUNTIF(Sample_Intermediate_Dil,"-")+ROW()-3)-9,5),$A$3:$A$12,0),2),"-")</f>
        <v>-</v>
      </c>
      <c r="AC72" s="509" t="str">
        <f t="array" aca="1" ref="AC72" ca="1">IFERROR(INDEX(Coordinate,MATCH(INDEX(Calculation_Tab,SMALL(ROW(Sample_Intermediate_Dil)*(Sample_Intermediate_Dil&lt;&gt;"-"),COUNTIF(Sample_Intermediate_Dil,"-")+ROW()-3)-9,6),$X$4:$X$99,0),2),"-")</f>
        <v>-</v>
      </c>
      <c r="AD72" s="510" t="str">
        <f t="array" aca="1" ref="AD72" ca="1">IFERROR(INDEX(Calculation_Tab,SMALL(ROW(Sample_Intermediate_Dil)*(Sample_Intermediate_Dil&lt;&gt;"-"),COUNTIF(Sample_Intermediate_Dil,"-")+ROW()-3)-9,24),"-")</f>
        <v>-</v>
      </c>
      <c r="AE72" s="510" t="str">
        <f t="array" aca="1" ref="AE72" ca="1">IFERROR(INDEX(Calculation_Tab,SMALL(ROW(Sample_Intermediate_Dil)*(Sample_Intermediate_Dil&lt;&gt;"-"),COUNTIF(Sample_Intermediate_Dil,"-")+ROW()-3)-9,25),"-")</f>
        <v>-</v>
      </c>
      <c r="AF72" s="510" t="str">
        <f t="array" aca="1" ref="AF72" ca="1">IFERROR(INDEX(Calculation_Tab,SMALL(ROW(Sample_Intermediate_Dil)*(Sample_Intermediate_Dil&lt;&gt;"-"),COUNTIF(Sample_Intermediate_Dil,"-")+ROW()-3)-9,26),"-")</f>
        <v>-</v>
      </c>
      <c r="AG72" s="511" t="str">
        <f t="array" aca="1" ref="AG72" ca="1">IFERROR(INDEX(Calculation_Tab,SMALL(ROW(Sample_Intermediate_Dil)*(Sample_Intermediate_Dil&lt;&gt;"-"),COUNTIF(Sample_Intermediate_Dil,"-")+ROW()-3)-9,27),"-")</f>
        <v>-</v>
      </c>
      <c r="AI72" s="487">
        <v>69</v>
      </c>
      <c r="AJ72" s="497" t="s">
        <v>160</v>
      </c>
      <c r="AK72" s="378">
        <v>69</v>
      </c>
      <c r="AL72" s="378" t="str">
        <f t="shared" ca="1" si="49"/>
        <v>-</v>
      </c>
      <c r="AM72" s="378" t="str">
        <f t="array" aca="1" ref="AM72" ca="1">IFERROR(IF(AI72&lt;=$AB$2,"-",INDEX(Calculation_Tab,SMALL(ROW(Main_Dil)*(Main_Dil&lt;&gt;"-"),COUNTIF(Main_Dil,"-")+ROW()-3-$AB$2)-9,5)),"-")</f>
        <v>-</v>
      </c>
      <c r="AN72" s="378" t="str">
        <f t="array" aca="1" ref="AN72" ca="1">IFERROR(IF(AI72&lt;=$AB$2,"-",INDEX($A$3:$B$12,MATCH(INDEX(Calculation_Tab,SMALL(ROW(Main_Dil)*(Main_Dil&lt;&gt;"-"),COUNTIF(Main_Dil,"-")+ROW()-3-$AB$2)-9,5),$A$3:$A$12,0),2)),"-")</f>
        <v>-</v>
      </c>
      <c r="AO72" s="378" t="str">
        <f t="array" aca="1" ref="AO72" ca="1">IFERROR(IF(AI72&lt;=$AB$2,"-",INDEX(Coordinate,MATCH(INDEX(Calculation_Tab,SMALL(ROW(Main_Dil)*(Main_Dil&lt;&gt;"-"),COUNTIF(Main_Dil,"-")+ROW()-3-$AB$2)-9,6),$X$4:$X$99,0),2)),"-")</f>
        <v>-</v>
      </c>
      <c r="AP72" s="510" t="str">
        <f t="array" aca="1" ref="AP72" ca="1">IFERROR(IF(AI72&lt;=$AB$2,"-",INDEX(Calculation_Tab,SMALL(ROW(Main_Dil)*(Main_Dil&lt;&gt;"-"),COUNTIF(Main_Dil,"-")+ROW()-3-$AB$2)-9,21)),"-")</f>
        <v>-</v>
      </c>
      <c r="AQ72" s="511" t="str">
        <f t="array" aca="1" ref="AQ72" ca="1">IFERROR(IF(AI72&lt;=$AB$2,"-",INDEX(Calculation_Tab,SMALL(ROW(Main_Dil)*(Main_Dil&lt;&gt;"-"),COUNTIF(Main_Dil,"-")+ROW()-3-$AB$2)-9,22)),"-")</f>
        <v>-</v>
      </c>
      <c r="AR72" s="487" t="str">
        <f t="shared" ca="1" si="50"/>
        <v>-</v>
      </c>
      <c r="AS72" s="378">
        <v>69</v>
      </c>
      <c r="AT72" s="497" t="s">
        <v>160</v>
      </c>
      <c r="AU72" s="498">
        <v>69</v>
      </c>
      <c r="AV72" s="378" t="str">
        <f t="shared" ca="1" si="51"/>
        <v>-</v>
      </c>
      <c r="AW72" s="378" t="str">
        <f t="array" aca="1" ref="AW72" ca="1">IFERROR(IF(AS72&lt;=$AB$2+$AN$2,"-",INDEX(Calculation_Tab,SMALL(ROW(Direct_Denaturation)*(Direct_Denaturation&lt;&gt;"-"),COUNTIF(Direct_Denaturation,"-")+ROW()-3-$AB$2-$AN$2)-9,5)),"-")</f>
        <v>-</v>
      </c>
      <c r="AX72" s="378" t="str">
        <f t="array" aca="1" ref="AX72" ca="1">IFERROR(IF(AS72&lt;=$AB$2+$AN$2,"-",INDEX($A$3:$B$12,MATCH(INDEX(Calculation_Tab,SMALL(ROW(Direct_Denaturation)*(Direct_Denaturation&lt;&gt;"-"),COUNTIF(Direct_Denaturation,"-")+ROW()-3-$AB$2-$AN$2)-9,5),$A$3:$A$12,0),2)),"-")</f>
        <v>-</v>
      </c>
      <c r="AY72" s="378" t="str">
        <f t="array" aca="1" ref="AY72" ca="1">IFERROR(IF(AS72&lt;=$AB$2+$AN$2,"-",INDEX(Coordinate,MATCH(INDEX(Calculation_Tab,SMALL(ROW(Direct_Denaturation)*(Direct_Denaturation&lt;&gt;"-"),COUNTIF(Direct_Denaturation,"-")+ROW()-3-$AB$2-$AN$2)-9,6),$X$4:$X$99,0),2)),"-")</f>
        <v>-</v>
      </c>
      <c r="AZ72" s="510" t="str">
        <f t="array" aca="1" ref="AZ72" ca="1">IFERROR(IF(AS72&lt;=$AB$2+$AN$2,"-",INDEX(Calculation_Tab,SMALL(ROW(Direct_Denaturation)*(Direct_Denaturation&lt;&gt;"-"),COUNTIF(Direct_Denaturation,"-")+ROW()-3-$AB$2-$AN$2)-9,32)),"-")</f>
        <v>-</v>
      </c>
      <c r="BA72" s="510" t="str">
        <f t="array" aca="1" ref="BA72" ca="1">IFERROR(IF(AS72&lt;=$AB$2+$AN$2,"-",INDEX(Calculation_Tab,SMALL(ROW(Direct_Denaturation)*(Direct_Denaturation&lt;&gt;"-"),COUNTIF(Direct_Denaturation,"-")+ROW()-3-$AB$2-$AN$2)-9,34)),"-")</f>
        <v>-</v>
      </c>
      <c r="BB72" s="510" t="str">
        <f t="array" aca="1" ref="BB72" ca="1">IFERROR(IF(AS72&lt;=$AB$2+$AN$2,"-",INDEX(Calculation_Tab,SMALL(ROW(Direct_Denaturation)*(Direct_Denaturation&lt;&gt;"-"),COUNTIF(Direct_Denaturation,"-")+ROW()-3-$AB$2-$AN$2)-9,33)),"-")</f>
        <v>-</v>
      </c>
      <c r="BC72" s="510" t="str">
        <f t="array" aca="1" ref="BC72" ca="1">IFERROR(IF(AS72&lt;=$AB$2+$AN$2,"-",INDEX(Calculation_Tab,SMALL(ROW(Direct_Denaturation)*(Direct_Denaturation&lt;&gt;"-"),COUNTIF(Direct_Denaturation,"-")+ROW()-3-$AB$2-$AN$2)-9,35)),"-")</f>
        <v>-</v>
      </c>
      <c r="BD72" s="511" t="str">
        <f t="shared" ca="1" si="52"/>
        <v>-</v>
      </c>
      <c r="BE72" s="494" t="s">
        <v>424</v>
      </c>
      <c r="BF72" s="378">
        <v>69</v>
      </c>
      <c r="BG72" s="515" t="str">
        <v>-</v>
      </c>
      <c r="BH72" s="516" t="str">
        <f>IFERROR(IF((Calculation!$AR$6/INDEX(ListAndConversion!D:P,MATCH(BG72,E:E,0),13))&lt;Calculation!$O$6,INDEX(ListAndConversion!D:P,MATCH(BG72,E:E,0),13)*Calculation!$O$6,Calculation!$AR$6),"-")</f>
        <v>-</v>
      </c>
      <c r="BI72" s="517" t="str">
        <f t="shared" si="53"/>
        <v>-</v>
      </c>
      <c r="BJ72" s="518" t="str">
        <f t="shared" si="54"/>
        <v>-</v>
      </c>
      <c r="BK72" s="378" t="s">
        <v>158</v>
      </c>
      <c r="BL72" s="378">
        <v>69</v>
      </c>
      <c r="BM72" s="487" t="str">
        <f t="array" aca="1" ref="BM72" ca="1">IFERROR(INDEX(Calculation_Tab,SMALL(ROW(ToPool)*(ToPool&lt;&gt;"-"),COUNTIF(ToPool,"-")+ROW()-3)-9,3),"-")</f>
        <v>-</v>
      </c>
      <c r="BN72" s="378" t="str">
        <f t="shared" ca="1" si="55"/>
        <v>-</v>
      </c>
      <c r="BO72" s="378" t="str">
        <f t="shared" ca="1" si="56"/>
        <v>-</v>
      </c>
      <c r="BP72" s="523" t="str">
        <f t="shared" ca="1" si="57"/>
        <v>-</v>
      </c>
      <c r="BQ72" s="378" t="str">
        <f t="array" aca="1" ref="BQ72" ca="1">IFERROR(INDEX(BE:BG,MATCH(INDEX(Calculation_Tab,SMALL(ROW(ToPool)*(ToPool&lt;&gt;"-"),COUNTIF(ToPool,"-")+ROW()-3)-9,9),BG:BG,0),2),"-")</f>
        <v>-</v>
      </c>
      <c r="BR72" s="510" t="str">
        <f t="shared" ca="1" si="58"/>
        <v>-</v>
      </c>
      <c r="BS72" s="511" t="str">
        <f t="shared" ca="1" si="59"/>
        <v>-</v>
      </c>
      <c r="BT72" s="378" t="s">
        <v>164</v>
      </c>
      <c r="BU72" s="487" t="str">
        <f t="shared" ca="1" si="63"/>
        <v>-</v>
      </c>
      <c r="BV72" s="487" t="str">
        <f t="array" aca="1" ref="BV7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72" s="378" t="str">
        <f t="shared" ca="1" si="60"/>
        <v>-</v>
      </c>
      <c r="BX72" s="378" t="str">
        <f t="shared" ca="1" si="61"/>
        <v>-</v>
      </c>
      <c r="BY72" s="510" t="str">
        <f ca="1">IFERROR(ROUND(INDEX(Cluster,MATCH(IF(LEFT(BV72,4)="Pool",INDEX(Cluster,MATCH(INDEX(Calculation_Tab,MATCH(INDEX($BE$4:$BJ$99,MATCH(BV72,$BE$4:$BE$99,0),3),Flow_Cell_Lane,0),3),Cluster!$F$29:$F$412,0),6),BV72),Identifier_Cluster,0),19)*IF(LEFT(BV72,4)="pool",IF(LEN(INDEX($BE$4:$BJ$99,MATCH(BV72,$BE$4:$BE$99,0),3))=10,2,IF(LEN(INDEX($BE$4:$BJ$99,MATCH(BV72,$BE$4:$BE$99,0),3))&gt;10,LEN(INDEX($BE$4:$BJ$99,MATCH(BV72,$BE$4:$BE$99,0),3))-8,1)),1)*IF(LEFT(BV72,4)="pool",IF(INDEX($BE$4:$BJ$99,MATCH(BV72,$BE$4:$BE$99,0),6)&lt;1,1,INDEX($BE$4:$BJ$99,MATCH(BV72,$BE$4:$BE$99,0),6)),INDEX(Calculation_Tab,MATCH(BV72,Identifier,0),10)),1)*(1+Calculation!$Q$6),"-")</f>
        <v>-</v>
      </c>
      <c r="BZ72" s="378" t="str">
        <f ca="1">IFERROR((0.5/50)*CE72/Calculation!$AG$6*(IF(LEFT(BV72,4)="Pool",IF(LEN(INDEX($BE$4:$BJ$99,MATCH(BV72,$BE$4:$BE$99,0),3))=10,2,IF(LEN(INDEX($BE$4:$BJ$99,MATCH(BV72,$BE$4:$BE$99,0),3))&gt;10,LEN(INDEX($BE$4:$BJ$99,MATCH(BV72,$BE$4:$BE$99,0),3))-8,1)),IF(INDEX(Calculation_Tab,MATCH(BV72,Identifier,0),10)&gt;1,INDEX(Calculation_Tab,MATCH(BV72,Identifier,0),10),1)))*(1+Calculation!$Q$6),"-")</f>
        <v>-</v>
      </c>
      <c r="CA72" s="510" t="str">
        <f ca="1">IFERROR(IF((BZ72*Calculation!$AG$6/0.05)-SUM(BY72:BZ72,CC72)&gt;0,(BZ72*Calculation!$AG$6/0.05)-SUM(BY72:BZ72,CC72),0),"-")</f>
        <v>-</v>
      </c>
      <c r="CB72" s="510" t="str">
        <f ca="1">IFERROR(5/50*CE72*(IF(LEFT(BV72,4)="Pool",IF(LEN(INDEX($BE$4:$BJ$99,MATCH(BV72,$BE$4:$BE$99,0),3))=10,2,IF(LEN(INDEX($BE$4:$BJ$99,MATCH(BV72,$BE$4:$BE$99,0),3))&gt;10,LEN(INDEX($BE$4:$BJ$99,MATCH(BV72,$BE$4:$BE$99,0),3))-8,1)),IF(INDEX(Calculation_Tab,MATCH(BV72,Identifier,0),10)&gt;1,INDEX(Calculation_Tab,MATCH(BV72,Identifier,0),10),1)))*(1+Calculation!$Q$6),"-")</f>
        <v>-</v>
      </c>
      <c r="CC72" s="508" t="str">
        <f ca="1">IFERROR(ROUND(INDEX(Cluster,MATCH(IF(LEFT(BV72,4)="Pool",INDEX(Cluster,MATCH(INDEX(Calculation_Tab,MATCH(INDEX($BE$4:$BJ$99,MATCH(BV72,$BE$4:$BE$99,0),3),Flow_Cell_Lane,0),3),Cluster!$F$29:$F$412,0),6),BV72),Identifier_Cluster,0),20)*IF(LEFT(BV72,4)="pool",IF(LEN(INDEX($BE$4:$BJ$99,MATCH(BV72,$BE$4:$BE$99,0),3))=10,2,IF(LEN(INDEX($BE$4:$BJ$99,MATCH(BV72,$BE$4:$BE$99,0),3))&gt;10,LEN(INDEX($BE$4:$BJ$99,MATCH(BV72,$BE$4:$BE$99,0),3))-8,1)),1)*IF(LEFT(BV72,4)="pool",IF(INDEX($BE$4:$BJ$99,MATCH(BV72,$BE$4:$BE$99,0),6)&lt;1,1,INDEX($BE$4:$BJ$99,MATCH(BV72,$BE$4:$BE$99,0),6)),INDEX(Calculation_Tab,MATCH(BV72,Identifier,0),10)),1)*(1+Calculation!$Q$6),"-")</f>
        <v>-</v>
      </c>
      <c r="CD72" s="509" t="str">
        <f ca="1">IFERROR(INDEX(Cluster!AC:AD,MATCH(IF(LEFT(BV72,4)="Pool",INDEX(Cluster!$D$29:$AA$412,MATCH(INDEX(Calculation_Tab,MATCH(INDEX($BE$4:$BJ$99,MATCH(BV72,$BE$4:$BE$99,0),3),Flow_Cell_Lane,0),3),Cluster!$F$29:$F$412,0),24),INDEX(Cluster!$D$29:$AA$412,MATCH(BV72,Cluster!$F$29:$F$412,0),24)),Cluster!AC:AC,0),2),"-")</f>
        <v>-</v>
      </c>
      <c r="CE72" s="378" t="str">
        <f ca="1">IFERROR(IF(BV72&lt;&gt;"-",Calculation!$AK$6,"-"),"-")</f>
        <v>-</v>
      </c>
      <c r="CF72" s="378" t="str">
        <f ca="1">IF(OR(LEFT(ListAndConversion!BW72,3)="Dil",LEFT(ListAndConversion!BW72,3)="Poo"),ListAndConversion!$BT$4,IF(LEFT(ListAndConversion!BW72,3)="Sou",INDEX(ListAndConversion!$AT$3:$AV$387,MATCH(ListAndConversion!BV72,ListAndConversion!$AV$3:$AV$387,0),1),"-"))</f>
        <v>-</v>
      </c>
      <c r="CG72" s="498" t="str">
        <f ca="1">IF(OR(LEFT(ListAndConversion!BW72,3)="Dil",LEFT(ListAndConversion!BW72,3)="Poo"),ListAndConversion!BU72,IF(LEFT(ListAndConversion!BW72,3)="Sou",INDEX(ListAndConversion!$AT$4:$AV$387,MATCH(ListAndConversion!BV72,ListAndConversion!$AV$4:$AV$387,0),2),"-"))</f>
        <v>-</v>
      </c>
      <c r="CH72" s="378"/>
      <c r="CI72" s="487" t="str">
        <f t="shared" ca="1" si="62"/>
        <v>-</v>
      </c>
      <c r="CJ72" s="378" t="str">
        <f t="shared" ca="1" si="43"/>
        <v>-</v>
      </c>
      <c r="CK72" s="378" t="str">
        <f t="shared" ca="1" si="43"/>
        <v>-</v>
      </c>
      <c r="CL72" s="378" t="str">
        <f t="shared" ca="1" si="43"/>
        <v>-</v>
      </c>
      <c r="CM72" s="378" t="str">
        <f t="shared" ca="1" si="43"/>
        <v>-</v>
      </c>
      <c r="CN72" s="378" t="str">
        <f t="shared" ca="1" si="43"/>
        <v>-</v>
      </c>
      <c r="CO72" s="378" t="str">
        <f t="shared" ca="1" si="43"/>
        <v>-</v>
      </c>
      <c r="CP72" s="378" t="str">
        <f t="shared" ca="1" si="43"/>
        <v>-</v>
      </c>
      <c r="CQ72" s="378" t="str">
        <f t="shared" ca="1" si="43"/>
        <v>-</v>
      </c>
      <c r="CR72" s="510" t="str">
        <f ca="1">IFERROR(IF(LEFT(BW72,3)="Poo",INDEX($BE$4:$BJ$99,MATCH(CI72,$BG$4:$BG$99,0),6)*((15/50))*Calculation!$AK$6,INDEX(Calculation_Tab,MATCH(BV72,Identifier,0),10)/(IF(LEN(INDEX(Calculation_Tab,MATCH(BV72,Identifier,0),9))&gt;8,LEN(INDEX(Calculation_Tab,MATCH(BV72,Identifier,0),9))-8,1))*((15/50)*Calculation!$AK$6)),"-")</f>
        <v>-</v>
      </c>
      <c r="CS72" s="498" t="str">
        <f ca="1">IF(CI72="-","-",IF(COUNTIF($CI$3:CI72,CI72)&gt;1,0,IFERROR((35/50)*Calculation!$AK$6,"-")))</f>
        <v>-</v>
      </c>
    </row>
    <row r="73" spans="4:97" x14ac:dyDescent="0.5">
      <c r="D73" s="487" t="e">
        <f t="shared" si="44"/>
        <v>#DIV/0!</v>
      </c>
      <c r="E73" s="496" t="e">
        <f t="array" ref="E73">IF(IF((ROW(E73)-3)&lt;(ListAndConversion!$A$15),INDEX(Flow_Cell_Lane,MIN(IF(COUNTIF($E$2:E72,Flow_Cell_Lane)=0,ROW(Flow_Cell_Lane)-9))),"-")="","-",IF((ROW(E73)-3)&lt;(ListAndConversion!$A$15),INDEX(Flow_Cell_Lane,MIN(IF(COUNTIF($E$2:E72,Flow_Cell_Lane)=0,ROW(Flow_Cell_Lane)-9))),"-"))</f>
        <v>#DIV/0!</v>
      </c>
      <c r="F73" s="378" t="e">
        <f t="shared" si="45"/>
        <v>#DIV/0!</v>
      </c>
      <c r="G73" s="378" t="e">
        <f t="shared" ref="G73:M82" si="64">IF($D73&gt;8,IF($D73&gt;=(8+G$2),CONCATENATE(LEFT($E73,7),RIGHT(LEFT($E73,8+G$2),1)),""),"")</f>
        <v>#DIV/0!</v>
      </c>
      <c r="H73" s="378" t="e">
        <f t="shared" si="64"/>
        <v>#DIV/0!</v>
      </c>
      <c r="I73" s="378" t="e">
        <f t="shared" si="64"/>
        <v>#DIV/0!</v>
      </c>
      <c r="J73" s="378" t="e">
        <f t="shared" si="64"/>
        <v>#DIV/0!</v>
      </c>
      <c r="K73" s="378" t="e">
        <f t="shared" si="64"/>
        <v>#DIV/0!</v>
      </c>
      <c r="L73" s="378" t="e">
        <f t="shared" si="64"/>
        <v>#DIV/0!</v>
      </c>
      <c r="M73" s="378" t="e">
        <f t="shared" si="64"/>
        <v>#DIV/0!</v>
      </c>
      <c r="N73" s="497" t="e">
        <f t="shared" si="46"/>
        <v>#DIV/0!</v>
      </c>
      <c r="O73" s="497" t="str">
        <f t="array" ref="O73">IFERROR(INDEX(Calculation!I:AN,MATCH(ListAndConversion!E73,Calculation!I:I,0),31),"-")</f>
        <v>-</v>
      </c>
      <c r="P73" s="498">
        <f>IF(COUNTIFS(Calculation!$I$10:$I$393,E73,Direct_Denaturation,"-")&lt;&gt;1,COUNTIFS(Calculation!$I$10:$I$393,E73,Direct_Denaturation,"-"),0)</f>
        <v>0</v>
      </c>
      <c r="Q73" s="378"/>
      <c r="R73" s="487" t="e">
        <f t="array" ref="R73">IF(IF((ROW(R73)-3)&lt;(Calculation!$H$6),INDEX(Flow_Cell,MIN(IF(COUNTIF($R$2:R72,Flow_Cell)=0,ROW(Flow_Cell)-9))),"-")="","-",IF((ROW(R73)-3)&lt;(Calculation!$H$6),INDEX(Flow_Cell,MIN(IF(COUNTIF($R$2:R72,Flow_Cell)=0,ROW(Flow_Cell)-9))),"-"))</f>
        <v>#DIV/0!</v>
      </c>
      <c r="S73" s="378" t="e">
        <f t="shared" si="47"/>
        <v>#DIV/0!</v>
      </c>
      <c r="T73" s="378">
        <v>7</v>
      </c>
      <c r="U73" s="498">
        <v>71</v>
      </c>
      <c r="V73" s="487">
        <v>70</v>
      </c>
      <c r="W73" s="497" t="s">
        <v>287</v>
      </c>
      <c r="X73" s="497" t="s">
        <v>425</v>
      </c>
      <c r="Y73" s="378">
        <v>70</v>
      </c>
      <c r="Z73" s="378" t="str">
        <f t="shared" ca="1" si="48"/>
        <v>-</v>
      </c>
      <c r="AA73" s="508" t="str">
        <f t="array" aca="1" ref="AA73" ca="1">IFERROR(INDEX(Calculation_Tab,SMALL(ROW(Sample_Intermediate_Dil)*(Sample_Intermediate_Dil&lt;&gt;"-"),COUNTIF(Sample_Intermediate_Dil,"-")+ROW()-3)-9,5),"-")</f>
        <v>-</v>
      </c>
      <c r="AB73" s="378" t="str">
        <f t="array" aca="1" ref="AB73" ca="1">IFERROR(INDEX($A$3:$B$12,MATCH(INDEX(Calculation_Tab,SMALL(ROW(Sample_Intermediate_Dil)*(Sample_Intermediate_Dil&lt;&gt;"-"),COUNTIF(Sample_Intermediate_Dil,"-")+ROW()-3)-9,5),$A$3:$A$12,0),2),"-")</f>
        <v>-</v>
      </c>
      <c r="AC73" s="509" t="str">
        <f t="array" aca="1" ref="AC73" ca="1">IFERROR(INDEX(Coordinate,MATCH(INDEX(Calculation_Tab,SMALL(ROW(Sample_Intermediate_Dil)*(Sample_Intermediate_Dil&lt;&gt;"-"),COUNTIF(Sample_Intermediate_Dil,"-")+ROW()-3)-9,6),$X$4:$X$99,0),2),"-")</f>
        <v>-</v>
      </c>
      <c r="AD73" s="510" t="str">
        <f t="array" aca="1" ref="AD73" ca="1">IFERROR(INDEX(Calculation_Tab,SMALL(ROW(Sample_Intermediate_Dil)*(Sample_Intermediate_Dil&lt;&gt;"-"),COUNTIF(Sample_Intermediate_Dil,"-")+ROW()-3)-9,24),"-")</f>
        <v>-</v>
      </c>
      <c r="AE73" s="510" t="str">
        <f t="array" aca="1" ref="AE73" ca="1">IFERROR(INDEX(Calculation_Tab,SMALL(ROW(Sample_Intermediate_Dil)*(Sample_Intermediate_Dil&lt;&gt;"-"),COUNTIF(Sample_Intermediate_Dil,"-")+ROW()-3)-9,25),"-")</f>
        <v>-</v>
      </c>
      <c r="AF73" s="510" t="str">
        <f t="array" aca="1" ref="AF73" ca="1">IFERROR(INDEX(Calculation_Tab,SMALL(ROW(Sample_Intermediate_Dil)*(Sample_Intermediate_Dil&lt;&gt;"-"),COUNTIF(Sample_Intermediate_Dil,"-")+ROW()-3)-9,26),"-")</f>
        <v>-</v>
      </c>
      <c r="AG73" s="511" t="str">
        <f t="array" aca="1" ref="AG73" ca="1">IFERROR(INDEX(Calculation_Tab,SMALL(ROW(Sample_Intermediate_Dil)*(Sample_Intermediate_Dil&lt;&gt;"-"),COUNTIF(Sample_Intermediate_Dil,"-")+ROW()-3)-9,27),"-")</f>
        <v>-</v>
      </c>
      <c r="AI73" s="487">
        <v>70</v>
      </c>
      <c r="AJ73" s="497" t="s">
        <v>160</v>
      </c>
      <c r="AK73" s="378">
        <v>70</v>
      </c>
      <c r="AL73" s="378" t="str">
        <f t="shared" ca="1" si="49"/>
        <v>-</v>
      </c>
      <c r="AM73" s="378" t="str">
        <f t="array" aca="1" ref="AM73" ca="1">IFERROR(IF(AI73&lt;=$AB$2,"-",INDEX(Calculation_Tab,SMALL(ROW(Main_Dil)*(Main_Dil&lt;&gt;"-"),COUNTIF(Main_Dil,"-")+ROW()-3-$AB$2)-9,5)),"-")</f>
        <v>-</v>
      </c>
      <c r="AN73" s="378" t="str">
        <f t="array" aca="1" ref="AN73" ca="1">IFERROR(IF(AI73&lt;=$AB$2,"-",INDEX($A$3:$B$12,MATCH(INDEX(Calculation_Tab,SMALL(ROW(Main_Dil)*(Main_Dil&lt;&gt;"-"),COUNTIF(Main_Dil,"-")+ROW()-3-$AB$2)-9,5),$A$3:$A$12,0),2)),"-")</f>
        <v>-</v>
      </c>
      <c r="AO73" s="378" t="str">
        <f t="array" aca="1" ref="AO73" ca="1">IFERROR(IF(AI73&lt;=$AB$2,"-",INDEX(Coordinate,MATCH(INDEX(Calculation_Tab,SMALL(ROW(Main_Dil)*(Main_Dil&lt;&gt;"-"),COUNTIF(Main_Dil,"-")+ROW()-3-$AB$2)-9,6),$X$4:$X$99,0),2)),"-")</f>
        <v>-</v>
      </c>
      <c r="AP73" s="510" t="str">
        <f t="array" aca="1" ref="AP73" ca="1">IFERROR(IF(AI73&lt;=$AB$2,"-",INDEX(Calculation_Tab,SMALL(ROW(Main_Dil)*(Main_Dil&lt;&gt;"-"),COUNTIF(Main_Dil,"-")+ROW()-3-$AB$2)-9,21)),"-")</f>
        <v>-</v>
      </c>
      <c r="AQ73" s="511" t="str">
        <f t="array" aca="1" ref="AQ73" ca="1">IFERROR(IF(AI73&lt;=$AB$2,"-",INDEX(Calculation_Tab,SMALL(ROW(Main_Dil)*(Main_Dil&lt;&gt;"-"),COUNTIF(Main_Dil,"-")+ROW()-3-$AB$2)-9,22)),"-")</f>
        <v>-</v>
      </c>
      <c r="AR73" s="487" t="str">
        <f t="shared" ca="1" si="50"/>
        <v>-</v>
      </c>
      <c r="AS73" s="378">
        <v>70</v>
      </c>
      <c r="AT73" s="497" t="s">
        <v>160</v>
      </c>
      <c r="AU73" s="498">
        <v>70</v>
      </c>
      <c r="AV73" s="378" t="str">
        <f t="shared" ca="1" si="51"/>
        <v>-</v>
      </c>
      <c r="AW73" s="378" t="str">
        <f t="array" aca="1" ref="AW73" ca="1">IFERROR(IF(AS73&lt;=$AB$2+$AN$2,"-",INDEX(Calculation_Tab,SMALL(ROW(Direct_Denaturation)*(Direct_Denaturation&lt;&gt;"-"),COUNTIF(Direct_Denaturation,"-")+ROW()-3-$AB$2-$AN$2)-9,5)),"-")</f>
        <v>-</v>
      </c>
      <c r="AX73" s="378" t="str">
        <f t="array" aca="1" ref="AX73" ca="1">IFERROR(IF(AS73&lt;=$AB$2+$AN$2,"-",INDEX($A$3:$B$12,MATCH(INDEX(Calculation_Tab,SMALL(ROW(Direct_Denaturation)*(Direct_Denaturation&lt;&gt;"-"),COUNTIF(Direct_Denaturation,"-")+ROW()-3-$AB$2-$AN$2)-9,5),$A$3:$A$12,0),2)),"-")</f>
        <v>-</v>
      </c>
      <c r="AY73" s="378" t="str">
        <f t="array" aca="1" ref="AY73" ca="1">IFERROR(IF(AS73&lt;=$AB$2+$AN$2,"-",INDEX(Coordinate,MATCH(INDEX(Calculation_Tab,SMALL(ROW(Direct_Denaturation)*(Direct_Denaturation&lt;&gt;"-"),COUNTIF(Direct_Denaturation,"-")+ROW()-3-$AB$2-$AN$2)-9,6),$X$4:$X$99,0),2)),"-")</f>
        <v>-</v>
      </c>
      <c r="AZ73" s="510" t="str">
        <f t="array" aca="1" ref="AZ73" ca="1">IFERROR(IF(AS73&lt;=$AB$2+$AN$2,"-",INDEX(Calculation_Tab,SMALL(ROW(Direct_Denaturation)*(Direct_Denaturation&lt;&gt;"-"),COUNTIF(Direct_Denaturation,"-")+ROW()-3-$AB$2-$AN$2)-9,32)),"-")</f>
        <v>-</v>
      </c>
      <c r="BA73" s="510" t="str">
        <f t="array" aca="1" ref="BA73" ca="1">IFERROR(IF(AS73&lt;=$AB$2+$AN$2,"-",INDEX(Calculation_Tab,SMALL(ROW(Direct_Denaturation)*(Direct_Denaturation&lt;&gt;"-"),COUNTIF(Direct_Denaturation,"-")+ROW()-3-$AB$2-$AN$2)-9,34)),"-")</f>
        <v>-</v>
      </c>
      <c r="BB73" s="510" t="str">
        <f t="array" aca="1" ref="BB73" ca="1">IFERROR(IF(AS73&lt;=$AB$2+$AN$2,"-",INDEX(Calculation_Tab,SMALL(ROW(Direct_Denaturation)*(Direct_Denaturation&lt;&gt;"-"),COUNTIF(Direct_Denaturation,"-")+ROW()-3-$AB$2-$AN$2)-9,33)),"-")</f>
        <v>-</v>
      </c>
      <c r="BC73" s="510" t="str">
        <f t="array" aca="1" ref="BC73" ca="1">IFERROR(IF(AS73&lt;=$AB$2+$AN$2,"-",INDEX(Calculation_Tab,SMALL(ROW(Direct_Denaturation)*(Direct_Denaturation&lt;&gt;"-"),COUNTIF(Direct_Denaturation,"-")+ROW()-3-$AB$2-$AN$2)-9,35)),"-")</f>
        <v>-</v>
      </c>
      <c r="BD73" s="511" t="str">
        <f t="shared" ca="1" si="52"/>
        <v>-</v>
      </c>
      <c r="BE73" s="494" t="s">
        <v>426</v>
      </c>
      <c r="BF73" s="378">
        <v>70</v>
      </c>
      <c r="BG73" s="515" t="str">
        <v>-</v>
      </c>
      <c r="BH73" s="516" t="str">
        <f>IFERROR(IF((Calculation!$AR$6/INDEX(ListAndConversion!D:P,MATCH(BG73,E:E,0),13))&lt;Calculation!$O$6,INDEX(ListAndConversion!D:P,MATCH(BG73,E:E,0),13)*Calculation!$O$6,Calculation!$AR$6),"-")</f>
        <v>-</v>
      </c>
      <c r="BI73" s="517" t="str">
        <f t="shared" si="53"/>
        <v>-</v>
      </c>
      <c r="BJ73" s="518" t="str">
        <f t="shared" si="54"/>
        <v>-</v>
      </c>
      <c r="BK73" s="378" t="s">
        <v>158</v>
      </c>
      <c r="BL73" s="378">
        <v>70</v>
      </c>
      <c r="BM73" s="487" t="str">
        <f t="array" aca="1" ref="BM73" ca="1">IFERROR(INDEX(Calculation_Tab,SMALL(ROW(ToPool)*(ToPool&lt;&gt;"-"),COUNTIF(ToPool,"-")+ROW()-3)-9,3),"-")</f>
        <v>-</v>
      </c>
      <c r="BN73" s="378" t="str">
        <f t="shared" ca="1" si="55"/>
        <v>-</v>
      </c>
      <c r="BO73" s="378" t="str">
        <f t="shared" ca="1" si="56"/>
        <v>-</v>
      </c>
      <c r="BP73" s="523" t="str">
        <f t="shared" ca="1" si="57"/>
        <v>-</v>
      </c>
      <c r="BQ73" s="378" t="str">
        <f t="array" aca="1" ref="BQ73" ca="1">IFERROR(INDEX(BE:BG,MATCH(INDEX(Calculation_Tab,SMALL(ROW(ToPool)*(ToPool&lt;&gt;"-"),COUNTIF(ToPool,"-")+ROW()-3)-9,9),BG:BG,0),2),"-")</f>
        <v>-</v>
      </c>
      <c r="BR73" s="510" t="str">
        <f t="shared" ca="1" si="58"/>
        <v>-</v>
      </c>
      <c r="BS73" s="511" t="str">
        <f t="shared" ca="1" si="59"/>
        <v>-</v>
      </c>
      <c r="BT73" s="378" t="s">
        <v>164</v>
      </c>
      <c r="BU73" s="487" t="str">
        <f t="shared" ca="1" si="63"/>
        <v>-</v>
      </c>
      <c r="BV73" s="487" t="str">
        <f t="array" aca="1" ref="BV7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73" s="378" t="str">
        <f t="shared" ca="1" si="60"/>
        <v>-</v>
      </c>
      <c r="BX73" s="378" t="str">
        <f t="shared" ca="1" si="61"/>
        <v>-</v>
      </c>
      <c r="BY73" s="510" t="str">
        <f ca="1">IFERROR(ROUND(INDEX(Cluster,MATCH(IF(LEFT(BV73,4)="Pool",INDEX(Cluster,MATCH(INDEX(Calculation_Tab,MATCH(INDEX($BE$4:$BJ$99,MATCH(BV73,$BE$4:$BE$99,0),3),Flow_Cell_Lane,0),3),Cluster!$F$29:$F$412,0),6),BV73),Identifier_Cluster,0),19)*IF(LEFT(BV73,4)="pool",IF(LEN(INDEX($BE$4:$BJ$99,MATCH(BV73,$BE$4:$BE$99,0),3))=10,2,IF(LEN(INDEX($BE$4:$BJ$99,MATCH(BV73,$BE$4:$BE$99,0),3))&gt;10,LEN(INDEX($BE$4:$BJ$99,MATCH(BV73,$BE$4:$BE$99,0),3))-8,1)),1)*IF(LEFT(BV73,4)="pool",IF(INDEX($BE$4:$BJ$99,MATCH(BV73,$BE$4:$BE$99,0),6)&lt;1,1,INDEX($BE$4:$BJ$99,MATCH(BV73,$BE$4:$BE$99,0),6)),INDEX(Calculation_Tab,MATCH(BV73,Identifier,0),10)),1)*(1+Calculation!$Q$6),"-")</f>
        <v>-</v>
      </c>
      <c r="BZ73" s="378" t="str">
        <f ca="1">IFERROR((0.5/50)*CE73/Calculation!$AG$6*(IF(LEFT(BV73,4)="Pool",IF(LEN(INDEX($BE$4:$BJ$99,MATCH(BV73,$BE$4:$BE$99,0),3))=10,2,IF(LEN(INDEX($BE$4:$BJ$99,MATCH(BV73,$BE$4:$BE$99,0),3))&gt;10,LEN(INDEX($BE$4:$BJ$99,MATCH(BV73,$BE$4:$BE$99,0),3))-8,1)),IF(INDEX(Calculation_Tab,MATCH(BV73,Identifier,0),10)&gt;1,INDEX(Calculation_Tab,MATCH(BV73,Identifier,0),10),1)))*(1+Calculation!$Q$6),"-")</f>
        <v>-</v>
      </c>
      <c r="CA73" s="510" t="str">
        <f ca="1">IFERROR(IF((BZ73*Calculation!$AG$6/0.05)-SUM(BY73:BZ73,CC73)&gt;0,(BZ73*Calculation!$AG$6/0.05)-SUM(BY73:BZ73,CC73),0),"-")</f>
        <v>-</v>
      </c>
      <c r="CB73" s="510" t="str">
        <f ca="1">IFERROR(5/50*CE73*(IF(LEFT(BV73,4)="Pool",IF(LEN(INDEX($BE$4:$BJ$99,MATCH(BV73,$BE$4:$BE$99,0),3))=10,2,IF(LEN(INDEX($BE$4:$BJ$99,MATCH(BV73,$BE$4:$BE$99,0),3))&gt;10,LEN(INDEX($BE$4:$BJ$99,MATCH(BV73,$BE$4:$BE$99,0),3))-8,1)),IF(INDEX(Calculation_Tab,MATCH(BV73,Identifier,0),10)&gt;1,INDEX(Calculation_Tab,MATCH(BV73,Identifier,0),10),1)))*(1+Calculation!$Q$6),"-")</f>
        <v>-</v>
      </c>
      <c r="CC73" s="508" t="str">
        <f ca="1">IFERROR(ROUND(INDEX(Cluster,MATCH(IF(LEFT(BV73,4)="Pool",INDEX(Cluster,MATCH(INDEX(Calculation_Tab,MATCH(INDEX($BE$4:$BJ$99,MATCH(BV73,$BE$4:$BE$99,0),3),Flow_Cell_Lane,0),3),Cluster!$F$29:$F$412,0),6),BV73),Identifier_Cluster,0),20)*IF(LEFT(BV73,4)="pool",IF(LEN(INDEX($BE$4:$BJ$99,MATCH(BV73,$BE$4:$BE$99,0),3))=10,2,IF(LEN(INDEX($BE$4:$BJ$99,MATCH(BV73,$BE$4:$BE$99,0),3))&gt;10,LEN(INDEX($BE$4:$BJ$99,MATCH(BV73,$BE$4:$BE$99,0),3))-8,1)),1)*IF(LEFT(BV73,4)="pool",IF(INDEX($BE$4:$BJ$99,MATCH(BV73,$BE$4:$BE$99,0),6)&lt;1,1,INDEX($BE$4:$BJ$99,MATCH(BV73,$BE$4:$BE$99,0),6)),INDEX(Calculation_Tab,MATCH(BV73,Identifier,0),10)),1)*(1+Calculation!$Q$6),"-")</f>
        <v>-</v>
      </c>
      <c r="CD73" s="509" t="str">
        <f ca="1">IFERROR(INDEX(Cluster!AC:AD,MATCH(IF(LEFT(BV73,4)="Pool",INDEX(Cluster!$D$29:$AA$412,MATCH(INDEX(Calculation_Tab,MATCH(INDEX($BE$4:$BJ$99,MATCH(BV73,$BE$4:$BE$99,0),3),Flow_Cell_Lane,0),3),Cluster!$F$29:$F$412,0),24),INDEX(Cluster!$D$29:$AA$412,MATCH(BV73,Cluster!$F$29:$F$412,0),24)),Cluster!AC:AC,0),2),"-")</f>
        <v>-</v>
      </c>
      <c r="CE73" s="378" t="str">
        <f ca="1">IFERROR(IF(BV73&lt;&gt;"-",Calculation!$AK$6,"-"),"-")</f>
        <v>-</v>
      </c>
      <c r="CF73" s="378" t="str">
        <f ca="1">IF(OR(LEFT(ListAndConversion!BW73,3)="Dil",LEFT(ListAndConversion!BW73,3)="Poo"),ListAndConversion!$BT$4,IF(LEFT(ListAndConversion!BW73,3)="Sou",INDEX(ListAndConversion!$AT$3:$AV$387,MATCH(ListAndConversion!BV73,ListAndConversion!$AV$3:$AV$387,0),1),"-"))</f>
        <v>-</v>
      </c>
      <c r="CG73" s="498" t="str">
        <f ca="1">IF(OR(LEFT(ListAndConversion!BW73,3)="Dil",LEFT(ListAndConversion!BW73,3)="Poo"),ListAndConversion!BU73,IF(LEFT(ListAndConversion!BW73,3)="Sou",INDEX(ListAndConversion!$AT$4:$AV$387,MATCH(ListAndConversion!BV73,ListAndConversion!$AV$4:$AV$387,0),2),"-"))</f>
        <v>-</v>
      </c>
      <c r="CH73" s="378"/>
      <c r="CI73" s="487" t="str">
        <f t="shared" ca="1" si="62"/>
        <v>-</v>
      </c>
      <c r="CJ73" s="378" t="str">
        <f t="shared" ca="1" si="43"/>
        <v>-</v>
      </c>
      <c r="CK73" s="378" t="str">
        <f t="shared" ca="1" si="43"/>
        <v>-</v>
      </c>
      <c r="CL73" s="378" t="str">
        <f t="shared" ca="1" si="43"/>
        <v>-</v>
      </c>
      <c r="CM73" s="378" t="str">
        <f t="shared" ca="1" si="43"/>
        <v>-</v>
      </c>
      <c r="CN73" s="378" t="str">
        <f t="shared" ca="1" si="43"/>
        <v>-</v>
      </c>
      <c r="CO73" s="378" t="str">
        <f t="shared" ca="1" si="43"/>
        <v>-</v>
      </c>
      <c r="CP73" s="378" t="str">
        <f t="shared" ca="1" si="43"/>
        <v>-</v>
      </c>
      <c r="CQ73" s="378" t="str">
        <f t="shared" ca="1" si="43"/>
        <v>-</v>
      </c>
      <c r="CR73" s="510" t="str">
        <f ca="1">IFERROR(IF(LEFT(BW73,3)="Poo",INDEX($BE$4:$BJ$99,MATCH(CI73,$BG$4:$BG$99,0),6)*((15/50))*Calculation!$AK$6,INDEX(Calculation_Tab,MATCH(BV73,Identifier,0),10)/(IF(LEN(INDEX(Calculation_Tab,MATCH(BV73,Identifier,0),9))&gt;8,LEN(INDEX(Calculation_Tab,MATCH(BV73,Identifier,0),9))-8,1))*((15/50)*Calculation!$AK$6)),"-")</f>
        <v>-</v>
      </c>
      <c r="CS73" s="498" t="str">
        <f ca="1">IF(CI73="-","-",IF(COUNTIF($CI$3:CI73,CI73)&gt;1,0,IFERROR((35/50)*Calculation!$AK$6,"-")))</f>
        <v>-</v>
      </c>
    </row>
    <row r="74" spans="4:97" x14ac:dyDescent="0.5">
      <c r="D74" s="487" t="e">
        <f t="shared" si="44"/>
        <v>#DIV/0!</v>
      </c>
      <c r="E74" s="496" t="e">
        <f t="array" ref="E74">IF(IF((ROW(E74)-3)&lt;(ListAndConversion!$A$15),INDEX(Flow_Cell_Lane,MIN(IF(COUNTIF($E$2:E73,Flow_Cell_Lane)=0,ROW(Flow_Cell_Lane)-9))),"-")="","-",IF((ROW(E74)-3)&lt;(ListAndConversion!$A$15),INDEX(Flow_Cell_Lane,MIN(IF(COUNTIF($E$2:E73,Flow_Cell_Lane)=0,ROW(Flow_Cell_Lane)-9))),"-"))</f>
        <v>#DIV/0!</v>
      </c>
      <c r="F74" s="378" t="e">
        <f t="shared" si="45"/>
        <v>#DIV/0!</v>
      </c>
      <c r="G74" s="378" t="e">
        <f t="shared" si="64"/>
        <v>#DIV/0!</v>
      </c>
      <c r="H74" s="378" t="e">
        <f t="shared" si="64"/>
        <v>#DIV/0!</v>
      </c>
      <c r="I74" s="378" t="e">
        <f t="shared" si="64"/>
        <v>#DIV/0!</v>
      </c>
      <c r="J74" s="378" t="e">
        <f t="shared" si="64"/>
        <v>#DIV/0!</v>
      </c>
      <c r="K74" s="378" t="e">
        <f t="shared" si="64"/>
        <v>#DIV/0!</v>
      </c>
      <c r="L74" s="378" t="e">
        <f t="shared" si="64"/>
        <v>#DIV/0!</v>
      </c>
      <c r="M74" s="378" t="e">
        <f t="shared" si="64"/>
        <v>#DIV/0!</v>
      </c>
      <c r="N74" s="497" t="e">
        <f t="shared" si="46"/>
        <v>#DIV/0!</v>
      </c>
      <c r="O74" s="497" t="str">
        <f t="array" ref="O74">IFERROR(INDEX(Calculation!I:AN,MATCH(ListAndConversion!E74,Calculation!I:I,0),31),"-")</f>
        <v>-</v>
      </c>
      <c r="P74" s="498">
        <f>IF(COUNTIFS(Calculation!$I$10:$I$393,E74,Direct_Denaturation,"-")&lt;&gt;1,COUNTIFS(Calculation!$I$10:$I$393,E74,Direct_Denaturation,"-"),0)</f>
        <v>0</v>
      </c>
      <c r="Q74" s="378"/>
      <c r="R74" s="487" t="e">
        <f t="array" ref="R74">IF(IF((ROW(R74)-3)&lt;(Calculation!$H$6),INDEX(Flow_Cell,MIN(IF(COUNTIF($R$2:R73,Flow_Cell)=0,ROW(Flow_Cell)-9))),"-")="","-",IF((ROW(R74)-3)&lt;(Calculation!$H$6),INDEX(Flow_Cell,MIN(IF(COUNTIF($R$2:R73,Flow_Cell)=0,ROW(Flow_Cell)-9))),"-"))</f>
        <v>#DIV/0!</v>
      </c>
      <c r="S74" s="378" t="e">
        <f t="shared" si="47"/>
        <v>#DIV/0!</v>
      </c>
      <c r="T74" s="378">
        <v>8</v>
      </c>
      <c r="U74" s="498">
        <v>72</v>
      </c>
      <c r="V74" s="487">
        <v>71</v>
      </c>
      <c r="W74" s="497" t="s">
        <v>287</v>
      </c>
      <c r="X74" s="497" t="s">
        <v>427</v>
      </c>
      <c r="Y74" s="378">
        <v>71</v>
      </c>
      <c r="Z74" s="378" t="str">
        <f t="shared" ca="1" si="48"/>
        <v>-</v>
      </c>
      <c r="AA74" s="508" t="str">
        <f t="array" aca="1" ref="AA74" ca="1">IFERROR(INDEX(Calculation_Tab,SMALL(ROW(Sample_Intermediate_Dil)*(Sample_Intermediate_Dil&lt;&gt;"-"),COUNTIF(Sample_Intermediate_Dil,"-")+ROW()-3)-9,5),"-")</f>
        <v>-</v>
      </c>
      <c r="AB74" s="378" t="str">
        <f t="array" aca="1" ref="AB74" ca="1">IFERROR(INDEX($A$3:$B$12,MATCH(INDEX(Calculation_Tab,SMALL(ROW(Sample_Intermediate_Dil)*(Sample_Intermediate_Dil&lt;&gt;"-"),COUNTIF(Sample_Intermediate_Dil,"-")+ROW()-3)-9,5),$A$3:$A$12,0),2),"-")</f>
        <v>-</v>
      </c>
      <c r="AC74" s="509" t="str">
        <f t="array" aca="1" ref="AC74" ca="1">IFERROR(INDEX(Coordinate,MATCH(INDEX(Calculation_Tab,SMALL(ROW(Sample_Intermediate_Dil)*(Sample_Intermediate_Dil&lt;&gt;"-"),COUNTIF(Sample_Intermediate_Dil,"-")+ROW()-3)-9,6),$X$4:$X$99,0),2),"-")</f>
        <v>-</v>
      </c>
      <c r="AD74" s="510" t="str">
        <f t="array" aca="1" ref="AD74" ca="1">IFERROR(INDEX(Calculation_Tab,SMALL(ROW(Sample_Intermediate_Dil)*(Sample_Intermediate_Dil&lt;&gt;"-"),COUNTIF(Sample_Intermediate_Dil,"-")+ROW()-3)-9,24),"-")</f>
        <v>-</v>
      </c>
      <c r="AE74" s="510" t="str">
        <f t="array" aca="1" ref="AE74" ca="1">IFERROR(INDEX(Calculation_Tab,SMALL(ROW(Sample_Intermediate_Dil)*(Sample_Intermediate_Dil&lt;&gt;"-"),COUNTIF(Sample_Intermediate_Dil,"-")+ROW()-3)-9,25),"-")</f>
        <v>-</v>
      </c>
      <c r="AF74" s="510" t="str">
        <f t="array" aca="1" ref="AF74" ca="1">IFERROR(INDEX(Calculation_Tab,SMALL(ROW(Sample_Intermediate_Dil)*(Sample_Intermediate_Dil&lt;&gt;"-"),COUNTIF(Sample_Intermediate_Dil,"-")+ROW()-3)-9,26),"-")</f>
        <v>-</v>
      </c>
      <c r="AG74" s="511" t="str">
        <f t="array" aca="1" ref="AG74" ca="1">IFERROR(INDEX(Calculation_Tab,SMALL(ROW(Sample_Intermediate_Dil)*(Sample_Intermediate_Dil&lt;&gt;"-"),COUNTIF(Sample_Intermediate_Dil,"-")+ROW()-3)-9,27),"-")</f>
        <v>-</v>
      </c>
      <c r="AI74" s="487">
        <v>71</v>
      </c>
      <c r="AJ74" s="497" t="s">
        <v>160</v>
      </c>
      <c r="AK74" s="378">
        <v>71</v>
      </c>
      <c r="AL74" s="378" t="str">
        <f t="shared" ca="1" si="49"/>
        <v>-</v>
      </c>
      <c r="AM74" s="378" t="str">
        <f t="array" aca="1" ref="AM74" ca="1">IFERROR(IF(AI74&lt;=$AB$2,"-",INDEX(Calculation_Tab,SMALL(ROW(Main_Dil)*(Main_Dil&lt;&gt;"-"),COUNTIF(Main_Dil,"-")+ROW()-3-$AB$2)-9,5)),"-")</f>
        <v>-</v>
      </c>
      <c r="AN74" s="378" t="str">
        <f t="array" aca="1" ref="AN74" ca="1">IFERROR(IF(AI74&lt;=$AB$2,"-",INDEX($A$3:$B$12,MATCH(INDEX(Calculation_Tab,SMALL(ROW(Main_Dil)*(Main_Dil&lt;&gt;"-"),COUNTIF(Main_Dil,"-")+ROW()-3-$AB$2)-9,5),$A$3:$A$12,0),2)),"-")</f>
        <v>-</v>
      </c>
      <c r="AO74" s="378" t="str">
        <f t="array" aca="1" ref="AO74" ca="1">IFERROR(IF(AI74&lt;=$AB$2,"-",INDEX(Coordinate,MATCH(INDEX(Calculation_Tab,SMALL(ROW(Main_Dil)*(Main_Dil&lt;&gt;"-"),COUNTIF(Main_Dil,"-")+ROW()-3-$AB$2)-9,6),$X$4:$X$99,0),2)),"-")</f>
        <v>-</v>
      </c>
      <c r="AP74" s="510" t="str">
        <f t="array" aca="1" ref="AP74" ca="1">IFERROR(IF(AI74&lt;=$AB$2,"-",INDEX(Calculation_Tab,SMALL(ROW(Main_Dil)*(Main_Dil&lt;&gt;"-"),COUNTIF(Main_Dil,"-")+ROW()-3-$AB$2)-9,21)),"-")</f>
        <v>-</v>
      </c>
      <c r="AQ74" s="511" t="str">
        <f t="array" aca="1" ref="AQ74" ca="1">IFERROR(IF(AI74&lt;=$AB$2,"-",INDEX(Calculation_Tab,SMALL(ROW(Main_Dil)*(Main_Dil&lt;&gt;"-"),COUNTIF(Main_Dil,"-")+ROW()-3-$AB$2)-9,22)),"-")</f>
        <v>-</v>
      </c>
      <c r="AR74" s="487" t="str">
        <f t="shared" ca="1" si="50"/>
        <v>-</v>
      </c>
      <c r="AS74" s="378">
        <v>71</v>
      </c>
      <c r="AT74" s="497" t="s">
        <v>160</v>
      </c>
      <c r="AU74" s="498">
        <v>71</v>
      </c>
      <c r="AV74" s="378" t="str">
        <f t="shared" ca="1" si="51"/>
        <v>-</v>
      </c>
      <c r="AW74" s="378" t="str">
        <f t="array" aca="1" ref="AW74" ca="1">IFERROR(IF(AS74&lt;=$AB$2+$AN$2,"-",INDEX(Calculation_Tab,SMALL(ROW(Direct_Denaturation)*(Direct_Denaturation&lt;&gt;"-"),COUNTIF(Direct_Denaturation,"-")+ROW()-3-$AB$2-$AN$2)-9,5)),"-")</f>
        <v>-</v>
      </c>
      <c r="AX74" s="378" t="str">
        <f t="array" aca="1" ref="AX74" ca="1">IFERROR(IF(AS74&lt;=$AB$2+$AN$2,"-",INDEX($A$3:$B$12,MATCH(INDEX(Calculation_Tab,SMALL(ROW(Direct_Denaturation)*(Direct_Denaturation&lt;&gt;"-"),COUNTIF(Direct_Denaturation,"-")+ROW()-3-$AB$2-$AN$2)-9,5),$A$3:$A$12,0),2)),"-")</f>
        <v>-</v>
      </c>
      <c r="AY74" s="378" t="str">
        <f t="array" aca="1" ref="AY74" ca="1">IFERROR(IF(AS74&lt;=$AB$2+$AN$2,"-",INDEX(Coordinate,MATCH(INDEX(Calculation_Tab,SMALL(ROW(Direct_Denaturation)*(Direct_Denaturation&lt;&gt;"-"),COUNTIF(Direct_Denaturation,"-")+ROW()-3-$AB$2-$AN$2)-9,6),$X$4:$X$99,0),2)),"-")</f>
        <v>-</v>
      </c>
      <c r="AZ74" s="510" t="str">
        <f t="array" aca="1" ref="AZ74" ca="1">IFERROR(IF(AS74&lt;=$AB$2+$AN$2,"-",INDEX(Calculation_Tab,SMALL(ROW(Direct_Denaturation)*(Direct_Denaturation&lt;&gt;"-"),COUNTIF(Direct_Denaturation,"-")+ROW()-3-$AB$2-$AN$2)-9,32)),"-")</f>
        <v>-</v>
      </c>
      <c r="BA74" s="510" t="str">
        <f t="array" aca="1" ref="BA74" ca="1">IFERROR(IF(AS74&lt;=$AB$2+$AN$2,"-",INDEX(Calculation_Tab,SMALL(ROW(Direct_Denaturation)*(Direct_Denaturation&lt;&gt;"-"),COUNTIF(Direct_Denaturation,"-")+ROW()-3-$AB$2-$AN$2)-9,34)),"-")</f>
        <v>-</v>
      </c>
      <c r="BB74" s="510" t="str">
        <f t="array" aca="1" ref="BB74" ca="1">IFERROR(IF(AS74&lt;=$AB$2+$AN$2,"-",INDEX(Calculation_Tab,SMALL(ROW(Direct_Denaturation)*(Direct_Denaturation&lt;&gt;"-"),COUNTIF(Direct_Denaturation,"-")+ROW()-3-$AB$2-$AN$2)-9,33)),"-")</f>
        <v>-</v>
      </c>
      <c r="BC74" s="510" t="str">
        <f t="array" aca="1" ref="BC74" ca="1">IFERROR(IF(AS74&lt;=$AB$2+$AN$2,"-",INDEX(Calculation_Tab,SMALL(ROW(Direct_Denaturation)*(Direct_Denaturation&lt;&gt;"-"),COUNTIF(Direct_Denaturation,"-")+ROW()-3-$AB$2-$AN$2)-9,35)),"-")</f>
        <v>-</v>
      </c>
      <c r="BD74" s="511" t="str">
        <f t="shared" ca="1" si="52"/>
        <v>-</v>
      </c>
      <c r="BE74" s="494" t="s">
        <v>428</v>
      </c>
      <c r="BF74" s="378">
        <v>71</v>
      </c>
      <c r="BG74" s="515" t="str">
        <v>-</v>
      </c>
      <c r="BH74" s="516" t="str">
        <f>IFERROR(IF((Calculation!$AR$6/INDEX(ListAndConversion!D:P,MATCH(BG74,E:E,0),13))&lt;Calculation!$O$6,INDEX(ListAndConversion!D:P,MATCH(BG74,E:E,0),13)*Calculation!$O$6,Calculation!$AR$6),"-")</f>
        <v>-</v>
      </c>
      <c r="BI74" s="517" t="str">
        <f t="shared" si="53"/>
        <v>-</v>
      </c>
      <c r="BJ74" s="518" t="str">
        <f t="shared" si="54"/>
        <v>-</v>
      </c>
      <c r="BK74" s="378" t="s">
        <v>158</v>
      </c>
      <c r="BL74" s="378">
        <v>71</v>
      </c>
      <c r="BM74" s="487" t="str">
        <f t="array" aca="1" ref="BM74" ca="1">IFERROR(INDEX(Calculation_Tab,SMALL(ROW(ToPool)*(ToPool&lt;&gt;"-"),COUNTIF(ToPool,"-")+ROW()-3)-9,3),"-")</f>
        <v>-</v>
      </c>
      <c r="BN74" s="378" t="str">
        <f t="shared" ca="1" si="55"/>
        <v>-</v>
      </c>
      <c r="BO74" s="378" t="str">
        <f t="shared" ca="1" si="56"/>
        <v>-</v>
      </c>
      <c r="BP74" s="523" t="str">
        <f t="shared" ca="1" si="57"/>
        <v>-</v>
      </c>
      <c r="BQ74" s="378" t="str">
        <f t="array" aca="1" ref="BQ74" ca="1">IFERROR(INDEX(BE:BG,MATCH(INDEX(Calculation_Tab,SMALL(ROW(ToPool)*(ToPool&lt;&gt;"-"),COUNTIF(ToPool,"-")+ROW()-3)-9,9),BG:BG,0),2),"-")</f>
        <v>-</v>
      </c>
      <c r="BR74" s="510" t="str">
        <f t="shared" ca="1" si="58"/>
        <v>-</v>
      </c>
      <c r="BS74" s="511" t="str">
        <f t="shared" ca="1" si="59"/>
        <v>-</v>
      </c>
      <c r="BT74" s="378" t="s">
        <v>164</v>
      </c>
      <c r="BU74" s="487" t="str">
        <f t="shared" ca="1" si="63"/>
        <v>-</v>
      </c>
      <c r="BV74" s="487" t="str">
        <f t="array" aca="1" ref="BV7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74" s="378" t="str">
        <f t="shared" ca="1" si="60"/>
        <v>-</v>
      </c>
      <c r="BX74" s="378" t="str">
        <f t="shared" ca="1" si="61"/>
        <v>-</v>
      </c>
      <c r="BY74" s="510" t="str">
        <f ca="1">IFERROR(ROUND(INDEX(Cluster,MATCH(IF(LEFT(BV74,4)="Pool",INDEX(Cluster,MATCH(INDEX(Calculation_Tab,MATCH(INDEX($BE$4:$BJ$99,MATCH(BV74,$BE$4:$BE$99,0),3),Flow_Cell_Lane,0),3),Cluster!$F$29:$F$412,0),6),BV74),Identifier_Cluster,0),19)*IF(LEFT(BV74,4)="pool",IF(LEN(INDEX($BE$4:$BJ$99,MATCH(BV74,$BE$4:$BE$99,0),3))=10,2,IF(LEN(INDEX($BE$4:$BJ$99,MATCH(BV74,$BE$4:$BE$99,0),3))&gt;10,LEN(INDEX($BE$4:$BJ$99,MATCH(BV74,$BE$4:$BE$99,0),3))-8,1)),1)*IF(LEFT(BV74,4)="pool",IF(INDEX($BE$4:$BJ$99,MATCH(BV74,$BE$4:$BE$99,0),6)&lt;1,1,INDEX($BE$4:$BJ$99,MATCH(BV74,$BE$4:$BE$99,0),6)),INDEX(Calculation_Tab,MATCH(BV74,Identifier,0),10)),1)*(1+Calculation!$Q$6),"-")</f>
        <v>-</v>
      </c>
      <c r="BZ74" s="378" t="str">
        <f ca="1">IFERROR((0.5/50)*CE74/Calculation!$AG$6*(IF(LEFT(BV74,4)="Pool",IF(LEN(INDEX($BE$4:$BJ$99,MATCH(BV74,$BE$4:$BE$99,0),3))=10,2,IF(LEN(INDEX($BE$4:$BJ$99,MATCH(BV74,$BE$4:$BE$99,0),3))&gt;10,LEN(INDEX($BE$4:$BJ$99,MATCH(BV74,$BE$4:$BE$99,0),3))-8,1)),IF(INDEX(Calculation_Tab,MATCH(BV74,Identifier,0),10)&gt;1,INDEX(Calculation_Tab,MATCH(BV74,Identifier,0),10),1)))*(1+Calculation!$Q$6),"-")</f>
        <v>-</v>
      </c>
      <c r="CA74" s="510" t="str">
        <f ca="1">IFERROR(IF((BZ74*Calculation!$AG$6/0.05)-SUM(BY74:BZ74,CC74)&gt;0,(BZ74*Calculation!$AG$6/0.05)-SUM(BY74:BZ74,CC74),0),"-")</f>
        <v>-</v>
      </c>
      <c r="CB74" s="510" t="str">
        <f ca="1">IFERROR(5/50*CE74*(IF(LEFT(BV74,4)="Pool",IF(LEN(INDEX($BE$4:$BJ$99,MATCH(BV74,$BE$4:$BE$99,0),3))=10,2,IF(LEN(INDEX($BE$4:$BJ$99,MATCH(BV74,$BE$4:$BE$99,0),3))&gt;10,LEN(INDEX($BE$4:$BJ$99,MATCH(BV74,$BE$4:$BE$99,0),3))-8,1)),IF(INDEX(Calculation_Tab,MATCH(BV74,Identifier,0),10)&gt;1,INDEX(Calculation_Tab,MATCH(BV74,Identifier,0),10),1)))*(1+Calculation!$Q$6),"-")</f>
        <v>-</v>
      </c>
      <c r="CC74" s="508" t="str">
        <f ca="1">IFERROR(ROUND(INDEX(Cluster,MATCH(IF(LEFT(BV74,4)="Pool",INDEX(Cluster,MATCH(INDEX(Calculation_Tab,MATCH(INDEX($BE$4:$BJ$99,MATCH(BV74,$BE$4:$BE$99,0),3),Flow_Cell_Lane,0),3),Cluster!$F$29:$F$412,0),6),BV74),Identifier_Cluster,0),20)*IF(LEFT(BV74,4)="pool",IF(LEN(INDEX($BE$4:$BJ$99,MATCH(BV74,$BE$4:$BE$99,0),3))=10,2,IF(LEN(INDEX($BE$4:$BJ$99,MATCH(BV74,$BE$4:$BE$99,0),3))&gt;10,LEN(INDEX($BE$4:$BJ$99,MATCH(BV74,$BE$4:$BE$99,0),3))-8,1)),1)*IF(LEFT(BV74,4)="pool",IF(INDEX($BE$4:$BJ$99,MATCH(BV74,$BE$4:$BE$99,0),6)&lt;1,1,INDEX($BE$4:$BJ$99,MATCH(BV74,$BE$4:$BE$99,0),6)),INDEX(Calculation_Tab,MATCH(BV74,Identifier,0),10)),1)*(1+Calculation!$Q$6),"-")</f>
        <v>-</v>
      </c>
      <c r="CD74" s="509" t="str">
        <f ca="1">IFERROR(INDEX(Cluster!AC:AD,MATCH(IF(LEFT(BV74,4)="Pool",INDEX(Cluster!$D$29:$AA$412,MATCH(INDEX(Calculation_Tab,MATCH(INDEX($BE$4:$BJ$99,MATCH(BV74,$BE$4:$BE$99,0),3),Flow_Cell_Lane,0),3),Cluster!$F$29:$F$412,0),24),INDEX(Cluster!$D$29:$AA$412,MATCH(BV74,Cluster!$F$29:$F$412,0),24)),Cluster!AC:AC,0),2),"-")</f>
        <v>-</v>
      </c>
      <c r="CE74" s="378" t="str">
        <f ca="1">IFERROR(IF(BV74&lt;&gt;"-",Calculation!$AK$6,"-"),"-")</f>
        <v>-</v>
      </c>
      <c r="CF74" s="378" t="str">
        <f ca="1">IF(OR(LEFT(ListAndConversion!BW74,3)="Dil",LEFT(ListAndConversion!BW74,3)="Poo"),ListAndConversion!$BT$4,IF(LEFT(ListAndConversion!BW74,3)="Sou",INDEX(ListAndConversion!$AT$3:$AV$387,MATCH(ListAndConversion!BV74,ListAndConversion!$AV$3:$AV$387,0),1),"-"))</f>
        <v>-</v>
      </c>
      <c r="CG74" s="498" t="str">
        <f ca="1">IF(OR(LEFT(ListAndConversion!BW74,3)="Dil",LEFT(ListAndConversion!BW74,3)="Poo"),ListAndConversion!BU74,IF(LEFT(ListAndConversion!BW74,3)="Sou",INDEX(ListAndConversion!$AT$4:$AV$387,MATCH(ListAndConversion!BV74,ListAndConversion!$AV$4:$AV$387,0),2),"-"))</f>
        <v>-</v>
      </c>
      <c r="CH74" s="378"/>
      <c r="CI74" s="487" t="str">
        <f t="shared" ca="1" si="62"/>
        <v>-</v>
      </c>
      <c r="CJ74" s="378" t="str">
        <f t="shared" ref="CJ74:CQ83" ca="1" si="65">IFERROR(INDEX($R$3:$U$98,MATCH(INDEX($F$3:$M$387,MATCH($CI74,$E$3:$E$386,0),CJ$3),$S$3:$S$98,0),4),"-")</f>
        <v>-</v>
      </c>
      <c r="CK74" s="378" t="str">
        <f t="shared" ca="1" si="65"/>
        <v>-</v>
      </c>
      <c r="CL74" s="378" t="str">
        <f t="shared" ca="1" si="65"/>
        <v>-</v>
      </c>
      <c r="CM74" s="378" t="str">
        <f t="shared" ca="1" si="65"/>
        <v>-</v>
      </c>
      <c r="CN74" s="378" t="str">
        <f t="shared" ca="1" si="65"/>
        <v>-</v>
      </c>
      <c r="CO74" s="378" t="str">
        <f t="shared" ca="1" si="65"/>
        <v>-</v>
      </c>
      <c r="CP74" s="378" t="str">
        <f t="shared" ca="1" si="65"/>
        <v>-</v>
      </c>
      <c r="CQ74" s="378" t="str">
        <f t="shared" ca="1" si="65"/>
        <v>-</v>
      </c>
      <c r="CR74" s="510" t="str">
        <f ca="1">IFERROR(IF(LEFT(BW74,3)="Poo",INDEX($BE$4:$BJ$99,MATCH(CI74,$BG$4:$BG$99,0),6)*((15/50))*Calculation!$AK$6,INDEX(Calculation_Tab,MATCH(BV74,Identifier,0),10)/(IF(LEN(INDEX(Calculation_Tab,MATCH(BV74,Identifier,0),9))&gt;8,LEN(INDEX(Calculation_Tab,MATCH(BV74,Identifier,0),9))-8,1))*((15/50)*Calculation!$AK$6)),"-")</f>
        <v>-</v>
      </c>
      <c r="CS74" s="498" t="str">
        <f ca="1">IF(CI74="-","-",IF(COUNTIF($CI$3:CI74,CI74)&gt;1,0,IFERROR((35/50)*Calculation!$AK$6,"-")))</f>
        <v>-</v>
      </c>
    </row>
    <row r="75" spans="4:97" x14ac:dyDescent="0.5">
      <c r="D75" s="487" t="e">
        <f t="shared" si="44"/>
        <v>#DIV/0!</v>
      </c>
      <c r="E75" s="496" t="e">
        <f t="array" ref="E75">IF(IF((ROW(E75)-3)&lt;(ListAndConversion!$A$15),INDEX(Flow_Cell_Lane,MIN(IF(COUNTIF($E$2:E74,Flow_Cell_Lane)=0,ROW(Flow_Cell_Lane)-9))),"-")="","-",IF((ROW(E75)-3)&lt;(ListAndConversion!$A$15),INDEX(Flow_Cell_Lane,MIN(IF(COUNTIF($E$2:E74,Flow_Cell_Lane)=0,ROW(Flow_Cell_Lane)-9))),"-"))</f>
        <v>#DIV/0!</v>
      </c>
      <c r="F75" s="378" t="e">
        <f t="shared" si="45"/>
        <v>#DIV/0!</v>
      </c>
      <c r="G75" s="378" t="e">
        <f t="shared" si="64"/>
        <v>#DIV/0!</v>
      </c>
      <c r="H75" s="378" t="e">
        <f t="shared" si="64"/>
        <v>#DIV/0!</v>
      </c>
      <c r="I75" s="378" t="e">
        <f t="shared" si="64"/>
        <v>#DIV/0!</v>
      </c>
      <c r="J75" s="378" t="e">
        <f t="shared" si="64"/>
        <v>#DIV/0!</v>
      </c>
      <c r="K75" s="378" t="e">
        <f t="shared" si="64"/>
        <v>#DIV/0!</v>
      </c>
      <c r="L75" s="378" t="e">
        <f t="shared" si="64"/>
        <v>#DIV/0!</v>
      </c>
      <c r="M75" s="378" t="e">
        <f t="shared" si="64"/>
        <v>#DIV/0!</v>
      </c>
      <c r="N75" s="497" t="e">
        <f t="shared" si="46"/>
        <v>#DIV/0!</v>
      </c>
      <c r="O75" s="497" t="str">
        <f t="array" ref="O75">IFERROR(INDEX(Calculation!I:AN,MATCH(ListAndConversion!E75,Calculation!I:I,0),31),"-")</f>
        <v>-</v>
      </c>
      <c r="P75" s="498">
        <f>IF(COUNTIFS(Calculation!$I$10:$I$393,E75,Direct_Denaturation,"-")&lt;&gt;1,COUNTIFS(Calculation!$I$10:$I$393,E75,Direct_Denaturation,"-"),0)</f>
        <v>0</v>
      </c>
      <c r="Q75" s="378"/>
      <c r="R75" s="487" t="e">
        <f t="array" ref="R75">IF(IF((ROW(R75)-3)&lt;(Calculation!$H$6),INDEX(Flow_Cell,MIN(IF(COUNTIF($R$2:R74,Flow_Cell)=0,ROW(Flow_Cell)-9))),"-")="","-",IF((ROW(R75)-3)&lt;(Calculation!$H$6),INDEX(Flow_Cell,MIN(IF(COUNTIF($R$2:R74,Flow_Cell)=0,ROW(Flow_Cell)-9))),"-"))</f>
        <v>#DIV/0!</v>
      </c>
      <c r="S75" s="378" t="e">
        <f t="shared" ref="S75:S82" si="66">IF($R$12="-","-",CONCATENATE($R$12,"-",T75))</f>
        <v>#DIV/0!</v>
      </c>
      <c r="T75" s="378">
        <v>1</v>
      </c>
      <c r="U75" s="498">
        <v>73</v>
      </c>
      <c r="V75" s="487">
        <v>72</v>
      </c>
      <c r="W75" s="497" t="s">
        <v>287</v>
      </c>
      <c r="X75" s="497" t="s">
        <v>429</v>
      </c>
      <c r="Y75" s="378">
        <v>72</v>
      </c>
      <c r="Z75" s="378" t="str">
        <f t="shared" ca="1" si="48"/>
        <v>-</v>
      </c>
      <c r="AA75" s="508" t="str">
        <f t="array" aca="1" ref="AA75" ca="1">IFERROR(INDEX(Calculation_Tab,SMALL(ROW(Sample_Intermediate_Dil)*(Sample_Intermediate_Dil&lt;&gt;"-"),COUNTIF(Sample_Intermediate_Dil,"-")+ROW()-3)-9,5),"-")</f>
        <v>-</v>
      </c>
      <c r="AB75" s="378" t="str">
        <f t="array" aca="1" ref="AB75" ca="1">IFERROR(INDEX($A$3:$B$12,MATCH(INDEX(Calculation_Tab,SMALL(ROW(Sample_Intermediate_Dil)*(Sample_Intermediate_Dil&lt;&gt;"-"),COUNTIF(Sample_Intermediate_Dil,"-")+ROW()-3)-9,5),$A$3:$A$12,0),2),"-")</f>
        <v>-</v>
      </c>
      <c r="AC75" s="509" t="str">
        <f t="array" aca="1" ref="AC75" ca="1">IFERROR(INDEX(Coordinate,MATCH(INDEX(Calculation_Tab,SMALL(ROW(Sample_Intermediate_Dil)*(Sample_Intermediate_Dil&lt;&gt;"-"),COUNTIF(Sample_Intermediate_Dil,"-")+ROW()-3)-9,6),$X$4:$X$99,0),2),"-")</f>
        <v>-</v>
      </c>
      <c r="AD75" s="510" t="str">
        <f t="array" aca="1" ref="AD75" ca="1">IFERROR(INDEX(Calculation_Tab,SMALL(ROW(Sample_Intermediate_Dil)*(Sample_Intermediate_Dil&lt;&gt;"-"),COUNTIF(Sample_Intermediate_Dil,"-")+ROW()-3)-9,24),"-")</f>
        <v>-</v>
      </c>
      <c r="AE75" s="510" t="str">
        <f t="array" aca="1" ref="AE75" ca="1">IFERROR(INDEX(Calculation_Tab,SMALL(ROW(Sample_Intermediate_Dil)*(Sample_Intermediate_Dil&lt;&gt;"-"),COUNTIF(Sample_Intermediate_Dil,"-")+ROW()-3)-9,25),"-")</f>
        <v>-</v>
      </c>
      <c r="AF75" s="510" t="str">
        <f t="array" aca="1" ref="AF75" ca="1">IFERROR(INDEX(Calculation_Tab,SMALL(ROW(Sample_Intermediate_Dil)*(Sample_Intermediate_Dil&lt;&gt;"-"),COUNTIF(Sample_Intermediate_Dil,"-")+ROW()-3)-9,26),"-")</f>
        <v>-</v>
      </c>
      <c r="AG75" s="511" t="str">
        <f t="array" aca="1" ref="AG75" ca="1">IFERROR(INDEX(Calculation_Tab,SMALL(ROW(Sample_Intermediate_Dil)*(Sample_Intermediate_Dil&lt;&gt;"-"),COUNTIF(Sample_Intermediate_Dil,"-")+ROW()-3)-9,27),"-")</f>
        <v>-</v>
      </c>
      <c r="AI75" s="487">
        <v>72</v>
      </c>
      <c r="AJ75" s="497" t="s">
        <v>160</v>
      </c>
      <c r="AK75" s="378">
        <v>72</v>
      </c>
      <c r="AL75" s="378" t="str">
        <f t="shared" ca="1" si="49"/>
        <v>-</v>
      </c>
      <c r="AM75" s="378" t="str">
        <f t="array" aca="1" ref="AM75" ca="1">IFERROR(IF(AI75&lt;=$AB$2,"-",INDEX(Calculation_Tab,SMALL(ROW(Main_Dil)*(Main_Dil&lt;&gt;"-"),COUNTIF(Main_Dil,"-")+ROW()-3-$AB$2)-9,5)),"-")</f>
        <v>-</v>
      </c>
      <c r="AN75" s="378" t="str">
        <f t="array" aca="1" ref="AN75" ca="1">IFERROR(IF(AI75&lt;=$AB$2,"-",INDEX($A$3:$B$12,MATCH(INDEX(Calculation_Tab,SMALL(ROW(Main_Dil)*(Main_Dil&lt;&gt;"-"),COUNTIF(Main_Dil,"-")+ROW()-3-$AB$2)-9,5),$A$3:$A$12,0),2)),"-")</f>
        <v>-</v>
      </c>
      <c r="AO75" s="378" t="str">
        <f t="array" aca="1" ref="AO75" ca="1">IFERROR(IF(AI75&lt;=$AB$2,"-",INDEX(Coordinate,MATCH(INDEX(Calculation_Tab,SMALL(ROW(Main_Dil)*(Main_Dil&lt;&gt;"-"),COUNTIF(Main_Dil,"-")+ROW()-3-$AB$2)-9,6),$X$4:$X$99,0),2)),"-")</f>
        <v>-</v>
      </c>
      <c r="AP75" s="510" t="str">
        <f t="array" aca="1" ref="AP75" ca="1">IFERROR(IF(AI75&lt;=$AB$2,"-",INDEX(Calculation_Tab,SMALL(ROW(Main_Dil)*(Main_Dil&lt;&gt;"-"),COUNTIF(Main_Dil,"-")+ROW()-3-$AB$2)-9,21)),"-")</f>
        <v>-</v>
      </c>
      <c r="AQ75" s="511" t="str">
        <f t="array" aca="1" ref="AQ75" ca="1">IFERROR(IF(AI75&lt;=$AB$2,"-",INDEX(Calculation_Tab,SMALL(ROW(Main_Dil)*(Main_Dil&lt;&gt;"-"),COUNTIF(Main_Dil,"-")+ROW()-3-$AB$2)-9,22)),"-")</f>
        <v>-</v>
      </c>
      <c r="AR75" s="487" t="str">
        <f t="shared" ca="1" si="50"/>
        <v>-</v>
      </c>
      <c r="AS75" s="378">
        <v>72</v>
      </c>
      <c r="AT75" s="497" t="s">
        <v>160</v>
      </c>
      <c r="AU75" s="498">
        <v>72</v>
      </c>
      <c r="AV75" s="378" t="str">
        <f t="shared" ca="1" si="51"/>
        <v>-</v>
      </c>
      <c r="AW75" s="378" t="str">
        <f t="array" aca="1" ref="AW75" ca="1">IFERROR(IF(AS75&lt;=$AB$2+$AN$2,"-",INDEX(Calculation_Tab,SMALL(ROW(Direct_Denaturation)*(Direct_Denaturation&lt;&gt;"-"),COUNTIF(Direct_Denaturation,"-")+ROW()-3-$AB$2-$AN$2)-9,5)),"-")</f>
        <v>-</v>
      </c>
      <c r="AX75" s="378" t="str">
        <f t="array" aca="1" ref="AX75" ca="1">IFERROR(IF(AS75&lt;=$AB$2+$AN$2,"-",INDEX($A$3:$B$12,MATCH(INDEX(Calculation_Tab,SMALL(ROW(Direct_Denaturation)*(Direct_Denaturation&lt;&gt;"-"),COUNTIF(Direct_Denaturation,"-")+ROW()-3-$AB$2-$AN$2)-9,5),$A$3:$A$12,0),2)),"-")</f>
        <v>-</v>
      </c>
      <c r="AY75" s="378" t="str">
        <f t="array" aca="1" ref="AY75" ca="1">IFERROR(IF(AS75&lt;=$AB$2+$AN$2,"-",INDEX(Coordinate,MATCH(INDEX(Calculation_Tab,SMALL(ROW(Direct_Denaturation)*(Direct_Denaturation&lt;&gt;"-"),COUNTIF(Direct_Denaturation,"-")+ROW()-3-$AB$2-$AN$2)-9,6),$X$4:$X$99,0),2)),"-")</f>
        <v>-</v>
      </c>
      <c r="AZ75" s="510" t="str">
        <f t="array" aca="1" ref="AZ75" ca="1">IFERROR(IF(AS75&lt;=$AB$2+$AN$2,"-",INDEX(Calculation_Tab,SMALL(ROW(Direct_Denaturation)*(Direct_Denaturation&lt;&gt;"-"),COUNTIF(Direct_Denaturation,"-")+ROW()-3-$AB$2-$AN$2)-9,32)),"-")</f>
        <v>-</v>
      </c>
      <c r="BA75" s="510" t="str">
        <f t="array" aca="1" ref="BA75" ca="1">IFERROR(IF(AS75&lt;=$AB$2+$AN$2,"-",INDEX(Calculation_Tab,SMALL(ROW(Direct_Denaturation)*(Direct_Denaturation&lt;&gt;"-"),COUNTIF(Direct_Denaturation,"-")+ROW()-3-$AB$2-$AN$2)-9,34)),"-")</f>
        <v>-</v>
      </c>
      <c r="BB75" s="510" t="str">
        <f t="array" aca="1" ref="BB75" ca="1">IFERROR(IF(AS75&lt;=$AB$2+$AN$2,"-",INDEX(Calculation_Tab,SMALL(ROW(Direct_Denaturation)*(Direct_Denaturation&lt;&gt;"-"),COUNTIF(Direct_Denaturation,"-")+ROW()-3-$AB$2-$AN$2)-9,33)),"-")</f>
        <v>-</v>
      </c>
      <c r="BC75" s="510" t="str">
        <f t="array" aca="1" ref="BC75" ca="1">IFERROR(IF(AS75&lt;=$AB$2+$AN$2,"-",INDEX(Calculation_Tab,SMALL(ROW(Direct_Denaturation)*(Direct_Denaturation&lt;&gt;"-"),COUNTIF(Direct_Denaturation,"-")+ROW()-3-$AB$2-$AN$2)-9,35)),"-")</f>
        <v>-</v>
      </c>
      <c r="BD75" s="511" t="str">
        <f t="shared" ca="1" si="52"/>
        <v>-</v>
      </c>
      <c r="BE75" s="494" t="s">
        <v>430</v>
      </c>
      <c r="BF75" s="378">
        <v>72</v>
      </c>
      <c r="BG75" s="515" t="str">
        <v>-</v>
      </c>
      <c r="BH75" s="516" t="str">
        <f>IFERROR(IF((Calculation!$AR$6/INDEX(ListAndConversion!D:P,MATCH(BG75,E:E,0),13))&lt;Calculation!$O$6,INDEX(ListAndConversion!D:P,MATCH(BG75,E:E,0),13)*Calculation!$O$6,Calculation!$AR$6),"-")</f>
        <v>-</v>
      </c>
      <c r="BI75" s="517" t="str">
        <f t="shared" si="53"/>
        <v>-</v>
      </c>
      <c r="BJ75" s="518" t="str">
        <f t="shared" si="54"/>
        <v>-</v>
      </c>
      <c r="BK75" s="378" t="s">
        <v>158</v>
      </c>
      <c r="BL75" s="378">
        <v>72</v>
      </c>
      <c r="BM75" s="487" t="str">
        <f t="array" aca="1" ref="BM75" ca="1">IFERROR(INDEX(Calculation_Tab,SMALL(ROW(ToPool)*(ToPool&lt;&gt;"-"),COUNTIF(ToPool,"-")+ROW()-3)-9,3),"-")</f>
        <v>-</v>
      </c>
      <c r="BN75" s="378" t="str">
        <f t="shared" ca="1" si="55"/>
        <v>-</v>
      </c>
      <c r="BO75" s="378" t="str">
        <f t="shared" ca="1" si="56"/>
        <v>-</v>
      </c>
      <c r="BP75" s="523" t="str">
        <f t="shared" ca="1" si="57"/>
        <v>-</v>
      </c>
      <c r="BQ75" s="378" t="str">
        <f t="array" aca="1" ref="BQ75" ca="1">IFERROR(INDEX(BE:BG,MATCH(INDEX(Calculation_Tab,SMALL(ROW(ToPool)*(ToPool&lt;&gt;"-"),COUNTIF(ToPool,"-")+ROW()-3)-9,9),BG:BG,0),2),"-")</f>
        <v>-</v>
      </c>
      <c r="BR75" s="510" t="str">
        <f t="shared" ca="1" si="58"/>
        <v>-</v>
      </c>
      <c r="BS75" s="511" t="str">
        <f t="shared" ca="1" si="59"/>
        <v>-</v>
      </c>
      <c r="BT75" s="378" t="s">
        <v>164</v>
      </c>
      <c r="BU75" s="487" t="str">
        <f t="shared" ca="1" si="63"/>
        <v>-</v>
      </c>
      <c r="BV75" s="487" t="str">
        <f t="array" aca="1" ref="BV7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75" s="378" t="str">
        <f t="shared" ca="1" si="60"/>
        <v>-</v>
      </c>
      <c r="BX75" s="378" t="str">
        <f t="shared" ca="1" si="61"/>
        <v>-</v>
      </c>
      <c r="BY75" s="510" t="str">
        <f ca="1">IFERROR(ROUND(INDEX(Cluster,MATCH(IF(LEFT(BV75,4)="Pool",INDEX(Cluster,MATCH(INDEX(Calculation_Tab,MATCH(INDEX($BE$4:$BJ$99,MATCH(BV75,$BE$4:$BE$99,0),3),Flow_Cell_Lane,0),3),Cluster!$F$29:$F$412,0),6),BV75),Identifier_Cluster,0),19)*IF(LEFT(BV75,4)="pool",IF(LEN(INDEX($BE$4:$BJ$99,MATCH(BV75,$BE$4:$BE$99,0),3))=10,2,IF(LEN(INDEX($BE$4:$BJ$99,MATCH(BV75,$BE$4:$BE$99,0),3))&gt;10,LEN(INDEX($BE$4:$BJ$99,MATCH(BV75,$BE$4:$BE$99,0),3))-8,1)),1)*IF(LEFT(BV75,4)="pool",IF(INDEX($BE$4:$BJ$99,MATCH(BV75,$BE$4:$BE$99,0),6)&lt;1,1,INDEX($BE$4:$BJ$99,MATCH(BV75,$BE$4:$BE$99,0),6)),INDEX(Calculation_Tab,MATCH(BV75,Identifier,0),10)),1)*(1+Calculation!$Q$6),"-")</f>
        <v>-</v>
      </c>
      <c r="BZ75" s="378" t="str">
        <f ca="1">IFERROR((0.5/50)*CE75/Calculation!$AG$6*(IF(LEFT(BV75,4)="Pool",IF(LEN(INDEX($BE$4:$BJ$99,MATCH(BV75,$BE$4:$BE$99,0),3))=10,2,IF(LEN(INDEX($BE$4:$BJ$99,MATCH(BV75,$BE$4:$BE$99,0),3))&gt;10,LEN(INDEX($BE$4:$BJ$99,MATCH(BV75,$BE$4:$BE$99,0),3))-8,1)),IF(INDEX(Calculation_Tab,MATCH(BV75,Identifier,0),10)&gt;1,INDEX(Calculation_Tab,MATCH(BV75,Identifier,0),10),1)))*(1+Calculation!$Q$6),"-")</f>
        <v>-</v>
      </c>
      <c r="CA75" s="510" t="str">
        <f ca="1">IFERROR(IF((BZ75*Calculation!$AG$6/0.05)-SUM(BY75:BZ75,CC75)&gt;0,(BZ75*Calculation!$AG$6/0.05)-SUM(BY75:BZ75,CC75),0),"-")</f>
        <v>-</v>
      </c>
      <c r="CB75" s="510" t="str">
        <f ca="1">IFERROR(5/50*CE75*(IF(LEFT(BV75,4)="Pool",IF(LEN(INDEX($BE$4:$BJ$99,MATCH(BV75,$BE$4:$BE$99,0),3))=10,2,IF(LEN(INDEX($BE$4:$BJ$99,MATCH(BV75,$BE$4:$BE$99,0),3))&gt;10,LEN(INDEX($BE$4:$BJ$99,MATCH(BV75,$BE$4:$BE$99,0),3))-8,1)),IF(INDEX(Calculation_Tab,MATCH(BV75,Identifier,0),10)&gt;1,INDEX(Calculation_Tab,MATCH(BV75,Identifier,0),10),1)))*(1+Calculation!$Q$6),"-")</f>
        <v>-</v>
      </c>
      <c r="CC75" s="508" t="str">
        <f ca="1">IFERROR(ROUND(INDEX(Cluster,MATCH(IF(LEFT(BV75,4)="Pool",INDEX(Cluster,MATCH(INDEX(Calculation_Tab,MATCH(INDEX($BE$4:$BJ$99,MATCH(BV75,$BE$4:$BE$99,0),3),Flow_Cell_Lane,0),3),Cluster!$F$29:$F$412,0),6),BV75),Identifier_Cluster,0),20)*IF(LEFT(BV75,4)="pool",IF(LEN(INDEX($BE$4:$BJ$99,MATCH(BV75,$BE$4:$BE$99,0),3))=10,2,IF(LEN(INDEX($BE$4:$BJ$99,MATCH(BV75,$BE$4:$BE$99,0),3))&gt;10,LEN(INDEX($BE$4:$BJ$99,MATCH(BV75,$BE$4:$BE$99,0),3))-8,1)),1)*IF(LEFT(BV75,4)="pool",IF(INDEX($BE$4:$BJ$99,MATCH(BV75,$BE$4:$BE$99,0),6)&lt;1,1,INDEX($BE$4:$BJ$99,MATCH(BV75,$BE$4:$BE$99,0),6)),INDEX(Calculation_Tab,MATCH(BV75,Identifier,0),10)),1)*(1+Calculation!$Q$6),"-")</f>
        <v>-</v>
      </c>
      <c r="CD75" s="509" t="str">
        <f ca="1">IFERROR(INDEX(Cluster!AC:AD,MATCH(IF(LEFT(BV75,4)="Pool",INDEX(Cluster!$D$29:$AA$412,MATCH(INDEX(Calculation_Tab,MATCH(INDEX($BE$4:$BJ$99,MATCH(BV75,$BE$4:$BE$99,0),3),Flow_Cell_Lane,0),3),Cluster!$F$29:$F$412,0),24),INDEX(Cluster!$D$29:$AA$412,MATCH(BV75,Cluster!$F$29:$F$412,0),24)),Cluster!AC:AC,0),2),"-")</f>
        <v>-</v>
      </c>
      <c r="CE75" s="378" t="str">
        <f ca="1">IFERROR(IF(BV75&lt;&gt;"-",Calculation!$AK$6,"-"),"-")</f>
        <v>-</v>
      </c>
      <c r="CF75" s="378" t="str">
        <f ca="1">IF(OR(LEFT(ListAndConversion!BW75,3)="Dil",LEFT(ListAndConversion!BW75,3)="Poo"),ListAndConversion!$BT$4,IF(LEFT(ListAndConversion!BW75,3)="Sou",INDEX(ListAndConversion!$AT$3:$AV$387,MATCH(ListAndConversion!BV75,ListAndConversion!$AV$3:$AV$387,0),1),"-"))</f>
        <v>-</v>
      </c>
      <c r="CG75" s="498" t="str">
        <f ca="1">IF(OR(LEFT(ListAndConversion!BW75,3)="Dil",LEFT(ListAndConversion!BW75,3)="Poo"),ListAndConversion!BU75,IF(LEFT(ListAndConversion!BW75,3)="Sou",INDEX(ListAndConversion!$AT$4:$AV$387,MATCH(ListAndConversion!BV75,ListAndConversion!$AV$4:$AV$387,0),2),"-"))</f>
        <v>-</v>
      </c>
      <c r="CH75" s="378"/>
      <c r="CI75" s="487" t="str">
        <f t="shared" ca="1" si="62"/>
        <v>-</v>
      </c>
      <c r="CJ75" s="378" t="str">
        <f t="shared" ca="1" si="65"/>
        <v>-</v>
      </c>
      <c r="CK75" s="378" t="str">
        <f t="shared" ca="1" si="65"/>
        <v>-</v>
      </c>
      <c r="CL75" s="378" t="str">
        <f t="shared" ca="1" si="65"/>
        <v>-</v>
      </c>
      <c r="CM75" s="378" t="str">
        <f t="shared" ca="1" si="65"/>
        <v>-</v>
      </c>
      <c r="CN75" s="378" t="str">
        <f t="shared" ca="1" si="65"/>
        <v>-</v>
      </c>
      <c r="CO75" s="378" t="str">
        <f t="shared" ca="1" si="65"/>
        <v>-</v>
      </c>
      <c r="CP75" s="378" t="str">
        <f t="shared" ca="1" si="65"/>
        <v>-</v>
      </c>
      <c r="CQ75" s="378" t="str">
        <f t="shared" ca="1" si="65"/>
        <v>-</v>
      </c>
      <c r="CR75" s="510" t="str">
        <f ca="1">IFERROR(IF(LEFT(BW75,3)="Poo",INDEX($BE$4:$BJ$99,MATCH(CI75,$BG$4:$BG$99,0),6)*((15/50))*Calculation!$AK$6,INDEX(Calculation_Tab,MATCH(BV75,Identifier,0),10)/(IF(LEN(INDEX(Calculation_Tab,MATCH(BV75,Identifier,0),9))&gt;8,LEN(INDEX(Calculation_Tab,MATCH(BV75,Identifier,0),9))-8,1))*((15/50)*Calculation!$AK$6)),"-")</f>
        <v>-</v>
      </c>
      <c r="CS75" s="498" t="str">
        <f ca="1">IF(CI75="-","-",IF(COUNTIF($CI$3:CI75,CI75)&gt;1,0,IFERROR((35/50)*Calculation!$AK$6,"-")))</f>
        <v>-</v>
      </c>
    </row>
    <row r="76" spans="4:97" x14ac:dyDescent="0.5">
      <c r="D76" s="487" t="e">
        <f t="shared" si="44"/>
        <v>#DIV/0!</v>
      </c>
      <c r="E76" s="496" t="e">
        <f t="array" ref="E76">IF(IF((ROW(E76)-3)&lt;(ListAndConversion!$A$15),INDEX(Flow_Cell_Lane,MIN(IF(COUNTIF($E$2:E75,Flow_Cell_Lane)=0,ROW(Flow_Cell_Lane)-9))),"-")="","-",IF((ROW(E76)-3)&lt;(ListAndConversion!$A$15),INDEX(Flow_Cell_Lane,MIN(IF(COUNTIF($E$2:E75,Flow_Cell_Lane)=0,ROW(Flow_Cell_Lane)-9))),"-"))</f>
        <v>#DIV/0!</v>
      </c>
      <c r="F76" s="378" t="e">
        <f t="shared" si="45"/>
        <v>#DIV/0!</v>
      </c>
      <c r="G76" s="378" t="e">
        <f t="shared" si="64"/>
        <v>#DIV/0!</v>
      </c>
      <c r="H76" s="378" t="e">
        <f t="shared" si="64"/>
        <v>#DIV/0!</v>
      </c>
      <c r="I76" s="378" t="e">
        <f t="shared" si="64"/>
        <v>#DIV/0!</v>
      </c>
      <c r="J76" s="378" t="e">
        <f t="shared" si="64"/>
        <v>#DIV/0!</v>
      </c>
      <c r="K76" s="378" t="e">
        <f t="shared" si="64"/>
        <v>#DIV/0!</v>
      </c>
      <c r="L76" s="378" t="e">
        <f t="shared" si="64"/>
        <v>#DIV/0!</v>
      </c>
      <c r="M76" s="378" t="e">
        <f t="shared" si="64"/>
        <v>#DIV/0!</v>
      </c>
      <c r="N76" s="497" t="e">
        <f t="shared" si="46"/>
        <v>#DIV/0!</v>
      </c>
      <c r="O76" s="497" t="str">
        <f t="array" ref="O76">IFERROR(INDEX(Calculation!I:AN,MATCH(ListAndConversion!E76,Calculation!I:I,0),31),"-")</f>
        <v>-</v>
      </c>
      <c r="P76" s="498">
        <f>IF(COUNTIFS(Calculation!$I$10:$I$393,E76,Direct_Denaturation,"-")&lt;&gt;1,COUNTIFS(Calculation!$I$10:$I$393,E76,Direct_Denaturation,"-"),0)</f>
        <v>0</v>
      </c>
      <c r="Q76" s="378"/>
      <c r="R76" s="487" t="e">
        <f t="array" ref="R76">IF(IF((ROW(R76)-3)&lt;(Calculation!$H$6),INDEX(Flow_Cell,MIN(IF(COUNTIF($R$2:R75,Flow_Cell)=0,ROW(Flow_Cell)-9))),"-")="","-",IF((ROW(R76)-3)&lt;(Calculation!$H$6),INDEX(Flow_Cell,MIN(IF(COUNTIF($R$2:R75,Flow_Cell)=0,ROW(Flow_Cell)-9))),"-"))</f>
        <v>#DIV/0!</v>
      </c>
      <c r="S76" s="378" t="e">
        <f t="shared" si="66"/>
        <v>#DIV/0!</v>
      </c>
      <c r="T76" s="378">
        <v>2</v>
      </c>
      <c r="U76" s="498">
        <v>74</v>
      </c>
      <c r="V76" s="487">
        <v>73</v>
      </c>
      <c r="W76" s="497" t="s">
        <v>287</v>
      </c>
      <c r="X76" s="497" t="s">
        <v>431</v>
      </c>
      <c r="Y76" s="378">
        <v>73</v>
      </c>
      <c r="Z76" s="378" t="str">
        <f t="shared" ca="1" si="48"/>
        <v>-</v>
      </c>
      <c r="AA76" s="508" t="str">
        <f t="array" aca="1" ref="AA76" ca="1">IFERROR(INDEX(Calculation_Tab,SMALL(ROW(Sample_Intermediate_Dil)*(Sample_Intermediate_Dil&lt;&gt;"-"),COUNTIF(Sample_Intermediate_Dil,"-")+ROW()-3)-9,5),"-")</f>
        <v>-</v>
      </c>
      <c r="AB76" s="378" t="str">
        <f t="array" aca="1" ref="AB76" ca="1">IFERROR(INDEX($A$3:$B$12,MATCH(INDEX(Calculation_Tab,SMALL(ROW(Sample_Intermediate_Dil)*(Sample_Intermediate_Dil&lt;&gt;"-"),COUNTIF(Sample_Intermediate_Dil,"-")+ROW()-3)-9,5),$A$3:$A$12,0),2),"-")</f>
        <v>-</v>
      </c>
      <c r="AC76" s="509" t="str">
        <f t="array" aca="1" ref="AC76" ca="1">IFERROR(INDEX(Coordinate,MATCH(INDEX(Calculation_Tab,SMALL(ROW(Sample_Intermediate_Dil)*(Sample_Intermediate_Dil&lt;&gt;"-"),COUNTIF(Sample_Intermediate_Dil,"-")+ROW()-3)-9,6),$X$4:$X$99,0),2),"-")</f>
        <v>-</v>
      </c>
      <c r="AD76" s="510" t="str">
        <f t="array" aca="1" ref="AD76" ca="1">IFERROR(INDEX(Calculation_Tab,SMALL(ROW(Sample_Intermediate_Dil)*(Sample_Intermediate_Dil&lt;&gt;"-"),COUNTIF(Sample_Intermediate_Dil,"-")+ROW()-3)-9,24),"-")</f>
        <v>-</v>
      </c>
      <c r="AE76" s="510" t="str">
        <f t="array" aca="1" ref="AE76" ca="1">IFERROR(INDEX(Calculation_Tab,SMALL(ROW(Sample_Intermediate_Dil)*(Sample_Intermediate_Dil&lt;&gt;"-"),COUNTIF(Sample_Intermediate_Dil,"-")+ROW()-3)-9,25),"-")</f>
        <v>-</v>
      </c>
      <c r="AF76" s="510" t="str">
        <f t="array" aca="1" ref="AF76" ca="1">IFERROR(INDEX(Calculation_Tab,SMALL(ROW(Sample_Intermediate_Dil)*(Sample_Intermediate_Dil&lt;&gt;"-"),COUNTIF(Sample_Intermediate_Dil,"-")+ROW()-3)-9,26),"-")</f>
        <v>-</v>
      </c>
      <c r="AG76" s="511" t="str">
        <f t="array" aca="1" ref="AG76" ca="1">IFERROR(INDEX(Calculation_Tab,SMALL(ROW(Sample_Intermediate_Dil)*(Sample_Intermediate_Dil&lt;&gt;"-"),COUNTIF(Sample_Intermediate_Dil,"-")+ROW()-3)-9,27),"-")</f>
        <v>-</v>
      </c>
      <c r="AI76" s="487">
        <v>73</v>
      </c>
      <c r="AJ76" s="497" t="s">
        <v>160</v>
      </c>
      <c r="AK76" s="378">
        <v>73</v>
      </c>
      <c r="AL76" s="378" t="str">
        <f t="shared" ca="1" si="49"/>
        <v>-</v>
      </c>
      <c r="AM76" s="378" t="str">
        <f t="array" aca="1" ref="AM76" ca="1">IFERROR(IF(AI76&lt;=$AB$2,"-",INDEX(Calculation_Tab,SMALL(ROW(Main_Dil)*(Main_Dil&lt;&gt;"-"),COUNTIF(Main_Dil,"-")+ROW()-3-$AB$2)-9,5)),"-")</f>
        <v>-</v>
      </c>
      <c r="AN76" s="378" t="str">
        <f t="array" aca="1" ref="AN76" ca="1">IFERROR(IF(AI76&lt;=$AB$2,"-",INDEX($A$3:$B$12,MATCH(INDEX(Calculation_Tab,SMALL(ROW(Main_Dil)*(Main_Dil&lt;&gt;"-"),COUNTIF(Main_Dil,"-")+ROW()-3-$AB$2)-9,5),$A$3:$A$12,0),2)),"-")</f>
        <v>-</v>
      </c>
      <c r="AO76" s="378" t="str">
        <f t="array" aca="1" ref="AO76" ca="1">IFERROR(IF(AI76&lt;=$AB$2,"-",INDEX(Coordinate,MATCH(INDEX(Calculation_Tab,SMALL(ROW(Main_Dil)*(Main_Dil&lt;&gt;"-"),COUNTIF(Main_Dil,"-")+ROW()-3-$AB$2)-9,6),$X$4:$X$99,0),2)),"-")</f>
        <v>-</v>
      </c>
      <c r="AP76" s="510" t="str">
        <f t="array" aca="1" ref="AP76" ca="1">IFERROR(IF(AI76&lt;=$AB$2,"-",INDEX(Calculation_Tab,SMALL(ROW(Main_Dil)*(Main_Dil&lt;&gt;"-"),COUNTIF(Main_Dil,"-")+ROW()-3-$AB$2)-9,21)),"-")</f>
        <v>-</v>
      </c>
      <c r="AQ76" s="511" t="str">
        <f t="array" aca="1" ref="AQ76" ca="1">IFERROR(IF(AI76&lt;=$AB$2,"-",INDEX(Calculation_Tab,SMALL(ROW(Main_Dil)*(Main_Dil&lt;&gt;"-"),COUNTIF(Main_Dil,"-")+ROW()-3-$AB$2)-9,22)),"-")</f>
        <v>-</v>
      </c>
      <c r="AR76" s="487" t="str">
        <f t="shared" ca="1" si="50"/>
        <v>-</v>
      </c>
      <c r="AS76" s="378">
        <v>73</v>
      </c>
      <c r="AT76" s="497" t="s">
        <v>160</v>
      </c>
      <c r="AU76" s="498">
        <v>73</v>
      </c>
      <c r="AV76" s="378" t="str">
        <f t="shared" ca="1" si="51"/>
        <v>-</v>
      </c>
      <c r="AW76" s="378" t="str">
        <f t="array" aca="1" ref="AW76" ca="1">IFERROR(IF(AS76&lt;=$AB$2+$AN$2,"-",INDEX(Calculation_Tab,SMALL(ROW(Direct_Denaturation)*(Direct_Denaturation&lt;&gt;"-"),COUNTIF(Direct_Denaturation,"-")+ROW()-3-$AB$2-$AN$2)-9,5)),"-")</f>
        <v>-</v>
      </c>
      <c r="AX76" s="378" t="str">
        <f t="array" aca="1" ref="AX76" ca="1">IFERROR(IF(AS76&lt;=$AB$2+$AN$2,"-",INDEX($A$3:$B$12,MATCH(INDEX(Calculation_Tab,SMALL(ROW(Direct_Denaturation)*(Direct_Denaturation&lt;&gt;"-"),COUNTIF(Direct_Denaturation,"-")+ROW()-3-$AB$2-$AN$2)-9,5),$A$3:$A$12,0),2)),"-")</f>
        <v>-</v>
      </c>
      <c r="AY76" s="378" t="str">
        <f t="array" aca="1" ref="AY76" ca="1">IFERROR(IF(AS76&lt;=$AB$2+$AN$2,"-",INDEX(Coordinate,MATCH(INDEX(Calculation_Tab,SMALL(ROW(Direct_Denaturation)*(Direct_Denaturation&lt;&gt;"-"),COUNTIF(Direct_Denaturation,"-")+ROW()-3-$AB$2-$AN$2)-9,6),$X$4:$X$99,0),2)),"-")</f>
        <v>-</v>
      </c>
      <c r="AZ76" s="510" t="str">
        <f t="array" aca="1" ref="AZ76" ca="1">IFERROR(IF(AS76&lt;=$AB$2+$AN$2,"-",INDEX(Calculation_Tab,SMALL(ROW(Direct_Denaturation)*(Direct_Denaturation&lt;&gt;"-"),COUNTIF(Direct_Denaturation,"-")+ROW()-3-$AB$2-$AN$2)-9,32)),"-")</f>
        <v>-</v>
      </c>
      <c r="BA76" s="510" t="str">
        <f t="array" aca="1" ref="BA76" ca="1">IFERROR(IF(AS76&lt;=$AB$2+$AN$2,"-",INDEX(Calculation_Tab,SMALL(ROW(Direct_Denaturation)*(Direct_Denaturation&lt;&gt;"-"),COUNTIF(Direct_Denaturation,"-")+ROW()-3-$AB$2-$AN$2)-9,34)),"-")</f>
        <v>-</v>
      </c>
      <c r="BB76" s="510" t="str">
        <f t="array" aca="1" ref="BB76" ca="1">IFERROR(IF(AS76&lt;=$AB$2+$AN$2,"-",INDEX(Calculation_Tab,SMALL(ROW(Direct_Denaturation)*(Direct_Denaturation&lt;&gt;"-"),COUNTIF(Direct_Denaturation,"-")+ROW()-3-$AB$2-$AN$2)-9,33)),"-")</f>
        <v>-</v>
      </c>
      <c r="BC76" s="510" t="str">
        <f t="array" aca="1" ref="BC76" ca="1">IFERROR(IF(AS76&lt;=$AB$2+$AN$2,"-",INDEX(Calculation_Tab,SMALL(ROW(Direct_Denaturation)*(Direct_Denaturation&lt;&gt;"-"),COUNTIF(Direct_Denaturation,"-")+ROW()-3-$AB$2-$AN$2)-9,35)),"-")</f>
        <v>-</v>
      </c>
      <c r="BD76" s="511" t="str">
        <f t="shared" ca="1" si="52"/>
        <v>-</v>
      </c>
      <c r="BE76" s="494" t="s">
        <v>432</v>
      </c>
      <c r="BF76" s="378">
        <v>73</v>
      </c>
      <c r="BG76" s="515" t="str">
        <v>-</v>
      </c>
      <c r="BH76" s="516" t="str">
        <f>IFERROR(IF((Calculation!$AR$6/INDEX(ListAndConversion!D:P,MATCH(BG76,E:E,0),13))&lt;Calculation!$O$6,INDEX(ListAndConversion!D:P,MATCH(BG76,E:E,0),13)*Calculation!$O$6,Calculation!$AR$6),"-")</f>
        <v>-</v>
      </c>
      <c r="BI76" s="517" t="str">
        <f t="shared" si="53"/>
        <v>-</v>
      </c>
      <c r="BJ76" s="518" t="str">
        <f t="shared" si="54"/>
        <v>-</v>
      </c>
      <c r="BK76" s="378" t="s">
        <v>158</v>
      </c>
      <c r="BL76" s="378">
        <v>73</v>
      </c>
      <c r="BM76" s="487" t="str">
        <f t="array" aca="1" ref="BM76" ca="1">IFERROR(INDEX(Calculation_Tab,SMALL(ROW(ToPool)*(ToPool&lt;&gt;"-"),COUNTIF(ToPool,"-")+ROW()-3)-9,3),"-")</f>
        <v>-</v>
      </c>
      <c r="BN76" s="378" t="str">
        <f t="shared" ca="1" si="55"/>
        <v>-</v>
      </c>
      <c r="BO76" s="378" t="str">
        <f t="shared" ca="1" si="56"/>
        <v>-</v>
      </c>
      <c r="BP76" s="523" t="str">
        <f t="shared" ca="1" si="57"/>
        <v>-</v>
      </c>
      <c r="BQ76" s="378" t="str">
        <f t="array" aca="1" ref="BQ76" ca="1">IFERROR(INDEX(BE:BG,MATCH(INDEX(Calculation_Tab,SMALL(ROW(ToPool)*(ToPool&lt;&gt;"-"),COUNTIF(ToPool,"-")+ROW()-3)-9,9),BG:BG,0),2),"-")</f>
        <v>-</v>
      </c>
      <c r="BR76" s="510" t="str">
        <f t="shared" ca="1" si="58"/>
        <v>-</v>
      </c>
      <c r="BS76" s="511" t="str">
        <f t="shared" ca="1" si="59"/>
        <v>-</v>
      </c>
      <c r="BT76" s="378" t="s">
        <v>164</v>
      </c>
      <c r="BU76" s="487" t="str">
        <f t="shared" ca="1" si="63"/>
        <v>-</v>
      </c>
      <c r="BV76" s="487" t="str">
        <f t="array" aca="1" ref="BV7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76" s="378" t="str">
        <f t="shared" ca="1" si="60"/>
        <v>-</v>
      </c>
      <c r="BX76" s="378" t="str">
        <f t="shared" ca="1" si="61"/>
        <v>-</v>
      </c>
      <c r="BY76" s="510" t="str">
        <f ca="1">IFERROR(ROUND(INDEX(Cluster,MATCH(IF(LEFT(BV76,4)="Pool",INDEX(Cluster,MATCH(INDEX(Calculation_Tab,MATCH(INDEX($BE$4:$BJ$99,MATCH(BV76,$BE$4:$BE$99,0),3),Flow_Cell_Lane,0),3),Cluster!$F$29:$F$412,0),6),BV76),Identifier_Cluster,0),19)*IF(LEFT(BV76,4)="pool",IF(LEN(INDEX($BE$4:$BJ$99,MATCH(BV76,$BE$4:$BE$99,0),3))=10,2,IF(LEN(INDEX($BE$4:$BJ$99,MATCH(BV76,$BE$4:$BE$99,0),3))&gt;10,LEN(INDEX($BE$4:$BJ$99,MATCH(BV76,$BE$4:$BE$99,0),3))-8,1)),1)*IF(LEFT(BV76,4)="pool",IF(INDEX($BE$4:$BJ$99,MATCH(BV76,$BE$4:$BE$99,0),6)&lt;1,1,INDEX($BE$4:$BJ$99,MATCH(BV76,$BE$4:$BE$99,0),6)),INDEX(Calculation_Tab,MATCH(BV76,Identifier,0),10)),1)*(1+Calculation!$Q$6),"-")</f>
        <v>-</v>
      </c>
      <c r="BZ76" s="378" t="str">
        <f ca="1">IFERROR((0.5/50)*CE76/Calculation!$AG$6*(IF(LEFT(BV76,4)="Pool",IF(LEN(INDEX($BE$4:$BJ$99,MATCH(BV76,$BE$4:$BE$99,0),3))=10,2,IF(LEN(INDEX($BE$4:$BJ$99,MATCH(BV76,$BE$4:$BE$99,0),3))&gt;10,LEN(INDEX($BE$4:$BJ$99,MATCH(BV76,$BE$4:$BE$99,0),3))-8,1)),IF(INDEX(Calculation_Tab,MATCH(BV76,Identifier,0),10)&gt;1,INDEX(Calculation_Tab,MATCH(BV76,Identifier,0),10),1)))*(1+Calculation!$Q$6),"-")</f>
        <v>-</v>
      </c>
      <c r="CA76" s="510" t="str">
        <f ca="1">IFERROR(IF((BZ76*Calculation!$AG$6/0.05)-SUM(BY76:BZ76,CC76)&gt;0,(BZ76*Calculation!$AG$6/0.05)-SUM(BY76:BZ76,CC76),0),"-")</f>
        <v>-</v>
      </c>
      <c r="CB76" s="510" t="str">
        <f ca="1">IFERROR(5/50*CE76*(IF(LEFT(BV76,4)="Pool",IF(LEN(INDEX($BE$4:$BJ$99,MATCH(BV76,$BE$4:$BE$99,0),3))=10,2,IF(LEN(INDEX($BE$4:$BJ$99,MATCH(BV76,$BE$4:$BE$99,0),3))&gt;10,LEN(INDEX($BE$4:$BJ$99,MATCH(BV76,$BE$4:$BE$99,0),3))-8,1)),IF(INDEX(Calculation_Tab,MATCH(BV76,Identifier,0),10)&gt;1,INDEX(Calculation_Tab,MATCH(BV76,Identifier,0),10),1)))*(1+Calculation!$Q$6),"-")</f>
        <v>-</v>
      </c>
      <c r="CC76" s="508" t="str">
        <f ca="1">IFERROR(ROUND(INDEX(Cluster,MATCH(IF(LEFT(BV76,4)="Pool",INDEX(Cluster,MATCH(INDEX(Calculation_Tab,MATCH(INDEX($BE$4:$BJ$99,MATCH(BV76,$BE$4:$BE$99,0),3),Flow_Cell_Lane,0),3),Cluster!$F$29:$F$412,0),6),BV76),Identifier_Cluster,0),20)*IF(LEFT(BV76,4)="pool",IF(LEN(INDEX($BE$4:$BJ$99,MATCH(BV76,$BE$4:$BE$99,0),3))=10,2,IF(LEN(INDEX($BE$4:$BJ$99,MATCH(BV76,$BE$4:$BE$99,0),3))&gt;10,LEN(INDEX($BE$4:$BJ$99,MATCH(BV76,$BE$4:$BE$99,0),3))-8,1)),1)*IF(LEFT(BV76,4)="pool",IF(INDEX($BE$4:$BJ$99,MATCH(BV76,$BE$4:$BE$99,0),6)&lt;1,1,INDEX($BE$4:$BJ$99,MATCH(BV76,$BE$4:$BE$99,0),6)),INDEX(Calculation_Tab,MATCH(BV76,Identifier,0),10)),1)*(1+Calculation!$Q$6),"-")</f>
        <v>-</v>
      </c>
      <c r="CD76" s="509" t="str">
        <f ca="1">IFERROR(INDEX(Cluster!AC:AD,MATCH(IF(LEFT(BV76,4)="Pool",INDEX(Cluster!$D$29:$AA$412,MATCH(INDEX(Calculation_Tab,MATCH(INDEX($BE$4:$BJ$99,MATCH(BV76,$BE$4:$BE$99,0),3),Flow_Cell_Lane,0),3),Cluster!$F$29:$F$412,0),24),INDEX(Cluster!$D$29:$AA$412,MATCH(BV76,Cluster!$F$29:$F$412,0),24)),Cluster!AC:AC,0),2),"-")</f>
        <v>-</v>
      </c>
      <c r="CE76" s="378" t="str">
        <f ca="1">IFERROR(IF(BV76&lt;&gt;"-",Calculation!$AK$6,"-"),"-")</f>
        <v>-</v>
      </c>
      <c r="CF76" s="378" t="str">
        <f ca="1">IF(OR(LEFT(ListAndConversion!BW76,3)="Dil",LEFT(ListAndConversion!BW76,3)="Poo"),ListAndConversion!$BT$4,IF(LEFT(ListAndConversion!BW76,3)="Sou",INDEX(ListAndConversion!$AT$3:$AV$387,MATCH(ListAndConversion!BV76,ListAndConversion!$AV$3:$AV$387,0),1),"-"))</f>
        <v>-</v>
      </c>
      <c r="CG76" s="498" t="str">
        <f ca="1">IF(OR(LEFT(ListAndConversion!BW76,3)="Dil",LEFT(ListAndConversion!BW76,3)="Poo"),ListAndConversion!BU76,IF(LEFT(ListAndConversion!BW76,3)="Sou",INDEX(ListAndConversion!$AT$4:$AV$387,MATCH(ListAndConversion!BV76,ListAndConversion!$AV$4:$AV$387,0),2),"-"))</f>
        <v>-</v>
      </c>
      <c r="CH76" s="378"/>
      <c r="CI76" s="487" t="str">
        <f t="shared" ca="1" si="62"/>
        <v>-</v>
      </c>
      <c r="CJ76" s="378" t="str">
        <f t="shared" ca="1" si="65"/>
        <v>-</v>
      </c>
      <c r="CK76" s="378" t="str">
        <f t="shared" ca="1" si="65"/>
        <v>-</v>
      </c>
      <c r="CL76" s="378" t="str">
        <f t="shared" ca="1" si="65"/>
        <v>-</v>
      </c>
      <c r="CM76" s="378" t="str">
        <f t="shared" ca="1" si="65"/>
        <v>-</v>
      </c>
      <c r="CN76" s="378" t="str">
        <f t="shared" ca="1" si="65"/>
        <v>-</v>
      </c>
      <c r="CO76" s="378" t="str">
        <f t="shared" ca="1" si="65"/>
        <v>-</v>
      </c>
      <c r="CP76" s="378" t="str">
        <f t="shared" ca="1" si="65"/>
        <v>-</v>
      </c>
      <c r="CQ76" s="378" t="str">
        <f t="shared" ca="1" si="65"/>
        <v>-</v>
      </c>
      <c r="CR76" s="510" t="str">
        <f ca="1">IFERROR(IF(LEFT(BW76,3)="Poo",INDEX($BE$4:$BJ$99,MATCH(CI76,$BG$4:$BG$99,0),6)*((15/50))*Calculation!$AK$6,INDEX(Calculation_Tab,MATCH(BV76,Identifier,0),10)/(IF(LEN(INDEX(Calculation_Tab,MATCH(BV76,Identifier,0),9))&gt;8,LEN(INDEX(Calculation_Tab,MATCH(BV76,Identifier,0),9))-8,1))*((15/50)*Calculation!$AK$6)),"-")</f>
        <v>-</v>
      </c>
      <c r="CS76" s="498" t="str">
        <f ca="1">IF(CI76="-","-",IF(COUNTIF($CI$3:CI76,CI76)&gt;1,0,IFERROR((35/50)*Calculation!$AK$6,"-")))</f>
        <v>-</v>
      </c>
    </row>
    <row r="77" spans="4:97" x14ac:dyDescent="0.5">
      <c r="D77" s="487" t="e">
        <f t="shared" si="44"/>
        <v>#DIV/0!</v>
      </c>
      <c r="E77" s="496" t="e">
        <f t="array" ref="E77">IF(IF((ROW(E77)-3)&lt;(ListAndConversion!$A$15),INDEX(Flow_Cell_Lane,MIN(IF(COUNTIF($E$2:E76,Flow_Cell_Lane)=0,ROW(Flow_Cell_Lane)-9))),"-")="","-",IF((ROW(E77)-3)&lt;(ListAndConversion!$A$15),INDEX(Flow_Cell_Lane,MIN(IF(COUNTIF($E$2:E76,Flow_Cell_Lane)=0,ROW(Flow_Cell_Lane)-9))),"-"))</f>
        <v>#DIV/0!</v>
      </c>
      <c r="F77" s="378" t="e">
        <f t="shared" si="45"/>
        <v>#DIV/0!</v>
      </c>
      <c r="G77" s="378" t="e">
        <f t="shared" si="64"/>
        <v>#DIV/0!</v>
      </c>
      <c r="H77" s="378" t="e">
        <f t="shared" si="64"/>
        <v>#DIV/0!</v>
      </c>
      <c r="I77" s="378" t="e">
        <f t="shared" si="64"/>
        <v>#DIV/0!</v>
      </c>
      <c r="J77" s="378" t="e">
        <f t="shared" si="64"/>
        <v>#DIV/0!</v>
      </c>
      <c r="K77" s="378" t="e">
        <f t="shared" si="64"/>
        <v>#DIV/0!</v>
      </c>
      <c r="L77" s="378" t="e">
        <f t="shared" si="64"/>
        <v>#DIV/0!</v>
      </c>
      <c r="M77" s="378" t="e">
        <f t="shared" si="64"/>
        <v>#DIV/0!</v>
      </c>
      <c r="N77" s="497" t="e">
        <f t="shared" si="46"/>
        <v>#DIV/0!</v>
      </c>
      <c r="O77" s="497" t="str">
        <f t="array" ref="O77">IFERROR(INDEX(Calculation!I:AN,MATCH(ListAndConversion!E77,Calculation!I:I,0),31),"-")</f>
        <v>-</v>
      </c>
      <c r="P77" s="498">
        <f>IF(COUNTIFS(Calculation!$I$10:$I$393,E77,Direct_Denaturation,"-")&lt;&gt;1,COUNTIFS(Calculation!$I$10:$I$393,E77,Direct_Denaturation,"-"),0)</f>
        <v>0</v>
      </c>
      <c r="Q77" s="378"/>
      <c r="R77" s="487" t="e">
        <f t="array" ref="R77">IF(IF((ROW(R77)-3)&lt;(Calculation!$H$6),INDEX(Flow_Cell,MIN(IF(COUNTIF($R$2:R76,Flow_Cell)=0,ROW(Flow_Cell)-9))),"-")="","-",IF((ROW(R77)-3)&lt;(Calculation!$H$6),INDEX(Flow_Cell,MIN(IF(COUNTIF($R$2:R76,Flow_Cell)=0,ROW(Flow_Cell)-9))),"-"))</f>
        <v>#DIV/0!</v>
      </c>
      <c r="S77" s="378" t="e">
        <f t="shared" si="66"/>
        <v>#DIV/0!</v>
      </c>
      <c r="T77" s="378">
        <v>3</v>
      </c>
      <c r="U77" s="498">
        <v>75</v>
      </c>
      <c r="V77" s="487">
        <v>74</v>
      </c>
      <c r="W77" s="497" t="s">
        <v>287</v>
      </c>
      <c r="X77" s="497" t="s">
        <v>433</v>
      </c>
      <c r="Y77" s="378">
        <v>74</v>
      </c>
      <c r="Z77" s="378" t="str">
        <f t="shared" ca="1" si="48"/>
        <v>-</v>
      </c>
      <c r="AA77" s="508" t="str">
        <f t="array" aca="1" ref="AA77" ca="1">IFERROR(INDEX(Calculation_Tab,SMALL(ROW(Sample_Intermediate_Dil)*(Sample_Intermediate_Dil&lt;&gt;"-"),COUNTIF(Sample_Intermediate_Dil,"-")+ROW()-3)-9,5),"-")</f>
        <v>-</v>
      </c>
      <c r="AB77" s="378" t="str">
        <f t="array" aca="1" ref="AB77" ca="1">IFERROR(INDEX($A$3:$B$12,MATCH(INDEX(Calculation_Tab,SMALL(ROW(Sample_Intermediate_Dil)*(Sample_Intermediate_Dil&lt;&gt;"-"),COUNTIF(Sample_Intermediate_Dil,"-")+ROW()-3)-9,5),$A$3:$A$12,0),2),"-")</f>
        <v>-</v>
      </c>
      <c r="AC77" s="509" t="str">
        <f t="array" aca="1" ref="AC77" ca="1">IFERROR(INDEX(Coordinate,MATCH(INDEX(Calculation_Tab,SMALL(ROW(Sample_Intermediate_Dil)*(Sample_Intermediate_Dil&lt;&gt;"-"),COUNTIF(Sample_Intermediate_Dil,"-")+ROW()-3)-9,6),$X$4:$X$99,0),2),"-")</f>
        <v>-</v>
      </c>
      <c r="AD77" s="510" t="str">
        <f t="array" aca="1" ref="AD77" ca="1">IFERROR(INDEX(Calculation_Tab,SMALL(ROW(Sample_Intermediate_Dil)*(Sample_Intermediate_Dil&lt;&gt;"-"),COUNTIF(Sample_Intermediate_Dil,"-")+ROW()-3)-9,24),"-")</f>
        <v>-</v>
      </c>
      <c r="AE77" s="510" t="str">
        <f t="array" aca="1" ref="AE77" ca="1">IFERROR(INDEX(Calculation_Tab,SMALL(ROW(Sample_Intermediate_Dil)*(Sample_Intermediate_Dil&lt;&gt;"-"),COUNTIF(Sample_Intermediate_Dil,"-")+ROW()-3)-9,25),"-")</f>
        <v>-</v>
      </c>
      <c r="AF77" s="510" t="str">
        <f t="array" aca="1" ref="AF77" ca="1">IFERROR(INDEX(Calculation_Tab,SMALL(ROW(Sample_Intermediate_Dil)*(Sample_Intermediate_Dil&lt;&gt;"-"),COUNTIF(Sample_Intermediate_Dil,"-")+ROW()-3)-9,26),"-")</f>
        <v>-</v>
      </c>
      <c r="AG77" s="511" t="str">
        <f t="array" aca="1" ref="AG77" ca="1">IFERROR(INDEX(Calculation_Tab,SMALL(ROW(Sample_Intermediate_Dil)*(Sample_Intermediate_Dil&lt;&gt;"-"),COUNTIF(Sample_Intermediate_Dil,"-")+ROW()-3)-9,27),"-")</f>
        <v>-</v>
      </c>
      <c r="AI77" s="487">
        <v>74</v>
      </c>
      <c r="AJ77" s="497" t="s">
        <v>160</v>
      </c>
      <c r="AK77" s="378">
        <v>74</v>
      </c>
      <c r="AL77" s="378" t="str">
        <f t="shared" ca="1" si="49"/>
        <v>-</v>
      </c>
      <c r="AM77" s="378" t="str">
        <f t="array" aca="1" ref="AM77" ca="1">IFERROR(IF(AI77&lt;=$AB$2,"-",INDEX(Calculation_Tab,SMALL(ROW(Main_Dil)*(Main_Dil&lt;&gt;"-"),COUNTIF(Main_Dil,"-")+ROW()-3-$AB$2)-9,5)),"-")</f>
        <v>-</v>
      </c>
      <c r="AN77" s="378" t="str">
        <f t="array" aca="1" ref="AN77" ca="1">IFERROR(IF(AI77&lt;=$AB$2,"-",INDEX($A$3:$B$12,MATCH(INDEX(Calculation_Tab,SMALL(ROW(Main_Dil)*(Main_Dil&lt;&gt;"-"),COUNTIF(Main_Dil,"-")+ROW()-3-$AB$2)-9,5),$A$3:$A$12,0),2)),"-")</f>
        <v>-</v>
      </c>
      <c r="AO77" s="378" t="str">
        <f t="array" aca="1" ref="AO77" ca="1">IFERROR(IF(AI77&lt;=$AB$2,"-",INDEX(Coordinate,MATCH(INDEX(Calculation_Tab,SMALL(ROW(Main_Dil)*(Main_Dil&lt;&gt;"-"),COUNTIF(Main_Dil,"-")+ROW()-3-$AB$2)-9,6),$X$4:$X$99,0),2)),"-")</f>
        <v>-</v>
      </c>
      <c r="AP77" s="510" t="str">
        <f t="array" aca="1" ref="AP77" ca="1">IFERROR(IF(AI77&lt;=$AB$2,"-",INDEX(Calculation_Tab,SMALL(ROW(Main_Dil)*(Main_Dil&lt;&gt;"-"),COUNTIF(Main_Dil,"-")+ROW()-3-$AB$2)-9,21)),"-")</f>
        <v>-</v>
      </c>
      <c r="AQ77" s="511" t="str">
        <f t="array" aca="1" ref="AQ77" ca="1">IFERROR(IF(AI77&lt;=$AB$2,"-",INDEX(Calculation_Tab,SMALL(ROW(Main_Dil)*(Main_Dil&lt;&gt;"-"),COUNTIF(Main_Dil,"-")+ROW()-3-$AB$2)-9,22)),"-")</f>
        <v>-</v>
      </c>
      <c r="AR77" s="487" t="str">
        <f t="shared" ca="1" si="50"/>
        <v>-</v>
      </c>
      <c r="AS77" s="378">
        <v>74</v>
      </c>
      <c r="AT77" s="497" t="s">
        <v>160</v>
      </c>
      <c r="AU77" s="498">
        <v>74</v>
      </c>
      <c r="AV77" s="378" t="str">
        <f t="shared" ca="1" si="51"/>
        <v>-</v>
      </c>
      <c r="AW77" s="378" t="str">
        <f t="array" aca="1" ref="AW77" ca="1">IFERROR(IF(AS77&lt;=$AB$2+$AN$2,"-",INDEX(Calculation_Tab,SMALL(ROW(Direct_Denaturation)*(Direct_Denaturation&lt;&gt;"-"),COUNTIF(Direct_Denaturation,"-")+ROW()-3-$AB$2-$AN$2)-9,5)),"-")</f>
        <v>-</v>
      </c>
      <c r="AX77" s="378" t="str">
        <f t="array" aca="1" ref="AX77" ca="1">IFERROR(IF(AS77&lt;=$AB$2+$AN$2,"-",INDEX($A$3:$B$12,MATCH(INDEX(Calculation_Tab,SMALL(ROW(Direct_Denaturation)*(Direct_Denaturation&lt;&gt;"-"),COUNTIF(Direct_Denaturation,"-")+ROW()-3-$AB$2-$AN$2)-9,5),$A$3:$A$12,0),2)),"-")</f>
        <v>-</v>
      </c>
      <c r="AY77" s="378" t="str">
        <f t="array" aca="1" ref="AY77" ca="1">IFERROR(IF(AS77&lt;=$AB$2+$AN$2,"-",INDEX(Coordinate,MATCH(INDEX(Calculation_Tab,SMALL(ROW(Direct_Denaturation)*(Direct_Denaturation&lt;&gt;"-"),COUNTIF(Direct_Denaturation,"-")+ROW()-3-$AB$2-$AN$2)-9,6),$X$4:$X$99,0),2)),"-")</f>
        <v>-</v>
      </c>
      <c r="AZ77" s="510" t="str">
        <f t="array" aca="1" ref="AZ77" ca="1">IFERROR(IF(AS77&lt;=$AB$2+$AN$2,"-",INDEX(Calculation_Tab,SMALL(ROW(Direct_Denaturation)*(Direct_Denaturation&lt;&gt;"-"),COUNTIF(Direct_Denaturation,"-")+ROW()-3-$AB$2-$AN$2)-9,32)),"-")</f>
        <v>-</v>
      </c>
      <c r="BA77" s="510" t="str">
        <f t="array" aca="1" ref="BA77" ca="1">IFERROR(IF(AS77&lt;=$AB$2+$AN$2,"-",INDEX(Calculation_Tab,SMALL(ROW(Direct_Denaturation)*(Direct_Denaturation&lt;&gt;"-"),COUNTIF(Direct_Denaturation,"-")+ROW()-3-$AB$2-$AN$2)-9,34)),"-")</f>
        <v>-</v>
      </c>
      <c r="BB77" s="510" t="str">
        <f t="array" aca="1" ref="BB77" ca="1">IFERROR(IF(AS77&lt;=$AB$2+$AN$2,"-",INDEX(Calculation_Tab,SMALL(ROW(Direct_Denaturation)*(Direct_Denaturation&lt;&gt;"-"),COUNTIF(Direct_Denaturation,"-")+ROW()-3-$AB$2-$AN$2)-9,33)),"-")</f>
        <v>-</v>
      </c>
      <c r="BC77" s="510" t="str">
        <f t="array" aca="1" ref="BC77" ca="1">IFERROR(IF(AS77&lt;=$AB$2+$AN$2,"-",INDEX(Calculation_Tab,SMALL(ROW(Direct_Denaturation)*(Direct_Denaturation&lt;&gt;"-"),COUNTIF(Direct_Denaturation,"-")+ROW()-3-$AB$2-$AN$2)-9,35)),"-")</f>
        <v>-</v>
      </c>
      <c r="BD77" s="511" t="str">
        <f t="shared" ca="1" si="52"/>
        <v>-</v>
      </c>
      <c r="BE77" s="494" t="s">
        <v>434</v>
      </c>
      <c r="BF77" s="378">
        <v>74</v>
      </c>
      <c r="BG77" s="515" t="str">
        <v>-</v>
      </c>
      <c r="BH77" s="516" t="str">
        <f>IFERROR(IF((Calculation!$AR$6/INDEX(ListAndConversion!D:P,MATCH(BG77,E:E,0),13))&lt;Calculation!$O$6,INDEX(ListAndConversion!D:P,MATCH(BG77,E:E,0),13)*Calculation!$O$6,Calculation!$AR$6),"-")</f>
        <v>-</v>
      </c>
      <c r="BI77" s="517" t="str">
        <f t="shared" si="53"/>
        <v>-</v>
      </c>
      <c r="BJ77" s="518" t="str">
        <f t="shared" si="54"/>
        <v>-</v>
      </c>
      <c r="BK77" s="378" t="s">
        <v>158</v>
      </c>
      <c r="BL77" s="378">
        <v>74</v>
      </c>
      <c r="BM77" s="487" t="str">
        <f t="array" aca="1" ref="BM77" ca="1">IFERROR(INDEX(Calculation_Tab,SMALL(ROW(ToPool)*(ToPool&lt;&gt;"-"),COUNTIF(ToPool,"-")+ROW()-3)-9,3),"-")</f>
        <v>-</v>
      </c>
      <c r="BN77" s="378" t="str">
        <f t="shared" ca="1" si="55"/>
        <v>-</v>
      </c>
      <c r="BO77" s="378" t="str">
        <f t="shared" ca="1" si="56"/>
        <v>-</v>
      </c>
      <c r="BP77" s="523" t="str">
        <f t="shared" ca="1" si="57"/>
        <v>-</v>
      </c>
      <c r="BQ77" s="378" t="str">
        <f t="array" aca="1" ref="BQ77" ca="1">IFERROR(INDEX(BE:BG,MATCH(INDEX(Calculation_Tab,SMALL(ROW(ToPool)*(ToPool&lt;&gt;"-"),COUNTIF(ToPool,"-")+ROW()-3)-9,9),BG:BG,0),2),"-")</f>
        <v>-</v>
      </c>
      <c r="BR77" s="510" t="str">
        <f t="shared" ca="1" si="58"/>
        <v>-</v>
      </c>
      <c r="BS77" s="511" t="str">
        <f t="shared" ca="1" si="59"/>
        <v>-</v>
      </c>
      <c r="BT77" s="378" t="s">
        <v>164</v>
      </c>
      <c r="BU77" s="487" t="str">
        <f t="shared" ca="1" si="63"/>
        <v>-</v>
      </c>
      <c r="BV77" s="487" t="str">
        <f t="array" aca="1" ref="BV7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77" s="378" t="str">
        <f t="shared" ca="1" si="60"/>
        <v>-</v>
      </c>
      <c r="BX77" s="378" t="str">
        <f t="shared" ca="1" si="61"/>
        <v>-</v>
      </c>
      <c r="BY77" s="510" t="str">
        <f ca="1">IFERROR(ROUND(INDEX(Cluster,MATCH(IF(LEFT(BV77,4)="Pool",INDEX(Cluster,MATCH(INDEX(Calculation_Tab,MATCH(INDEX($BE$4:$BJ$99,MATCH(BV77,$BE$4:$BE$99,0),3),Flow_Cell_Lane,0),3),Cluster!$F$29:$F$412,0),6),BV77),Identifier_Cluster,0),19)*IF(LEFT(BV77,4)="pool",IF(LEN(INDEX($BE$4:$BJ$99,MATCH(BV77,$BE$4:$BE$99,0),3))=10,2,IF(LEN(INDEX($BE$4:$BJ$99,MATCH(BV77,$BE$4:$BE$99,0),3))&gt;10,LEN(INDEX($BE$4:$BJ$99,MATCH(BV77,$BE$4:$BE$99,0),3))-8,1)),1)*IF(LEFT(BV77,4)="pool",IF(INDEX($BE$4:$BJ$99,MATCH(BV77,$BE$4:$BE$99,0),6)&lt;1,1,INDEX($BE$4:$BJ$99,MATCH(BV77,$BE$4:$BE$99,0),6)),INDEX(Calculation_Tab,MATCH(BV77,Identifier,0),10)),1)*(1+Calculation!$Q$6),"-")</f>
        <v>-</v>
      </c>
      <c r="BZ77" s="378" t="str">
        <f ca="1">IFERROR((0.5/50)*CE77/Calculation!$AG$6*(IF(LEFT(BV77,4)="Pool",IF(LEN(INDEX($BE$4:$BJ$99,MATCH(BV77,$BE$4:$BE$99,0),3))=10,2,IF(LEN(INDEX($BE$4:$BJ$99,MATCH(BV77,$BE$4:$BE$99,0),3))&gt;10,LEN(INDEX($BE$4:$BJ$99,MATCH(BV77,$BE$4:$BE$99,0),3))-8,1)),IF(INDEX(Calculation_Tab,MATCH(BV77,Identifier,0),10)&gt;1,INDEX(Calculation_Tab,MATCH(BV77,Identifier,0),10),1)))*(1+Calculation!$Q$6),"-")</f>
        <v>-</v>
      </c>
      <c r="CA77" s="510" t="str">
        <f ca="1">IFERROR(IF((BZ77*Calculation!$AG$6/0.05)-SUM(BY77:BZ77,CC77)&gt;0,(BZ77*Calculation!$AG$6/0.05)-SUM(BY77:BZ77,CC77),0),"-")</f>
        <v>-</v>
      </c>
      <c r="CB77" s="510" t="str">
        <f ca="1">IFERROR(5/50*CE77*(IF(LEFT(BV77,4)="Pool",IF(LEN(INDEX($BE$4:$BJ$99,MATCH(BV77,$BE$4:$BE$99,0),3))=10,2,IF(LEN(INDEX($BE$4:$BJ$99,MATCH(BV77,$BE$4:$BE$99,0),3))&gt;10,LEN(INDEX($BE$4:$BJ$99,MATCH(BV77,$BE$4:$BE$99,0),3))-8,1)),IF(INDEX(Calculation_Tab,MATCH(BV77,Identifier,0),10)&gt;1,INDEX(Calculation_Tab,MATCH(BV77,Identifier,0),10),1)))*(1+Calculation!$Q$6),"-")</f>
        <v>-</v>
      </c>
      <c r="CC77" s="508" t="str">
        <f ca="1">IFERROR(ROUND(INDEX(Cluster,MATCH(IF(LEFT(BV77,4)="Pool",INDEX(Cluster,MATCH(INDEX(Calculation_Tab,MATCH(INDEX($BE$4:$BJ$99,MATCH(BV77,$BE$4:$BE$99,0),3),Flow_Cell_Lane,0),3),Cluster!$F$29:$F$412,0),6),BV77),Identifier_Cluster,0),20)*IF(LEFT(BV77,4)="pool",IF(LEN(INDEX($BE$4:$BJ$99,MATCH(BV77,$BE$4:$BE$99,0),3))=10,2,IF(LEN(INDEX($BE$4:$BJ$99,MATCH(BV77,$BE$4:$BE$99,0),3))&gt;10,LEN(INDEX($BE$4:$BJ$99,MATCH(BV77,$BE$4:$BE$99,0),3))-8,1)),1)*IF(LEFT(BV77,4)="pool",IF(INDEX($BE$4:$BJ$99,MATCH(BV77,$BE$4:$BE$99,0),6)&lt;1,1,INDEX($BE$4:$BJ$99,MATCH(BV77,$BE$4:$BE$99,0),6)),INDEX(Calculation_Tab,MATCH(BV77,Identifier,0),10)),1)*(1+Calculation!$Q$6),"-")</f>
        <v>-</v>
      </c>
      <c r="CD77" s="509" t="str">
        <f ca="1">IFERROR(INDEX(Cluster!AC:AD,MATCH(IF(LEFT(BV77,4)="Pool",INDEX(Cluster!$D$29:$AA$412,MATCH(INDEX(Calculation_Tab,MATCH(INDEX($BE$4:$BJ$99,MATCH(BV77,$BE$4:$BE$99,0),3),Flow_Cell_Lane,0),3),Cluster!$F$29:$F$412,0),24),INDEX(Cluster!$D$29:$AA$412,MATCH(BV77,Cluster!$F$29:$F$412,0),24)),Cluster!AC:AC,0),2),"-")</f>
        <v>-</v>
      </c>
      <c r="CE77" s="378" t="str">
        <f ca="1">IFERROR(IF(BV77&lt;&gt;"-",Calculation!$AK$6,"-"),"-")</f>
        <v>-</v>
      </c>
      <c r="CF77" s="378" t="str">
        <f ca="1">IF(OR(LEFT(ListAndConversion!BW77,3)="Dil",LEFT(ListAndConversion!BW77,3)="Poo"),ListAndConversion!$BT$4,IF(LEFT(ListAndConversion!BW77,3)="Sou",INDEX(ListAndConversion!$AT$3:$AV$387,MATCH(ListAndConversion!BV77,ListAndConversion!$AV$3:$AV$387,0),1),"-"))</f>
        <v>-</v>
      </c>
      <c r="CG77" s="498" t="str">
        <f ca="1">IF(OR(LEFT(ListAndConversion!BW77,3)="Dil",LEFT(ListAndConversion!BW77,3)="Poo"),ListAndConversion!BU77,IF(LEFT(ListAndConversion!BW77,3)="Sou",INDEX(ListAndConversion!$AT$4:$AV$387,MATCH(ListAndConversion!BV77,ListAndConversion!$AV$4:$AV$387,0),2),"-"))</f>
        <v>-</v>
      </c>
      <c r="CH77" s="378"/>
      <c r="CI77" s="487" t="str">
        <f t="shared" ca="1" si="62"/>
        <v>-</v>
      </c>
      <c r="CJ77" s="378" t="str">
        <f t="shared" ca="1" si="65"/>
        <v>-</v>
      </c>
      <c r="CK77" s="378" t="str">
        <f t="shared" ca="1" si="65"/>
        <v>-</v>
      </c>
      <c r="CL77" s="378" t="str">
        <f t="shared" ca="1" si="65"/>
        <v>-</v>
      </c>
      <c r="CM77" s="378" t="str">
        <f t="shared" ca="1" si="65"/>
        <v>-</v>
      </c>
      <c r="CN77" s="378" t="str">
        <f t="shared" ca="1" si="65"/>
        <v>-</v>
      </c>
      <c r="CO77" s="378" t="str">
        <f t="shared" ca="1" si="65"/>
        <v>-</v>
      </c>
      <c r="CP77" s="378" t="str">
        <f t="shared" ca="1" si="65"/>
        <v>-</v>
      </c>
      <c r="CQ77" s="378" t="str">
        <f t="shared" ca="1" si="65"/>
        <v>-</v>
      </c>
      <c r="CR77" s="510" t="str">
        <f ca="1">IFERROR(IF(LEFT(BW77,3)="Poo",INDEX($BE$4:$BJ$99,MATCH(CI77,$BG$4:$BG$99,0),6)*((15/50))*Calculation!$AK$6,INDEX(Calculation_Tab,MATCH(BV77,Identifier,0),10)/(IF(LEN(INDEX(Calculation_Tab,MATCH(BV77,Identifier,0),9))&gt;8,LEN(INDEX(Calculation_Tab,MATCH(BV77,Identifier,0),9))-8,1))*((15/50)*Calculation!$AK$6)),"-")</f>
        <v>-</v>
      </c>
      <c r="CS77" s="498" t="str">
        <f ca="1">IF(CI77="-","-",IF(COUNTIF($CI$3:CI77,CI77)&gt;1,0,IFERROR((35/50)*Calculation!$AK$6,"-")))</f>
        <v>-</v>
      </c>
    </row>
    <row r="78" spans="4:97" x14ac:dyDescent="0.5">
      <c r="D78" s="487" t="e">
        <f t="shared" si="44"/>
        <v>#DIV/0!</v>
      </c>
      <c r="E78" s="496" t="e">
        <f t="array" ref="E78">IF(IF((ROW(E78)-3)&lt;(ListAndConversion!$A$15),INDEX(Flow_Cell_Lane,MIN(IF(COUNTIF($E$2:E77,Flow_Cell_Lane)=0,ROW(Flow_Cell_Lane)-9))),"-")="","-",IF((ROW(E78)-3)&lt;(ListAndConversion!$A$15),INDEX(Flow_Cell_Lane,MIN(IF(COUNTIF($E$2:E77,Flow_Cell_Lane)=0,ROW(Flow_Cell_Lane)-9))),"-"))</f>
        <v>#DIV/0!</v>
      </c>
      <c r="F78" s="378" t="e">
        <f t="shared" si="45"/>
        <v>#DIV/0!</v>
      </c>
      <c r="G78" s="378" t="e">
        <f t="shared" si="64"/>
        <v>#DIV/0!</v>
      </c>
      <c r="H78" s="378" t="e">
        <f t="shared" si="64"/>
        <v>#DIV/0!</v>
      </c>
      <c r="I78" s="378" t="e">
        <f t="shared" si="64"/>
        <v>#DIV/0!</v>
      </c>
      <c r="J78" s="378" t="e">
        <f t="shared" si="64"/>
        <v>#DIV/0!</v>
      </c>
      <c r="K78" s="378" t="e">
        <f t="shared" si="64"/>
        <v>#DIV/0!</v>
      </c>
      <c r="L78" s="378" t="e">
        <f t="shared" si="64"/>
        <v>#DIV/0!</v>
      </c>
      <c r="M78" s="378" t="e">
        <f t="shared" si="64"/>
        <v>#DIV/0!</v>
      </c>
      <c r="N78" s="497" t="e">
        <f t="shared" si="46"/>
        <v>#DIV/0!</v>
      </c>
      <c r="O78" s="497" t="str">
        <f t="array" ref="O78">IFERROR(INDEX(Calculation!I:AN,MATCH(ListAndConversion!E78,Calculation!I:I,0),31),"-")</f>
        <v>-</v>
      </c>
      <c r="P78" s="498">
        <f>IF(COUNTIFS(Calculation!$I$10:$I$393,E78,Direct_Denaturation,"-")&lt;&gt;1,COUNTIFS(Calculation!$I$10:$I$393,E78,Direct_Denaturation,"-"),0)</f>
        <v>0</v>
      </c>
      <c r="Q78" s="378"/>
      <c r="R78" s="487" t="e">
        <f t="array" ref="R78">IF(IF((ROW(R78)-3)&lt;(Calculation!$H$6),INDEX(Flow_Cell,MIN(IF(COUNTIF($R$2:R77,Flow_Cell)=0,ROW(Flow_Cell)-9))),"-")="","-",IF((ROW(R78)-3)&lt;(Calculation!$H$6),INDEX(Flow_Cell,MIN(IF(COUNTIF($R$2:R77,Flow_Cell)=0,ROW(Flow_Cell)-9))),"-"))</f>
        <v>#DIV/0!</v>
      </c>
      <c r="S78" s="378" t="e">
        <f t="shared" si="66"/>
        <v>#DIV/0!</v>
      </c>
      <c r="T78" s="378">
        <v>4</v>
      </c>
      <c r="U78" s="498">
        <v>76</v>
      </c>
      <c r="V78" s="487">
        <v>75</v>
      </c>
      <c r="W78" s="497" t="s">
        <v>287</v>
      </c>
      <c r="X78" s="497" t="s">
        <v>435</v>
      </c>
      <c r="Y78" s="378">
        <v>75</v>
      </c>
      <c r="Z78" s="378" t="str">
        <f t="shared" ca="1" si="48"/>
        <v>-</v>
      </c>
      <c r="AA78" s="508" t="str">
        <f t="array" aca="1" ref="AA78" ca="1">IFERROR(INDEX(Calculation_Tab,SMALL(ROW(Sample_Intermediate_Dil)*(Sample_Intermediate_Dil&lt;&gt;"-"),COUNTIF(Sample_Intermediate_Dil,"-")+ROW()-3)-9,5),"-")</f>
        <v>-</v>
      </c>
      <c r="AB78" s="378" t="str">
        <f t="array" aca="1" ref="AB78" ca="1">IFERROR(INDEX($A$3:$B$12,MATCH(INDEX(Calculation_Tab,SMALL(ROW(Sample_Intermediate_Dil)*(Sample_Intermediate_Dil&lt;&gt;"-"),COUNTIF(Sample_Intermediate_Dil,"-")+ROW()-3)-9,5),$A$3:$A$12,0),2),"-")</f>
        <v>-</v>
      </c>
      <c r="AC78" s="509" t="str">
        <f t="array" aca="1" ref="AC78" ca="1">IFERROR(INDEX(Coordinate,MATCH(INDEX(Calculation_Tab,SMALL(ROW(Sample_Intermediate_Dil)*(Sample_Intermediate_Dil&lt;&gt;"-"),COUNTIF(Sample_Intermediate_Dil,"-")+ROW()-3)-9,6),$X$4:$X$99,0),2),"-")</f>
        <v>-</v>
      </c>
      <c r="AD78" s="510" t="str">
        <f t="array" aca="1" ref="AD78" ca="1">IFERROR(INDEX(Calculation_Tab,SMALL(ROW(Sample_Intermediate_Dil)*(Sample_Intermediate_Dil&lt;&gt;"-"),COUNTIF(Sample_Intermediate_Dil,"-")+ROW()-3)-9,24),"-")</f>
        <v>-</v>
      </c>
      <c r="AE78" s="510" t="str">
        <f t="array" aca="1" ref="AE78" ca="1">IFERROR(INDEX(Calculation_Tab,SMALL(ROW(Sample_Intermediate_Dil)*(Sample_Intermediate_Dil&lt;&gt;"-"),COUNTIF(Sample_Intermediate_Dil,"-")+ROW()-3)-9,25),"-")</f>
        <v>-</v>
      </c>
      <c r="AF78" s="510" t="str">
        <f t="array" aca="1" ref="AF78" ca="1">IFERROR(INDEX(Calculation_Tab,SMALL(ROW(Sample_Intermediate_Dil)*(Sample_Intermediate_Dil&lt;&gt;"-"),COUNTIF(Sample_Intermediate_Dil,"-")+ROW()-3)-9,26),"-")</f>
        <v>-</v>
      </c>
      <c r="AG78" s="511" t="str">
        <f t="array" aca="1" ref="AG78" ca="1">IFERROR(INDEX(Calculation_Tab,SMALL(ROW(Sample_Intermediate_Dil)*(Sample_Intermediate_Dil&lt;&gt;"-"),COUNTIF(Sample_Intermediate_Dil,"-")+ROW()-3)-9,27),"-")</f>
        <v>-</v>
      </c>
      <c r="AI78" s="487">
        <v>75</v>
      </c>
      <c r="AJ78" s="497" t="s">
        <v>160</v>
      </c>
      <c r="AK78" s="378">
        <v>75</v>
      </c>
      <c r="AL78" s="378" t="str">
        <f t="shared" ca="1" si="49"/>
        <v>-</v>
      </c>
      <c r="AM78" s="378" t="str">
        <f t="array" aca="1" ref="AM78" ca="1">IFERROR(IF(AI78&lt;=$AB$2,"-",INDEX(Calculation_Tab,SMALL(ROW(Main_Dil)*(Main_Dil&lt;&gt;"-"),COUNTIF(Main_Dil,"-")+ROW()-3-$AB$2)-9,5)),"-")</f>
        <v>-</v>
      </c>
      <c r="AN78" s="378" t="str">
        <f t="array" aca="1" ref="AN78" ca="1">IFERROR(IF(AI78&lt;=$AB$2,"-",INDEX($A$3:$B$12,MATCH(INDEX(Calculation_Tab,SMALL(ROW(Main_Dil)*(Main_Dil&lt;&gt;"-"),COUNTIF(Main_Dil,"-")+ROW()-3-$AB$2)-9,5),$A$3:$A$12,0),2)),"-")</f>
        <v>-</v>
      </c>
      <c r="AO78" s="378" t="str">
        <f t="array" aca="1" ref="AO78" ca="1">IFERROR(IF(AI78&lt;=$AB$2,"-",INDEX(Coordinate,MATCH(INDEX(Calculation_Tab,SMALL(ROW(Main_Dil)*(Main_Dil&lt;&gt;"-"),COUNTIF(Main_Dil,"-")+ROW()-3-$AB$2)-9,6),$X$4:$X$99,0),2)),"-")</f>
        <v>-</v>
      </c>
      <c r="AP78" s="510" t="str">
        <f t="array" aca="1" ref="AP78" ca="1">IFERROR(IF(AI78&lt;=$AB$2,"-",INDEX(Calculation_Tab,SMALL(ROW(Main_Dil)*(Main_Dil&lt;&gt;"-"),COUNTIF(Main_Dil,"-")+ROW()-3-$AB$2)-9,21)),"-")</f>
        <v>-</v>
      </c>
      <c r="AQ78" s="511" t="str">
        <f t="array" aca="1" ref="AQ78" ca="1">IFERROR(IF(AI78&lt;=$AB$2,"-",INDEX(Calculation_Tab,SMALL(ROW(Main_Dil)*(Main_Dil&lt;&gt;"-"),COUNTIF(Main_Dil,"-")+ROW()-3-$AB$2)-9,22)),"-")</f>
        <v>-</v>
      </c>
      <c r="AR78" s="487" t="str">
        <f t="shared" ca="1" si="50"/>
        <v>-</v>
      </c>
      <c r="AS78" s="378">
        <v>75</v>
      </c>
      <c r="AT78" s="497" t="s">
        <v>160</v>
      </c>
      <c r="AU78" s="498">
        <v>75</v>
      </c>
      <c r="AV78" s="378" t="str">
        <f t="shared" ca="1" si="51"/>
        <v>-</v>
      </c>
      <c r="AW78" s="378" t="str">
        <f t="array" aca="1" ref="AW78" ca="1">IFERROR(IF(AS78&lt;=$AB$2+$AN$2,"-",INDEX(Calculation_Tab,SMALL(ROW(Direct_Denaturation)*(Direct_Denaturation&lt;&gt;"-"),COUNTIF(Direct_Denaturation,"-")+ROW()-3-$AB$2-$AN$2)-9,5)),"-")</f>
        <v>-</v>
      </c>
      <c r="AX78" s="378" t="str">
        <f t="array" aca="1" ref="AX78" ca="1">IFERROR(IF(AS78&lt;=$AB$2+$AN$2,"-",INDEX($A$3:$B$12,MATCH(INDEX(Calculation_Tab,SMALL(ROW(Direct_Denaturation)*(Direct_Denaturation&lt;&gt;"-"),COUNTIF(Direct_Denaturation,"-")+ROW()-3-$AB$2-$AN$2)-9,5),$A$3:$A$12,0),2)),"-")</f>
        <v>-</v>
      </c>
      <c r="AY78" s="378" t="str">
        <f t="array" aca="1" ref="AY78" ca="1">IFERROR(IF(AS78&lt;=$AB$2+$AN$2,"-",INDEX(Coordinate,MATCH(INDEX(Calculation_Tab,SMALL(ROW(Direct_Denaturation)*(Direct_Denaturation&lt;&gt;"-"),COUNTIF(Direct_Denaturation,"-")+ROW()-3-$AB$2-$AN$2)-9,6),$X$4:$X$99,0),2)),"-")</f>
        <v>-</v>
      </c>
      <c r="AZ78" s="510" t="str">
        <f t="array" aca="1" ref="AZ78" ca="1">IFERROR(IF(AS78&lt;=$AB$2+$AN$2,"-",INDEX(Calculation_Tab,SMALL(ROW(Direct_Denaturation)*(Direct_Denaturation&lt;&gt;"-"),COUNTIF(Direct_Denaturation,"-")+ROW()-3-$AB$2-$AN$2)-9,32)),"-")</f>
        <v>-</v>
      </c>
      <c r="BA78" s="510" t="str">
        <f t="array" aca="1" ref="BA78" ca="1">IFERROR(IF(AS78&lt;=$AB$2+$AN$2,"-",INDEX(Calculation_Tab,SMALL(ROW(Direct_Denaturation)*(Direct_Denaturation&lt;&gt;"-"),COUNTIF(Direct_Denaturation,"-")+ROW()-3-$AB$2-$AN$2)-9,34)),"-")</f>
        <v>-</v>
      </c>
      <c r="BB78" s="510" t="str">
        <f t="array" aca="1" ref="BB78" ca="1">IFERROR(IF(AS78&lt;=$AB$2+$AN$2,"-",INDEX(Calculation_Tab,SMALL(ROW(Direct_Denaturation)*(Direct_Denaturation&lt;&gt;"-"),COUNTIF(Direct_Denaturation,"-")+ROW()-3-$AB$2-$AN$2)-9,33)),"-")</f>
        <v>-</v>
      </c>
      <c r="BC78" s="510" t="str">
        <f t="array" aca="1" ref="BC78" ca="1">IFERROR(IF(AS78&lt;=$AB$2+$AN$2,"-",INDEX(Calculation_Tab,SMALL(ROW(Direct_Denaturation)*(Direct_Denaturation&lt;&gt;"-"),COUNTIF(Direct_Denaturation,"-")+ROW()-3-$AB$2-$AN$2)-9,35)),"-")</f>
        <v>-</v>
      </c>
      <c r="BD78" s="511" t="str">
        <f t="shared" ca="1" si="52"/>
        <v>-</v>
      </c>
      <c r="BE78" s="494" t="s">
        <v>436</v>
      </c>
      <c r="BF78" s="378">
        <v>75</v>
      </c>
      <c r="BG78" s="515" t="str">
        <v>-</v>
      </c>
      <c r="BH78" s="516" t="str">
        <f>IFERROR(IF((Calculation!$AR$6/INDEX(ListAndConversion!D:P,MATCH(BG78,E:E,0),13))&lt;Calculation!$O$6,INDEX(ListAndConversion!D:P,MATCH(BG78,E:E,0),13)*Calculation!$O$6,Calculation!$AR$6),"-")</f>
        <v>-</v>
      </c>
      <c r="BI78" s="517" t="str">
        <f t="shared" si="53"/>
        <v>-</v>
      </c>
      <c r="BJ78" s="518" t="str">
        <f t="shared" si="54"/>
        <v>-</v>
      </c>
      <c r="BK78" s="378" t="s">
        <v>158</v>
      </c>
      <c r="BL78" s="378">
        <v>75</v>
      </c>
      <c r="BM78" s="487" t="str">
        <f t="array" aca="1" ref="BM78" ca="1">IFERROR(INDEX(Calculation_Tab,SMALL(ROW(ToPool)*(ToPool&lt;&gt;"-"),COUNTIF(ToPool,"-")+ROW()-3)-9,3),"-")</f>
        <v>-</v>
      </c>
      <c r="BN78" s="378" t="str">
        <f t="shared" ca="1" si="55"/>
        <v>-</v>
      </c>
      <c r="BO78" s="378" t="str">
        <f t="shared" ca="1" si="56"/>
        <v>-</v>
      </c>
      <c r="BP78" s="523" t="str">
        <f t="shared" ca="1" si="57"/>
        <v>-</v>
      </c>
      <c r="BQ78" s="378" t="str">
        <f t="array" aca="1" ref="BQ78" ca="1">IFERROR(INDEX(BE:BG,MATCH(INDEX(Calculation_Tab,SMALL(ROW(ToPool)*(ToPool&lt;&gt;"-"),COUNTIF(ToPool,"-")+ROW()-3)-9,9),BG:BG,0),2),"-")</f>
        <v>-</v>
      </c>
      <c r="BR78" s="510" t="str">
        <f t="shared" ca="1" si="58"/>
        <v>-</v>
      </c>
      <c r="BS78" s="511" t="str">
        <f t="shared" ca="1" si="59"/>
        <v>-</v>
      </c>
      <c r="BT78" s="378" t="s">
        <v>164</v>
      </c>
      <c r="BU78" s="487" t="str">
        <f t="shared" ca="1" si="63"/>
        <v>-</v>
      </c>
      <c r="BV78" s="487" t="str">
        <f t="array" aca="1" ref="BV7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78" s="378" t="str">
        <f t="shared" ca="1" si="60"/>
        <v>-</v>
      </c>
      <c r="BX78" s="378" t="str">
        <f t="shared" ca="1" si="61"/>
        <v>-</v>
      </c>
      <c r="BY78" s="510" t="str">
        <f ca="1">IFERROR(ROUND(INDEX(Cluster,MATCH(IF(LEFT(BV78,4)="Pool",INDEX(Cluster,MATCH(INDEX(Calculation_Tab,MATCH(INDEX($BE$4:$BJ$99,MATCH(BV78,$BE$4:$BE$99,0),3),Flow_Cell_Lane,0),3),Cluster!$F$29:$F$412,0),6),BV78),Identifier_Cluster,0),19)*IF(LEFT(BV78,4)="pool",IF(LEN(INDEX($BE$4:$BJ$99,MATCH(BV78,$BE$4:$BE$99,0),3))=10,2,IF(LEN(INDEX($BE$4:$BJ$99,MATCH(BV78,$BE$4:$BE$99,0),3))&gt;10,LEN(INDEX($BE$4:$BJ$99,MATCH(BV78,$BE$4:$BE$99,0),3))-8,1)),1)*IF(LEFT(BV78,4)="pool",IF(INDEX($BE$4:$BJ$99,MATCH(BV78,$BE$4:$BE$99,0),6)&lt;1,1,INDEX($BE$4:$BJ$99,MATCH(BV78,$BE$4:$BE$99,0),6)),INDEX(Calculation_Tab,MATCH(BV78,Identifier,0),10)),1)*(1+Calculation!$Q$6),"-")</f>
        <v>-</v>
      </c>
      <c r="BZ78" s="378" t="str">
        <f ca="1">IFERROR((0.5/50)*CE78/Calculation!$AG$6*(IF(LEFT(BV78,4)="Pool",IF(LEN(INDEX($BE$4:$BJ$99,MATCH(BV78,$BE$4:$BE$99,0),3))=10,2,IF(LEN(INDEX($BE$4:$BJ$99,MATCH(BV78,$BE$4:$BE$99,0),3))&gt;10,LEN(INDEX($BE$4:$BJ$99,MATCH(BV78,$BE$4:$BE$99,0),3))-8,1)),IF(INDEX(Calculation_Tab,MATCH(BV78,Identifier,0),10)&gt;1,INDEX(Calculation_Tab,MATCH(BV78,Identifier,0),10),1)))*(1+Calculation!$Q$6),"-")</f>
        <v>-</v>
      </c>
      <c r="CA78" s="510" t="str">
        <f ca="1">IFERROR(IF((BZ78*Calculation!$AG$6/0.05)-SUM(BY78:BZ78,CC78)&gt;0,(BZ78*Calculation!$AG$6/0.05)-SUM(BY78:BZ78,CC78),0),"-")</f>
        <v>-</v>
      </c>
      <c r="CB78" s="510" t="str">
        <f ca="1">IFERROR(5/50*CE78*(IF(LEFT(BV78,4)="Pool",IF(LEN(INDEX($BE$4:$BJ$99,MATCH(BV78,$BE$4:$BE$99,0),3))=10,2,IF(LEN(INDEX($BE$4:$BJ$99,MATCH(BV78,$BE$4:$BE$99,0),3))&gt;10,LEN(INDEX($BE$4:$BJ$99,MATCH(BV78,$BE$4:$BE$99,0),3))-8,1)),IF(INDEX(Calculation_Tab,MATCH(BV78,Identifier,0),10)&gt;1,INDEX(Calculation_Tab,MATCH(BV78,Identifier,0),10),1)))*(1+Calculation!$Q$6),"-")</f>
        <v>-</v>
      </c>
      <c r="CC78" s="508" t="str">
        <f ca="1">IFERROR(ROUND(INDEX(Cluster,MATCH(IF(LEFT(BV78,4)="Pool",INDEX(Cluster,MATCH(INDEX(Calculation_Tab,MATCH(INDEX($BE$4:$BJ$99,MATCH(BV78,$BE$4:$BE$99,0),3),Flow_Cell_Lane,0),3),Cluster!$F$29:$F$412,0),6),BV78),Identifier_Cluster,0),20)*IF(LEFT(BV78,4)="pool",IF(LEN(INDEX($BE$4:$BJ$99,MATCH(BV78,$BE$4:$BE$99,0),3))=10,2,IF(LEN(INDEX($BE$4:$BJ$99,MATCH(BV78,$BE$4:$BE$99,0),3))&gt;10,LEN(INDEX($BE$4:$BJ$99,MATCH(BV78,$BE$4:$BE$99,0),3))-8,1)),1)*IF(LEFT(BV78,4)="pool",IF(INDEX($BE$4:$BJ$99,MATCH(BV78,$BE$4:$BE$99,0),6)&lt;1,1,INDEX($BE$4:$BJ$99,MATCH(BV78,$BE$4:$BE$99,0),6)),INDEX(Calculation_Tab,MATCH(BV78,Identifier,0),10)),1)*(1+Calculation!$Q$6),"-")</f>
        <v>-</v>
      </c>
      <c r="CD78" s="509" t="str">
        <f ca="1">IFERROR(INDEX(Cluster!AC:AD,MATCH(IF(LEFT(BV78,4)="Pool",INDEX(Cluster!$D$29:$AA$412,MATCH(INDEX(Calculation_Tab,MATCH(INDEX($BE$4:$BJ$99,MATCH(BV78,$BE$4:$BE$99,0),3),Flow_Cell_Lane,0),3),Cluster!$F$29:$F$412,0),24),INDEX(Cluster!$D$29:$AA$412,MATCH(BV78,Cluster!$F$29:$F$412,0),24)),Cluster!AC:AC,0),2),"-")</f>
        <v>-</v>
      </c>
      <c r="CE78" s="378" t="str">
        <f ca="1">IFERROR(IF(BV78&lt;&gt;"-",Calculation!$AK$6,"-"),"-")</f>
        <v>-</v>
      </c>
      <c r="CF78" s="378" t="str">
        <f ca="1">IF(OR(LEFT(ListAndConversion!BW78,3)="Dil",LEFT(ListAndConversion!BW78,3)="Poo"),ListAndConversion!$BT$4,IF(LEFT(ListAndConversion!BW78,3)="Sou",INDEX(ListAndConversion!$AT$3:$AV$387,MATCH(ListAndConversion!BV78,ListAndConversion!$AV$3:$AV$387,0),1),"-"))</f>
        <v>-</v>
      </c>
      <c r="CG78" s="498" t="str">
        <f ca="1">IF(OR(LEFT(ListAndConversion!BW78,3)="Dil",LEFT(ListAndConversion!BW78,3)="Poo"),ListAndConversion!BU78,IF(LEFT(ListAndConversion!BW78,3)="Sou",INDEX(ListAndConversion!$AT$4:$AV$387,MATCH(ListAndConversion!BV78,ListAndConversion!$AV$4:$AV$387,0),2),"-"))</f>
        <v>-</v>
      </c>
      <c r="CH78" s="378"/>
      <c r="CI78" s="487" t="str">
        <f t="shared" ca="1" si="62"/>
        <v>-</v>
      </c>
      <c r="CJ78" s="378" t="str">
        <f t="shared" ca="1" si="65"/>
        <v>-</v>
      </c>
      <c r="CK78" s="378" t="str">
        <f t="shared" ca="1" si="65"/>
        <v>-</v>
      </c>
      <c r="CL78" s="378" t="str">
        <f t="shared" ca="1" si="65"/>
        <v>-</v>
      </c>
      <c r="CM78" s="378" t="str">
        <f t="shared" ca="1" si="65"/>
        <v>-</v>
      </c>
      <c r="CN78" s="378" t="str">
        <f t="shared" ca="1" si="65"/>
        <v>-</v>
      </c>
      <c r="CO78" s="378" t="str">
        <f t="shared" ca="1" si="65"/>
        <v>-</v>
      </c>
      <c r="CP78" s="378" t="str">
        <f t="shared" ca="1" si="65"/>
        <v>-</v>
      </c>
      <c r="CQ78" s="378" t="str">
        <f t="shared" ca="1" si="65"/>
        <v>-</v>
      </c>
      <c r="CR78" s="510" t="str">
        <f ca="1">IFERROR(IF(LEFT(BW78,3)="Poo",INDEX($BE$4:$BJ$99,MATCH(CI78,$BG$4:$BG$99,0),6)*((15/50))*Calculation!$AK$6,INDEX(Calculation_Tab,MATCH(BV78,Identifier,0),10)/(IF(LEN(INDEX(Calculation_Tab,MATCH(BV78,Identifier,0),9))&gt;8,LEN(INDEX(Calculation_Tab,MATCH(BV78,Identifier,0),9))-8,1))*((15/50)*Calculation!$AK$6)),"-")</f>
        <v>-</v>
      </c>
      <c r="CS78" s="498" t="str">
        <f ca="1">IF(CI78="-","-",IF(COUNTIF($CI$3:CI78,CI78)&gt;1,0,IFERROR((35/50)*Calculation!$AK$6,"-")))</f>
        <v>-</v>
      </c>
    </row>
    <row r="79" spans="4:97" x14ac:dyDescent="0.5">
      <c r="D79" s="487" t="e">
        <f t="shared" si="44"/>
        <v>#DIV/0!</v>
      </c>
      <c r="E79" s="496" t="e">
        <f t="array" ref="E79">IF(IF((ROW(E79)-3)&lt;(ListAndConversion!$A$15),INDEX(Flow_Cell_Lane,MIN(IF(COUNTIF($E$2:E78,Flow_Cell_Lane)=0,ROW(Flow_Cell_Lane)-9))),"-")="","-",IF((ROW(E79)-3)&lt;(ListAndConversion!$A$15),INDEX(Flow_Cell_Lane,MIN(IF(COUNTIF($E$2:E78,Flow_Cell_Lane)=0,ROW(Flow_Cell_Lane)-9))),"-"))</f>
        <v>#DIV/0!</v>
      </c>
      <c r="F79" s="378" t="e">
        <f t="shared" si="45"/>
        <v>#DIV/0!</v>
      </c>
      <c r="G79" s="378" t="e">
        <f t="shared" si="64"/>
        <v>#DIV/0!</v>
      </c>
      <c r="H79" s="378" t="e">
        <f t="shared" si="64"/>
        <v>#DIV/0!</v>
      </c>
      <c r="I79" s="378" t="e">
        <f t="shared" si="64"/>
        <v>#DIV/0!</v>
      </c>
      <c r="J79" s="378" t="e">
        <f t="shared" si="64"/>
        <v>#DIV/0!</v>
      </c>
      <c r="K79" s="378" t="e">
        <f t="shared" si="64"/>
        <v>#DIV/0!</v>
      </c>
      <c r="L79" s="378" t="e">
        <f t="shared" si="64"/>
        <v>#DIV/0!</v>
      </c>
      <c r="M79" s="378" t="e">
        <f t="shared" si="64"/>
        <v>#DIV/0!</v>
      </c>
      <c r="N79" s="497" t="e">
        <f t="shared" si="46"/>
        <v>#DIV/0!</v>
      </c>
      <c r="O79" s="497" t="str">
        <f t="array" ref="O79">IFERROR(INDEX(Calculation!I:AN,MATCH(ListAndConversion!E79,Calculation!I:I,0),31),"-")</f>
        <v>-</v>
      </c>
      <c r="P79" s="498">
        <f>IF(COUNTIFS(Calculation!$I$10:$I$393,E79,Direct_Denaturation,"-")&lt;&gt;1,COUNTIFS(Calculation!$I$10:$I$393,E79,Direct_Denaturation,"-"),0)</f>
        <v>0</v>
      </c>
      <c r="Q79" s="378"/>
      <c r="R79" s="487" t="e">
        <f t="array" ref="R79">IF(IF((ROW(R79)-3)&lt;(Calculation!$H$6),INDEX(Flow_Cell,MIN(IF(COUNTIF($R$2:R78,Flow_Cell)=0,ROW(Flow_Cell)-9))),"-")="","-",IF((ROW(R79)-3)&lt;(Calculation!$H$6),INDEX(Flow_Cell,MIN(IF(COUNTIF($R$2:R78,Flow_Cell)=0,ROW(Flow_Cell)-9))),"-"))</f>
        <v>#DIV/0!</v>
      </c>
      <c r="S79" s="378" t="e">
        <f t="shared" si="66"/>
        <v>#DIV/0!</v>
      </c>
      <c r="T79" s="378">
        <v>5</v>
      </c>
      <c r="U79" s="498">
        <v>77</v>
      </c>
      <c r="V79" s="487">
        <v>76</v>
      </c>
      <c r="W79" s="497" t="s">
        <v>287</v>
      </c>
      <c r="X79" s="497" t="s">
        <v>437</v>
      </c>
      <c r="Y79" s="378">
        <v>76</v>
      </c>
      <c r="Z79" s="378" t="str">
        <f t="shared" ca="1" si="48"/>
        <v>-</v>
      </c>
      <c r="AA79" s="508" t="str">
        <f t="array" aca="1" ref="AA79" ca="1">IFERROR(INDEX(Calculation_Tab,SMALL(ROW(Sample_Intermediate_Dil)*(Sample_Intermediate_Dil&lt;&gt;"-"),COUNTIF(Sample_Intermediate_Dil,"-")+ROW()-3)-9,5),"-")</f>
        <v>-</v>
      </c>
      <c r="AB79" s="378" t="str">
        <f t="array" aca="1" ref="AB79" ca="1">IFERROR(INDEX($A$3:$B$12,MATCH(INDEX(Calculation_Tab,SMALL(ROW(Sample_Intermediate_Dil)*(Sample_Intermediate_Dil&lt;&gt;"-"),COUNTIF(Sample_Intermediate_Dil,"-")+ROW()-3)-9,5),$A$3:$A$12,0),2),"-")</f>
        <v>-</v>
      </c>
      <c r="AC79" s="509" t="str">
        <f t="array" aca="1" ref="AC79" ca="1">IFERROR(INDEX(Coordinate,MATCH(INDEX(Calculation_Tab,SMALL(ROW(Sample_Intermediate_Dil)*(Sample_Intermediate_Dil&lt;&gt;"-"),COUNTIF(Sample_Intermediate_Dil,"-")+ROW()-3)-9,6),$X$4:$X$99,0),2),"-")</f>
        <v>-</v>
      </c>
      <c r="AD79" s="510" t="str">
        <f t="array" aca="1" ref="AD79" ca="1">IFERROR(INDEX(Calculation_Tab,SMALL(ROW(Sample_Intermediate_Dil)*(Sample_Intermediate_Dil&lt;&gt;"-"),COUNTIF(Sample_Intermediate_Dil,"-")+ROW()-3)-9,24),"-")</f>
        <v>-</v>
      </c>
      <c r="AE79" s="510" t="str">
        <f t="array" aca="1" ref="AE79" ca="1">IFERROR(INDEX(Calculation_Tab,SMALL(ROW(Sample_Intermediate_Dil)*(Sample_Intermediate_Dil&lt;&gt;"-"),COUNTIF(Sample_Intermediate_Dil,"-")+ROW()-3)-9,25),"-")</f>
        <v>-</v>
      </c>
      <c r="AF79" s="510" t="str">
        <f t="array" aca="1" ref="AF79" ca="1">IFERROR(INDEX(Calculation_Tab,SMALL(ROW(Sample_Intermediate_Dil)*(Sample_Intermediate_Dil&lt;&gt;"-"),COUNTIF(Sample_Intermediate_Dil,"-")+ROW()-3)-9,26),"-")</f>
        <v>-</v>
      </c>
      <c r="AG79" s="511" t="str">
        <f t="array" aca="1" ref="AG79" ca="1">IFERROR(INDEX(Calculation_Tab,SMALL(ROW(Sample_Intermediate_Dil)*(Sample_Intermediate_Dil&lt;&gt;"-"),COUNTIF(Sample_Intermediate_Dil,"-")+ROW()-3)-9,27),"-")</f>
        <v>-</v>
      </c>
      <c r="AI79" s="487">
        <v>76</v>
      </c>
      <c r="AJ79" s="497" t="s">
        <v>160</v>
      </c>
      <c r="AK79" s="378">
        <v>76</v>
      </c>
      <c r="AL79" s="378" t="str">
        <f t="shared" ca="1" si="49"/>
        <v>-</v>
      </c>
      <c r="AM79" s="378" t="str">
        <f t="array" aca="1" ref="AM79" ca="1">IFERROR(IF(AI79&lt;=$AB$2,"-",INDEX(Calculation_Tab,SMALL(ROW(Main_Dil)*(Main_Dil&lt;&gt;"-"),COUNTIF(Main_Dil,"-")+ROW()-3-$AB$2)-9,5)),"-")</f>
        <v>-</v>
      </c>
      <c r="AN79" s="378" t="str">
        <f t="array" aca="1" ref="AN79" ca="1">IFERROR(IF(AI79&lt;=$AB$2,"-",INDEX($A$3:$B$12,MATCH(INDEX(Calculation_Tab,SMALL(ROW(Main_Dil)*(Main_Dil&lt;&gt;"-"),COUNTIF(Main_Dil,"-")+ROW()-3-$AB$2)-9,5),$A$3:$A$12,0),2)),"-")</f>
        <v>-</v>
      </c>
      <c r="AO79" s="378" t="str">
        <f t="array" aca="1" ref="AO79" ca="1">IFERROR(IF(AI79&lt;=$AB$2,"-",INDEX(Coordinate,MATCH(INDEX(Calculation_Tab,SMALL(ROW(Main_Dil)*(Main_Dil&lt;&gt;"-"),COUNTIF(Main_Dil,"-")+ROW()-3-$AB$2)-9,6),$X$4:$X$99,0),2)),"-")</f>
        <v>-</v>
      </c>
      <c r="AP79" s="510" t="str">
        <f t="array" aca="1" ref="AP79" ca="1">IFERROR(IF(AI79&lt;=$AB$2,"-",INDEX(Calculation_Tab,SMALL(ROW(Main_Dil)*(Main_Dil&lt;&gt;"-"),COUNTIF(Main_Dil,"-")+ROW()-3-$AB$2)-9,21)),"-")</f>
        <v>-</v>
      </c>
      <c r="AQ79" s="511" t="str">
        <f t="array" aca="1" ref="AQ79" ca="1">IFERROR(IF(AI79&lt;=$AB$2,"-",INDEX(Calculation_Tab,SMALL(ROW(Main_Dil)*(Main_Dil&lt;&gt;"-"),COUNTIF(Main_Dil,"-")+ROW()-3-$AB$2)-9,22)),"-")</f>
        <v>-</v>
      </c>
      <c r="AR79" s="487" t="str">
        <f t="shared" ca="1" si="50"/>
        <v>-</v>
      </c>
      <c r="AS79" s="378">
        <v>76</v>
      </c>
      <c r="AT79" s="497" t="s">
        <v>160</v>
      </c>
      <c r="AU79" s="498">
        <v>76</v>
      </c>
      <c r="AV79" s="378" t="str">
        <f t="shared" ca="1" si="51"/>
        <v>-</v>
      </c>
      <c r="AW79" s="378" t="str">
        <f t="array" aca="1" ref="AW79" ca="1">IFERROR(IF(AS79&lt;=$AB$2+$AN$2,"-",INDEX(Calculation_Tab,SMALL(ROW(Direct_Denaturation)*(Direct_Denaturation&lt;&gt;"-"),COUNTIF(Direct_Denaturation,"-")+ROW()-3-$AB$2-$AN$2)-9,5)),"-")</f>
        <v>-</v>
      </c>
      <c r="AX79" s="378" t="str">
        <f t="array" aca="1" ref="AX79" ca="1">IFERROR(IF(AS79&lt;=$AB$2+$AN$2,"-",INDEX($A$3:$B$12,MATCH(INDEX(Calculation_Tab,SMALL(ROW(Direct_Denaturation)*(Direct_Denaturation&lt;&gt;"-"),COUNTIF(Direct_Denaturation,"-")+ROW()-3-$AB$2-$AN$2)-9,5),$A$3:$A$12,0),2)),"-")</f>
        <v>-</v>
      </c>
      <c r="AY79" s="378" t="str">
        <f t="array" aca="1" ref="AY79" ca="1">IFERROR(IF(AS79&lt;=$AB$2+$AN$2,"-",INDEX(Coordinate,MATCH(INDEX(Calculation_Tab,SMALL(ROW(Direct_Denaturation)*(Direct_Denaturation&lt;&gt;"-"),COUNTIF(Direct_Denaturation,"-")+ROW()-3-$AB$2-$AN$2)-9,6),$X$4:$X$99,0),2)),"-")</f>
        <v>-</v>
      </c>
      <c r="AZ79" s="510" t="str">
        <f t="array" aca="1" ref="AZ79" ca="1">IFERROR(IF(AS79&lt;=$AB$2+$AN$2,"-",INDEX(Calculation_Tab,SMALL(ROW(Direct_Denaturation)*(Direct_Denaturation&lt;&gt;"-"),COUNTIF(Direct_Denaturation,"-")+ROW()-3-$AB$2-$AN$2)-9,32)),"-")</f>
        <v>-</v>
      </c>
      <c r="BA79" s="510" t="str">
        <f t="array" aca="1" ref="BA79" ca="1">IFERROR(IF(AS79&lt;=$AB$2+$AN$2,"-",INDEX(Calculation_Tab,SMALL(ROW(Direct_Denaturation)*(Direct_Denaturation&lt;&gt;"-"),COUNTIF(Direct_Denaturation,"-")+ROW()-3-$AB$2-$AN$2)-9,34)),"-")</f>
        <v>-</v>
      </c>
      <c r="BB79" s="510" t="str">
        <f t="array" aca="1" ref="BB79" ca="1">IFERROR(IF(AS79&lt;=$AB$2+$AN$2,"-",INDEX(Calculation_Tab,SMALL(ROW(Direct_Denaturation)*(Direct_Denaturation&lt;&gt;"-"),COUNTIF(Direct_Denaturation,"-")+ROW()-3-$AB$2-$AN$2)-9,33)),"-")</f>
        <v>-</v>
      </c>
      <c r="BC79" s="510" t="str">
        <f t="array" aca="1" ref="BC79" ca="1">IFERROR(IF(AS79&lt;=$AB$2+$AN$2,"-",INDEX(Calculation_Tab,SMALL(ROW(Direct_Denaturation)*(Direct_Denaturation&lt;&gt;"-"),COUNTIF(Direct_Denaturation,"-")+ROW()-3-$AB$2-$AN$2)-9,35)),"-")</f>
        <v>-</v>
      </c>
      <c r="BD79" s="511" t="str">
        <f t="shared" ca="1" si="52"/>
        <v>-</v>
      </c>
      <c r="BE79" s="494" t="s">
        <v>438</v>
      </c>
      <c r="BF79" s="378">
        <v>76</v>
      </c>
      <c r="BG79" s="515" t="str">
        <v>-</v>
      </c>
      <c r="BH79" s="516" t="str">
        <f>IFERROR(IF((Calculation!$AR$6/INDEX(ListAndConversion!D:P,MATCH(BG79,E:E,0),13))&lt;Calculation!$O$6,INDEX(ListAndConversion!D:P,MATCH(BG79,E:E,0),13)*Calculation!$O$6,Calculation!$AR$6),"-")</f>
        <v>-</v>
      </c>
      <c r="BI79" s="517" t="str">
        <f t="shared" si="53"/>
        <v>-</v>
      </c>
      <c r="BJ79" s="518" t="str">
        <f t="shared" si="54"/>
        <v>-</v>
      </c>
      <c r="BK79" s="378" t="s">
        <v>158</v>
      </c>
      <c r="BL79" s="378">
        <v>76</v>
      </c>
      <c r="BM79" s="487" t="str">
        <f t="array" aca="1" ref="BM79" ca="1">IFERROR(INDEX(Calculation_Tab,SMALL(ROW(ToPool)*(ToPool&lt;&gt;"-"),COUNTIF(ToPool,"-")+ROW()-3)-9,3),"-")</f>
        <v>-</v>
      </c>
      <c r="BN79" s="378" t="str">
        <f t="shared" ca="1" si="55"/>
        <v>-</v>
      </c>
      <c r="BO79" s="378" t="str">
        <f t="shared" ca="1" si="56"/>
        <v>-</v>
      </c>
      <c r="BP79" s="523" t="str">
        <f t="shared" ca="1" si="57"/>
        <v>-</v>
      </c>
      <c r="BQ79" s="378" t="str">
        <f t="array" aca="1" ref="BQ79" ca="1">IFERROR(INDEX(BE:BG,MATCH(INDEX(Calculation_Tab,SMALL(ROW(ToPool)*(ToPool&lt;&gt;"-"),COUNTIF(ToPool,"-")+ROW()-3)-9,9),BG:BG,0),2),"-")</f>
        <v>-</v>
      </c>
      <c r="BR79" s="510" t="str">
        <f t="shared" ca="1" si="58"/>
        <v>-</v>
      </c>
      <c r="BS79" s="511" t="str">
        <f t="shared" ca="1" si="59"/>
        <v>-</v>
      </c>
      <c r="BT79" s="378" t="s">
        <v>164</v>
      </c>
      <c r="BU79" s="487" t="str">
        <f t="shared" ca="1" si="63"/>
        <v>-</v>
      </c>
      <c r="BV79" s="487" t="str">
        <f t="array" aca="1" ref="BV7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79" s="378" t="str">
        <f t="shared" ca="1" si="60"/>
        <v>-</v>
      </c>
      <c r="BX79" s="378" t="str">
        <f t="shared" ca="1" si="61"/>
        <v>-</v>
      </c>
      <c r="BY79" s="510" t="str">
        <f ca="1">IFERROR(ROUND(INDEX(Cluster,MATCH(IF(LEFT(BV79,4)="Pool",INDEX(Cluster,MATCH(INDEX(Calculation_Tab,MATCH(INDEX($BE$4:$BJ$99,MATCH(BV79,$BE$4:$BE$99,0),3),Flow_Cell_Lane,0),3),Cluster!$F$29:$F$412,0),6),BV79),Identifier_Cluster,0),19)*IF(LEFT(BV79,4)="pool",IF(LEN(INDEX($BE$4:$BJ$99,MATCH(BV79,$BE$4:$BE$99,0),3))=10,2,IF(LEN(INDEX($BE$4:$BJ$99,MATCH(BV79,$BE$4:$BE$99,0),3))&gt;10,LEN(INDEX($BE$4:$BJ$99,MATCH(BV79,$BE$4:$BE$99,0),3))-8,1)),1)*IF(LEFT(BV79,4)="pool",IF(INDEX($BE$4:$BJ$99,MATCH(BV79,$BE$4:$BE$99,0),6)&lt;1,1,INDEX($BE$4:$BJ$99,MATCH(BV79,$BE$4:$BE$99,0),6)),INDEX(Calculation_Tab,MATCH(BV79,Identifier,0),10)),1)*(1+Calculation!$Q$6),"-")</f>
        <v>-</v>
      </c>
      <c r="BZ79" s="378" t="str">
        <f ca="1">IFERROR((0.5/50)*CE79/Calculation!$AG$6*(IF(LEFT(BV79,4)="Pool",IF(LEN(INDEX($BE$4:$BJ$99,MATCH(BV79,$BE$4:$BE$99,0),3))=10,2,IF(LEN(INDEX($BE$4:$BJ$99,MATCH(BV79,$BE$4:$BE$99,0),3))&gt;10,LEN(INDEX($BE$4:$BJ$99,MATCH(BV79,$BE$4:$BE$99,0),3))-8,1)),IF(INDEX(Calculation_Tab,MATCH(BV79,Identifier,0),10)&gt;1,INDEX(Calculation_Tab,MATCH(BV79,Identifier,0),10),1)))*(1+Calculation!$Q$6),"-")</f>
        <v>-</v>
      </c>
      <c r="CA79" s="510" t="str">
        <f ca="1">IFERROR(IF((BZ79*Calculation!$AG$6/0.05)-SUM(BY79:BZ79,CC79)&gt;0,(BZ79*Calculation!$AG$6/0.05)-SUM(BY79:BZ79,CC79),0),"-")</f>
        <v>-</v>
      </c>
      <c r="CB79" s="510" t="str">
        <f ca="1">IFERROR(5/50*CE79*(IF(LEFT(BV79,4)="Pool",IF(LEN(INDEX($BE$4:$BJ$99,MATCH(BV79,$BE$4:$BE$99,0),3))=10,2,IF(LEN(INDEX($BE$4:$BJ$99,MATCH(BV79,$BE$4:$BE$99,0),3))&gt;10,LEN(INDEX($BE$4:$BJ$99,MATCH(BV79,$BE$4:$BE$99,0),3))-8,1)),IF(INDEX(Calculation_Tab,MATCH(BV79,Identifier,0),10)&gt;1,INDEX(Calculation_Tab,MATCH(BV79,Identifier,0),10),1)))*(1+Calculation!$Q$6),"-")</f>
        <v>-</v>
      </c>
      <c r="CC79" s="508" t="str">
        <f ca="1">IFERROR(ROUND(INDEX(Cluster,MATCH(IF(LEFT(BV79,4)="Pool",INDEX(Cluster,MATCH(INDEX(Calculation_Tab,MATCH(INDEX($BE$4:$BJ$99,MATCH(BV79,$BE$4:$BE$99,0),3),Flow_Cell_Lane,0),3),Cluster!$F$29:$F$412,0),6),BV79),Identifier_Cluster,0),20)*IF(LEFT(BV79,4)="pool",IF(LEN(INDEX($BE$4:$BJ$99,MATCH(BV79,$BE$4:$BE$99,0),3))=10,2,IF(LEN(INDEX($BE$4:$BJ$99,MATCH(BV79,$BE$4:$BE$99,0),3))&gt;10,LEN(INDEX($BE$4:$BJ$99,MATCH(BV79,$BE$4:$BE$99,0),3))-8,1)),1)*IF(LEFT(BV79,4)="pool",IF(INDEX($BE$4:$BJ$99,MATCH(BV79,$BE$4:$BE$99,0),6)&lt;1,1,INDEX($BE$4:$BJ$99,MATCH(BV79,$BE$4:$BE$99,0),6)),INDEX(Calculation_Tab,MATCH(BV79,Identifier,0),10)),1)*(1+Calculation!$Q$6),"-")</f>
        <v>-</v>
      </c>
      <c r="CD79" s="509" t="str">
        <f ca="1">IFERROR(INDEX(Cluster!AC:AD,MATCH(IF(LEFT(BV79,4)="Pool",INDEX(Cluster!$D$29:$AA$412,MATCH(INDEX(Calculation_Tab,MATCH(INDEX($BE$4:$BJ$99,MATCH(BV79,$BE$4:$BE$99,0),3),Flow_Cell_Lane,0),3),Cluster!$F$29:$F$412,0),24),INDEX(Cluster!$D$29:$AA$412,MATCH(BV79,Cluster!$F$29:$F$412,0),24)),Cluster!AC:AC,0),2),"-")</f>
        <v>-</v>
      </c>
      <c r="CE79" s="378" t="str">
        <f ca="1">IFERROR(IF(BV79&lt;&gt;"-",Calculation!$AK$6,"-"),"-")</f>
        <v>-</v>
      </c>
      <c r="CF79" s="378" t="str">
        <f ca="1">IF(OR(LEFT(ListAndConversion!BW79,3)="Dil",LEFT(ListAndConversion!BW79,3)="Poo"),ListAndConversion!$BT$4,IF(LEFT(ListAndConversion!BW79,3)="Sou",INDEX(ListAndConversion!$AT$3:$AV$387,MATCH(ListAndConversion!BV79,ListAndConversion!$AV$3:$AV$387,0),1),"-"))</f>
        <v>-</v>
      </c>
      <c r="CG79" s="498" t="str">
        <f ca="1">IF(OR(LEFT(ListAndConversion!BW79,3)="Dil",LEFT(ListAndConversion!BW79,3)="Poo"),ListAndConversion!BU79,IF(LEFT(ListAndConversion!BW79,3)="Sou",INDEX(ListAndConversion!$AT$4:$AV$387,MATCH(ListAndConversion!BV79,ListAndConversion!$AV$4:$AV$387,0),2),"-"))</f>
        <v>-</v>
      </c>
      <c r="CH79" s="378"/>
      <c r="CI79" s="487" t="str">
        <f t="shared" ca="1" si="62"/>
        <v>-</v>
      </c>
      <c r="CJ79" s="378" t="str">
        <f t="shared" ca="1" si="65"/>
        <v>-</v>
      </c>
      <c r="CK79" s="378" t="str">
        <f t="shared" ca="1" si="65"/>
        <v>-</v>
      </c>
      <c r="CL79" s="378" t="str">
        <f t="shared" ca="1" si="65"/>
        <v>-</v>
      </c>
      <c r="CM79" s="378" t="str">
        <f t="shared" ca="1" si="65"/>
        <v>-</v>
      </c>
      <c r="CN79" s="378" t="str">
        <f t="shared" ca="1" si="65"/>
        <v>-</v>
      </c>
      <c r="CO79" s="378" t="str">
        <f t="shared" ca="1" si="65"/>
        <v>-</v>
      </c>
      <c r="CP79" s="378" t="str">
        <f t="shared" ca="1" si="65"/>
        <v>-</v>
      </c>
      <c r="CQ79" s="378" t="str">
        <f t="shared" ca="1" si="65"/>
        <v>-</v>
      </c>
      <c r="CR79" s="510" t="str">
        <f ca="1">IFERROR(IF(LEFT(BW79,3)="Poo",INDEX($BE$4:$BJ$99,MATCH(CI79,$BG$4:$BG$99,0),6)*((15/50))*Calculation!$AK$6,INDEX(Calculation_Tab,MATCH(BV79,Identifier,0),10)/(IF(LEN(INDEX(Calculation_Tab,MATCH(BV79,Identifier,0),9))&gt;8,LEN(INDEX(Calculation_Tab,MATCH(BV79,Identifier,0),9))-8,1))*((15/50)*Calculation!$AK$6)),"-")</f>
        <v>-</v>
      </c>
      <c r="CS79" s="498" t="str">
        <f ca="1">IF(CI79="-","-",IF(COUNTIF($CI$3:CI79,CI79)&gt;1,0,IFERROR((35/50)*Calculation!$AK$6,"-")))</f>
        <v>-</v>
      </c>
    </row>
    <row r="80" spans="4:97" x14ac:dyDescent="0.5">
      <c r="D80" s="487" t="e">
        <f t="shared" si="44"/>
        <v>#DIV/0!</v>
      </c>
      <c r="E80" s="496" t="e">
        <f t="array" ref="E80">IF(IF((ROW(E80)-3)&lt;(ListAndConversion!$A$15),INDEX(Flow_Cell_Lane,MIN(IF(COUNTIF($E$2:E79,Flow_Cell_Lane)=0,ROW(Flow_Cell_Lane)-9))),"-")="","-",IF((ROW(E80)-3)&lt;(ListAndConversion!$A$15),INDEX(Flow_Cell_Lane,MIN(IF(COUNTIF($E$2:E79,Flow_Cell_Lane)=0,ROW(Flow_Cell_Lane)-9))),"-"))</f>
        <v>#DIV/0!</v>
      </c>
      <c r="F80" s="378" t="e">
        <f t="shared" si="45"/>
        <v>#DIV/0!</v>
      </c>
      <c r="G80" s="378" t="e">
        <f t="shared" si="64"/>
        <v>#DIV/0!</v>
      </c>
      <c r="H80" s="378" t="e">
        <f t="shared" si="64"/>
        <v>#DIV/0!</v>
      </c>
      <c r="I80" s="378" t="e">
        <f t="shared" si="64"/>
        <v>#DIV/0!</v>
      </c>
      <c r="J80" s="378" t="e">
        <f t="shared" si="64"/>
        <v>#DIV/0!</v>
      </c>
      <c r="K80" s="378" t="e">
        <f t="shared" si="64"/>
        <v>#DIV/0!</v>
      </c>
      <c r="L80" s="378" t="e">
        <f t="shared" si="64"/>
        <v>#DIV/0!</v>
      </c>
      <c r="M80" s="378" t="e">
        <f t="shared" si="64"/>
        <v>#DIV/0!</v>
      </c>
      <c r="N80" s="497" t="e">
        <f t="shared" si="46"/>
        <v>#DIV/0!</v>
      </c>
      <c r="O80" s="497" t="str">
        <f t="array" ref="O80">IFERROR(INDEX(Calculation!I:AN,MATCH(ListAndConversion!E80,Calculation!I:I,0),31),"-")</f>
        <v>-</v>
      </c>
      <c r="P80" s="498">
        <f>IF(COUNTIFS(Calculation!$I$10:$I$393,E80,Direct_Denaturation,"-")&lt;&gt;1,COUNTIFS(Calculation!$I$10:$I$393,E80,Direct_Denaturation,"-"),0)</f>
        <v>0</v>
      </c>
      <c r="Q80" s="378"/>
      <c r="R80" s="487" t="e">
        <f t="array" ref="R80">IF(IF((ROW(R80)-3)&lt;(Calculation!$H$6),INDEX(Flow_Cell,MIN(IF(COUNTIF($R$2:R79,Flow_Cell)=0,ROW(Flow_Cell)-9))),"-")="","-",IF((ROW(R80)-3)&lt;(Calculation!$H$6),INDEX(Flow_Cell,MIN(IF(COUNTIF($R$2:R79,Flow_Cell)=0,ROW(Flow_Cell)-9))),"-"))</f>
        <v>#DIV/0!</v>
      </c>
      <c r="S80" s="378" t="e">
        <f t="shared" si="66"/>
        <v>#DIV/0!</v>
      </c>
      <c r="T80" s="378">
        <v>6</v>
      </c>
      <c r="U80" s="498">
        <v>78</v>
      </c>
      <c r="V80" s="487">
        <v>77</v>
      </c>
      <c r="W80" s="497" t="s">
        <v>287</v>
      </c>
      <c r="X80" s="497" t="s">
        <v>439</v>
      </c>
      <c r="Y80" s="378">
        <v>77</v>
      </c>
      <c r="Z80" s="378" t="str">
        <f t="shared" ca="1" si="48"/>
        <v>-</v>
      </c>
      <c r="AA80" s="508" t="str">
        <f t="array" aca="1" ref="AA80" ca="1">IFERROR(INDEX(Calculation_Tab,SMALL(ROW(Sample_Intermediate_Dil)*(Sample_Intermediate_Dil&lt;&gt;"-"),COUNTIF(Sample_Intermediate_Dil,"-")+ROW()-3)-9,5),"-")</f>
        <v>-</v>
      </c>
      <c r="AB80" s="378" t="str">
        <f t="array" aca="1" ref="AB80" ca="1">IFERROR(INDEX($A$3:$B$12,MATCH(INDEX(Calculation_Tab,SMALL(ROW(Sample_Intermediate_Dil)*(Sample_Intermediate_Dil&lt;&gt;"-"),COUNTIF(Sample_Intermediate_Dil,"-")+ROW()-3)-9,5),$A$3:$A$12,0),2),"-")</f>
        <v>-</v>
      </c>
      <c r="AC80" s="509" t="str">
        <f t="array" aca="1" ref="AC80" ca="1">IFERROR(INDEX(Coordinate,MATCH(INDEX(Calculation_Tab,SMALL(ROW(Sample_Intermediate_Dil)*(Sample_Intermediate_Dil&lt;&gt;"-"),COUNTIF(Sample_Intermediate_Dil,"-")+ROW()-3)-9,6),$X$4:$X$99,0),2),"-")</f>
        <v>-</v>
      </c>
      <c r="AD80" s="510" t="str">
        <f t="array" aca="1" ref="AD80" ca="1">IFERROR(INDEX(Calculation_Tab,SMALL(ROW(Sample_Intermediate_Dil)*(Sample_Intermediate_Dil&lt;&gt;"-"),COUNTIF(Sample_Intermediate_Dil,"-")+ROW()-3)-9,24),"-")</f>
        <v>-</v>
      </c>
      <c r="AE80" s="510" t="str">
        <f t="array" aca="1" ref="AE80" ca="1">IFERROR(INDEX(Calculation_Tab,SMALL(ROW(Sample_Intermediate_Dil)*(Sample_Intermediate_Dil&lt;&gt;"-"),COUNTIF(Sample_Intermediate_Dil,"-")+ROW()-3)-9,25),"-")</f>
        <v>-</v>
      </c>
      <c r="AF80" s="510" t="str">
        <f t="array" aca="1" ref="AF80" ca="1">IFERROR(INDEX(Calculation_Tab,SMALL(ROW(Sample_Intermediate_Dil)*(Sample_Intermediate_Dil&lt;&gt;"-"),COUNTIF(Sample_Intermediate_Dil,"-")+ROW()-3)-9,26),"-")</f>
        <v>-</v>
      </c>
      <c r="AG80" s="511" t="str">
        <f t="array" aca="1" ref="AG80" ca="1">IFERROR(INDEX(Calculation_Tab,SMALL(ROW(Sample_Intermediate_Dil)*(Sample_Intermediate_Dil&lt;&gt;"-"),COUNTIF(Sample_Intermediate_Dil,"-")+ROW()-3)-9,27),"-")</f>
        <v>-</v>
      </c>
      <c r="AI80" s="487">
        <v>77</v>
      </c>
      <c r="AJ80" s="497" t="s">
        <v>160</v>
      </c>
      <c r="AK80" s="378">
        <v>77</v>
      </c>
      <c r="AL80" s="378" t="str">
        <f t="shared" ca="1" si="49"/>
        <v>-</v>
      </c>
      <c r="AM80" s="378" t="str">
        <f t="array" aca="1" ref="AM80" ca="1">IFERROR(IF(AI80&lt;=$AB$2,"-",INDEX(Calculation_Tab,SMALL(ROW(Main_Dil)*(Main_Dil&lt;&gt;"-"),COUNTIF(Main_Dil,"-")+ROW()-3-$AB$2)-9,5)),"-")</f>
        <v>-</v>
      </c>
      <c r="AN80" s="378" t="str">
        <f t="array" aca="1" ref="AN80" ca="1">IFERROR(IF(AI80&lt;=$AB$2,"-",INDEX($A$3:$B$12,MATCH(INDEX(Calculation_Tab,SMALL(ROW(Main_Dil)*(Main_Dil&lt;&gt;"-"),COUNTIF(Main_Dil,"-")+ROW()-3-$AB$2)-9,5),$A$3:$A$12,0),2)),"-")</f>
        <v>-</v>
      </c>
      <c r="AO80" s="378" t="str">
        <f t="array" aca="1" ref="AO80" ca="1">IFERROR(IF(AI80&lt;=$AB$2,"-",INDEX(Coordinate,MATCH(INDEX(Calculation_Tab,SMALL(ROW(Main_Dil)*(Main_Dil&lt;&gt;"-"),COUNTIF(Main_Dil,"-")+ROW()-3-$AB$2)-9,6),$X$4:$X$99,0),2)),"-")</f>
        <v>-</v>
      </c>
      <c r="AP80" s="510" t="str">
        <f t="array" aca="1" ref="AP80" ca="1">IFERROR(IF(AI80&lt;=$AB$2,"-",INDEX(Calculation_Tab,SMALL(ROW(Main_Dil)*(Main_Dil&lt;&gt;"-"),COUNTIF(Main_Dil,"-")+ROW()-3-$AB$2)-9,21)),"-")</f>
        <v>-</v>
      </c>
      <c r="AQ80" s="511" t="str">
        <f t="array" aca="1" ref="AQ80" ca="1">IFERROR(IF(AI80&lt;=$AB$2,"-",INDEX(Calculation_Tab,SMALL(ROW(Main_Dil)*(Main_Dil&lt;&gt;"-"),COUNTIF(Main_Dil,"-")+ROW()-3-$AB$2)-9,22)),"-")</f>
        <v>-</v>
      </c>
      <c r="AR80" s="487" t="str">
        <f t="shared" ca="1" si="50"/>
        <v>-</v>
      </c>
      <c r="AS80" s="378">
        <v>77</v>
      </c>
      <c r="AT80" s="497" t="s">
        <v>160</v>
      </c>
      <c r="AU80" s="498">
        <v>77</v>
      </c>
      <c r="AV80" s="378" t="str">
        <f t="shared" ca="1" si="51"/>
        <v>-</v>
      </c>
      <c r="AW80" s="378" t="str">
        <f t="array" aca="1" ref="AW80" ca="1">IFERROR(IF(AS80&lt;=$AB$2+$AN$2,"-",INDEX(Calculation_Tab,SMALL(ROW(Direct_Denaturation)*(Direct_Denaturation&lt;&gt;"-"),COUNTIF(Direct_Denaturation,"-")+ROW()-3-$AB$2-$AN$2)-9,5)),"-")</f>
        <v>-</v>
      </c>
      <c r="AX80" s="378" t="str">
        <f t="array" aca="1" ref="AX80" ca="1">IFERROR(IF(AS80&lt;=$AB$2+$AN$2,"-",INDEX($A$3:$B$12,MATCH(INDEX(Calculation_Tab,SMALL(ROW(Direct_Denaturation)*(Direct_Denaturation&lt;&gt;"-"),COUNTIF(Direct_Denaturation,"-")+ROW()-3-$AB$2-$AN$2)-9,5),$A$3:$A$12,0),2)),"-")</f>
        <v>-</v>
      </c>
      <c r="AY80" s="378" t="str">
        <f t="array" aca="1" ref="AY80" ca="1">IFERROR(IF(AS80&lt;=$AB$2+$AN$2,"-",INDEX(Coordinate,MATCH(INDEX(Calculation_Tab,SMALL(ROW(Direct_Denaturation)*(Direct_Denaturation&lt;&gt;"-"),COUNTIF(Direct_Denaturation,"-")+ROW()-3-$AB$2-$AN$2)-9,6),$X$4:$X$99,0),2)),"-")</f>
        <v>-</v>
      </c>
      <c r="AZ80" s="510" t="str">
        <f t="array" aca="1" ref="AZ80" ca="1">IFERROR(IF(AS80&lt;=$AB$2+$AN$2,"-",INDEX(Calculation_Tab,SMALL(ROW(Direct_Denaturation)*(Direct_Denaturation&lt;&gt;"-"),COUNTIF(Direct_Denaturation,"-")+ROW()-3-$AB$2-$AN$2)-9,32)),"-")</f>
        <v>-</v>
      </c>
      <c r="BA80" s="510" t="str">
        <f t="array" aca="1" ref="BA80" ca="1">IFERROR(IF(AS80&lt;=$AB$2+$AN$2,"-",INDEX(Calculation_Tab,SMALL(ROW(Direct_Denaturation)*(Direct_Denaturation&lt;&gt;"-"),COUNTIF(Direct_Denaturation,"-")+ROW()-3-$AB$2-$AN$2)-9,34)),"-")</f>
        <v>-</v>
      </c>
      <c r="BB80" s="510" t="str">
        <f t="array" aca="1" ref="BB80" ca="1">IFERROR(IF(AS80&lt;=$AB$2+$AN$2,"-",INDEX(Calculation_Tab,SMALL(ROW(Direct_Denaturation)*(Direct_Denaturation&lt;&gt;"-"),COUNTIF(Direct_Denaturation,"-")+ROW()-3-$AB$2-$AN$2)-9,33)),"-")</f>
        <v>-</v>
      </c>
      <c r="BC80" s="510" t="str">
        <f t="array" aca="1" ref="BC80" ca="1">IFERROR(IF(AS80&lt;=$AB$2+$AN$2,"-",INDEX(Calculation_Tab,SMALL(ROW(Direct_Denaturation)*(Direct_Denaturation&lt;&gt;"-"),COUNTIF(Direct_Denaturation,"-")+ROW()-3-$AB$2-$AN$2)-9,35)),"-")</f>
        <v>-</v>
      </c>
      <c r="BD80" s="511" t="str">
        <f t="shared" ca="1" si="52"/>
        <v>-</v>
      </c>
      <c r="BE80" s="494" t="s">
        <v>440</v>
      </c>
      <c r="BF80" s="378">
        <v>77</v>
      </c>
      <c r="BG80" s="515" t="str">
        <v>-</v>
      </c>
      <c r="BH80" s="516" t="str">
        <f>IFERROR(IF((Calculation!$AR$6/INDEX(ListAndConversion!D:P,MATCH(BG80,E:E,0),13))&lt;Calculation!$O$6,INDEX(ListAndConversion!D:P,MATCH(BG80,E:E,0),13)*Calculation!$O$6,Calculation!$AR$6),"-")</f>
        <v>-</v>
      </c>
      <c r="BI80" s="517" t="str">
        <f t="shared" si="53"/>
        <v>-</v>
      </c>
      <c r="BJ80" s="518" t="str">
        <f t="shared" si="54"/>
        <v>-</v>
      </c>
      <c r="BK80" s="378" t="s">
        <v>158</v>
      </c>
      <c r="BL80" s="378">
        <v>77</v>
      </c>
      <c r="BM80" s="487" t="str">
        <f t="array" aca="1" ref="BM80" ca="1">IFERROR(INDEX(Calculation_Tab,SMALL(ROW(ToPool)*(ToPool&lt;&gt;"-"),COUNTIF(ToPool,"-")+ROW()-3)-9,3),"-")</f>
        <v>-</v>
      </c>
      <c r="BN80" s="378" t="str">
        <f t="shared" ca="1" si="55"/>
        <v>-</v>
      </c>
      <c r="BO80" s="378" t="str">
        <f t="shared" ca="1" si="56"/>
        <v>-</v>
      </c>
      <c r="BP80" s="523" t="str">
        <f t="shared" ca="1" si="57"/>
        <v>-</v>
      </c>
      <c r="BQ80" s="378" t="str">
        <f t="array" aca="1" ref="BQ80" ca="1">IFERROR(INDEX(BE:BG,MATCH(INDEX(Calculation_Tab,SMALL(ROW(ToPool)*(ToPool&lt;&gt;"-"),COUNTIF(ToPool,"-")+ROW()-3)-9,9),BG:BG,0),2),"-")</f>
        <v>-</v>
      </c>
      <c r="BR80" s="510" t="str">
        <f t="shared" ca="1" si="58"/>
        <v>-</v>
      </c>
      <c r="BS80" s="511" t="str">
        <f t="shared" ca="1" si="59"/>
        <v>-</v>
      </c>
      <c r="BT80" s="378" t="s">
        <v>164</v>
      </c>
      <c r="BU80" s="487" t="str">
        <f t="shared" ca="1" si="63"/>
        <v>-</v>
      </c>
      <c r="BV80" s="487" t="str">
        <f t="array" aca="1" ref="BV8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80" s="378" t="str">
        <f t="shared" ca="1" si="60"/>
        <v>-</v>
      </c>
      <c r="BX80" s="378" t="str">
        <f t="shared" ca="1" si="61"/>
        <v>-</v>
      </c>
      <c r="BY80" s="510" t="str">
        <f ca="1">IFERROR(ROUND(INDEX(Cluster,MATCH(IF(LEFT(BV80,4)="Pool",INDEX(Cluster,MATCH(INDEX(Calculation_Tab,MATCH(INDEX($BE$4:$BJ$99,MATCH(BV80,$BE$4:$BE$99,0),3),Flow_Cell_Lane,0),3),Cluster!$F$29:$F$412,0),6),BV80),Identifier_Cluster,0),19)*IF(LEFT(BV80,4)="pool",IF(LEN(INDEX($BE$4:$BJ$99,MATCH(BV80,$BE$4:$BE$99,0),3))=10,2,IF(LEN(INDEX($BE$4:$BJ$99,MATCH(BV80,$BE$4:$BE$99,0),3))&gt;10,LEN(INDEX($BE$4:$BJ$99,MATCH(BV80,$BE$4:$BE$99,0),3))-8,1)),1)*IF(LEFT(BV80,4)="pool",IF(INDEX($BE$4:$BJ$99,MATCH(BV80,$BE$4:$BE$99,0),6)&lt;1,1,INDEX($BE$4:$BJ$99,MATCH(BV80,$BE$4:$BE$99,0),6)),INDEX(Calculation_Tab,MATCH(BV80,Identifier,0),10)),1)*(1+Calculation!$Q$6),"-")</f>
        <v>-</v>
      </c>
      <c r="BZ80" s="378" t="str">
        <f ca="1">IFERROR((0.5/50)*CE80/Calculation!$AG$6*(IF(LEFT(BV80,4)="Pool",IF(LEN(INDEX($BE$4:$BJ$99,MATCH(BV80,$BE$4:$BE$99,0),3))=10,2,IF(LEN(INDEX($BE$4:$BJ$99,MATCH(BV80,$BE$4:$BE$99,0),3))&gt;10,LEN(INDEX($BE$4:$BJ$99,MATCH(BV80,$BE$4:$BE$99,0),3))-8,1)),IF(INDEX(Calculation_Tab,MATCH(BV80,Identifier,0),10)&gt;1,INDEX(Calculation_Tab,MATCH(BV80,Identifier,0),10),1)))*(1+Calculation!$Q$6),"-")</f>
        <v>-</v>
      </c>
      <c r="CA80" s="510" t="str">
        <f ca="1">IFERROR(IF((BZ80*Calculation!$AG$6/0.05)-SUM(BY80:BZ80,CC80)&gt;0,(BZ80*Calculation!$AG$6/0.05)-SUM(BY80:BZ80,CC80),0),"-")</f>
        <v>-</v>
      </c>
      <c r="CB80" s="510" t="str">
        <f ca="1">IFERROR(5/50*CE80*(IF(LEFT(BV80,4)="Pool",IF(LEN(INDEX($BE$4:$BJ$99,MATCH(BV80,$BE$4:$BE$99,0),3))=10,2,IF(LEN(INDEX($BE$4:$BJ$99,MATCH(BV80,$BE$4:$BE$99,0),3))&gt;10,LEN(INDEX($BE$4:$BJ$99,MATCH(BV80,$BE$4:$BE$99,0),3))-8,1)),IF(INDEX(Calculation_Tab,MATCH(BV80,Identifier,0),10)&gt;1,INDEX(Calculation_Tab,MATCH(BV80,Identifier,0),10),1)))*(1+Calculation!$Q$6),"-")</f>
        <v>-</v>
      </c>
      <c r="CC80" s="508" t="str">
        <f ca="1">IFERROR(ROUND(INDEX(Cluster,MATCH(IF(LEFT(BV80,4)="Pool",INDEX(Cluster,MATCH(INDEX(Calculation_Tab,MATCH(INDEX($BE$4:$BJ$99,MATCH(BV80,$BE$4:$BE$99,0),3),Flow_Cell_Lane,0),3),Cluster!$F$29:$F$412,0),6),BV80),Identifier_Cluster,0),20)*IF(LEFT(BV80,4)="pool",IF(LEN(INDEX($BE$4:$BJ$99,MATCH(BV80,$BE$4:$BE$99,0),3))=10,2,IF(LEN(INDEX($BE$4:$BJ$99,MATCH(BV80,$BE$4:$BE$99,0),3))&gt;10,LEN(INDEX($BE$4:$BJ$99,MATCH(BV80,$BE$4:$BE$99,0),3))-8,1)),1)*IF(LEFT(BV80,4)="pool",IF(INDEX($BE$4:$BJ$99,MATCH(BV80,$BE$4:$BE$99,0),6)&lt;1,1,INDEX($BE$4:$BJ$99,MATCH(BV80,$BE$4:$BE$99,0),6)),INDEX(Calculation_Tab,MATCH(BV80,Identifier,0),10)),1)*(1+Calculation!$Q$6),"-")</f>
        <v>-</v>
      </c>
      <c r="CD80" s="509" t="str">
        <f ca="1">IFERROR(INDEX(Cluster!AC:AD,MATCH(IF(LEFT(BV80,4)="Pool",INDEX(Cluster!$D$29:$AA$412,MATCH(INDEX(Calculation_Tab,MATCH(INDEX($BE$4:$BJ$99,MATCH(BV80,$BE$4:$BE$99,0),3),Flow_Cell_Lane,0),3),Cluster!$F$29:$F$412,0),24),INDEX(Cluster!$D$29:$AA$412,MATCH(BV80,Cluster!$F$29:$F$412,0),24)),Cluster!AC:AC,0),2),"-")</f>
        <v>-</v>
      </c>
      <c r="CE80" s="378" t="str">
        <f ca="1">IFERROR(IF(BV80&lt;&gt;"-",Calculation!$AK$6,"-"),"-")</f>
        <v>-</v>
      </c>
      <c r="CF80" s="378" t="str">
        <f ca="1">IF(OR(LEFT(ListAndConversion!BW80,3)="Dil",LEFT(ListAndConversion!BW80,3)="Poo"),ListAndConversion!$BT$4,IF(LEFT(ListAndConversion!BW80,3)="Sou",INDEX(ListAndConversion!$AT$3:$AV$387,MATCH(ListAndConversion!BV80,ListAndConversion!$AV$3:$AV$387,0),1),"-"))</f>
        <v>-</v>
      </c>
      <c r="CG80" s="498" t="str">
        <f ca="1">IF(OR(LEFT(ListAndConversion!BW80,3)="Dil",LEFT(ListAndConversion!BW80,3)="Poo"),ListAndConversion!BU80,IF(LEFT(ListAndConversion!BW80,3)="Sou",INDEX(ListAndConversion!$AT$4:$AV$387,MATCH(ListAndConversion!BV80,ListAndConversion!$AV$4:$AV$387,0),2),"-"))</f>
        <v>-</v>
      </c>
      <c r="CH80" s="378"/>
      <c r="CI80" s="487" t="str">
        <f t="shared" ca="1" si="62"/>
        <v>-</v>
      </c>
      <c r="CJ80" s="378" t="str">
        <f t="shared" ca="1" si="65"/>
        <v>-</v>
      </c>
      <c r="CK80" s="378" t="str">
        <f t="shared" ca="1" si="65"/>
        <v>-</v>
      </c>
      <c r="CL80" s="378" t="str">
        <f t="shared" ca="1" si="65"/>
        <v>-</v>
      </c>
      <c r="CM80" s="378" t="str">
        <f t="shared" ca="1" si="65"/>
        <v>-</v>
      </c>
      <c r="CN80" s="378" t="str">
        <f t="shared" ca="1" si="65"/>
        <v>-</v>
      </c>
      <c r="CO80" s="378" t="str">
        <f t="shared" ca="1" si="65"/>
        <v>-</v>
      </c>
      <c r="CP80" s="378" t="str">
        <f t="shared" ca="1" si="65"/>
        <v>-</v>
      </c>
      <c r="CQ80" s="378" t="str">
        <f t="shared" ca="1" si="65"/>
        <v>-</v>
      </c>
      <c r="CR80" s="510" t="str">
        <f ca="1">IFERROR(IF(LEFT(BW80,3)="Poo",INDEX($BE$4:$BJ$99,MATCH(CI80,$BG$4:$BG$99,0),6)*((15/50))*Calculation!$AK$6,INDEX(Calculation_Tab,MATCH(BV80,Identifier,0),10)/(IF(LEN(INDEX(Calculation_Tab,MATCH(BV80,Identifier,0),9))&gt;8,LEN(INDEX(Calculation_Tab,MATCH(BV80,Identifier,0),9))-8,1))*((15/50)*Calculation!$AK$6)),"-")</f>
        <v>-</v>
      </c>
      <c r="CS80" s="498" t="str">
        <f ca="1">IF(CI80="-","-",IF(COUNTIF($CI$3:CI80,CI80)&gt;1,0,IFERROR((35/50)*Calculation!$AK$6,"-")))</f>
        <v>-</v>
      </c>
    </row>
    <row r="81" spans="4:97" x14ac:dyDescent="0.5">
      <c r="D81" s="487" t="e">
        <f t="shared" si="44"/>
        <v>#DIV/0!</v>
      </c>
      <c r="E81" s="496" t="e">
        <f t="array" ref="E81">IF(IF((ROW(E81)-3)&lt;(ListAndConversion!$A$15),INDEX(Flow_Cell_Lane,MIN(IF(COUNTIF($E$2:E80,Flow_Cell_Lane)=0,ROW(Flow_Cell_Lane)-9))),"-")="","-",IF((ROW(E81)-3)&lt;(ListAndConversion!$A$15),INDEX(Flow_Cell_Lane,MIN(IF(COUNTIF($E$2:E80,Flow_Cell_Lane)=0,ROW(Flow_Cell_Lane)-9))),"-"))</f>
        <v>#DIV/0!</v>
      </c>
      <c r="F81" s="378" t="e">
        <f t="shared" si="45"/>
        <v>#DIV/0!</v>
      </c>
      <c r="G81" s="378" t="e">
        <f t="shared" si="64"/>
        <v>#DIV/0!</v>
      </c>
      <c r="H81" s="378" t="e">
        <f t="shared" si="64"/>
        <v>#DIV/0!</v>
      </c>
      <c r="I81" s="378" t="e">
        <f t="shared" si="64"/>
        <v>#DIV/0!</v>
      </c>
      <c r="J81" s="378" t="e">
        <f t="shared" si="64"/>
        <v>#DIV/0!</v>
      </c>
      <c r="K81" s="378" t="e">
        <f t="shared" si="64"/>
        <v>#DIV/0!</v>
      </c>
      <c r="L81" s="378" t="e">
        <f t="shared" si="64"/>
        <v>#DIV/0!</v>
      </c>
      <c r="M81" s="378" t="e">
        <f t="shared" si="64"/>
        <v>#DIV/0!</v>
      </c>
      <c r="N81" s="497" t="e">
        <f t="shared" si="46"/>
        <v>#DIV/0!</v>
      </c>
      <c r="O81" s="497" t="str">
        <f t="array" ref="O81">IFERROR(INDEX(Calculation!I:AN,MATCH(ListAndConversion!E81,Calculation!I:I,0),31),"-")</f>
        <v>-</v>
      </c>
      <c r="P81" s="498">
        <f>IF(COUNTIFS(Calculation!$I$10:$I$393,E81,Direct_Denaturation,"-")&lt;&gt;1,COUNTIFS(Calculation!$I$10:$I$393,E81,Direct_Denaturation,"-"),0)</f>
        <v>0</v>
      </c>
      <c r="Q81" s="378"/>
      <c r="R81" s="487" t="e">
        <f t="array" ref="R81">IF(IF((ROW(R81)-3)&lt;(Calculation!$H$6),INDEX(Flow_Cell,MIN(IF(COUNTIF($R$2:R80,Flow_Cell)=0,ROW(Flow_Cell)-9))),"-")="","-",IF((ROW(R81)-3)&lt;(Calculation!$H$6),INDEX(Flow_Cell,MIN(IF(COUNTIF($R$2:R80,Flow_Cell)=0,ROW(Flow_Cell)-9))),"-"))</f>
        <v>#DIV/0!</v>
      </c>
      <c r="S81" s="378" t="e">
        <f t="shared" si="66"/>
        <v>#DIV/0!</v>
      </c>
      <c r="T81" s="378">
        <v>7</v>
      </c>
      <c r="U81" s="498">
        <v>79</v>
      </c>
      <c r="V81" s="487">
        <v>78</v>
      </c>
      <c r="W81" s="497" t="s">
        <v>287</v>
      </c>
      <c r="X81" s="497" t="s">
        <v>441</v>
      </c>
      <c r="Y81" s="378">
        <v>78</v>
      </c>
      <c r="Z81" s="378" t="str">
        <f t="shared" ca="1" si="48"/>
        <v>-</v>
      </c>
      <c r="AA81" s="508" t="str">
        <f t="array" aca="1" ref="AA81" ca="1">IFERROR(INDEX(Calculation_Tab,SMALL(ROW(Sample_Intermediate_Dil)*(Sample_Intermediate_Dil&lt;&gt;"-"),COUNTIF(Sample_Intermediate_Dil,"-")+ROW()-3)-9,5),"-")</f>
        <v>-</v>
      </c>
      <c r="AB81" s="378" t="str">
        <f t="array" aca="1" ref="AB81" ca="1">IFERROR(INDEX($A$3:$B$12,MATCH(INDEX(Calculation_Tab,SMALL(ROW(Sample_Intermediate_Dil)*(Sample_Intermediate_Dil&lt;&gt;"-"),COUNTIF(Sample_Intermediate_Dil,"-")+ROW()-3)-9,5),$A$3:$A$12,0),2),"-")</f>
        <v>-</v>
      </c>
      <c r="AC81" s="509" t="str">
        <f t="array" aca="1" ref="AC81" ca="1">IFERROR(INDEX(Coordinate,MATCH(INDEX(Calculation_Tab,SMALL(ROW(Sample_Intermediate_Dil)*(Sample_Intermediate_Dil&lt;&gt;"-"),COUNTIF(Sample_Intermediate_Dil,"-")+ROW()-3)-9,6),$X$4:$X$99,0),2),"-")</f>
        <v>-</v>
      </c>
      <c r="AD81" s="510" t="str">
        <f t="array" aca="1" ref="AD81" ca="1">IFERROR(INDEX(Calculation_Tab,SMALL(ROW(Sample_Intermediate_Dil)*(Sample_Intermediate_Dil&lt;&gt;"-"),COUNTIF(Sample_Intermediate_Dil,"-")+ROW()-3)-9,24),"-")</f>
        <v>-</v>
      </c>
      <c r="AE81" s="510" t="str">
        <f t="array" aca="1" ref="AE81" ca="1">IFERROR(INDEX(Calculation_Tab,SMALL(ROW(Sample_Intermediate_Dil)*(Sample_Intermediate_Dil&lt;&gt;"-"),COUNTIF(Sample_Intermediate_Dil,"-")+ROW()-3)-9,25),"-")</f>
        <v>-</v>
      </c>
      <c r="AF81" s="510" t="str">
        <f t="array" aca="1" ref="AF81" ca="1">IFERROR(INDEX(Calculation_Tab,SMALL(ROW(Sample_Intermediate_Dil)*(Sample_Intermediate_Dil&lt;&gt;"-"),COUNTIF(Sample_Intermediate_Dil,"-")+ROW()-3)-9,26),"-")</f>
        <v>-</v>
      </c>
      <c r="AG81" s="511" t="str">
        <f t="array" aca="1" ref="AG81" ca="1">IFERROR(INDEX(Calculation_Tab,SMALL(ROW(Sample_Intermediate_Dil)*(Sample_Intermediate_Dil&lt;&gt;"-"),COUNTIF(Sample_Intermediate_Dil,"-")+ROW()-3)-9,27),"-")</f>
        <v>-</v>
      </c>
      <c r="AI81" s="487">
        <v>78</v>
      </c>
      <c r="AJ81" s="497" t="s">
        <v>160</v>
      </c>
      <c r="AK81" s="378">
        <v>78</v>
      </c>
      <c r="AL81" s="378" t="str">
        <f t="shared" ca="1" si="49"/>
        <v>-</v>
      </c>
      <c r="AM81" s="378" t="str">
        <f t="array" aca="1" ref="AM81" ca="1">IFERROR(IF(AI81&lt;=$AB$2,"-",INDEX(Calculation_Tab,SMALL(ROW(Main_Dil)*(Main_Dil&lt;&gt;"-"),COUNTIF(Main_Dil,"-")+ROW()-3-$AB$2)-9,5)),"-")</f>
        <v>-</v>
      </c>
      <c r="AN81" s="378" t="str">
        <f t="array" aca="1" ref="AN81" ca="1">IFERROR(IF(AI81&lt;=$AB$2,"-",INDEX($A$3:$B$12,MATCH(INDEX(Calculation_Tab,SMALL(ROW(Main_Dil)*(Main_Dil&lt;&gt;"-"),COUNTIF(Main_Dil,"-")+ROW()-3-$AB$2)-9,5),$A$3:$A$12,0),2)),"-")</f>
        <v>-</v>
      </c>
      <c r="AO81" s="378" t="str">
        <f t="array" aca="1" ref="AO81" ca="1">IFERROR(IF(AI81&lt;=$AB$2,"-",INDEX(Coordinate,MATCH(INDEX(Calculation_Tab,SMALL(ROW(Main_Dil)*(Main_Dil&lt;&gt;"-"),COUNTIF(Main_Dil,"-")+ROW()-3-$AB$2)-9,6),$X$4:$X$99,0),2)),"-")</f>
        <v>-</v>
      </c>
      <c r="AP81" s="510" t="str">
        <f t="array" aca="1" ref="AP81" ca="1">IFERROR(IF(AI81&lt;=$AB$2,"-",INDEX(Calculation_Tab,SMALL(ROW(Main_Dil)*(Main_Dil&lt;&gt;"-"),COUNTIF(Main_Dil,"-")+ROW()-3-$AB$2)-9,21)),"-")</f>
        <v>-</v>
      </c>
      <c r="AQ81" s="511" t="str">
        <f t="array" aca="1" ref="AQ81" ca="1">IFERROR(IF(AI81&lt;=$AB$2,"-",INDEX(Calculation_Tab,SMALL(ROW(Main_Dil)*(Main_Dil&lt;&gt;"-"),COUNTIF(Main_Dil,"-")+ROW()-3-$AB$2)-9,22)),"-")</f>
        <v>-</v>
      </c>
      <c r="AR81" s="487" t="str">
        <f t="shared" ca="1" si="50"/>
        <v>-</v>
      </c>
      <c r="AS81" s="378">
        <v>78</v>
      </c>
      <c r="AT81" s="497" t="s">
        <v>160</v>
      </c>
      <c r="AU81" s="498">
        <v>78</v>
      </c>
      <c r="AV81" s="378" t="str">
        <f t="shared" ca="1" si="51"/>
        <v>-</v>
      </c>
      <c r="AW81" s="378" t="str">
        <f t="array" aca="1" ref="AW81" ca="1">IFERROR(IF(AS81&lt;=$AB$2+$AN$2,"-",INDEX(Calculation_Tab,SMALL(ROW(Direct_Denaturation)*(Direct_Denaturation&lt;&gt;"-"),COUNTIF(Direct_Denaturation,"-")+ROW()-3-$AB$2-$AN$2)-9,5)),"-")</f>
        <v>-</v>
      </c>
      <c r="AX81" s="378" t="str">
        <f t="array" aca="1" ref="AX81" ca="1">IFERROR(IF(AS81&lt;=$AB$2+$AN$2,"-",INDEX($A$3:$B$12,MATCH(INDEX(Calculation_Tab,SMALL(ROW(Direct_Denaturation)*(Direct_Denaturation&lt;&gt;"-"),COUNTIF(Direct_Denaturation,"-")+ROW()-3-$AB$2-$AN$2)-9,5),$A$3:$A$12,0),2)),"-")</f>
        <v>-</v>
      </c>
      <c r="AY81" s="378" t="str">
        <f t="array" aca="1" ref="AY81" ca="1">IFERROR(IF(AS81&lt;=$AB$2+$AN$2,"-",INDEX(Coordinate,MATCH(INDEX(Calculation_Tab,SMALL(ROW(Direct_Denaturation)*(Direct_Denaturation&lt;&gt;"-"),COUNTIF(Direct_Denaturation,"-")+ROW()-3-$AB$2-$AN$2)-9,6),$X$4:$X$99,0),2)),"-")</f>
        <v>-</v>
      </c>
      <c r="AZ81" s="510" t="str">
        <f t="array" aca="1" ref="AZ81" ca="1">IFERROR(IF(AS81&lt;=$AB$2+$AN$2,"-",INDEX(Calculation_Tab,SMALL(ROW(Direct_Denaturation)*(Direct_Denaturation&lt;&gt;"-"),COUNTIF(Direct_Denaturation,"-")+ROW()-3-$AB$2-$AN$2)-9,32)),"-")</f>
        <v>-</v>
      </c>
      <c r="BA81" s="510" t="str">
        <f t="array" aca="1" ref="BA81" ca="1">IFERROR(IF(AS81&lt;=$AB$2+$AN$2,"-",INDEX(Calculation_Tab,SMALL(ROW(Direct_Denaturation)*(Direct_Denaturation&lt;&gt;"-"),COUNTIF(Direct_Denaturation,"-")+ROW()-3-$AB$2-$AN$2)-9,34)),"-")</f>
        <v>-</v>
      </c>
      <c r="BB81" s="510" t="str">
        <f t="array" aca="1" ref="BB81" ca="1">IFERROR(IF(AS81&lt;=$AB$2+$AN$2,"-",INDEX(Calculation_Tab,SMALL(ROW(Direct_Denaturation)*(Direct_Denaturation&lt;&gt;"-"),COUNTIF(Direct_Denaturation,"-")+ROW()-3-$AB$2-$AN$2)-9,33)),"-")</f>
        <v>-</v>
      </c>
      <c r="BC81" s="510" t="str">
        <f t="array" aca="1" ref="BC81" ca="1">IFERROR(IF(AS81&lt;=$AB$2+$AN$2,"-",INDEX(Calculation_Tab,SMALL(ROW(Direct_Denaturation)*(Direct_Denaturation&lt;&gt;"-"),COUNTIF(Direct_Denaturation,"-")+ROW()-3-$AB$2-$AN$2)-9,35)),"-")</f>
        <v>-</v>
      </c>
      <c r="BD81" s="511" t="str">
        <f t="shared" ca="1" si="52"/>
        <v>-</v>
      </c>
      <c r="BE81" s="494" t="s">
        <v>442</v>
      </c>
      <c r="BF81" s="378">
        <v>78</v>
      </c>
      <c r="BG81" s="515" t="str">
        <v>-</v>
      </c>
      <c r="BH81" s="516" t="str">
        <f>IFERROR(IF((Calculation!$AR$6/INDEX(ListAndConversion!D:P,MATCH(BG81,E:E,0),13))&lt;Calculation!$O$6,INDEX(ListAndConversion!D:P,MATCH(BG81,E:E,0),13)*Calculation!$O$6,Calculation!$AR$6),"-")</f>
        <v>-</v>
      </c>
      <c r="BI81" s="517" t="str">
        <f t="shared" si="53"/>
        <v>-</v>
      </c>
      <c r="BJ81" s="518" t="str">
        <f t="shared" si="54"/>
        <v>-</v>
      </c>
      <c r="BK81" s="378" t="s">
        <v>158</v>
      </c>
      <c r="BL81" s="378">
        <v>78</v>
      </c>
      <c r="BM81" s="487" t="str">
        <f t="array" aca="1" ref="BM81" ca="1">IFERROR(INDEX(Calculation_Tab,SMALL(ROW(ToPool)*(ToPool&lt;&gt;"-"),COUNTIF(ToPool,"-")+ROW()-3)-9,3),"-")</f>
        <v>-</v>
      </c>
      <c r="BN81" s="378" t="str">
        <f t="shared" ca="1" si="55"/>
        <v>-</v>
      </c>
      <c r="BO81" s="378" t="str">
        <f t="shared" ca="1" si="56"/>
        <v>-</v>
      </c>
      <c r="BP81" s="523" t="str">
        <f t="shared" ca="1" si="57"/>
        <v>-</v>
      </c>
      <c r="BQ81" s="378" t="str">
        <f t="array" aca="1" ref="BQ81" ca="1">IFERROR(INDEX(BE:BG,MATCH(INDEX(Calculation_Tab,SMALL(ROW(ToPool)*(ToPool&lt;&gt;"-"),COUNTIF(ToPool,"-")+ROW()-3)-9,9),BG:BG,0),2),"-")</f>
        <v>-</v>
      </c>
      <c r="BR81" s="510" t="str">
        <f t="shared" ca="1" si="58"/>
        <v>-</v>
      </c>
      <c r="BS81" s="511" t="str">
        <f t="shared" ca="1" si="59"/>
        <v>-</v>
      </c>
      <c r="BT81" s="378" t="s">
        <v>164</v>
      </c>
      <c r="BU81" s="487" t="str">
        <f t="shared" ca="1" si="63"/>
        <v>-</v>
      </c>
      <c r="BV81" s="487" t="str">
        <f t="array" aca="1" ref="BV8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81" s="378" t="str">
        <f t="shared" ca="1" si="60"/>
        <v>-</v>
      </c>
      <c r="BX81" s="378" t="str">
        <f t="shared" ca="1" si="61"/>
        <v>-</v>
      </c>
      <c r="BY81" s="510" t="str">
        <f ca="1">IFERROR(ROUND(INDEX(Cluster,MATCH(IF(LEFT(BV81,4)="Pool",INDEX(Cluster,MATCH(INDEX(Calculation_Tab,MATCH(INDEX($BE$4:$BJ$99,MATCH(BV81,$BE$4:$BE$99,0),3),Flow_Cell_Lane,0),3),Cluster!$F$29:$F$412,0),6),BV81),Identifier_Cluster,0),19)*IF(LEFT(BV81,4)="pool",IF(LEN(INDEX($BE$4:$BJ$99,MATCH(BV81,$BE$4:$BE$99,0),3))=10,2,IF(LEN(INDEX($BE$4:$BJ$99,MATCH(BV81,$BE$4:$BE$99,0),3))&gt;10,LEN(INDEX($BE$4:$BJ$99,MATCH(BV81,$BE$4:$BE$99,0),3))-8,1)),1)*IF(LEFT(BV81,4)="pool",IF(INDEX($BE$4:$BJ$99,MATCH(BV81,$BE$4:$BE$99,0),6)&lt;1,1,INDEX($BE$4:$BJ$99,MATCH(BV81,$BE$4:$BE$99,0),6)),INDEX(Calculation_Tab,MATCH(BV81,Identifier,0),10)),1)*(1+Calculation!$Q$6),"-")</f>
        <v>-</v>
      </c>
      <c r="BZ81" s="378" t="str">
        <f ca="1">IFERROR((0.5/50)*CE81/Calculation!$AG$6*(IF(LEFT(BV81,4)="Pool",IF(LEN(INDEX($BE$4:$BJ$99,MATCH(BV81,$BE$4:$BE$99,0),3))=10,2,IF(LEN(INDEX($BE$4:$BJ$99,MATCH(BV81,$BE$4:$BE$99,0),3))&gt;10,LEN(INDEX($BE$4:$BJ$99,MATCH(BV81,$BE$4:$BE$99,0),3))-8,1)),IF(INDEX(Calculation_Tab,MATCH(BV81,Identifier,0),10)&gt;1,INDEX(Calculation_Tab,MATCH(BV81,Identifier,0),10),1)))*(1+Calculation!$Q$6),"-")</f>
        <v>-</v>
      </c>
      <c r="CA81" s="510" t="str">
        <f ca="1">IFERROR(IF((BZ81*Calculation!$AG$6/0.05)-SUM(BY81:BZ81,CC81)&gt;0,(BZ81*Calculation!$AG$6/0.05)-SUM(BY81:BZ81,CC81),0),"-")</f>
        <v>-</v>
      </c>
      <c r="CB81" s="510" t="str">
        <f ca="1">IFERROR(5/50*CE81*(IF(LEFT(BV81,4)="Pool",IF(LEN(INDEX($BE$4:$BJ$99,MATCH(BV81,$BE$4:$BE$99,0),3))=10,2,IF(LEN(INDEX($BE$4:$BJ$99,MATCH(BV81,$BE$4:$BE$99,0),3))&gt;10,LEN(INDEX($BE$4:$BJ$99,MATCH(BV81,$BE$4:$BE$99,0),3))-8,1)),IF(INDEX(Calculation_Tab,MATCH(BV81,Identifier,0),10)&gt;1,INDEX(Calculation_Tab,MATCH(BV81,Identifier,0),10),1)))*(1+Calculation!$Q$6),"-")</f>
        <v>-</v>
      </c>
      <c r="CC81" s="508" t="str">
        <f ca="1">IFERROR(ROUND(INDEX(Cluster,MATCH(IF(LEFT(BV81,4)="Pool",INDEX(Cluster,MATCH(INDEX(Calculation_Tab,MATCH(INDEX($BE$4:$BJ$99,MATCH(BV81,$BE$4:$BE$99,0),3),Flow_Cell_Lane,0),3),Cluster!$F$29:$F$412,0),6),BV81),Identifier_Cluster,0),20)*IF(LEFT(BV81,4)="pool",IF(LEN(INDEX($BE$4:$BJ$99,MATCH(BV81,$BE$4:$BE$99,0),3))=10,2,IF(LEN(INDEX($BE$4:$BJ$99,MATCH(BV81,$BE$4:$BE$99,0),3))&gt;10,LEN(INDEX($BE$4:$BJ$99,MATCH(BV81,$BE$4:$BE$99,0),3))-8,1)),1)*IF(LEFT(BV81,4)="pool",IF(INDEX($BE$4:$BJ$99,MATCH(BV81,$BE$4:$BE$99,0),6)&lt;1,1,INDEX($BE$4:$BJ$99,MATCH(BV81,$BE$4:$BE$99,0),6)),INDEX(Calculation_Tab,MATCH(BV81,Identifier,0),10)),1)*(1+Calculation!$Q$6),"-")</f>
        <v>-</v>
      </c>
      <c r="CD81" s="509" t="str">
        <f ca="1">IFERROR(INDEX(Cluster!AC:AD,MATCH(IF(LEFT(BV81,4)="Pool",INDEX(Cluster!$D$29:$AA$412,MATCH(INDEX(Calculation_Tab,MATCH(INDEX($BE$4:$BJ$99,MATCH(BV81,$BE$4:$BE$99,0),3),Flow_Cell_Lane,0),3),Cluster!$F$29:$F$412,0),24),INDEX(Cluster!$D$29:$AA$412,MATCH(BV81,Cluster!$F$29:$F$412,0),24)),Cluster!AC:AC,0),2),"-")</f>
        <v>-</v>
      </c>
      <c r="CE81" s="378" t="str">
        <f ca="1">IFERROR(IF(BV81&lt;&gt;"-",Calculation!$AK$6,"-"),"-")</f>
        <v>-</v>
      </c>
      <c r="CF81" s="378" t="str">
        <f ca="1">IF(OR(LEFT(ListAndConversion!BW81,3)="Dil",LEFT(ListAndConversion!BW81,3)="Poo"),ListAndConversion!$BT$4,IF(LEFT(ListAndConversion!BW81,3)="Sou",INDEX(ListAndConversion!$AT$3:$AV$387,MATCH(ListAndConversion!BV81,ListAndConversion!$AV$3:$AV$387,0),1),"-"))</f>
        <v>-</v>
      </c>
      <c r="CG81" s="498" t="str">
        <f ca="1">IF(OR(LEFT(ListAndConversion!BW81,3)="Dil",LEFT(ListAndConversion!BW81,3)="Poo"),ListAndConversion!BU81,IF(LEFT(ListAndConversion!BW81,3)="Sou",INDEX(ListAndConversion!$AT$4:$AV$387,MATCH(ListAndConversion!BV81,ListAndConversion!$AV$4:$AV$387,0),2),"-"))</f>
        <v>-</v>
      </c>
      <c r="CH81" s="378"/>
      <c r="CI81" s="487" t="str">
        <f t="shared" ca="1" si="62"/>
        <v>-</v>
      </c>
      <c r="CJ81" s="378" t="str">
        <f t="shared" ca="1" si="65"/>
        <v>-</v>
      </c>
      <c r="CK81" s="378" t="str">
        <f t="shared" ca="1" si="65"/>
        <v>-</v>
      </c>
      <c r="CL81" s="378" t="str">
        <f t="shared" ca="1" si="65"/>
        <v>-</v>
      </c>
      <c r="CM81" s="378" t="str">
        <f t="shared" ca="1" si="65"/>
        <v>-</v>
      </c>
      <c r="CN81" s="378" t="str">
        <f t="shared" ca="1" si="65"/>
        <v>-</v>
      </c>
      <c r="CO81" s="378" t="str">
        <f t="shared" ca="1" si="65"/>
        <v>-</v>
      </c>
      <c r="CP81" s="378" t="str">
        <f t="shared" ca="1" si="65"/>
        <v>-</v>
      </c>
      <c r="CQ81" s="378" t="str">
        <f t="shared" ca="1" si="65"/>
        <v>-</v>
      </c>
      <c r="CR81" s="510" t="str">
        <f ca="1">IFERROR(IF(LEFT(BW81,3)="Poo",INDEX($BE$4:$BJ$99,MATCH(CI81,$BG$4:$BG$99,0),6)*((15/50))*Calculation!$AK$6,INDEX(Calculation_Tab,MATCH(BV81,Identifier,0),10)/(IF(LEN(INDEX(Calculation_Tab,MATCH(BV81,Identifier,0),9))&gt;8,LEN(INDEX(Calculation_Tab,MATCH(BV81,Identifier,0),9))-8,1))*((15/50)*Calculation!$AK$6)),"-")</f>
        <v>-</v>
      </c>
      <c r="CS81" s="498" t="str">
        <f ca="1">IF(CI81="-","-",IF(COUNTIF($CI$3:CI81,CI81)&gt;1,0,IFERROR((35/50)*Calculation!$AK$6,"-")))</f>
        <v>-</v>
      </c>
    </row>
    <row r="82" spans="4:97" x14ac:dyDescent="0.5">
      <c r="D82" s="487" t="e">
        <f t="shared" si="44"/>
        <v>#DIV/0!</v>
      </c>
      <c r="E82" s="496" t="e">
        <f t="array" ref="E82">IF(IF((ROW(E82)-3)&lt;(ListAndConversion!$A$15),INDEX(Flow_Cell_Lane,MIN(IF(COUNTIF($E$2:E81,Flow_Cell_Lane)=0,ROW(Flow_Cell_Lane)-9))),"-")="","-",IF((ROW(E82)-3)&lt;(ListAndConversion!$A$15),INDEX(Flow_Cell_Lane,MIN(IF(COUNTIF($E$2:E81,Flow_Cell_Lane)=0,ROW(Flow_Cell_Lane)-9))),"-"))</f>
        <v>#DIV/0!</v>
      </c>
      <c r="F82" s="378" t="e">
        <f t="shared" si="45"/>
        <v>#DIV/0!</v>
      </c>
      <c r="G82" s="378" t="e">
        <f t="shared" si="64"/>
        <v>#DIV/0!</v>
      </c>
      <c r="H82" s="378" t="e">
        <f t="shared" si="64"/>
        <v>#DIV/0!</v>
      </c>
      <c r="I82" s="378" t="e">
        <f t="shared" si="64"/>
        <v>#DIV/0!</v>
      </c>
      <c r="J82" s="378" t="e">
        <f t="shared" si="64"/>
        <v>#DIV/0!</v>
      </c>
      <c r="K82" s="378" t="e">
        <f t="shared" si="64"/>
        <v>#DIV/0!</v>
      </c>
      <c r="L82" s="378" t="e">
        <f t="shared" si="64"/>
        <v>#DIV/0!</v>
      </c>
      <c r="M82" s="378" t="e">
        <f t="shared" si="64"/>
        <v>#DIV/0!</v>
      </c>
      <c r="N82" s="497" t="e">
        <f t="shared" si="46"/>
        <v>#DIV/0!</v>
      </c>
      <c r="O82" s="497" t="str">
        <f t="array" ref="O82">IFERROR(INDEX(Calculation!I:AN,MATCH(ListAndConversion!E82,Calculation!I:I,0),31),"-")</f>
        <v>-</v>
      </c>
      <c r="P82" s="498">
        <f>IF(COUNTIFS(Calculation!$I$10:$I$393,E82,Direct_Denaturation,"-")&lt;&gt;1,COUNTIFS(Calculation!$I$10:$I$393,E82,Direct_Denaturation,"-"),0)</f>
        <v>0</v>
      </c>
      <c r="Q82" s="378"/>
      <c r="R82" s="487" t="e">
        <f t="array" ref="R82">IF(IF((ROW(R82)-3)&lt;(Calculation!$H$6),INDEX(Flow_Cell,MIN(IF(COUNTIF($R$2:R81,Flow_Cell)=0,ROW(Flow_Cell)-9))),"-")="","-",IF((ROW(R82)-3)&lt;(Calculation!$H$6),INDEX(Flow_Cell,MIN(IF(COUNTIF($R$2:R81,Flow_Cell)=0,ROW(Flow_Cell)-9))),"-"))</f>
        <v>#DIV/0!</v>
      </c>
      <c r="S82" s="378" t="e">
        <f t="shared" si="66"/>
        <v>#DIV/0!</v>
      </c>
      <c r="T82" s="378">
        <v>8</v>
      </c>
      <c r="U82" s="498">
        <v>80</v>
      </c>
      <c r="V82" s="487">
        <v>79</v>
      </c>
      <c r="W82" s="497" t="s">
        <v>287</v>
      </c>
      <c r="X82" s="497" t="s">
        <v>443</v>
      </c>
      <c r="Y82" s="378">
        <v>79</v>
      </c>
      <c r="Z82" s="378" t="str">
        <f t="shared" ca="1" si="48"/>
        <v>-</v>
      </c>
      <c r="AA82" s="508" t="str">
        <f t="array" aca="1" ref="AA82" ca="1">IFERROR(INDEX(Calculation_Tab,SMALL(ROW(Sample_Intermediate_Dil)*(Sample_Intermediate_Dil&lt;&gt;"-"),COUNTIF(Sample_Intermediate_Dil,"-")+ROW()-3)-9,5),"-")</f>
        <v>-</v>
      </c>
      <c r="AB82" s="378" t="str">
        <f t="array" aca="1" ref="AB82" ca="1">IFERROR(INDEX($A$3:$B$12,MATCH(INDEX(Calculation_Tab,SMALL(ROW(Sample_Intermediate_Dil)*(Sample_Intermediate_Dil&lt;&gt;"-"),COUNTIF(Sample_Intermediate_Dil,"-")+ROW()-3)-9,5),$A$3:$A$12,0),2),"-")</f>
        <v>-</v>
      </c>
      <c r="AC82" s="509" t="str">
        <f t="array" aca="1" ref="AC82" ca="1">IFERROR(INDEX(Coordinate,MATCH(INDEX(Calculation_Tab,SMALL(ROW(Sample_Intermediate_Dil)*(Sample_Intermediate_Dil&lt;&gt;"-"),COUNTIF(Sample_Intermediate_Dil,"-")+ROW()-3)-9,6),$X$4:$X$99,0),2),"-")</f>
        <v>-</v>
      </c>
      <c r="AD82" s="510" t="str">
        <f t="array" aca="1" ref="AD82" ca="1">IFERROR(INDEX(Calculation_Tab,SMALL(ROW(Sample_Intermediate_Dil)*(Sample_Intermediate_Dil&lt;&gt;"-"),COUNTIF(Sample_Intermediate_Dil,"-")+ROW()-3)-9,24),"-")</f>
        <v>-</v>
      </c>
      <c r="AE82" s="510" t="str">
        <f t="array" aca="1" ref="AE82" ca="1">IFERROR(INDEX(Calculation_Tab,SMALL(ROW(Sample_Intermediate_Dil)*(Sample_Intermediate_Dil&lt;&gt;"-"),COUNTIF(Sample_Intermediate_Dil,"-")+ROW()-3)-9,25),"-")</f>
        <v>-</v>
      </c>
      <c r="AF82" s="510" t="str">
        <f t="array" aca="1" ref="AF82" ca="1">IFERROR(INDEX(Calculation_Tab,SMALL(ROW(Sample_Intermediate_Dil)*(Sample_Intermediate_Dil&lt;&gt;"-"),COUNTIF(Sample_Intermediate_Dil,"-")+ROW()-3)-9,26),"-")</f>
        <v>-</v>
      </c>
      <c r="AG82" s="511" t="str">
        <f t="array" aca="1" ref="AG82" ca="1">IFERROR(INDEX(Calculation_Tab,SMALL(ROW(Sample_Intermediate_Dil)*(Sample_Intermediate_Dil&lt;&gt;"-"),COUNTIF(Sample_Intermediate_Dil,"-")+ROW()-3)-9,27),"-")</f>
        <v>-</v>
      </c>
      <c r="AI82" s="487">
        <v>79</v>
      </c>
      <c r="AJ82" s="497" t="s">
        <v>160</v>
      </c>
      <c r="AK82" s="378">
        <v>79</v>
      </c>
      <c r="AL82" s="378" t="str">
        <f t="shared" ca="1" si="49"/>
        <v>-</v>
      </c>
      <c r="AM82" s="378" t="str">
        <f t="array" aca="1" ref="AM82" ca="1">IFERROR(IF(AI82&lt;=$AB$2,"-",INDEX(Calculation_Tab,SMALL(ROW(Main_Dil)*(Main_Dil&lt;&gt;"-"),COUNTIF(Main_Dil,"-")+ROW()-3-$AB$2)-9,5)),"-")</f>
        <v>-</v>
      </c>
      <c r="AN82" s="378" t="str">
        <f t="array" aca="1" ref="AN82" ca="1">IFERROR(IF(AI82&lt;=$AB$2,"-",INDEX($A$3:$B$12,MATCH(INDEX(Calculation_Tab,SMALL(ROW(Main_Dil)*(Main_Dil&lt;&gt;"-"),COUNTIF(Main_Dil,"-")+ROW()-3-$AB$2)-9,5),$A$3:$A$12,0),2)),"-")</f>
        <v>-</v>
      </c>
      <c r="AO82" s="378" t="str">
        <f t="array" aca="1" ref="AO82" ca="1">IFERROR(IF(AI82&lt;=$AB$2,"-",INDEX(Coordinate,MATCH(INDEX(Calculation_Tab,SMALL(ROW(Main_Dil)*(Main_Dil&lt;&gt;"-"),COUNTIF(Main_Dil,"-")+ROW()-3-$AB$2)-9,6),$X$4:$X$99,0),2)),"-")</f>
        <v>-</v>
      </c>
      <c r="AP82" s="510" t="str">
        <f t="array" aca="1" ref="AP82" ca="1">IFERROR(IF(AI82&lt;=$AB$2,"-",INDEX(Calculation_Tab,SMALL(ROW(Main_Dil)*(Main_Dil&lt;&gt;"-"),COUNTIF(Main_Dil,"-")+ROW()-3-$AB$2)-9,21)),"-")</f>
        <v>-</v>
      </c>
      <c r="AQ82" s="511" t="str">
        <f t="array" aca="1" ref="AQ82" ca="1">IFERROR(IF(AI82&lt;=$AB$2,"-",INDEX(Calculation_Tab,SMALL(ROW(Main_Dil)*(Main_Dil&lt;&gt;"-"),COUNTIF(Main_Dil,"-")+ROW()-3-$AB$2)-9,22)),"-")</f>
        <v>-</v>
      </c>
      <c r="AR82" s="487" t="str">
        <f t="shared" ca="1" si="50"/>
        <v>-</v>
      </c>
      <c r="AS82" s="378">
        <v>79</v>
      </c>
      <c r="AT82" s="497" t="s">
        <v>160</v>
      </c>
      <c r="AU82" s="498">
        <v>79</v>
      </c>
      <c r="AV82" s="378" t="str">
        <f t="shared" ca="1" si="51"/>
        <v>-</v>
      </c>
      <c r="AW82" s="378" t="str">
        <f t="array" aca="1" ref="AW82" ca="1">IFERROR(IF(AS82&lt;=$AB$2+$AN$2,"-",INDEX(Calculation_Tab,SMALL(ROW(Direct_Denaturation)*(Direct_Denaturation&lt;&gt;"-"),COUNTIF(Direct_Denaturation,"-")+ROW()-3-$AB$2-$AN$2)-9,5)),"-")</f>
        <v>-</v>
      </c>
      <c r="AX82" s="378" t="str">
        <f t="array" aca="1" ref="AX82" ca="1">IFERROR(IF(AS82&lt;=$AB$2+$AN$2,"-",INDEX($A$3:$B$12,MATCH(INDEX(Calculation_Tab,SMALL(ROW(Direct_Denaturation)*(Direct_Denaturation&lt;&gt;"-"),COUNTIF(Direct_Denaturation,"-")+ROW()-3-$AB$2-$AN$2)-9,5),$A$3:$A$12,0),2)),"-")</f>
        <v>-</v>
      </c>
      <c r="AY82" s="378" t="str">
        <f t="array" aca="1" ref="AY82" ca="1">IFERROR(IF(AS82&lt;=$AB$2+$AN$2,"-",INDEX(Coordinate,MATCH(INDEX(Calculation_Tab,SMALL(ROW(Direct_Denaturation)*(Direct_Denaturation&lt;&gt;"-"),COUNTIF(Direct_Denaturation,"-")+ROW()-3-$AB$2-$AN$2)-9,6),$X$4:$X$99,0),2)),"-")</f>
        <v>-</v>
      </c>
      <c r="AZ82" s="510" t="str">
        <f t="array" aca="1" ref="AZ82" ca="1">IFERROR(IF(AS82&lt;=$AB$2+$AN$2,"-",INDEX(Calculation_Tab,SMALL(ROW(Direct_Denaturation)*(Direct_Denaturation&lt;&gt;"-"),COUNTIF(Direct_Denaturation,"-")+ROW()-3-$AB$2-$AN$2)-9,32)),"-")</f>
        <v>-</v>
      </c>
      <c r="BA82" s="510" t="str">
        <f t="array" aca="1" ref="BA82" ca="1">IFERROR(IF(AS82&lt;=$AB$2+$AN$2,"-",INDEX(Calculation_Tab,SMALL(ROW(Direct_Denaturation)*(Direct_Denaturation&lt;&gt;"-"),COUNTIF(Direct_Denaturation,"-")+ROW()-3-$AB$2-$AN$2)-9,34)),"-")</f>
        <v>-</v>
      </c>
      <c r="BB82" s="510" t="str">
        <f t="array" aca="1" ref="BB82" ca="1">IFERROR(IF(AS82&lt;=$AB$2+$AN$2,"-",INDEX(Calculation_Tab,SMALL(ROW(Direct_Denaturation)*(Direct_Denaturation&lt;&gt;"-"),COUNTIF(Direct_Denaturation,"-")+ROW()-3-$AB$2-$AN$2)-9,33)),"-")</f>
        <v>-</v>
      </c>
      <c r="BC82" s="510" t="str">
        <f t="array" aca="1" ref="BC82" ca="1">IFERROR(IF(AS82&lt;=$AB$2+$AN$2,"-",INDEX(Calculation_Tab,SMALL(ROW(Direct_Denaturation)*(Direct_Denaturation&lt;&gt;"-"),COUNTIF(Direct_Denaturation,"-")+ROW()-3-$AB$2-$AN$2)-9,35)),"-")</f>
        <v>-</v>
      </c>
      <c r="BD82" s="511" t="str">
        <f t="shared" ca="1" si="52"/>
        <v>-</v>
      </c>
      <c r="BE82" s="494" t="s">
        <v>444</v>
      </c>
      <c r="BF82" s="378">
        <v>79</v>
      </c>
      <c r="BG82" s="515" t="str">
        <v>-</v>
      </c>
      <c r="BH82" s="516" t="str">
        <f>IFERROR(IF((Calculation!$AR$6/INDEX(ListAndConversion!D:P,MATCH(BG82,E:E,0),13))&lt;Calculation!$O$6,INDEX(ListAndConversion!D:P,MATCH(BG82,E:E,0),13)*Calculation!$O$6,Calculation!$AR$6),"-")</f>
        <v>-</v>
      </c>
      <c r="BI82" s="517" t="str">
        <f t="shared" si="53"/>
        <v>-</v>
      </c>
      <c r="BJ82" s="518" t="str">
        <f t="shared" si="54"/>
        <v>-</v>
      </c>
      <c r="BK82" s="378" t="s">
        <v>158</v>
      </c>
      <c r="BL82" s="378">
        <v>79</v>
      </c>
      <c r="BM82" s="487" t="str">
        <f t="array" aca="1" ref="BM82" ca="1">IFERROR(INDEX(Calculation_Tab,SMALL(ROW(ToPool)*(ToPool&lt;&gt;"-"),COUNTIF(ToPool,"-")+ROW()-3)-9,3),"-")</f>
        <v>-</v>
      </c>
      <c r="BN82" s="378" t="str">
        <f t="shared" ca="1" si="55"/>
        <v>-</v>
      </c>
      <c r="BO82" s="378" t="str">
        <f t="shared" ca="1" si="56"/>
        <v>-</v>
      </c>
      <c r="BP82" s="523" t="str">
        <f t="shared" ca="1" si="57"/>
        <v>-</v>
      </c>
      <c r="BQ82" s="378" t="str">
        <f t="array" aca="1" ref="BQ82" ca="1">IFERROR(INDEX(BE:BG,MATCH(INDEX(Calculation_Tab,SMALL(ROW(ToPool)*(ToPool&lt;&gt;"-"),COUNTIF(ToPool,"-")+ROW()-3)-9,9),BG:BG,0),2),"-")</f>
        <v>-</v>
      </c>
      <c r="BR82" s="510" t="str">
        <f t="shared" ca="1" si="58"/>
        <v>-</v>
      </c>
      <c r="BS82" s="511" t="str">
        <f t="shared" ca="1" si="59"/>
        <v>-</v>
      </c>
      <c r="BT82" s="378" t="s">
        <v>164</v>
      </c>
      <c r="BU82" s="487" t="str">
        <f t="shared" ca="1" si="63"/>
        <v>-</v>
      </c>
      <c r="BV82" s="487" t="str">
        <f t="array" aca="1" ref="BV8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82" s="378" t="str">
        <f t="shared" ca="1" si="60"/>
        <v>-</v>
      </c>
      <c r="BX82" s="378" t="str">
        <f t="shared" ca="1" si="61"/>
        <v>-</v>
      </c>
      <c r="BY82" s="510" t="str">
        <f ca="1">IFERROR(ROUND(INDEX(Cluster,MATCH(IF(LEFT(BV82,4)="Pool",INDEX(Cluster,MATCH(INDEX(Calculation_Tab,MATCH(INDEX($BE$4:$BJ$99,MATCH(BV82,$BE$4:$BE$99,0),3),Flow_Cell_Lane,0),3),Cluster!$F$29:$F$412,0),6),BV82),Identifier_Cluster,0),19)*IF(LEFT(BV82,4)="pool",IF(LEN(INDEX($BE$4:$BJ$99,MATCH(BV82,$BE$4:$BE$99,0),3))=10,2,IF(LEN(INDEX($BE$4:$BJ$99,MATCH(BV82,$BE$4:$BE$99,0),3))&gt;10,LEN(INDEX($BE$4:$BJ$99,MATCH(BV82,$BE$4:$BE$99,0),3))-8,1)),1)*IF(LEFT(BV82,4)="pool",IF(INDEX($BE$4:$BJ$99,MATCH(BV82,$BE$4:$BE$99,0),6)&lt;1,1,INDEX($BE$4:$BJ$99,MATCH(BV82,$BE$4:$BE$99,0),6)),INDEX(Calculation_Tab,MATCH(BV82,Identifier,0),10)),1)*(1+Calculation!$Q$6),"-")</f>
        <v>-</v>
      </c>
      <c r="BZ82" s="378" t="str">
        <f ca="1">IFERROR((0.5/50)*CE82/Calculation!$AG$6*(IF(LEFT(BV82,4)="Pool",IF(LEN(INDEX($BE$4:$BJ$99,MATCH(BV82,$BE$4:$BE$99,0),3))=10,2,IF(LEN(INDEX($BE$4:$BJ$99,MATCH(BV82,$BE$4:$BE$99,0),3))&gt;10,LEN(INDEX($BE$4:$BJ$99,MATCH(BV82,$BE$4:$BE$99,0),3))-8,1)),IF(INDEX(Calculation_Tab,MATCH(BV82,Identifier,0),10)&gt;1,INDEX(Calculation_Tab,MATCH(BV82,Identifier,0),10),1)))*(1+Calculation!$Q$6),"-")</f>
        <v>-</v>
      </c>
      <c r="CA82" s="510" t="str">
        <f ca="1">IFERROR(IF((BZ82*Calculation!$AG$6/0.05)-SUM(BY82:BZ82,CC82)&gt;0,(BZ82*Calculation!$AG$6/0.05)-SUM(BY82:BZ82,CC82),0),"-")</f>
        <v>-</v>
      </c>
      <c r="CB82" s="510" t="str">
        <f ca="1">IFERROR(5/50*CE82*(IF(LEFT(BV82,4)="Pool",IF(LEN(INDEX($BE$4:$BJ$99,MATCH(BV82,$BE$4:$BE$99,0),3))=10,2,IF(LEN(INDEX($BE$4:$BJ$99,MATCH(BV82,$BE$4:$BE$99,0),3))&gt;10,LEN(INDEX($BE$4:$BJ$99,MATCH(BV82,$BE$4:$BE$99,0),3))-8,1)),IF(INDEX(Calculation_Tab,MATCH(BV82,Identifier,0),10)&gt;1,INDEX(Calculation_Tab,MATCH(BV82,Identifier,0),10),1)))*(1+Calculation!$Q$6),"-")</f>
        <v>-</v>
      </c>
      <c r="CC82" s="508" t="str">
        <f ca="1">IFERROR(ROUND(INDEX(Cluster,MATCH(IF(LEFT(BV82,4)="Pool",INDEX(Cluster,MATCH(INDEX(Calculation_Tab,MATCH(INDEX($BE$4:$BJ$99,MATCH(BV82,$BE$4:$BE$99,0),3),Flow_Cell_Lane,0),3),Cluster!$F$29:$F$412,0),6),BV82),Identifier_Cluster,0),20)*IF(LEFT(BV82,4)="pool",IF(LEN(INDEX($BE$4:$BJ$99,MATCH(BV82,$BE$4:$BE$99,0),3))=10,2,IF(LEN(INDEX($BE$4:$BJ$99,MATCH(BV82,$BE$4:$BE$99,0),3))&gt;10,LEN(INDEX($BE$4:$BJ$99,MATCH(BV82,$BE$4:$BE$99,0),3))-8,1)),1)*IF(LEFT(BV82,4)="pool",IF(INDEX($BE$4:$BJ$99,MATCH(BV82,$BE$4:$BE$99,0),6)&lt;1,1,INDEX($BE$4:$BJ$99,MATCH(BV82,$BE$4:$BE$99,0),6)),INDEX(Calculation_Tab,MATCH(BV82,Identifier,0),10)),1)*(1+Calculation!$Q$6),"-")</f>
        <v>-</v>
      </c>
      <c r="CD82" s="509" t="str">
        <f ca="1">IFERROR(INDEX(Cluster!AC:AD,MATCH(IF(LEFT(BV82,4)="Pool",INDEX(Cluster!$D$29:$AA$412,MATCH(INDEX(Calculation_Tab,MATCH(INDEX($BE$4:$BJ$99,MATCH(BV82,$BE$4:$BE$99,0),3),Flow_Cell_Lane,0),3),Cluster!$F$29:$F$412,0),24),INDEX(Cluster!$D$29:$AA$412,MATCH(BV82,Cluster!$F$29:$F$412,0),24)),Cluster!AC:AC,0),2),"-")</f>
        <v>-</v>
      </c>
      <c r="CE82" s="378" t="str">
        <f ca="1">IFERROR(IF(BV82&lt;&gt;"-",Calculation!$AK$6,"-"),"-")</f>
        <v>-</v>
      </c>
      <c r="CF82" s="378" t="str">
        <f ca="1">IF(OR(LEFT(ListAndConversion!BW82,3)="Dil",LEFT(ListAndConversion!BW82,3)="Poo"),ListAndConversion!$BT$4,IF(LEFT(ListAndConversion!BW82,3)="Sou",INDEX(ListAndConversion!$AT$3:$AV$387,MATCH(ListAndConversion!BV82,ListAndConversion!$AV$3:$AV$387,0),1),"-"))</f>
        <v>-</v>
      </c>
      <c r="CG82" s="498" t="str">
        <f ca="1">IF(OR(LEFT(ListAndConversion!BW82,3)="Dil",LEFT(ListAndConversion!BW82,3)="Poo"),ListAndConversion!BU82,IF(LEFT(ListAndConversion!BW82,3)="Sou",INDEX(ListAndConversion!$AT$4:$AV$387,MATCH(ListAndConversion!BV82,ListAndConversion!$AV$4:$AV$387,0),2),"-"))</f>
        <v>-</v>
      </c>
      <c r="CH82" s="378"/>
      <c r="CI82" s="487" t="str">
        <f t="shared" ca="1" si="62"/>
        <v>-</v>
      </c>
      <c r="CJ82" s="378" t="str">
        <f t="shared" ca="1" si="65"/>
        <v>-</v>
      </c>
      <c r="CK82" s="378" t="str">
        <f t="shared" ca="1" si="65"/>
        <v>-</v>
      </c>
      <c r="CL82" s="378" t="str">
        <f t="shared" ca="1" si="65"/>
        <v>-</v>
      </c>
      <c r="CM82" s="378" t="str">
        <f t="shared" ca="1" si="65"/>
        <v>-</v>
      </c>
      <c r="CN82" s="378" t="str">
        <f t="shared" ca="1" si="65"/>
        <v>-</v>
      </c>
      <c r="CO82" s="378" t="str">
        <f t="shared" ca="1" si="65"/>
        <v>-</v>
      </c>
      <c r="CP82" s="378" t="str">
        <f t="shared" ca="1" si="65"/>
        <v>-</v>
      </c>
      <c r="CQ82" s="378" t="str">
        <f t="shared" ca="1" si="65"/>
        <v>-</v>
      </c>
      <c r="CR82" s="510" t="str">
        <f ca="1">IFERROR(IF(LEFT(BW82,3)="Poo",INDEX($BE$4:$BJ$99,MATCH(CI82,$BG$4:$BG$99,0),6)*((15/50))*Calculation!$AK$6,INDEX(Calculation_Tab,MATCH(BV82,Identifier,0),10)/(IF(LEN(INDEX(Calculation_Tab,MATCH(BV82,Identifier,0),9))&gt;8,LEN(INDEX(Calculation_Tab,MATCH(BV82,Identifier,0),9))-8,1))*((15/50)*Calculation!$AK$6)),"-")</f>
        <v>-</v>
      </c>
      <c r="CS82" s="498" t="str">
        <f ca="1">IF(CI82="-","-",IF(COUNTIF($CI$3:CI82,CI82)&gt;1,0,IFERROR((35/50)*Calculation!$AK$6,"-")))</f>
        <v>-</v>
      </c>
    </row>
    <row r="83" spans="4:97" x14ac:dyDescent="0.5">
      <c r="D83" s="487" t="e">
        <f t="shared" si="44"/>
        <v>#DIV/0!</v>
      </c>
      <c r="E83" s="496" t="e">
        <f t="array" ref="E83">IF(IF((ROW(E83)-3)&lt;(ListAndConversion!$A$15),INDEX(Flow_Cell_Lane,MIN(IF(COUNTIF($E$2:E82,Flow_Cell_Lane)=0,ROW(Flow_Cell_Lane)-9))),"-")="","-",IF((ROW(E83)-3)&lt;(ListAndConversion!$A$15),INDEX(Flow_Cell_Lane,MIN(IF(COUNTIF($E$2:E82,Flow_Cell_Lane)=0,ROW(Flow_Cell_Lane)-9))),"-"))</f>
        <v>#DIV/0!</v>
      </c>
      <c r="F83" s="378" t="e">
        <f t="shared" si="45"/>
        <v>#DIV/0!</v>
      </c>
      <c r="G83" s="378" t="e">
        <f t="shared" ref="G83:M92" si="67">IF($D83&gt;8,IF($D83&gt;=(8+G$2),CONCATENATE(LEFT($E83,7),RIGHT(LEFT($E83,8+G$2),1)),""),"")</f>
        <v>#DIV/0!</v>
      </c>
      <c r="H83" s="378" t="e">
        <f t="shared" si="67"/>
        <v>#DIV/0!</v>
      </c>
      <c r="I83" s="378" t="e">
        <f t="shared" si="67"/>
        <v>#DIV/0!</v>
      </c>
      <c r="J83" s="378" t="e">
        <f t="shared" si="67"/>
        <v>#DIV/0!</v>
      </c>
      <c r="K83" s="378" t="e">
        <f t="shared" si="67"/>
        <v>#DIV/0!</v>
      </c>
      <c r="L83" s="378" t="e">
        <f t="shared" si="67"/>
        <v>#DIV/0!</v>
      </c>
      <c r="M83" s="378" t="e">
        <f t="shared" si="67"/>
        <v>#DIV/0!</v>
      </c>
      <c r="N83" s="497" t="e">
        <f t="shared" si="46"/>
        <v>#DIV/0!</v>
      </c>
      <c r="O83" s="497" t="str">
        <f t="array" ref="O83">IFERROR(INDEX(Calculation!I:AN,MATCH(ListAndConversion!E83,Calculation!I:I,0),31),"-")</f>
        <v>-</v>
      </c>
      <c r="P83" s="498">
        <f>IF(COUNTIFS(Calculation!$I$10:$I$393,E83,Direct_Denaturation,"-")&lt;&gt;1,COUNTIFS(Calculation!$I$10:$I$393,E83,Direct_Denaturation,"-"),0)</f>
        <v>0</v>
      </c>
      <c r="Q83" s="378"/>
      <c r="R83" s="487" t="e">
        <f t="array" ref="R83">IF(IF((ROW(R83)-3)&lt;(Calculation!$H$6),INDEX(Flow_Cell,MIN(IF(COUNTIF($R$2:R82,Flow_Cell)=0,ROW(Flow_Cell)-9))),"-")="","-",IF((ROW(R83)-3)&lt;(Calculation!$H$6),INDEX(Flow_Cell,MIN(IF(COUNTIF($R$2:R82,Flow_Cell)=0,ROW(Flow_Cell)-9))),"-"))</f>
        <v>#DIV/0!</v>
      </c>
      <c r="S83" s="378" t="e">
        <f t="shared" ref="S83:S90" si="68">IF($R$13="-","-",CONCATENATE($R$13,"-",T83))</f>
        <v>#DIV/0!</v>
      </c>
      <c r="T83" s="378">
        <v>1</v>
      </c>
      <c r="U83" s="498">
        <v>81</v>
      </c>
      <c r="V83" s="487">
        <v>80</v>
      </c>
      <c r="W83" s="497" t="s">
        <v>287</v>
      </c>
      <c r="X83" s="497" t="s">
        <v>445</v>
      </c>
      <c r="Y83" s="378">
        <v>80</v>
      </c>
      <c r="Z83" s="378" t="str">
        <f t="shared" ca="1" si="48"/>
        <v>-</v>
      </c>
      <c r="AA83" s="508" t="str">
        <f t="array" aca="1" ref="AA83" ca="1">IFERROR(INDEX(Calculation_Tab,SMALL(ROW(Sample_Intermediate_Dil)*(Sample_Intermediate_Dil&lt;&gt;"-"),COUNTIF(Sample_Intermediate_Dil,"-")+ROW()-3)-9,5),"-")</f>
        <v>-</v>
      </c>
      <c r="AB83" s="378" t="str">
        <f t="array" aca="1" ref="AB83" ca="1">IFERROR(INDEX($A$3:$B$12,MATCH(INDEX(Calculation_Tab,SMALL(ROW(Sample_Intermediate_Dil)*(Sample_Intermediate_Dil&lt;&gt;"-"),COUNTIF(Sample_Intermediate_Dil,"-")+ROW()-3)-9,5),$A$3:$A$12,0),2),"-")</f>
        <v>-</v>
      </c>
      <c r="AC83" s="509" t="str">
        <f t="array" aca="1" ref="AC83" ca="1">IFERROR(INDEX(Coordinate,MATCH(INDEX(Calculation_Tab,SMALL(ROW(Sample_Intermediate_Dil)*(Sample_Intermediate_Dil&lt;&gt;"-"),COUNTIF(Sample_Intermediate_Dil,"-")+ROW()-3)-9,6),$X$4:$X$99,0),2),"-")</f>
        <v>-</v>
      </c>
      <c r="AD83" s="510" t="str">
        <f t="array" aca="1" ref="AD83" ca="1">IFERROR(INDEX(Calculation_Tab,SMALL(ROW(Sample_Intermediate_Dil)*(Sample_Intermediate_Dil&lt;&gt;"-"),COUNTIF(Sample_Intermediate_Dil,"-")+ROW()-3)-9,24),"-")</f>
        <v>-</v>
      </c>
      <c r="AE83" s="510" t="str">
        <f t="array" aca="1" ref="AE83" ca="1">IFERROR(INDEX(Calculation_Tab,SMALL(ROW(Sample_Intermediate_Dil)*(Sample_Intermediate_Dil&lt;&gt;"-"),COUNTIF(Sample_Intermediate_Dil,"-")+ROW()-3)-9,25),"-")</f>
        <v>-</v>
      </c>
      <c r="AF83" s="510" t="str">
        <f t="array" aca="1" ref="AF83" ca="1">IFERROR(INDEX(Calculation_Tab,SMALL(ROW(Sample_Intermediate_Dil)*(Sample_Intermediate_Dil&lt;&gt;"-"),COUNTIF(Sample_Intermediate_Dil,"-")+ROW()-3)-9,26),"-")</f>
        <v>-</v>
      </c>
      <c r="AG83" s="511" t="str">
        <f t="array" aca="1" ref="AG83" ca="1">IFERROR(INDEX(Calculation_Tab,SMALL(ROW(Sample_Intermediate_Dil)*(Sample_Intermediate_Dil&lt;&gt;"-"),COUNTIF(Sample_Intermediate_Dil,"-")+ROW()-3)-9,27),"-")</f>
        <v>-</v>
      </c>
      <c r="AI83" s="487">
        <v>80</v>
      </c>
      <c r="AJ83" s="497" t="s">
        <v>160</v>
      </c>
      <c r="AK83" s="378">
        <v>80</v>
      </c>
      <c r="AL83" s="378" t="str">
        <f t="shared" ca="1" si="49"/>
        <v>-</v>
      </c>
      <c r="AM83" s="378" t="str">
        <f t="array" aca="1" ref="AM83" ca="1">IFERROR(IF(AI83&lt;=$AB$2,"-",INDEX(Calculation_Tab,SMALL(ROW(Main_Dil)*(Main_Dil&lt;&gt;"-"),COUNTIF(Main_Dil,"-")+ROW()-3-$AB$2)-9,5)),"-")</f>
        <v>-</v>
      </c>
      <c r="AN83" s="378" t="str">
        <f t="array" aca="1" ref="AN83" ca="1">IFERROR(IF(AI83&lt;=$AB$2,"-",INDEX($A$3:$B$12,MATCH(INDEX(Calculation_Tab,SMALL(ROW(Main_Dil)*(Main_Dil&lt;&gt;"-"),COUNTIF(Main_Dil,"-")+ROW()-3-$AB$2)-9,5),$A$3:$A$12,0),2)),"-")</f>
        <v>-</v>
      </c>
      <c r="AO83" s="378" t="str">
        <f t="array" aca="1" ref="AO83" ca="1">IFERROR(IF(AI83&lt;=$AB$2,"-",INDEX(Coordinate,MATCH(INDEX(Calculation_Tab,SMALL(ROW(Main_Dil)*(Main_Dil&lt;&gt;"-"),COUNTIF(Main_Dil,"-")+ROW()-3-$AB$2)-9,6),$X$4:$X$99,0),2)),"-")</f>
        <v>-</v>
      </c>
      <c r="AP83" s="510" t="str">
        <f t="array" aca="1" ref="AP83" ca="1">IFERROR(IF(AI83&lt;=$AB$2,"-",INDEX(Calculation_Tab,SMALL(ROW(Main_Dil)*(Main_Dil&lt;&gt;"-"),COUNTIF(Main_Dil,"-")+ROW()-3-$AB$2)-9,21)),"-")</f>
        <v>-</v>
      </c>
      <c r="AQ83" s="511" t="str">
        <f t="array" aca="1" ref="AQ83" ca="1">IFERROR(IF(AI83&lt;=$AB$2,"-",INDEX(Calculation_Tab,SMALL(ROW(Main_Dil)*(Main_Dil&lt;&gt;"-"),COUNTIF(Main_Dil,"-")+ROW()-3-$AB$2)-9,22)),"-")</f>
        <v>-</v>
      </c>
      <c r="AR83" s="487" t="str">
        <f t="shared" ca="1" si="50"/>
        <v>-</v>
      </c>
      <c r="AS83" s="378">
        <v>80</v>
      </c>
      <c r="AT83" s="497" t="s">
        <v>160</v>
      </c>
      <c r="AU83" s="498">
        <v>80</v>
      </c>
      <c r="AV83" s="378" t="str">
        <f t="shared" ca="1" si="51"/>
        <v>-</v>
      </c>
      <c r="AW83" s="378" t="str">
        <f t="array" aca="1" ref="AW83" ca="1">IFERROR(IF(AS83&lt;=$AB$2+$AN$2,"-",INDEX(Calculation_Tab,SMALL(ROW(Direct_Denaturation)*(Direct_Denaturation&lt;&gt;"-"),COUNTIF(Direct_Denaturation,"-")+ROW()-3-$AB$2-$AN$2)-9,5)),"-")</f>
        <v>-</v>
      </c>
      <c r="AX83" s="378" t="str">
        <f t="array" aca="1" ref="AX83" ca="1">IFERROR(IF(AS83&lt;=$AB$2+$AN$2,"-",INDEX($A$3:$B$12,MATCH(INDEX(Calculation_Tab,SMALL(ROW(Direct_Denaturation)*(Direct_Denaturation&lt;&gt;"-"),COUNTIF(Direct_Denaturation,"-")+ROW()-3-$AB$2-$AN$2)-9,5),$A$3:$A$12,0),2)),"-")</f>
        <v>-</v>
      </c>
      <c r="AY83" s="378" t="str">
        <f t="array" aca="1" ref="AY83" ca="1">IFERROR(IF(AS83&lt;=$AB$2+$AN$2,"-",INDEX(Coordinate,MATCH(INDEX(Calculation_Tab,SMALL(ROW(Direct_Denaturation)*(Direct_Denaturation&lt;&gt;"-"),COUNTIF(Direct_Denaturation,"-")+ROW()-3-$AB$2-$AN$2)-9,6),$X$4:$X$99,0),2)),"-")</f>
        <v>-</v>
      </c>
      <c r="AZ83" s="510" t="str">
        <f t="array" aca="1" ref="AZ83" ca="1">IFERROR(IF(AS83&lt;=$AB$2+$AN$2,"-",INDEX(Calculation_Tab,SMALL(ROW(Direct_Denaturation)*(Direct_Denaturation&lt;&gt;"-"),COUNTIF(Direct_Denaturation,"-")+ROW()-3-$AB$2-$AN$2)-9,32)),"-")</f>
        <v>-</v>
      </c>
      <c r="BA83" s="510" t="str">
        <f t="array" aca="1" ref="BA83" ca="1">IFERROR(IF(AS83&lt;=$AB$2+$AN$2,"-",INDEX(Calculation_Tab,SMALL(ROW(Direct_Denaturation)*(Direct_Denaturation&lt;&gt;"-"),COUNTIF(Direct_Denaturation,"-")+ROW()-3-$AB$2-$AN$2)-9,34)),"-")</f>
        <v>-</v>
      </c>
      <c r="BB83" s="510" t="str">
        <f t="array" aca="1" ref="BB83" ca="1">IFERROR(IF(AS83&lt;=$AB$2+$AN$2,"-",INDEX(Calculation_Tab,SMALL(ROW(Direct_Denaturation)*(Direct_Denaturation&lt;&gt;"-"),COUNTIF(Direct_Denaturation,"-")+ROW()-3-$AB$2-$AN$2)-9,33)),"-")</f>
        <v>-</v>
      </c>
      <c r="BC83" s="510" t="str">
        <f t="array" aca="1" ref="BC83" ca="1">IFERROR(IF(AS83&lt;=$AB$2+$AN$2,"-",INDEX(Calculation_Tab,SMALL(ROW(Direct_Denaturation)*(Direct_Denaturation&lt;&gt;"-"),COUNTIF(Direct_Denaturation,"-")+ROW()-3-$AB$2-$AN$2)-9,35)),"-")</f>
        <v>-</v>
      </c>
      <c r="BD83" s="511" t="str">
        <f t="shared" ca="1" si="52"/>
        <v>-</v>
      </c>
      <c r="BE83" s="494" t="s">
        <v>446</v>
      </c>
      <c r="BF83" s="378">
        <v>80</v>
      </c>
      <c r="BG83" s="515" t="str">
        <v>-</v>
      </c>
      <c r="BH83" s="516" t="str">
        <f>IFERROR(IF((Calculation!$AR$6/INDEX(ListAndConversion!D:P,MATCH(BG83,E:E,0),13))&lt;Calculation!$O$6,INDEX(ListAndConversion!D:P,MATCH(BG83,E:E,0),13)*Calculation!$O$6,Calculation!$AR$6),"-")</f>
        <v>-</v>
      </c>
      <c r="BI83" s="517" t="str">
        <f t="shared" si="53"/>
        <v>-</v>
      </c>
      <c r="BJ83" s="518" t="str">
        <f t="shared" si="54"/>
        <v>-</v>
      </c>
      <c r="BK83" s="378" t="s">
        <v>158</v>
      </c>
      <c r="BL83" s="378">
        <v>80</v>
      </c>
      <c r="BM83" s="487" t="str">
        <f t="array" aca="1" ref="BM83" ca="1">IFERROR(INDEX(Calculation_Tab,SMALL(ROW(ToPool)*(ToPool&lt;&gt;"-"),COUNTIF(ToPool,"-")+ROW()-3)-9,3),"-")</f>
        <v>-</v>
      </c>
      <c r="BN83" s="378" t="str">
        <f t="shared" ca="1" si="55"/>
        <v>-</v>
      </c>
      <c r="BO83" s="378" t="str">
        <f t="shared" ca="1" si="56"/>
        <v>-</v>
      </c>
      <c r="BP83" s="523" t="str">
        <f t="shared" ca="1" si="57"/>
        <v>-</v>
      </c>
      <c r="BQ83" s="378" t="str">
        <f t="array" aca="1" ref="BQ83" ca="1">IFERROR(INDEX(BE:BG,MATCH(INDEX(Calculation_Tab,SMALL(ROW(ToPool)*(ToPool&lt;&gt;"-"),COUNTIF(ToPool,"-")+ROW()-3)-9,9),BG:BG,0),2),"-")</f>
        <v>-</v>
      </c>
      <c r="BR83" s="510" t="str">
        <f t="shared" ca="1" si="58"/>
        <v>-</v>
      </c>
      <c r="BS83" s="511" t="str">
        <f t="shared" ca="1" si="59"/>
        <v>-</v>
      </c>
      <c r="BT83" s="378" t="s">
        <v>164</v>
      </c>
      <c r="BU83" s="487" t="str">
        <f t="shared" ca="1" si="63"/>
        <v>-</v>
      </c>
      <c r="BV83" s="487" t="str">
        <f t="array" aca="1" ref="BV8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83" s="378" t="str">
        <f t="shared" ca="1" si="60"/>
        <v>-</v>
      </c>
      <c r="BX83" s="378" t="str">
        <f t="shared" ca="1" si="61"/>
        <v>-</v>
      </c>
      <c r="BY83" s="510" t="str">
        <f ca="1">IFERROR(ROUND(INDEX(Cluster,MATCH(IF(LEFT(BV83,4)="Pool",INDEX(Cluster,MATCH(INDEX(Calculation_Tab,MATCH(INDEX($BE$4:$BJ$99,MATCH(BV83,$BE$4:$BE$99,0),3),Flow_Cell_Lane,0),3),Cluster!$F$29:$F$412,0),6),BV83),Identifier_Cluster,0),19)*IF(LEFT(BV83,4)="pool",IF(LEN(INDEX($BE$4:$BJ$99,MATCH(BV83,$BE$4:$BE$99,0),3))=10,2,IF(LEN(INDEX($BE$4:$BJ$99,MATCH(BV83,$BE$4:$BE$99,0),3))&gt;10,LEN(INDEX($BE$4:$BJ$99,MATCH(BV83,$BE$4:$BE$99,0),3))-8,1)),1)*IF(LEFT(BV83,4)="pool",IF(INDEX($BE$4:$BJ$99,MATCH(BV83,$BE$4:$BE$99,0),6)&lt;1,1,INDEX($BE$4:$BJ$99,MATCH(BV83,$BE$4:$BE$99,0),6)),INDEX(Calculation_Tab,MATCH(BV83,Identifier,0),10)),1)*(1+Calculation!$Q$6),"-")</f>
        <v>-</v>
      </c>
      <c r="BZ83" s="378" t="str">
        <f ca="1">IFERROR((0.5/50)*CE83/Calculation!$AG$6*(IF(LEFT(BV83,4)="Pool",IF(LEN(INDEX($BE$4:$BJ$99,MATCH(BV83,$BE$4:$BE$99,0),3))=10,2,IF(LEN(INDEX($BE$4:$BJ$99,MATCH(BV83,$BE$4:$BE$99,0),3))&gt;10,LEN(INDEX($BE$4:$BJ$99,MATCH(BV83,$BE$4:$BE$99,0),3))-8,1)),IF(INDEX(Calculation_Tab,MATCH(BV83,Identifier,0),10)&gt;1,INDEX(Calculation_Tab,MATCH(BV83,Identifier,0),10),1)))*(1+Calculation!$Q$6),"-")</f>
        <v>-</v>
      </c>
      <c r="CA83" s="510" t="str">
        <f ca="1">IFERROR(IF((BZ83*Calculation!$AG$6/0.05)-SUM(BY83:BZ83,CC83)&gt;0,(BZ83*Calculation!$AG$6/0.05)-SUM(BY83:BZ83,CC83),0),"-")</f>
        <v>-</v>
      </c>
      <c r="CB83" s="510" t="str">
        <f ca="1">IFERROR(5/50*CE83*(IF(LEFT(BV83,4)="Pool",IF(LEN(INDEX($BE$4:$BJ$99,MATCH(BV83,$BE$4:$BE$99,0),3))=10,2,IF(LEN(INDEX($BE$4:$BJ$99,MATCH(BV83,$BE$4:$BE$99,0),3))&gt;10,LEN(INDEX($BE$4:$BJ$99,MATCH(BV83,$BE$4:$BE$99,0),3))-8,1)),IF(INDEX(Calculation_Tab,MATCH(BV83,Identifier,0),10)&gt;1,INDEX(Calculation_Tab,MATCH(BV83,Identifier,0),10),1)))*(1+Calculation!$Q$6),"-")</f>
        <v>-</v>
      </c>
      <c r="CC83" s="508" t="str">
        <f ca="1">IFERROR(ROUND(INDEX(Cluster,MATCH(IF(LEFT(BV83,4)="Pool",INDEX(Cluster,MATCH(INDEX(Calculation_Tab,MATCH(INDEX($BE$4:$BJ$99,MATCH(BV83,$BE$4:$BE$99,0),3),Flow_Cell_Lane,0),3),Cluster!$F$29:$F$412,0),6),BV83),Identifier_Cluster,0),20)*IF(LEFT(BV83,4)="pool",IF(LEN(INDEX($BE$4:$BJ$99,MATCH(BV83,$BE$4:$BE$99,0),3))=10,2,IF(LEN(INDEX($BE$4:$BJ$99,MATCH(BV83,$BE$4:$BE$99,0),3))&gt;10,LEN(INDEX($BE$4:$BJ$99,MATCH(BV83,$BE$4:$BE$99,0),3))-8,1)),1)*IF(LEFT(BV83,4)="pool",IF(INDEX($BE$4:$BJ$99,MATCH(BV83,$BE$4:$BE$99,0),6)&lt;1,1,INDEX($BE$4:$BJ$99,MATCH(BV83,$BE$4:$BE$99,0),6)),INDEX(Calculation_Tab,MATCH(BV83,Identifier,0),10)),1)*(1+Calculation!$Q$6),"-")</f>
        <v>-</v>
      </c>
      <c r="CD83" s="509" t="str">
        <f ca="1">IFERROR(INDEX(Cluster!AC:AD,MATCH(IF(LEFT(BV83,4)="Pool",INDEX(Cluster!$D$29:$AA$412,MATCH(INDEX(Calculation_Tab,MATCH(INDEX($BE$4:$BJ$99,MATCH(BV83,$BE$4:$BE$99,0),3),Flow_Cell_Lane,0),3),Cluster!$F$29:$F$412,0),24),INDEX(Cluster!$D$29:$AA$412,MATCH(BV83,Cluster!$F$29:$F$412,0),24)),Cluster!AC:AC,0),2),"-")</f>
        <v>-</v>
      </c>
      <c r="CE83" s="378" t="str">
        <f ca="1">IFERROR(IF(BV83&lt;&gt;"-",Calculation!$AK$6,"-"),"-")</f>
        <v>-</v>
      </c>
      <c r="CF83" s="378" t="str">
        <f ca="1">IF(OR(LEFT(ListAndConversion!BW83,3)="Dil",LEFT(ListAndConversion!BW83,3)="Poo"),ListAndConversion!$BT$4,IF(LEFT(ListAndConversion!BW83,3)="Sou",INDEX(ListAndConversion!$AT$3:$AV$387,MATCH(ListAndConversion!BV83,ListAndConversion!$AV$3:$AV$387,0),1),"-"))</f>
        <v>-</v>
      </c>
      <c r="CG83" s="498" t="str">
        <f ca="1">IF(OR(LEFT(ListAndConversion!BW83,3)="Dil",LEFT(ListAndConversion!BW83,3)="Poo"),ListAndConversion!BU83,IF(LEFT(ListAndConversion!BW83,3)="Sou",INDEX(ListAndConversion!$AT$4:$AV$387,MATCH(ListAndConversion!BV83,ListAndConversion!$AV$4:$AV$387,0),2),"-"))</f>
        <v>-</v>
      </c>
      <c r="CH83" s="378"/>
      <c r="CI83" s="487" t="str">
        <f t="shared" ca="1" si="62"/>
        <v>-</v>
      </c>
      <c r="CJ83" s="378" t="str">
        <f t="shared" ca="1" si="65"/>
        <v>-</v>
      </c>
      <c r="CK83" s="378" t="str">
        <f t="shared" ca="1" si="65"/>
        <v>-</v>
      </c>
      <c r="CL83" s="378" t="str">
        <f t="shared" ca="1" si="65"/>
        <v>-</v>
      </c>
      <c r="CM83" s="378" t="str">
        <f t="shared" ca="1" si="65"/>
        <v>-</v>
      </c>
      <c r="CN83" s="378" t="str">
        <f t="shared" ca="1" si="65"/>
        <v>-</v>
      </c>
      <c r="CO83" s="378" t="str">
        <f t="shared" ca="1" si="65"/>
        <v>-</v>
      </c>
      <c r="CP83" s="378" t="str">
        <f t="shared" ca="1" si="65"/>
        <v>-</v>
      </c>
      <c r="CQ83" s="378" t="str">
        <f t="shared" ca="1" si="65"/>
        <v>-</v>
      </c>
      <c r="CR83" s="510" t="str">
        <f ca="1">IFERROR(IF(LEFT(BW83,3)="Poo",INDEX($BE$4:$BJ$99,MATCH(CI83,$BG$4:$BG$99,0),6)*((15/50))*Calculation!$AK$6,INDEX(Calculation_Tab,MATCH(BV83,Identifier,0),10)/(IF(LEN(INDEX(Calculation_Tab,MATCH(BV83,Identifier,0),9))&gt;8,LEN(INDEX(Calculation_Tab,MATCH(BV83,Identifier,0),9))-8,1))*((15/50)*Calculation!$AK$6)),"-")</f>
        <v>-</v>
      </c>
      <c r="CS83" s="498" t="str">
        <f ca="1">IF(CI83="-","-",IF(COUNTIF($CI$3:CI83,CI83)&gt;1,0,IFERROR((35/50)*Calculation!$AK$6,"-")))</f>
        <v>-</v>
      </c>
    </row>
    <row r="84" spans="4:97" x14ac:dyDescent="0.5">
      <c r="D84" s="487" t="e">
        <f t="shared" si="44"/>
        <v>#DIV/0!</v>
      </c>
      <c r="E84" s="496" t="e">
        <f t="array" ref="E84">IF(IF((ROW(E84)-3)&lt;(ListAndConversion!$A$15),INDEX(Flow_Cell_Lane,MIN(IF(COUNTIF($E$2:E83,Flow_Cell_Lane)=0,ROW(Flow_Cell_Lane)-9))),"-")="","-",IF((ROW(E84)-3)&lt;(ListAndConversion!$A$15),INDEX(Flow_Cell_Lane,MIN(IF(COUNTIF($E$2:E83,Flow_Cell_Lane)=0,ROW(Flow_Cell_Lane)-9))),"-"))</f>
        <v>#DIV/0!</v>
      </c>
      <c r="F84" s="378" t="e">
        <f t="shared" si="45"/>
        <v>#DIV/0!</v>
      </c>
      <c r="G84" s="378" t="e">
        <f t="shared" si="67"/>
        <v>#DIV/0!</v>
      </c>
      <c r="H84" s="378" t="e">
        <f t="shared" si="67"/>
        <v>#DIV/0!</v>
      </c>
      <c r="I84" s="378" t="e">
        <f t="shared" si="67"/>
        <v>#DIV/0!</v>
      </c>
      <c r="J84" s="378" t="e">
        <f t="shared" si="67"/>
        <v>#DIV/0!</v>
      </c>
      <c r="K84" s="378" t="e">
        <f t="shared" si="67"/>
        <v>#DIV/0!</v>
      </c>
      <c r="L84" s="378" t="e">
        <f t="shared" si="67"/>
        <v>#DIV/0!</v>
      </c>
      <c r="M84" s="378" t="e">
        <f t="shared" si="67"/>
        <v>#DIV/0!</v>
      </c>
      <c r="N84" s="497" t="e">
        <f t="shared" si="46"/>
        <v>#DIV/0!</v>
      </c>
      <c r="O84" s="497" t="str">
        <f t="array" ref="O84">IFERROR(INDEX(Calculation!I:AN,MATCH(ListAndConversion!E84,Calculation!I:I,0),31),"-")</f>
        <v>-</v>
      </c>
      <c r="P84" s="498">
        <f>IF(COUNTIFS(Calculation!$I$10:$I$393,E84,Direct_Denaturation,"-")&lt;&gt;1,COUNTIFS(Calculation!$I$10:$I$393,E84,Direct_Denaturation,"-"),0)</f>
        <v>0</v>
      </c>
      <c r="Q84" s="378"/>
      <c r="R84" s="487" t="e">
        <f t="array" ref="R84">IF(IF((ROW(R84)-3)&lt;(Calculation!$H$6),INDEX(Flow_Cell,MIN(IF(COUNTIF($R$2:R83,Flow_Cell)=0,ROW(Flow_Cell)-9))),"-")="","-",IF((ROW(R84)-3)&lt;(Calculation!$H$6),INDEX(Flow_Cell,MIN(IF(COUNTIF($R$2:R83,Flow_Cell)=0,ROW(Flow_Cell)-9))),"-"))</f>
        <v>#DIV/0!</v>
      </c>
      <c r="S84" s="378" t="e">
        <f t="shared" si="68"/>
        <v>#DIV/0!</v>
      </c>
      <c r="T84" s="378">
        <v>2</v>
      </c>
      <c r="U84" s="498">
        <v>82</v>
      </c>
      <c r="V84" s="487">
        <v>81</v>
      </c>
      <c r="W84" s="497" t="s">
        <v>287</v>
      </c>
      <c r="X84" s="497" t="s">
        <v>447</v>
      </c>
      <c r="Y84" s="378">
        <v>81</v>
      </c>
      <c r="Z84" s="378" t="str">
        <f t="shared" ca="1" si="48"/>
        <v>-</v>
      </c>
      <c r="AA84" s="508" t="str">
        <f t="array" aca="1" ref="AA84" ca="1">IFERROR(INDEX(Calculation_Tab,SMALL(ROW(Sample_Intermediate_Dil)*(Sample_Intermediate_Dil&lt;&gt;"-"),COUNTIF(Sample_Intermediate_Dil,"-")+ROW()-3)-9,5),"-")</f>
        <v>-</v>
      </c>
      <c r="AB84" s="378" t="str">
        <f t="array" aca="1" ref="AB84" ca="1">IFERROR(INDEX($A$3:$B$12,MATCH(INDEX(Calculation_Tab,SMALL(ROW(Sample_Intermediate_Dil)*(Sample_Intermediate_Dil&lt;&gt;"-"),COUNTIF(Sample_Intermediate_Dil,"-")+ROW()-3)-9,5),$A$3:$A$12,0),2),"-")</f>
        <v>-</v>
      </c>
      <c r="AC84" s="509" t="str">
        <f t="array" aca="1" ref="AC84" ca="1">IFERROR(INDEX(Coordinate,MATCH(INDEX(Calculation_Tab,SMALL(ROW(Sample_Intermediate_Dil)*(Sample_Intermediate_Dil&lt;&gt;"-"),COUNTIF(Sample_Intermediate_Dil,"-")+ROW()-3)-9,6),$X$4:$X$99,0),2),"-")</f>
        <v>-</v>
      </c>
      <c r="AD84" s="510" t="str">
        <f t="array" aca="1" ref="AD84" ca="1">IFERROR(INDEX(Calculation_Tab,SMALL(ROW(Sample_Intermediate_Dil)*(Sample_Intermediate_Dil&lt;&gt;"-"),COUNTIF(Sample_Intermediate_Dil,"-")+ROW()-3)-9,24),"-")</f>
        <v>-</v>
      </c>
      <c r="AE84" s="510" t="str">
        <f t="array" aca="1" ref="AE84" ca="1">IFERROR(INDEX(Calculation_Tab,SMALL(ROW(Sample_Intermediate_Dil)*(Sample_Intermediate_Dil&lt;&gt;"-"),COUNTIF(Sample_Intermediate_Dil,"-")+ROW()-3)-9,25),"-")</f>
        <v>-</v>
      </c>
      <c r="AF84" s="510" t="str">
        <f t="array" aca="1" ref="AF84" ca="1">IFERROR(INDEX(Calculation_Tab,SMALL(ROW(Sample_Intermediate_Dil)*(Sample_Intermediate_Dil&lt;&gt;"-"),COUNTIF(Sample_Intermediate_Dil,"-")+ROW()-3)-9,26),"-")</f>
        <v>-</v>
      </c>
      <c r="AG84" s="511" t="str">
        <f t="array" aca="1" ref="AG84" ca="1">IFERROR(INDEX(Calculation_Tab,SMALL(ROW(Sample_Intermediate_Dil)*(Sample_Intermediate_Dil&lt;&gt;"-"),COUNTIF(Sample_Intermediate_Dil,"-")+ROW()-3)-9,27),"-")</f>
        <v>-</v>
      </c>
      <c r="AI84" s="487">
        <v>81</v>
      </c>
      <c r="AJ84" s="497" t="s">
        <v>160</v>
      </c>
      <c r="AK84" s="378">
        <v>81</v>
      </c>
      <c r="AL84" s="378" t="str">
        <f t="shared" ca="1" si="49"/>
        <v>-</v>
      </c>
      <c r="AM84" s="378" t="str">
        <f t="array" aca="1" ref="AM84" ca="1">IFERROR(IF(AI84&lt;=$AB$2,"-",INDEX(Calculation_Tab,SMALL(ROW(Main_Dil)*(Main_Dil&lt;&gt;"-"),COUNTIF(Main_Dil,"-")+ROW()-3-$AB$2)-9,5)),"-")</f>
        <v>-</v>
      </c>
      <c r="AN84" s="378" t="str">
        <f t="array" aca="1" ref="AN84" ca="1">IFERROR(IF(AI84&lt;=$AB$2,"-",INDEX($A$3:$B$12,MATCH(INDEX(Calculation_Tab,SMALL(ROW(Main_Dil)*(Main_Dil&lt;&gt;"-"),COUNTIF(Main_Dil,"-")+ROW()-3-$AB$2)-9,5),$A$3:$A$12,0),2)),"-")</f>
        <v>-</v>
      </c>
      <c r="AO84" s="378" t="str">
        <f t="array" aca="1" ref="AO84" ca="1">IFERROR(IF(AI84&lt;=$AB$2,"-",INDEX(Coordinate,MATCH(INDEX(Calculation_Tab,SMALL(ROW(Main_Dil)*(Main_Dil&lt;&gt;"-"),COUNTIF(Main_Dil,"-")+ROW()-3-$AB$2)-9,6),$X$4:$X$99,0),2)),"-")</f>
        <v>-</v>
      </c>
      <c r="AP84" s="510" t="str">
        <f t="array" aca="1" ref="AP84" ca="1">IFERROR(IF(AI84&lt;=$AB$2,"-",INDEX(Calculation_Tab,SMALL(ROW(Main_Dil)*(Main_Dil&lt;&gt;"-"),COUNTIF(Main_Dil,"-")+ROW()-3-$AB$2)-9,21)),"-")</f>
        <v>-</v>
      </c>
      <c r="AQ84" s="511" t="str">
        <f t="array" aca="1" ref="AQ84" ca="1">IFERROR(IF(AI84&lt;=$AB$2,"-",INDEX(Calculation_Tab,SMALL(ROW(Main_Dil)*(Main_Dil&lt;&gt;"-"),COUNTIF(Main_Dil,"-")+ROW()-3-$AB$2)-9,22)),"-")</f>
        <v>-</v>
      </c>
      <c r="AR84" s="487" t="str">
        <f t="shared" ca="1" si="50"/>
        <v>-</v>
      </c>
      <c r="AS84" s="378">
        <v>81</v>
      </c>
      <c r="AT84" s="497" t="s">
        <v>160</v>
      </c>
      <c r="AU84" s="498">
        <v>81</v>
      </c>
      <c r="AV84" s="378" t="str">
        <f t="shared" ca="1" si="51"/>
        <v>-</v>
      </c>
      <c r="AW84" s="378" t="str">
        <f t="array" aca="1" ref="AW84" ca="1">IFERROR(IF(AS84&lt;=$AB$2+$AN$2,"-",INDEX(Calculation_Tab,SMALL(ROW(Direct_Denaturation)*(Direct_Denaturation&lt;&gt;"-"),COUNTIF(Direct_Denaturation,"-")+ROW()-3-$AB$2-$AN$2)-9,5)),"-")</f>
        <v>-</v>
      </c>
      <c r="AX84" s="378" t="str">
        <f t="array" aca="1" ref="AX84" ca="1">IFERROR(IF(AS84&lt;=$AB$2+$AN$2,"-",INDEX($A$3:$B$12,MATCH(INDEX(Calculation_Tab,SMALL(ROW(Direct_Denaturation)*(Direct_Denaturation&lt;&gt;"-"),COUNTIF(Direct_Denaturation,"-")+ROW()-3-$AB$2-$AN$2)-9,5),$A$3:$A$12,0),2)),"-")</f>
        <v>-</v>
      </c>
      <c r="AY84" s="378" t="str">
        <f t="array" aca="1" ref="AY84" ca="1">IFERROR(IF(AS84&lt;=$AB$2+$AN$2,"-",INDEX(Coordinate,MATCH(INDEX(Calculation_Tab,SMALL(ROW(Direct_Denaturation)*(Direct_Denaturation&lt;&gt;"-"),COUNTIF(Direct_Denaturation,"-")+ROW()-3-$AB$2-$AN$2)-9,6),$X$4:$X$99,0),2)),"-")</f>
        <v>-</v>
      </c>
      <c r="AZ84" s="510" t="str">
        <f t="array" aca="1" ref="AZ84" ca="1">IFERROR(IF(AS84&lt;=$AB$2+$AN$2,"-",INDEX(Calculation_Tab,SMALL(ROW(Direct_Denaturation)*(Direct_Denaturation&lt;&gt;"-"),COUNTIF(Direct_Denaturation,"-")+ROW()-3-$AB$2-$AN$2)-9,32)),"-")</f>
        <v>-</v>
      </c>
      <c r="BA84" s="510" t="str">
        <f t="array" aca="1" ref="BA84" ca="1">IFERROR(IF(AS84&lt;=$AB$2+$AN$2,"-",INDEX(Calculation_Tab,SMALL(ROW(Direct_Denaturation)*(Direct_Denaturation&lt;&gt;"-"),COUNTIF(Direct_Denaturation,"-")+ROW()-3-$AB$2-$AN$2)-9,34)),"-")</f>
        <v>-</v>
      </c>
      <c r="BB84" s="510" t="str">
        <f t="array" aca="1" ref="BB84" ca="1">IFERROR(IF(AS84&lt;=$AB$2+$AN$2,"-",INDEX(Calculation_Tab,SMALL(ROW(Direct_Denaturation)*(Direct_Denaturation&lt;&gt;"-"),COUNTIF(Direct_Denaturation,"-")+ROW()-3-$AB$2-$AN$2)-9,33)),"-")</f>
        <v>-</v>
      </c>
      <c r="BC84" s="510" t="str">
        <f t="array" aca="1" ref="BC84" ca="1">IFERROR(IF(AS84&lt;=$AB$2+$AN$2,"-",INDEX(Calculation_Tab,SMALL(ROW(Direct_Denaturation)*(Direct_Denaturation&lt;&gt;"-"),COUNTIF(Direct_Denaturation,"-")+ROW()-3-$AB$2-$AN$2)-9,35)),"-")</f>
        <v>-</v>
      </c>
      <c r="BD84" s="511" t="str">
        <f t="shared" ca="1" si="52"/>
        <v>-</v>
      </c>
      <c r="BE84" s="494" t="s">
        <v>448</v>
      </c>
      <c r="BF84" s="378">
        <v>81</v>
      </c>
      <c r="BG84" s="515" t="str">
        <v>-</v>
      </c>
      <c r="BH84" s="516" t="str">
        <f>IFERROR(IF((Calculation!$AR$6/INDEX(ListAndConversion!D:P,MATCH(BG84,E:E,0),13))&lt;Calculation!$O$6,INDEX(ListAndConversion!D:P,MATCH(BG84,E:E,0),13)*Calculation!$O$6,Calculation!$AR$6),"-")</f>
        <v>-</v>
      </c>
      <c r="BI84" s="517" t="str">
        <f t="shared" si="53"/>
        <v>-</v>
      </c>
      <c r="BJ84" s="518" t="str">
        <f t="shared" si="54"/>
        <v>-</v>
      </c>
      <c r="BK84" s="378" t="s">
        <v>158</v>
      </c>
      <c r="BL84" s="378">
        <v>81</v>
      </c>
      <c r="BM84" s="487" t="str">
        <f t="array" aca="1" ref="BM84" ca="1">IFERROR(INDEX(Calculation_Tab,SMALL(ROW(ToPool)*(ToPool&lt;&gt;"-"),COUNTIF(ToPool,"-")+ROW()-3)-9,3),"-")</f>
        <v>-</v>
      </c>
      <c r="BN84" s="378" t="str">
        <f t="shared" ca="1" si="55"/>
        <v>-</v>
      </c>
      <c r="BO84" s="378" t="str">
        <f t="shared" ca="1" si="56"/>
        <v>-</v>
      </c>
      <c r="BP84" s="523" t="str">
        <f t="shared" ca="1" si="57"/>
        <v>-</v>
      </c>
      <c r="BQ84" s="378" t="str">
        <f t="array" aca="1" ref="BQ84" ca="1">IFERROR(INDEX(BE:BG,MATCH(INDEX(Calculation_Tab,SMALL(ROW(ToPool)*(ToPool&lt;&gt;"-"),COUNTIF(ToPool,"-")+ROW()-3)-9,9),BG:BG,0),2),"-")</f>
        <v>-</v>
      </c>
      <c r="BR84" s="510" t="str">
        <f t="shared" ca="1" si="58"/>
        <v>-</v>
      </c>
      <c r="BS84" s="511" t="str">
        <f t="shared" ca="1" si="59"/>
        <v>-</v>
      </c>
      <c r="BT84" s="378" t="s">
        <v>164</v>
      </c>
      <c r="BU84" s="487" t="str">
        <f t="shared" ca="1" si="63"/>
        <v>-</v>
      </c>
      <c r="BV84" s="487" t="str">
        <f t="array" aca="1" ref="BV8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84" s="378" t="str">
        <f t="shared" ca="1" si="60"/>
        <v>-</v>
      </c>
      <c r="BX84" s="378" t="str">
        <f t="shared" ca="1" si="61"/>
        <v>-</v>
      </c>
      <c r="BY84" s="510" t="str">
        <f ca="1">IFERROR(ROUND(INDEX(Cluster,MATCH(IF(LEFT(BV84,4)="Pool",INDEX(Cluster,MATCH(INDEX(Calculation_Tab,MATCH(INDEX($BE$4:$BJ$99,MATCH(BV84,$BE$4:$BE$99,0),3),Flow_Cell_Lane,0),3),Cluster!$F$29:$F$412,0),6),BV84),Identifier_Cluster,0),19)*IF(LEFT(BV84,4)="pool",IF(LEN(INDEX($BE$4:$BJ$99,MATCH(BV84,$BE$4:$BE$99,0),3))=10,2,IF(LEN(INDEX($BE$4:$BJ$99,MATCH(BV84,$BE$4:$BE$99,0),3))&gt;10,LEN(INDEX($BE$4:$BJ$99,MATCH(BV84,$BE$4:$BE$99,0),3))-8,1)),1)*IF(LEFT(BV84,4)="pool",IF(INDEX($BE$4:$BJ$99,MATCH(BV84,$BE$4:$BE$99,0),6)&lt;1,1,INDEX($BE$4:$BJ$99,MATCH(BV84,$BE$4:$BE$99,0),6)),INDEX(Calculation_Tab,MATCH(BV84,Identifier,0),10)),1)*(1+Calculation!$Q$6),"-")</f>
        <v>-</v>
      </c>
      <c r="BZ84" s="378" t="str">
        <f ca="1">IFERROR((0.5/50)*CE84/Calculation!$AG$6*(IF(LEFT(BV84,4)="Pool",IF(LEN(INDEX($BE$4:$BJ$99,MATCH(BV84,$BE$4:$BE$99,0),3))=10,2,IF(LEN(INDEX($BE$4:$BJ$99,MATCH(BV84,$BE$4:$BE$99,0),3))&gt;10,LEN(INDEX($BE$4:$BJ$99,MATCH(BV84,$BE$4:$BE$99,0),3))-8,1)),IF(INDEX(Calculation_Tab,MATCH(BV84,Identifier,0),10)&gt;1,INDEX(Calculation_Tab,MATCH(BV84,Identifier,0),10),1)))*(1+Calculation!$Q$6),"-")</f>
        <v>-</v>
      </c>
      <c r="CA84" s="510" t="str">
        <f ca="1">IFERROR(IF((BZ84*Calculation!$AG$6/0.05)-SUM(BY84:BZ84,CC84)&gt;0,(BZ84*Calculation!$AG$6/0.05)-SUM(BY84:BZ84,CC84),0),"-")</f>
        <v>-</v>
      </c>
      <c r="CB84" s="510" t="str">
        <f ca="1">IFERROR(5/50*CE84*(IF(LEFT(BV84,4)="Pool",IF(LEN(INDEX($BE$4:$BJ$99,MATCH(BV84,$BE$4:$BE$99,0),3))=10,2,IF(LEN(INDEX($BE$4:$BJ$99,MATCH(BV84,$BE$4:$BE$99,0),3))&gt;10,LEN(INDEX($BE$4:$BJ$99,MATCH(BV84,$BE$4:$BE$99,0),3))-8,1)),IF(INDEX(Calculation_Tab,MATCH(BV84,Identifier,0),10)&gt;1,INDEX(Calculation_Tab,MATCH(BV84,Identifier,0),10),1)))*(1+Calculation!$Q$6),"-")</f>
        <v>-</v>
      </c>
      <c r="CC84" s="508" t="str">
        <f ca="1">IFERROR(ROUND(INDEX(Cluster,MATCH(IF(LEFT(BV84,4)="Pool",INDEX(Cluster,MATCH(INDEX(Calculation_Tab,MATCH(INDEX($BE$4:$BJ$99,MATCH(BV84,$BE$4:$BE$99,0),3),Flow_Cell_Lane,0),3),Cluster!$F$29:$F$412,0),6),BV84),Identifier_Cluster,0),20)*IF(LEFT(BV84,4)="pool",IF(LEN(INDEX($BE$4:$BJ$99,MATCH(BV84,$BE$4:$BE$99,0),3))=10,2,IF(LEN(INDEX($BE$4:$BJ$99,MATCH(BV84,$BE$4:$BE$99,0),3))&gt;10,LEN(INDEX($BE$4:$BJ$99,MATCH(BV84,$BE$4:$BE$99,0),3))-8,1)),1)*IF(LEFT(BV84,4)="pool",IF(INDEX($BE$4:$BJ$99,MATCH(BV84,$BE$4:$BE$99,0),6)&lt;1,1,INDEX($BE$4:$BJ$99,MATCH(BV84,$BE$4:$BE$99,0),6)),INDEX(Calculation_Tab,MATCH(BV84,Identifier,0),10)),1)*(1+Calculation!$Q$6),"-")</f>
        <v>-</v>
      </c>
      <c r="CD84" s="509" t="str">
        <f ca="1">IFERROR(INDEX(Cluster!AC:AD,MATCH(IF(LEFT(BV84,4)="Pool",INDEX(Cluster!$D$29:$AA$412,MATCH(INDEX(Calculation_Tab,MATCH(INDEX($BE$4:$BJ$99,MATCH(BV84,$BE$4:$BE$99,0),3),Flow_Cell_Lane,0),3),Cluster!$F$29:$F$412,0),24),INDEX(Cluster!$D$29:$AA$412,MATCH(BV84,Cluster!$F$29:$F$412,0),24)),Cluster!AC:AC,0),2),"-")</f>
        <v>-</v>
      </c>
      <c r="CE84" s="378" t="str">
        <f ca="1">IFERROR(IF(BV84&lt;&gt;"-",Calculation!$AK$6,"-"),"-")</f>
        <v>-</v>
      </c>
      <c r="CF84" s="378" t="str">
        <f ca="1">IF(OR(LEFT(ListAndConversion!BW84,3)="Dil",LEFT(ListAndConversion!BW84,3)="Poo"),ListAndConversion!$BT$4,IF(LEFT(ListAndConversion!BW84,3)="Sou",INDEX(ListAndConversion!$AT$3:$AV$387,MATCH(ListAndConversion!BV84,ListAndConversion!$AV$3:$AV$387,0),1),"-"))</f>
        <v>-</v>
      </c>
      <c r="CG84" s="498" t="str">
        <f ca="1">IF(OR(LEFT(ListAndConversion!BW84,3)="Dil",LEFT(ListAndConversion!BW84,3)="Poo"),ListAndConversion!BU84,IF(LEFT(ListAndConversion!BW84,3)="Sou",INDEX(ListAndConversion!$AT$4:$AV$387,MATCH(ListAndConversion!BV84,ListAndConversion!$AV$4:$AV$387,0),2),"-"))</f>
        <v>-</v>
      </c>
      <c r="CH84" s="378"/>
      <c r="CI84" s="487" t="str">
        <f t="shared" ca="1" si="62"/>
        <v>-</v>
      </c>
      <c r="CJ84" s="378" t="str">
        <f t="shared" ref="CJ84:CQ93" ca="1" si="69">IFERROR(INDEX($R$3:$U$98,MATCH(INDEX($F$3:$M$387,MATCH($CI84,$E$3:$E$386,0),CJ$3),$S$3:$S$98,0),4),"-")</f>
        <v>-</v>
      </c>
      <c r="CK84" s="378" t="str">
        <f t="shared" ca="1" si="69"/>
        <v>-</v>
      </c>
      <c r="CL84" s="378" t="str">
        <f t="shared" ca="1" si="69"/>
        <v>-</v>
      </c>
      <c r="CM84" s="378" t="str">
        <f t="shared" ca="1" si="69"/>
        <v>-</v>
      </c>
      <c r="CN84" s="378" t="str">
        <f t="shared" ca="1" si="69"/>
        <v>-</v>
      </c>
      <c r="CO84" s="378" t="str">
        <f t="shared" ca="1" si="69"/>
        <v>-</v>
      </c>
      <c r="CP84" s="378" t="str">
        <f t="shared" ca="1" si="69"/>
        <v>-</v>
      </c>
      <c r="CQ84" s="378" t="str">
        <f t="shared" ca="1" si="69"/>
        <v>-</v>
      </c>
      <c r="CR84" s="510" t="str">
        <f ca="1">IFERROR(IF(LEFT(BW84,3)="Poo",INDEX($BE$4:$BJ$99,MATCH(CI84,$BG$4:$BG$99,0),6)*((15/50))*Calculation!$AK$6,INDEX(Calculation_Tab,MATCH(BV84,Identifier,0),10)/(IF(LEN(INDEX(Calculation_Tab,MATCH(BV84,Identifier,0),9))&gt;8,LEN(INDEX(Calculation_Tab,MATCH(BV84,Identifier,0),9))-8,1))*((15/50)*Calculation!$AK$6)),"-")</f>
        <v>-</v>
      </c>
      <c r="CS84" s="498" t="str">
        <f ca="1">IF(CI84="-","-",IF(COUNTIF($CI$3:CI84,CI84)&gt;1,0,IFERROR((35/50)*Calculation!$AK$6,"-")))</f>
        <v>-</v>
      </c>
    </row>
    <row r="85" spans="4:97" x14ac:dyDescent="0.5">
      <c r="D85" s="487" t="e">
        <f t="shared" si="44"/>
        <v>#DIV/0!</v>
      </c>
      <c r="E85" s="496" t="e">
        <f t="array" ref="E85">IF(IF((ROW(E85)-3)&lt;(ListAndConversion!$A$15),INDEX(Flow_Cell_Lane,MIN(IF(COUNTIF($E$2:E84,Flow_Cell_Lane)=0,ROW(Flow_Cell_Lane)-9))),"-")="","-",IF((ROW(E85)-3)&lt;(ListAndConversion!$A$15),INDEX(Flow_Cell_Lane,MIN(IF(COUNTIF($E$2:E84,Flow_Cell_Lane)=0,ROW(Flow_Cell_Lane)-9))),"-"))</f>
        <v>#DIV/0!</v>
      </c>
      <c r="F85" s="378" t="e">
        <f t="shared" si="45"/>
        <v>#DIV/0!</v>
      </c>
      <c r="G85" s="378" t="e">
        <f t="shared" si="67"/>
        <v>#DIV/0!</v>
      </c>
      <c r="H85" s="378" t="e">
        <f t="shared" si="67"/>
        <v>#DIV/0!</v>
      </c>
      <c r="I85" s="378" t="e">
        <f t="shared" si="67"/>
        <v>#DIV/0!</v>
      </c>
      <c r="J85" s="378" t="e">
        <f t="shared" si="67"/>
        <v>#DIV/0!</v>
      </c>
      <c r="K85" s="378" t="e">
        <f t="shared" si="67"/>
        <v>#DIV/0!</v>
      </c>
      <c r="L85" s="378" t="e">
        <f t="shared" si="67"/>
        <v>#DIV/0!</v>
      </c>
      <c r="M85" s="378" t="e">
        <f t="shared" si="67"/>
        <v>#DIV/0!</v>
      </c>
      <c r="N85" s="497" t="e">
        <f t="shared" si="46"/>
        <v>#DIV/0!</v>
      </c>
      <c r="O85" s="497" t="str">
        <f t="array" ref="O85">IFERROR(INDEX(Calculation!I:AN,MATCH(ListAndConversion!E85,Calculation!I:I,0),31),"-")</f>
        <v>-</v>
      </c>
      <c r="P85" s="498">
        <f>IF(COUNTIFS(Calculation!$I$10:$I$393,E85,Direct_Denaturation,"-")&lt;&gt;1,COUNTIFS(Calculation!$I$10:$I$393,E85,Direct_Denaturation,"-"),0)</f>
        <v>0</v>
      </c>
      <c r="Q85" s="378"/>
      <c r="R85" s="487" t="e">
        <f t="array" ref="R85">IF(IF((ROW(R85)-3)&lt;(Calculation!$H$6),INDEX(Flow_Cell,MIN(IF(COUNTIF($R$2:R84,Flow_Cell)=0,ROW(Flow_Cell)-9))),"-")="","-",IF((ROW(R85)-3)&lt;(Calculation!$H$6),INDEX(Flow_Cell,MIN(IF(COUNTIF($R$2:R84,Flow_Cell)=0,ROW(Flow_Cell)-9))),"-"))</f>
        <v>#DIV/0!</v>
      </c>
      <c r="S85" s="378" t="e">
        <f t="shared" si="68"/>
        <v>#DIV/0!</v>
      </c>
      <c r="T85" s="378">
        <v>3</v>
      </c>
      <c r="U85" s="498">
        <v>83</v>
      </c>
      <c r="V85" s="487">
        <v>82</v>
      </c>
      <c r="W85" s="497" t="s">
        <v>287</v>
      </c>
      <c r="X85" s="497" t="s">
        <v>449</v>
      </c>
      <c r="Y85" s="378">
        <v>82</v>
      </c>
      <c r="Z85" s="378" t="str">
        <f t="shared" ca="1" si="48"/>
        <v>-</v>
      </c>
      <c r="AA85" s="508" t="str">
        <f t="array" aca="1" ref="AA85" ca="1">IFERROR(INDEX(Calculation_Tab,SMALL(ROW(Sample_Intermediate_Dil)*(Sample_Intermediate_Dil&lt;&gt;"-"),COUNTIF(Sample_Intermediate_Dil,"-")+ROW()-3)-9,5),"-")</f>
        <v>-</v>
      </c>
      <c r="AB85" s="378" t="str">
        <f t="array" aca="1" ref="AB85" ca="1">IFERROR(INDEX($A$3:$B$12,MATCH(INDEX(Calculation_Tab,SMALL(ROW(Sample_Intermediate_Dil)*(Sample_Intermediate_Dil&lt;&gt;"-"),COUNTIF(Sample_Intermediate_Dil,"-")+ROW()-3)-9,5),$A$3:$A$12,0),2),"-")</f>
        <v>-</v>
      </c>
      <c r="AC85" s="509" t="str">
        <f t="array" aca="1" ref="AC85" ca="1">IFERROR(INDEX(Coordinate,MATCH(INDEX(Calculation_Tab,SMALL(ROW(Sample_Intermediate_Dil)*(Sample_Intermediate_Dil&lt;&gt;"-"),COUNTIF(Sample_Intermediate_Dil,"-")+ROW()-3)-9,6),$X$4:$X$99,0),2),"-")</f>
        <v>-</v>
      </c>
      <c r="AD85" s="510" t="str">
        <f t="array" aca="1" ref="AD85" ca="1">IFERROR(INDEX(Calculation_Tab,SMALL(ROW(Sample_Intermediate_Dil)*(Sample_Intermediate_Dil&lt;&gt;"-"),COUNTIF(Sample_Intermediate_Dil,"-")+ROW()-3)-9,24),"-")</f>
        <v>-</v>
      </c>
      <c r="AE85" s="510" t="str">
        <f t="array" aca="1" ref="AE85" ca="1">IFERROR(INDEX(Calculation_Tab,SMALL(ROW(Sample_Intermediate_Dil)*(Sample_Intermediate_Dil&lt;&gt;"-"),COUNTIF(Sample_Intermediate_Dil,"-")+ROW()-3)-9,25),"-")</f>
        <v>-</v>
      </c>
      <c r="AF85" s="510" t="str">
        <f t="array" aca="1" ref="AF85" ca="1">IFERROR(INDEX(Calculation_Tab,SMALL(ROW(Sample_Intermediate_Dil)*(Sample_Intermediate_Dil&lt;&gt;"-"),COUNTIF(Sample_Intermediate_Dil,"-")+ROW()-3)-9,26),"-")</f>
        <v>-</v>
      </c>
      <c r="AG85" s="511" t="str">
        <f t="array" aca="1" ref="AG85" ca="1">IFERROR(INDEX(Calculation_Tab,SMALL(ROW(Sample_Intermediate_Dil)*(Sample_Intermediate_Dil&lt;&gt;"-"),COUNTIF(Sample_Intermediate_Dil,"-")+ROW()-3)-9,27),"-")</f>
        <v>-</v>
      </c>
      <c r="AI85" s="487">
        <v>82</v>
      </c>
      <c r="AJ85" s="497" t="s">
        <v>160</v>
      </c>
      <c r="AK85" s="378">
        <v>82</v>
      </c>
      <c r="AL85" s="378" t="str">
        <f t="shared" ca="1" si="49"/>
        <v>-</v>
      </c>
      <c r="AM85" s="378" t="str">
        <f t="array" aca="1" ref="AM85" ca="1">IFERROR(IF(AI85&lt;=$AB$2,"-",INDEX(Calculation_Tab,SMALL(ROW(Main_Dil)*(Main_Dil&lt;&gt;"-"),COUNTIF(Main_Dil,"-")+ROW()-3-$AB$2)-9,5)),"-")</f>
        <v>-</v>
      </c>
      <c r="AN85" s="378" t="str">
        <f t="array" aca="1" ref="AN85" ca="1">IFERROR(IF(AI85&lt;=$AB$2,"-",INDEX($A$3:$B$12,MATCH(INDEX(Calculation_Tab,SMALL(ROW(Main_Dil)*(Main_Dil&lt;&gt;"-"),COUNTIF(Main_Dil,"-")+ROW()-3-$AB$2)-9,5),$A$3:$A$12,0),2)),"-")</f>
        <v>-</v>
      </c>
      <c r="AO85" s="378" t="str">
        <f t="array" aca="1" ref="AO85" ca="1">IFERROR(IF(AI85&lt;=$AB$2,"-",INDEX(Coordinate,MATCH(INDEX(Calculation_Tab,SMALL(ROW(Main_Dil)*(Main_Dil&lt;&gt;"-"),COUNTIF(Main_Dil,"-")+ROW()-3-$AB$2)-9,6),$X$4:$X$99,0),2)),"-")</f>
        <v>-</v>
      </c>
      <c r="AP85" s="510" t="str">
        <f t="array" aca="1" ref="AP85" ca="1">IFERROR(IF(AI85&lt;=$AB$2,"-",INDEX(Calculation_Tab,SMALL(ROW(Main_Dil)*(Main_Dil&lt;&gt;"-"),COUNTIF(Main_Dil,"-")+ROW()-3-$AB$2)-9,21)),"-")</f>
        <v>-</v>
      </c>
      <c r="AQ85" s="511" t="str">
        <f t="array" aca="1" ref="AQ85" ca="1">IFERROR(IF(AI85&lt;=$AB$2,"-",INDEX(Calculation_Tab,SMALL(ROW(Main_Dil)*(Main_Dil&lt;&gt;"-"),COUNTIF(Main_Dil,"-")+ROW()-3-$AB$2)-9,22)),"-")</f>
        <v>-</v>
      </c>
      <c r="AR85" s="487" t="str">
        <f t="shared" ca="1" si="50"/>
        <v>-</v>
      </c>
      <c r="AS85" s="378">
        <v>82</v>
      </c>
      <c r="AT85" s="497" t="s">
        <v>160</v>
      </c>
      <c r="AU85" s="498">
        <v>82</v>
      </c>
      <c r="AV85" s="378" t="str">
        <f t="shared" ca="1" si="51"/>
        <v>-</v>
      </c>
      <c r="AW85" s="378" t="str">
        <f t="array" aca="1" ref="AW85" ca="1">IFERROR(IF(AS85&lt;=$AB$2+$AN$2,"-",INDEX(Calculation_Tab,SMALL(ROW(Direct_Denaturation)*(Direct_Denaturation&lt;&gt;"-"),COUNTIF(Direct_Denaturation,"-")+ROW()-3-$AB$2-$AN$2)-9,5)),"-")</f>
        <v>-</v>
      </c>
      <c r="AX85" s="378" t="str">
        <f t="array" aca="1" ref="AX85" ca="1">IFERROR(IF(AS85&lt;=$AB$2+$AN$2,"-",INDEX($A$3:$B$12,MATCH(INDEX(Calculation_Tab,SMALL(ROW(Direct_Denaturation)*(Direct_Denaturation&lt;&gt;"-"),COUNTIF(Direct_Denaturation,"-")+ROW()-3-$AB$2-$AN$2)-9,5),$A$3:$A$12,0),2)),"-")</f>
        <v>-</v>
      </c>
      <c r="AY85" s="378" t="str">
        <f t="array" aca="1" ref="AY85" ca="1">IFERROR(IF(AS85&lt;=$AB$2+$AN$2,"-",INDEX(Coordinate,MATCH(INDEX(Calculation_Tab,SMALL(ROW(Direct_Denaturation)*(Direct_Denaturation&lt;&gt;"-"),COUNTIF(Direct_Denaturation,"-")+ROW()-3-$AB$2-$AN$2)-9,6),$X$4:$X$99,0),2)),"-")</f>
        <v>-</v>
      </c>
      <c r="AZ85" s="510" t="str">
        <f t="array" aca="1" ref="AZ85" ca="1">IFERROR(IF(AS85&lt;=$AB$2+$AN$2,"-",INDEX(Calculation_Tab,SMALL(ROW(Direct_Denaturation)*(Direct_Denaturation&lt;&gt;"-"),COUNTIF(Direct_Denaturation,"-")+ROW()-3-$AB$2-$AN$2)-9,32)),"-")</f>
        <v>-</v>
      </c>
      <c r="BA85" s="510" t="str">
        <f t="array" aca="1" ref="BA85" ca="1">IFERROR(IF(AS85&lt;=$AB$2+$AN$2,"-",INDEX(Calculation_Tab,SMALL(ROW(Direct_Denaturation)*(Direct_Denaturation&lt;&gt;"-"),COUNTIF(Direct_Denaturation,"-")+ROW()-3-$AB$2-$AN$2)-9,34)),"-")</f>
        <v>-</v>
      </c>
      <c r="BB85" s="510" t="str">
        <f t="array" aca="1" ref="BB85" ca="1">IFERROR(IF(AS85&lt;=$AB$2+$AN$2,"-",INDEX(Calculation_Tab,SMALL(ROW(Direct_Denaturation)*(Direct_Denaturation&lt;&gt;"-"),COUNTIF(Direct_Denaturation,"-")+ROW()-3-$AB$2-$AN$2)-9,33)),"-")</f>
        <v>-</v>
      </c>
      <c r="BC85" s="510" t="str">
        <f t="array" aca="1" ref="BC85" ca="1">IFERROR(IF(AS85&lt;=$AB$2+$AN$2,"-",INDEX(Calculation_Tab,SMALL(ROW(Direct_Denaturation)*(Direct_Denaturation&lt;&gt;"-"),COUNTIF(Direct_Denaturation,"-")+ROW()-3-$AB$2-$AN$2)-9,35)),"-")</f>
        <v>-</v>
      </c>
      <c r="BD85" s="511" t="str">
        <f t="shared" ca="1" si="52"/>
        <v>-</v>
      </c>
      <c r="BE85" s="494" t="s">
        <v>450</v>
      </c>
      <c r="BF85" s="378">
        <v>82</v>
      </c>
      <c r="BG85" s="515" t="str">
        <v>-</v>
      </c>
      <c r="BH85" s="516" t="str">
        <f>IFERROR(IF((Calculation!$AR$6/INDEX(ListAndConversion!D:P,MATCH(BG85,E:E,0),13))&lt;Calculation!$O$6,INDEX(ListAndConversion!D:P,MATCH(BG85,E:E,0),13)*Calculation!$O$6,Calculation!$AR$6),"-")</f>
        <v>-</v>
      </c>
      <c r="BI85" s="517" t="str">
        <f t="shared" si="53"/>
        <v>-</v>
      </c>
      <c r="BJ85" s="518" t="str">
        <f t="shared" si="54"/>
        <v>-</v>
      </c>
      <c r="BK85" s="378" t="s">
        <v>158</v>
      </c>
      <c r="BL85" s="378">
        <v>82</v>
      </c>
      <c r="BM85" s="487" t="str">
        <f t="array" aca="1" ref="BM85" ca="1">IFERROR(INDEX(Calculation_Tab,SMALL(ROW(ToPool)*(ToPool&lt;&gt;"-"),COUNTIF(ToPool,"-")+ROW()-3)-9,3),"-")</f>
        <v>-</v>
      </c>
      <c r="BN85" s="378" t="str">
        <f t="shared" ca="1" si="55"/>
        <v>-</v>
      </c>
      <c r="BO85" s="378" t="str">
        <f t="shared" ca="1" si="56"/>
        <v>-</v>
      </c>
      <c r="BP85" s="523" t="str">
        <f t="shared" ca="1" si="57"/>
        <v>-</v>
      </c>
      <c r="BQ85" s="378" t="str">
        <f t="array" aca="1" ref="BQ85" ca="1">IFERROR(INDEX(BE:BG,MATCH(INDEX(Calculation_Tab,SMALL(ROW(ToPool)*(ToPool&lt;&gt;"-"),COUNTIF(ToPool,"-")+ROW()-3)-9,9),BG:BG,0),2),"-")</f>
        <v>-</v>
      </c>
      <c r="BR85" s="510" t="str">
        <f t="shared" ca="1" si="58"/>
        <v>-</v>
      </c>
      <c r="BS85" s="511" t="str">
        <f t="shared" ca="1" si="59"/>
        <v>-</v>
      </c>
      <c r="BT85" s="378" t="s">
        <v>164</v>
      </c>
      <c r="BU85" s="487" t="str">
        <f t="shared" ca="1" si="63"/>
        <v>-</v>
      </c>
      <c r="BV85" s="487" t="str">
        <f t="array" aca="1" ref="BV8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85" s="378" t="str">
        <f t="shared" ca="1" si="60"/>
        <v>-</v>
      </c>
      <c r="BX85" s="378" t="str">
        <f t="shared" ca="1" si="61"/>
        <v>-</v>
      </c>
      <c r="BY85" s="510" t="str">
        <f ca="1">IFERROR(ROUND(INDEX(Cluster,MATCH(IF(LEFT(BV85,4)="Pool",INDEX(Cluster,MATCH(INDEX(Calculation_Tab,MATCH(INDEX($BE$4:$BJ$99,MATCH(BV85,$BE$4:$BE$99,0),3),Flow_Cell_Lane,0),3),Cluster!$F$29:$F$412,0),6),BV85),Identifier_Cluster,0),19)*IF(LEFT(BV85,4)="pool",IF(LEN(INDEX($BE$4:$BJ$99,MATCH(BV85,$BE$4:$BE$99,0),3))=10,2,IF(LEN(INDEX($BE$4:$BJ$99,MATCH(BV85,$BE$4:$BE$99,0),3))&gt;10,LEN(INDEX($BE$4:$BJ$99,MATCH(BV85,$BE$4:$BE$99,0),3))-8,1)),1)*IF(LEFT(BV85,4)="pool",IF(INDEX($BE$4:$BJ$99,MATCH(BV85,$BE$4:$BE$99,0),6)&lt;1,1,INDEX($BE$4:$BJ$99,MATCH(BV85,$BE$4:$BE$99,0),6)),INDEX(Calculation_Tab,MATCH(BV85,Identifier,0),10)),1)*(1+Calculation!$Q$6),"-")</f>
        <v>-</v>
      </c>
      <c r="BZ85" s="378" t="str">
        <f ca="1">IFERROR((0.5/50)*CE85/Calculation!$AG$6*(IF(LEFT(BV85,4)="Pool",IF(LEN(INDEX($BE$4:$BJ$99,MATCH(BV85,$BE$4:$BE$99,0),3))=10,2,IF(LEN(INDEX($BE$4:$BJ$99,MATCH(BV85,$BE$4:$BE$99,0),3))&gt;10,LEN(INDEX($BE$4:$BJ$99,MATCH(BV85,$BE$4:$BE$99,0),3))-8,1)),IF(INDEX(Calculation_Tab,MATCH(BV85,Identifier,0),10)&gt;1,INDEX(Calculation_Tab,MATCH(BV85,Identifier,0),10),1)))*(1+Calculation!$Q$6),"-")</f>
        <v>-</v>
      </c>
      <c r="CA85" s="510" t="str">
        <f ca="1">IFERROR(IF((BZ85*Calculation!$AG$6/0.05)-SUM(BY85:BZ85,CC85)&gt;0,(BZ85*Calculation!$AG$6/0.05)-SUM(BY85:BZ85,CC85),0),"-")</f>
        <v>-</v>
      </c>
      <c r="CB85" s="510" t="str">
        <f ca="1">IFERROR(5/50*CE85*(IF(LEFT(BV85,4)="Pool",IF(LEN(INDEX($BE$4:$BJ$99,MATCH(BV85,$BE$4:$BE$99,0),3))=10,2,IF(LEN(INDEX($BE$4:$BJ$99,MATCH(BV85,$BE$4:$BE$99,0),3))&gt;10,LEN(INDEX($BE$4:$BJ$99,MATCH(BV85,$BE$4:$BE$99,0),3))-8,1)),IF(INDEX(Calculation_Tab,MATCH(BV85,Identifier,0),10)&gt;1,INDEX(Calculation_Tab,MATCH(BV85,Identifier,0),10),1)))*(1+Calculation!$Q$6),"-")</f>
        <v>-</v>
      </c>
      <c r="CC85" s="508" t="str">
        <f ca="1">IFERROR(ROUND(INDEX(Cluster,MATCH(IF(LEFT(BV85,4)="Pool",INDEX(Cluster,MATCH(INDEX(Calculation_Tab,MATCH(INDEX($BE$4:$BJ$99,MATCH(BV85,$BE$4:$BE$99,0),3),Flow_Cell_Lane,0),3),Cluster!$F$29:$F$412,0),6),BV85),Identifier_Cluster,0),20)*IF(LEFT(BV85,4)="pool",IF(LEN(INDEX($BE$4:$BJ$99,MATCH(BV85,$BE$4:$BE$99,0),3))=10,2,IF(LEN(INDEX($BE$4:$BJ$99,MATCH(BV85,$BE$4:$BE$99,0),3))&gt;10,LEN(INDEX($BE$4:$BJ$99,MATCH(BV85,$BE$4:$BE$99,0),3))-8,1)),1)*IF(LEFT(BV85,4)="pool",IF(INDEX($BE$4:$BJ$99,MATCH(BV85,$BE$4:$BE$99,0),6)&lt;1,1,INDEX($BE$4:$BJ$99,MATCH(BV85,$BE$4:$BE$99,0),6)),INDEX(Calculation_Tab,MATCH(BV85,Identifier,0),10)),1)*(1+Calculation!$Q$6),"-")</f>
        <v>-</v>
      </c>
      <c r="CD85" s="509" t="str">
        <f ca="1">IFERROR(INDEX(Cluster!AC:AD,MATCH(IF(LEFT(BV85,4)="Pool",INDEX(Cluster!$D$29:$AA$412,MATCH(INDEX(Calculation_Tab,MATCH(INDEX($BE$4:$BJ$99,MATCH(BV85,$BE$4:$BE$99,0),3),Flow_Cell_Lane,0),3),Cluster!$F$29:$F$412,0),24),INDEX(Cluster!$D$29:$AA$412,MATCH(BV85,Cluster!$F$29:$F$412,0),24)),Cluster!AC:AC,0),2),"-")</f>
        <v>-</v>
      </c>
      <c r="CE85" s="378" t="str">
        <f ca="1">IFERROR(IF(BV85&lt;&gt;"-",Calculation!$AK$6,"-"),"-")</f>
        <v>-</v>
      </c>
      <c r="CF85" s="378" t="str">
        <f ca="1">IF(OR(LEFT(ListAndConversion!BW85,3)="Dil",LEFT(ListAndConversion!BW85,3)="Poo"),ListAndConversion!$BT$4,IF(LEFT(ListAndConversion!BW85,3)="Sou",INDEX(ListAndConversion!$AT$3:$AV$387,MATCH(ListAndConversion!BV85,ListAndConversion!$AV$3:$AV$387,0),1),"-"))</f>
        <v>-</v>
      </c>
      <c r="CG85" s="498" t="str">
        <f ca="1">IF(OR(LEFT(ListAndConversion!BW85,3)="Dil",LEFT(ListAndConversion!BW85,3)="Poo"),ListAndConversion!BU85,IF(LEFT(ListAndConversion!BW85,3)="Sou",INDEX(ListAndConversion!$AT$4:$AV$387,MATCH(ListAndConversion!BV85,ListAndConversion!$AV$4:$AV$387,0),2),"-"))</f>
        <v>-</v>
      </c>
      <c r="CH85" s="378"/>
      <c r="CI85" s="487" t="str">
        <f t="shared" ca="1" si="62"/>
        <v>-</v>
      </c>
      <c r="CJ85" s="378" t="str">
        <f t="shared" ca="1" si="69"/>
        <v>-</v>
      </c>
      <c r="CK85" s="378" t="str">
        <f t="shared" ca="1" si="69"/>
        <v>-</v>
      </c>
      <c r="CL85" s="378" t="str">
        <f t="shared" ca="1" si="69"/>
        <v>-</v>
      </c>
      <c r="CM85" s="378" t="str">
        <f t="shared" ca="1" si="69"/>
        <v>-</v>
      </c>
      <c r="CN85" s="378" t="str">
        <f t="shared" ca="1" si="69"/>
        <v>-</v>
      </c>
      <c r="CO85" s="378" t="str">
        <f t="shared" ca="1" si="69"/>
        <v>-</v>
      </c>
      <c r="CP85" s="378" t="str">
        <f t="shared" ca="1" si="69"/>
        <v>-</v>
      </c>
      <c r="CQ85" s="378" t="str">
        <f t="shared" ca="1" si="69"/>
        <v>-</v>
      </c>
      <c r="CR85" s="510" t="str">
        <f ca="1">IFERROR(IF(LEFT(BW85,3)="Poo",INDEX($BE$4:$BJ$99,MATCH(CI85,$BG$4:$BG$99,0),6)*((15/50))*Calculation!$AK$6,INDEX(Calculation_Tab,MATCH(BV85,Identifier,0),10)/(IF(LEN(INDEX(Calculation_Tab,MATCH(BV85,Identifier,0),9))&gt;8,LEN(INDEX(Calculation_Tab,MATCH(BV85,Identifier,0),9))-8,1))*((15/50)*Calculation!$AK$6)),"-")</f>
        <v>-</v>
      </c>
      <c r="CS85" s="498" t="str">
        <f ca="1">IF(CI85="-","-",IF(COUNTIF($CI$3:CI85,CI85)&gt;1,0,IFERROR((35/50)*Calculation!$AK$6,"-")))</f>
        <v>-</v>
      </c>
    </row>
    <row r="86" spans="4:97" x14ac:dyDescent="0.5">
      <c r="D86" s="487" t="e">
        <f t="shared" si="44"/>
        <v>#DIV/0!</v>
      </c>
      <c r="E86" s="496" t="e">
        <f t="array" ref="E86">IF(IF((ROW(E86)-3)&lt;(ListAndConversion!$A$15),INDEX(Flow_Cell_Lane,MIN(IF(COUNTIF($E$2:E85,Flow_Cell_Lane)=0,ROW(Flow_Cell_Lane)-9))),"-")="","-",IF((ROW(E86)-3)&lt;(ListAndConversion!$A$15),INDEX(Flow_Cell_Lane,MIN(IF(COUNTIF($E$2:E85,Flow_Cell_Lane)=0,ROW(Flow_Cell_Lane)-9))),"-"))</f>
        <v>#DIV/0!</v>
      </c>
      <c r="F86" s="378" t="e">
        <f t="shared" si="45"/>
        <v>#DIV/0!</v>
      </c>
      <c r="G86" s="378" t="e">
        <f t="shared" si="67"/>
        <v>#DIV/0!</v>
      </c>
      <c r="H86" s="378" t="e">
        <f t="shared" si="67"/>
        <v>#DIV/0!</v>
      </c>
      <c r="I86" s="378" t="e">
        <f t="shared" si="67"/>
        <v>#DIV/0!</v>
      </c>
      <c r="J86" s="378" t="e">
        <f t="shared" si="67"/>
        <v>#DIV/0!</v>
      </c>
      <c r="K86" s="378" t="e">
        <f t="shared" si="67"/>
        <v>#DIV/0!</v>
      </c>
      <c r="L86" s="378" t="e">
        <f t="shared" si="67"/>
        <v>#DIV/0!</v>
      </c>
      <c r="M86" s="378" t="e">
        <f t="shared" si="67"/>
        <v>#DIV/0!</v>
      </c>
      <c r="N86" s="497" t="e">
        <f t="shared" si="46"/>
        <v>#DIV/0!</v>
      </c>
      <c r="O86" s="497" t="str">
        <f t="array" ref="O86">IFERROR(INDEX(Calculation!I:AN,MATCH(ListAndConversion!E86,Calculation!I:I,0),31),"-")</f>
        <v>-</v>
      </c>
      <c r="P86" s="498">
        <f>IF(COUNTIFS(Calculation!$I$10:$I$393,E86,Direct_Denaturation,"-")&lt;&gt;1,COUNTIFS(Calculation!$I$10:$I$393,E86,Direct_Denaturation,"-"),0)</f>
        <v>0</v>
      </c>
      <c r="Q86" s="378"/>
      <c r="R86" s="487" t="e">
        <f t="array" ref="R86">IF(IF((ROW(R86)-3)&lt;(Calculation!$H$6),INDEX(Flow_Cell,MIN(IF(COUNTIF($R$2:R85,Flow_Cell)=0,ROW(Flow_Cell)-9))),"-")="","-",IF((ROW(R86)-3)&lt;(Calculation!$H$6),INDEX(Flow_Cell,MIN(IF(COUNTIF($R$2:R85,Flow_Cell)=0,ROW(Flow_Cell)-9))),"-"))</f>
        <v>#DIV/0!</v>
      </c>
      <c r="S86" s="378" t="e">
        <f t="shared" si="68"/>
        <v>#DIV/0!</v>
      </c>
      <c r="T86" s="378">
        <v>4</v>
      </c>
      <c r="U86" s="498">
        <v>84</v>
      </c>
      <c r="V86" s="487">
        <v>83</v>
      </c>
      <c r="W86" s="497" t="s">
        <v>287</v>
      </c>
      <c r="X86" s="497" t="s">
        <v>451</v>
      </c>
      <c r="Y86" s="378">
        <v>83</v>
      </c>
      <c r="Z86" s="378" t="str">
        <f t="shared" ca="1" si="48"/>
        <v>-</v>
      </c>
      <c r="AA86" s="508" t="str">
        <f t="array" aca="1" ref="AA86" ca="1">IFERROR(INDEX(Calculation_Tab,SMALL(ROW(Sample_Intermediate_Dil)*(Sample_Intermediate_Dil&lt;&gt;"-"),COUNTIF(Sample_Intermediate_Dil,"-")+ROW()-3)-9,5),"-")</f>
        <v>-</v>
      </c>
      <c r="AB86" s="378" t="str">
        <f t="array" aca="1" ref="AB86" ca="1">IFERROR(INDEX($A$3:$B$12,MATCH(INDEX(Calculation_Tab,SMALL(ROW(Sample_Intermediate_Dil)*(Sample_Intermediate_Dil&lt;&gt;"-"),COUNTIF(Sample_Intermediate_Dil,"-")+ROW()-3)-9,5),$A$3:$A$12,0),2),"-")</f>
        <v>-</v>
      </c>
      <c r="AC86" s="509" t="str">
        <f t="array" aca="1" ref="AC86" ca="1">IFERROR(INDEX(Coordinate,MATCH(INDEX(Calculation_Tab,SMALL(ROW(Sample_Intermediate_Dil)*(Sample_Intermediate_Dil&lt;&gt;"-"),COUNTIF(Sample_Intermediate_Dil,"-")+ROW()-3)-9,6),$X$4:$X$99,0),2),"-")</f>
        <v>-</v>
      </c>
      <c r="AD86" s="510" t="str">
        <f t="array" aca="1" ref="AD86" ca="1">IFERROR(INDEX(Calculation_Tab,SMALL(ROW(Sample_Intermediate_Dil)*(Sample_Intermediate_Dil&lt;&gt;"-"),COUNTIF(Sample_Intermediate_Dil,"-")+ROW()-3)-9,24),"-")</f>
        <v>-</v>
      </c>
      <c r="AE86" s="510" t="str">
        <f t="array" aca="1" ref="AE86" ca="1">IFERROR(INDEX(Calculation_Tab,SMALL(ROW(Sample_Intermediate_Dil)*(Sample_Intermediate_Dil&lt;&gt;"-"),COUNTIF(Sample_Intermediate_Dil,"-")+ROW()-3)-9,25),"-")</f>
        <v>-</v>
      </c>
      <c r="AF86" s="510" t="str">
        <f t="array" aca="1" ref="AF86" ca="1">IFERROR(INDEX(Calculation_Tab,SMALL(ROW(Sample_Intermediate_Dil)*(Sample_Intermediate_Dil&lt;&gt;"-"),COUNTIF(Sample_Intermediate_Dil,"-")+ROW()-3)-9,26),"-")</f>
        <v>-</v>
      </c>
      <c r="AG86" s="511" t="str">
        <f t="array" aca="1" ref="AG86" ca="1">IFERROR(INDEX(Calculation_Tab,SMALL(ROW(Sample_Intermediate_Dil)*(Sample_Intermediate_Dil&lt;&gt;"-"),COUNTIF(Sample_Intermediate_Dil,"-")+ROW()-3)-9,27),"-")</f>
        <v>-</v>
      </c>
      <c r="AI86" s="487">
        <v>83</v>
      </c>
      <c r="AJ86" s="497" t="s">
        <v>160</v>
      </c>
      <c r="AK86" s="378">
        <v>83</v>
      </c>
      <c r="AL86" s="378" t="str">
        <f t="shared" ca="1" si="49"/>
        <v>-</v>
      </c>
      <c r="AM86" s="378" t="str">
        <f t="array" aca="1" ref="AM86" ca="1">IFERROR(IF(AI86&lt;=$AB$2,"-",INDEX(Calculation_Tab,SMALL(ROW(Main_Dil)*(Main_Dil&lt;&gt;"-"),COUNTIF(Main_Dil,"-")+ROW()-3-$AB$2)-9,5)),"-")</f>
        <v>-</v>
      </c>
      <c r="AN86" s="378" t="str">
        <f t="array" aca="1" ref="AN86" ca="1">IFERROR(IF(AI86&lt;=$AB$2,"-",INDEX($A$3:$B$12,MATCH(INDEX(Calculation_Tab,SMALL(ROW(Main_Dil)*(Main_Dil&lt;&gt;"-"),COUNTIF(Main_Dil,"-")+ROW()-3-$AB$2)-9,5),$A$3:$A$12,0),2)),"-")</f>
        <v>-</v>
      </c>
      <c r="AO86" s="378" t="str">
        <f t="array" aca="1" ref="AO86" ca="1">IFERROR(IF(AI86&lt;=$AB$2,"-",INDEX(Coordinate,MATCH(INDEX(Calculation_Tab,SMALL(ROW(Main_Dil)*(Main_Dil&lt;&gt;"-"),COUNTIF(Main_Dil,"-")+ROW()-3-$AB$2)-9,6),$X$4:$X$99,0),2)),"-")</f>
        <v>-</v>
      </c>
      <c r="AP86" s="510" t="str">
        <f t="array" aca="1" ref="AP86" ca="1">IFERROR(IF(AI86&lt;=$AB$2,"-",INDEX(Calculation_Tab,SMALL(ROW(Main_Dil)*(Main_Dil&lt;&gt;"-"),COUNTIF(Main_Dil,"-")+ROW()-3-$AB$2)-9,21)),"-")</f>
        <v>-</v>
      </c>
      <c r="AQ86" s="511" t="str">
        <f t="array" aca="1" ref="AQ86" ca="1">IFERROR(IF(AI86&lt;=$AB$2,"-",INDEX(Calculation_Tab,SMALL(ROW(Main_Dil)*(Main_Dil&lt;&gt;"-"),COUNTIF(Main_Dil,"-")+ROW()-3-$AB$2)-9,22)),"-")</f>
        <v>-</v>
      </c>
      <c r="AR86" s="487" t="str">
        <f t="shared" ca="1" si="50"/>
        <v>-</v>
      </c>
      <c r="AS86" s="378">
        <v>83</v>
      </c>
      <c r="AT86" s="497" t="s">
        <v>160</v>
      </c>
      <c r="AU86" s="498">
        <v>83</v>
      </c>
      <c r="AV86" s="378" t="str">
        <f t="shared" ca="1" si="51"/>
        <v>-</v>
      </c>
      <c r="AW86" s="378" t="str">
        <f t="array" aca="1" ref="AW86" ca="1">IFERROR(IF(AS86&lt;=$AB$2+$AN$2,"-",INDEX(Calculation_Tab,SMALL(ROW(Direct_Denaturation)*(Direct_Denaturation&lt;&gt;"-"),COUNTIF(Direct_Denaturation,"-")+ROW()-3-$AB$2-$AN$2)-9,5)),"-")</f>
        <v>-</v>
      </c>
      <c r="AX86" s="378" t="str">
        <f t="array" aca="1" ref="AX86" ca="1">IFERROR(IF(AS86&lt;=$AB$2+$AN$2,"-",INDEX($A$3:$B$12,MATCH(INDEX(Calculation_Tab,SMALL(ROW(Direct_Denaturation)*(Direct_Denaturation&lt;&gt;"-"),COUNTIF(Direct_Denaturation,"-")+ROW()-3-$AB$2-$AN$2)-9,5),$A$3:$A$12,0),2)),"-")</f>
        <v>-</v>
      </c>
      <c r="AY86" s="378" t="str">
        <f t="array" aca="1" ref="AY86" ca="1">IFERROR(IF(AS86&lt;=$AB$2+$AN$2,"-",INDEX(Coordinate,MATCH(INDEX(Calculation_Tab,SMALL(ROW(Direct_Denaturation)*(Direct_Denaturation&lt;&gt;"-"),COUNTIF(Direct_Denaturation,"-")+ROW()-3-$AB$2-$AN$2)-9,6),$X$4:$X$99,0),2)),"-")</f>
        <v>-</v>
      </c>
      <c r="AZ86" s="510" t="str">
        <f t="array" aca="1" ref="AZ86" ca="1">IFERROR(IF(AS86&lt;=$AB$2+$AN$2,"-",INDEX(Calculation_Tab,SMALL(ROW(Direct_Denaturation)*(Direct_Denaturation&lt;&gt;"-"),COUNTIF(Direct_Denaturation,"-")+ROW()-3-$AB$2-$AN$2)-9,32)),"-")</f>
        <v>-</v>
      </c>
      <c r="BA86" s="510" t="str">
        <f t="array" aca="1" ref="BA86" ca="1">IFERROR(IF(AS86&lt;=$AB$2+$AN$2,"-",INDEX(Calculation_Tab,SMALL(ROW(Direct_Denaturation)*(Direct_Denaturation&lt;&gt;"-"),COUNTIF(Direct_Denaturation,"-")+ROW()-3-$AB$2-$AN$2)-9,34)),"-")</f>
        <v>-</v>
      </c>
      <c r="BB86" s="510" t="str">
        <f t="array" aca="1" ref="BB86" ca="1">IFERROR(IF(AS86&lt;=$AB$2+$AN$2,"-",INDEX(Calculation_Tab,SMALL(ROW(Direct_Denaturation)*(Direct_Denaturation&lt;&gt;"-"),COUNTIF(Direct_Denaturation,"-")+ROW()-3-$AB$2-$AN$2)-9,33)),"-")</f>
        <v>-</v>
      </c>
      <c r="BC86" s="510" t="str">
        <f t="array" aca="1" ref="BC86" ca="1">IFERROR(IF(AS86&lt;=$AB$2+$AN$2,"-",INDEX(Calculation_Tab,SMALL(ROW(Direct_Denaturation)*(Direct_Denaturation&lt;&gt;"-"),COUNTIF(Direct_Denaturation,"-")+ROW()-3-$AB$2-$AN$2)-9,35)),"-")</f>
        <v>-</v>
      </c>
      <c r="BD86" s="511" t="str">
        <f t="shared" ca="1" si="52"/>
        <v>-</v>
      </c>
      <c r="BE86" s="494" t="s">
        <v>452</v>
      </c>
      <c r="BF86" s="378">
        <v>83</v>
      </c>
      <c r="BG86" s="515" t="str">
        <v>-</v>
      </c>
      <c r="BH86" s="516" t="str">
        <f>IFERROR(IF((Calculation!$AR$6/INDEX(ListAndConversion!D:P,MATCH(BG86,E:E,0),13))&lt;Calculation!$O$6,INDEX(ListAndConversion!D:P,MATCH(BG86,E:E,0),13)*Calculation!$O$6,Calculation!$AR$6),"-")</f>
        <v>-</v>
      </c>
      <c r="BI86" s="517" t="str">
        <f t="shared" si="53"/>
        <v>-</v>
      </c>
      <c r="BJ86" s="518" t="str">
        <f t="shared" si="54"/>
        <v>-</v>
      </c>
      <c r="BK86" s="378" t="s">
        <v>158</v>
      </c>
      <c r="BL86" s="378">
        <v>83</v>
      </c>
      <c r="BM86" s="487" t="str">
        <f t="array" aca="1" ref="BM86" ca="1">IFERROR(INDEX(Calculation_Tab,SMALL(ROW(ToPool)*(ToPool&lt;&gt;"-"),COUNTIF(ToPool,"-")+ROW()-3)-9,3),"-")</f>
        <v>-</v>
      </c>
      <c r="BN86" s="378" t="str">
        <f t="shared" ca="1" si="55"/>
        <v>-</v>
      </c>
      <c r="BO86" s="378" t="str">
        <f t="shared" ca="1" si="56"/>
        <v>-</v>
      </c>
      <c r="BP86" s="523" t="str">
        <f t="shared" ca="1" si="57"/>
        <v>-</v>
      </c>
      <c r="BQ86" s="378" t="str">
        <f t="array" aca="1" ref="BQ86" ca="1">IFERROR(INDEX(BE:BG,MATCH(INDEX(Calculation_Tab,SMALL(ROW(ToPool)*(ToPool&lt;&gt;"-"),COUNTIF(ToPool,"-")+ROW()-3)-9,9),BG:BG,0),2),"-")</f>
        <v>-</v>
      </c>
      <c r="BR86" s="510" t="str">
        <f t="shared" ca="1" si="58"/>
        <v>-</v>
      </c>
      <c r="BS86" s="511" t="str">
        <f t="shared" ca="1" si="59"/>
        <v>-</v>
      </c>
      <c r="BT86" s="378" t="s">
        <v>164</v>
      </c>
      <c r="BU86" s="487" t="str">
        <f t="shared" ca="1" si="63"/>
        <v>-</v>
      </c>
      <c r="BV86" s="487" t="str">
        <f t="array" aca="1" ref="BV8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86" s="378" t="str">
        <f t="shared" ca="1" si="60"/>
        <v>-</v>
      </c>
      <c r="BX86" s="378" t="str">
        <f t="shared" ca="1" si="61"/>
        <v>-</v>
      </c>
      <c r="BY86" s="510" t="str">
        <f ca="1">IFERROR(ROUND(INDEX(Cluster,MATCH(IF(LEFT(BV86,4)="Pool",INDEX(Cluster,MATCH(INDEX(Calculation_Tab,MATCH(INDEX($BE$4:$BJ$99,MATCH(BV86,$BE$4:$BE$99,0),3),Flow_Cell_Lane,0),3),Cluster!$F$29:$F$412,0),6),BV86),Identifier_Cluster,0),19)*IF(LEFT(BV86,4)="pool",IF(LEN(INDEX($BE$4:$BJ$99,MATCH(BV86,$BE$4:$BE$99,0),3))=10,2,IF(LEN(INDEX($BE$4:$BJ$99,MATCH(BV86,$BE$4:$BE$99,0),3))&gt;10,LEN(INDEX($BE$4:$BJ$99,MATCH(BV86,$BE$4:$BE$99,0),3))-8,1)),1)*IF(LEFT(BV86,4)="pool",IF(INDEX($BE$4:$BJ$99,MATCH(BV86,$BE$4:$BE$99,0),6)&lt;1,1,INDEX($BE$4:$BJ$99,MATCH(BV86,$BE$4:$BE$99,0),6)),INDEX(Calculation_Tab,MATCH(BV86,Identifier,0),10)),1)*(1+Calculation!$Q$6),"-")</f>
        <v>-</v>
      </c>
      <c r="BZ86" s="378" t="str">
        <f ca="1">IFERROR((0.5/50)*CE86/Calculation!$AG$6*(IF(LEFT(BV86,4)="Pool",IF(LEN(INDEX($BE$4:$BJ$99,MATCH(BV86,$BE$4:$BE$99,0),3))=10,2,IF(LEN(INDEX($BE$4:$BJ$99,MATCH(BV86,$BE$4:$BE$99,0),3))&gt;10,LEN(INDEX($BE$4:$BJ$99,MATCH(BV86,$BE$4:$BE$99,0),3))-8,1)),IF(INDEX(Calculation_Tab,MATCH(BV86,Identifier,0),10)&gt;1,INDEX(Calculation_Tab,MATCH(BV86,Identifier,0),10),1)))*(1+Calculation!$Q$6),"-")</f>
        <v>-</v>
      </c>
      <c r="CA86" s="510" t="str">
        <f ca="1">IFERROR(IF((BZ86*Calculation!$AG$6/0.05)-SUM(BY86:BZ86,CC86)&gt;0,(BZ86*Calculation!$AG$6/0.05)-SUM(BY86:BZ86,CC86),0),"-")</f>
        <v>-</v>
      </c>
      <c r="CB86" s="510" t="str">
        <f ca="1">IFERROR(5/50*CE86*(IF(LEFT(BV86,4)="Pool",IF(LEN(INDEX($BE$4:$BJ$99,MATCH(BV86,$BE$4:$BE$99,0),3))=10,2,IF(LEN(INDEX($BE$4:$BJ$99,MATCH(BV86,$BE$4:$BE$99,0),3))&gt;10,LEN(INDEX($BE$4:$BJ$99,MATCH(BV86,$BE$4:$BE$99,0),3))-8,1)),IF(INDEX(Calculation_Tab,MATCH(BV86,Identifier,0),10)&gt;1,INDEX(Calculation_Tab,MATCH(BV86,Identifier,0),10),1)))*(1+Calculation!$Q$6),"-")</f>
        <v>-</v>
      </c>
      <c r="CC86" s="508" t="str">
        <f ca="1">IFERROR(ROUND(INDEX(Cluster,MATCH(IF(LEFT(BV86,4)="Pool",INDEX(Cluster,MATCH(INDEX(Calculation_Tab,MATCH(INDEX($BE$4:$BJ$99,MATCH(BV86,$BE$4:$BE$99,0),3),Flow_Cell_Lane,0),3),Cluster!$F$29:$F$412,0),6),BV86),Identifier_Cluster,0),20)*IF(LEFT(BV86,4)="pool",IF(LEN(INDEX($BE$4:$BJ$99,MATCH(BV86,$BE$4:$BE$99,0),3))=10,2,IF(LEN(INDEX($BE$4:$BJ$99,MATCH(BV86,$BE$4:$BE$99,0),3))&gt;10,LEN(INDEX($BE$4:$BJ$99,MATCH(BV86,$BE$4:$BE$99,0),3))-8,1)),1)*IF(LEFT(BV86,4)="pool",IF(INDEX($BE$4:$BJ$99,MATCH(BV86,$BE$4:$BE$99,0),6)&lt;1,1,INDEX($BE$4:$BJ$99,MATCH(BV86,$BE$4:$BE$99,0),6)),INDEX(Calculation_Tab,MATCH(BV86,Identifier,0),10)),1)*(1+Calculation!$Q$6),"-")</f>
        <v>-</v>
      </c>
      <c r="CD86" s="509" t="str">
        <f ca="1">IFERROR(INDEX(Cluster!AC:AD,MATCH(IF(LEFT(BV86,4)="Pool",INDEX(Cluster!$D$29:$AA$412,MATCH(INDEX(Calculation_Tab,MATCH(INDEX($BE$4:$BJ$99,MATCH(BV86,$BE$4:$BE$99,0),3),Flow_Cell_Lane,0),3),Cluster!$F$29:$F$412,0),24),INDEX(Cluster!$D$29:$AA$412,MATCH(BV86,Cluster!$F$29:$F$412,0),24)),Cluster!AC:AC,0),2),"-")</f>
        <v>-</v>
      </c>
      <c r="CE86" s="378" t="str">
        <f ca="1">IFERROR(IF(BV86&lt;&gt;"-",Calculation!$AK$6,"-"),"-")</f>
        <v>-</v>
      </c>
      <c r="CF86" s="378" t="str">
        <f ca="1">IF(OR(LEFT(ListAndConversion!BW86,3)="Dil",LEFT(ListAndConversion!BW86,3)="Poo"),ListAndConversion!$BT$4,IF(LEFT(ListAndConversion!BW86,3)="Sou",INDEX(ListAndConversion!$AT$3:$AV$387,MATCH(ListAndConversion!BV86,ListAndConversion!$AV$3:$AV$387,0),1),"-"))</f>
        <v>-</v>
      </c>
      <c r="CG86" s="498" t="str">
        <f ca="1">IF(OR(LEFT(ListAndConversion!BW86,3)="Dil",LEFT(ListAndConversion!BW86,3)="Poo"),ListAndConversion!BU86,IF(LEFT(ListAndConversion!BW86,3)="Sou",INDEX(ListAndConversion!$AT$4:$AV$387,MATCH(ListAndConversion!BV86,ListAndConversion!$AV$4:$AV$387,0),2),"-"))</f>
        <v>-</v>
      </c>
      <c r="CH86" s="378"/>
      <c r="CI86" s="487" t="str">
        <f t="shared" ca="1" si="62"/>
        <v>-</v>
      </c>
      <c r="CJ86" s="378" t="str">
        <f t="shared" ca="1" si="69"/>
        <v>-</v>
      </c>
      <c r="CK86" s="378" t="str">
        <f t="shared" ca="1" si="69"/>
        <v>-</v>
      </c>
      <c r="CL86" s="378" t="str">
        <f t="shared" ca="1" si="69"/>
        <v>-</v>
      </c>
      <c r="CM86" s="378" t="str">
        <f t="shared" ca="1" si="69"/>
        <v>-</v>
      </c>
      <c r="CN86" s="378" t="str">
        <f t="shared" ca="1" si="69"/>
        <v>-</v>
      </c>
      <c r="CO86" s="378" t="str">
        <f t="shared" ca="1" si="69"/>
        <v>-</v>
      </c>
      <c r="CP86" s="378" t="str">
        <f t="shared" ca="1" si="69"/>
        <v>-</v>
      </c>
      <c r="CQ86" s="378" t="str">
        <f t="shared" ca="1" si="69"/>
        <v>-</v>
      </c>
      <c r="CR86" s="510" t="str">
        <f ca="1">IFERROR(IF(LEFT(BW86,3)="Poo",INDEX($BE$4:$BJ$99,MATCH(CI86,$BG$4:$BG$99,0),6)*((15/50))*Calculation!$AK$6,INDEX(Calculation_Tab,MATCH(BV86,Identifier,0),10)/(IF(LEN(INDEX(Calculation_Tab,MATCH(BV86,Identifier,0),9))&gt;8,LEN(INDEX(Calculation_Tab,MATCH(BV86,Identifier,0),9))-8,1))*((15/50)*Calculation!$AK$6)),"-")</f>
        <v>-</v>
      </c>
      <c r="CS86" s="498" t="str">
        <f ca="1">IF(CI86="-","-",IF(COUNTIF($CI$3:CI86,CI86)&gt;1,0,IFERROR((35/50)*Calculation!$AK$6,"-")))</f>
        <v>-</v>
      </c>
    </row>
    <row r="87" spans="4:97" x14ac:dyDescent="0.5">
      <c r="D87" s="487" t="e">
        <f t="shared" si="44"/>
        <v>#DIV/0!</v>
      </c>
      <c r="E87" s="496" t="e">
        <f t="array" ref="E87">IF(IF((ROW(E87)-3)&lt;(ListAndConversion!$A$15),INDEX(Flow_Cell_Lane,MIN(IF(COUNTIF($E$2:E86,Flow_Cell_Lane)=0,ROW(Flow_Cell_Lane)-9))),"-")="","-",IF((ROW(E87)-3)&lt;(ListAndConversion!$A$15),INDEX(Flow_Cell_Lane,MIN(IF(COUNTIF($E$2:E86,Flow_Cell_Lane)=0,ROW(Flow_Cell_Lane)-9))),"-"))</f>
        <v>#DIV/0!</v>
      </c>
      <c r="F87" s="378" t="e">
        <f t="shared" si="45"/>
        <v>#DIV/0!</v>
      </c>
      <c r="G87" s="378" t="e">
        <f t="shared" si="67"/>
        <v>#DIV/0!</v>
      </c>
      <c r="H87" s="378" t="e">
        <f t="shared" si="67"/>
        <v>#DIV/0!</v>
      </c>
      <c r="I87" s="378" t="e">
        <f t="shared" si="67"/>
        <v>#DIV/0!</v>
      </c>
      <c r="J87" s="378" t="e">
        <f t="shared" si="67"/>
        <v>#DIV/0!</v>
      </c>
      <c r="K87" s="378" t="e">
        <f t="shared" si="67"/>
        <v>#DIV/0!</v>
      </c>
      <c r="L87" s="378" t="e">
        <f t="shared" si="67"/>
        <v>#DIV/0!</v>
      </c>
      <c r="M87" s="378" t="e">
        <f t="shared" si="67"/>
        <v>#DIV/0!</v>
      </c>
      <c r="N87" s="497" t="e">
        <f t="shared" si="46"/>
        <v>#DIV/0!</v>
      </c>
      <c r="O87" s="497" t="str">
        <f t="array" ref="O87">IFERROR(INDEX(Calculation!I:AN,MATCH(ListAndConversion!E87,Calculation!I:I,0),31),"-")</f>
        <v>-</v>
      </c>
      <c r="P87" s="498">
        <f>IF(COUNTIFS(Calculation!$I$10:$I$393,E87,Direct_Denaturation,"-")&lt;&gt;1,COUNTIFS(Calculation!$I$10:$I$393,E87,Direct_Denaturation,"-"),0)</f>
        <v>0</v>
      </c>
      <c r="Q87" s="378"/>
      <c r="R87" s="487" t="e">
        <f t="array" ref="R87">IF(IF((ROW(R87)-3)&lt;(Calculation!$H$6),INDEX(Flow_Cell,MIN(IF(COUNTIF($R$2:R86,Flow_Cell)=0,ROW(Flow_Cell)-9))),"-")="","-",IF((ROW(R87)-3)&lt;(Calculation!$H$6),INDEX(Flow_Cell,MIN(IF(COUNTIF($R$2:R86,Flow_Cell)=0,ROW(Flow_Cell)-9))),"-"))</f>
        <v>#DIV/0!</v>
      </c>
      <c r="S87" s="378" t="e">
        <f t="shared" si="68"/>
        <v>#DIV/0!</v>
      </c>
      <c r="T87" s="378">
        <v>5</v>
      </c>
      <c r="U87" s="498">
        <v>85</v>
      </c>
      <c r="V87" s="487">
        <v>84</v>
      </c>
      <c r="W87" s="497" t="s">
        <v>287</v>
      </c>
      <c r="X87" s="497" t="s">
        <v>453</v>
      </c>
      <c r="Y87" s="378">
        <v>84</v>
      </c>
      <c r="Z87" s="378" t="str">
        <f t="shared" ca="1" si="48"/>
        <v>-</v>
      </c>
      <c r="AA87" s="508" t="str">
        <f t="array" aca="1" ref="AA87" ca="1">IFERROR(INDEX(Calculation_Tab,SMALL(ROW(Sample_Intermediate_Dil)*(Sample_Intermediate_Dil&lt;&gt;"-"),COUNTIF(Sample_Intermediate_Dil,"-")+ROW()-3)-9,5),"-")</f>
        <v>-</v>
      </c>
      <c r="AB87" s="378" t="str">
        <f t="array" aca="1" ref="AB87" ca="1">IFERROR(INDEX($A$3:$B$12,MATCH(INDEX(Calculation_Tab,SMALL(ROW(Sample_Intermediate_Dil)*(Sample_Intermediate_Dil&lt;&gt;"-"),COUNTIF(Sample_Intermediate_Dil,"-")+ROW()-3)-9,5),$A$3:$A$12,0),2),"-")</f>
        <v>-</v>
      </c>
      <c r="AC87" s="509" t="str">
        <f t="array" aca="1" ref="AC87" ca="1">IFERROR(INDEX(Coordinate,MATCH(INDEX(Calculation_Tab,SMALL(ROW(Sample_Intermediate_Dil)*(Sample_Intermediate_Dil&lt;&gt;"-"),COUNTIF(Sample_Intermediate_Dil,"-")+ROW()-3)-9,6),$X$4:$X$99,0),2),"-")</f>
        <v>-</v>
      </c>
      <c r="AD87" s="510" t="str">
        <f t="array" aca="1" ref="AD87" ca="1">IFERROR(INDEX(Calculation_Tab,SMALL(ROW(Sample_Intermediate_Dil)*(Sample_Intermediate_Dil&lt;&gt;"-"),COUNTIF(Sample_Intermediate_Dil,"-")+ROW()-3)-9,24),"-")</f>
        <v>-</v>
      </c>
      <c r="AE87" s="510" t="str">
        <f t="array" aca="1" ref="AE87" ca="1">IFERROR(INDEX(Calculation_Tab,SMALL(ROW(Sample_Intermediate_Dil)*(Sample_Intermediate_Dil&lt;&gt;"-"),COUNTIF(Sample_Intermediate_Dil,"-")+ROW()-3)-9,25),"-")</f>
        <v>-</v>
      </c>
      <c r="AF87" s="510" t="str">
        <f t="array" aca="1" ref="AF87" ca="1">IFERROR(INDEX(Calculation_Tab,SMALL(ROW(Sample_Intermediate_Dil)*(Sample_Intermediate_Dil&lt;&gt;"-"),COUNTIF(Sample_Intermediate_Dil,"-")+ROW()-3)-9,26),"-")</f>
        <v>-</v>
      </c>
      <c r="AG87" s="511" t="str">
        <f t="array" aca="1" ref="AG87" ca="1">IFERROR(INDEX(Calculation_Tab,SMALL(ROW(Sample_Intermediate_Dil)*(Sample_Intermediate_Dil&lt;&gt;"-"),COUNTIF(Sample_Intermediate_Dil,"-")+ROW()-3)-9,27),"-")</f>
        <v>-</v>
      </c>
      <c r="AI87" s="487">
        <v>84</v>
      </c>
      <c r="AJ87" s="497" t="s">
        <v>160</v>
      </c>
      <c r="AK87" s="378">
        <v>84</v>
      </c>
      <c r="AL87" s="378" t="str">
        <f t="shared" ca="1" si="49"/>
        <v>-</v>
      </c>
      <c r="AM87" s="378" t="str">
        <f t="array" aca="1" ref="AM87" ca="1">IFERROR(IF(AI87&lt;=$AB$2,"-",INDEX(Calculation_Tab,SMALL(ROW(Main_Dil)*(Main_Dil&lt;&gt;"-"),COUNTIF(Main_Dil,"-")+ROW()-3-$AB$2)-9,5)),"-")</f>
        <v>-</v>
      </c>
      <c r="AN87" s="378" t="str">
        <f t="array" aca="1" ref="AN87" ca="1">IFERROR(IF(AI87&lt;=$AB$2,"-",INDEX($A$3:$B$12,MATCH(INDEX(Calculation_Tab,SMALL(ROW(Main_Dil)*(Main_Dil&lt;&gt;"-"),COUNTIF(Main_Dil,"-")+ROW()-3-$AB$2)-9,5),$A$3:$A$12,0),2)),"-")</f>
        <v>-</v>
      </c>
      <c r="AO87" s="378" t="str">
        <f t="array" aca="1" ref="AO87" ca="1">IFERROR(IF(AI87&lt;=$AB$2,"-",INDEX(Coordinate,MATCH(INDEX(Calculation_Tab,SMALL(ROW(Main_Dil)*(Main_Dil&lt;&gt;"-"),COUNTIF(Main_Dil,"-")+ROW()-3-$AB$2)-9,6),$X$4:$X$99,0),2)),"-")</f>
        <v>-</v>
      </c>
      <c r="AP87" s="510" t="str">
        <f t="array" aca="1" ref="AP87" ca="1">IFERROR(IF(AI87&lt;=$AB$2,"-",INDEX(Calculation_Tab,SMALL(ROW(Main_Dil)*(Main_Dil&lt;&gt;"-"),COUNTIF(Main_Dil,"-")+ROW()-3-$AB$2)-9,21)),"-")</f>
        <v>-</v>
      </c>
      <c r="AQ87" s="511" t="str">
        <f t="array" aca="1" ref="AQ87" ca="1">IFERROR(IF(AI87&lt;=$AB$2,"-",INDEX(Calculation_Tab,SMALL(ROW(Main_Dil)*(Main_Dil&lt;&gt;"-"),COUNTIF(Main_Dil,"-")+ROW()-3-$AB$2)-9,22)),"-")</f>
        <v>-</v>
      </c>
      <c r="AR87" s="487" t="str">
        <f t="shared" ca="1" si="50"/>
        <v>-</v>
      </c>
      <c r="AS87" s="378">
        <v>84</v>
      </c>
      <c r="AT87" s="497" t="s">
        <v>160</v>
      </c>
      <c r="AU87" s="498">
        <v>84</v>
      </c>
      <c r="AV87" s="378" t="str">
        <f t="shared" ca="1" si="51"/>
        <v>-</v>
      </c>
      <c r="AW87" s="378" t="str">
        <f t="array" aca="1" ref="AW87" ca="1">IFERROR(IF(AS87&lt;=$AB$2+$AN$2,"-",INDEX(Calculation_Tab,SMALL(ROW(Direct_Denaturation)*(Direct_Denaturation&lt;&gt;"-"),COUNTIF(Direct_Denaturation,"-")+ROW()-3-$AB$2-$AN$2)-9,5)),"-")</f>
        <v>-</v>
      </c>
      <c r="AX87" s="378" t="str">
        <f t="array" aca="1" ref="AX87" ca="1">IFERROR(IF(AS87&lt;=$AB$2+$AN$2,"-",INDEX($A$3:$B$12,MATCH(INDEX(Calculation_Tab,SMALL(ROW(Direct_Denaturation)*(Direct_Denaturation&lt;&gt;"-"),COUNTIF(Direct_Denaturation,"-")+ROW()-3-$AB$2-$AN$2)-9,5),$A$3:$A$12,0),2)),"-")</f>
        <v>-</v>
      </c>
      <c r="AY87" s="378" t="str">
        <f t="array" aca="1" ref="AY87" ca="1">IFERROR(IF(AS87&lt;=$AB$2+$AN$2,"-",INDEX(Coordinate,MATCH(INDEX(Calculation_Tab,SMALL(ROW(Direct_Denaturation)*(Direct_Denaturation&lt;&gt;"-"),COUNTIF(Direct_Denaturation,"-")+ROW()-3-$AB$2-$AN$2)-9,6),$X$4:$X$99,0),2)),"-")</f>
        <v>-</v>
      </c>
      <c r="AZ87" s="510" t="str">
        <f t="array" aca="1" ref="AZ87" ca="1">IFERROR(IF(AS87&lt;=$AB$2+$AN$2,"-",INDEX(Calculation_Tab,SMALL(ROW(Direct_Denaturation)*(Direct_Denaturation&lt;&gt;"-"),COUNTIF(Direct_Denaturation,"-")+ROW()-3-$AB$2-$AN$2)-9,32)),"-")</f>
        <v>-</v>
      </c>
      <c r="BA87" s="510" t="str">
        <f t="array" aca="1" ref="BA87" ca="1">IFERROR(IF(AS87&lt;=$AB$2+$AN$2,"-",INDEX(Calculation_Tab,SMALL(ROW(Direct_Denaturation)*(Direct_Denaturation&lt;&gt;"-"),COUNTIF(Direct_Denaturation,"-")+ROW()-3-$AB$2-$AN$2)-9,34)),"-")</f>
        <v>-</v>
      </c>
      <c r="BB87" s="510" t="str">
        <f t="array" aca="1" ref="BB87" ca="1">IFERROR(IF(AS87&lt;=$AB$2+$AN$2,"-",INDEX(Calculation_Tab,SMALL(ROW(Direct_Denaturation)*(Direct_Denaturation&lt;&gt;"-"),COUNTIF(Direct_Denaturation,"-")+ROW()-3-$AB$2-$AN$2)-9,33)),"-")</f>
        <v>-</v>
      </c>
      <c r="BC87" s="510" t="str">
        <f t="array" aca="1" ref="BC87" ca="1">IFERROR(IF(AS87&lt;=$AB$2+$AN$2,"-",INDEX(Calculation_Tab,SMALL(ROW(Direct_Denaturation)*(Direct_Denaturation&lt;&gt;"-"),COUNTIF(Direct_Denaturation,"-")+ROW()-3-$AB$2-$AN$2)-9,35)),"-")</f>
        <v>-</v>
      </c>
      <c r="BD87" s="511" t="str">
        <f t="shared" ca="1" si="52"/>
        <v>-</v>
      </c>
      <c r="BE87" s="494" t="s">
        <v>454</v>
      </c>
      <c r="BF87" s="378">
        <v>84</v>
      </c>
      <c r="BG87" s="515" t="str">
        <v>-</v>
      </c>
      <c r="BH87" s="516" t="str">
        <f>IFERROR(IF((Calculation!$AR$6/INDEX(ListAndConversion!D:P,MATCH(BG87,E:E,0),13))&lt;Calculation!$O$6,INDEX(ListAndConversion!D:P,MATCH(BG87,E:E,0),13)*Calculation!$O$6,Calculation!$AR$6),"-")</f>
        <v>-</v>
      </c>
      <c r="BI87" s="517" t="str">
        <f t="shared" si="53"/>
        <v>-</v>
      </c>
      <c r="BJ87" s="518" t="str">
        <f t="shared" si="54"/>
        <v>-</v>
      </c>
      <c r="BK87" s="378" t="s">
        <v>158</v>
      </c>
      <c r="BL87" s="378">
        <v>84</v>
      </c>
      <c r="BM87" s="487" t="str">
        <f t="array" aca="1" ref="BM87" ca="1">IFERROR(INDEX(Calculation_Tab,SMALL(ROW(ToPool)*(ToPool&lt;&gt;"-"),COUNTIF(ToPool,"-")+ROW()-3)-9,3),"-")</f>
        <v>-</v>
      </c>
      <c r="BN87" s="378" t="str">
        <f t="shared" ca="1" si="55"/>
        <v>-</v>
      </c>
      <c r="BO87" s="378" t="str">
        <f t="shared" ca="1" si="56"/>
        <v>-</v>
      </c>
      <c r="BP87" s="523" t="str">
        <f t="shared" ca="1" si="57"/>
        <v>-</v>
      </c>
      <c r="BQ87" s="378" t="str">
        <f t="array" aca="1" ref="BQ87" ca="1">IFERROR(INDEX(BE:BG,MATCH(INDEX(Calculation_Tab,SMALL(ROW(ToPool)*(ToPool&lt;&gt;"-"),COUNTIF(ToPool,"-")+ROW()-3)-9,9),BG:BG,0),2),"-")</f>
        <v>-</v>
      </c>
      <c r="BR87" s="510" t="str">
        <f t="shared" ca="1" si="58"/>
        <v>-</v>
      </c>
      <c r="BS87" s="511" t="str">
        <f t="shared" ca="1" si="59"/>
        <v>-</v>
      </c>
      <c r="BT87" s="378" t="s">
        <v>164</v>
      </c>
      <c r="BU87" s="487" t="str">
        <f t="shared" ca="1" si="63"/>
        <v>-</v>
      </c>
      <c r="BV87" s="487" t="str">
        <f t="array" aca="1" ref="BV8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87" s="378" t="str">
        <f t="shared" ca="1" si="60"/>
        <v>-</v>
      </c>
      <c r="BX87" s="378" t="str">
        <f t="shared" ca="1" si="61"/>
        <v>-</v>
      </c>
      <c r="BY87" s="510" t="str">
        <f ca="1">IFERROR(ROUND(INDEX(Cluster,MATCH(IF(LEFT(BV87,4)="Pool",INDEX(Cluster,MATCH(INDEX(Calculation_Tab,MATCH(INDEX($BE$4:$BJ$99,MATCH(BV87,$BE$4:$BE$99,0),3),Flow_Cell_Lane,0),3),Cluster!$F$29:$F$412,0),6),BV87),Identifier_Cluster,0),19)*IF(LEFT(BV87,4)="pool",IF(LEN(INDEX($BE$4:$BJ$99,MATCH(BV87,$BE$4:$BE$99,0),3))=10,2,IF(LEN(INDEX($BE$4:$BJ$99,MATCH(BV87,$BE$4:$BE$99,0),3))&gt;10,LEN(INDEX($BE$4:$BJ$99,MATCH(BV87,$BE$4:$BE$99,0),3))-8,1)),1)*IF(LEFT(BV87,4)="pool",IF(INDEX($BE$4:$BJ$99,MATCH(BV87,$BE$4:$BE$99,0),6)&lt;1,1,INDEX($BE$4:$BJ$99,MATCH(BV87,$BE$4:$BE$99,0),6)),INDEX(Calculation_Tab,MATCH(BV87,Identifier,0),10)),1)*(1+Calculation!$Q$6),"-")</f>
        <v>-</v>
      </c>
      <c r="BZ87" s="378" t="str">
        <f ca="1">IFERROR((0.5/50)*CE87/Calculation!$AG$6*(IF(LEFT(BV87,4)="Pool",IF(LEN(INDEX($BE$4:$BJ$99,MATCH(BV87,$BE$4:$BE$99,0),3))=10,2,IF(LEN(INDEX($BE$4:$BJ$99,MATCH(BV87,$BE$4:$BE$99,0),3))&gt;10,LEN(INDEX($BE$4:$BJ$99,MATCH(BV87,$BE$4:$BE$99,0),3))-8,1)),IF(INDEX(Calculation_Tab,MATCH(BV87,Identifier,0),10)&gt;1,INDEX(Calculation_Tab,MATCH(BV87,Identifier,0),10),1)))*(1+Calculation!$Q$6),"-")</f>
        <v>-</v>
      </c>
      <c r="CA87" s="510" t="str">
        <f ca="1">IFERROR(IF((BZ87*Calculation!$AG$6/0.05)-SUM(BY87:BZ87,CC87)&gt;0,(BZ87*Calculation!$AG$6/0.05)-SUM(BY87:BZ87,CC87),0),"-")</f>
        <v>-</v>
      </c>
      <c r="CB87" s="510" t="str">
        <f ca="1">IFERROR(5/50*CE87*(IF(LEFT(BV87,4)="Pool",IF(LEN(INDEX($BE$4:$BJ$99,MATCH(BV87,$BE$4:$BE$99,0),3))=10,2,IF(LEN(INDEX($BE$4:$BJ$99,MATCH(BV87,$BE$4:$BE$99,0),3))&gt;10,LEN(INDEX($BE$4:$BJ$99,MATCH(BV87,$BE$4:$BE$99,0),3))-8,1)),IF(INDEX(Calculation_Tab,MATCH(BV87,Identifier,0),10)&gt;1,INDEX(Calculation_Tab,MATCH(BV87,Identifier,0),10),1)))*(1+Calculation!$Q$6),"-")</f>
        <v>-</v>
      </c>
      <c r="CC87" s="508" t="str">
        <f ca="1">IFERROR(ROUND(INDEX(Cluster,MATCH(IF(LEFT(BV87,4)="Pool",INDEX(Cluster,MATCH(INDEX(Calculation_Tab,MATCH(INDEX($BE$4:$BJ$99,MATCH(BV87,$BE$4:$BE$99,0),3),Flow_Cell_Lane,0),3),Cluster!$F$29:$F$412,0),6),BV87),Identifier_Cluster,0),20)*IF(LEFT(BV87,4)="pool",IF(LEN(INDEX($BE$4:$BJ$99,MATCH(BV87,$BE$4:$BE$99,0),3))=10,2,IF(LEN(INDEX($BE$4:$BJ$99,MATCH(BV87,$BE$4:$BE$99,0),3))&gt;10,LEN(INDEX($BE$4:$BJ$99,MATCH(BV87,$BE$4:$BE$99,0),3))-8,1)),1)*IF(LEFT(BV87,4)="pool",IF(INDEX($BE$4:$BJ$99,MATCH(BV87,$BE$4:$BE$99,0),6)&lt;1,1,INDEX($BE$4:$BJ$99,MATCH(BV87,$BE$4:$BE$99,0),6)),INDEX(Calculation_Tab,MATCH(BV87,Identifier,0),10)),1)*(1+Calculation!$Q$6),"-")</f>
        <v>-</v>
      </c>
      <c r="CD87" s="509" t="str">
        <f ca="1">IFERROR(INDEX(Cluster!AC:AD,MATCH(IF(LEFT(BV87,4)="Pool",INDEX(Cluster!$D$29:$AA$412,MATCH(INDEX(Calculation_Tab,MATCH(INDEX($BE$4:$BJ$99,MATCH(BV87,$BE$4:$BE$99,0),3),Flow_Cell_Lane,0),3),Cluster!$F$29:$F$412,0),24),INDEX(Cluster!$D$29:$AA$412,MATCH(BV87,Cluster!$F$29:$F$412,0),24)),Cluster!AC:AC,0),2),"-")</f>
        <v>-</v>
      </c>
      <c r="CE87" s="378" t="str">
        <f ca="1">IFERROR(IF(BV87&lt;&gt;"-",Calculation!$AK$6,"-"),"-")</f>
        <v>-</v>
      </c>
      <c r="CF87" s="378" t="str">
        <f ca="1">IF(OR(LEFT(ListAndConversion!BW87,3)="Dil",LEFT(ListAndConversion!BW87,3)="Poo"),ListAndConversion!$BT$4,IF(LEFT(ListAndConversion!BW87,3)="Sou",INDEX(ListAndConversion!$AT$3:$AV$387,MATCH(ListAndConversion!BV87,ListAndConversion!$AV$3:$AV$387,0),1),"-"))</f>
        <v>-</v>
      </c>
      <c r="CG87" s="498" t="str">
        <f ca="1">IF(OR(LEFT(ListAndConversion!BW87,3)="Dil",LEFT(ListAndConversion!BW87,3)="Poo"),ListAndConversion!BU87,IF(LEFT(ListAndConversion!BW87,3)="Sou",INDEX(ListAndConversion!$AT$4:$AV$387,MATCH(ListAndConversion!BV87,ListAndConversion!$AV$4:$AV$387,0),2),"-"))</f>
        <v>-</v>
      </c>
      <c r="CH87" s="378"/>
      <c r="CI87" s="487" t="str">
        <f t="shared" ca="1" si="62"/>
        <v>-</v>
      </c>
      <c r="CJ87" s="378" t="str">
        <f t="shared" ca="1" si="69"/>
        <v>-</v>
      </c>
      <c r="CK87" s="378" t="str">
        <f t="shared" ca="1" si="69"/>
        <v>-</v>
      </c>
      <c r="CL87" s="378" t="str">
        <f t="shared" ca="1" si="69"/>
        <v>-</v>
      </c>
      <c r="CM87" s="378" t="str">
        <f t="shared" ca="1" si="69"/>
        <v>-</v>
      </c>
      <c r="CN87" s="378" t="str">
        <f t="shared" ca="1" si="69"/>
        <v>-</v>
      </c>
      <c r="CO87" s="378" t="str">
        <f t="shared" ca="1" si="69"/>
        <v>-</v>
      </c>
      <c r="CP87" s="378" t="str">
        <f t="shared" ca="1" si="69"/>
        <v>-</v>
      </c>
      <c r="CQ87" s="378" t="str">
        <f t="shared" ca="1" si="69"/>
        <v>-</v>
      </c>
      <c r="CR87" s="510" t="str">
        <f ca="1">IFERROR(IF(LEFT(BW87,3)="Poo",INDEX($BE$4:$BJ$99,MATCH(CI87,$BG$4:$BG$99,0),6)*((15/50))*Calculation!$AK$6,INDEX(Calculation_Tab,MATCH(BV87,Identifier,0),10)/(IF(LEN(INDEX(Calculation_Tab,MATCH(BV87,Identifier,0),9))&gt;8,LEN(INDEX(Calculation_Tab,MATCH(BV87,Identifier,0),9))-8,1))*((15/50)*Calculation!$AK$6)),"-")</f>
        <v>-</v>
      </c>
      <c r="CS87" s="498" t="str">
        <f ca="1">IF(CI87="-","-",IF(COUNTIF($CI$3:CI87,CI87)&gt;1,0,IFERROR((35/50)*Calculation!$AK$6,"-")))</f>
        <v>-</v>
      </c>
    </row>
    <row r="88" spans="4:97" x14ac:dyDescent="0.5">
      <c r="D88" s="487" t="e">
        <f t="shared" si="44"/>
        <v>#DIV/0!</v>
      </c>
      <c r="E88" s="496" t="e">
        <f t="array" ref="E88">IF(IF((ROW(E88)-3)&lt;(ListAndConversion!$A$15),INDEX(Flow_Cell_Lane,MIN(IF(COUNTIF($E$2:E87,Flow_Cell_Lane)=0,ROW(Flow_Cell_Lane)-9))),"-")="","-",IF((ROW(E88)-3)&lt;(ListAndConversion!$A$15),INDEX(Flow_Cell_Lane,MIN(IF(COUNTIF($E$2:E87,Flow_Cell_Lane)=0,ROW(Flow_Cell_Lane)-9))),"-"))</f>
        <v>#DIV/0!</v>
      </c>
      <c r="F88" s="378" t="e">
        <f t="shared" si="45"/>
        <v>#DIV/0!</v>
      </c>
      <c r="G88" s="378" t="e">
        <f t="shared" si="67"/>
        <v>#DIV/0!</v>
      </c>
      <c r="H88" s="378" t="e">
        <f t="shared" si="67"/>
        <v>#DIV/0!</v>
      </c>
      <c r="I88" s="378" t="e">
        <f t="shared" si="67"/>
        <v>#DIV/0!</v>
      </c>
      <c r="J88" s="378" t="e">
        <f t="shared" si="67"/>
        <v>#DIV/0!</v>
      </c>
      <c r="K88" s="378" t="e">
        <f t="shared" si="67"/>
        <v>#DIV/0!</v>
      </c>
      <c r="L88" s="378" t="e">
        <f t="shared" si="67"/>
        <v>#DIV/0!</v>
      </c>
      <c r="M88" s="378" t="e">
        <f t="shared" si="67"/>
        <v>#DIV/0!</v>
      </c>
      <c r="N88" s="497" t="e">
        <f t="shared" si="46"/>
        <v>#DIV/0!</v>
      </c>
      <c r="O88" s="497" t="str">
        <f t="array" ref="O88">IFERROR(INDEX(Calculation!I:AN,MATCH(ListAndConversion!E88,Calculation!I:I,0),31),"-")</f>
        <v>-</v>
      </c>
      <c r="P88" s="498">
        <f>IF(COUNTIFS(Calculation!$I$10:$I$393,E88,Direct_Denaturation,"-")&lt;&gt;1,COUNTIFS(Calculation!$I$10:$I$393,E88,Direct_Denaturation,"-"),0)</f>
        <v>0</v>
      </c>
      <c r="Q88" s="378"/>
      <c r="R88" s="487" t="e">
        <f t="array" ref="R88">IF(IF((ROW(R88)-3)&lt;(Calculation!$H$6),INDEX(Flow_Cell,MIN(IF(COUNTIF($R$2:R87,Flow_Cell)=0,ROW(Flow_Cell)-9))),"-")="","-",IF((ROW(R88)-3)&lt;(Calculation!$H$6),INDEX(Flow_Cell,MIN(IF(COUNTIF($R$2:R87,Flow_Cell)=0,ROW(Flow_Cell)-9))),"-"))</f>
        <v>#DIV/0!</v>
      </c>
      <c r="S88" s="378" t="e">
        <f t="shared" si="68"/>
        <v>#DIV/0!</v>
      </c>
      <c r="T88" s="378">
        <v>6</v>
      </c>
      <c r="U88" s="498">
        <v>86</v>
      </c>
      <c r="V88" s="487">
        <v>85</v>
      </c>
      <c r="W88" s="497" t="s">
        <v>287</v>
      </c>
      <c r="X88" s="497" t="s">
        <v>455</v>
      </c>
      <c r="Y88" s="378">
        <v>85</v>
      </c>
      <c r="Z88" s="378" t="str">
        <f t="shared" ca="1" si="48"/>
        <v>-</v>
      </c>
      <c r="AA88" s="508" t="str">
        <f t="array" aca="1" ref="AA88" ca="1">IFERROR(INDEX(Calculation_Tab,SMALL(ROW(Sample_Intermediate_Dil)*(Sample_Intermediate_Dil&lt;&gt;"-"),COUNTIF(Sample_Intermediate_Dil,"-")+ROW()-3)-9,5),"-")</f>
        <v>-</v>
      </c>
      <c r="AB88" s="378" t="str">
        <f t="array" aca="1" ref="AB88" ca="1">IFERROR(INDEX($A$3:$B$12,MATCH(INDEX(Calculation_Tab,SMALL(ROW(Sample_Intermediate_Dil)*(Sample_Intermediate_Dil&lt;&gt;"-"),COUNTIF(Sample_Intermediate_Dil,"-")+ROW()-3)-9,5),$A$3:$A$12,0),2),"-")</f>
        <v>-</v>
      </c>
      <c r="AC88" s="509" t="str">
        <f t="array" aca="1" ref="AC88" ca="1">IFERROR(INDEX(Coordinate,MATCH(INDEX(Calculation_Tab,SMALL(ROW(Sample_Intermediate_Dil)*(Sample_Intermediate_Dil&lt;&gt;"-"),COUNTIF(Sample_Intermediate_Dil,"-")+ROW()-3)-9,6),$X$4:$X$99,0),2),"-")</f>
        <v>-</v>
      </c>
      <c r="AD88" s="510" t="str">
        <f t="array" aca="1" ref="AD88" ca="1">IFERROR(INDEX(Calculation_Tab,SMALL(ROW(Sample_Intermediate_Dil)*(Sample_Intermediate_Dil&lt;&gt;"-"),COUNTIF(Sample_Intermediate_Dil,"-")+ROW()-3)-9,24),"-")</f>
        <v>-</v>
      </c>
      <c r="AE88" s="510" t="str">
        <f t="array" aca="1" ref="AE88" ca="1">IFERROR(INDEX(Calculation_Tab,SMALL(ROW(Sample_Intermediate_Dil)*(Sample_Intermediate_Dil&lt;&gt;"-"),COUNTIF(Sample_Intermediate_Dil,"-")+ROW()-3)-9,25),"-")</f>
        <v>-</v>
      </c>
      <c r="AF88" s="510" t="str">
        <f t="array" aca="1" ref="AF88" ca="1">IFERROR(INDEX(Calculation_Tab,SMALL(ROW(Sample_Intermediate_Dil)*(Sample_Intermediate_Dil&lt;&gt;"-"),COUNTIF(Sample_Intermediate_Dil,"-")+ROW()-3)-9,26),"-")</f>
        <v>-</v>
      </c>
      <c r="AG88" s="511" t="str">
        <f t="array" aca="1" ref="AG88" ca="1">IFERROR(INDEX(Calculation_Tab,SMALL(ROW(Sample_Intermediate_Dil)*(Sample_Intermediate_Dil&lt;&gt;"-"),COUNTIF(Sample_Intermediate_Dil,"-")+ROW()-3)-9,27),"-")</f>
        <v>-</v>
      </c>
      <c r="AI88" s="487">
        <v>85</v>
      </c>
      <c r="AJ88" s="497" t="s">
        <v>160</v>
      </c>
      <c r="AK88" s="378">
        <v>85</v>
      </c>
      <c r="AL88" s="378" t="str">
        <f t="shared" ca="1" si="49"/>
        <v>-</v>
      </c>
      <c r="AM88" s="378" t="str">
        <f t="array" aca="1" ref="AM88" ca="1">IFERROR(IF(AI88&lt;=$AB$2,"-",INDEX(Calculation_Tab,SMALL(ROW(Main_Dil)*(Main_Dil&lt;&gt;"-"),COUNTIF(Main_Dil,"-")+ROW()-3-$AB$2)-9,5)),"-")</f>
        <v>-</v>
      </c>
      <c r="AN88" s="378" t="str">
        <f t="array" aca="1" ref="AN88" ca="1">IFERROR(IF(AI88&lt;=$AB$2,"-",INDEX($A$3:$B$12,MATCH(INDEX(Calculation_Tab,SMALL(ROW(Main_Dil)*(Main_Dil&lt;&gt;"-"),COUNTIF(Main_Dil,"-")+ROW()-3-$AB$2)-9,5),$A$3:$A$12,0),2)),"-")</f>
        <v>-</v>
      </c>
      <c r="AO88" s="378" t="str">
        <f t="array" aca="1" ref="AO88" ca="1">IFERROR(IF(AI88&lt;=$AB$2,"-",INDEX(Coordinate,MATCH(INDEX(Calculation_Tab,SMALL(ROW(Main_Dil)*(Main_Dil&lt;&gt;"-"),COUNTIF(Main_Dil,"-")+ROW()-3-$AB$2)-9,6),$X$4:$X$99,0),2)),"-")</f>
        <v>-</v>
      </c>
      <c r="AP88" s="510" t="str">
        <f t="array" aca="1" ref="AP88" ca="1">IFERROR(IF(AI88&lt;=$AB$2,"-",INDEX(Calculation_Tab,SMALL(ROW(Main_Dil)*(Main_Dil&lt;&gt;"-"),COUNTIF(Main_Dil,"-")+ROW()-3-$AB$2)-9,21)),"-")</f>
        <v>-</v>
      </c>
      <c r="AQ88" s="511" t="str">
        <f t="array" aca="1" ref="AQ88" ca="1">IFERROR(IF(AI88&lt;=$AB$2,"-",INDEX(Calculation_Tab,SMALL(ROW(Main_Dil)*(Main_Dil&lt;&gt;"-"),COUNTIF(Main_Dil,"-")+ROW()-3-$AB$2)-9,22)),"-")</f>
        <v>-</v>
      </c>
      <c r="AR88" s="487" t="str">
        <f t="shared" ca="1" si="50"/>
        <v>-</v>
      </c>
      <c r="AS88" s="378">
        <v>85</v>
      </c>
      <c r="AT88" s="497" t="s">
        <v>160</v>
      </c>
      <c r="AU88" s="498">
        <v>85</v>
      </c>
      <c r="AV88" s="378" t="str">
        <f t="shared" ca="1" si="51"/>
        <v>-</v>
      </c>
      <c r="AW88" s="378" t="str">
        <f t="array" aca="1" ref="AW88" ca="1">IFERROR(IF(AS88&lt;=$AB$2+$AN$2,"-",INDEX(Calculation_Tab,SMALL(ROW(Direct_Denaturation)*(Direct_Denaturation&lt;&gt;"-"),COUNTIF(Direct_Denaturation,"-")+ROW()-3-$AB$2-$AN$2)-9,5)),"-")</f>
        <v>-</v>
      </c>
      <c r="AX88" s="378" t="str">
        <f t="array" aca="1" ref="AX88" ca="1">IFERROR(IF(AS88&lt;=$AB$2+$AN$2,"-",INDEX($A$3:$B$12,MATCH(INDEX(Calculation_Tab,SMALL(ROW(Direct_Denaturation)*(Direct_Denaturation&lt;&gt;"-"),COUNTIF(Direct_Denaturation,"-")+ROW()-3-$AB$2-$AN$2)-9,5),$A$3:$A$12,0),2)),"-")</f>
        <v>-</v>
      </c>
      <c r="AY88" s="378" t="str">
        <f t="array" aca="1" ref="AY88" ca="1">IFERROR(IF(AS88&lt;=$AB$2+$AN$2,"-",INDEX(Coordinate,MATCH(INDEX(Calculation_Tab,SMALL(ROW(Direct_Denaturation)*(Direct_Denaturation&lt;&gt;"-"),COUNTIF(Direct_Denaturation,"-")+ROW()-3-$AB$2-$AN$2)-9,6),$X$4:$X$99,0),2)),"-")</f>
        <v>-</v>
      </c>
      <c r="AZ88" s="510" t="str">
        <f t="array" aca="1" ref="AZ88" ca="1">IFERROR(IF(AS88&lt;=$AB$2+$AN$2,"-",INDEX(Calculation_Tab,SMALL(ROW(Direct_Denaturation)*(Direct_Denaturation&lt;&gt;"-"),COUNTIF(Direct_Denaturation,"-")+ROW()-3-$AB$2-$AN$2)-9,32)),"-")</f>
        <v>-</v>
      </c>
      <c r="BA88" s="510" t="str">
        <f t="array" aca="1" ref="BA88" ca="1">IFERROR(IF(AS88&lt;=$AB$2+$AN$2,"-",INDEX(Calculation_Tab,SMALL(ROW(Direct_Denaturation)*(Direct_Denaturation&lt;&gt;"-"),COUNTIF(Direct_Denaturation,"-")+ROW()-3-$AB$2-$AN$2)-9,34)),"-")</f>
        <v>-</v>
      </c>
      <c r="BB88" s="510" t="str">
        <f t="array" aca="1" ref="BB88" ca="1">IFERROR(IF(AS88&lt;=$AB$2+$AN$2,"-",INDEX(Calculation_Tab,SMALL(ROW(Direct_Denaturation)*(Direct_Denaturation&lt;&gt;"-"),COUNTIF(Direct_Denaturation,"-")+ROW()-3-$AB$2-$AN$2)-9,33)),"-")</f>
        <v>-</v>
      </c>
      <c r="BC88" s="510" t="str">
        <f t="array" aca="1" ref="BC88" ca="1">IFERROR(IF(AS88&lt;=$AB$2+$AN$2,"-",INDEX(Calculation_Tab,SMALL(ROW(Direct_Denaturation)*(Direct_Denaturation&lt;&gt;"-"),COUNTIF(Direct_Denaturation,"-")+ROW()-3-$AB$2-$AN$2)-9,35)),"-")</f>
        <v>-</v>
      </c>
      <c r="BD88" s="511" t="str">
        <f t="shared" ca="1" si="52"/>
        <v>-</v>
      </c>
      <c r="BE88" s="494" t="s">
        <v>456</v>
      </c>
      <c r="BF88" s="378">
        <v>85</v>
      </c>
      <c r="BG88" s="515" t="str">
        <v>-</v>
      </c>
      <c r="BH88" s="516" t="str">
        <f>IFERROR(IF((Calculation!$AR$6/INDEX(ListAndConversion!D:P,MATCH(BG88,E:E,0),13))&lt;Calculation!$O$6,INDEX(ListAndConversion!D:P,MATCH(BG88,E:E,0),13)*Calculation!$O$6,Calculation!$AR$6),"-")</f>
        <v>-</v>
      </c>
      <c r="BI88" s="517" t="str">
        <f t="shared" si="53"/>
        <v>-</v>
      </c>
      <c r="BJ88" s="518" t="str">
        <f t="shared" si="54"/>
        <v>-</v>
      </c>
      <c r="BK88" s="378" t="s">
        <v>158</v>
      </c>
      <c r="BL88" s="378">
        <v>85</v>
      </c>
      <c r="BM88" s="487" t="str">
        <f t="array" aca="1" ref="BM88" ca="1">IFERROR(INDEX(Calculation_Tab,SMALL(ROW(ToPool)*(ToPool&lt;&gt;"-"),COUNTIF(ToPool,"-")+ROW()-3)-9,3),"-")</f>
        <v>-</v>
      </c>
      <c r="BN88" s="378" t="str">
        <f t="shared" ca="1" si="55"/>
        <v>-</v>
      </c>
      <c r="BO88" s="378" t="str">
        <f t="shared" ca="1" si="56"/>
        <v>-</v>
      </c>
      <c r="BP88" s="523" t="str">
        <f t="shared" ca="1" si="57"/>
        <v>-</v>
      </c>
      <c r="BQ88" s="378" t="str">
        <f t="array" aca="1" ref="BQ88" ca="1">IFERROR(INDEX(BE:BG,MATCH(INDEX(Calculation_Tab,SMALL(ROW(ToPool)*(ToPool&lt;&gt;"-"),COUNTIF(ToPool,"-")+ROW()-3)-9,9),BG:BG,0),2),"-")</f>
        <v>-</v>
      </c>
      <c r="BR88" s="510" t="str">
        <f t="shared" ca="1" si="58"/>
        <v>-</v>
      </c>
      <c r="BS88" s="511" t="str">
        <f t="shared" ca="1" si="59"/>
        <v>-</v>
      </c>
      <c r="BT88" s="378" t="s">
        <v>164</v>
      </c>
      <c r="BU88" s="487" t="str">
        <f t="shared" ca="1" si="63"/>
        <v>-</v>
      </c>
      <c r="BV88" s="487" t="str">
        <f t="array" aca="1" ref="BV8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88" s="378" t="str">
        <f t="shared" ca="1" si="60"/>
        <v>-</v>
      </c>
      <c r="BX88" s="378" t="str">
        <f t="shared" ca="1" si="61"/>
        <v>-</v>
      </c>
      <c r="BY88" s="510" t="str">
        <f ca="1">IFERROR(ROUND(INDEX(Cluster,MATCH(IF(LEFT(BV88,4)="Pool",INDEX(Cluster,MATCH(INDEX(Calculation_Tab,MATCH(INDEX($BE$4:$BJ$99,MATCH(BV88,$BE$4:$BE$99,0),3),Flow_Cell_Lane,0),3),Cluster!$F$29:$F$412,0),6),BV88),Identifier_Cluster,0),19)*IF(LEFT(BV88,4)="pool",IF(LEN(INDEX($BE$4:$BJ$99,MATCH(BV88,$BE$4:$BE$99,0),3))=10,2,IF(LEN(INDEX($BE$4:$BJ$99,MATCH(BV88,$BE$4:$BE$99,0),3))&gt;10,LEN(INDEX($BE$4:$BJ$99,MATCH(BV88,$BE$4:$BE$99,0),3))-8,1)),1)*IF(LEFT(BV88,4)="pool",IF(INDEX($BE$4:$BJ$99,MATCH(BV88,$BE$4:$BE$99,0),6)&lt;1,1,INDEX($BE$4:$BJ$99,MATCH(BV88,$BE$4:$BE$99,0),6)),INDEX(Calculation_Tab,MATCH(BV88,Identifier,0),10)),1)*(1+Calculation!$Q$6),"-")</f>
        <v>-</v>
      </c>
      <c r="BZ88" s="378" t="str">
        <f ca="1">IFERROR((0.5/50)*CE88/Calculation!$AG$6*(IF(LEFT(BV88,4)="Pool",IF(LEN(INDEX($BE$4:$BJ$99,MATCH(BV88,$BE$4:$BE$99,0),3))=10,2,IF(LEN(INDEX($BE$4:$BJ$99,MATCH(BV88,$BE$4:$BE$99,0),3))&gt;10,LEN(INDEX($BE$4:$BJ$99,MATCH(BV88,$BE$4:$BE$99,0),3))-8,1)),IF(INDEX(Calculation_Tab,MATCH(BV88,Identifier,0),10)&gt;1,INDEX(Calculation_Tab,MATCH(BV88,Identifier,0),10),1)))*(1+Calculation!$Q$6),"-")</f>
        <v>-</v>
      </c>
      <c r="CA88" s="510" t="str">
        <f ca="1">IFERROR(IF((BZ88*Calculation!$AG$6/0.05)-SUM(BY88:BZ88,CC88)&gt;0,(BZ88*Calculation!$AG$6/0.05)-SUM(BY88:BZ88,CC88),0),"-")</f>
        <v>-</v>
      </c>
      <c r="CB88" s="510" t="str">
        <f ca="1">IFERROR(5/50*CE88*(IF(LEFT(BV88,4)="Pool",IF(LEN(INDEX($BE$4:$BJ$99,MATCH(BV88,$BE$4:$BE$99,0),3))=10,2,IF(LEN(INDEX($BE$4:$BJ$99,MATCH(BV88,$BE$4:$BE$99,0),3))&gt;10,LEN(INDEX($BE$4:$BJ$99,MATCH(BV88,$BE$4:$BE$99,0),3))-8,1)),IF(INDEX(Calculation_Tab,MATCH(BV88,Identifier,0),10)&gt;1,INDEX(Calculation_Tab,MATCH(BV88,Identifier,0),10),1)))*(1+Calculation!$Q$6),"-")</f>
        <v>-</v>
      </c>
      <c r="CC88" s="508" t="str">
        <f ca="1">IFERROR(ROUND(INDEX(Cluster,MATCH(IF(LEFT(BV88,4)="Pool",INDEX(Cluster,MATCH(INDEX(Calculation_Tab,MATCH(INDEX($BE$4:$BJ$99,MATCH(BV88,$BE$4:$BE$99,0),3),Flow_Cell_Lane,0),3),Cluster!$F$29:$F$412,0),6),BV88),Identifier_Cluster,0),20)*IF(LEFT(BV88,4)="pool",IF(LEN(INDEX($BE$4:$BJ$99,MATCH(BV88,$BE$4:$BE$99,0),3))=10,2,IF(LEN(INDEX($BE$4:$BJ$99,MATCH(BV88,$BE$4:$BE$99,0),3))&gt;10,LEN(INDEX($BE$4:$BJ$99,MATCH(BV88,$BE$4:$BE$99,0),3))-8,1)),1)*IF(LEFT(BV88,4)="pool",IF(INDEX($BE$4:$BJ$99,MATCH(BV88,$BE$4:$BE$99,0),6)&lt;1,1,INDEX($BE$4:$BJ$99,MATCH(BV88,$BE$4:$BE$99,0),6)),INDEX(Calculation_Tab,MATCH(BV88,Identifier,0),10)),1)*(1+Calculation!$Q$6),"-")</f>
        <v>-</v>
      </c>
      <c r="CD88" s="509" t="str">
        <f ca="1">IFERROR(INDEX(Cluster!AC:AD,MATCH(IF(LEFT(BV88,4)="Pool",INDEX(Cluster!$D$29:$AA$412,MATCH(INDEX(Calculation_Tab,MATCH(INDEX($BE$4:$BJ$99,MATCH(BV88,$BE$4:$BE$99,0),3),Flow_Cell_Lane,0),3),Cluster!$F$29:$F$412,0),24),INDEX(Cluster!$D$29:$AA$412,MATCH(BV88,Cluster!$F$29:$F$412,0),24)),Cluster!AC:AC,0),2),"-")</f>
        <v>-</v>
      </c>
      <c r="CE88" s="378" t="str">
        <f ca="1">IFERROR(IF(BV88&lt;&gt;"-",Calculation!$AK$6,"-"),"-")</f>
        <v>-</v>
      </c>
      <c r="CF88" s="378" t="str">
        <f ca="1">IF(OR(LEFT(ListAndConversion!BW88,3)="Dil",LEFT(ListAndConversion!BW88,3)="Poo"),ListAndConversion!$BT$4,IF(LEFT(ListAndConversion!BW88,3)="Sou",INDEX(ListAndConversion!$AT$3:$AV$387,MATCH(ListAndConversion!BV88,ListAndConversion!$AV$3:$AV$387,0),1),"-"))</f>
        <v>-</v>
      </c>
      <c r="CG88" s="498" t="str">
        <f ca="1">IF(OR(LEFT(ListAndConversion!BW88,3)="Dil",LEFT(ListAndConversion!BW88,3)="Poo"),ListAndConversion!BU88,IF(LEFT(ListAndConversion!BW88,3)="Sou",INDEX(ListAndConversion!$AT$4:$AV$387,MATCH(ListAndConversion!BV88,ListAndConversion!$AV$4:$AV$387,0),2),"-"))</f>
        <v>-</v>
      </c>
      <c r="CH88" s="378"/>
      <c r="CI88" s="487" t="str">
        <f t="shared" ca="1" si="62"/>
        <v>-</v>
      </c>
      <c r="CJ88" s="378" t="str">
        <f t="shared" ca="1" si="69"/>
        <v>-</v>
      </c>
      <c r="CK88" s="378" t="str">
        <f t="shared" ca="1" si="69"/>
        <v>-</v>
      </c>
      <c r="CL88" s="378" t="str">
        <f t="shared" ca="1" si="69"/>
        <v>-</v>
      </c>
      <c r="CM88" s="378" t="str">
        <f t="shared" ca="1" si="69"/>
        <v>-</v>
      </c>
      <c r="CN88" s="378" t="str">
        <f t="shared" ca="1" si="69"/>
        <v>-</v>
      </c>
      <c r="CO88" s="378" t="str">
        <f t="shared" ca="1" si="69"/>
        <v>-</v>
      </c>
      <c r="CP88" s="378" t="str">
        <f t="shared" ca="1" si="69"/>
        <v>-</v>
      </c>
      <c r="CQ88" s="378" t="str">
        <f t="shared" ca="1" si="69"/>
        <v>-</v>
      </c>
      <c r="CR88" s="510" t="str">
        <f ca="1">IFERROR(IF(LEFT(BW88,3)="Poo",INDEX($BE$4:$BJ$99,MATCH(CI88,$BG$4:$BG$99,0),6)*((15/50))*Calculation!$AK$6,INDEX(Calculation_Tab,MATCH(BV88,Identifier,0),10)/(IF(LEN(INDEX(Calculation_Tab,MATCH(BV88,Identifier,0),9))&gt;8,LEN(INDEX(Calculation_Tab,MATCH(BV88,Identifier,0),9))-8,1))*((15/50)*Calculation!$AK$6)),"-")</f>
        <v>-</v>
      </c>
      <c r="CS88" s="498" t="str">
        <f ca="1">IF(CI88="-","-",IF(COUNTIF($CI$3:CI88,CI88)&gt;1,0,IFERROR((35/50)*Calculation!$AK$6,"-")))</f>
        <v>-</v>
      </c>
    </row>
    <row r="89" spans="4:97" x14ac:dyDescent="0.5">
      <c r="D89" s="487" t="e">
        <f t="shared" si="44"/>
        <v>#DIV/0!</v>
      </c>
      <c r="E89" s="496" t="e">
        <f t="array" ref="E89">IF(IF((ROW(E89)-3)&lt;(ListAndConversion!$A$15),INDEX(Flow_Cell_Lane,MIN(IF(COUNTIF($E$2:E88,Flow_Cell_Lane)=0,ROW(Flow_Cell_Lane)-9))),"-")="","-",IF((ROW(E89)-3)&lt;(ListAndConversion!$A$15),INDEX(Flow_Cell_Lane,MIN(IF(COUNTIF($E$2:E88,Flow_Cell_Lane)=0,ROW(Flow_Cell_Lane)-9))),"-"))</f>
        <v>#DIV/0!</v>
      </c>
      <c r="F89" s="378" t="e">
        <f t="shared" si="45"/>
        <v>#DIV/0!</v>
      </c>
      <c r="G89" s="378" t="e">
        <f t="shared" si="67"/>
        <v>#DIV/0!</v>
      </c>
      <c r="H89" s="378" t="e">
        <f t="shared" si="67"/>
        <v>#DIV/0!</v>
      </c>
      <c r="I89" s="378" t="e">
        <f t="shared" si="67"/>
        <v>#DIV/0!</v>
      </c>
      <c r="J89" s="378" t="e">
        <f t="shared" si="67"/>
        <v>#DIV/0!</v>
      </c>
      <c r="K89" s="378" t="e">
        <f t="shared" si="67"/>
        <v>#DIV/0!</v>
      </c>
      <c r="L89" s="378" t="e">
        <f t="shared" si="67"/>
        <v>#DIV/0!</v>
      </c>
      <c r="M89" s="378" t="e">
        <f t="shared" si="67"/>
        <v>#DIV/0!</v>
      </c>
      <c r="N89" s="497" t="e">
        <f t="shared" si="46"/>
        <v>#DIV/0!</v>
      </c>
      <c r="O89" s="497" t="str">
        <f t="array" ref="O89">IFERROR(INDEX(Calculation!I:AN,MATCH(ListAndConversion!E89,Calculation!I:I,0),31),"-")</f>
        <v>-</v>
      </c>
      <c r="P89" s="498">
        <f>IF(COUNTIFS(Calculation!$I$10:$I$393,E89,Direct_Denaturation,"-")&lt;&gt;1,COUNTIFS(Calculation!$I$10:$I$393,E89,Direct_Denaturation,"-"),0)</f>
        <v>0</v>
      </c>
      <c r="Q89" s="378"/>
      <c r="R89" s="487" t="e">
        <f t="array" ref="R89">IF(IF((ROW(R89)-3)&lt;(Calculation!$H$6),INDEX(Flow_Cell,MIN(IF(COUNTIF($R$2:R88,Flow_Cell)=0,ROW(Flow_Cell)-9))),"-")="","-",IF((ROW(R89)-3)&lt;(Calculation!$H$6),INDEX(Flow_Cell,MIN(IF(COUNTIF($R$2:R88,Flow_Cell)=0,ROW(Flow_Cell)-9))),"-"))</f>
        <v>#DIV/0!</v>
      </c>
      <c r="S89" s="378" t="e">
        <f t="shared" si="68"/>
        <v>#DIV/0!</v>
      </c>
      <c r="T89" s="378">
        <v>7</v>
      </c>
      <c r="U89" s="498">
        <v>87</v>
      </c>
      <c r="V89" s="487">
        <v>86</v>
      </c>
      <c r="W89" s="497" t="s">
        <v>287</v>
      </c>
      <c r="X89" s="497" t="s">
        <v>457</v>
      </c>
      <c r="Y89" s="378">
        <v>86</v>
      </c>
      <c r="Z89" s="378" t="str">
        <f t="shared" ca="1" si="48"/>
        <v>-</v>
      </c>
      <c r="AA89" s="508" t="str">
        <f t="array" aca="1" ref="AA89" ca="1">IFERROR(INDEX(Calculation_Tab,SMALL(ROW(Sample_Intermediate_Dil)*(Sample_Intermediate_Dil&lt;&gt;"-"),COUNTIF(Sample_Intermediate_Dil,"-")+ROW()-3)-9,5),"-")</f>
        <v>-</v>
      </c>
      <c r="AB89" s="378" t="str">
        <f t="array" aca="1" ref="AB89" ca="1">IFERROR(INDEX($A$3:$B$12,MATCH(INDEX(Calculation_Tab,SMALL(ROW(Sample_Intermediate_Dil)*(Sample_Intermediate_Dil&lt;&gt;"-"),COUNTIF(Sample_Intermediate_Dil,"-")+ROW()-3)-9,5),$A$3:$A$12,0),2),"-")</f>
        <v>-</v>
      </c>
      <c r="AC89" s="509" t="str">
        <f t="array" aca="1" ref="AC89" ca="1">IFERROR(INDEX(Coordinate,MATCH(INDEX(Calculation_Tab,SMALL(ROW(Sample_Intermediate_Dil)*(Sample_Intermediate_Dil&lt;&gt;"-"),COUNTIF(Sample_Intermediate_Dil,"-")+ROW()-3)-9,6),$X$4:$X$99,0),2),"-")</f>
        <v>-</v>
      </c>
      <c r="AD89" s="510" t="str">
        <f t="array" aca="1" ref="AD89" ca="1">IFERROR(INDEX(Calculation_Tab,SMALL(ROW(Sample_Intermediate_Dil)*(Sample_Intermediate_Dil&lt;&gt;"-"),COUNTIF(Sample_Intermediate_Dil,"-")+ROW()-3)-9,24),"-")</f>
        <v>-</v>
      </c>
      <c r="AE89" s="510" t="str">
        <f t="array" aca="1" ref="AE89" ca="1">IFERROR(INDEX(Calculation_Tab,SMALL(ROW(Sample_Intermediate_Dil)*(Sample_Intermediate_Dil&lt;&gt;"-"),COUNTIF(Sample_Intermediate_Dil,"-")+ROW()-3)-9,25),"-")</f>
        <v>-</v>
      </c>
      <c r="AF89" s="510" t="str">
        <f t="array" aca="1" ref="AF89" ca="1">IFERROR(INDEX(Calculation_Tab,SMALL(ROW(Sample_Intermediate_Dil)*(Sample_Intermediate_Dil&lt;&gt;"-"),COUNTIF(Sample_Intermediate_Dil,"-")+ROW()-3)-9,26),"-")</f>
        <v>-</v>
      </c>
      <c r="AG89" s="511" t="str">
        <f t="array" aca="1" ref="AG89" ca="1">IFERROR(INDEX(Calculation_Tab,SMALL(ROW(Sample_Intermediate_Dil)*(Sample_Intermediate_Dil&lt;&gt;"-"),COUNTIF(Sample_Intermediate_Dil,"-")+ROW()-3)-9,27),"-")</f>
        <v>-</v>
      </c>
      <c r="AI89" s="487">
        <v>86</v>
      </c>
      <c r="AJ89" s="497" t="s">
        <v>160</v>
      </c>
      <c r="AK89" s="378">
        <v>86</v>
      </c>
      <c r="AL89" s="378" t="str">
        <f t="shared" ca="1" si="49"/>
        <v>-</v>
      </c>
      <c r="AM89" s="378" t="str">
        <f t="array" aca="1" ref="AM89" ca="1">IFERROR(IF(AI89&lt;=$AB$2,"-",INDEX(Calculation_Tab,SMALL(ROW(Main_Dil)*(Main_Dil&lt;&gt;"-"),COUNTIF(Main_Dil,"-")+ROW()-3-$AB$2)-9,5)),"-")</f>
        <v>-</v>
      </c>
      <c r="AN89" s="378" t="str">
        <f t="array" aca="1" ref="AN89" ca="1">IFERROR(IF(AI89&lt;=$AB$2,"-",INDEX($A$3:$B$12,MATCH(INDEX(Calculation_Tab,SMALL(ROW(Main_Dil)*(Main_Dil&lt;&gt;"-"),COUNTIF(Main_Dil,"-")+ROW()-3-$AB$2)-9,5),$A$3:$A$12,0),2)),"-")</f>
        <v>-</v>
      </c>
      <c r="AO89" s="378" t="str">
        <f t="array" aca="1" ref="AO89" ca="1">IFERROR(IF(AI89&lt;=$AB$2,"-",INDEX(Coordinate,MATCH(INDEX(Calculation_Tab,SMALL(ROW(Main_Dil)*(Main_Dil&lt;&gt;"-"),COUNTIF(Main_Dil,"-")+ROW()-3-$AB$2)-9,6),$X$4:$X$99,0),2)),"-")</f>
        <v>-</v>
      </c>
      <c r="AP89" s="510" t="str">
        <f t="array" aca="1" ref="AP89" ca="1">IFERROR(IF(AI89&lt;=$AB$2,"-",INDEX(Calculation_Tab,SMALL(ROW(Main_Dil)*(Main_Dil&lt;&gt;"-"),COUNTIF(Main_Dil,"-")+ROW()-3-$AB$2)-9,21)),"-")</f>
        <v>-</v>
      </c>
      <c r="AQ89" s="511" t="str">
        <f t="array" aca="1" ref="AQ89" ca="1">IFERROR(IF(AI89&lt;=$AB$2,"-",INDEX(Calculation_Tab,SMALL(ROW(Main_Dil)*(Main_Dil&lt;&gt;"-"),COUNTIF(Main_Dil,"-")+ROW()-3-$AB$2)-9,22)),"-")</f>
        <v>-</v>
      </c>
      <c r="AR89" s="487" t="str">
        <f t="shared" ca="1" si="50"/>
        <v>-</v>
      </c>
      <c r="AS89" s="378">
        <v>86</v>
      </c>
      <c r="AT89" s="497" t="s">
        <v>160</v>
      </c>
      <c r="AU89" s="498">
        <v>86</v>
      </c>
      <c r="AV89" s="378" t="str">
        <f t="shared" ca="1" si="51"/>
        <v>-</v>
      </c>
      <c r="AW89" s="378" t="str">
        <f t="array" aca="1" ref="AW89" ca="1">IFERROR(IF(AS89&lt;=$AB$2+$AN$2,"-",INDEX(Calculation_Tab,SMALL(ROW(Direct_Denaturation)*(Direct_Denaturation&lt;&gt;"-"),COUNTIF(Direct_Denaturation,"-")+ROW()-3-$AB$2-$AN$2)-9,5)),"-")</f>
        <v>-</v>
      </c>
      <c r="AX89" s="378" t="str">
        <f t="array" aca="1" ref="AX89" ca="1">IFERROR(IF(AS89&lt;=$AB$2+$AN$2,"-",INDEX($A$3:$B$12,MATCH(INDEX(Calculation_Tab,SMALL(ROW(Direct_Denaturation)*(Direct_Denaturation&lt;&gt;"-"),COUNTIF(Direct_Denaturation,"-")+ROW()-3-$AB$2-$AN$2)-9,5),$A$3:$A$12,0),2)),"-")</f>
        <v>-</v>
      </c>
      <c r="AY89" s="378" t="str">
        <f t="array" aca="1" ref="AY89" ca="1">IFERROR(IF(AS89&lt;=$AB$2+$AN$2,"-",INDEX(Coordinate,MATCH(INDEX(Calculation_Tab,SMALL(ROW(Direct_Denaturation)*(Direct_Denaturation&lt;&gt;"-"),COUNTIF(Direct_Denaturation,"-")+ROW()-3-$AB$2-$AN$2)-9,6),$X$4:$X$99,0),2)),"-")</f>
        <v>-</v>
      </c>
      <c r="AZ89" s="510" t="str">
        <f t="array" aca="1" ref="AZ89" ca="1">IFERROR(IF(AS89&lt;=$AB$2+$AN$2,"-",INDEX(Calculation_Tab,SMALL(ROW(Direct_Denaturation)*(Direct_Denaturation&lt;&gt;"-"),COUNTIF(Direct_Denaturation,"-")+ROW()-3-$AB$2-$AN$2)-9,32)),"-")</f>
        <v>-</v>
      </c>
      <c r="BA89" s="510" t="str">
        <f t="array" aca="1" ref="BA89" ca="1">IFERROR(IF(AS89&lt;=$AB$2+$AN$2,"-",INDEX(Calculation_Tab,SMALL(ROW(Direct_Denaturation)*(Direct_Denaturation&lt;&gt;"-"),COUNTIF(Direct_Denaturation,"-")+ROW()-3-$AB$2-$AN$2)-9,34)),"-")</f>
        <v>-</v>
      </c>
      <c r="BB89" s="510" t="str">
        <f t="array" aca="1" ref="BB89" ca="1">IFERROR(IF(AS89&lt;=$AB$2+$AN$2,"-",INDEX(Calculation_Tab,SMALL(ROW(Direct_Denaturation)*(Direct_Denaturation&lt;&gt;"-"),COUNTIF(Direct_Denaturation,"-")+ROW()-3-$AB$2-$AN$2)-9,33)),"-")</f>
        <v>-</v>
      </c>
      <c r="BC89" s="510" t="str">
        <f t="array" aca="1" ref="BC89" ca="1">IFERROR(IF(AS89&lt;=$AB$2+$AN$2,"-",INDEX(Calculation_Tab,SMALL(ROW(Direct_Denaturation)*(Direct_Denaturation&lt;&gt;"-"),COUNTIF(Direct_Denaturation,"-")+ROW()-3-$AB$2-$AN$2)-9,35)),"-")</f>
        <v>-</v>
      </c>
      <c r="BD89" s="511" t="str">
        <f t="shared" ca="1" si="52"/>
        <v>-</v>
      </c>
      <c r="BE89" s="494" t="s">
        <v>458</v>
      </c>
      <c r="BF89" s="378">
        <v>86</v>
      </c>
      <c r="BG89" s="515" t="str">
        <v>-</v>
      </c>
      <c r="BH89" s="516" t="str">
        <f>IFERROR(IF((Calculation!$AR$6/INDEX(ListAndConversion!D:P,MATCH(BG89,E:E,0),13))&lt;Calculation!$O$6,INDEX(ListAndConversion!D:P,MATCH(BG89,E:E,0),13)*Calculation!$O$6,Calculation!$AR$6),"-")</f>
        <v>-</v>
      </c>
      <c r="BI89" s="517" t="str">
        <f t="shared" si="53"/>
        <v>-</v>
      </c>
      <c r="BJ89" s="518" t="str">
        <f t="shared" si="54"/>
        <v>-</v>
      </c>
      <c r="BK89" s="378" t="s">
        <v>158</v>
      </c>
      <c r="BL89" s="378">
        <v>86</v>
      </c>
      <c r="BM89" s="487" t="str">
        <f t="array" aca="1" ref="BM89" ca="1">IFERROR(INDEX(Calculation_Tab,SMALL(ROW(ToPool)*(ToPool&lt;&gt;"-"),COUNTIF(ToPool,"-")+ROW()-3)-9,3),"-")</f>
        <v>-</v>
      </c>
      <c r="BN89" s="378" t="str">
        <f t="shared" ca="1" si="55"/>
        <v>-</v>
      </c>
      <c r="BO89" s="378" t="str">
        <f t="shared" ca="1" si="56"/>
        <v>-</v>
      </c>
      <c r="BP89" s="523" t="str">
        <f t="shared" ca="1" si="57"/>
        <v>-</v>
      </c>
      <c r="BQ89" s="378" t="str">
        <f t="array" aca="1" ref="BQ89" ca="1">IFERROR(INDEX(BE:BG,MATCH(INDEX(Calculation_Tab,SMALL(ROW(ToPool)*(ToPool&lt;&gt;"-"),COUNTIF(ToPool,"-")+ROW()-3)-9,9),BG:BG,0),2),"-")</f>
        <v>-</v>
      </c>
      <c r="BR89" s="510" t="str">
        <f t="shared" ca="1" si="58"/>
        <v>-</v>
      </c>
      <c r="BS89" s="511" t="str">
        <f t="shared" ca="1" si="59"/>
        <v>-</v>
      </c>
      <c r="BT89" s="378" t="s">
        <v>164</v>
      </c>
      <c r="BU89" s="487" t="str">
        <f t="shared" ca="1" si="63"/>
        <v>-</v>
      </c>
      <c r="BV89" s="487" t="str">
        <f t="array" aca="1" ref="BV8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89" s="378" t="str">
        <f t="shared" ca="1" si="60"/>
        <v>-</v>
      </c>
      <c r="BX89" s="378" t="str">
        <f t="shared" ca="1" si="61"/>
        <v>-</v>
      </c>
      <c r="BY89" s="510" t="str">
        <f ca="1">IFERROR(ROUND(INDEX(Cluster,MATCH(IF(LEFT(BV89,4)="Pool",INDEX(Cluster,MATCH(INDEX(Calculation_Tab,MATCH(INDEX($BE$4:$BJ$99,MATCH(BV89,$BE$4:$BE$99,0),3),Flow_Cell_Lane,0),3),Cluster!$F$29:$F$412,0),6),BV89),Identifier_Cluster,0),19)*IF(LEFT(BV89,4)="pool",IF(LEN(INDEX($BE$4:$BJ$99,MATCH(BV89,$BE$4:$BE$99,0),3))=10,2,IF(LEN(INDEX($BE$4:$BJ$99,MATCH(BV89,$BE$4:$BE$99,0),3))&gt;10,LEN(INDEX($BE$4:$BJ$99,MATCH(BV89,$BE$4:$BE$99,0),3))-8,1)),1)*IF(LEFT(BV89,4)="pool",IF(INDEX($BE$4:$BJ$99,MATCH(BV89,$BE$4:$BE$99,0),6)&lt;1,1,INDEX($BE$4:$BJ$99,MATCH(BV89,$BE$4:$BE$99,0),6)),INDEX(Calculation_Tab,MATCH(BV89,Identifier,0),10)),1)*(1+Calculation!$Q$6),"-")</f>
        <v>-</v>
      </c>
      <c r="BZ89" s="378" t="str">
        <f ca="1">IFERROR((0.5/50)*CE89/Calculation!$AG$6*(IF(LEFT(BV89,4)="Pool",IF(LEN(INDEX($BE$4:$BJ$99,MATCH(BV89,$BE$4:$BE$99,0),3))=10,2,IF(LEN(INDEX($BE$4:$BJ$99,MATCH(BV89,$BE$4:$BE$99,0),3))&gt;10,LEN(INDEX($BE$4:$BJ$99,MATCH(BV89,$BE$4:$BE$99,0),3))-8,1)),IF(INDEX(Calculation_Tab,MATCH(BV89,Identifier,0),10)&gt;1,INDEX(Calculation_Tab,MATCH(BV89,Identifier,0),10),1)))*(1+Calculation!$Q$6),"-")</f>
        <v>-</v>
      </c>
      <c r="CA89" s="510" t="str">
        <f ca="1">IFERROR(IF((BZ89*Calculation!$AG$6/0.05)-SUM(BY89:BZ89,CC89)&gt;0,(BZ89*Calculation!$AG$6/0.05)-SUM(BY89:BZ89,CC89),0),"-")</f>
        <v>-</v>
      </c>
      <c r="CB89" s="510" t="str">
        <f ca="1">IFERROR(5/50*CE89*(IF(LEFT(BV89,4)="Pool",IF(LEN(INDEX($BE$4:$BJ$99,MATCH(BV89,$BE$4:$BE$99,0),3))=10,2,IF(LEN(INDEX($BE$4:$BJ$99,MATCH(BV89,$BE$4:$BE$99,0),3))&gt;10,LEN(INDEX($BE$4:$BJ$99,MATCH(BV89,$BE$4:$BE$99,0),3))-8,1)),IF(INDEX(Calculation_Tab,MATCH(BV89,Identifier,0),10)&gt;1,INDEX(Calculation_Tab,MATCH(BV89,Identifier,0),10),1)))*(1+Calculation!$Q$6),"-")</f>
        <v>-</v>
      </c>
      <c r="CC89" s="508" t="str">
        <f ca="1">IFERROR(ROUND(INDEX(Cluster,MATCH(IF(LEFT(BV89,4)="Pool",INDEX(Cluster,MATCH(INDEX(Calculation_Tab,MATCH(INDEX($BE$4:$BJ$99,MATCH(BV89,$BE$4:$BE$99,0),3),Flow_Cell_Lane,0),3),Cluster!$F$29:$F$412,0),6),BV89),Identifier_Cluster,0),20)*IF(LEFT(BV89,4)="pool",IF(LEN(INDEX($BE$4:$BJ$99,MATCH(BV89,$BE$4:$BE$99,0),3))=10,2,IF(LEN(INDEX($BE$4:$BJ$99,MATCH(BV89,$BE$4:$BE$99,0),3))&gt;10,LEN(INDEX($BE$4:$BJ$99,MATCH(BV89,$BE$4:$BE$99,0),3))-8,1)),1)*IF(LEFT(BV89,4)="pool",IF(INDEX($BE$4:$BJ$99,MATCH(BV89,$BE$4:$BE$99,0),6)&lt;1,1,INDEX($BE$4:$BJ$99,MATCH(BV89,$BE$4:$BE$99,0),6)),INDEX(Calculation_Tab,MATCH(BV89,Identifier,0),10)),1)*(1+Calculation!$Q$6),"-")</f>
        <v>-</v>
      </c>
      <c r="CD89" s="509" t="str">
        <f ca="1">IFERROR(INDEX(Cluster!AC:AD,MATCH(IF(LEFT(BV89,4)="Pool",INDEX(Cluster!$D$29:$AA$412,MATCH(INDEX(Calculation_Tab,MATCH(INDEX($BE$4:$BJ$99,MATCH(BV89,$BE$4:$BE$99,0),3),Flow_Cell_Lane,0),3),Cluster!$F$29:$F$412,0),24),INDEX(Cluster!$D$29:$AA$412,MATCH(BV89,Cluster!$F$29:$F$412,0),24)),Cluster!AC:AC,0),2),"-")</f>
        <v>-</v>
      </c>
      <c r="CE89" s="378" t="str">
        <f ca="1">IFERROR(IF(BV89&lt;&gt;"-",Calculation!$AK$6,"-"),"-")</f>
        <v>-</v>
      </c>
      <c r="CF89" s="378" t="str">
        <f ca="1">IF(OR(LEFT(ListAndConversion!BW89,3)="Dil",LEFT(ListAndConversion!BW89,3)="Poo"),ListAndConversion!$BT$4,IF(LEFT(ListAndConversion!BW89,3)="Sou",INDEX(ListAndConversion!$AT$3:$AV$387,MATCH(ListAndConversion!BV89,ListAndConversion!$AV$3:$AV$387,0),1),"-"))</f>
        <v>-</v>
      </c>
      <c r="CG89" s="498" t="str">
        <f ca="1">IF(OR(LEFT(ListAndConversion!BW89,3)="Dil",LEFT(ListAndConversion!BW89,3)="Poo"),ListAndConversion!BU89,IF(LEFT(ListAndConversion!BW89,3)="Sou",INDEX(ListAndConversion!$AT$4:$AV$387,MATCH(ListAndConversion!BV89,ListAndConversion!$AV$4:$AV$387,0),2),"-"))</f>
        <v>-</v>
      </c>
      <c r="CH89" s="378"/>
      <c r="CI89" s="487" t="str">
        <f t="shared" ca="1" si="62"/>
        <v>-</v>
      </c>
      <c r="CJ89" s="378" t="str">
        <f t="shared" ca="1" si="69"/>
        <v>-</v>
      </c>
      <c r="CK89" s="378" t="str">
        <f t="shared" ca="1" si="69"/>
        <v>-</v>
      </c>
      <c r="CL89" s="378" t="str">
        <f t="shared" ca="1" si="69"/>
        <v>-</v>
      </c>
      <c r="CM89" s="378" t="str">
        <f t="shared" ca="1" si="69"/>
        <v>-</v>
      </c>
      <c r="CN89" s="378" t="str">
        <f t="shared" ca="1" si="69"/>
        <v>-</v>
      </c>
      <c r="CO89" s="378" t="str">
        <f t="shared" ca="1" si="69"/>
        <v>-</v>
      </c>
      <c r="CP89" s="378" t="str">
        <f t="shared" ca="1" si="69"/>
        <v>-</v>
      </c>
      <c r="CQ89" s="378" t="str">
        <f t="shared" ca="1" si="69"/>
        <v>-</v>
      </c>
      <c r="CR89" s="510" t="str">
        <f ca="1">IFERROR(IF(LEFT(BW89,3)="Poo",INDEX($BE$4:$BJ$99,MATCH(CI89,$BG$4:$BG$99,0),6)*((15/50))*Calculation!$AK$6,INDEX(Calculation_Tab,MATCH(BV89,Identifier,0),10)/(IF(LEN(INDEX(Calculation_Tab,MATCH(BV89,Identifier,0),9))&gt;8,LEN(INDEX(Calculation_Tab,MATCH(BV89,Identifier,0),9))-8,1))*((15/50)*Calculation!$AK$6)),"-")</f>
        <v>-</v>
      </c>
      <c r="CS89" s="498" t="str">
        <f ca="1">IF(CI89="-","-",IF(COUNTIF($CI$3:CI89,CI89)&gt;1,0,IFERROR((35/50)*Calculation!$AK$6,"-")))</f>
        <v>-</v>
      </c>
    </row>
    <row r="90" spans="4:97" x14ac:dyDescent="0.5">
      <c r="D90" s="487" t="e">
        <f t="shared" si="44"/>
        <v>#DIV/0!</v>
      </c>
      <c r="E90" s="496" t="e">
        <f t="array" ref="E90">IF(IF((ROW(E90)-3)&lt;(ListAndConversion!$A$15),INDEX(Flow_Cell_Lane,MIN(IF(COUNTIF($E$2:E89,Flow_Cell_Lane)=0,ROW(Flow_Cell_Lane)-9))),"-")="","-",IF((ROW(E90)-3)&lt;(ListAndConversion!$A$15),INDEX(Flow_Cell_Lane,MIN(IF(COUNTIF($E$2:E89,Flow_Cell_Lane)=0,ROW(Flow_Cell_Lane)-9))),"-"))</f>
        <v>#DIV/0!</v>
      </c>
      <c r="F90" s="378" t="e">
        <f t="shared" si="45"/>
        <v>#DIV/0!</v>
      </c>
      <c r="G90" s="378" t="e">
        <f t="shared" si="67"/>
        <v>#DIV/0!</v>
      </c>
      <c r="H90" s="378" t="e">
        <f t="shared" si="67"/>
        <v>#DIV/0!</v>
      </c>
      <c r="I90" s="378" t="e">
        <f t="shared" si="67"/>
        <v>#DIV/0!</v>
      </c>
      <c r="J90" s="378" t="e">
        <f t="shared" si="67"/>
        <v>#DIV/0!</v>
      </c>
      <c r="K90" s="378" t="e">
        <f t="shared" si="67"/>
        <v>#DIV/0!</v>
      </c>
      <c r="L90" s="378" t="e">
        <f t="shared" si="67"/>
        <v>#DIV/0!</v>
      </c>
      <c r="M90" s="378" t="e">
        <f t="shared" si="67"/>
        <v>#DIV/0!</v>
      </c>
      <c r="N90" s="497" t="e">
        <f t="shared" si="46"/>
        <v>#DIV/0!</v>
      </c>
      <c r="O90" s="497" t="str">
        <f t="array" ref="O90">IFERROR(INDEX(Calculation!I:AN,MATCH(ListAndConversion!E90,Calculation!I:I,0),31),"-")</f>
        <v>-</v>
      </c>
      <c r="P90" s="498">
        <f>IF(COUNTIFS(Calculation!$I$10:$I$393,E90,Direct_Denaturation,"-")&lt;&gt;1,COUNTIFS(Calculation!$I$10:$I$393,E90,Direct_Denaturation,"-"),0)</f>
        <v>0</v>
      </c>
      <c r="Q90" s="378"/>
      <c r="R90" s="487" t="e">
        <f t="array" ref="R90">IF(IF((ROW(R90)-3)&lt;(Calculation!$H$6),INDEX(Flow_Cell,MIN(IF(COUNTIF($R$2:R89,Flow_Cell)=0,ROW(Flow_Cell)-9))),"-")="","-",IF((ROW(R90)-3)&lt;(Calculation!$H$6),INDEX(Flow_Cell,MIN(IF(COUNTIF($R$2:R89,Flow_Cell)=0,ROW(Flow_Cell)-9))),"-"))</f>
        <v>#DIV/0!</v>
      </c>
      <c r="S90" s="378" t="e">
        <f t="shared" si="68"/>
        <v>#DIV/0!</v>
      </c>
      <c r="T90" s="378">
        <v>8</v>
      </c>
      <c r="U90" s="498">
        <v>88</v>
      </c>
      <c r="V90" s="487">
        <v>87</v>
      </c>
      <c r="W90" s="497" t="s">
        <v>287</v>
      </c>
      <c r="X90" s="497" t="s">
        <v>459</v>
      </c>
      <c r="Y90" s="378">
        <v>87</v>
      </c>
      <c r="Z90" s="378" t="str">
        <f t="shared" ca="1" si="48"/>
        <v>-</v>
      </c>
      <c r="AA90" s="508" t="str">
        <f t="array" aca="1" ref="AA90" ca="1">IFERROR(INDEX(Calculation_Tab,SMALL(ROW(Sample_Intermediate_Dil)*(Sample_Intermediate_Dil&lt;&gt;"-"),COUNTIF(Sample_Intermediate_Dil,"-")+ROW()-3)-9,5),"-")</f>
        <v>-</v>
      </c>
      <c r="AB90" s="378" t="str">
        <f t="array" aca="1" ref="AB90" ca="1">IFERROR(INDEX($A$3:$B$12,MATCH(INDEX(Calculation_Tab,SMALL(ROW(Sample_Intermediate_Dil)*(Sample_Intermediate_Dil&lt;&gt;"-"),COUNTIF(Sample_Intermediate_Dil,"-")+ROW()-3)-9,5),$A$3:$A$12,0),2),"-")</f>
        <v>-</v>
      </c>
      <c r="AC90" s="509" t="str">
        <f t="array" aca="1" ref="AC90" ca="1">IFERROR(INDEX(Coordinate,MATCH(INDEX(Calculation_Tab,SMALL(ROW(Sample_Intermediate_Dil)*(Sample_Intermediate_Dil&lt;&gt;"-"),COUNTIF(Sample_Intermediate_Dil,"-")+ROW()-3)-9,6),$X$4:$X$99,0),2),"-")</f>
        <v>-</v>
      </c>
      <c r="AD90" s="510" t="str">
        <f t="array" aca="1" ref="AD90" ca="1">IFERROR(INDEX(Calculation_Tab,SMALL(ROW(Sample_Intermediate_Dil)*(Sample_Intermediate_Dil&lt;&gt;"-"),COUNTIF(Sample_Intermediate_Dil,"-")+ROW()-3)-9,24),"-")</f>
        <v>-</v>
      </c>
      <c r="AE90" s="510" t="str">
        <f t="array" aca="1" ref="AE90" ca="1">IFERROR(INDEX(Calculation_Tab,SMALL(ROW(Sample_Intermediate_Dil)*(Sample_Intermediate_Dil&lt;&gt;"-"),COUNTIF(Sample_Intermediate_Dil,"-")+ROW()-3)-9,25),"-")</f>
        <v>-</v>
      </c>
      <c r="AF90" s="510" t="str">
        <f t="array" aca="1" ref="AF90" ca="1">IFERROR(INDEX(Calculation_Tab,SMALL(ROW(Sample_Intermediate_Dil)*(Sample_Intermediate_Dil&lt;&gt;"-"),COUNTIF(Sample_Intermediate_Dil,"-")+ROW()-3)-9,26),"-")</f>
        <v>-</v>
      </c>
      <c r="AG90" s="511" t="str">
        <f t="array" aca="1" ref="AG90" ca="1">IFERROR(INDEX(Calculation_Tab,SMALL(ROW(Sample_Intermediate_Dil)*(Sample_Intermediate_Dil&lt;&gt;"-"),COUNTIF(Sample_Intermediate_Dil,"-")+ROW()-3)-9,27),"-")</f>
        <v>-</v>
      </c>
      <c r="AI90" s="487">
        <v>87</v>
      </c>
      <c r="AJ90" s="497" t="s">
        <v>160</v>
      </c>
      <c r="AK90" s="378">
        <v>87</v>
      </c>
      <c r="AL90" s="378" t="str">
        <f t="shared" ca="1" si="49"/>
        <v>-</v>
      </c>
      <c r="AM90" s="378" t="str">
        <f t="array" aca="1" ref="AM90" ca="1">IFERROR(IF(AI90&lt;=$AB$2,"-",INDEX(Calculation_Tab,SMALL(ROW(Main_Dil)*(Main_Dil&lt;&gt;"-"),COUNTIF(Main_Dil,"-")+ROW()-3-$AB$2)-9,5)),"-")</f>
        <v>-</v>
      </c>
      <c r="AN90" s="378" t="str">
        <f t="array" aca="1" ref="AN90" ca="1">IFERROR(IF(AI90&lt;=$AB$2,"-",INDEX($A$3:$B$12,MATCH(INDEX(Calculation_Tab,SMALL(ROW(Main_Dil)*(Main_Dil&lt;&gt;"-"),COUNTIF(Main_Dil,"-")+ROW()-3-$AB$2)-9,5),$A$3:$A$12,0),2)),"-")</f>
        <v>-</v>
      </c>
      <c r="AO90" s="378" t="str">
        <f t="array" aca="1" ref="AO90" ca="1">IFERROR(IF(AI90&lt;=$AB$2,"-",INDEX(Coordinate,MATCH(INDEX(Calculation_Tab,SMALL(ROW(Main_Dil)*(Main_Dil&lt;&gt;"-"),COUNTIF(Main_Dil,"-")+ROW()-3-$AB$2)-9,6),$X$4:$X$99,0),2)),"-")</f>
        <v>-</v>
      </c>
      <c r="AP90" s="510" t="str">
        <f t="array" aca="1" ref="AP90" ca="1">IFERROR(IF(AI90&lt;=$AB$2,"-",INDEX(Calculation_Tab,SMALL(ROW(Main_Dil)*(Main_Dil&lt;&gt;"-"),COUNTIF(Main_Dil,"-")+ROW()-3-$AB$2)-9,21)),"-")</f>
        <v>-</v>
      </c>
      <c r="AQ90" s="511" t="str">
        <f t="array" aca="1" ref="AQ90" ca="1">IFERROR(IF(AI90&lt;=$AB$2,"-",INDEX(Calculation_Tab,SMALL(ROW(Main_Dil)*(Main_Dil&lt;&gt;"-"),COUNTIF(Main_Dil,"-")+ROW()-3-$AB$2)-9,22)),"-")</f>
        <v>-</v>
      </c>
      <c r="AR90" s="487" t="str">
        <f t="shared" ca="1" si="50"/>
        <v>-</v>
      </c>
      <c r="AS90" s="378">
        <v>87</v>
      </c>
      <c r="AT90" s="497" t="s">
        <v>160</v>
      </c>
      <c r="AU90" s="498">
        <v>87</v>
      </c>
      <c r="AV90" s="378" t="str">
        <f t="shared" ca="1" si="51"/>
        <v>-</v>
      </c>
      <c r="AW90" s="378" t="str">
        <f t="array" aca="1" ref="AW90" ca="1">IFERROR(IF(AS90&lt;=$AB$2+$AN$2,"-",INDEX(Calculation_Tab,SMALL(ROW(Direct_Denaturation)*(Direct_Denaturation&lt;&gt;"-"),COUNTIF(Direct_Denaturation,"-")+ROW()-3-$AB$2-$AN$2)-9,5)),"-")</f>
        <v>-</v>
      </c>
      <c r="AX90" s="378" t="str">
        <f t="array" aca="1" ref="AX90" ca="1">IFERROR(IF(AS90&lt;=$AB$2+$AN$2,"-",INDEX($A$3:$B$12,MATCH(INDEX(Calculation_Tab,SMALL(ROW(Direct_Denaturation)*(Direct_Denaturation&lt;&gt;"-"),COUNTIF(Direct_Denaturation,"-")+ROW()-3-$AB$2-$AN$2)-9,5),$A$3:$A$12,0),2)),"-")</f>
        <v>-</v>
      </c>
      <c r="AY90" s="378" t="str">
        <f t="array" aca="1" ref="AY90" ca="1">IFERROR(IF(AS90&lt;=$AB$2+$AN$2,"-",INDEX(Coordinate,MATCH(INDEX(Calculation_Tab,SMALL(ROW(Direct_Denaturation)*(Direct_Denaturation&lt;&gt;"-"),COUNTIF(Direct_Denaturation,"-")+ROW()-3-$AB$2-$AN$2)-9,6),$X$4:$X$99,0),2)),"-")</f>
        <v>-</v>
      </c>
      <c r="AZ90" s="510" t="str">
        <f t="array" aca="1" ref="AZ90" ca="1">IFERROR(IF(AS90&lt;=$AB$2+$AN$2,"-",INDEX(Calculation_Tab,SMALL(ROW(Direct_Denaturation)*(Direct_Denaturation&lt;&gt;"-"),COUNTIF(Direct_Denaturation,"-")+ROW()-3-$AB$2-$AN$2)-9,32)),"-")</f>
        <v>-</v>
      </c>
      <c r="BA90" s="510" t="str">
        <f t="array" aca="1" ref="BA90" ca="1">IFERROR(IF(AS90&lt;=$AB$2+$AN$2,"-",INDEX(Calculation_Tab,SMALL(ROW(Direct_Denaturation)*(Direct_Denaturation&lt;&gt;"-"),COUNTIF(Direct_Denaturation,"-")+ROW()-3-$AB$2-$AN$2)-9,34)),"-")</f>
        <v>-</v>
      </c>
      <c r="BB90" s="510" t="str">
        <f t="array" aca="1" ref="BB90" ca="1">IFERROR(IF(AS90&lt;=$AB$2+$AN$2,"-",INDEX(Calculation_Tab,SMALL(ROW(Direct_Denaturation)*(Direct_Denaturation&lt;&gt;"-"),COUNTIF(Direct_Denaturation,"-")+ROW()-3-$AB$2-$AN$2)-9,33)),"-")</f>
        <v>-</v>
      </c>
      <c r="BC90" s="510" t="str">
        <f t="array" aca="1" ref="BC90" ca="1">IFERROR(IF(AS90&lt;=$AB$2+$AN$2,"-",INDEX(Calculation_Tab,SMALL(ROW(Direct_Denaturation)*(Direct_Denaturation&lt;&gt;"-"),COUNTIF(Direct_Denaturation,"-")+ROW()-3-$AB$2-$AN$2)-9,35)),"-")</f>
        <v>-</v>
      </c>
      <c r="BD90" s="511" t="str">
        <f t="shared" ca="1" si="52"/>
        <v>-</v>
      </c>
      <c r="BE90" s="494" t="s">
        <v>460</v>
      </c>
      <c r="BF90" s="378">
        <v>87</v>
      </c>
      <c r="BG90" s="515" t="str">
        <v>-</v>
      </c>
      <c r="BH90" s="516" t="str">
        <f>IFERROR(IF((Calculation!$AR$6/INDEX(ListAndConversion!D:P,MATCH(BG90,E:E,0),13))&lt;Calculation!$O$6,INDEX(ListAndConversion!D:P,MATCH(BG90,E:E,0),13)*Calculation!$O$6,Calculation!$AR$6),"-")</f>
        <v>-</v>
      </c>
      <c r="BI90" s="517" t="str">
        <f t="shared" si="53"/>
        <v>-</v>
      </c>
      <c r="BJ90" s="518" t="str">
        <f t="shared" si="54"/>
        <v>-</v>
      </c>
      <c r="BK90" s="378" t="s">
        <v>158</v>
      </c>
      <c r="BL90" s="378">
        <v>87</v>
      </c>
      <c r="BM90" s="487" t="str">
        <f t="array" aca="1" ref="BM90" ca="1">IFERROR(INDEX(Calculation_Tab,SMALL(ROW(ToPool)*(ToPool&lt;&gt;"-"),COUNTIF(ToPool,"-")+ROW()-3)-9,3),"-")</f>
        <v>-</v>
      </c>
      <c r="BN90" s="378" t="str">
        <f t="shared" ca="1" si="55"/>
        <v>-</v>
      </c>
      <c r="BO90" s="378" t="str">
        <f t="shared" ca="1" si="56"/>
        <v>-</v>
      </c>
      <c r="BP90" s="523" t="str">
        <f t="shared" ca="1" si="57"/>
        <v>-</v>
      </c>
      <c r="BQ90" s="378" t="str">
        <f t="array" aca="1" ref="BQ90" ca="1">IFERROR(INDEX(BE:BG,MATCH(INDEX(Calculation_Tab,SMALL(ROW(ToPool)*(ToPool&lt;&gt;"-"),COUNTIF(ToPool,"-")+ROW()-3)-9,9),BG:BG,0),2),"-")</f>
        <v>-</v>
      </c>
      <c r="BR90" s="510" t="str">
        <f t="shared" ca="1" si="58"/>
        <v>-</v>
      </c>
      <c r="BS90" s="511" t="str">
        <f t="shared" ca="1" si="59"/>
        <v>-</v>
      </c>
      <c r="BT90" s="378" t="s">
        <v>164</v>
      </c>
      <c r="BU90" s="487" t="str">
        <f t="shared" ca="1" si="63"/>
        <v>-</v>
      </c>
      <c r="BV90" s="487" t="str">
        <f t="array" aca="1" ref="BV9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90" s="378" t="str">
        <f t="shared" ca="1" si="60"/>
        <v>-</v>
      </c>
      <c r="BX90" s="378" t="str">
        <f t="shared" ca="1" si="61"/>
        <v>-</v>
      </c>
      <c r="BY90" s="510" t="str">
        <f ca="1">IFERROR(ROUND(INDEX(Cluster,MATCH(IF(LEFT(BV90,4)="Pool",INDEX(Cluster,MATCH(INDEX(Calculation_Tab,MATCH(INDEX($BE$4:$BJ$99,MATCH(BV90,$BE$4:$BE$99,0),3),Flow_Cell_Lane,0),3),Cluster!$F$29:$F$412,0),6),BV90),Identifier_Cluster,0),19)*IF(LEFT(BV90,4)="pool",IF(LEN(INDEX($BE$4:$BJ$99,MATCH(BV90,$BE$4:$BE$99,0),3))=10,2,IF(LEN(INDEX($BE$4:$BJ$99,MATCH(BV90,$BE$4:$BE$99,0),3))&gt;10,LEN(INDEX($BE$4:$BJ$99,MATCH(BV90,$BE$4:$BE$99,0),3))-8,1)),1)*IF(LEFT(BV90,4)="pool",IF(INDEX($BE$4:$BJ$99,MATCH(BV90,$BE$4:$BE$99,0),6)&lt;1,1,INDEX($BE$4:$BJ$99,MATCH(BV90,$BE$4:$BE$99,0),6)),INDEX(Calculation_Tab,MATCH(BV90,Identifier,0),10)),1)*(1+Calculation!$Q$6),"-")</f>
        <v>-</v>
      </c>
      <c r="BZ90" s="378" t="str">
        <f ca="1">IFERROR((0.5/50)*CE90/Calculation!$AG$6*(IF(LEFT(BV90,4)="Pool",IF(LEN(INDEX($BE$4:$BJ$99,MATCH(BV90,$BE$4:$BE$99,0),3))=10,2,IF(LEN(INDEX($BE$4:$BJ$99,MATCH(BV90,$BE$4:$BE$99,0),3))&gt;10,LEN(INDEX($BE$4:$BJ$99,MATCH(BV90,$BE$4:$BE$99,0),3))-8,1)),IF(INDEX(Calculation_Tab,MATCH(BV90,Identifier,0),10)&gt;1,INDEX(Calculation_Tab,MATCH(BV90,Identifier,0),10),1)))*(1+Calculation!$Q$6),"-")</f>
        <v>-</v>
      </c>
      <c r="CA90" s="510" t="str">
        <f ca="1">IFERROR(IF((BZ90*Calculation!$AG$6/0.05)-SUM(BY90:BZ90,CC90)&gt;0,(BZ90*Calculation!$AG$6/0.05)-SUM(BY90:BZ90,CC90),0),"-")</f>
        <v>-</v>
      </c>
      <c r="CB90" s="510" t="str">
        <f ca="1">IFERROR(5/50*CE90*(IF(LEFT(BV90,4)="Pool",IF(LEN(INDEX($BE$4:$BJ$99,MATCH(BV90,$BE$4:$BE$99,0),3))=10,2,IF(LEN(INDEX($BE$4:$BJ$99,MATCH(BV90,$BE$4:$BE$99,0),3))&gt;10,LEN(INDEX($BE$4:$BJ$99,MATCH(BV90,$BE$4:$BE$99,0),3))-8,1)),IF(INDEX(Calculation_Tab,MATCH(BV90,Identifier,0),10)&gt;1,INDEX(Calculation_Tab,MATCH(BV90,Identifier,0),10),1)))*(1+Calculation!$Q$6),"-")</f>
        <v>-</v>
      </c>
      <c r="CC90" s="508" t="str">
        <f ca="1">IFERROR(ROUND(INDEX(Cluster,MATCH(IF(LEFT(BV90,4)="Pool",INDEX(Cluster,MATCH(INDEX(Calculation_Tab,MATCH(INDEX($BE$4:$BJ$99,MATCH(BV90,$BE$4:$BE$99,0),3),Flow_Cell_Lane,0),3),Cluster!$F$29:$F$412,0),6),BV90),Identifier_Cluster,0),20)*IF(LEFT(BV90,4)="pool",IF(LEN(INDEX($BE$4:$BJ$99,MATCH(BV90,$BE$4:$BE$99,0),3))=10,2,IF(LEN(INDEX($BE$4:$BJ$99,MATCH(BV90,$BE$4:$BE$99,0),3))&gt;10,LEN(INDEX($BE$4:$BJ$99,MATCH(BV90,$BE$4:$BE$99,0),3))-8,1)),1)*IF(LEFT(BV90,4)="pool",IF(INDEX($BE$4:$BJ$99,MATCH(BV90,$BE$4:$BE$99,0),6)&lt;1,1,INDEX($BE$4:$BJ$99,MATCH(BV90,$BE$4:$BE$99,0),6)),INDEX(Calculation_Tab,MATCH(BV90,Identifier,0),10)),1)*(1+Calculation!$Q$6),"-")</f>
        <v>-</v>
      </c>
      <c r="CD90" s="509" t="str">
        <f ca="1">IFERROR(INDEX(Cluster!AC:AD,MATCH(IF(LEFT(BV90,4)="Pool",INDEX(Cluster!$D$29:$AA$412,MATCH(INDEX(Calculation_Tab,MATCH(INDEX($BE$4:$BJ$99,MATCH(BV90,$BE$4:$BE$99,0),3),Flow_Cell_Lane,0),3),Cluster!$F$29:$F$412,0),24),INDEX(Cluster!$D$29:$AA$412,MATCH(BV90,Cluster!$F$29:$F$412,0),24)),Cluster!AC:AC,0),2),"-")</f>
        <v>-</v>
      </c>
      <c r="CE90" s="378" t="str">
        <f ca="1">IFERROR(IF(BV90&lt;&gt;"-",Calculation!$AK$6,"-"),"-")</f>
        <v>-</v>
      </c>
      <c r="CF90" s="378" t="str">
        <f ca="1">IF(OR(LEFT(ListAndConversion!BW90,3)="Dil",LEFT(ListAndConversion!BW90,3)="Poo"),ListAndConversion!$BT$4,IF(LEFT(ListAndConversion!BW90,3)="Sou",INDEX(ListAndConversion!$AT$3:$AV$387,MATCH(ListAndConversion!BV90,ListAndConversion!$AV$3:$AV$387,0),1),"-"))</f>
        <v>-</v>
      </c>
      <c r="CG90" s="498" t="str">
        <f ca="1">IF(OR(LEFT(ListAndConversion!BW90,3)="Dil",LEFT(ListAndConversion!BW90,3)="Poo"),ListAndConversion!BU90,IF(LEFT(ListAndConversion!BW90,3)="Sou",INDEX(ListAndConversion!$AT$4:$AV$387,MATCH(ListAndConversion!BV90,ListAndConversion!$AV$4:$AV$387,0),2),"-"))</f>
        <v>-</v>
      </c>
      <c r="CH90" s="378"/>
      <c r="CI90" s="487" t="str">
        <f t="shared" ca="1" si="62"/>
        <v>-</v>
      </c>
      <c r="CJ90" s="378" t="str">
        <f t="shared" ca="1" si="69"/>
        <v>-</v>
      </c>
      <c r="CK90" s="378" t="str">
        <f t="shared" ca="1" si="69"/>
        <v>-</v>
      </c>
      <c r="CL90" s="378" t="str">
        <f t="shared" ca="1" si="69"/>
        <v>-</v>
      </c>
      <c r="CM90" s="378" t="str">
        <f t="shared" ca="1" si="69"/>
        <v>-</v>
      </c>
      <c r="CN90" s="378" t="str">
        <f t="shared" ca="1" si="69"/>
        <v>-</v>
      </c>
      <c r="CO90" s="378" t="str">
        <f t="shared" ca="1" si="69"/>
        <v>-</v>
      </c>
      <c r="CP90" s="378" t="str">
        <f t="shared" ca="1" si="69"/>
        <v>-</v>
      </c>
      <c r="CQ90" s="378" t="str">
        <f t="shared" ca="1" si="69"/>
        <v>-</v>
      </c>
      <c r="CR90" s="510" t="str">
        <f ca="1">IFERROR(IF(LEFT(BW90,3)="Poo",INDEX($BE$4:$BJ$99,MATCH(CI90,$BG$4:$BG$99,0),6)*((15/50))*Calculation!$AK$6,INDEX(Calculation_Tab,MATCH(BV90,Identifier,0),10)/(IF(LEN(INDEX(Calculation_Tab,MATCH(BV90,Identifier,0),9))&gt;8,LEN(INDEX(Calculation_Tab,MATCH(BV90,Identifier,0),9))-8,1))*((15/50)*Calculation!$AK$6)),"-")</f>
        <v>-</v>
      </c>
      <c r="CS90" s="498" t="str">
        <f ca="1">IF(CI90="-","-",IF(COUNTIF($CI$3:CI90,CI90)&gt;1,0,IFERROR((35/50)*Calculation!$AK$6,"-")))</f>
        <v>-</v>
      </c>
    </row>
    <row r="91" spans="4:97" x14ac:dyDescent="0.5">
      <c r="D91" s="487" t="e">
        <f t="shared" si="44"/>
        <v>#DIV/0!</v>
      </c>
      <c r="E91" s="496" t="e">
        <f t="array" ref="E91">IF(IF((ROW(E91)-3)&lt;(ListAndConversion!$A$15),INDEX(Flow_Cell_Lane,MIN(IF(COUNTIF($E$2:E90,Flow_Cell_Lane)=0,ROW(Flow_Cell_Lane)-9))),"-")="","-",IF((ROW(E91)-3)&lt;(ListAndConversion!$A$15),INDEX(Flow_Cell_Lane,MIN(IF(COUNTIF($E$2:E90,Flow_Cell_Lane)=0,ROW(Flow_Cell_Lane)-9))),"-"))</f>
        <v>#DIV/0!</v>
      </c>
      <c r="F91" s="378" t="e">
        <f t="shared" si="45"/>
        <v>#DIV/0!</v>
      </c>
      <c r="G91" s="378" t="e">
        <f t="shared" si="67"/>
        <v>#DIV/0!</v>
      </c>
      <c r="H91" s="378" t="e">
        <f t="shared" si="67"/>
        <v>#DIV/0!</v>
      </c>
      <c r="I91" s="378" t="e">
        <f t="shared" si="67"/>
        <v>#DIV/0!</v>
      </c>
      <c r="J91" s="378" t="e">
        <f t="shared" si="67"/>
        <v>#DIV/0!</v>
      </c>
      <c r="K91" s="378" t="e">
        <f t="shared" si="67"/>
        <v>#DIV/0!</v>
      </c>
      <c r="L91" s="378" t="e">
        <f t="shared" si="67"/>
        <v>#DIV/0!</v>
      </c>
      <c r="M91" s="378" t="e">
        <f t="shared" si="67"/>
        <v>#DIV/0!</v>
      </c>
      <c r="N91" s="497" t="e">
        <f t="shared" si="46"/>
        <v>#DIV/0!</v>
      </c>
      <c r="O91" s="497" t="str">
        <f t="array" ref="O91">IFERROR(INDEX(Calculation!I:AN,MATCH(ListAndConversion!E91,Calculation!I:I,0),31),"-")</f>
        <v>-</v>
      </c>
      <c r="P91" s="498">
        <f>IF(COUNTIFS(Calculation!$I$10:$I$393,E91,Direct_Denaturation,"-")&lt;&gt;1,COUNTIFS(Calculation!$I$10:$I$393,E91,Direct_Denaturation,"-"),0)</f>
        <v>0</v>
      </c>
      <c r="Q91" s="378"/>
      <c r="R91" s="487" t="e">
        <f t="array" ref="R91">IF(IF((ROW(R91)-3)&lt;(Calculation!$H$6),INDEX(Flow_Cell,MIN(IF(COUNTIF($R$2:R90,Flow_Cell)=0,ROW(Flow_Cell)-9))),"-")="","-",IF((ROW(R91)-3)&lt;(Calculation!$H$6),INDEX(Flow_Cell,MIN(IF(COUNTIF($R$2:R90,Flow_Cell)=0,ROW(Flow_Cell)-9))),"-"))</f>
        <v>#DIV/0!</v>
      </c>
      <c r="S91" s="378" t="e">
        <f t="shared" ref="S91:S98" si="70">IF($R$14="-","-",CONCATENATE($R$14,"-",T91))</f>
        <v>#DIV/0!</v>
      </c>
      <c r="T91" s="378">
        <v>1</v>
      </c>
      <c r="U91" s="498">
        <v>89</v>
      </c>
      <c r="V91" s="487">
        <v>88</v>
      </c>
      <c r="W91" s="497" t="s">
        <v>287</v>
      </c>
      <c r="X91" s="497" t="s">
        <v>461</v>
      </c>
      <c r="Y91" s="378">
        <v>88</v>
      </c>
      <c r="Z91" s="378" t="str">
        <f t="shared" ca="1" si="48"/>
        <v>-</v>
      </c>
      <c r="AA91" s="508" t="str">
        <f t="array" aca="1" ref="AA91" ca="1">IFERROR(INDEX(Calculation_Tab,SMALL(ROW(Sample_Intermediate_Dil)*(Sample_Intermediate_Dil&lt;&gt;"-"),COUNTIF(Sample_Intermediate_Dil,"-")+ROW()-3)-9,5),"-")</f>
        <v>-</v>
      </c>
      <c r="AB91" s="378" t="str">
        <f t="array" aca="1" ref="AB91" ca="1">IFERROR(INDEX($A$3:$B$12,MATCH(INDEX(Calculation_Tab,SMALL(ROW(Sample_Intermediate_Dil)*(Sample_Intermediate_Dil&lt;&gt;"-"),COUNTIF(Sample_Intermediate_Dil,"-")+ROW()-3)-9,5),$A$3:$A$12,0),2),"-")</f>
        <v>-</v>
      </c>
      <c r="AC91" s="509" t="str">
        <f t="array" aca="1" ref="AC91" ca="1">IFERROR(INDEX(Coordinate,MATCH(INDEX(Calculation_Tab,SMALL(ROW(Sample_Intermediate_Dil)*(Sample_Intermediate_Dil&lt;&gt;"-"),COUNTIF(Sample_Intermediate_Dil,"-")+ROW()-3)-9,6),$X$4:$X$99,0),2),"-")</f>
        <v>-</v>
      </c>
      <c r="AD91" s="510" t="str">
        <f t="array" aca="1" ref="AD91" ca="1">IFERROR(INDEX(Calculation_Tab,SMALL(ROW(Sample_Intermediate_Dil)*(Sample_Intermediate_Dil&lt;&gt;"-"),COUNTIF(Sample_Intermediate_Dil,"-")+ROW()-3)-9,24),"-")</f>
        <v>-</v>
      </c>
      <c r="AE91" s="510" t="str">
        <f t="array" aca="1" ref="AE91" ca="1">IFERROR(INDEX(Calculation_Tab,SMALL(ROW(Sample_Intermediate_Dil)*(Sample_Intermediate_Dil&lt;&gt;"-"),COUNTIF(Sample_Intermediate_Dil,"-")+ROW()-3)-9,25),"-")</f>
        <v>-</v>
      </c>
      <c r="AF91" s="510" t="str">
        <f t="array" aca="1" ref="AF91" ca="1">IFERROR(INDEX(Calculation_Tab,SMALL(ROW(Sample_Intermediate_Dil)*(Sample_Intermediate_Dil&lt;&gt;"-"),COUNTIF(Sample_Intermediate_Dil,"-")+ROW()-3)-9,26),"-")</f>
        <v>-</v>
      </c>
      <c r="AG91" s="511" t="str">
        <f t="array" aca="1" ref="AG91" ca="1">IFERROR(INDEX(Calculation_Tab,SMALL(ROW(Sample_Intermediate_Dil)*(Sample_Intermediate_Dil&lt;&gt;"-"),COUNTIF(Sample_Intermediate_Dil,"-")+ROW()-3)-9,27),"-")</f>
        <v>-</v>
      </c>
      <c r="AI91" s="487">
        <v>88</v>
      </c>
      <c r="AJ91" s="497" t="s">
        <v>160</v>
      </c>
      <c r="AK91" s="378">
        <v>88</v>
      </c>
      <c r="AL91" s="378" t="str">
        <f t="shared" ca="1" si="49"/>
        <v>-</v>
      </c>
      <c r="AM91" s="378" t="str">
        <f t="array" aca="1" ref="AM91" ca="1">IFERROR(IF(AI91&lt;=$AB$2,"-",INDEX(Calculation_Tab,SMALL(ROW(Main_Dil)*(Main_Dil&lt;&gt;"-"),COUNTIF(Main_Dil,"-")+ROW()-3-$AB$2)-9,5)),"-")</f>
        <v>-</v>
      </c>
      <c r="AN91" s="378" t="str">
        <f t="array" aca="1" ref="AN91" ca="1">IFERROR(IF(AI91&lt;=$AB$2,"-",INDEX($A$3:$B$12,MATCH(INDEX(Calculation_Tab,SMALL(ROW(Main_Dil)*(Main_Dil&lt;&gt;"-"),COUNTIF(Main_Dil,"-")+ROW()-3-$AB$2)-9,5),$A$3:$A$12,0),2)),"-")</f>
        <v>-</v>
      </c>
      <c r="AO91" s="378" t="str">
        <f t="array" aca="1" ref="AO91" ca="1">IFERROR(IF(AI91&lt;=$AB$2,"-",INDEX(Coordinate,MATCH(INDEX(Calculation_Tab,SMALL(ROW(Main_Dil)*(Main_Dil&lt;&gt;"-"),COUNTIF(Main_Dil,"-")+ROW()-3-$AB$2)-9,6),$X$4:$X$99,0),2)),"-")</f>
        <v>-</v>
      </c>
      <c r="AP91" s="510" t="str">
        <f t="array" aca="1" ref="AP91" ca="1">IFERROR(IF(AI91&lt;=$AB$2,"-",INDEX(Calculation_Tab,SMALL(ROW(Main_Dil)*(Main_Dil&lt;&gt;"-"),COUNTIF(Main_Dil,"-")+ROW()-3-$AB$2)-9,21)),"-")</f>
        <v>-</v>
      </c>
      <c r="AQ91" s="511" t="str">
        <f t="array" aca="1" ref="AQ91" ca="1">IFERROR(IF(AI91&lt;=$AB$2,"-",INDEX(Calculation_Tab,SMALL(ROW(Main_Dil)*(Main_Dil&lt;&gt;"-"),COUNTIF(Main_Dil,"-")+ROW()-3-$AB$2)-9,22)),"-")</f>
        <v>-</v>
      </c>
      <c r="AR91" s="487" t="str">
        <f t="shared" ca="1" si="50"/>
        <v>-</v>
      </c>
      <c r="AS91" s="378">
        <v>88</v>
      </c>
      <c r="AT91" s="497" t="s">
        <v>160</v>
      </c>
      <c r="AU91" s="498">
        <v>88</v>
      </c>
      <c r="AV91" s="378" t="str">
        <f t="shared" ca="1" si="51"/>
        <v>-</v>
      </c>
      <c r="AW91" s="378" t="str">
        <f t="array" aca="1" ref="AW91" ca="1">IFERROR(IF(AS91&lt;=$AB$2+$AN$2,"-",INDEX(Calculation_Tab,SMALL(ROW(Direct_Denaturation)*(Direct_Denaturation&lt;&gt;"-"),COUNTIF(Direct_Denaturation,"-")+ROW()-3-$AB$2-$AN$2)-9,5)),"-")</f>
        <v>-</v>
      </c>
      <c r="AX91" s="378" t="str">
        <f t="array" aca="1" ref="AX91" ca="1">IFERROR(IF(AS91&lt;=$AB$2+$AN$2,"-",INDEX($A$3:$B$12,MATCH(INDEX(Calculation_Tab,SMALL(ROW(Direct_Denaturation)*(Direct_Denaturation&lt;&gt;"-"),COUNTIF(Direct_Denaturation,"-")+ROW()-3-$AB$2-$AN$2)-9,5),$A$3:$A$12,0),2)),"-")</f>
        <v>-</v>
      </c>
      <c r="AY91" s="378" t="str">
        <f t="array" aca="1" ref="AY91" ca="1">IFERROR(IF(AS91&lt;=$AB$2+$AN$2,"-",INDEX(Coordinate,MATCH(INDEX(Calculation_Tab,SMALL(ROW(Direct_Denaturation)*(Direct_Denaturation&lt;&gt;"-"),COUNTIF(Direct_Denaturation,"-")+ROW()-3-$AB$2-$AN$2)-9,6),$X$4:$X$99,0),2)),"-")</f>
        <v>-</v>
      </c>
      <c r="AZ91" s="510" t="str">
        <f t="array" aca="1" ref="AZ91" ca="1">IFERROR(IF(AS91&lt;=$AB$2+$AN$2,"-",INDEX(Calculation_Tab,SMALL(ROW(Direct_Denaturation)*(Direct_Denaturation&lt;&gt;"-"),COUNTIF(Direct_Denaturation,"-")+ROW()-3-$AB$2-$AN$2)-9,32)),"-")</f>
        <v>-</v>
      </c>
      <c r="BA91" s="510" t="str">
        <f t="array" aca="1" ref="BA91" ca="1">IFERROR(IF(AS91&lt;=$AB$2+$AN$2,"-",INDEX(Calculation_Tab,SMALL(ROW(Direct_Denaturation)*(Direct_Denaturation&lt;&gt;"-"),COUNTIF(Direct_Denaturation,"-")+ROW()-3-$AB$2-$AN$2)-9,34)),"-")</f>
        <v>-</v>
      </c>
      <c r="BB91" s="510" t="str">
        <f t="array" aca="1" ref="BB91" ca="1">IFERROR(IF(AS91&lt;=$AB$2+$AN$2,"-",INDEX(Calculation_Tab,SMALL(ROW(Direct_Denaturation)*(Direct_Denaturation&lt;&gt;"-"),COUNTIF(Direct_Denaturation,"-")+ROW()-3-$AB$2-$AN$2)-9,33)),"-")</f>
        <v>-</v>
      </c>
      <c r="BC91" s="510" t="str">
        <f t="array" aca="1" ref="BC91" ca="1">IFERROR(IF(AS91&lt;=$AB$2+$AN$2,"-",INDEX(Calculation_Tab,SMALL(ROW(Direct_Denaturation)*(Direct_Denaturation&lt;&gt;"-"),COUNTIF(Direct_Denaturation,"-")+ROW()-3-$AB$2-$AN$2)-9,35)),"-")</f>
        <v>-</v>
      </c>
      <c r="BD91" s="511" t="str">
        <f t="shared" ca="1" si="52"/>
        <v>-</v>
      </c>
      <c r="BE91" s="494" t="s">
        <v>462</v>
      </c>
      <c r="BF91" s="378">
        <v>88</v>
      </c>
      <c r="BG91" s="515" t="str">
        <v>-</v>
      </c>
      <c r="BH91" s="516" t="str">
        <f>IFERROR(IF((Calculation!$AR$6/INDEX(ListAndConversion!D:P,MATCH(BG91,E:E,0),13))&lt;Calculation!$O$6,INDEX(ListAndConversion!D:P,MATCH(BG91,E:E,0),13)*Calculation!$O$6,Calculation!$AR$6),"-")</f>
        <v>-</v>
      </c>
      <c r="BI91" s="517" t="str">
        <f t="shared" si="53"/>
        <v>-</v>
      </c>
      <c r="BJ91" s="518" t="str">
        <f t="shared" si="54"/>
        <v>-</v>
      </c>
      <c r="BK91" s="378" t="s">
        <v>158</v>
      </c>
      <c r="BL91" s="378">
        <v>88</v>
      </c>
      <c r="BM91" s="487" t="str">
        <f t="array" aca="1" ref="BM91" ca="1">IFERROR(INDEX(Calculation_Tab,SMALL(ROW(ToPool)*(ToPool&lt;&gt;"-"),COUNTIF(ToPool,"-")+ROW()-3)-9,3),"-")</f>
        <v>-</v>
      </c>
      <c r="BN91" s="378" t="str">
        <f t="shared" ca="1" si="55"/>
        <v>-</v>
      </c>
      <c r="BO91" s="378" t="str">
        <f t="shared" ca="1" si="56"/>
        <v>-</v>
      </c>
      <c r="BP91" s="523" t="str">
        <f t="shared" ca="1" si="57"/>
        <v>-</v>
      </c>
      <c r="BQ91" s="378" t="str">
        <f t="array" aca="1" ref="BQ91" ca="1">IFERROR(INDEX(BE:BG,MATCH(INDEX(Calculation_Tab,SMALL(ROW(ToPool)*(ToPool&lt;&gt;"-"),COUNTIF(ToPool,"-")+ROW()-3)-9,9),BG:BG,0),2),"-")</f>
        <v>-</v>
      </c>
      <c r="BR91" s="510" t="str">
        <f t="shared" ca="1" si="58"/>
        <v>-</v>
      </c>
      <c r="BS91" s="511" t="str">
        <f t="shared" ca="1" si="59"/>
        <v>-</v>
      </c>
      <c r="BT91" s="378" t="s">
        <v>164</v>
      </c>
      <c r="BU91" s="487" t="str">
        <f t="shared" ca="1" si="63"/>
        <v>-</v>
      </c>
      <c r="BV91" s="487" t="str">
        <f t="array" aca="1" ref="BV9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91" s="378" t="str">
        <f t="shared" ca="1" si="60"/>
        <v>-</v>
      </c>
      <c r="BX91" s="378" t="str">
        <f t="shared" ca="1" si="61"/>
        <v>-</v>
      </c>
      <c r="BY91" s="510" t="str">
        <f ca="1">IFERROR(ROUND(INDEX(Cluster,MATCH(IF(LEFT(BV91,4)="Pool",INDEX(Cluster,MATCH(INDEX(Calculation_Tab,MATCH(INDEX($BE$4:$BJ$99,MATCH(BV91,$BE$4:$BE$99,0),3),Flow_Cell_Lane,0),3),Cluster!$F$29:$F$412,0),6),BV91),Identifier_Cluster,0),19)*IF(LEFT(BV91,4)="pool",IF(LEN(INDEX($BE$4:$BJ$99,MATCH(BV91,$BE$4:$BE$99,0),3))=10,2,IF(LEN(INDEX($BE$4:$BJ$99,MATCH(BV91,$BE$4:$BE$99,0),3))&gt;10,LEN(INDEX($BE$4:$BJ$99,MATCH(BV91,$BE$4:$BE$99,0),3))-8,1)),1)*IF(LEFT(BV91,4)="pool",IF(INDEX($BE$4:$BJ$99,MATCH(BV91,$BE$4:$BE$99,0),6)&lt;1,1,INDEX($BE$4:$BJ$99,MATCH(BV91,$BE$4:$BE$99,0),6)),INDEX(Calculation_Tab,MATCH(BV91,Identifier,0),10)),1)*(1+Calculation!$Q$6),"-")</f>
        <v>-</v>
      </c>
      <c r="BZ91" s="378" t="str">
        <f ca="1">IFERROR((0.5/50)*CE91/Calculation!$AG$6*(IF(LEFT(BV91,4)="Pool",IF(LEN(INDEX($BE$4:$BJ$99,MATCH(BV91,$BE$4:$BE$99,0),3))=10,2,IF(LEN(INDEX($BE$4:$BJ$99,MATCH(BV91,$BE$4:$BE$99,0),3))&gt;10,LEN(INDEX($BE$4:$BJ$99,MATCH(BV91,$BE$4:$BE$99,0),3))-8,1)),IF(INDEX(Calculation_Tab,MATCH(BV91,Identifier,0),10)&gt;1,INDEX(Calculation_Tab,MATCH(BV91,Identifier,0),10),1)))*(1+Calculation!$Q$6),"-")</f>
        <v>-</v>
      </c>
      <c r="CA91" s="510" t="str">
        <f ca="1">IFERROR(IF((BZ91*Calculation!$AG$6/0.05)-SUM(BY91:BZ91,CC91)&gt;0,(BZ91*Calculation!$AG$6/0.05)-SUM(BY91:BZ91,CC91),0),"-")</f>
        <v>-</v>
      </c>
      <c r="CB91" s="510" t="str">
        <f ca="1">IFERROR(5/50*CE91*(IF(LEFT(BV91,4)="Pool",IF(LEN(INDEX($BE$4:$BJ$99,MATCH(BV91,$BE$4:$BE$99,0),3))=10,2,IF(LEN(INDEX($BE$4:$BJ$99,MATCH(BV91,$BE$4:$BE$99,0),3))&gt;10,LEN(INDEX($BE$4:$BJ$99,MATCH(BV91,$BE$4:$BE$99,0),3))-8,1)),IF(INDEX(Calculation_Tab,MATCH(BV91,Identifier,0),10)&gt;1,INDEX(Calculation_Tab,MATCH(BV91,Identifier,0),10),1)))*(1+Calculation!$Q$6),"-")</f>
        <v>-</v>
      </c>
      <c r="CC91" s="508" t="str">
        <f ca="1">IFERROR(ROUND(INDEX(Cluster,MATCH(IF(LEFT(BV91,4)="Pool",INDEX(Cluster,MATCH(INDEX(Calculation_Tab,MATCH(INDEX($BE$4:$BJ$99,MATCH(BV91,$BE$4:$BE$99,0),3),Flow_Cell_Lane,0),3),Cluster!$F$29:$F$412,0),6),BV91),Identifier_Cluster,0),20)*IF(LEFT(BV91,4)="pool",IF(LEN(INDEX($BE$4:$BJ$99,MATCH(BV91,$BE$4:$BE$99,0),3))=10,2,IF(LEN(INDEX($BE$4:$BJ$99,MATCH(BV91,$BE$4:$BE$99,0),3))&gt;10,LEN(INDEX($BE$4:$BJ$99,MATCH(BV91,$BE$4:$BE$99,0),3))-8,1)),1)*IF(LEFT(BV91,4)="pool",IF(INDEX($BE$4:$BJ$99,MATCH(BV91,$BE$4:$BE$99,0),6)&lt;1,1,INDEX($BE$4:$BJ$99,MATCH(BV91,$BE$4:$BE$99,0),6)),INDEX(Calculation_Tab,MATCH(BV91,Identifier,0),10)),1)*(1+Calculation!$Q$6),"-")</f>
        <v>-</v>
      </c>
      <c r="CD91" s="509" t="str">
        <f ca="1">IFERROR(INDEX(Cluster!AC:AD,MATCH(IF(LEFT(BV91,4)="Pool",INDEX(Cluster!$D$29:$AA$412,MATCH(INDEX(Calculation_Tab,MATCH(INDEX($BE$4:$BJ$99,MATCH(BV91,$BE$4:$BE$99,0),3),Flow_Cell_Lane,0),3),Cluster!$F$29:$F$412,0),24),INDEX(Cluster!$D$29:$AA$412,MATCH(BV91,Cluster!$F$29:$F$412,0),24)),Cluster!AC:AC,0),2),"-")</f>
        <v>-</v>
      </c>
      <c r="CE91" s="378" t="str">
        <f ca="1">IFERROR(IF(BV91&lt;&gt;"-",Calculation!$AK$6,"-"),"-")</f>
        <v>-</v>
      </c>
      <c r="CF91" s="378" t="str">
        <f ca="1">IF(OR(LEFT(ListAndConversion!BW91,3)="Dil",LEFT(ListAndConversion!BW91,3)="Poo"),ListAndConversion!$BT$4,IF(LEFT(ListAndConversion!BW91,3)="Sou",INDEX(ListAndConversion!$AT$3:$AV$387,MATCH(ListAndConversion!BV91,ListAndConversion!$AV$3:$AV$387,0),1),"-"))</f>
        <v>-</v>
      </c>
      <c r="CG91" s="498" t="str">
        <f ca="1">IF(OR(LEFT(ListAndConversion!BW91,3)="Dil",LEFT(ListAndConversion!BW91,3)="Poo"),ListAndConversion!BU91,IF(LEFT(ListAndConversion!BW91,3)="Sou",INDEX(ListAndConversion!$AT$4:$AV$387,MATCH(ListAndConversion!BV91,ListAndConversion!$AV$4:$AV$387,0),2),"-"))</f>
        <v>-</v>
      </c>
      <c r="CH91" s="378"/>
      <c r="CI91" s="487" t="str">
        <f t="shared" ca="1" si="62"/>
        <v>-</v>
      </c>
      <c r="CJ91" s="378" t="str">
        <f t="shared" ca="1" si="69"/>
        <v>-</v>
      </c>
      <c r="CK91" s="378" t="str">
        <f t="shared" ca="1" si="69"/>
        <v>-</v>
      </c>
      <c r="CL91" s="378" t="str">
        <f t="shared" ca="1" si="69"/>
        <v>-</v>
      </c>
      <c r="CM91" s="378" t="str">
        <f t="shared" ca="1" si="69"/>
        <v>-</v>
      </c>
      <c r="CN91" s="378" t="str">
        <f t="shared" ca="1" si="69"/>
        <v>-</v>
      </c>
      <c r="CO91" s="378" t="str">
        <f t="shared" ca="1" si="69"/>
        <v>-</v>
      </c>
      <c r="CP91" s="378" t="str">
        <f t="shared" ca="1" si="69"/>
        <v>-</v>
      </c>
      <c r="CQ91" s="378" t="str">
        <f t="shared" ca="1" si="69"/>
        <v>-</v>
      </c>
      <c r="CR91" s="510" t="str">
        <f ca="1">IFERROR(IF(LEFT(BW91,3)="Poo",INDEX($BE$4:$BJ$99,MATCH(CI91,$BG$4:$BG$99,0),6)*((15/50))*Calculation!$AK$6,INDEX(Calculation_Tab,MATCH(BV91,Identifier,0),10)/(IF(LEN(INDEX(Calculation_Tab,MATCH(BV91,Identifier,0),9))&gt;8,LEN(INDEX(Calculation_Tab,MATCH(BV91,Identifier,0),9))-8,1))*((15/50)*Calculation!$AK$6)),"-")</f>
        <v>-</v>
      </c>
      <c r="CS91" s="498" t="str">
        <f ca="1">IF(CI91="-","-",IF(COUNTIF($CI$3:CI91,CI91)&gt;1,0,IFERROR((35/50)*Calculation!$AK$6,"-")))</f>
        <v>-</v>
      </c>
    </row>
    <row r="92" spans="4:97" x14ac:dyDescent="0.5">
      <c r="D92" s="487" t="e">
        <f t="shared" si="44"/>
        <v>#DIV/0!</v>
      </c>
      <c r="E92" s="496" t="e">
        <f t="array" ref="E92">IF(IF((ROW(E92)-3)&lt;(ListAndConversion!$A$15),INDEX(Flow_Cell_Lane,MIN(IF(COUNTIF($E$2:E91,Flow_Cell_Lane)=0,ROW(Flow_Cell_Lane)-9))),"-")="","-",IF((ROW(E92)-3)&lt;(ListAndConversion!$A$15),INDEX(Flow_Cell_Lane,MIN(IF(COUNTIF($E$2:E91,Flow_Cell_Lane)=0,ROW(Flow_Cell_Lane)-9))),"-"))</f>
        <v>#DIV/0!</v>
      </c>
      <c r="F92" s="378" t="e">
        <f t="shared" si="45"/>
        <v>#DIV/0!</v>
      </c>
      <c r="G92" s="378" t="e">
        <f t="shared" si="67"/>
        <v>#DIV/0!</v>
      </c>
      <c r="H92" s="378" t="e">
        <f t="shared" si="67"/>
        <v>#DIV/0!</v>
      </c>
      <c r="I92" s="378" t="e">
        <f t="shared" si="67"/>
        <v>#DIV/0!</v>
      </c>
      <c r="J92" s="378" t="e">
        <f t="shared" si="67"/>
        <v>#DIV/0!</v>
      </c>
      <c r="K92" s="378" t="e">
        <f t="shared" si="67"/>
        <v>#DIV/0!</v>
      </c>
      <c r="L92" s="378" t="e">
        <f t="shared" si="67"/>
        <v>#DIV/0!</v>
      </c>
      <c r="M92" s="378" t="e">
        <f t="shared" si="67"/>
        <v>#DIV/0!</v>
      </c>
      <c r="N92" s="497" t="e">
        <f t="shared" si="46"/>
        <v>#DIV/0!</v>
      </c>
      <c r="O92" s="497" t="str">
        <f t="array" ref="O92">IFERROR(INDEX(Calculation!I:AN,MATCH(ListAndConversion!E92,Calculation!I:I,0),31),"-")</f>
        <v>-</v>
      </c>
      <c r="P92" s="498">
        <f>IF(COUNTIFS(Calculation!$I$10:$I$393,E92,Direct_Denaturation,"-")&lt;&gt;1,COUNTIFS(Calculation!$I$10:$I$393,E92,Direct_Denaturation,"-"),0)</f>
        <v>0</v>
      </c>
      <c r="Q92" s="378"/>
      <c r="R92" s="487" t="e">
        <f t="array" ref="R92">IF(IF((ROW(R92)-3)&lt;(Calculation!$H$6),INDEX(Flow_Cell,MIN(IF(COUNTIF($R$2:R91,Flow_Cell)=0,ROW(Flow_Cell)-9))),"-")="","-",IF((ROW(R92)-3)&lt;(Calculation!$H$6),INDEX(Flow_Cell,MIN(IF(COUNTIF($R$2:R91,Flow_Cell)=0,ROW(Flow_Cell)-9))),"-"))</f>
        <v>#DIV/0!</v>
      </c>
      <c r="S92" s="378" t="e">
        <f t="shared" si="70"/>
        <v>#DIV/0!</v>
      </c>
      <c r="T92" s="378">
        <v>2</v>
      </c>
      <c r="U92" s="498">
        <v>90</v>
      </c>
      <c r="V92" s="487">
        <v>89</v>
      </c>
      <c r="W92" s="497" t="s">
        <v>287</v>
      </c>
      <c r="X92" s="497" t="s">
        <v>463</v>
      </c>
      <c r="Y92" s="378">
        <v>89</v>
      </c>
      <c r="Z92" s="378" t="str">
        <f t="shared" ca="1" si="48"/>
        <v>-</v>
      </c>
      <c r="AA92" s="508" t="str">
        <f t="array" aca="1" ref="AA92" ca="1">IFERROR(INDEX(Calculation_Tab,SMALL(ROW(Sample_Intermediate_Dil)*(Sample_Intermediate_Dil&lt;&gt;"-"),COUNTIF(Sample_Intermediate_Dil,"-")+ROW()-3)-9,5),"-")</f>
        <v>-</v>
      </c>
      <c r="AB92" s="378" t="str">
        <f t="array" aca="1" ref="AB92" ca="1">IFERROR(INDEX($A$3:$B$12,MATCH(INDEX(Calculation_Tab,SMALL(ROW(Sample_Intermediate_Dil)*(Sample_Intermediate_Dil&lt;&gt;"-"),COUNTIF(Sample_Intermediate_Dil,"-")+ROW()-3)-9,5),$A$3:$A$12,0),2),"-")</f>
        <v>-</v>
      </c>
      <c r="AC92" s="509" t="str">
        <f t="array" aca="1" ref="AC92" ca="1">IFERROR(INDEX(Coordinate,MATCH(INDEX(Calculation_Tab,SMALL(ROW(Sample_Intermediate_Dil)*(Sample_Intermediate_Dil&lt;&gt;"-"),COUNTIF(Sample_Intermediate_Dil,"-")+ROW()-3)-9,6),$X$4:$X$99,0),2),"-")</f>
        <v>-</v>
      </c>
      <c r="AD92" s="510" t="str">
        <f t="array" aca="1" ref="AD92" ca="1">IFERROR(INDEX(Calculation_Tab,SMALL(ROW(Sample_Intermediate_Dil)*(Sample_Intermediate_Dil&lt;&gt;"-"),COUNTIF(Sample_Intermediate_Dil,"-")+ROW()-3)-9,24),"-")</f>
        <v>-</v>
      </c>
      <c r="AE92" s="510" t="str">
        <f t="array" aca="1" ref="AE92" ca="1">IFERROR(INDEX(Calculation_Tab,SMALL(ROW(Sample_Intermediate_Dil)*(Sample_Intermediate_Dil&lt;&gt;"-"),COUNTIF(Sample_Intermediate_Dil,"-")+ROW()-3)-9,25),"-")</f>
        <v>-</v>
      </c>
      <c r="AF92" s="510" t="str">
        <f t="array" aca="1" ref="AF92" ca="1">IFERROR(INDEX(Calculation_Tab,SMALL(ROW(Sample_Intermediate_Dil)*(Sample_Intermediate_Dil&lt;&gt;"-"),COUNTIF(Sample_Intermediate_Dil,"-")+ROW()-3)-9,26),"-")</f>
        <v>-</v>
      </c>
      <c r="AG92" s="511" t="str">
        <f t="array" aca="1" ref="AG92" ca="1">IFERROR(INDEX(Calculation_Tab,SMALL(ROW(Sample_Intermediate_Dil)*(Sample_Intermediate_Dil&lt;&gt;"-"),COUNTIF(Sample_Intermediate_Dil,"-")+ROW()-3)-9,27),"-")</f>
        <v>-</v>
      </c>
      <c r="AI92" s="487">
        <v>89</v>
      </c>
      <c r="AJ92" s="497" t="s">
        <v>160</v>
      </c>
      <c r="AK92" s="378">
        <v>89</v>
      </c>
      <c r="AL92" s="378" t="str">
        <f t="shared" ca="1" si="49"/>
        <v>-</v>
      </c>
      <c r="AM92" s="378" t="str">
        <f t="array" aca="1" ref="AM92" ca="1">IFERROR(IF(AI92&lt;=$AB$2,"-",INDEX(Calculation_Tab,SMALL(ROW(Main_Dil)*(Main_Dil&lt;&gt;"-"),COUNTIF(Main_Dil,"-")+ROW()-3-$AB$2)-9,5)),"-")</f>
        <v>-</v>
      </c>
      <c r="AN92" s="378" t="str">
        <f t="array" aca="1" ref="AN92" ca="1">IFERROR(IF(AI92&lt;=$AB$2,"-",INDEX($A$3:$B$12,MATCH(INDEX(Calculation_Tab,SMALL(ROW(Main_Dil)*(Main_Dil&lt;&gt;"-"),COUNTIF(Main_Dil,"-")+ROW()-3-$AB$2)-9,5),$A$3:$A$12,0),2)),"-")</f>
        <v>-</v>
      </c>
      <c r="AO92" s="378" t="str">
        <f t="array" aca="1" ref="AO92" ca="1">IFERROR(IF(AI92&lt;=$AB$2,"-",INDEX(Coordinate,MATCH(INDEX(Calculation_Tab,SMALL(ROW(Main_Dil)*(Main_Dil&lt;&gt;"-"),COUNTIF(Main_Dil,"-")+ROW()-3-$AB$2)-9,6),$X$4:$X$99,0),2)),"-")</f>
        <v>-</v>
      </c>
      <c r="AP92" s="510" t="str">
        <f t="array" aca="1" ref="AP92" ca="1">IFERROR(IF(AI92&lt;=$AB$2,"-",INDEX(Calculation_Tab,SMALL(ROW(Main_Dil)*(Main_Dil&lt;&gt;"-"),COUNTIF(Main_Dil,"-")+ROW()-3-$AB$2)-9,21)),"-")</f>
        <v>-</v>
      </c>
      <c r="AQ92" s="511" t="str">
        <f t="array" aca="1" ref="AQ92" ca="1">IFERROR(IF(AI92&lt;=$AB$2,"-",INDEX(Calculation_Tab,SMALL(ROW(Main_Dil)*(Main_Dil&lt;&gt;"-"),COUNTIF(Main_Dil,"-")+ROW()-3-$AB$2)-9,22)),"-")</f>
        <v>-</v>
      </c>
      <c r="AR92" s="487" t="str">
        <f t="shared" ca="1" si="50"/>
        <v>-</v>
      </c>
      <c r="AS92" s="378">
        <v>89</v>
      </c>
      <c r="AT92" s="497" t="s">
        <v>160</v>
      </c>
      <c r="AU92" s="498">
        <v>89</v>
      </c>
      <c r="AV92" s="378" t="str">
        <f t="shared" ca="1" si="51"/>
        <v>-</v>
      </c>
      <c r="AW92" s="378" t="str">
        <f t="array" aca="1" ref="AW92" ca="1">IFERROR(IF(AS92&lt;=$AB$2+$AN$2,"-",INDEX(Calculation_Tab,SMALL(ROW(Direct_Denaturation)*(Direct_Denaturation&lt;&gt;"-"),COUNTIF(Direct_Denaturation,"-")+ROW()-3-$AB$2-$AN$2)-9,5)),"-")</f>
        <v>-</v>
      </c>
      <c r="AX92" s="378" t="str">
        <f t="array" aca="1" ref="AX92" ca="1">IFERROR(IF(AS92&lt;=$AB$2+$AN$2,"-",INDEX($A$3:$B$12,MATCH(INDEX(Calculation_Tab,SMALL(ROW(Direct_Denaturation)*(Direct_Denaturation&lt;&gt;"-"),COUNTIF(Direct_Denaturation,"-")+ROW()-3-$AB$2-$AN$2)-9,5),$A$3:$A$12,0),2)),"-")</f>
        <v>-</v>
      </c>
      <c r="AY92" s="378" t="str">
        <f t="array" aca="1" ref="AY92" ca="1">IFERROR(IF(AS92&lt;=$AB$2+$AN$2,"-",INDEX(Coordinate,MATCH(INDEX(Calculation_Tab,SMALL(ROW(Direct_Denaturation)*(Direct_Denaturation&lt;&gt;"-"),COUNTIF(Direct_Denaturation,"-")+ROW()-3-$AB$2-$AN$2)-9,6),$X$4:$X$99,0),2)),"-")</f>
        <v>-</v>
      </c>
      <c r="AZ92" s="510" t="str">
        <f t="array" aca="1" ref="AZ92" ca="1">IFERROR(IF(AS92&lt;=$AB$2+$AN$2,"-",INDEX(Calculation_Tab,SMALL(ROW(Direct_Denaturation)*(Direct_Denaturation&lt;&gt;"-"),COUNTIF(Direct_Denaturation,"-")+ROW()-3-$AB$2-$AN$2)-9,32)),"-")</f>
        <v>-</v>
      </c>
      <c r="BA92" s="510" t="str">
        <f t="array" aca="1" ref="BA92" ca="1">IFERROR(IF(AS92&lt;=$AB$2+$AN$2,"-",INDEX(Calculation_Tab,SMALL(ROW(Direct_Denaturation)*(Direct_Denaturation&lt;&gt;"-"),COUNTIF(Direct_Denaturation,"-")+ROW()-3-$AB$2-$AN$2)-9,34)),"-")</f>
        <v>-</v>
      </c>
      <c r="BB92" s="510" t="str">
        <f t="array" aca="1" ref="BB92" ca="1">IFERROR(IF(AS92&lt;=$AB$2+$AN$2,"-",INDEX(Calculation_Tab,SMALL(ROW(Direct_Denaturation)*(Direct_Denaturation&lt;&gt;"-"),COUNTIF(Direct_Denaturation,"-")+ROW()-3-$AB$2-$AN$2)-9,33)),"-")</f>
        <v>-</v>
      </c>
      <c r="BC92" s="510" t="str">
        <f t="array" aca="1" ref="BC92" ca="1">IFERROR(IF(AS92&lt;=$AB$2+$AN$2,"-",INDEX(Calculation_Tab,SMALL(ROW(Direct_Denaturation)*(Direct_Denaturation&lt;&gt;"-"),COUNTIF(Direct_Denaturation,"-")+ROW()-3-$AB$2-$AN$2)-9,35)),"-")</f>
        <v>-</v>
      </c>
      <c r="BD92" s="511" t="str">
        <f t="shared" ca="1" si="52"/>
        <v>-</v>
      </c>
      <c r="BE92" s="494" t="s">
        <v>464</v>
      </c>
      <c r="BF92" s="378">
        <v>89</v>
      </c>
      <c r="BG92" s="515" t="str">
        <v>-</v>
      </c>
      <c r="BH92" s="516" t="str">
        <f>IFERROR(IF((Calculation!$AR$6/INDEX(ListAndConversion!D:P,MATCH(BG92,E:E,0),13))&lt;Calculation!$O$6,INDEX(ListAndConversion!D:P,MATCH(BG92,E:E,0),13)*Calculation!$O$6,Calculation!$AR$6),"-")</f>
        <v>-</v>
      </c>
      <c r="BI92" s="517" t="str">
        <f t="shared" si="53"/>
        <v>-</v>
      </c>
      <c r="BJ92" s="518" t="str">
        <f t="shared" si="54"/>
        <v>-</v>
      </c>
      <c r="BK92" s="378" t="s">
        <v>158</v>
      </c>
      <c r="BL92" s="378">
        <v>89</v>
      </c>
      <c r="BM92" s="487" t="str">
        <f t="array" aca="1" ref="BM92" ca="1">IFERROR(INDEX(Calculation_Tab,SMALL(ROW(ToPool)*(ToPool&lt;&gt;"-"),COUNTIF(ToPool,"-")+ROW()-3)-9,3),"-")</f>
        <v>-</v>
      </c>
      <c r="BN92" s="378" t="str">
        <f t="shared" ca="1" si="55"/>
        <v>-</v>
      </c>
      <c r="BO92" s="378" t="str">
        <f t="shared" ca="1" si="56"/>
        <v>-</v>
      </c>
      <c r="BP92" s="523" t="str">
        <f t="shared" ca="1" si="57"/>
        <v>-</v>
      </c>
      <c r="BQ92" s="378" t="str">
        <f t="array" aca="1" ref="BQ92" ca="1">IFERROR(INDEX(BE:BG,MATCH(INDEX(Calculation_Tab,SMALL(ROW(ToPool)*(ToPool&lt;&gt;"-"),COUNTIF(ToPool,"-")+ROW()-3)-9,9),BG:BG,0),2),"-")</f>
        <v>-</v>
      </c>
      <c r="BR92" s="510" t="str">
        <f t="shared" ca="1" si="58"/>
        <v>-</v>
      </c>
      <c r="BS92" s="511" t="str">
        <f t="shared" ca="1" si="59"/>
        <v>-</v>
      </c>
      <c r="BT92" s="378" t="s">
        <v>164</v>
      </c>
      <c r="BU92" s="487" t="str">
        <f t="shared" ca="1" si="63"/>
        <v>-</v>
      </c>
      <c r="BV92" s="487" t="str">
        <f t="array" aca="1" ref="BV9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92" s="378" t="str">
        <f t="shared" ca="1" si="60"/>
        <v>-</v>
      </c>
      <c r="BX92" s="378" t="str">
        <f t="shared" ca="1" si="61"/>
        <v>-</v>
      </c>
      <c r="BY92" s="510" t="str">
        <f ca="1">IFERROR(ROUND(INDEX(Cluster,MATCH(IF(LEFT(BV92,4)="Pool",INDEX(Cluster,MATCH(INDEX(Calculation_Tab,MATCH(INDEX($BE$4:$BJ$99,MATCH(BV92,$BE$4:$BE$99,0),3),Flow_Cell_Lane,0),3),Cluster!$F$29:$F$412,0),6),BV92),Identifier_Cluster,0),19)*IF(LEFT(BV92,4)="pool",IF(LEN(INDEX($BE$4:$BJ$99,MATCH(BV92,$BE$4:$BE$99,0),3))=10,2,IF(LEN(INDEX($BE$4:$BJ$99,MATCH(BV92,$BE$4:$BE$99,0),3))&gt;10,LEN(INDEX($BE$4:$BJ$99,MATCH(BV92,$BE$4:$BE$99,0),3))-8,1)),1)*IF(LEFT(BV92,4)="pool",IF(INDEX($BE$4:$BJ$99,MATCH(BV92,$BE$4:$BE$99,0),6)&lt;1,1,INDEX($BE$4:$BJ$99,MATCH(BV92,$BE$4:$BE$99,0),6)),INDEX(Calculation_Tab,MATCH(BV92,Identifier,0),10)),1)*(1+Calculation!$Q$6),"-")</f>
        <v>-</v>
      </c>
      <c r="BZ92" s="378" t="str">
        <f ca="1">IFERROR((0.5/50)*CE92/Calculation!$AG$6*(IF(LEFT(BV92,4)="Pool",IF(LEN(INDEX($BE$4:$BJ$99,MATCH(BV92,$BE$4:$BE$99,0),3))=10,2,IF(LEN(INDEX($BE$4:$BJ$99,MATCH(BV92,$BE$4:$BE$99,0),3))&gt;10,LEN(INDEX($BE$4:$BJ$99,MATCH(BV92,$BE$4:$BE$99,0),3))-8,1)),IF(INDEX(Calculation_Tab,MATCH(BV92,Identifier,0),10)&gt;1,INDEX(Calculation_Tab,MATCH(BV92,Identifier,0),10),1)))*(1+Calculation!$Q$6),"-")</f>
        <v>-</v>
      </c>
      <c r="CA92" s="510" t="str">
        <f ca="1">IFERROR(IF((BZ92*Calculation!$AG$6/0.05)-SUM(BY92:BZ92,CC92)&gt;0,(BZ92*Calculation!$AG$6/0.05)-SUM(BY92:BZ92,CC92),0),"-")</f>
        <v>-</v>
      </c>
      <c r="CB92" s="510" t="str">
        <f ca="1">IFERROR(5/50*CE92*(IF(LEFT(BV92,4)="Pool",IF(LEN(INDEX($BE$4:$BJ$99,MATCH(BV92,$BE$4:$BE$99,0),3))=10,2,IF(LEN(INDEX($BE$4:$BJ$99,MATCH(BV92,$BE$4:$BE$99,0),3))&gt;10,LEN(INDEX($BE$4:$BJ$99,MATCH(BV92,$BE$4:$BE$99,0),3))-8,1)),IF(INDEX(Calculation_Tab,MATCH(BV92,Identifier,0),10)&gt;1,INDEX(Calculation_Tab,MATCH(BV92,Identifier,0),10),1)))*(1+Calculation!$Q$6),"-")</f>
        <v>-</v>
      </c>
      <c r="CC92" s="508" t="str">
        <f ca="1">IFERROR(ROUND(INDEX(Cluster,MATCH(IF(LEFT(BV92,4)="Pool",INDEX(Cluster,MATCH(INDEX(Calculation_Tab,MATCH(INDEX($BE$4:$BJ$99,MATCH(BV92,$BE$4:$BE$99,0),3),Flow_Cell_Lane,0),3),Cluster!$F$29:$F$412,0),6),BV92),Identifier_Cluster,0),20)*IF(LEFT(BV92,4)="pool",IF(LEN(INDEX($BE$4:$BJ$99,MATCH(BV92,$BE$4:$BE$99,0),3))=10,2,IF(LEN(INDEX($BE$4:$BJ$99,MATCH(BV92,$BE$4:$BE$99,0),3))&gt;10,LEN(INDEX($BE$4:$BJ$99,MATCH(BV92,$BE$4:$BE$99,0),3))-8,1)),1)*IF(LEFT(BV92,4)="pool",IF(INDEX($BE$4:$BJ$99,MATCH(BV92,$BE$4:$BE$99,0),6)&lt;1,1,INDEX($BE$4:$BJ$99,MATCH(BV92,$BE$4:$BE$99,0),6)),INDEX(Calculation_Tab,MATCH(BV92,Identifier,0),10)),1)*(1+Calculation!$Q$6),"-")</f>
        <v>-</v>
      </c>
      <c r="CD92" s="509" t="str">
        <f ca="1">IFERROR(INDEX(Cluster!AC:AD,MATCH(IF(LEFT(BV92,4)="Pool",INDEX(Cluster!$D$29:$AA$412,MATCH(INDEX(Calculation_Tab,MATCH(INDEX($BE$4:$BJ$99,MATCH(BV92,$BE$4:$BE$99,0),3),Flow_Cell_Lane,0),3),Cluster!$F$29:$F$412,0),24),INDEX(Cluster!$D$29:$AA$412,MATCH(BV92,Cluster!$F$29:$F$412,0),24)),Cluster!AC:AC,0),2),"-")</f>
        <v>-</v>
      </c>
      <c r="CE92" s="378" t="str">
        <f ca="1">IFERROR(IF(BV92&lt;&gt;"-",Calculation!$AK$6,"-"),"-")</f>
        <v>-</v>
      </c>
      <c r="CF92" s="378" t="str">
        <f ca="1">IF(OR(LEFT(ListAndConversion!BW92,3)="Dil",LEFT(ListAndConversion!BW92,3)="Poo"),ListAndConversion!$BT$4,IF(LEFT(ListAndConversion!BW92,3)="Sou",INDEX(ListAndConversion!$AT$3:$AV$387,MATCH(ListAndConversion!BV92,ListAndConversion!$AV$3:$AV$387,0),1),"-"))</f>
        <v>-</v>
      </c>
      <c r="CG92" s="498" t="str">
        <f ca="1">IF(OR(LEFT(ListAndConversion!BW92,3)="Dil",LEFT(ListAndConversion!BW92,3)="Poo"),ListAndConversion!BU92,IF(LEFT(ListAndConversion!BW92,3)="Sou",INDEX(ListAndConversion!$AT$4:$AV$387,MATCH(ListAndConversion!BV92,ListAndConversion!$AV$4:$AV$387,0),2),"-"))</f>
        <v>-</v>
      </c>
      <c r="CH92" s="378"/>
      <c r="CI92" s="487" t="str">
        <f t="shared" ca="1" si="62"/>
        <v>-</v>
      </c>
      <c r="CJ92" s="378" t="str">
        <f t="shared" ca="1" si="69"/>
        <v>-</v>
      </c>
      <c r="CK92" s="378" t="str">
        <f t="shared" ca="1" si="69"/>
        <v>-</v>
      </c>
      <c r="CL92" s="378" t="str">
        <f t="shared" ca="1" si="69"/>
        <v>-</v>
      </c>
      <c r="CM92" s="378" t="str">
        <f t="shared" ca="1" si="69"/>
        <v>-</v>
      </c>
      <c r="CN92" s="378" t="str">
        <f t="shared" ca="1" si="69"/>
        <v>-</v>
      </c>
      <c r="CO92" s="378" t="str">
        <f t="shared" ca="1" si="69"/>
        <v>-</v>
      </c>
      <c r="CP92" s="378" t="str">
        <f t="shared" ca="1" si="69"/>
        <v>-</v>
      </c>
      <c r="CQ92" s="378" t="str">
        <f t="shared" ca="1" si="69"/>
        <v>-</v>
      </c>
      <c r="CR92" s="510" t="str">
        <f ca="1">IFERROR(IF(LEFT(BW92,3)="Poo",INDEX($BE$4:$BJ$99,MATCH(CI92,$BG$4:$BG$99,0),6)*((15/50))*Calculation!$AK$6,INDEX(Calculation_Tab,MATCH(BV92,Identifier,0),10)/(IF(LEN(INDEX(Calculation_Tab,MATCH(BV92,Identifier,0),9))&gt;8,LEN(INDEX(Calculation_Tab,MATCH(BV92,Identifier,0),9))-8,1))*((15/50)*Calculation!$AK$6)),"-")</f>
        <v>-</v>
      </c>
      <c r="CS92" s="498" t="str">
        <f ca="1">IF(CI92="-","-",IF(COUNTIF($CI$3:CI92,CI92)&gt;1,0,IFERROR((35/50)*Calculation!$AK$6,"-")))</f>
        <v>-</v>
      </c>
    </row>
    <row r="93" spans="4:97" x14ac:dyDescent="0.5">
      <c r="D93" s="487" t="e">
        <f t="shared" si="44"/>
        <v>#DIV/0!</v>
      </c>
      <c r="E93" s="496" t="e">
        <f t="array" ref="E93">IF(IF((ROW(E93)-3)&lt;(ListAndConversion!$A$15),INDEX(Flow_Cell_Lane,MIN(IF(COUNTIF($E$2:E92,Flow_Cell_Lane)=0,ROW(Flow_Cell_Lane)-9))),"-")="","-",IF((ROW(E93)-3)&lt;(ListAndConversion!$A$15),INDEX(Flow_Cell_Lane,MIN(IF(COUNTIF($E$2:E92,Flow_Cell_Lane)=0,ROW(Flow_Cell_Lane)-9))),"-"))</f>
        <v>#DIV/0!</v>
      </c>
      <c r="F93" s="378" t="e">
        <f t="shared" si="45"/>
        <v>#DIV/0!</v>
      </c>
      <c r="G93" s="378" t="e">
        <f t="shared" ref="G93:M102" si="71">IF($D93&gt;8,IF($D93&gt;=(8+G$2),CONCATENATE(LEFT($E93,7),RIGHT(LEFT($E93,8+G$2),1)),""),"")</f>
        <v>#DIV/0!</v>
      </c>
      <c r="H93" s="378" t="e">
        <f t="shared" si="71"/>
        <v>#DIV/0!</v>
      </c>
      <c r="I93" s="378" t="e">
        <f t="shared" si="71"/>
        <v>#DIV/0!</v>
      </c>
      <c r="J93" s="378" t="e">
        <f t="shared" si="71"/>
        <v>#DIV/0!</v>
      </c>
      <c r="K93" s="378" t="e">
        <f t="shared" si="71"/>
        <v>#DIV/0!</v>
      </c>
      <c r="L93" s="378" t="e">
        <f t="shared" si="71"/>
        <v>#DIV/0!</v>
      </c>
      <c r="M93" s="378" t="e">
        <f t="shared" si="71"/>
        <v>#DIV/0!</v>
      </c>
      <c r="N93" s="497" t="e">
        <f t="shared" si="46"/>
        <v>#DIV/0!</v>
      </c>
      <c r="O93" s="497" t="str">
        <f t="array" ref="O93">IFERROR(INDEX(Calculation!I:AN,MATCH(ListAndConversion!E93,Calculation!I:I,0),31),"-")</f>
        <v>-</v>
      </c>
      <c r="P93" s="498">
        <f>IF(COUNTIFS(Calculation!$I$10:$I$393,E93,Direct_Denaturation,"-")&lt;&gt;1,COUNTIFS(Calculation!$I$10:$I$393,E93,Direct_Denaturation,"-"),0)</f>
        <v>0</v>
      </c>
      <c r="Q93" s="378"/>
      <c r="R93" s="487" t="e">
        <f t="array" ref="R93">IF(IF((ROW(R93)-3)&lt;(Calculation!$H$6),INDEX(Flow_Cell,MIN(IF(COUNTIF($R$2:R92,Flow_Cell)=0,ROW(Flow_Cell)-9))),"-")="","-",IF((ROW(R93)-3)&lt;(Calculation!$H$6),INDEX(Flow_Cell,MIN(IF(COUNTIF($R$2:R92,Flow_Cell)=0,ROW(Flow_Cell)-9))),"-"))</f>
        <v>#DIV/0!</v>
      </c>
      <c r="S93" s="378" t="e">
        <f t="shared" si="70"/>
        <v>#DIV/0!</v>
      </c>
      <c r="T93" s="378">
        <v>3</v>
      </c>
      <c r="U93" s="498">
        <v>91</v>
      </c>
      <c r="V93" s="487">
        <v>90</v>
      </c>
      <c r="W93" s="497" t="s">
        <v>287</v>
      </c>
      <c r="X93" s="497" t="s">
        <v>465</v>
      </c>
      <c r="Y93" s="378">
        <v>90</v>
      </c>
      <c r="Z93" s="378" t="str">
        <f t="shared" ca="1" si="48"/>
        <v>-</v>
      </c>
      <c r="AA93" s="508" t="str">
        <f t="array" aca="1" ref="AA93" ca="1">IFERROR(INDEX(Calculation_Tab,SMALL(ROW(Sample_Intermediate_Dil)*(Sample_Intermediate_Dil&lt;&gt;"-"),COUNTIF(Sample_Intermediate_Dil,"-")+ROW()-3)-9,5),"-")</f>
        <v>-</v>
      </c>
      <c r="AB93" s="378" t="str">
        <f t="array" aca="1" ref="AB93" ca="1">IFERROR(INDEX($A$3:$B$12,MATCH(INDEX(Calculation_Tab,SMALL(ROW(Sample_Intermediate_Dil)*(Sample_Intermediate_Dil&lt;&gt;"-"),COUNTIF(Sample_Intermediate_Dil,"-")+ROW()-3)-9,5),$A$3:$A$12,0),2),"-")</f>
        <v>-</v>
      </c>
      <c r="AC93" s="509" t="str">
        <f t="array" aca="1" ref="AC93" ca="1">IFERROR(INDEX(Coordinate,MATCH(INDEX(Calculation_Tab,SMALL(ROW(Sample_Intermediate_Dil)*(Sample_Intermediate_Dil&lt;&gt;"-"),COUNTIF(Sample_Intermediate_Dil,"-")+ROW()-3)-9,6),$X$4:$X$99,0),2),"-")</f>
        <v>-</v>
      </c>
      <c r="AD93" s="510" t="str">
        <f t="array" aca="1" ref="AD93" ca="1">IFERROR(INDEX(Calculation_Tab,SMALL(ROW(Sample_Intermediate_Dil)*(Sample_Intermediate_Dil&lt;&gt;"-"),COUNTIF(Sample_Intermediate_Dil,"-")+ROW()-3)-9,24),"-")</f>
        <v>-</v>
      </c>
      <c r="AE93" s="510" t="str">
        <f t="array" aca="1" ref="AE93" ca="1">IFERROR(INDEX(Calculation_Tab,SMALL(ROW(Sample_Intermediate_Dil)*(Sample_Intermediate_Dil&lt;&gt;"-"),COUNTIF(Sample_Intermediate_Dil,"-")+ROW()-3)-9,25),"-")</f>
        <v>-</v>
      </c>
      <c r="AF93" s="510" t="str">
        <f t="array" aca="1" ref="AF93" ca="1">IFERROR(INDEX(Calculation_Tab,SMALL(ROW(Sample_Intermediate_Dil)*(Sample_Intermediate_Dil&lt;&gt;"-"),COUNTIF(Sample_Intermediate_Dil,"-")+ROW()-3)-9,26),"-")</f>
        <v>-</v>
      </c>
      <c r="AG93" s="511" t="str">
        <f t="array" aca="1" ref="AG93" ca="1">IFERROR(INDEX(Calculation_Tab,SMALL(ROW(Sample_Intermediate_Dil)*(Sample_Intermediate_Dil&lt;&gt;"-"),COUNTIF(Sample_Intermediate_Dil,"-")+ROW()-3)-9,27),"-")</f>
        <v>-</v>
      </c>
      <c r="AI93" s="487">
        <v>90</v>
      </c>
      <c r="AJ93" s="497" t="s">
        <v>160</v>
      </c>
      <c r="AK93" s="378">
        <v>90</v>
      </c>
      <c r="AL93" s="378" t="str">
        <f t="shared" ca="1" si="49"/>
        <v>-</v>
      </c>
      <c r="AM93" s="378" t="str">
        <f t="array" aca="1" ref="AM93" ca="1">IFERROR(IF(AI93&lt;=$AB$2,"-",INDEX(Calculation_Tab,SMALL(ROW(Main_Dil)*(Main_Dil&lt;&gt;"-"),COUNTIF(Main_Dil,"-")+ROW()-3-$AB$2)-9,5)),"-")</f>
        <v>-</v>
      </c>
      <c r="AN93" s="378" t="str">
        <f t="array" aca="1" ref="AN93" ca="1">IFERROR(IF(AI93&lt;=$AB$2,"-",INDEX($A$3:$B$12,MATCH(INDEX(Calculation_Tab,SMALL(ROW(Main_Dil)*(Main_Dil&lt;&gt;"-"),COUNTIF(Main_Dil,"-")+ROW()-3-$AB$2)-9,5),$A$3:$A$12,0),2)),"-")</f>
        <v>-</v>
      </c>
      <c r="AO93" s="378" t="str">
        <f t="array" aca="1" ref="AO93" ca="1">IFERROR(IF(AI93&lt;=$AB$2,"-",INDEX(Coordinate,MATCH(INDEX(Calculation_Tab,SMALL(ROW(Main_Dil)*(Main_Dil&lt;&gt;"-"),COUNTIF(Main_Dil,"-")+ROW()-3-$AB$2)-9,6),$X$4:$X$99,0),2)),"-")</f>
        <v>-</v>
      </c>
      <c r="AP93" s="510" t="str">
        <f t="array" aca="1" ref="AP93" ca="1">IFERROR(IF(AI93&lt;=$AB$2,"-",INDEX(Calculation_Tab,SMALL(ROW(Main_Dil)*(Main_Dil&lt;&gt;"-"),COUNTIF(Main_Dil,"-")+ROW()-3-$AB$2)-9,21)),"-")</f>
        <v>-</v>
      </c>
      <c r="AQ93" s="511" t="str">
        <f t="array" aca="1" ref="AQ93" ca="1">IFERROR(IF(AI93&lt;=$AB$2,"-",INDEX(Calculation_Tab,SMALL(ROW(Main_Dil)*(Main_Dil&lt;&gt;"-"),COUNTIF(Main_Dil,"-")+ROW()-3-$AB$2)-9,22)),"-")</f>
        <v>-</v>
      </c>
      <c r="AR93" s="487" t="str">
        <f t="shared" ca="1" si="50"/>
        <v>-</v>
      </c>
      <c r="AS93" s="378">
        <v>90</v>
      </c>
      <c r="AT93" s="497" t="s">
        <v>160</v>
      </c>
      <c r="AU93" s="498">
        <v>90</v>
      </c>
      <c r="AV93" s="378" t="str">
        <f t="shared" ca="1" si="51"/>
        <v>-</v>
      </c>
      <c r="AW93" s="378" t="str">
        <f t="array" aca="1" ref="AW93" ca="1">IFERROR(IF(AS93&lt;=$AB$2+$AN$2,"-",INDEX(Calculation_Tab,SMALL(ROW(Direct_Denaturation)*(Direct_Denaturation&lt;&gt;"-"),COUNTIF(Direct_Denaturation,"-")+ROW()-3-$AB$2-$AN$2)-9,5)),"-")</f>
        <v>-</v>
      </c>
      <c r="AX93" s="378" t="str">
        <f t="array" aca="1" ref="AX93" ca="1">IFERROR(IF(AS93&lt;=$AB$2+$AN$2,"-",INDEX($A$3:$B$12,MATCH(INDEX(Calculation_Tab,SMALL(ROW(Direct_Denaturation)*(Direct_Denaturation&lt;&gt;"-"),COUNTIF(Direct_Denaturation,"-")+ROW()-3-$AB$2-$AN$2)-9,5),$A$3:$A$12,0),2)),"-")</f>
        <v>-</v>
      </c>
      <c r="AY93" s="378" t="str">
        <f t="array" aca="1" ref="AY93" ca="1">IFERROR(IF(AS93&lt;=$AB$2+$AN$2,"-",INDEX(Coordinate,MATCH(INDEX(Calculation_Tab,SMALL(ROW(Direct_Denaturation)*(Direct_Denaturation&lt;&gt;"-"),COUNTIF(Direct_Denaturation,"-")+ROW()-3-$AB$2-$AN$2)-9,6),$X$4:$X$99,0),2)),"-")</f>
        <v>-</v>
      </c>
      <c r="AZ93" s="510" t="str">
        <f t="array" aca="1" ref="AZ93" ca="1">IFERROR(IF(AS93&lt;=$AB$2+$AN$2,"-",INDEX(Calculation_Tab,SMALL(ROW(Direct_Denaturation)*(Direct_Denaturation&lt;&gt;"-"),COUNTIF(Direct_Denaturation,"-")+ROW()-3-$AB$2-$AN$2)-9,32)),"-")</f>
        <v>-</v>
      </c>
      <c r="BA93" s="510" t="str">
        <f t="array" aca="1" ref="BA93" ca="1">IFERROR(IF(AS93&lt;=$AB$2+$AN$2,"-",INDEX(Calculation_Tab,SMALL(ROW(Direct_Denaturation)*(Direct_Denaturation&lt;&gt;"-"),COUNTIF(Direct_Denaturation,"-")+ROW()-3-$AB$2-$AN$2)-9,34)),"-")</f>
        <v>-</v>
      </c>
      <c r="BB93" s="510" t="str">
        <f t="array" aca="1" ref="BB93" ca="1">IFERROR(IF(AS93&lt;=$AB$2+$AN$2,"-",INDEX(Calculation_Tab,SMALL(ROW(Direct_Denaturation)*(Direct_Denaturation&lt;&gt;"-"),COUNTIF(Direct_Denaturation,"-")+ROW()-3-$AB$2-$AN$2)-9,33)),"-")</f>
        <v>-</v>
      </c>
      <c r="BC93" s="510" t="str">
        <f t="array" aca="1" ref="BC93" ca="1">IFERROR(IF(AS93&lt;=$AB$2+$AN$2,"-",INDEX(Calculation_Tab,SMALL(ROW(Direct_Denaturation)*(Direct_Denaturation&lt;&gt;"-"),COUNTIF(Direct_Denaturation,"-")+ROW()-3-$AB$2-$AN$2)-9,35)),"-")</f>
        <v>-</v>
      </c>
      <c r="BD93" s="511" t="str">
        <f t="shared" ca="1" si="52"/>
        <v>-</v>
      </c>
      <c r="BE93" s="494" t="s">
        <v>466</v>
      </c>
      <c r="BF93" s="378">
        <v>90</v>
      </c>
      <c r="BG93" s="515" t="str">
        <v>-</v>
      </c>
      <c r="BH93" s="516" t="str">
        <f>IFERROR(IF((Calculation!$AR$6/INDEX(ListAndConversion!D:P,MATCH(BG93,E:E,0),13))&lt;Calculation!$O$6,INDEX(ListAndConversion!D:P,MATCH(BG93,E:E,0),13)*Calculation!$O$6,Calculation!$AR$6),"-")</f>
        <v>-</v>
      </c>
      <c r="BI93" s="517" t="str">
        <f t="shared" si="53"/>
        <v>-</v>
      </c>
      <c r="BJ93" s="518" t="str">
        <f t="shared" si="54"/>
        <v>-</v>
      </c>
      <c r="BK93" s="378" t="s">
        <v>158</v>
      </c>
      <c r="BL93" s="378">
        <v>90</v>
      </c>
      <c r="BM93" s="487" t="str">
        <f t="array" aca="1" ref="BM93" ca="1">IFERROR(INDEX(Calculation_Tab,SMALL(ROW(ToPool)*(ToPool&lt;&gt;"-"),COUNTIF(ToPool,"-")+ROW()-3)-9,3),"-")</f>
        <v>-</v>
      </c>
      <c r="BN93" s="378" t="str">
        <f t="shared" ca="1" si="55"/>
        <v>-</v>
      </c>
      <c r="BO93" s="378" t="str">
        <f t="shared" ca="1" si="56"/>
        <v>-</v>
      </c>
      <c r="BP93" s="523" t="str">
        <f t="shared" ca="1" si="57"/>
        <v>-</v>
      </c>
      <c r="BQ93" s="378" t="str">
        <f t="array" aca="1" ref="BQ93" ca="1">IFERROR(INDEX(BE:BG,MATCH(INDEX(Calculation_Tab,SMALL(ROW(ToPool)*(ToPool&lt;&gt;"-"),COUNTIF(ToPool,"-")+ROW()-3)-9,9),BG:BG,0),2),"-")</f>
        <v>-</v>
      </c>
      <c r="BR93" s="510" t="str">
        <f t="shared" ca="1" si="58"/>
        <v>-</v>
      </c>
      <c r="BS93" s="511" t="str">
        <f t="shared" ca="1" si="59"/>
        <v>-</v>
      </c>
      <c r="BT93" s="378" t="s">
        <v>164</v>
      </c>
      <c r="BU93" s="487" t="str">
        <f t="shared" ca="1" si="63"/>
        <v>-</v>
      </c>
      <c r="BV93" s="487" t="str">
        <f t="array" aca="1" ref="BV9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93" s="378" t="str">
        <f t="shared" ca="1" si="60"/>
        <v>-</v>
      </c>
      <c r="BX93" s="378" t="str">
        <f t="shared" ca="1" si="61"/>
        <v>-</v>
      </c>
      <c r="BY93" s="510" t="str">
        <f ca="1">IFERROR(ROUND(INDEX(Cluster,MATCH(IF(LEFT(BV93,4)="Pool",INDEX(Cluster,MATCH(INDEX(Calculation_Tab,MATCH(INDEX($BE$4:$BJ$99,MATCH(BV93,$BE$4:$BE$99,0),3),Flow_Cell_Lane,0),3),Cluster!$F$29:$F$412,0),6),BV93),Identifier_Cluster,0),19)*IF(LEFT(BV93,4)="pool",IF(LEN(INDEX($BE$4:$BJ$99,MATCH(BV93,$BE$4:$BE$99,0),3))=10,2,IF(LEN(INDEX($BE$4:$BJ$99,MATCH(BV93,$BE$4:$BE$99,0),3))&gt;10,LEN(INDEX($BE$4:$BJ$99,MATCH(BV93,$BE$4:$BE$99,0),3))-8,1)),1)*IF(LEFT(BV93,4)="pool",IF(INDEX($BE$4:$BJ$99,MATCH(BV93,$BE$4:$BE$99,0),6)&lt;1,1,INDEX($BE$4:$BJ$99,MATCH(BV93,$BE$4:$BE$99,0),6)),INDEX(Calculation_Tab,MATCH(BV93,Identifier,0),10)),1)*(1+Calculation!$Q$6),"-")</f>
        <v>-</v>
      </c>
      <c r="BZ93" s="378" t="str">
        <f ca="1">IFERROR((0.5/50)*CE93/Calculation!$AG$6*(IF(LEFT(BV93,4)="Pool",IF(LEN(INDEX($BE$4:$BJ$99,MATCH(BV93,$BE$4:$BE$99,0),3))=10,2,IF(LEN(INDEX($BE$4:$BJ$99,MATCH(BV93,$BE$4:$BE$99,0),3))&gt;10,LEN(INDEX($BE$4:$BJ$99,MATCH(BV93,$BE$4:$BE$99,0),3))-8,1)),IF(INDEX(Calculation_Tab,MATCH(BV93,Identifier,0),10)&gt;1,INDEX(Calculation_Tab,MATCH(BV93,Identifier,0),10),1)))*(1+Calculation!$Q$6),"-")</f>
        <v>-</v>
      </c>
      <c r="CA93" s="510" t="str">
        <f ca="1">IFERROR(IF((BZ93*Calculation!$AG$6/0.05)-SUM(BY93:BZ93,CC93)&gt;0,(BZ93*Calculation!$AG$6/0.05)-SUM(BY93:BZ93,CC93),0),"-")</f>
        <v>-</v>
      </c>
      <c r="CB93" s="510" t="str">
        <f ca="1">IFERROR(5/50*CE93*(IF(LEFT(BV93,4)="Pool",IF(LEN(INDEX($BE$4:$BJ$99,MATCH(BV93,$BE$4:$BE$99,0),3))=10,2,IF(LEN(INDEX($BE$4:$BJ$99,MATCH(BV93,$BE$4:$BE$99,0),3))&gt;10,LEN(INDEX($BE$4:$BJ$99,MATCH(BV93,$BE$4:$BE$99,0),3))-8,1)),IF(INDEX(Calculation_Tab,MATCH(BV93,Identifier,0),10)&gt;1,INDEX(Calculation_Tab,MATCH(BV93,Identifier,0),10),1)))*(1+Calculation!$Q$6),"-")</f>
        <v>-</v>
      </c>
      <c r="CC93" s="508" t="str">
        <f ca="1">IFERROR(ROUND(INDEX(Cluster,MATCH(IF(LEFT(BV93,4)="Pool",INDEX(Cluster,MATCH(INDEX(Calculation_Tab,MATCH(INDEX($BE$4:$BJ$99,MATCH(BV93,$BE$4:$BE$99,0),3),Flow_Cell_Lane,0),3),Cluster!$F$29:$F$412,0),6),BV93),Identifier_Cluster,0),20)*IF(LEFT(BV93,4)="pool",IF(LEN(INDEX($BE$4:$BJ$99,MATCH(BV93,$BE$4:$BE$99,0),3))=10,2,IF(LEN(INDEX($BE$4:$BJ$99,MATCH(BV93,$BE$4:$BE$99,0),3))&gt;10,LEN(INDEX($BE$4:$BJ$99,MATCH(BV93,$BE$4:$BE$99,0),3))-8,1)),1)*IF(LEFT(BV93,4)="pool",IF(INDEX($BE$4:$BJ$99,MATCH(BV93,$BE$4:$BE$99,0),6)&lt;1,1,INDEX($BE$4:$BJ$99,MATCH(BV93,$BE$4:$BE$99,0),6)),INDEX(Calculation_Tab,MATCH(BV93,Identifier,0),10)),1)*(1+Calculation!$Q$6),"-")</f>
        <v>-</v>
      </c>
      <c r="CD93" s="509" t="str">
        <f ca="1">IFERROR(INDEX(Cluster!AC:AD,MATCH(IF(LEFT(BV93,4)="Pool",INDEX(Cluster!$D$29:$AA$412,MATCH(INDEX(Calculation_Tab,MATCH(INDEX($BE$4:$BJ$99,MATCH(BV93,$BE$4:$BE$99,0),3),Flow_Cell_Lane,0),3),Cluster!$F$29:$F$412,0),24),INDEX(Cluster!$D$29:$AA$412,MATCH(BV93,Cluster!$F$29:$F$412,0),24)),Cluster!AC:AC,0),2),"-")</f>
        <v>-</v>
      </c>
      <c r="CE93" s="378" t="str">
        <f ca="1">IFERROR(IF(BV93&lt;&gt;"-",Calculation!$AK$6,"-"),"-")</f>
        <v>-</v>
      </c>
      <c r="CF93" s="378" t="str">
        <f ca="1">IF(OR(LEFT(ListAndConversion!BW93,3)="Dil",LEFT(ListAndConversion!BW93,3)="Poo"),ListAndConversion!$BT$4,IF(LEFT(ListAndConversion!BW93,3)="Sou",INDEX(ListAndConversion!$AT$3:$AV$387,MATCH(ListAndConversion!BV93,ListAndConversion!$AV$3:$AV$387,0),1),"-"))</f>
        <v>-</v>
      </c>
      <c r="CG93" s="498" t="str">
        <f ca="1">IF(OR(LEFT(ListAndConversion!BW93,3)="Dil",LEFT(ListAndConversion!BW93,3)="Poo"),ListAndConversion!BU93,IF(LEFT(ListAndConversion!BW93,3)="Sou",INDEX(ListAndConversion!$AT$4:$AV$387,MATCH(ListAndConversion!BV93,ListAndConversion!$AV$4:$AV$387,0),2),"-"))</f>
        <v>-</v>
      </c>
      <c r="CH93" s="378"/>
      <c r="CI93" s="487" t="str">
        <f t="shared" ca="1" si="62"/>
        <v>-</v>
      </c>
      <c r="CJ93" s="378" t="str">
        <f t="shared" ca="1" si="69"/>
        <v>-</v>
      </c>
      <c r="CK93" s="378" t="str">
        <f t="shared" ca="1" si="69"/>
        <v>-</v>
      </c>
      <c r="CL93" s="378" t="str">
        <f t="shared" ca="1" si="69"/>
        <v>-</v>
      </c>
      <c r="CM93" s="378" t="str">
        <f t="shared" ca="1" si="69"/>
        <v>-</v>
      </c>
      <c r="CN93" s="378" t="str">
        <f t="shared" ca="1" si="69"/>
        <v>-</v>
      </c>
      <c r="CO93" s="378" t="str">
        <f t="shared" ca="1" si="69"/>
        <v>-</v>
      </c>
      <c r="CP93" s="378" t="str">
        <f t="shared" ca="1" si="69"/>
        <v>-</v>
      </c>
      <c r="CQ93" s="378" t="str">
        <f t="shared" ca="1" si="69"/>
        <v>-</v>
      </c>
      <c r="CR93" s="510" t="str">
        <f ca="1">IFERROR(IF(LEFT(BW93,3)="Poo",INDEX($BE$4:$BJ$99,MATCH(CI93,$BG$4:$BG$99,0),6)*((15/50))*Calculation!$AK$6,INDEX(Calculation_Tab,MATCH(BV93,Identifier,0),10)/(IF(LEN(INDEX(Calculation_Tab,MATCH(BV93,Identifier,0),9))&gt;8,LEN(INDEX(Calculation_Tab,MATCH(BV93,Identifier,0),9))-8,1))*((15/50)*Calculation!$AK$6)),"-")</f>
        <v>-</v>
      </c>
      <c r="CS93" s="498" t="str">
        <f ca="1">IF(CI93="-","-",IF(COUNTIF($CI$3:CI93,CI93)&gt;1,0,IFERROR((35/50)*Calculation!$AK$6,"-")))</f>
        <v>-</v>
      </c>
    </row>
    <row r="94" spans="4:97" x14ac:dyDescent="0.5">
      <c r="D94" s="487" t="e">
        <f t="shared" si="44"/>
        <v>#DIV/0!</v>
      </c>
      <c r="E94" s="496" t="e">
        <f t="array" ref="E94">IF(IF((ROW(E94)-3)&lt;(ListAndConversion!$A$15),INDEX(Flow_Cell_Lane,MIN(IF(COUNTIF($E$2:E93,Flow_Cell_Lane)=0,ROW(Flow_Cell_Lane)-9))),"-")="","-",IF((ROW(E94)-3)&lt;(ListAndConversion!$A$15),INDEX(Flow_Cell_Lane,MIN(IF(COUNTIF($E$2:E93,Flow_Cell_Lane)=0,ROW(Flow_Cell_Lane)-9))),"-"))</f>
        <v>#DIV/0!</v>
      </c>
      <c r="F94" s="378" t="e">
        <f t="shared" si="45"/>
        <v>#DIV/0!</v>
      </c>
      <c r="G94" s="378" t="e">
        <f t="shared" si="71"/>
        <v>#DIV/0!</v>
      </c>
      <c r="H94" s="378" t="e">
        <f t="shared" si="71"/>
        <v>#DIV/0!</v>
      </c>
      <c r="I94" s="378" t="e">
        <f t="shared" si="71"/>
        <v>#DIV/0!</v>
      </c>
      <c r="J94" s="378" t="e">
        <f t="shared" si="71"/>
        <v>#DIV/0!</v>
      </c>
      <c r="K94" s="378" t="e">
        <f t="shared" si="71"/>
        <v>#DIV/0!</v>
      </c>
      <c r="L94" s="378" t="e">
        <f t="shared" si="71"/>
        <v>#DIV/0!</v>
      </c>
      <c r="M94" s="378" t="e">
        <f t="shared" si="71"/>
        <v>#DIV/0!</v>
      </c>
      <c r="N94" s="497" t="e">
        <f t="shared" si="46"/>
        <v>#DIV/0!</v>
      </c>
      <c r="O94" s="497" t="str">
        <f t="array" ref="O94">IFERROR(INDEX(Calculation!I:AN,MATCH(ListAndConversion!E94,Calculation!I:I,0),31),"-")</f>
        <v>-</v>
      </c>
      <c r="P94" s="498">
        <f>IF(COUNTIFS(Calculation!$I$10:$I$393,E94,Direct_Denaturation,"-")&lt;&gt;1,COUNTIFS(Calculation!$I$10:$I$393,E94,Direct_Denaturation,"-"),0)</f>
        <v>0</v>
      </c>
      <c r="Q94" s="378"/>
      <c r="R94" s="487" t="e">
        <f t="array" ref="R94">IF(IF((ROW(R94)-3)&lt;(Calculation!$H$6),INDEX(Flow_Cell,MIN(IF(COUNTIF($R$2:R93,Flow_Cell)=0,ROW(Flow_Cell)-9))),"-")="","-",IF((ROW(R94)-3)&lt;(Calculation!$H$6),INDEX(Flow_Cell,MIN(IF(COUNTIF($R$2:R93,Flow_Cell)=0,ROW(Flow_Cell)-9))),"-"))</f>
        <v>#DIV/0!</v>
      </c>
      <c r="S94" s="378" t="e">
        <f t="shared" si="70"/>
        <v>#DIV/0!</v>
      </c>
      <c r="T94" s="378">
        <v>4</v>
      </c>
      <c r="U94" s="498">
        <v>92</v>
      </c>
      <c r="V94" s="487">
        <v>91</v>
      </c>
      <c r="W94" s="497" t="s">
        <v>287</v>
      </c>
      <c r="X94" s="497" t="s">
        <v>467</v>
      </c>
      <c r="Y94" s="378">
        <v>91</v>
      </c>
      <c r="Z94" s="378" t="str">
        <f t="shared" ca="1" si="48"/>
        <v>-</v>
      </c>
      <c r="AA94" s="508" t="str">
        <f t="array" aca="1" ref="AA94" ca="1">IFERROR(INDEX(Calculation_Tab,SMALL(ROW(Sample_Intermediate_Dil)*(Sample_Intermediate_Dil&lt;&gt;"-"),COUNTIF(Sample_Intermediate_Dil,"-")+ROW()-3)-9,5),"-")</f>
        <v>-</v>
      </c>
      <c r="AB94" s="378" t="str">
        <f t="array" aca="1" ref="AB94" ca="1">IFERROR(INDEX($A$3:$B$12,MATCH(INDEX(Calculation_Tab,SMALL(ROW(Sample_Intermediate_Dil)*(Sample_Intermediate_Dil&lt;&gt;"-"),COUNTIF(Sample_Intermediate_Dil,"-")+ROW()-3)-9,5),$A$3:$A$12,0),2),"-")</f>
        <v>-</v>
      </c>
      <c r="AC94" s="509" t="str">
        <f t="array" aca="1" ref="AC94" ca="1">IFERROR(INDEX(Coordinate,MATCH(INDEX(Calculation_Tab,SMALL(ROW(Sample_Intermediate_Dil)*(Sample_Intermediate_Dil&lt;&gt;"-"),COUNTIF(Sample_Intermediate_Dil,"-")+ROW()-3)-9,6),$X$4:$X$99,0),2),"-")</f>
        <v>-</v>
      </c>
      <c r="AD94" s="510" t="str">
        <f t="array" aca="1" ref="AD94" ca="1">IFERROR(INDEX(Calculation_Tab,SMALL(ROW(Sample_Intermediate_Dil)*(Sample_Intermediate_Dil&lt;&gt;"-"),COUNTIF(Sample_Intermediate_Dil,"-")+ROW()-3)-9,24),"-")</f>
        <v>-</v>
      </c>
      <c r="AE94" s="510" t="str">
        <f t="array" aca="1" ref="AE94" ca="1">IFERROR(INDEX(Calculation_Tab,SMALL(ROW(Sample_Intermediate_Dil)*(Sample_Intermediate_Dil&lt;&gt;"-"),COUNTIF(Sample_Intermediate_Dil,"-")+ROW()-3)-9,25),"-")</f>
        <v>-</v>
      </c>
      <c r="AF94" s="510" t="str">
        <f t="array" aca="1" ref="AF94" ca="1">IFERROR(INDEX(Calculation_Tab,SMALL(ROW(Sample_Intermediate_Dil)*(Sample_Intermediate_Dil&lt;&gt;"-"),COUNTIF(Sample_Intermediate_Dil,"-")+ROW()-3)-9,26),"-")</f>
        <v>-</v>
      </c>
      <c r="AG94" s="511" t="str">
        <f t="array" aca="1" ref="AG94" ca="1">IFERROR(INDEX(Calculation_Tab,SMALL(ROW(Sample_Intermediate_Dil)*(Sample_Intermediate_Dil&lt;&gt;"-"),COUNTIF(Sample_Intermediate_Dil,"-")+ROW()-3)-9,27),"-")</f>
        <v>-</v>
      </c>
      <c r="AI94" s="487">
        <v>91</v>
      </c>
      <c r="AJ94" s="497" t="s">
        <v>160</v>
      </c>
      <c r="AK94" s="378">
        <v>91</v>
      </c>
      <c r="AL94" s="378" t="str">
        <f t="shared" ca="1" si="49"/>
        <v>-</v>
      </c>
      <c r="AM94" s="378" t="str">
        <f t="array" aca="1" ref="AM94" ca="1">IFERROR(IF(AI94&lt;=$AB$2,"-",INDEX(Calculation_Tab,SMALL(ROW(Main_Dil)*(Main_Dil&lt;&gt;"-"),COUNTIF(Main_Dil,"-")+ROW()-3-$AB$2)-9,5)),"-")</f>
        <v>-</v>
      </c>
      <c r="AN94" s="378" t="str">
        <f t="array" aca="1" ref="AN94" ca="1">IFERROR(IF(AI94&lt;=$AB$2,"-",INDEX($A$3:$B$12,MATCH(INDEX(Calculation_Tab,SMALL(ROW(Main_Dil)*(Main_Dil&lt;&gt;"-"),COUNTIF(Main_Dil,"-")+ROW()-3-$AB$2)-9,5),$A$3:$A$12,0),2)),"-")</f>
        <v>-</v>
      </c>
      <c r="AO94" s="378" t="str">
        <f t="array" aca="1" ref="AO94" ca="1">IFERROR(IF(AI94&lt;=$AB$2,"-",INDEX(Coordinate,MATCH(INDEX(Calculation_Tab,SMALL(ROW(Main_Dil)*(Main_Dil&lt;&gt;"-"),COUNTIF(Main_Dil,"-")+ROW()-3-$AB$2)-9,6),$X$4:$X$99,0),2)),"-")</f>
        <v>-</v>
      </c>
      <c r="AP94" s="510" t="str">
        <f t="array" aca="1" ref="AP94" ca="1">IFERROR(IF(AI94&lt;=$AB$2,"-",INDEX(Calculation_Tab,SMALL(ROW(Main_Dil)*(Main_Dil&lt;&gt;"-"),COUNTIF(Main_Dil,"-")+ROW()-3-$AB$2)-9,21)),"-")</f>
        <v>-</v>
      </c>
      <c r="AQ94" s="511" t="str">
        <f t="array" aca="1" ref="AQ94" ca="1">IFERROR(IF(AI94&lt;=$AB$2,"-",INDEX(Calculation_Tab,SMALL(ROW(Main_Dil)*(Main_Dil&lt;&gt;"-"),COUNTIF(Main_Dil,"-")+ROW()-3-$AB$2)-9,22)),"-")</f>
        <v>-</v>
      </c>
      <c r="AR94" s="487" t="str">
        <f t="shared" ca="1" si="50"/>
        <v>-</v>
      </c>
      <c r="AS94" s="378">
        <v>91</v>
      </c>
      <c r="AT94" s="497" t="s">
        <v>160</v>
      </c>
      <c r="AU94" s="498">
        <v>91</v>
      </c>
      <c r="AV94" s="378" t="str">
        <f t="shared" ca="1" si="51"/>
        <v>-</v>
      </c>
      <c r="AW94" s="378" t="str">
        <f t="array" aca="1" ref="AW94" ca="1">IFERROR(IF(AS94&lt;=$AB$2+$AN$2,"-",INDEX(Calculation_Tab,SMALL(ROW(Direct_Denaturation)*(Direct_Denaturation&lt;&gt;"-"),COUNTIF(Direct_Denaturation,"-")+ROW()-3-$AB$2-$AN$2)-9,5)),"-")</f>
        <v>-</v>
      </c>
      <c r="AX94" s="378" t="str">
        <f t="array" aca="1" ref="AX94" ca="1">IFERROR(IF(AS94&lt;=$AB$2+$AN$2,"-",INDEX($A$3:$B$12,MATCH(INDEX(Calculation_Tab,SMALL(ROW(Direct_Denaturation)*(Direct_Denaturation&lt;&gt;"-"),COUNTIF(Direct_Denaturation,"-")+ROW()-3-$AB$2-$AN$2)-9,5),$A$3:$A$12,0),2)),"-")</f>
        <v>-</v>
      </c>
      <c r="AY94" s="378" t="str">
        <f t="array" aca="1" ref="AY94" ca="1">IFERROR(IF(AS94&lt;=$AB$2+$AN$2,"-",INDEX(Coordinate,MATCH(INDEX(Calculation_Tab,SMALL(ROW(Direct_Denaturation)*(Direct_Denaturation&lt;&gt;"-"),COUNTIF(Direct_Denaturation,"-")+ROW()-3-$AB$2-$AN$2)-9,6),$X$4:$X$99,0),2)),"-")</f>
        <v>-</v>
      </c>
      <c r="AZ94" s="510" t="str">
        <f t="array" aca="1" ref="AZ94" ca="1">IFERROR(IF(AS94&lt;=$AB$2+$AN$2,"-",INDEX(Calculation_Tab,SMALL(ROW(Direct_Denaturation)*(Direct_Denaturation&lt;&gt;"-"),COUNTIF(Direct_Denaturation,"-")+ROW()-3-$AB$2-$AN$2)-9,32)),"-")</f>
        <v>-</v>
      </c>
      <c r="BA94" s="510" t="str">
        <f t="array" aca="1" ref="BA94" ca="1">IFERROR(IF(AS94&lt;=$AB$2+$AN$2,"-",INDEX(Calculation_Tab,SMALL(ROW(Direct_Denaturation)*(Direct_Denaturation&lt;&gt;"-"),COUNTIF(Direct_Denaturation,"-")+ROW()-3-$AB$2-$AN$2)-9,34)),"-")</f>
        <v>-</v>
      </c>
      <c r="BB94" s="510" t="str">
        <f t="array" aca="1" ref="BB94" ca="1">IFERROR(IF(AS94&lt;=$AB$2+$AN$2,"-",INDEX(Calculation_Tab,SMALL(ROW(Direct_Denaturation)*(Direct_Denaturation&lt;&gt;"-"),COUNTIF(Direct_Denaturation,"-")+ROW()-3-$AB$2-$AN$2)-9,33)),"-")</f>
        <v>-</v>
      </c>
      <c r="BC94" s="510" t="str">
        <f t="array" aca="1" ref="BC94" ca="1">IFERROR(IF(AS94&lt;=$AB$2+$AN$2,"-",INDEX(Calculation_Tab,SMALL(ROW(Direct_Denaturation)*(Direct_Denaturation&lt;&gt;"-"),COUNTIF(Direct_Denaturation,"-")+ROW()-3-$AB$2-$AN$2)-9,35)),"-")</f>
        <v>-</v>
      </c>
      <c r="BD94" s="511" t="str">
        <f t="shared" ca="1" si="52"/>
        <v>-</v>
      </c>
      <c r="BE94" s="494" t="s">
        <v>468</v>
      </c>
      <c r="BF94" s="378">
        <v>91</v>
      </c>
      <c r="BG94" s="515" t="str">
        <v>-</v>
      </c>
      <c r="BH94" s="516" t="str">
        <f>IFERROR(IF((Calculation!$AR$6/INDEX(ListAndConversion!D:P,MATCH(BG94,E:E,0),13))&lt;Calculation!$O$6,INDEX(ListAndConversion!D:P,MATCH(BG94,E:E,0),13)*Calculation!$O$6,Calculation!$AR$6),"-")</f>
        <v>-</v>
      </c>
      <c r="BI94" s="517" t="str">
        <f t="shared" si="53"/>
        <v>-</v>
      </c>
      <c r="BJ94" s="518" t="str">
        <f t="shared" si="54"/>
        <v>-</v>
      </c>
      <c r="BK94" s="378" t="s">
        <v>158</v>
      </c>
      <c r="BL94" s="378">
        <v>91</v>
      </c>
      <c r="BM94" s="487" t="str">
        <f t="array" aca="1" ref="BM94" ca="1">IFERROR(INDEX(Calculation_Tab,SMALL(ROW(ToPool)*(ToPool&lt;&gt;"-"),COUNTIF(ToPool,"-")+ROW()-3)-9,3),"-")</f>
        <v>-</v>
      </c>
      <c r="BN94" s="378" t="str">
        <f t="shared" ca="1" si="55"/>
        <v>-</v>
      </c>
      <c r="BO94" s="378" t="str">
        <f t="shared" ca="1" si="56"/>
        <v>-</v>
      </c>
      <c r="BP94" s="523" t="str">
        <f t="shared" ca="1" si="57"/>
        <v>-</v>
      </c>
      <c r="BQ94" s="378" t="str">
        <f t="array" aca="1" ref="BQ94" ca="1">IFERROR(INDEX(BE:BG,MATCH(INDEX(Calculation_Tab,SMALL(ROW(ToPool)*(ToPool&lt;&gt;"-"),COUNTIF(ToPool,"-")+ROW()-3)-9,9),BG:BG,0),2),"-")</f>
        <v>-</v>
      </c>
      <c r="BR94" s="510" t="str">
        <f t="shared" ca="1" si="58"/>
        <v>-</v>
      </c>
      <c r="BS94" s="511" t="str">
        <f t="shared" ca="1" si="59"/>
        <v>-</v>
      </c>
      <c r="BT94" s="378" t="s">
        <v>164</v>
      </c>
      <c r="BU94" s="487" t="str">
        <f t="shared" ca="1" si="63"/>
        <v>-</v>
      </c>
      <c r="BV94" s="487" t="str">
        <f t="array" aca="1" ref="BV9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94" s="378" t="str">
        <f t="shared" ca="1" si="60"/>
        <v>-</v>
      </c>
      <c r="BX94" s="378" t="str">
        <f t="shared" ca="1" si="61"/>
        <v>-</v>
      </c>
      <c r="BY94" s="510" t="str">
        <f ca="1">IFERROR(ROUND(INDEX(Cluster,MATCH(IF(LEFT(BV94,4)="Pool",INDEX(Cluster,MATCH(INDEX(Calculation_Tab,MATCH(INDEX($BE$4:$BJ$99,MATCH(BV94,$BE$4:$BE$99,0),3),Flow_Cell_Lane,0),3),Cluster!$F$29:$F$412,0),6),BV94),Identifier_Cluster,0),19)*IF(LEFT(BV94,4)="pool",IF(LEN(INDEX($BE$4:$BJ$99,MATCH(BV94,$BE$4:$BE$99,0),3))=10,2,IF(LEN(INDEX($BE$4:$BJ$99,MATCH(BV94,$BE$4:$BE$99,0),3))&gt;10,LEN(INDEX($BE$4:$BJ$99,MATCH(BV94,$BE$4:$BE$99,0),3))-8,1)),1)*IF(LEFT(BV94,4)="pool",IF(INDEX($BE$4:$BJ$99,MATCH(BV94,$BE$4:$BE$99,0),6)&lt;1,1,INDEX($BE$4:$BJ$99,MATCH(BV94,$BE$4:$BE$99,0),6)),INDEX(Calculation_Tab,MATCH(BV94,Identifier,0),10)),1)*(1+Calculation!$Q$6),"-")</f>
        <v>-</v>
      </c>
      <c r="BZ94" s="378" t="str">
        <f ca="1">IFERROR((0.5/50)*CE94/Calculation!$AG$6*(IF(LEFT(BV94,4)="Pool",IF(LEN(INDEX($BE$4:$BJ$99,MATCH(BV94,$BE$4:$BE$99,0),3))=10,2,IF(LEN(INDEX($BE$4:$BJ$99,MATCH(BV94,$BE$4:$BE$99,0),3))&gt;10,LEN(INDEX($BE$4:$BJ$99,MATCH(BV94,$BE$4:$BE$99,0),3))-8,1)),IF(INDEX(Calculation_Tab,MATCH(BV94,Identifier,0),10)&gt;1,INDEX(Calculation_Tab,MATCH(BV94,Identifier,0),10),1)))*(1+Calculation!$Q$6),"-")</f>
        <v>-</v>
      </c>
      <c r="CA94" s="510" t="str">
        <f ca="1">IFERROR(IF((BZ94*Calculation!$AG$6/0.05)-SUM(BY94:BZ94,CC94)&gt;0,(BZ94*Calculation!$AG$6/0.05)-SUM(BY94:BZ94,CC94),0),"-")</f>
        <v>-</v>
      </c>
      <c r="CB94" s="510" t="str">
        <f ca="1">IFERROR(5/50*CE94*(IF(LEFT(BV94,4)="Pool",IF(LEN(INDEX($BE$4:$BJ$99,MATCH(BV94,$BE$4:$BE$99,0),3))=10,2,IF(LEN(INDEX($BE$4:$BJ$99,MATCH(BV94,$BE$4:$BE$99,0),3))&gt;10,LEN(INDEX($BE$4:$BJ$99,MATCH(BV94,$BE$4:$BE$99,0),3))-8,1)),IF(INDEX(Calculation_Tab,MATCH(BV94,Identifier,0),10)&gt;1,INDEX(Calculation_Tab,MATCH(BV94,Identifier,0),10),1)))*(1+Calculation!$Q$6),"-")</f>
        <v>-</v>
      </c>
      <c r="CC94" s="508" t="str">
        <f ca="1">IFERROR(ROUND(INDEX(Cluster,MATCH(IF(LEFT(BV94,4)="Pool",INDEX(Cluster,MATCH(INDEX(Calculation_Tab,MATCH(INDEX($BE$4:$BJ$99,MATCH(BV94,$BE$4:$BE$99,0),3),Flow_Cell_Lane,0),3),Cluster!$F$29:$F$412,0),6),BV94),Identifier_Cluster,0),20)*IF(LEFT(BV94,4)="pool",IF(LEN(INDEX($BE$4:$BJ$99,MATCH(BV94,$BE$4:$BE$99,0),3))=10,2,IF(LEN(INDEX($BE$4:$BJ$99,MATCH(BV94,$BE$4:$BE$99,0),3))&gt;10,LEN(INDEX($BE$4:$BJ$99,MATCH(BV94,$BE$4:$BE$99,0),3))-8,1)),1)*IF(LEFT(BV94,4)="pool",IF(INDEX($BE$4:$BJ$99,MATCH(BV94,$BE$4:$BE$99,0),6)&lt;1,1,INDEX($BE$4:$BJ$99,MATCH(BV94,$BE$4:$BE$99,0),6)),INDEX(Calculation_Tab,MATCH(BV94,Identifier,0),10)),1)*(1+Calculation!$Q$6),"-")</f>
        <v>-</v>
      </c>
      <c r="CD94" s="509" t="str">
        <f ca="1">IFERROR(INDEX(Cluster!AC:AD,MATCH(IF(LEFT(BV94,4)="Pool",INDEX(Cluster!$D$29:$AA$412,MATCH(INDEX(Calculation_Tab,MATCH(INDEX($BE$4:$BJ$99,MATCH(BV94,$BE$4:$BE$99,0),3),Flow_Cell_Lane,0),3),Cluster!$F$29:$F$412,0),24),INDEX(Cluster!$D$29:$AA$412,MATCH(BV94,Cluster!$F$29:$F$412,0),24)),Cluster!AC:AC,0),2),"-")</f>
        <v>-</v>
      </c>
      <c r="CE94" s="378" t="str">
        <f ca="1">IFERROR(IF(BV94&lt;&gt;"-",Calculation!$AK$6,"-"),"-")</f>
        <v>-</v>
      </c>
      <c r="CF94" s="378" t="str">
        <f ca="1">IF(OR(LEFT(ListAndConversion!BW94,3)="Dil",LEFT(ListAndConversion!BW94,3)="Poo"),ListAndConversion!$BT$4,IF(LEFT(ListAndConversion!BW94,3)="Sou",INDEX(ListAndConversion!$AT$3:$AV$387,MATCH(ListAndConversion!BV94,ListAndConversion!$AV$3:$AV$387,0),1),"-"))</f>
        <v>-</v>
      </c>
      <c r="CG94" s="498" t="str">
        <f ca="1">IF(OR(LEFT(ListAndConversion!BW94,3)="Dil",LEFT(ListAndConversion!BW94,3)="Poo"),ListAndConversion!BU94,IF(LEFT(ListAndConversion!BW94,3)="Sou",INDEX(ListAndConversion!$AT$4:$AV$387,MATCH(ListAndConversion!BV94,ListAndConversion!$AV$4:$AV$387,0),2),"-"))</f>
        <v>-</v>
      </c>
      <c r="CH94" s="378"/>
      <c r="CI94" s="487" t="str">
        <f t="shared" ca="1" si="62"/>
        <v>-</v>
      </c>
      <c r="CJ94" s="378" t="str">
        <f t="shared" ref="CJ94:CQ103" ca="1" si="72">IFERROR(INDEX($R$3:$U$98,MATCH(INDEX($F$3:$M$387,MATCH($CI94,$E$3:$E$386,0),CJ$3),$S$3:$S$98,0),4),"-")</f>
        <v>-</v>
      </c>
      <c r="CK94" s="378" t="str">
        <f t="shared" ca="1" si="72"/>
        <v>-</v>
      </c>
      <c r="CL94" s="378" t="str">
        <f t="shared" ca="1" si="72"/>
        <v>-</v>
      </c>
      <c r="CM94" s="378" t="str">
        <f t="shared" ca="1" si="72"/>
        <v>-</v>
      </c>
      <c r="CN94" s="378" t="str">
        <f t="shared" ca="1" si="72"/>
        <v>-</v>
      </c>
      <c r="CO94" s="378" t="str">
        <f t="shared" ca="1" si="72"/>
        <v>-</v>
      </c>
      <c r="CP94" s="378" t="str">
        <f t="shared" ca="1" si="72"/>
        <v>-</v>
      </c>
      <c r="CQ94" s="378" t="str">
        <f t="shared" ca="1" si="72"/>
        <v>-</v>
      </c>
      <c r="CR94" s="510" t="str">
        <f ca="1">IFERROR(IF(LEFT(BW94,3)="Poo",INDEX($BE$4:$BJ$99,MATCH(CI94,$BG$4:$BG$99,0),6)*((15/50))*Calculation!$AK$6,INDEX(Calculation_Tab,MATCH(BV94,Identifier,0),10)/(IF(LEN(INDEX(Calculation_Tab,MATCH(BV94,Identifier,0),9))&gt;8,LEN(INDEX(Calculation_Tab,MATCH(BV94,Identifier,0),9))-8,1))*((15/50)*Calculation!$AK$6)),"-")</f>
        <v>-</v>
      </c>
      <c r="CS94" s="498" t="str">
        <f ca="1">IF(CI94="-","-",IF(COUNTIF($CI$3:CI94,CI94)&gt;1,0,IFERROR((35/50)*Calculation!$AK$6,"-")))</f>
        <v>-</v>
      </c>
    </row>
    <row r="95" spans="4:97" x14ac:dyDescent="0.5">
      <c r="D95" s="487" t="e">
        <f t="shared" si="44"/>
        <v>#DIV/0!</v>
      </c>
      <c r="E95" s="496" t="e">
        <f t="array" ref="E95">IF(IF((ROW(E95)-3)&lt;(ListAndConversion!$A$15),INDEX(Flow_Cell_Lane,MIN(IF(COUNTIF($E$2:E94,Flow_Cell_Lane)=0,ROW(Flow_Cell_Lane)-9))),"-")="","-",IF((ROW(E95)-3)&lt;(ListAndConversion!$A$15),INDEX(Flow_Cell_Lane,MIN(IF(COUNTIF($E$2:E94,Flow_Cell_Lane)=0,ROW(Flow_Cell_Lane)-9))),"-"))</f>
        <v>#DIV/0!</v>
      </c>
      <c r="F95" s="378" t="e">
        <f t="shared" si="45"/>
        <v>#DIV/0!</v>
      </c>
      <c r="G95" s="378" t="e">
        <f t="shared" si="71"/>
        <v>#DIV/0!</v>
      </c>
      <c r="H95" s="378" t="e">
        <f t="shared" si="71"/>
        <v>#DIV/0!</v>
      </c>
      <c r="I95" s="378" t="e">
        <f t="shared" si="71"/>
        <v>#DIV/0!</v>
      </c>
      <c r="J95" s="378" t="e">
        <f t="shared" si="71"/>
        <v>#DIV/0!</v>
      </c>
      <c r="K95" s="378" t="e">
        <f t="shared" si="71"/>
        <v>#DIV/0!</v>
      </c>
      <c r="L95" s="378" t="e">
        <f t="shared" si="71"/>
        <v>#DIV/0!</v>
      </c>
      <c r="M95" s="378" t="e">
        <f t="shared" si="71"/>
        <v>#DIV/0!</v>
      </c>
      <c r="N95" s="497" t="e">
        <f t="shared" si="46"/>
        <v>#DIV/0!</v>
      </c>
      <c r="O95" s="497" t="str">
        <f t="array" ref="O95">IFERROR(INDEX(Calculation!I:AN,MATCH(ListAndConversion!E95,Calculation!I:I,0),31),"-")</f>
        <v>-</v>
      </c>
      <c r="P95" s="498">
        <f>IF(COUNTIFS(Calculation!$I$10:$I$393,E95,Direct_Denaturation,"-")&lt;&gt;1,COUNTIFS(Calculation!$I$10:$I$393,E95,Direct_Denaturation,"-"),0)</f>
        <v>0</v>
      </c>
      <c r="Q95" s="378"/>
      <c r="R95" s="487" t="e">
        <f t="array" ref="R95">IF(IF((ROW(R95)-3)&lt;(Calculation!$H$6),INDEX(Flow_Cell,MIN(IF(COUNTIF($R$2:R94,Flow_Cell)=0,ROW(Flow_Cell)-9))),"-")="","-",IF((ROW(R95)-3)&lt;(Calculation!$H$6),INDEX(Flow_Cell,MIN(IF(COUNTIF($R$2:R94,Flow_Cell)=0,ROW(Flow_Cell)-9))),"-"))</f>
        <v>#DIV/0!</v>
      </c>
      <c r="S95" s="378" t="e">
        <f t="shared" si="70"/>
        <v>#DIV/0!</v>
      </c>
      <c r="T95" s="378">
        <v>5</v>
      </c>
      <c r="U95" s="498">
        <v>93</v>
      </c>
      <c r="V95" s="487">
        <v>92</v>
      </c>
      <c r="W95" s="497" t="s">
        <v>287</v>
      </c>
      <c r="X95" s="497" t="s">
        <v>469</v>
      </c>
      <c r="Y95" s="378">
        <v>92</v>
      </c>
      <c r="Z95" s="378" t="str">
        <f t="shared" ca="1" si="48"/>
        <v>-</v>
      </c>
      <c r="AA95" s="508" t="str">
        <f t="array" aca="1" ref="AA95" ca="1">IFERROR(INDEX(Calculation_Tab,SMALL(ROW(Sample_Intermediate_Dil)*(Sample_Intermediate_Dil&lt;&gt;"-"),COUNTIF(Sample_Intermediate_Dil,"-")+ROW()-3)-9,5),"-")</f>
        <v>-</v>
      </c>
      <c r="AB95" s="378" t="str">
        <f t="array" aca="1" ref="AB95" ca="1">IFERROR(INDEX($A$3:$B$12,MATCH(INDEX(Calculation_Tab,SMALL(ROW(Sample_Intermediate_Dil)*(Sample_Intermediate_Dil&lt;&gt;"-"),COUNTIF(Sample_Intermediate_Dil,"-")+ROW()-3)-9,5),$A$3:$A$12,0),2),"-")</f>
        <v>-</v>
      </c>
      <c r="AC95" s="509" t="str">
        <f t="array" aca="1" ref="AC95" ca="1">IFERROR(INDEX(Coordinate,MATCH(INDEX(Calculation_Tab,SMALL(ROW(Sample_Intermediate_Dil)*(Sample_Intermediate_Dil&lt;&gt;"-"),COUNTIF(Sample_Intermediate_Dil,"-")+ROW()-3)-9,6),$X$4:$X$99,0),2),"-")</f>
        <v>-</v>
      </c>
      <c r="AD95" s="510" t="str">
        <f t="array" aca="1" ref="AD95" ca="1">IFERROR(INDEX(Calculation_Tab,SMALL(ROW(Sample_Intermediate_Dil)*(Sample_Intermediate_Dil&lt;&gt;"-"),COUNTIF(Sample_Intermediate_Dil,"-")+ROW()-3)-9,24),"-")</f>
        <v>-</v>
      </c>
      <c r="AE95" s="510" t="str">
        <f t="array" aca="1" ref="AE95" ca="1">IFERROR(INDEX(Calculation_Tab,SMALL(ROW(Sample_Intermediate_Dil)*(Sample_Intermediate_Dil&lt;&gt;"-"),COUNTIF(Sample_Intermediate_Dil,"-")+ROW()-3)-9,25),"-")</f>
        <v>-</v>
      </c>
      <c r="AF95" s="510" t="str">
        <f t="array" aca="1" ref="AF95" ca="1">IFERROR(INDEX(Calculation_Tab,SMALL(ROW(Sample_Intermediate_Dil)*(Sample_Intermediate_Dil&lt;&gt;"-"),COUNTIF(Sample_Intermediate_Dil,"-")+ROW()-3)-9,26),"-")</f>
        <v>-</v>
      </c>
      <c r="AG95" s="511" t="str">
        <f t="array" aca="1" ref="AG95" ca="1">IFERROR(INDEX(Calculation_Tab,SMALL(ROW(Sample_Intermediate_Dil)*(Sample_Intermediate_Dil&lt;&gt;"-"),COUNTIF(Sample_Intermediate_Dil,"-")+ROW()-3)-9,27),"-")</f>
        <v>-</v>
      </c>
      <c r="AI95" s="487">
        <v>92</v>
      </c>
      <c r="AJ95" s="497" t="s">
        <v>160</v>
      </c>
      <c r="AK95" s="378">
        <v>92</v>
      </c>
      <c r="AL95" s="378" t="str">
        <f t="shared" ca="1" si="49"/>
        <v>-</v>
      </c>
      <c r="AM95" s="378" t="str">
        <f t="array" aca="1" ref="AM95" ca="1">IFERROR(IF(AI95&lt;=$AB$2,"-",INDEX(Calculation_Tab,SMALL(ROW(Main_Dil)*(Main_Dil&lt;&gt;"-"),COUNTIF(Main_Dil,"-")+ROW()-3-$AB$2)-9,5)),"-")</f>
        <v>-</v>
      </c>
      <c r="AN95" s="378" t="str">
        <f t="array" aca="1" ref="AN95" ca="1">IFERROR(IF(AI95&lt;=$AB$2,"-",INDEX($A$3:$B$12,MATCH(INDEX(Calculation_Tab,SMALL(ROW(Main_Dil)*(Main_Dil&lt;&gt;"-"),COUNTIF(Main_Dil,"-")+ROW()-3-$AB$2)-9,5),$A$3:$A$12,0),2)),"-")</f>
        <v>-</v>
      </c>
      <c r="AO95" s="378" t="str">
        <f t="array" aca="1" ref="AO95" ca="1">IFERROR(IF(AI95&lt;=$AB$2,"-",INDEX(Coordinate,MATCH(INDEX(Calculation_Tab,SMALL(ROW(Main_Dil)*(Main_Dil&lt;&gt;"-"),COUNTIF(Main_Dil,"-")+ROW()-3-$AB$2)-9,6),$X$4:$X$99,0),2)),"-")</f>
        <v>-</v>
      </c>
      <c r="AP95" s="510" t="str">
        <f t="array" aca="1" ref="AP95" ca="1">IFERROR(IF(AI95&lt;=$AB$2,"-",INDEX(Calculation_Tab,SMALL(ROW(Main_Dil)*(Main_Dil&lt;&gt;"-"),COUNTIF(Main_Dil,"-")+ROW()-3-$AB$2)-9,21)),"-")</f>
        <v>-</v>
      </c>
      <c r="AQ95" s="511" t="str">
        <f t="array" aca="1" ref="AQ95" ca="1">IFERROR(IF(AI95&lt;=$AB$2,"-",INDEX(Calculation_Tab,SMALL(ROW(Main_Dil)*(Main_Dil&lt;&gt;"-"),COUNTIF(Main_Dil,"-")+ROW()-3-$AB$2)-9,22)),"-")</f>
        <v>-</v>
      </c>
      <c r="AR95" s="487" t="str">
        <f t="shared" ca="1" si="50"/>
        <v>-</v>
      </c>
      <c r="AS95" s="378">
        <v>92</v>
      </c>
      <c r="AT95" s="497" t="s">
        <v>160</v>
      </c>
      <c r="AU95" s="498">
        <v>92</v>
      </c>
      <c r="AV95" s="378" t="str">
        <f t="shared" ca="1" si="51"/>
        <v>-</v>
      </c>
      <c r="AW95" s="378" t="str">
        <f t="array" aca="1" ref="AW95" ca="1">IFERROR(IF(AS95&lt;=$AB$2+$AN$2,"-",INDEX(Calculation_Tab,SMALL(ROW(Direct_Denaturation)*(Direct_Denaturation&lt;&gt;"-"),COUNTIF(Direct_Denaturation,"-")+ROW()-3-$AB$2-$AN$2)-9,5)),"-")</f>
        <v>-</v>
      </c>
      <c r="AX95" s="378" t="str">
        <f t="array" aca="1" ref="AX95" ca="1">IFERROR(IF(AS95&lt;=$AB$2+$AN$2,"-",INDEX($A$3:$B$12,MATCH(INDEX(Calculation_Tab,SMALL(ROW(Direct_Denaturation)*(Direct_Denaturation&lt;&gt;"-"),COUNTIF(Direct_Denaturation,"-")+ROW()-3-$AB$2-$AN$2)-9,5),$A$3:$A$12,0),2)),"-")</f>
        <v>-</v>
      </c>
      <c r="AY95" s="378" t="str">
        <f t="array" aca="1" ref="AY95" ca="1">IFERROR(IF(AS95&lt;=$AB$2+$AN$2,"-",INDEX(Coordinate,MATCH(INDEX(Calculation_Tab,SMALL(ROW(Direct_Denaturation)*(Direct_Denaturation&lt;&gt;"-"),COUNTIF(Direct_Denaturation,"-")+ROW()-3-$AB$2-$AN$2)-9,6),$X$4:$X$99,0),2)),"-")</f>
        <v>-</v>
      </c>
      <c r="AZ95" s="510" t="str">
        <f t="array" aca="1" ref="AZ95" ca="1">IFERROR(IF(AS95&lt;=$AB$2+$AN$2,"-",INDEX(Calculation_Tab,SMALL(ROW(Direct_Denaturation)*(Direct_Denaturation&lt;&gt;"-"),COUNTIF(Direct_Denaturation,"-")+ROW()-3-$AB$2-$AN$2)-9,32)),"-")</f>
        <v>-</v>
      </c>
      <c r="BA95" s="510" t="str">
        <f t="array" aca="1" ref="BA95" ca="1">IFERROR(IF(AS95&lt;=$AB$2+$AN$2,"-",INDEX(Calculation_Tab,SMALL(ROW(Direct_Denaturation)*(Direct_Denaturation&lt;&gt;"-"),COUNTIF(Direct_Denaturation,"-")+ROW()-3-$AB$2-$AN$2)-9,34)),"-")</f>
        <v>-</v>
      </c>
      <c r="BB95" s="510" t="str">
        <f t="array" aca="1" ref="BB95" ca="1">IFERROR(IF(AS95&lt;=$AB$2+$AN$2,"-",INDEX(Calculation_Tab,SMALL(ROW(Direct_Denaturation)*(Direct_Denaturation&lt;&gt;"-"),COUNTIF(Direct_Denaturation,"-")+ROW()-3-$AB$2-$AN$2)-9,33)),"-")</f>
        <v>-</v>
      </c>
      <c r="BC95" s="510" t="str">
        <f t="array" aca="1" ref="BC95" ca="1">IFERROR(IF(AS95&lt;=$AB$2+$AN$2,"-",INDEX(Calculation_Tab,SMALL(ROW(Direct_Denaturation)*(Direct_Denaturation&lt;&gt;"-"),COUNTIF(Direct_Denaturation,"-")+ROW()-3-$AB$2-$AN$2)-9,35)),"-")</f>
        <v>-</v>
      </c>
      <c r="BD95" s="511" t="str">
        <f t="shared" ca="1" si="52"/>
        <v>-</v>
      </c>
      <c r="BE95" s="494" t="s">
        <v>470</v>
      </c>
      <c r="BF95" s="378">
        <v>92</v>
      </c>
      <c r="BG95" s="515" t="str">
        <v>-</v>
      </c>
      <c r="BH95" s="516" t="str">
        <f>IFERROR(IF((Calculation!$AR$6/INDEX(ListAndConversion!D:P,MATCH(BG95,E:E,0),13))&lt;Calculation!$O$6,INDEX(ListAndConversion!D:P,MATCH(BG95,E:E,0),13)*Calculation!$O$6,Calculation!$AR$6),"-")</f>
        <v>-</v>
      </c>
      <c r="BI95" s="517" t="str">
        <f t="shared" si="53"/>
        <v>-</v>
      </c>
      <c r="BJ95" s="518" t="str">
        <f t="shared" si="54"/>
        <v>-</v>
      </c>
      <c r="BK95" s="378" t="s">
        <v>158</v>
      </c>
      <c r="BL95" s="378">
        <v>92</v>
      </c>
      <c r="BM95" s="487" t="str">
        <f t="array" aca="1" ref="BM95" ca="1">IFERROR(INDEX(Calculation_Tab,SMALL(ROW(ToPool)*(ToPool&lt;&gt;"-"),COUNTIF(ToPool,"-")+ROW()-3)-9,3),"-")</f>
        <v>-</v>
      </c>
      <c r="BN95" s="378" t="str">
        <f t="shared" ca="1" si="55"/>
        <v>-</v>
      </c>
      <c r="BO95" s="378" t="str">
        <f t="shared" ca="1" si="56"/>
        <v>-</v>
      </c>
      <c r="BP95" s="523" t="str">
        <f t="shared" ca="1" si="57"/>
        <v>-</v>
      </c>
      <c r="BQ95" s="378" t="str">
        <f t="array" aca="1" ref="BQ95" ca="1">IFERROR(INDEX(BE:BG,MATCH(INDEX(Calculation_Tab,SMALL(ROW(ToPool)*(ToPool&lt;&gt;"-"),COUNTIF(ToPool,"-")+ROW()-3)-9,9),BG:BG,0),2),"-")</f>
        <v>-</v>
      </c>
      <c r="BR95" s="510" t="str">
        <f t="shared" ca="1" si="58"/>
        <v>-</v>
      </c>
      <c r="BS95" s="511" t="str">
        <f t="shared" ca="1" si="59"/>
        <v>-</v>
      </c>
      <c r="BT95" s="378" t="s">
        <v>164</v>
      </c>
      <c r="BU95" s="487" t="str">
        <f t="shared" ca="1" si="63"/>
        <v>-</v>
      </c>
      <c r="BV95" s="487" t="str">
        <f t="array" aca="1" ref="BV9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95" s="378" t="str">
        <f t="shared" ca="1" si="60"/>
        <v>-</v>
      </c>
      <c r="BX95" s="378" t="str">
        <f t="shared" ca="1" si="61"/>
        <v>-</v>
      </c>
      <c r="BY95" s="510" t="str">
        <f ca="1">IFERROR(ROUND(INDEX(Cluster,MATCH(IF(LEFT(BV95,4)="Pool",INDEX(Cluster,MATCH(INDEX(Calculation_Tab,MATCH(INDEX($BE$4:$BJ$99,MATCH(BV95,$BE$4:$BE$99,0),3),Flow_Cell_Lane,0),3),Cluster!$F$29:$F$412,0),6),BV95),Identifier_Cluster,0),19)*IF(LEFT(BV95,4)="pool",IF(LEN(INDEX($BE$4:$BJ$99,MATCH(BV95,$BE$4:$BE$99,0),3))=10,2,IF(LEN(INDEX($BE$4:$BJ$99,MATCH(BV95,$BE$4:$BE$99,0),3))&gt;10,LEN(INDEX($BE$4:$BJ$99,MATCH(BV95,$BE$4:$BE$99,0),3))-8,1)),1)*IF(LEFT(BV95,4)="pool",IF(INDEX($BE$4:$BJ$99,MATCH(BV95,$BE$4:$BE$99,0),6)&lt;1,1,INDEX($BE$4:$BJ$99,MATCH(BV95,$BE$4:$BE$99,0),6)),INDEX(Calculation_Tab,MATCH(BV95,Identifier,0),10)),1)*(1+Calculation!$Q$6),"-")</f>
        <v>-</v>
      </c>
      <c r="BZ95" s="378" t="str">
        <f ca="1">IFERROR((0.5/50)*CE95/Calculation!$AG$6*(IF(LEFT(BV95,4)="Pool",IF(LEN(INDEX($BE$4:$BJ$99,MATCH(BV95,$BE$4:$BE$99,0),3))=10,2,IF(LEN(INDEX($BE$4:$BJ$99,MATCH(BV95,$BE$4:$BE$99,0),3))&gt;10,LEN(INDEX($BE$4:$BJ$99,MATCH(BV95,$BE$4:$BE$99,0),3))-8,1)),IF(INDEX(Calculation_Tab,MATCH(BV95,Identifier,0),10)&gt;1,INDEX(Calculation_Tab,MATCH(BV95,Identifier,0),10),1)))*(1+Calculation!$Q$6),"-")</f>
        <v>-</v>
      </c>
      <c r="CA95" s="510" t="str">
        <f ca="1">IFERROR(IF((BZ95*Calculation!$AG$6/0.05)-SUM(BY95:BZ95,CC95)&gt;0,(BZ95*Calculation!$AG$6/0.05)-SUM(BY95:BZ95,CC95),0),"-")</f>
        <v>-</v>
      </c>
      <c r="CB95" s="510" t="str">
        <f ca="1">IFERROR(5/50*CE95*(IF(LEFT(BV95,4)="Pool",IF(LEN(INDEX($BE$4:$BJ$99,MATCH(BV95,$BE$4:$BE$99,0),3))=10,2,IF(LEN(INDEX($BE$4:$BJ$99,MATCH(BV95,$BE$4:$BE$99,0),3))&gt;10,LEN(INDEX($BE$4:$BJ$99,MATCH(BV95,$BE$4:$BE$99,0),3))-8,1)),IF(INDEX(Calculation_Tab,MATCH(BV95,Identifier,0),10)&gt;1,INDEX(Calculation_Tab,MATCH(BV95,Identifier,0),10),1)))*(1+Calculation!$Q$6),"-")</f>
        <v>-</v>
      </c>
      <c r="CC95" s="508" t="str">
        <f ca="1">IFERROR(ROUND(INDEX(Cluster,MATCH(IF(LEFT(BV95,4)="Pool",INDEX(Cluster,MATCH(INDEX(Calculation_Tab,MATCH(INDEX($BE$4:$BJ$99,MATCH(BV95,$BE$4:$BE$99,0),3),Flow_Cell_Lane,0),3),Cluster!$F$29:$F$412,0),6),BV95),Identifier_Cluster,0),20)*IF(LEFT(BV95,4)="pool",IF(LEN(INDEX($BE$4:$BJ$99,MATCH(BV95,$BE$4:$BE$99,0),3))=10,2,IF(LEN(INDEX($BE$4:$BJ$99,MATCH(BV95,$BE$4:$BE$99,0),3))&gt;10,LEN(INDEX($BE$4:$BJ$99,MATCH(BV95,$BE$4:$BE$99,0),3))-8,1)),1)*IF(LEFT(BV95,4)="pool",IF(INDEX($BE$4:$BJ$99,MATCH(BV95,$BE$4:$BE$99,0),6)&lt;1,1,INDEX($BE$4:$BJ$99,MATCH(BV95,$BE$4:$BE$99,0),6)),INDEX(Calculation_Tab,MATCH(BV95,Identifier,0),10)),1)*(1+Calculation!$Q$6),"-")</f>
        <v>-</v>
      </c>
      <c r="CD95" s="509" t="str">
        <f ca="1">IFERROR(INDEX(Cluster!AC:AD,MATCH(IF(LEFT(BV95,4)="Pool",INDEX(Cluster!$D$29:$AA$412,MATCH(INDEX(Calculation_Tab,MATCH(INDEX($BE$4:$BJ$99,MATCH(BV95,$BE$4:$BE$99,0),3),Flow_Cell_Lane,0),3),Cluster!$F$29:$F$412,0),24),INDEX(Cluster!$D$29:$AA$412,MATCH(BV95,Cluster!$F$29:$F$412,0),24)),Cluster!AC:AC,0),2),"-")</f>
        <v>-</v>
      </c>
      <c r="CE95" s="378" t="str">
        <f ca="1">IFERROR(IF(BV95&lt;&gt;"-",Calculation!$AK$6,"-"),"-")</f>
        <v>-</v>
      </c>
      <c r="CF95" s="378" t="str">
        <f ca="1">IF(OR(LEFT(ListAndConversion!BW95,3)="Dil",LEFT(ListAndConversion!BW95,3)="Poo"),ListAndConversion!$BT$4,IF(LEFT(ListAndConversion!BW95,3)="Sou",INDEX(ListAndConversion!$AT$3:$AV$387,MATCH(ListAndConversion!BV95,ListAndConversion!$AV$3:$AV$387,0),1),"-"))</f>
        <v>-</v>
      </c>
      <c r="CG95" s="498" t="str">
        <f ca="1">IF(OR(LEFT(ListAndConversion!BW95,3)="Dil",LEFT(ListAndConversion!BW95,3)="Poo"),ListAndConversion!BU95,IF(LEFT(ListAndConversion!BW95,3)="Sou",INDEX(ListAndConversion!$AT$4:$AV$387,MATCH(ListAndConversion!BV95,ListAndConversion!$AV$4:$AV$387,0),2),"-"))</f>
        <v>-</v>
      </c>
      <c r="CH95" s="378"/>
      <c r="CI95" s="487" t="str">
        <f t="shared" ca="1" si="62"/>
        <v>-</v>
      </c>
      <c r="CJ95" s="378" t="str">
        <f t="shared" ca="1" si="72"/>
        <v>-</v>
      </c>
      <c r="CK95" s="378" t="str">
        <f t="shared" ca="1" si="72"/>
        <v>-</v>
      </c>
      <c r="CL95" s="378" t="str">
        <f t="shared" ca="1" si="72"/>
        <v>-</v>
      </c>
      <c r="CM95" s="378" t="str">
        <f t="shared" ca="1" si="72"/>
        <v>-</v>
      </c>
      <c r="CN95" s="378" t="str">
        <f t="shared" ca="1" si="72"/>
        <v>-</v>
      </c>
      <c r="CO95" s="378" t="str">
        <f t="shared" ca="1" si="72"/>
        <v>-</v>
      </c>
      <c r="CP95" s="378" t="str">
        <f t="shared" ca="1" si="72"/>
        <v>-</v>
      </c>
      <c r="CQ95" s="378" t="str">
        <f t="shared" ca="1" si="72"/>
        <v>-</v>
      </c>
      <c r="CR95" s="510" t="str">
        <f ca="1">IFERROR(IF(LEFT(BW95,3)="Poo",INDEX($BE$4:$BJ$99,MATCH(CI95,$BG$4:$BG$99,0),6)*((15/50))*Calculation!$AK$6,INDEX(Calculation_Tab,MATCH(BV95,Identifier,0),10)/(IF(LEN(INDEX(Calculation_Tab,MATCH(BV95,Identifier,0),9))&gt;8,LEN(INDEX(Calculation_Tab,MATCH(BV95,Identifier,0),9))-8,1))*((15/50)*Calculation!$AK$6)),"-")</f>
        <v>-</v>
      </c>
      <c r="CS95" s="498" t="str">
        <f ca="1">IF(CI95="-","-",IF(COUNTIF($CI$3:CI95,CI95)&gt;1,0,IFERROR((35/50)*Calculation!$AK$6,"-")))</f>
        <v>-</v>
      </c>
    </row>
    <row r="96" spans="4:97" x14ac:dyDescent="0.5">
      <c r="D96" s="487" t="e">
        <f t="shared" si="44"/>
        <v>#DIV/0!</v>
      </c>
      <c r="E96" s="496" t="e">
        <f t="array" ref="E96">IF(IF((ROW(E96)-3)&lt;(ListAndConversion!$A$15),INDEX(Flow_Cell_Lane,MIN(IF(COUNTIF($E$2:E95,Flow_Cell_Lane)=0,ROW(Flow_Cell_Lane)-9))),"-")="","-",IF((ROW(E96)-3)&lt;(ListAndConversion!$A$15),INDEX(Flow_Cell_Lane,MIN(IF(COUNTIF($E$2:E95,Flow_Cell_Lane)=0,ROW(Flow_Cell_Lane)-9))),"-"))</f>
        <v>#DIV/0!</v>
      </c>
      <c r="F96" s="378" t="e">
        <f t="shared" si="45"/>
        <v>#DIV/0!</v>
      </c>
      <c r="G96" s="378" t="e">
        <f t="shared" si="71"/>
        <v>#DIV/0!</v>
      </c>
      <c r="H96" s="378" t="e">
        <f t="shared" si="71"/>
        <v>#DIV/0!</v>
      </c>
      <c r="I96" s="378" t="e">
        <f t="shared" si="71"/>
        <v>#DIV/0!</v>
      </c>
      <c r="J96" s="378" t="e">
        <f t="shared" si="71"/>
        <v>#DIV/0!</v>
      </c>
      <c r="K96" s="378" t="e">
        <f t="shared" si="71"/>
        <v>#DIV/0!</v>
      </c>
      <c r="L96" s="378" t="e">
        <f t="shared" si="71"/>
        <v>#DIV/0!</v>
      </c>
      <c r="M96" s="378" t="e">
        <f t="shared" si="71"/>
        <v>#DIV/0!</v>
      </c>
      <c r="N96" s="497" t="e">
        <f t="shared" si="46"/>
        <v>#DIV/0!</v>
      </c>
      <c r="O96" s="497" t="str">
        <f t="array" ref="O96">IFERROR(INDEX(Calculation!I:AN,MATCH(ListAndConversion!E96,Calculation!I:I,0),31),"-")</f>
        <v>-</v>
      </c>
      <c r="P96" s="498">
        <f>IF(COUNTIFS(Calculation!$I$10:$I$393,E96,Direct_Denaturation,"-")&lt;&gt;1,COUNTIFS(Calculation!$I$10:$I$393,E96,Direct_Denaturation,"-"),0)</f>
        <v>0</v>
      </c>
      <c r="Q96" s="378"/>
      <c r="R96" s="487" t="e">
        <f t="array" ref="R96">IF(IF((ROW(R96)-3)&lt;(Calculation!$H$6),INDEX(Flow_Cell,MIN(IF(COUNTIF($R$2:R95,Flow_Cell)=0,ROW(Flow_Cell)-9))),"-")="","-",IF((ROW(R96)-3)&lt;(Calculation!$H$6),INDEX(Flow_Cell,MIN(IF(COUNTIF($R$2:R95,Flow_Cell)=0,ROW(Flow_Cell)-9))),"-"))</f>
        <v>#DIV/0!</v>
      </c>
      <c r="S96" s="378" t="e">
        <f t="shared" si="70"/>
        <v>#DIV/0!</v>
      </c>
      <c r="T96" s="378">
        <v>6</v>
      </c>
      <c r="U96" s="498">
        <v>94</v>
      </c>
      <c r="V96" s="487">
        <v>93</v>
      </c>
      <c r="W96" s="497" t="s">
        <v>287</v>
      </c>
      <c r="X96" s="497" t="s">
        <v>471</v>
      </c>
      <c r="Y96" s="378">
        <v>93</v>
      </c>
      <c r="Z96" s="378" t="str">
        <f t="shared" ca="1" si="48"/>
        <v>-</v>
      </c>
      <c r="AA96" s="508" t="str">
        <f t="array" aca="1" ref="AA96" ca="1">IFERROR(INDEX(Calculation_Tab,SMALL(ROW(Sample_Intermediate_Dil)*(Sample_Intermediate_Dil&lt;&gt;"-"),COUNTIF(Sample_Intermediate_Dil,"-")+ROW()-3)-9,5),"-")</f>
        <v>-</v>
      </c>
      <c r="AB96" s="378" t="str">
        <f t="array" aca="1" ref="AB96" ca="1">IFERROR(INDEX($A$3:$B$12,MATCH(INDEX(Calculation_Tab,SMALL(ROW(Sample_Intermediate_Dil)*(Sample_Intermediate_Dil&lt;&gt;"-"),COUNTIF(Sample_Intermediate_Dil,"-")+ROW()-3)-9,5),$A$3:$A$12,0),2),"-")</f>
        <v>-</v>
      </c>
      <c r="AC96" s="509" t="str">
        <f t="array" aca="1" ref="AC96" ca="1">IFERROR(INDEX(Coordinate,MATCH(INDEX(Calculation_Tab,SMALL(ROW(Sample_Intermediate_Dil)*(Sample_Intermediate_Dil&lt;&gt;"-"),COUNTIF(Sample_Intermediate_Dil,"-")+ROW()-3)-9,6),$X$4:$X$99,0),2),"-")</f>
        <v>-</v>
      </c>
      <c r="AD96" s="510" t="str">
        <f t="array" aca="1" ref="AD96" ca="1">IFERROR(INDEX(Calculation_Tab,SMALL(ROW(Sample_Intermediate_Dil)*(Sample_Intermediate_Dil&lt;&gt;"-"),COUNTIF(Sample_Intermediate_Dil,"-")+ROW()-3)-9,24),"-")</f>
        <v>-</v>
      </c>
      <c r="AE96" s="510" t="str">
        <f t="array" aca="1" ref="AE96" ca="1">IFERROR(INDEX(Calculation_Tab,SMALL(ROW(Sample_Intermediate_Dil)*(Sample_Intermediate_Dil&lt;&gt;"-"),COUNTIF(Sample_Intermediate_Dil,"-")+ROW()-3)-9,25),"-")</f>
        <v>-</v>
      </c>
      <c r="AF96" s="510" t="str">
        <f t="array" aca="1" ref="AF96" ca="1">IFERROR(INDEX(Calculation_Tab,SMALL(ROW(Sample_Intermediate_Dil)*(Sample_Intermediate_Dil&lt;&gt;"-"),COUNTIF(Sample_Intermediate_Dil,"-")+ROW()-3)-9,26),"-")</f>
        <v>-</v>
      </c>
      <c r="AG96" s="511" t="str">
        <f t="array" aca="1" ref="AG96" ca="1">IFERROR(INDEX(Calculation_Tab,SMALL(ROW(Sample_Intermediate_Dil)*(Sample_Intermediate_Dil&lt;&gt;"-"),COUNTIF(Sample_Intermediate_Dil,"-")+ROW()-3)-9,27),"-")</f>
        <v>-</v>
      </c>
      <c r="AI96" s="487">
        <v>93</v>
      </c>
      <c r="AJ96" s="497" t="s">
        <v>160</v>
      </c>
      <c r="AK96" s="378">
        <v>93</v>
      </c>
      <c r="AL96" s="378" t="str">
        <f t="shared" ca="1" si="49"/>
        <v>-</v>
      </c>
      <c r="AM96" s="378" t="str">
        <f t="array" aca="1" ref="AM96" ca="1">IFERROR(IF(AI96&lt;=$AB$2,"-",INDEX(Calculation_Tab,SMALL(ROW(Main_Dil)*(Main_Dil&lt;&gt;"-"),COUNTIF(Main_Dil,"-")+ROW()-3-$AB$2)-9,5)),"-")</f>
        <v>-</v>
      </c>
      <c r="AN96" s="378" t="str">
        <f t="array" aca="1" ref="AN96" ca="1">IFERROR(IF(AI96&lt;=$AB$2,"-",INDEX($A$3:$B$12,MATCH(INDEX(Calculation_Tab,SMALL(ROW(Main_Dil)*(Main_Dil&lt;&gt;"-"),COUNTIF(Main_Dil,"-")+ROW()-3-$AB$2)-9,5),$A$3:$A$12,0),2)),"-")</f>
        <v>-</v>
      </c>
      <c r="AO96" s="378" t="str">
        <f t="array" aca="1" ref="AO96" ca="1">IFERROR(IF(AI96&lt;=$AB$2,"-",INDEX(Coordinate,MATCH(INDEX(Calculation_Tab,SMALL(ROW(Main_Dil)*(Main_Dil&lt;&gt;"-"),COUNTIF(Main_Dil,"-")+ROW()-3-$AB$2)-9,6),$X$4:$X$99,0),2)),"-")</f>
        <v>-</v>
      </c>
      <c r="AP96" s="510" t="str">
        <f t="array" aca="1" ref="AP96" ca="1">IFERROR(IF(AI96&lt;=$AB$2,"-",INDEX(Calculation_Tab,SMALL(ROW(Main_Dil)*(Main_Dil&lt;&gt;"-"),COUNTIF(Main_Dil,"-")+ROW()-3-$AB$2)-9,21)),"-")</f>
        <v>-</v>
      </c>
      <c r="AQ96" s="511" t="str">
        <f t="array" aca="1" ref="AQ96" ca="1">IFERROR(IF(AI96&lt;=$AB$2,"-",INDEX(Calculation_Tab,SMALL(ROW(Main_Dil)*(Main_Dil&lt;&gt;"-"),COUNTIF(Main_Dil,"-")+ROW()-3-$AB$2)-9,22)),"-")</f>
        <v>-</v>
      </c>
      <c r="AR96" s="487" t="str">
        <f t="shared" ca="1" si="50"/>
        <v>-</v>
      </c>
      <c r="AS96" s="378">
        <v>93</v>
      </c>
      <c r="AT96" s="497" t="s">
        <v>160</v>
      </c>
      <c r="AU96" s="498">
        <v>93</v>
      </c>
      <c r="AV96" s="378" t="str">
        <f t="shared" ca="1" si="51"/>
        <v>-</v>
      </c>
      <c r="AW96" s="378" t="str">
        <f t="array" aca="1" ref="AW96" ca="1">IFERROR(IF(AS96&lt;=$AB$2+$AN$2,"-",INDEX(Calculation_Tab,SMALL(ROW(Direct_Denaturation)*(Direct_Denaturation&lt;&gt;"-"),COUNTIF(Direct_Denaturation,"-")+ROW()-3-$AB$2-$AN$2)-9,5)),"-")</f>
        <v>-</v>
      </c>
      <c r="AX96" s="378" t="str">
        <f t="array" aca="1" ref="AX96" ca="1">IFERROR(IF(AS96&lt;=$AB$2+$AN$2,"-",INDEX($A$3:$B$12,MATCH(INDEX(Calculation_Tab,SMALL(ROW(Direct_Denaturation)*(Direct_Denaturation&lt;&gt;"-"),COUNTIF(Direct_Denaturation,"-")+ROW()-3-$AB$2-$AN$2)-9,5),$A$3:$A$12,0),2)),"-")</f>
        <v>-</v>
      </c>
      <c r="AY96" s="378" t="str">
        <f t="array" aca="1" ref="AY96" ca="1">IFERROR(IF(AS96&lt;=$AB$2+$AN$2,"-",INDEX(Coordinate,MATCH(INDEX(Calculation_Tab,SMALL(ROW(Direct_Denaturation)*(Direct_Denaturation&lt;&gt;"-"),COUNTIF(Direct_Denaturation,"-")+ROW()-3-$AB$2-$AN$2)-9,6),$X$4:$X$99,0),2)),"-")</f>
        <v>-</v>
      </c>
      <c r="AZ96" s="510" t="str">
        <f t="array" aca="1" ref="AZ96" ca="1">IFERROR(IF(AS96&lt;=$AB$2+$AN$2,"-",INDEX(Calculation_Tab,SMALL(ROW(Direct_Denaturation)*(Direct_Denaturation&lt;&gt;"-"),COUNTIF(Direct_Denaturation,"-")+ROW()-3-$AB$2-$AN$2)-9,32)),"-")</f>
        <v>-</v>
      </c>
      <c r="BA96" s="510" t="str">
        <f t="array" aca="1" ref="BA96" ca="1">IFERROR(IF(AS96&lt;=$AB$2+$AN$2,"-",INDEX(Calculation_Tab,SMALL(ROW(Direct_Denaturation)*(Direct_Denaturation&lt;&gt;"-"),COUNTIF(Direct_Denaturation,"-")+ROW()-3-$AB$2-$AN$2)-9,34)),"-")</f>
        <v>-</v>
      </c>
      <c r="BB96" s="510" t="str">
        <f t="array" aca="1" ref="BB96" ca="1">IFERROR(IF(AS96&lt;=$AB$2+$AN$2,"-",INDEX(Calculation_Tab,SMALL(ROW(Direct_Denaturation)*(Direct_Denaturation&lt;&gt;"-"),COUNTIF(Direct_Denaturation,"-")+ROW()-3-$AB$2-$AN$2)-9,33)),"-")</f>
        <v>-</v>
      </c>
      <c r="BC96" s="510" t="str">
        <f t="array" aca="1" ref="BC96" ca="1">IFERROR(IF(AS96&lt;=$AB$2+$AN$2,"-",INDEX(Calculation_Tab,SMALL(ROW(Direct_Denaturation)*(Direct_Denaturation&lt;&gt;"-"),COUNTIF(Direct_Denaturation,"-")+ROW()-3-$AB$2-$AN$2)-9,35)),"-")</f>
        <v>-</v>
      </c>
      <c r="BD96" s="511" t="str">
        <f t="shared" ca="1" si="52"/>
        <v>-</v>
      </c>
      <c r="BE96" s="494" t="s">
        <v>472</v>
      </c>
      <c r="BF96" s="378">
        <v>93</v>
      </c>
      <c r="BG96" s="515" t="str">
        <v>-</v>
      </c>
      <c r="BH96" s="516" t="str">
        <f>IFERROR(IF((Calculation!$AR$6/INDEX(ListAndConversion!D:P,MATCH(BG96,E:E,0),13))&lt;Calculation!$O$6,INDEX(ListAndConversion!D:P,MATCH(BG96,E:E,0),13)*Calculation!$O$6,Calculation!$AR$6),"-")</f>
        <v>-</v>
      </c>
      <c r="BI96" s="517" t="str">
        <f t="shared" si="53"/>
        <v>-</v>
      </c>
      <c r="BJ96" s="518" t="str">
        <f t="shared" si="54"/>
        <v>-</v>
      </c>
      <c r="BK96" s="378" t="s">
        <v>158</v>
      </c>
      <c r="BL96" s="378">
        <v>93</v>
      </c>
      <c r="BM96" s="487" t="str">
        <f t="array" aca="1" ref="BM96" ca="1">IFERROR(INDEX(Calculation_Tab,SMALL(ROW(ToPool)*(ToPool&lt;&gt;"-"),COUNTIF(ToPool,"-")+ROW()-3)-9,3),"-")</f>
        <v>-</v>
      </c>
      <c r="BN96" s="378" t="str">
        <f t="shared" ca="1" si="55"/>
        <v>-</v>
      </c>
      <c r="BO96" s="378" t="str">
        <f t="shared" ca="1" si="56"/>
        <v>-</v>
      </c>
      <c r="BP96" s="523" t="str">
        <f t="shared" ca="1" si="57"/>
        <v>-</v>
      </c>
      <c r="BQ96" s="378" t="str">
        <f t="array" aca="1" ref="BQ96" ca="1">IFERROR(INDEX(BE:BG,MATCH(INDEX(Calculation_Tab,SMALL(ROW(ToPool)*(ToPool&lt;&gt;"-"),COUNTIF(ToPool,"-")+ROW()-3)-9,9),BG:BG,0),2),"-")</f>
        <v>-</v>
      </c>
      <c r="BR96" s="510" t="str">
        <f t="shared" ca="1" si="58"/>
        <v>-</v>
      </c>
      <c r="BS96" s="511" t="str">
        <f t="shared" ca="1" si="59"/>
        <v>-</v>
      </c>
      <c r="BT96" s="378" t="s">
        <v>164</v>
      </c>
      <c r="BU96" s="487" t="str">
        <f t="shared" ca="1" si="63"/>
        <v>-</v>
      </c>
      <c r="BV96" s="487" t="str">
        <f t="array" aca="1" ref="BV9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96" s="378" t="str">
        <f t="shared" ca="1" si="60"/>
        <v>-</v>
      </c>
      <c r="BX96" s="378" t="str">
        <f t="shared" ca="1" si="61"/>
        <v>-</v>
      </c>
      <c r="BY96" s="510" t="str">
        <f ca="1">IFERROR(ROUND(INDEX(Cluster,MATCH(IF(LEFT(BV96,4)="Pool",INDEX(Cluster,MATCH(INDEX(Calculation_Tab,MATCH(INDEX($BE$4:$BJ$99,MATCH(BV96,$BE$4:$BE$99,0),3),Flow_Cell_Lane,0),3),Cluster!$F$29:$F$412,0),6),BV96),Identifier_Cluster,0),19)*IF(LEFT(BV96,4)="pool",IF(LEN(INDEX($BE$4:$BJ$99,MATCH(BV96,$BE$4:$BE$99,0),3))=10,2,IF(LEN(INDEX($BE$4:$BJ$99,MATCH(BV96,$BE$4:$BE$99,0),3))&gt;10,LEN(INDEX($BE$4:$BJ$99,MATCH(BV96,$BE$4:$BE$99,0),3))-8,1)),1)*IF(LEFT(BV96,4)="pool",IF(INDEX($BE$4:$BJ$99,MATCH(BV96,$BE$4:$BE$99,0),6)&lt;1,1,INDEX($BE$4:$BJ$99,MATCH(BV96,$BE$4:$BE$99,0),6)),INDEX(Calculation_Tab,MATCH(BV96,Identifier,0),10)),1)*(1+Calculation!$Q$6),"-")</f>
        <v>-</v>
      </c>
      <c r="BZ96" s="378" t="str">
        <f ca="1">IFERROR((0.5/50)*CE96/Calculation!$AG$6*(IF(LEFT(BV96,4)="Pool",IF(LEN(INDEX($BE$4:$BJ$99,MATCH(BV96,$BE$4:$BE$99,0),3))=10,2,IF(LEN(INDEX($BE$4:$BJ$99,MATCH(BV96,$BE$4:$BE$99,0),3))&gt;10,LEN(INDEX($BE$4:$BJ$99,MATCH(BV96,$BE$4:$BE$99,0),3))-8,1)),IF(INDEX(Calculation_Tab,MATCH(BV96,Identifier,0),10)&gt;1,INDEX(Calculation_Tab,MATCH(BV96,Identifier,0),10),1)))*(1+Calculation!$Q$6),"-")</f>
        <v>-</v>
      </c>
      <c r="CA96" s="510" t="str">
        <f ca="1">IFERROR(IF((BZ96*Calculation!$AG$6/0.05)-SUM(BY96:BZ96,CC96)&gt;0,(BZ96*Calculation!$AG$6/0.05)-SUM(BY96:BZ96,CC96),0),"-")</f>
        <v>-</v>
      </c>
      <c r="CB96" s="510" t="str">
        <f ca="1">IFERROR(5/50*CE96*(IF(LEFT(BV96,4)="Pool",IF(LEN(INDEX($BE$4:$BJ$99,MATCH(BV96,$BE$4:$BE$99,0),3))=10,2,IF(LEN(INDEX($BE$4:$BJ$99,MATCH(BV96,$BE$4:$BE$99,0),3))&gt;10,LEN(INDEX($BE$4:$BJ$99,MATCH(BV96,$BE$4:$BE$99,0),3))-8,1)),IF(INDEX(Calculation_Tab,MATCH(BV96,Identifier,0),10)&gt;1,INDEX(Calculation_Tab,MATCH(BV96,Identifier,0),10),1)))*(1+Calculation!$Q$6),"-")</f>
        <v>-</v>
      </c>
      <c r="CC96" s="508" t="str">
        <f ca="1">IFERROR(ROUND(INDEX(Cluster,MATCH(IF(LEFT(BV96,4)="Pool",INDEX(Cluster,MATCH(INDEX(Calculation_Tab,MATCH(INDEX($BE$4:$BJ$99,MATCH(BV96,$BE$4:$BE$99,0),3),Flow_Cell_Lane,0),3),Cluster!$F$29:$F$412,0),6),BV96),Identifier_Cluster,0),20)*IF(LEFT(BV96,4)="pool",IF(LEN(INDEX($BE$4:$BJ$99,MATCH(BV96,$BE$4:$BE$99,0),3))=10,2,IF(LEN(INDEX($BE$4:$BJ$99,MATCH(BV96,$BE$4:$BE$99,0),3))&gt;10,LEN(INDEX($BE$4:$BJ$99,MATCH(BV96,$BE$4:$BE$99,0),3))-8,1)),1)*IF(LEFT(BV96,4)="pool",IF(INDEX($BE$4:$BJ$99,MATCH(BV96,$BE$4:$BE$99,0),6)&lt;1,1,INDEX($BE$4:$BJ$99,MATCH(BV96,$BE$4:$BE$99,0),6)),INDEX(Calculation_Tab,MATCH(BV96,Identifier,0),10)),1)*(1+Calculation!$Q$6),"-")</f>
        <v>-</v>
      </c>
      <c r="CD96" s="509" t="str">
        <f ca="1">IFERROR(INDEX(Cluster!AC:AD,MATCH(IF(LEFT(BV96,4)="Pool",INDEX(Cluster!$D$29:$AA$412,MATCH(INDEX(Calculation_Tab,MATCH(INDEX($BE$4:$BJ$99,MATCH(BV96,$BE$4:$BE$99,0),3),Flow_Cell_Lane,0),3),Cluster!$F$29:$F$412,0),24),INDEX(Cluster!$D$29:$AA$412,MATCH(BV96,Cluster!$F$29:$F$412,0),24)),Cluster!AC:AC,0),2),"-")</f>
        <v>-</v>
      </c>
      <c r="CE96" s="378" t="str">
        <f ca="1">IFERROR(IF(BV96&lt;&gt;"-",Calculation!$AK$6,"-"),"-")</f>
        <v>-</v>
      </c>
      <c r="CF96" s="378" t="str">
        <f ca="1">IF(OR(LEFT(ListAndConversion!BW96,3)="Dil",LEFT(ListAndConversion!BW96,3)="Poo"),ListAndConversion!$BT$4,IF(LEFT(ListAndConversion!BW96,3)="Sou",INDEX(ListAndConversion!$AT$3:$AV$387,MATCH(ListAndConversion!BV96,ListAndConversion!$AV$3:$AV$387,0),1),"-"))</f>
        <v>-</v>
      </c>
      <c r="CG96" s="498" t="str">
        <f ca="1">IF(OR(LEFT(ListAndConversion!BW96,3)="Dil",LEFT(ListAndConversion!BW96,3)="Poo"),ListAndConversion!BU96,IF(LEFT(ListAndConversion!BW96,3)="Sou",INDEX(ListAndConversion!$AT$4:$AV$387,MATCH(ListAndConversion!BV96,ListAndConversion!$AV$4:$AV$387,0),2),"-"))</f>
        <v>-</v>
      </c>
      <c r="CH96" s="378"/>
      <c r="CI96" s="487" t="str">
        <f t="shared" ca="1" si="62"/>
        <v>-</v>
      </c>
      <c r="CJ96" s="378" t="str">
        <f t="shared" ca="1" si="72"/>
        <v>-</v>
      </c>
      <c r="CK96" s="378" t="str">
        <f t="shared" ca="1" si="72"/>
        <v>-</v>
      </c>
      <c r="CL96" s="378" t="str">
        <f t="shared" ca="1" si="72"/>
        <v>-</v>
      </c>
      <c r="CM96" s="378" t="str">
        <f t="shared" ca="1" si="72"/>
        <v>-</v>
      </c>
      <c r="CN96" s="378" t="str">
        <f t="shared" ca="1" si="72"/>
        <v>-</v>
      </c>
      <c r="CO96" s="378" t="str">
        <f t="shared" ca="1" si="72"/>
        <v>-</v>
      </c>
      <c r="CP96" s="378" t="str">
        <f t="shared" ca="1" si="72"/>
        <v>-</v>
      </c>
      <c r="CQ96" s="378" t="str">
        <f t="shared" ca="1" si="72"/>
        <v>-</v>
      </c>
      <c r="CR96" s="510" t="str">
        <f ca="1">IFERROR(IF(LEFT(BW96,3)="Poo",INDEX($BE$4:$BJ$99,MATCH(CI96,$BG$4:$BG$99,0),6)*((15/50))*Calculation!$AK$6,INDEX(Calculation_Tab,MATCH(BV96,Identifier,0),10)/(IF(LEN(INDEX(Calculation_Tab,MATCH(BV96,Identifier,0),9))&gt;8,LEN(INDEX(Calculation_Tab,MATCH(BV96,Identifier,0),9))-8,1))*((15/50)*Calculation!$AK$6)),"-")</f>
        <v>-</v>
      </c>
      <c r="CS96" s="498" t="str">
        <f ca="1">IF(CI96="-","-",IF(COUNTIF($CI$3:CI96,CI96)&gt;1,0,IFERROR((35/50)*Calculation!$AK$6,"-")))</f>
        <v>-</v>
      </c>
    </row>
    <row r="97" spans="4:97" x14ac:dyDescent="0.5">
      <c r="D97" s="487" t="e">
        <f t="shared" si="44"/>
        <v>#DIV/0!</v>
      </c>
      <c r="E97" s="496" t="e">
        <f t="array" ref="E97">IF(IF((ROW(E97)-3)&lt;(ListAndConversion!$A$15),INDEX(Flow_Cell_Lane,MIN(IF(COUNTIF($E$2:E96,Flow_Cell_Lane)=0,ROW(Flow_Cell_Lane)-9))),"-")="","-",IF((ROW(E97)-3)&lt;(ListAndConversion!$A$15),INDEX(Flow_Cell_Lane,MIN(IF(COUNTIF($E$2:E96,Flow_Cell_Lane)=0,ROW(Flow_Cell_Lane)-9))),"-"))</f>
        <v>#DIV/0!</v>
      </c>
      <c r="F97" s="378" t="e">
        <f t="shared" si="45"/>
        <v>#DIV/0!</v>
      </c>
      <c r="G97" s="378" t="e">
        <f t="shared" si="71"/>
        <v>#DIV/0!</v>
      </c>
      <c r="H97" s="378" t="e">
        <f t="shared" si="71"/>
        <v>#DIV/0!</v>
      </c>
      <c r="I97" s="378" t="e">
        <f t="shared" si="71"/>
        <v>#DIV/0!</v>
      </c>
      <c r="J97" s="378" t="e">
        <f t="shared" si="71"/>
        <v>#DIV/0!</v>
      </c>
      <c r="K97" s="378" t="e">
        <f t="shared" si="71"/>
        <v>#DIV/0!</v>
      </c>
      <c r="L97" s="378" t="e">
        <f t="shared" si="71"/>
        <v>#DIV/0!</v>
      </c>
      <c r="M97" s="378" t="e">
        <f t="shared" si="71"/>
        <v>#DIV/0!</v>
      </c>
      <c r="N97" s="497" t="e">
        <f t="shared" si="46"/>
        <v>#DIV/0!</v>
      </c>
      <c r="O97" s="497" t="str">
        <f t="array" ref="O97">IFERROR(INDEX(Calculation!I:AN,MATCH(ListAndConversion!E97,Calculation!I:I,0),31),"-")</f>
        <v>-</v>
      </c>
      <c r="P97" s="498">
        <f>IF(COUNTIFS(Calculation!$I$10:$I$393,E97,Direct_Denaturation,"-")&lt;&gt;1,COUNTIFS(Calculation!$I$10:$I$393,E97,Direct_Denaturation,"-"),0)</f>
        <v>0</v>
      </c>
      <c r="Q97" s="378"/>
      <c r="R97" s="487" t="e">
        <f t="array" ref="R97">IF(IF((ROW(R97)-3)&lt;(Calculation!$H$6),INDEX(Flow_Cell,MIN(IF(COUNTIF($R$2:R96,Flow_Cell)=0,ROW(Flow_Cell)-9))),"-")="","-",IF((ROW(R97)-3)&lt;(Calculation!$H$6),INDEX(Flow_Cell,MIN(IF(COUNTIF($R$2:R96,Flow_Cell)=0,ROW(Flow_Cell)-9))),"-"))</f>
        <v>#DIV/0!</v>
      </c>
      <c r="S97" s="378" t="e">
        <f t="shared" si="70"/>
        <v>#DIV/0!</v>
      </c>
      <c r="T97" s="378">
        <v>7</v>
      </c>
      <c r="U97" s="498">
        <v>95</v>
      </c>
      <c r="V97" s="487">
        <v>94</v>
      </c>
      <c r="W97" s="497" t="s">
        <v>287</v>
      </c>
      <c r="X97" s="497" t="s">
        <v>473</v>
      </c>
      <c r="Y97" s="378">
        <v>94</v>
      </c>
      <c r="Z97" s="378" t="str">
        <f t="shared" ca="1" si="48"/>
        <v>-</v>
      </c>
      <c r="AA97" s="508" t="str">
        <f t="array" aca="1" ref="AA97" ca="1">IFERROR(INDEX(Calculation_Tab,SMALL(ROW(Sample_Intermediate_Dil)*(Sample_Intermediate_Dil&lt;&gt;"-"),COUNTIF(Sample_Intermediate_Dil,"-")+ROW()-3)-9,5),"-")</f>
        <v>-</v>
      </c>
      <c r="AB97" s="378" t="str">
        <f t="array" aca="1" ref="AB97" ca="1">IFERROR(INDEX($A$3:$B$12,MATCH(INDEX(Calculation_Tab,SMALL(ROW(Sample_Intermediate_Dil)*(Sample_Intermediate_Dil&lt;&gt;"-"),COUNTIF(Sample_Intermediate_Dil,"-")+ROW()-3)-9,5),$A$3:$A$12,0),2),"-")</f>
        <v>-</v>
      </c>
      <c r="AC97" s="509" t="str">
        <f t="array" aca="1" ref="AC97" ca="1">IFERROR(INDEX(Coordinate,MATCH(INDEX(Calculation_Tab,SMALL(ROW(Sample_Intermediate_Dil)*(Sample_Intermediate_Dil&lt;&gt;"-"),COUNTIF(Sample_Intermediate_Dil,"-")+ROW()-3)-9,6),$X$4:$X$99,0),2),"-")</f>
        <v>-</v>
      </c>
      <c r="AD97" s="510" t="str">
        <f t="array" aca="1" ref="AD97" ca="1">IFERROR(INDEX(Calculation_Tab,SMALL(ROW(Sample_Intermediate_Dil)*(Sample_Intermediate_Dil&lt;&gt;"-"),COUNTIF(Sample_Intermediate_Dil,"-")+ROW()-3)-9,24),"-")</f>
        <v>-</v>
      </c>
      <c r="AE97" s="510" t="str">
        <f t="array" aca="1" ref="AE97" ca="1">IFERROR(INDEX(Calculation_Tab,SMALL(ROW(Sample_Intermediate_Dil)*(Sample_Intermediate_Dil&lt;&gt;"-"),COUNTIF(Sample_Intermediate_Dil,"-")+ROW()-3)-9,25),"-")</f>
        <v>-</v>
      </c>
      <c r="AF97" s="510" t="str">
        <f t="array" aca="1" ref="AF97" ca="1">IFERROR(INDEX(Calculation_Tab,SMALL(ROW(Sample_Intermediate_Dil)*(Sample_Intermediate_Dil&lt;&gt;"-"),COUNTIF(Sample_Intermediate_Dil,"-")+ROW()-3)-9,26),"-")</f>
        <v>-</v>
      </c>
      <c r="AG97" s="511" t="str">
        <f t="array" aca="1" ref="AG97" ca="1">IFERROR(INDEX(Calculation_Tab,SMALL(ROW(Sample_Intermediate_Dil)*(Sample_Intermediate_Dil&lt;&gt;"-"),COUNTIF(Sample_Intermediate_Dil,"-")+ROW()-3)-9,27),"-")</f>
        <v>-</v>
      </c>
      <c r="AI97" s="487">
        <v>94</v>
      </c>
      <c r="AJ97" s="497" t="s">
        <v>160</v>
      </c>
      <c r="AK97" s="378">
        <v>94</v>
      </c>
      <c r="AL97" s="378" t="str">
        <f t="shared" ca="1" si="49"/>
        <v>-</v>
      </c>
      <c r="AM97" s="378" t="str">
        <f t="array" aca="1" ref="AM97" ca="1">IFERROR(IF(AI97&lt;=$AB$2,"-",INDEX(Calculation_Tab,SMALL(ROW(Main_Dil)*(Main_Dil&lt;&gt;"-"),COUNTIF(Main_Dil,"-")+ROW()-3-$AB$2)-9,5)),"-")</f>
        <v>-</v>
      </c>
      <c r="AN97" s="378" t="str">
        <f t="array" aca="1" ref="AN97" ca="1">IFERROR(IF(AI97&lt;=$AB$2,"-",INDEX($A$3:$B$12,MATCH(INDEX(Calculation_Tab,SMALL(ROW(Main_Dil)*(Main_Dil&lt;&gt;"-"),COUNTIF(Main_Dil,"-")+ROW()-3-$AB$2)-9,5),$A$3:$A$12,0),2)),"-")</f>
        <v>-</v>
      </c>
      <c r="AO97" s="378" t="str">
        <f t="array" aca="1" ref="AO97" ca="1">IFERROR(IF(AI97&lt;=$AB$2,"-",INDEX(Coordinate,MATCH(INDEX(Calculation_Tab,SMALL(ROW(Main_Dil)*(Main_Dil&lt;&gt;"-"),COUNTIF(Main_Dil,"-")+ROW()-3-$AB$2)-9,6),$X$4:$X$99,0),2)),"-")</f>
        <v>-</v>
      </c>
      <c r="AP97" s="510" t="str">
        <f t="array" aca="1" ref="AP97" ca="1">IFERROR(IF(AI97&lt;=$AB$2,"-",INDEX(Calculation_Tab,SMALL(ROW(Main_Dil)*(Main_Dil&lt;&gt;"-"),COUNTIF(Main_Dil,"-")+ROW()-3-$AB$2)-9,21)),"-")</f>
        <v>-</v>
      </c>
      <c r="AQ97" s="511" t="str">
        <f t="array" aca="1" ref="AQ97" ca="1">IFERROR(IF(AI97&lt;=$AB$2,"-",INDEX(Calculation_Tab,SMALL(ROW(Main_Dil)*(Main_Dil&lt;&gt;"-"),COUNTIF(Main_Dil,"-")+ROW()-3-$AB$2)-9,22)),"-")</f>
        <v>-</v>
      </c>
      <c r="AR97" s="487" t="str">
        <f t="shared" ca="1" si="50"/>
        <v>-</v>
      </c>
      <c r="AS97" s="378">
        <v>94</v>
      </c>
      <c r="AT97" s="497" t="s">
        <v>160</v>
      </c>
      <c r="AU97" s="498">
        <v>94</v>
      </c>
      <c r="AV97" s="378" t="str">
        <f t="shared" ca="1" si="51"/>
        <v>-</v>
      </c>
      <c r="AW97" s="378" t="str">
        <f t="array" aca="1" ref="AW97" ca="1">IFERROR(IF(AS97&lt;=$AB$2+$AN$2,"-",INDEX(Calculation_Tab,SMALL(ROW(Direct_Denaturation)*(Direct_Denaturation&lt;&gt;"-"),COUNTIF(Direct_Denaturation,"-")+ROW()-3-$AB$2-$AN$2)-9,5)),"-")</f>
        <v>-</v>
      </c>
      <c r="AX97" s="378" t="str">
        <f t="array" aca="1" ref="AX97" ca="1">IFERROR(IF(AS97&lt;=$AB$2+$AN$2,"-",INDEX($A$3:$B$12,MATCH(INDEX(Calculation_Tab,SMALL(ROW(Direct_Denaturation)*(Direct_Denaturation&lt;&gt;"-"),COUNTIF(Direct_Denaturation,"-")+ROW()-3-$AB$2-$AN$2)-9,5),$A$3:$A$12,0),2)),"-")</f>
        <v>-</v>
      </c>
      <c r="AY97" s="378" t="str">
        <f t="array" aca="1" ref="AY97" ca="1">IFERROR(IF(AS97&lt;=$AB$2+$AN$2,"-",INDEX(Coordinate,MATCH(INDEX(Calculation_Tab,SMALL(ROW(Direct_Denaturation)*(Direct_Denaturation&lt;&gt;"-"),COUNTIF(Direct_Denaturation,"-")+ROW()-3-$AB$2-$AN$2)-9,6),$X$4:$X$99,0),2)),"-")</f>
        <v>-</v>
      </c>
      <c r="AZ97" s="510" t="str">
        <f t="array" aca="1" ref="AZ97" ca="1">IFERROR(IF(AS97&lt;=$AB$2+$AN$2,"-",INDEX(Calculation_Tab,SMALL(ROW(Direct_Denaturation)*(Direct_Denaturation&lt;&gt;"-"),COUNTIF(Direct_Denaturation,"-")+ROW()-3-$AB$2-$AN$2)-9,32)),"-")</f>
        <v>-</v>
      </c>
      <c r="BA97" s="510" t="str">
        <f t="array" aca="1" ref="BA97" ca="1">IFERROR(IF(AS97&lt;=$AB$2+$AN$2,"-",INDEX(Calculation_Tab,SMALL(ROW(Direct_Denaturation)*(Direct_Denaturation&lt;&gt;"-"),COUNTIF(Direct_Denaturation,"-")+ROW()-3-$AB$2-$AN$2)-9,34)),"-")</f>
        <v>-</v>
      </c>
      <c r="BB97" s="510" t="str">
        <f t="array" aca="1" ref="BB97" ca="1">IFERROR(IF(AS97&lt;=$AB$2+$AN$2,"-",INDEX(Calculation_Tab,SMALL(ROW(Direct_Denaturation)*(Direct_Denaturation&lt;&gt;"-"),COUNTIF(Direct_Denaturation,"-")+ROW()-3-$AB$2-$AN$2)-9,33)),"-")</f>
        <v>-</v>
      </c>
      <c r="BC97" s="510" t="str">
        <f t="array" aca="1" ref="BC97" ca="1">IFERROR(IF(AS97&lt;=$AB$2+$AN$2,"-",INDEX(Calculation_Tab,SMALL(ROW(Direct_Denaturation)*(Direct_Denaturation&lt;&gt;"-"),COUNTIF(Direct_Denaturation,"-")+ROW()-3-$AB$2-$AN$2)-9,35)),"-")</f>
        <v>-</v>
      </c>
      <c r="BD97" s="511" t="str">
        <f t="shared" ca="1" si="52"/>
        <v>-</v>
      </c>
      <c r="BE97" s="494" t="s">
        <v>474</v>
      </c>
      <c r="BF97" s="378">
        <v>94</v>
      </c>
      <c r="BG97" s="515" t="str">
        <v>-</v>
      </c>
      <c r="BH97" s="516" t="str">
        <f>IFERROR(IF((Calculation!$AR$6/INDEX(ListAndConversion!D:P,MATCH(BG97,E:E,0),13))&lt;Calculation!$O$6,INDEX(ListAndConversion!D:P,MATCH(BG97,E:E,0),13)*Calculation!$O$6,Calculation!$AR$6),"-")</f>
        <v>-</v>
      </c>
      <c r="BI97" s="517" t="str">
        <f t="shared" si="53"/>
        <v>-</v>
      </c>
      <c r="BJ97" s="518" t="str">
        <f t="shared" si="54"/>
        <v>-</v>
      </c>
      <c r="BK97" s="378" t="s">
        <v>158</v>
      </c>
      <c r="BL97" s="378">
        <v>94</v>
      </c>
      <c r="BM97" s="487" t="str">
        <f t="array" aca="1" ref="BM97" ca="1">IFERROR(INDEX(Calculation_Tab,SMALL(ROW(ToPool)*(ToPool&lt;&gt;"-"),COUNTIF(ToPool,"-")+ROW()-3)-9,3),"-")</f>
        <v>-</v>
      </c>
      <c r="BN97" s="378" t="str">
        <f t="shared" ca="1" si="55"/>
        <v>-</v>
      </c>
      <c r="BO97" s="378" t="str">
        <f t="shared" ca="1" si="56"/>
        <v>-</v>
      </c>
      <c r="BP97" s="523" t="str">
        <f t="shared" ca="1" si="57"/>
        <v>-</v>
      </c>
      <c r="BQ97" s="378" t="str">
        <f t="array" aca="1" ref="BQ97" ca="1">IFERROR(INDEX(BE:BG,MATCH(INDEX(Calculation_Tab,SMALL(ROW(ToPool)*(ToPool&lt;&gt;"-"),COUNTIF(ToPool,"-")+ROW()-3)-9,9),BG:BG,0),2),"-")</f>
        <v>-</v>
      </c>
      <c r="BR97" s="510" t="str">
        <f t="shared" ca="1" si="58"/>
        <v>-</v>
      </c>
      <c r="BS97" s="511" t="str">
        <f t="shared" ca="1" si="59"/>
        <v>-</v>
      </c>
      <c r="BT97" s="378" t="s">
        <v>164</v>
      </c>
      <c r="BU97" s="487" t="str">
        <f t="shared" ca="1" si="63"/>
        <v>-</v>
      </c>
      <c r="BV97" s="487" t="str">
        <f t="array" aca="1" ref="BV9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97" s="378" t="str">
        <f t="shared" ca="1" si="60"/>
        <v>-</v>
      </c>
      <c r="BX97" s="378" t="str">
        <f t="shared" ca="1" si="61"/>
        <v>-</v>
      </c>
      <c r="BY97" s="510" t="str">
        <f ca="1">IFERROR(ROUND(INDEX(Cluster,MATCH(IF(LEFT(BV97,4)="Pool",INDEX(Cluster,MATCH(INDEX(Calculation_Tab,MATCH(INDEX($BE$4:$BJ$99,MATCH(BV97,$BE$4:$BE$99,0),3),Flow_Cell_Lane,0),3),Cluster!$F$29:$F$412,0),6),BV97),Identifier_Cluster,0),19)*IF(LEFT(BV97,4)="pool",IF(LEN(INDEX($BE$4:$BJ$99,MATCH(BV97,$BE$4:$BE$99,0),3))=10,2,IF(LEN(INDEX($BE$4:$BJ$99,MATCH(BV97,$BE$4:$BE$99,0),3))&gt;10,LEN(INDEX($BE$4:$BJ$99,MATCH(BV97,$BE$4:$BE$99,0),3))-8,1)),1)*IF(LEFT(BV97,4)="pool",IF(INDEX($BE$4:$BJ$99,MATCH(BV97,$BE$4:$BE$99,0),6)&lt;1,1,INDEX($BE$4:$BJ$99,MATCH(BV97,$BE$4:$BE$99,0),6)),INDEX(Calculation_Tab,MATCH(BV97,Identifier,0),10)),1)*(1+Calculation!$Q$6),"-")</f>
        <v>-</v>
      </c>
      <c r="BZ97" s="378" t="str">
        <f ca="1">IFERROR((0.5/50)*CE97/Calculation!$AG$6*(IF(LEFT(BV97,4)="Pool",IF(LEN(INDEX($BE$4:$BJ$99,MATCH(BV97,$BE$4:$BE$99,0),3))=10,2,IF(LEN(INDEX($BE$4:$BJ$99,MATCH(BV97,$BE$4:$BE$99,0),3))&gt;10,LEN(INDEX($BE$4:$BJ$99,MATCH(BV97,$BE$4:$BE$99,0),3))-8,1)),IF(INDEX(Calculation_Tab,MATCH(BV97,Identifier,0),10)&gt;1,INDEX(Calculation_Tab,MATCH(BV97,Identifier,0),10),1)))*(1+Calculation!$Q$6),"-")</f>
        <v>-</v>
      </c>
      <c r="CA97" s="510" t="str">
        <f ca="1">IFERROR(IF((BZ97*Calculation!$AG$6/0.05)-SUM(BY97:BZ97,CC97)&gt;0,(BZ97*Calculation!$AG$6/0.05)-SUM(BY97:BZ97,CC97),0),"-")</f>
        <v>-</v>
      </c>
      <c r="CB97" s="510" t="str">
        <f ca="1">IFERROR(5/50*CE97*(IF(LEFT(BV97,4)="Pool",IF(LEN(INDEX($BE$4:$BJ$99,MATCH(BV97,$BE$4:$BE$99,0),3))=10,2,IF(LEN(INDEX($BE$4:$BJ$99,MATCH(BV97,$BE$4:$BE$99,0),3))&gt;10,LEN(INDEX($BE$4:$BJ$99,MATCH(BV97,$BE$4:$BE$99,0),3))-8,1)),IF(INDEX(Calculation_Tab,MATCH(BV97,Identifier,0),10)&gt;1,INDEX(Calculation_Tab,MATCH(BV97,Identifier,0),10),1)))*(1+Calculation!$Q$6),"-")</f>
        <v>-</v>
      </c>
      <c r="CC97" s="508" t="str">
        <f ca="1">IFERROR(ROUND(INDEX(Cluster,MATCH(IF(LEFT(BV97,4)="Pool",INDEX(Cluster,MATCH(INDEX(Calculation_Tab,MATCH(INDEX($BE$4:$BJ$99,MATCH(BV97,$BE$4:$BE$99,0),3),Flow_Cell_Lane,0),3),Cluster!$F$29:$F$412,0),6),BV97),Identifier_Cluster,0),20)*IF(LEFT(BV97,4)="pool",IF(LEN(INDEX($BE$4:$BJ$99,MATCH(BV97,$BE$4:$BE$99,0),3))=10,2,IF(LEN(INDEX($BE$4:$BJ$99,MATCH(BV97,$BE$4:$BE$99,0),3))&gt;10,LEN(INDEX($BE$4:$BJ$99,MATCH(BV97,$BE$4:$BE$99,0),3))-8,1)),1)*IF(LEFT(BV97,4)="pool",IF(INDEX($BE$4:$BJ$99,MATCH(BV97,$BE$4:$BE$99,0),6)&lt;1,1,INDEX($BE$4:$BJ$99,MATCH(BV97,$BE$4:$BE$99,0),6)),INDEX(Calculation_Tab,MATCH(BV97,Identifier,0),10)),1)*(1+Calculation!$Q$6),"-")</f>
        <v>-</v>
      </c>
      <c r="CD97" s="509" t="str">
        <f ca="1">IFERROR(INDEX(Cluster!AC:AD,MATCH(IF(LEFT(BV97,4)="Pool",INDEX(Cluster!$D$29:$AA$412,MATCH(INDEX(Calculation_Tab,MATCH(INDEX($BE$4:$BJ$99,MATCH(BV97,$BE$4:$BE$99,0),3),Flow_Cell_Lane,0),3),Cluster!$F$29:$F$412,0),24),INDEX(Cluster!$D$29:$AA$412,MATCH(BV97,Cluster!$F$29:$F$412,0),24)),Cluster!AC:AC,0),2),"-")</f>
        <v>-</v>
      </c>
      <c r="CE97" s="378" t="str">
        <f ca="1">IFERROR(IF(BV97&lt;&gt;"-",Calculation!$AK$6,"-"),"-")</f>
        <v>-</v>
      </c>
      <c r="CF97" s="378" t="str">
        <f ca="1">IF(OR(LEFT(ListAndConversion!BW97,3)="Dil",LEFT(ListAndConversion!BW97,3)="Poo"),ListAndConversion!$BT$4,IF(LEFT(ListAndConversion!BW97,3)="Sou",INDEX(ListAndConversion!$AT$3:$AV$387,MATCH(ListAndConversion!BV97,ListAndConversion!$AV$3:$AV$387,0),1),"-"))</f>
        <v>-</v>
      </c>
      <c r="CG97" s="498" t="str">
        <f ca="1">IF(OR(LEFT(ListAndConversion!BW97,3)="Dil",LEFT(ListAndConversion!BW97,3)="Poo"),ListAndConversion!BU97,IF(LEFT(ListAndConversion!BW97,3)="Sou",INDEX(ListAndConversion!$AT$4:$AV$387,MATCH(ListAndConversion!BV97,ListAndConversion!$AV$4:$AV$387,0),2),"-"))</f>
        <v>-</v>
      </c>
      <c r="CH97" s="378"/>
      <c r="CI97" s="487" t="str">
        <f t="shared" ca="1" si="62"/>
        <v>-</v>
      </c>
      <c r="CJ97" s="378" t="str">
        <f t="shared" ca="1" si="72"/>
        <v>-</v>
      </c>
      <c r="CK97" s="378" t="str">
        <f t="shared" ca="1" si="72"/>
        <v>-</v>
      </c>
      <c r="CL97" s="378" t="str">
        <f t="shared" ca="1" si="72"/>
        <v>-</v>
      </c>
      <c r="CM97" s="378" t="str">
        <f t="shared" ca="1" si="72"/>
        <v>-</v>
      </c>
      <c r="CN97" s="378" t="str">
        <f t="shared" ca="1" si="72"/>
        <v>-</v>
      </c>
      <c r="CO97" s="378" t="str">
        <f t="shared" ca="1" si="72"/>
        <v>-</v>
      </c>
      <c r="CP97" s="378" t="str">
        <f t="shared" ca="1" si="72"/>
        <v>-</v>
      </c>
      <c r="CQ97" s="378" t="str">
        <f t="shared" ca="1" si="72"/>
        <v>-</v>
      </c>
      <c r="CR97" s="510" t="str">
        <f ca="1">IFERROR(IF(LEFT(BW97,3)="Poo",INDEX($BE$4:$BJ$99,MATCH(CI97,$BG$4:$BG$99,0),6)*((15/50))*Calculation!$AK$6,INDEX(Calculation_Tab,MATCH(BV97,Identifier,0),10)/(IF(LEN(INDEX(Calculation_Tab,MATCH(BV97,Identifier,0),9))&gt;8,LEN(INDEX(Calculation_Tab,MATCH(BV97,Identifier,0),9))-8,1))*((15/50)*Calculation!$AK$6)),"-")</f>
        <v>-</v>
      </c>
      <c r="CS97" s="498" t="str">
        <f ca="1">IF(CI97="-","-",IF(COUNTIF($CI$3:CI97,CI97)&gt;1,0,IFERROR((35/50)*Calculation!$AK$6,"-")))</f>
        <v>-</v>
      </c>
    </row>
    <row r="98" spans="4:97" x14ac:dyDescent="0.5">
      <c r="D98" s="487" t="e">
        <f t="shared" si="44"/>
        <v>#DIV/0!</v>
      </c>
      <c r="E98" s="496" t="e">
        <f t="array" ref="E98">IF(IF((ROW(E98)-3)&lt;(ListAndConversion!$A$15),INDEX(Flow_Cell_Lane,MIN(IF(COUNTIF($E$2:E97,Flow_Cell_Lane)=0,ROW(Flow_Cell_Lane)-9))),"-")="","-",IF((ROW(E98)-3)&lt;(ListAndConversion!$A$15),INDEX(Flow_Cell_Lane,MIN(IF(COUNTIF($E$2:E97,Flow_Cell_Lane)=0,ROW(Flow_Cell_Lane)-9))),"-"))</f>
        <v>#DIV/0!</v>
      </c>
      <c r="F98" s="378" t="e">
        <f t="shared" si="45"/>
        <v>#DIV/0!</v>
      </c>
      <c r="G98" s="378" t="e">
        <f t="shared" si="71"/>
        <v>#DIV/0!</v>
      </c>
      <c r="H98" s="378" t="e">
        <f t="shared" si="71"/>
        <v>#DIV/0!</v>
      </c>
      <c r="I98" s="378" t="e">
        <f t="shared" si="71"/>
        <v>#DIV/0!</v>
      </c>
      <c r="J98" s="378" t="e">
        <f t="shared" si="71"/>
        <v>#DIV/0!</v>
      </c>
      <c r="K98" s="378" t="e">
        <f t="shared" si="71"/>
        <v>#DIV/0!</v>
      </c>
      <c r="L98" s="378" t="e">
        <f t="shared" si="71"/>
        <v>#DIV/0!</v>
      </c>
      <c r="M98" s="378" t="e">
        <f t="shared" si="71"/>
        <v>#DIV/0!</v>
      </c>
      <c r="N98" s="497" t="e">
        <f t="shared" si="46"/>
        <v>#DIV/0!</v>
      </c>
      <c r="O98" s="497" t="str">
        <f t="array" ref="O98">IFERROR(INDEX(Calculation!I:AN,MATCH(ListAndConversion!E98,Calculation!I:I,0),31),"-")</f>
        <v>-</v>
      </c>
      <c r="P98" s="498">
        <f>IF(COUNTIFS(Calculation!$I$10:$I$393,E98,Direct_Denaturation,"-")&lt;&gt;1,COUNTIFS(Calculation!$I$10:$I$393,E98,Direct_Denaturation,"-"),0)</f>
        <v>0</v>
      </c>
      <c r="Q98" s="378"/>
      <c r="R98" s="532" t="e">
        <f t="array" ref="R98">IF(IF((ROW(R98)-3)&lt;(Calculation!$H$6),INDEX(Flow_Cell,MIN(IF(COUNTIF($R$2:R97,Flow_Cell)=0,ROW(Flow_Cell)-9))),"-")="","-",IF((ROW(R98)-3)&lt;(Calculation!$H$6),INDEX(Flow_Cell,MIN(IF(COUNTIF($R$2:R97,Flow_Cell)=0,ROW(Flow_Cell)-9))),"-"))</f>
        <v>#DIV/0!</v>
      </c>
      <c r="S98" s="533" t="e">
        <f t="shared" si="70"/>
        <v>#DIV/0!</v>
      </c>
      <c r="T98" s="533">
        <v>8</v>
      </c>
      <c r="U98" s="479">
        <v>96</v>
      </c>
      <c r="V98" s="487">
        <v>95</v>
      </c>
      <c r="W98" s="497" t="s">
        <v>287</v>
      </c>
      <c r="X98" s="497" t="s">
        <v>475</v>
      </c>
      <c r="Y98" s="378">
        <v>95</v>
      </c>
      <c r="Z98" s="378" t="str">
        <f t="shared" ca="1" si="48"/>
        <v>-</v>
      </c>
      <c r="AA98" s="508" t="str">
        <f t="array" aca="1" ref="AA98" ca="1">IFERROR(INDEX(Calculation_Tab,SMALL(ROW(Sample_Intermediate_Dil)*(Sample_Intermediate_Dil&lt;&gt;"-"),COUNTIF(Sample_Intermediate_Dil,"-")+ROW()-3)-9,5),"-")</f>
        <v>-</v>
      </c>
      <c r="AB98" s="378" t="str">
        <f t="array" aca="1" ref="AB98" ca="1">IFERROR(INDEX($A$3:$B$12,MATCH(INDEX(Calculation_Tab,SMALL(ROW(Sample_Intermediate_Dil)*(Sample_Intermediate_Dil&lt;&gt;"-"),COUNTIF(Sample_Intermediate_Dil,"-")+ROW()-3)-9,5),$A$3:$A$12,0),2),"-")</f>
        <v>-</v>
      </c>
      <c r="AC98" s="509" t="str">
        <f t="array" aca="1" ref="AC98" ca="1">IFERROR(INDEX(Coordinate,MATCH(INDEX(Calculation_Tab,SMALL(ROW(Sample_Intermediate_Dil)*(Sample_Intermediate_Dil&lt;&gt;"-"),COUNTIF(Sample_Intermediate_Dil,"-")+ROW()-3)-9,6),$X$4:$X$99,0),2),"-")</f>
        <v>-</v>
      </c>
      <c r="AD98" s="510" t="str">
        <f t="array" aca="1" ref="AD98" ca="1">IFERROR(INDEX(Calculation_Tab,SMALL(ROW(Sample_Intermediate_Dil)*(Sample_Intermediate_Dil&lt;&gt;"-"),COUNTIF(Sample_Intermediate_Dil,"-")+ROW()-3)-9,24),"-")</f>
        <v>-</v>
      </c>
      <c r="AE98" s="510" t="str">
        <f t="array" aca="1" ref="AE98" ca="1">IFERROR(INDEX(Calculation_Tab,SMALL(ROW(Sample_Intermediate_Dil)*(Sample_Intermediate_Dil&lt;&gt;"-"),COUNTIF(Sample_Intermediate_Dil,"-")+ROW()-3)-9,25),"-")</f>
        <v>-</v>
      </c>
      <c r="AF98" s="510" t="str">
        <f t="array" aca="1" ref="AF98" ca="1">IFERROR(INDEX(Calculation_Tab,SMALL(ROW(Sample_Intermediate_Dil)*(Sample_Intermediate_Dil&lt;&gt;"-"),COUNTIF(Sample_Intermediate_Dil,"-")+ROW()-3)-9,26),"-")</f>
        <v>-</v>
      </c>
      <c r="AG98" s="511" t="str">
        <f t="array" aca="1" ref="AG98" ca="1">IFERROR(INDEX(Calculation_Tab,SMALL(ROW(Sample_Intermediate_Dil)*(Sample_Intermediate_Dil&lt;&gt;"-"),COUNTIF(Sample_Intermediate_Dil,"-")+ROW()-3)-9,27),"-")</f>
        <v>-</v>
      </c>
      <c r="AI98" s="487">
        <v>95</v>
      </c>
      <c r="AJ98" s="497" t="s">
        <v>160</v>
      </c>
      <c r="AK98" s="378">
        <v>95</v>
      </c>
      <c r="AL98" s="378" t="str">
        <f t="shared" ca="1" si="49"/>
        <v>-</v>
      </c>
      <c r="AM98" s="378" t="str">
        <f t="array" aca="1" ref="AM98" ca="1">IFERROR(IF(AI98&lt;=$AB$2,"-",INDEX(Calculation_Tab,SMALL(ROW(Main_Dil)*(Main_Dil&lt;&gt;"-"),COUNTIF(Main_Dil,"-")+ROW()-3-$AB$2)-9,5)),"-")</f>
        <v>-</v>
      </c>
      <c r="AN98" s="378" t="str">
        <f t="array" aca="1" ref="AN98" ca="1">IFERROR(IF(AI98&lt;=$AB$2,"-",INDEX($A$3:$B$12,MATCH(INDEX(Calculation_Tab,SMALL(ROW(Main_Dil)*(Main_Dil&lt;&gt;"-"),COUNTIF(Main_Dil,"-")+ROW()-3-$AB$2)-9,5),$A$3:$A$12,0),2)),"-")</f>
        <v>-</v>
      </c>
      <c r="AO98" s="378" t="str">
        <f t="array" aca="1" ref="AO98" ca="1">IFERROR(IF(AI98&lt;=$AB$2,"-",INDEX(Coordinate,MATCH(INDEX(Calculation_Tab,SMALL(ROW(Main_Dil)*(Main_Dil&lt;&gt;"-"),COUNTIF(Main_Dil,"-")+ROW()-3-$AB$2)-9,6),$X$4:$X$99,0),2)),"-")</f>
        <v>-</v>
      </c>
      <c r="AP98" s="510" t="str">
        <f t="array" aca="1" ref="AP98" ca="1">IFERROR(IF(AI98&lt;=$AB$2,"-",INDEX(Calculation_Tab,SMALL(ROW(Main_Dil)*(Main_Dil&lt;&gt;"-"),COUNTIF(Main_Dil,"-")+ROW()-3-$AB$2)-9,21)),"-")</f>
        <v>-</v>
      </c>
      <c r="AQ98" s="511" t="str">
        <f t="array" aca="1" ref="AQ98" ca="1">IFERROR(IF(AI98&lt;=$AB$2,"-",INDEX(Calculation_Tab,SMALL(ROW(Main_Dil)*(Main_Dil&lt;&gt;"-"),COUNTIF(Main_Dil,"-")+ROW()-3-$AB$2)-9,22)),"-")</f>
        <v>-</v>
      </c>
      <c r="AR98" s="487" t="str">
        <f t="shared" ca="1" si="50"/>
        <v>-</v>
      </c>
      <c r="AS98" s="378">
        <v>95</v>
      </c>
      <c r="AT98" s="497" t="s">
        <v>160</v>
      </c>
      <c r="AU98" s="498">
        <v>95</v>
      </c>
      <c r="AV98" s="378" t="str">
        <f t="shared" ca="1" si="51"/>
        <v>-</v>
      </c>
      <c r="AW98" s="378" t="str">
        <f t="array" aca="1" ref="AW98" ca="1">IFERROR(IF(AS98&lt;=$AB$2+$AN$2,"-",INDEX(Calculation_Tab,SMALL(ROW(Direct_Denaturation)*(Direct_Denaturation&lt;&gt;"-"),COUNTIF(Direct_Denaturation,"-")+ROW()-3-$AB$2-$AN$2)-9,5)),"-")</f>
        <v>-</v>
      </c>
      <c r="AX98" s="378" t="str">
        <f t="array" aca="1" ref="AX98" ca="1">IFERROR(IF(AS98&lt;=$AB$2+$AN$2,"-",INDEX($A$3:$B$12,MATCH(INDEX(Calculation_Tab,SMALL(ROW(Direct_Denaturation)*(Direct_Denaturation&lt;&gt;"-"),COUNTIF(Direct_Denaturation,"-")+ROW()-3-$AB$2-$AN$2)-9,5),$A$3:$A$12,0),2)),"-")</f>
        <v>-</v>
      </c>
      <c r="AY98" s="378" t="str">
        <f t="array" aca="1" ref="AY98" ca="1">IFERROR(IF(AS98&lt;=$AB$2+$AN$2,"-",INDEX(Coordinate,MATCH(INDEX(Calculation_Tab,SMALL(ROW(Direct_Denaturation)*(Direct_Denaturation&lt;&gt;"-"),COUNTIF(Direct_Denaturation,"-")+ROW()-3-$AB$2-$AN$2)-9,6),$X$4:$X$99,0),2)),"-")</f>
        <v>-</v>
      </c>
      <c r="AZ98" s="510" t="str">
        <f t="array" aca="1" ref="AZ98" ca="1">IFERROR(IF(AS98&lt;=$AB$2+$AN$2,"-",INDEX(Calculation_Tab,SMALL(ROW(Direct_Denaturation)*(Direct_Denaturation&lt;&gt;"-"),COUNTIF(Direct_Denaturation,"-")+ROW()-3-$AB$2-$AN$2)-9,32)),"-")</f>
        <v>-</v>
      </c>
      <c r="BA98" s="510" t="str">
        <f t="array" aca="1" ref="BA98" ca="1">IFERROR(IF(AS98&lt;=$AB$2+$AN$2,"-",INDEX(Calculation_Tab,SMALL(ROW(Direct_Denaturation)*(Direct_Denaturation&lt;&gt;"-"),COUNTIF(Direct_Denaturation,"-")+ROW()-3-$AB$2-$AN$2)-9,34)),"-")</f>
        <v>-</v>
      </c>
      <c r="BB98" s="510" t="str">
        <f t="array" aca="1" ref="BB98" ca="1">IFERROR(IF(AS98&lt;=$AB$2+$AN$2,"-",INDEX(Calculation_Tab,SMALL(ROW(Direct_Denaturation)*(Direct_Denaturation&lt;&gt;"-"),COUNTIF(Direct_Denaturation,"-")+ROW()-3-$AB$2-$AN$2)-9,33)),"-")</f>
        <v>-</v>
      </c>
      <c r="BC98" s="510" t="str">
        <f t="array" aca="1" ref="BC98" ca="1">IFERROR(IF(AS98&lt;=$AB$2+$AN$2,"-",INDEX(Calculation_Tab,SMALL(ROW(Direct_Denaturation)*(Direct_Denaturation&lt;&gt;"-"),COUNTIF(Direct_Denaturation,"-")+ROW()-3-$AB$2-$AN$2)-9,35)),"-")</f>
        <v>-</v>
      </c>
      <c r="BD98" s="511" t="str">
        <f t="shared" ca="1" si="52"/>
        <v>-</v>
      </c>
      <c r="BE98" s="494" t="s">
        <v>476</v>
      </c>
      <c r="BF98" s="378">
        <v>95</v>
      </c>
      <c r="BG98" s="515" t="str">
        <v>-</v>
      </c>
      <c r="BH98" s="516" t="str">
        <f>IFERROR(IF((Calculation!$AR$6/INDEX(ListAndConversion!D:P,MATCH(BG98,E:E,0),13))&lt;Calculation!$O$6,INDEX(ListAndConversion!D:P,MATCH(BG98,E:E,0),13)*Calculation!$O$6,Calculation!$AR$6),"-")</f>
        <v>-</v>
      </c>
      <c r="BI98" s="517" t="str">
        <f t="shared" si="53"/>
        <v>-</v>
      </c>
      <c r="BJ98" s="518" t="str">
        <f t="shared" si="54"/>
        <v>-</v>
      </c>
      <c r="BK98" s="378" t="s">
        <v>158</v>
      </c>
      <c r="BL98" s="378">
        <v>95</v>
      </c>
      <c r="BM98" s="487" t="str">
        <f t="array" aca="1" ref="BM98" ca="1">IFERROR(INDEX(Calculation_Tab,SMALL(ROW(ToPool)*(ToPool&lt;&gt;"-"),COUNTIF(ToPool,"-")+ROW()-3)-9,3),"-")</f>
        <v>-</v>
      </c>
      <c r="BN98" s="378" t="str">
        <f t="shared" ca="1" si="55"/>
        <v>-</v>
      </c>
      <c r="BO98" s="378" t="str">
        <f t="shared" ca="1" si="56"/>
        <v>-</v>
      </c>
      <c r="BP98" s="523" t="str">
        <f t="shared" ca="1" si="57"/>
        <v>-</v>
      </c>
      <c r="BQ98" s="378" t="str">
        <f t="array" aca="1" ref="BQ98" ca="1">IFERROR(INDEX(BE:BG,MATCH(INDEX(Calculation_Tab,SMALL(ROW(ToPool)*(ToPool&lt;&gt;"-"),COUNTIF(ToPool,"-")+ROW()-3)-9,9),BG:BG,0),2),"-")</f>
        <v>-</v>
      </c>
      <c r="BR98" s="510" t="str">
        <f t="shared" ca="1" si="58"/>
        <v>-</v>
      </c>
      <c r="BS98" s="511" t="str">
        <f t="shared" ca="1" si="59"/>
        <v>-</v>
      </c>
      <c r="BT98" s="378" t="s">
        <v>164</v>
      </c>
      <c r="BU98" s="487" t="str">
        <f t="shared" ca="1" si="63"/>
        <v>-</v>
      </c>
      <c r="BV98" s="487" t="str">
        <f t="array" aca="1" ref="BV9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98" s="378" t="str">
        <f t="shared" ca="1" si="60"/>
        <v>-</v>
      </c>
      <c r="BX98" s="378" t="str">
        <f t="shared" ca="1" si="61"/>
        <v>-</v>
      </c>
      <c r="BY98" s="510" t="str">
        <f ca="1">IFERROR(ROUND(INDEX(Cluster,MATCH(IF(LEFT(BV98,4)="Pool",INDEX(Cluster,MATCH(INDEX(Calculation_Tab,MATCH(INDEX($BE$4:$BJ$99,MATCH(BV98,$BE$4:$BE$99,0),3),Flow_Cell_Lane,0),3),Cluster!$F$29:$F$412,0),6),BV98),Identifier_Cluster,0),19)*IF(LEFT(BV98,4)="pool",IF(LEN(INDEX($BE$4:$BJ$99,MATCH(BV98,$BE$4:$BE$99,0),3))=10,2,IF(LEN(INDEX($BE$4:$BJ$99,MATCH(BV98,$BE$4:$BE$99,0),3))&gt;10,LEN(INDEX($BE$4:$BJ$99,MATCH(BV98,$BE$4:$BE$99,0),3))-8,1)),1)*IF(LEFT(BV98,4)="pool",IF(INDEX($BE$4:$BJ$99,MATCH(BV98,$BE$4:$BE$99,0),6)&lt;1,1,INDEX($BE$4:$BJ$99,MATCH(BV98,$BE$4:$BE$99,0),6)),INDEX(Calculation_Tab,MATCH(BV98,Identifier,0),10)),1)*(1+Calculation!$Q$6),"-")</f>
        <v>-</v>
      </c>
      <c r="BZ98" s="378" t="str">
        <f ca="1">IFERROR((0.5/50)*CE98/Calculation!$AG$6*(IF(LEFT(BV98,4)="Pool",IF(LEN(INDEX($BE$4:$BJ$99,MATCH(BV98,$BE$4:$BE$99,0),3))=10,2,IF(LEN(INDEX($BE$4:$BJ$99,MATCH(BV98,$BE$4:$BE$99,0),3))&gt;10,LEN(INDEX($BE$4:$BJ$99,MATCH(BV98,$BE$4:$BE$99,0),3))-8,1)),IF(INDEX(Calculation_Tab,MATCH(BV98,Identifier,0),10)&gt;1,INDEX(Calculation_Tab,MATCH(BV98,Identifier,0),10),1)))*(1+Calculation!$Q$6),"-")</f>
        <v>-</v>
      </c>
      <c r="CA98" s="510" t="str">
        <f ca="1">IFERROR(IF((BZ98*Calculation!$AG$6/0.05)-SUM(BY98:BZ98,CC98)&gt;0,(BZ98*Calculation!$AG$6/0.05)-SUM(BY98:BZ98,CC98),0),"-")</f>
        <v>-</v>
      </c>
      <c r="CB98" s="510" t="str">
        <f ca="1">IFERROR(5/50*CE98*(IF(LEFT(BV98,4)="Pool",IF(LEN(INDEX($BE$4:$BJ$99,MATCH(BV98,$BE$4:$BE$99,0),3))=10,2,IF(LEN(INDEX($BE$4:$BJ$99,MATCH(BV98,$BE$4:$BE$99,0),3))&gt;10,LEN(INDEX($BE$4:$BJ$99,MATCH(BV98,$BE$4:$BE$99,0),3))-8,1)),IF(INDEX(Calculation_Tab,MATCH(BV98,Identifier,0),10)&gt;1,INDEX(Calculation_Tab,MATCH(BV98,Identifier,0),10),1)))*(1+Calculation!$Q$6),"-")</f>
        <v>-</v>
      </c>
      <c r="CC98" s="508" t="str">
        <f ca="1">IFERROR(ROUND(INDEX(Cluster,MATCH(IF(LEFT(BV98,4)="Pool",INDEX(Cluster,MATCH(INDEX(Calculation_Tab,MATCH(INDEX($BE$4:$BJ$99,MATCH(BV98,$BE$4:$BE$99,0),3),Flow_Cell_Lane,0),3),Cluster!$F$29:$F$412,0),6),BV98),Identifier_Cluster,0),20)*IF(LEFT(BV98,4)="pool",IF(LEN(INDEX($BE$4:$BJ$99,MATCH(BV98,$BE$4:$BE$99,0),3))=10,2,IF(LEN(INDEX($BE$4:$BJ$99,MATCH(BV98,$BE$4:$BE$99,0),3))&gt;10,LEN(INDEX($BE$4:$BJ$99,MATCH(BV98,$BE$4:$BE$99,0),3))-8,1)),1)*IF(LEFT(BV98,4)="pool",IF(INDEX($BE$4:$BJ$99,MATCH(BV98,$BE$4:$BE$99,0),6)&lt;1,1,INDEX($BE$4:$BJ$99,MATCH(BV98,$BE$4:$BE$99,0),6)),INDEX(Calculation_Tab,MATCH(BV98,Identifier,0),10)),1)*(1+Calculation!$Q$6),"-")</f>
        <v>-</v>
      </c>
      <c r="CD98" s="509" t="str">
        <f ca="1">IFERROR(INDEX(Cluster!AC:AD,MATCH(IF(LEFT(BV98,4)="Pool",INDEX(Cluster!$D$29:$AA$412,MATCH(INDEX(Calculation_Tab,MATCH(INDEX($BE$4:$BJ$99,MATCH(BV98,$BE$4:$BE$99,0),3),Flow_Cell_Lane,0),3),Cluster!$F$29:$F$412,0),24),INDEX(Cluster!$D$29:$AA$412,MATCH(BV98,Cluster!$F$29:$F$412,0),24)),Cluster!AC:AC,0),2),"-")</f>
        <v>-</v>
      </c>
      <c r="CE98" s="378" t="str">
        <f ca="1">IFERROR(IF(BV98&lt;&gt;"-",Calculation!$AK$6,"-"),"-")</f>
        <v>-</v>
      </c>
      <c r="CF98" s="378" t="str">
        <f ca="1">IF(OR(LEFT(ListAndConversion!BW98,3)="Dil",LEFT(ListAndConversion!BW98,3)="Poo"),ListAndConversion!$BT$4,IF(LEFT(ListAndConversion!BW98,3)="Sou",INDEX(ListAndConversion!$AT$3:$AV$387,MATCH(ListAndConversion!BV98,ListAndConversion!$AV$3:$AV$387,0),1),"-"))</f>
        <v>-</v>
      </c>
      <c r="CG98" s="498" t="str">
        <f ca="1">IF(OR(LEFT(ListAndConversion!BW98,3)="Dil",LEFT(ListAndConversion!BW98,3)="Poo"),ListAndConversion!BU98,IF(LEFT(ListAndConversion!BW98,3)="Sou",INDEX(ListAndConversion!$AT$4:$AV$387,MATCH(ListAndConversion!BV98,ListAndConversion!$AV$4:$AV$387,0),2),"-"))</f>
        <v>-</v>
      </c>
      <c r="CH98" s="378"/>
      <c r="CI98" s="487" t="str">
        <f t="shared" ca="1" si="62"/>
        <v>-</v>
      </c>
      <c r="CJ98" s="378" t="str">
        <f t="shared" ca="1" si="72"/>
        <v>-</v>
      </c>
      <c r="CK98" s="378" t="str">
        <f t="shared" ca="1" si="72"/>
        <v>-</v>
      </c>
      <c r="CL98" s="378" t="str">
        <f t="shared" ca="1" si="72"/>
        <v>-</v>
      </c>
      <c r="CM98" s="378" t="str">
        <f t="shared" ca="1" si="72"/>
        <v>-</v>
      </c>
      <c r="CN98" s="378" t="str">
        <f t="shared" ca="1" si="72"/>
        <v>-</v>
      </c>
      <c r="CO98" s="378" t="str">
        <f t="shared" ca="1" si="72"/>
        <v>-</v>
      </c>
      <c r="CP98" s="378" t="str">
        <f t="shared" ca="1" si="72"/>
        <v>-</v>
      </c>
      <c r="CQ98" s="378" t="str">
        <f t="shared" ca="1" si="72"/>
        <v>-</v>
      </c>
      <c r="CR98" s="510" t="str">
        <f ca="1">IFERROR(IF(LEFT(BW98,3)="Poo",INDEX($BE$4:$BJ$99,MATCH(CI98,$BG$4:$BG$99,0),6)*((15/50))*Calculation!$AK$6,INDEX(Calculation_Tab,MATCH(BV98,Identifier,0),10)/(IF(LEN(INDEX(Calculation_Tab,MATCH(BV98,Identifier,0),9))&gt;8,LEN(INDEX(Calculation_Tab,MATCH(BV98,Identifier,0),9))-8,1))*((15/50)*Calculation!$AK$6)),"-")</f>
        <v>-</v>
      </c>
      <c r="CS98" s="498" t="str">
        <f ca="1">IF(CI98="-","-",IF(COUNTIF($CI$3:CI98,CI98)&gt;1,0,IFERROR((35/50)*Calculation!$AK$6,"-")))</f>
        <v>-</v>
      </c>
    </row>
    <row r="99" spans="4:97" x14ac:dyDescent="0.5">
      <c r="D99" s="487" t="e">
        <f t="shared" si="44"/>
        <v>#DIV/0!</v>
      </c>
      <c r="E99" s="496" t="e">
        <f t="array" ref="E99">IF(IF((ROW(E99)-3)&lt;(ListAndConversion!$A$15),INDEX(Flow_Cell_Lane,MIN(IF(COUNTIF($E$2:E98,Flow_Cell_Lane)=0,ROW(Flow_Cell_Lane)-9))),"-")="","-",IF((ROW(E99)-3)&lt;(ListAndConversion!$A$15),INDEX(Flow_Cell_Lane,MIN(IF(COUNTIF($E$2:E98,Flow_Cell_Lane)=0,ROW(Flow_Cell_Lane)-9))),"-"))</f>
        <v>#DIV/0!</v>
      </c>
      <c r="F99" s="378" t="e">
        <f t="shared" si="45"/>
        <v>#DIV/0!</v>
      </c>
      <c r="G99" s="378" t="e">
        <f t="shared" si="71"/>
        <v>#DIV/0!</v>
      </c>
      <c r="H99" s="378" t="e">
        <f t="shared" si="71"/>
        <v>#DIV/0!</v>
      </c>
      <c r="I99" s="378" t="e">
        <f t="shared" si="71"/>
        <v>#DIV/0!</v>
      </c>
      <c r="J99" s="378" t="e">
        <f t="shared" si="71"/>
        <v>#DIV/0!</v>
      </c>
      <c r="K99" s="378" t="e">
        <f t="shared" si="71"/>
        <v>#DIV/0!</v>
      </c>
      <c r="L99" s="378" t="e">
        <f t="shared" si="71"/>
        <v>#DIV/0!</v>
      </c>
      <c r="M99" s="378" t="e">
        <f t="shared" si="71"/>
        <v>#DIV/0!</v>
      </c>
      <c r="N99" s="497" t="e">
        <f t="shared" si="46"/>
        <v>#DIV/0!</v>
      </c>
      <c r="O99" s="497" t="str">
        <f t="array" ref="O99">IFERROR(INDEX(Calculation!I:AN,MATCH(ListAndConversion!E99,Calculation!I:I,0),31),"-")</f>
        <v>-</v>
      </c>
      <c r="P99" s="498">
        <f>IF(COUNTIFS(Calculation!$I$10:$I$393,E99,Direct_Denaturation,"-")&lt;&gt;1,COUNTIFS(Calculation!$I$10:$I$393,E99,Direct_Denaturation,"-"),0)</f>
        <v>0</v>
      </c>
      <c r="V99" s="532">
        <v>96</v>
      </c>
      <c r="W99" s="497" t="s">
        <v>287</v>
      </c>
      <c r="X99" s="534" t="s">
        <v>477</v>
      </c>
      <c r="Y99" s="533">
        <v>96</v>
      </c>
      <c r="Z99" s="533" t="str">
        <f t="shared" ca="1" si="48"/>
        <v>-</v>
      </c>
      <c r="AA99" s="535" t="str">
        <f t="array" aca="1" ref="AA99" ca="1">IFERROR(INDEX(Calculation_Tab,SMALL(ROW(Sample_Intermediate_Dil)*(Sample_Intermediate_Dil&lt;&gt;"-"),COUNTIF(Sample_Intermediate_Dil,"-")+ROW()-3)-9,5),"-")</f>
        <v>-</v>
      </c>
      <c r="AB99" s="533" t="str">
        <f t="array" aca="1" ref="AB99" ca="1">IFERROR(INDEX($A$3:$B$12,MATCH(INDEX(Calculation_Tab,SMALL(ROW(Sample_Intermediate_Dil)*(Sample_Intermediate_Dil&lt;&gt;"-"),COUNTIF(Sample_Intermediate_Dil,"-")+ROW()-3)-9,5),$A$3:$A$12,0),2),"-")</f>
        <v>-</v>
      </c>
      <c r="AC99" s="536" t="str">
        <f t="array" aca="1" ref="AC99" ca="1">IFERROR(INDEX(Coordinate,MATCH(INDEX(Calculation_Tab,SMALL(ROW(Sample_Intermediate_Dil)*(Sample_Intermediate_Dil&lt;&gt;"-"),COUNTIF(Sample_Intermediate_Dil,"-")+ROW()-3)-9,6),$X$4:$X$99,0),2),"-")</f>
        <v>-</v>
      </c>
      <c r="AD99" s="537" t="str">
        <f t="array" aca="1" ref="AD99" ca="1">IFERROR(INDEX(Calculation_Tab,SMALL(ROW(Sample_Intermediate_Dil)*(Sample_Intermediate_Dil&lt;&gt;"-"),COUNTIF(Sample_Intermediate_Dil,"-")+ROW()-3)-9,24),"-")</f>
        <v>-</v>
      </c>
      <c r="AE99" s="537" t="str">
        <f t="array" aca="1" ref="AE99" ca="1">IFERROR(INDEX(Calculation_Tab,SMALL(ROW(Sample_Intermediate_Dil)*(Sample_Intermediate_Dil&lt;&gt;"-"),COUNTIF(Sample_Intermediate_Dil,"-")+ROW()-3)-9,25),"-")</f>
        <v>-</v>
      </c>
      <c r="AF99" s="537" t="str">
        <f t="array" aca="1" ref="AF99" ca="1">IFERROR(INDEX(Calculation_Tab,SMALL(ROW(Sample_Intermediate_Dil)*(Sample_Intermediate_Dil&lt;&gt;"-"),COUNTIF(Sample_Intermediate_Dil,"-")+ROW()-3)-9,26),"-")</f>
        <v>-</v>
      </c>
      <c r="AG99" s="538" t="str">
        <f t="array" aca="1" ref="AG99" ca="1">IFERROR(INDEX(Calculation_Tab,SMALL(ROW(Sample_Intermediate_Dil)*(Sample_Intermediate_Dil&lt;&gt;"-"),COUNTIF(Sample_Intermediate_Dil,"-")+ROW()-3)-9,27),"-")</f>
        <v>-</v>
      </c>
      <c r="AI99" s="487">
        <v>96</v>
      </c>
      <c r="AJ99" s="497" t="s">
        <v>160</v>
      </c>
      <c r="AK99" s="378">
        <v>96</v>
      </c>
      <c r="AL99" s="378" t="str">
        <f t="shared" ca="1" si="49"/>
        <v>-</v>
      </c>
      <c r="AM99" s="378" t="str">
        <f t="array" aca="1" ref="AM99" ca="1">IFERROR(IF(AI99&lt;=$AB$2,"-",INDEX(Calculation_Tab,SMALL(ROW(Main_Dil)*(Main_Dil&lt;&gt;"-"),COUNTIF(Main_Dil,"-")+ROW()-3-$AB$2)-9,5)),"-")</f>
        <v>-</v>
      </c>
      <c r="AN99" s="378" t="str">
        <f t="array" aca="1" ref="AN99" ca="1">IFERROR(IF(AI99&lt;=$AB$2,"-",INDEX($A$3:$B$12,MATCH(INDEX(Calculation_Tab,SMALL(ROW(Main_Dil)*(Main_Dil&lt;&gt;"-"),COUNTIF(Main_Dil,"-")+ROW()-3-$AB$2)-9,5),$A$3:$A$12,0),2)),"-")</f>
        <v>-</v>
      </c>
      <c r="AO99" s="378" t="str">
        <f t="array" aca="1" ref="AO99" ca="1">IFERROR(IF(AI99&lt;=$AB$2,"-",INDEX(Coordinate,MATCH(INDEX(Calculation_Tab,SMALL(ROW(Main_Dil)*(Main_Dil&lt;&gt;"-"),COUNTIF(Main_Dil,"-")+ROW()-3-$AB$2)-9,6),$X$4:$X$99,0),2)),"-")</f>
        <v>-</v>
      </c>
      <c r="AP99" s="510" t="str">
        <f t="array" aca="1" ref="AP99" ca="1">IFERROR(IF(AI99&lt;=$AB$2,"-",INDEX(Calculation_Tab,SMALL(ROW(Main_Dil)*(Main_Dil&lt;&gt;"-"),COUNTIF(Main_Dil,"-")+ROW()-3-$AB$2)-9,21)),"-")</f>
        <v>-</v>
      </c>
      <c r="AQ99" s="511" t="str">
        <f t="array" aca="1" ref="AQ99" ca="1">IFERROR(IF(AI99&lt;=$AB$2,"-",INDEX(Calculation_Tab,SMALL(ROW(Main_Dil)*(Main_Dil&lt;&gt;"-"),COUNTIF(Main_Dil,"-")+ROW()-3-$AB$2)-9,22)),"-")</f>
        <v>-</v>
      </c>
      <c r="AR99" s="487" t="str">
        <f t="shared" ca="1" si="50"/>
        <v>-</v>
      </c>
      <c r="AS99" s="378">
        <v>96</v>
      </c>
      <c r="AT99" s="497" t="s">
        <v>160</v>
      </c>
      <c r="AU99" s="498">
        <v>96</v>
      </c>
      <c r="AV99" s="378" t="str">
        <f t="shared" ca="1" si="51"/>
        <v>-</v>
      </c>
      <c r="AW99" s="378" t="str">
        <f t="array" aca="1" ref="AW99" ca="1">IFERROR(IF(AS99&lt;=$AB$2+$AN$2,"-",INDEX(Calculation_Tab,SMALL(ROW(Direct_Denaturation)*(Direct_Denaturation&lt;&gt;"-"),COUNTIF(Direct_Denaturation,"-")+ROW()-3-$AB$2-$AN$2)-9,5)),"-")</f>
        <v>-</v>
      </c>
      <c r="AX99" s="378" t="str">
        <f t="array" aca="1" ref="AX99" ca="1">IFERROR(IF(AS99&lt;=$AB$2+$AN$2,"-",INDEX($A$3:$B$12,MATCH(INDEX(Calculation_Tab,SMALL(ROW(Direct_Denaturation)*(Direct_Denaturation&lt;&gt;"-"),COUNTIF(Direct_Denaturation,"-")+ROW()-3-$AB$2-$AN$2)-9,5),$A$3:$A$12,0),2)),"-")</f>
        <v>-</v>
      </c>
      <c r="AY99" s="378" t="str">
        <f t="array" aca="1" ref="AY99" ca="1">IFERROR(IF(AS99&lt;=$AB$2+$AN$2,"-",INDEX(Coordinate,MATCH(INDEX(Calculation_Tab,SMALL(ROW(Direct_Denaturation)*(Direct_Denaturation&lt;&gt;"-"),COUNTIF(Direct_Denaturation,"-")+ROW()-3-$AB$2-$AN$2)-9,6),$X$4:$X$99,0),2)),"-")</f>
        <v>-</v>
      </c>
      <c r="AZ99" s="510" t="str">
        <f t="array" aca="1" ref="AZ99" ca="1">IFERROR(IF(AS99&lt;=$AB$2+$AN$2,"-",INDEX(Calculation_Tab,SMALL(ROW(Direct_Denaturation)*(Direct_Denaturation&lt;&gt;"-"),COUNTIF(Direct_Denaturation,"-")+ROW()-3-$AB$2-$AN$2)-9,32)),"-")</f>
        <v>-</v>
      </c>
      <c r="BA99" s="510" t="str">
        <f t="array" aca="1" ref="BA99" ca="1">IFERROR(IF(AS99&lt;=$AB$2+$AN$2,"-",INDEX(Calculation_Tab,SMALL(ROW(Direct_Denaturation)*(Direct_Denaturation&lt;&gt;"-"),COUNTIF(Direct_Denaturation,"-")+ROW()-3-$AB$2-$AN$2)-9,34)),"-")</f>
        <v>-</v>
      </c>
      <c r="BB99" s="510" t="str">
        <f t="array" aca="1" ref="BB99" ca="1">IFERROR(IF(AS99&lt;=$AB$2+$AN$2,"-",INDEX(Calculation_Tab,SMALL(ROW(Direct_Denaturation)*(Direct_Denaturation&lt;&gt;"-"),COUNTIF(Direct_Denaturation,"-")+ROW()-3-$AB$2-$AN$2)-9,33)),"-")</f>
        <v>-</v>
      </c>
      <c r="BC99" s="510" t="str">
        <f t="array" aca="1" ref="BC99" ca="1">IFERROR(IF(AS99&lt;=$AB$2+$AN$2,"-",INDEX(Calculation_Tab,SMALL(ROW(Direct_Denaturation)*(Direct_Denaturation&lt;&gt;"-"),COUNTIF(Direct_Denaturation,"-")+ROW()-3-$AB$2-$AN$2)-9,35)),"-")</f>
        <v>-</v>
      </c>
      <c r="BD99" s="511" t="str">
        <f t="shared" ca="1" si="52"/>
        <v>-</v>
      </c>
      <c r="BE99" s="524" t="s">
        <v>478</v>
      </c>
      <c r="BF99" s="533">
        <v>96</v>
      </c>
      <c r="BG99" s="539" t="str">
        <v>-</v>
      </c>
      <c r="BH99" s="540" t="str">
        <f>IFERROR(IF((Calculation!$AR$6/INDEX(ListAndConversion!D:P,MATCH(BG99,E:E,0),13))&lt;Calculation!$O$6,INDEX(ListAndConversion!D:P,MATCH(BG99,E:E,0),13)*Calculation!$O$6,Calculation!$AR$6),"-")</f>
        <v>-</v>
      </c>
      <c r="BI99" s="541" t="str">
        <f t="shared" si="53"/>
        <v>-</v>
      </c>
      <c r="BJ99" s="518" t="str">
        <f t="shared" si="54"/>
        <v>-</v>
      </c>
      <c r="BK99" s="533" t="s">
        <v>158</v>
      </c>
      <c r="BL99" s="533">
        <v>96</v>
      </c>
      <c r="BM99" s="487" t="str">
        <f t="array" aca="1" ref="BM99" ca="1">IFERROR(INDEX(Calculation_Tab,SMALL(ROW(ToPool)*(ToPool&lt;&gt;"-"),COUNTIF(ToPool,"-")+ROW()-3)-9,3),"-")</f>
        <v>-</v>
      </c>
      <c r="BN99" s="378" t="str">
        <f t="shared" ca="1" si="55"/>
        <v>-</v>
      </c>
      <c r="BO99" s="378" t="str">
        <f t="shared" ca="1" si="56"/>
        <v>-</v>
      </c>
      <c r="BP99" s="523" t="str">
        <f t="shared" ca="1" si="57"/>
        <v>-</v>
      </c>
      <c r="BQ99" s="378" t="str">
        <f t="array" aca="1" ref="BQ99" ca="1">IFERROR(INDEX(BE:BG,MATCH(INDEX(Calculation_Tab,SMALL(ROW(ToPool)*(ToPool&lt;&gt;"-"),COUNTIF(ToPool,"-")+ROW()-3)-9,9),BG:BG,0),2),"-")</f>
        <v>-</v>
      </c>
      <c r="BR99" s="510" t="str">
        <f t="shared" ca="1" si="58"/>
        <v>-</v>
      </c>
      <c r="BS99" s="511" t="str">
        <f t="shared" ca="1" si="59"/>
        <v>-</v>
      </c>
      <c r="BT99" s="378" t="s">
        <v>164</v>
      </c>
      <c r="BU99" s="487" t="str">
        <f t="shared" ca="1" si="63"/>
        <v>-</v>
      </c>
      <c r="BV99" s="487" t="str">
        <f t="array" aca="1" ref="BV9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99" s="378" t="str">
        <f t="shared" ca="1" si="60"/>
        <v>-</v>
      </c>
      <c r="BX99" s="378" t="str">
        <f t="shared" ca="1" si="61"/>
        <v>-</v>
      </c>
      <c r="BY99" s="510" t="str">
        <f ca="1">IFERROR(ROUND(INDEX(Cluster,MATCH(IF(LEFT(BV99,4)="Pool",INDEX(Cluster,MATCH(INDEX(Calculation_Tab,MATCH(INDEX($BE$4:$BJ$99,MATCH(BV99,$BE$4:$BE$99,0),3),Flow_Cell_Lane,0),3),Cluster!$F$29:$F$412,0),6),BV99),Identifier_Cluster,0),19)*IF(LEFT(BV99,4)="pool",IF(LEN(INDEX($BE$4:$BJ$99,MATCH(BV99,$BE$4:$BE$99,0),3))=10,2,IF(LEN(INDEX($BE$4:$BJ$99,MATCH(BV99,$BE$4:$BE$99,0),3))&gt;10,LEN(INDEX($BE$4:$BJ$99,MATCH(BV99,$BE$4:$BE$99,0),3))-8,1)),1)*IF(LEFT(BV99,4)="pool",IF(INDEX($BE$4:$BJ$99,MATCH(BV99,$BE$4:$BE$99,0),6)&lt;1,1,INDEX($BE$4:$BJ$99,MATCH(BV99,$BE$4:$BE$99,0),6)),INDEX(Calculation_Tab,MATCH(BV99,Identifier,0),10)),1)*(1+Calculation!$Q$6),"-")</f>
        <v>-</v>
      </c>
      <c r="BZ99" s="378" t="str">
        <f ca="1">IFERROR((0.5/50)*CE99/Calculation!$AG$6*(IF(LEFT(BV99,4)="Pool",IF(LEN(INDEX($BE$4:$BJ$99,MATCH(BV99,$BE$4:$BE$99,0),3))=10,2,IF(LEN(INDEX($BE$4:$BJ$99,MATCH(BV99,$BE$4:$BE$99,0),3))&gt;10,LEN(INDEX($BE$4:$BJ$99,MATCH(BV99,$BE$4:$BE$99,0),3))-8,1)),IF(INDEX(Calculation_Tab,MATCH(BV99,Identifier,0),10)&gt;1,INDEX(Calculation_Tab,MATCH(BV99,Identifier,0),10),1)))*(1+Calculation!$Q$6),"-")</f>
        <v>-</v>
      </c>
      <c r="CA99" s="510" t="str">
        <f ca="1">IFERROR(IF((BZ99*Calculation!$AG$6/0.05)-SUM(BY99:BZ99,CC99)&gt;0,(BZ99*Calculation!$AG$6/0.05)-SUM(BY99:BZ99,CC99),0),"-")</f>
        <v>-</v>
      </c>
      <c r="CB99" s="510" t="str">
        <f ca="1">IFERROR(5/50*CE99*(IF(LEFT(BV99,4)="Pool",IF(LEN(INDEX($BE$4:$BJ$99,MATCH(BV99,$BE$4:$BE$99,0),3))=10,2,IF(LEN(INDEX($BE$4:$BJ$99,MATCH(BV99,$BE$4:$BE$99,0),3))&gt;10,LEN(INDEX($BE$4:$BJ$99,MATCH(BV99,$BE$4:$BE$99,0),3))-8,1)),IF(INDEX(Calculation_Tab,MATCH(BV99,Identifier,0),10)&gt;1,INDEX(Calculation_Tab,MATCH(BV99,Identifier,0),10),1)))*(1+Calculation!$Q$6),"-")</f>
        <v>-</v>
      </c>
      <c r="CC99" s="508" t="str">
        <f ca="1">IFERROR(ROUND(INDEX(Cluster,MATCH(IF(LEFT(BV99,4)="Pool",INDEX(Cluster,MATCH(INDEX(Calculation_Tab,MATCH(INDEX($BE$4:$BJ$99,MATCH(BV99,$BE$4:$BE$99,0),3),Flow_Cell_Lane,0),3),Cluster!$F$29:$F$412,0),6),BV99),Identifier_Cluster,0),20)*IF(LEFT(BV99,4)="pool",IF(LEN(INDEX($BE$4:$BJ$99,MATCH(BV99,$BE$4:$BE$99,0),3))=10,2,IF(LEN(INDEX($BE$4:$BJ$99,MATCH(BV99,$BE$4:$BE$99,0),3))&gt;10,LEN(INDEX($BE$4:$BJ$99,MATCH(BV99,$BE$4:$BE$99,0),3))-8,1)),1)*IF(LEFT(BV99,4)="pool",IF(INDEX($BE$4:$BJ$99,MATCH(BV99,$BE$4:$BE$99,0),6)&lt;1,1,INDEX($BE$4:$BJ$99,MATCH(BV99,$BE$4:$BE$99,0),6)),INDEX(Calculation_Tab,MATCH(BV99,Identifier,0),10)),1)*(1+Calculation!$Q$6),"-")</f>
        <v>-</v>
      </c>
      <c r="CD99" s="509" t="str">
        <f ca="1">IFERROR(INDEX(Cluster!AC:AD,MATCH(IF(LEFT(BV99,4)="Pool",INDEX(Cluster!$D$29:$AA$412,MATCH(INDEX(Calculation_Tab,MATCH(INDEX($BE$4:$BJ$99,MATCH(BV99,$BE$4:$BE$99,0),3),Flow_Cell_Lane,0),3),Cluster!$F$29:$F$412,0),24),INDEX(Cluster!$D$29:$AA$412,MATCH(BV99,Cluster!$F$29:$F$412,0),24)),Cluster!AC:AC,0),2),"-")</f>
        <v>-</v>
      </c>
      <c r="CE99" s="378" t="str">
        <f ca="1">IFERROR(IF(BV99&lt;&gt;"-",Calculation!$AK$6,"-"),"-")</f>
        <v>-</v>
      </c>
      <c r="CF99" s="378" t="str">
        <f ca="1">IF(OR(LEFT(ListAndConversion!BW99,3)="Dil",LEFT(ListAndConversion!BW99,3)="Poo"),ListAndConversion!$BT$4,IF(LEFT(ListAndConversion!BW99,3)="Sou",INDEX(ListAndConversion!$AT$3:$AV$387,MATCH(ListAndConversion!BV99,ListAndConversion!$AV$3:$AV$387,0),1),"-"))</f>
        <v>-</v>
      </c>
      <c r="CG99" s="498" t="str">
        <f ca="1">IF(OR(LEFT(ListAndConversion!BW99,3)="Dil",LEFT(ListAndConversion!BW99,3)="Poo"),ListAndConversion!BU99,IF(LEFT(ListAndConversion!BW99,3)="Sou",INDEX(ListAndConversion!$AT$4:$AV$387,MATCH(ListAndConversion!BV99,ListAndConversion!$AV$4:$AV$387,0),2),"-"))</f>
        <v>-</v>
      </c>
      <c r="CH99" s="378"/>
      <c r="CI99" s="487" t="str">
        <f t="shared" ca="1" si="62"/>
        <v>-</v>
      </c>
      <c r="CJ99" s="378" t="str">
        <f t="shared" ca="1" si="72"/>
        <v>-</v>
      </c>
      <c r="CK99" s="378" t="str">
        <f t="shared" ca="1" si="72"/>
        <v>-</v>
      </c>
      <c r="CL99" s="378" t="str">
        <f t="shared" ca="1" si="72"/>
        <v>-</v>
      </c>
      <c r="CM99" s="378" t="str">
        <f t="shared" ca="1" si="72"/>
        <v>-</v>
      </c>
      <c r="CN99" s="378" t="str">
        <f t="shared" ca="1" si="72"/>
        <v>-</v>
      </c>
      <c r="CO99" s="378" t="str">
        <f t="shared" ca="1" si="72"/>
        <v>-</v>
      </c>
      <c r="CP99" s="378" t="str">
        <f t="shared" ca="1" si="72"/>
        <v>-</v>
      </c>
      <c r="CQ99" s="378" t="str">
        <f t="shared" ca="1" si="72"/>
        <v>-</v>
      </c>
      <c r="CR99" s="510" t="str">
        <f ca="1">IFERROR(IF(LEFT(BW99,3)="Poo",INDEX($BE$4:$BJ$99,MATCH(CI99,$BG$4:$BG$99,0),6)*((15/50))*Calculation!$AK$6,INDEX(Calculation_Tab,MATCH(BV99,Identifier,0),10)/(IF(LEN(INDEX(Calculation_Tab,MATCH(BV99,Identifier,0),9))&gt;8,LEN(INDEX(Calculation_Tab,MATCH(BV99,Identifier,0),9))-8,1))*((15/50)*Calculation!$AK$6)),"-")</f>
        <v>-</v>
      </c>
      <c r="CS99" s="498" t="str">
        <f ca="1">IF(CI99="-","-",IF(COUNTIF($CI$3:CI99,CI99)&gt;1,0,IFERROR((35/50)*Calculation!$AK$6,"-")))</f>
        <v>-</v>
      </c>
    </row>
    <row r="100" spans="4:97" x14ac:dyDescent="0.5">
      <c r="D100" s="487" t="e">
        <f t="shared" si="44"/>
        <v>#DIV/0!</v>
      </c>
      <c r="E100" s="496" t="e">
        <f t="array" ref="E100">IF(IF((ROW(E100)-3)&lt;(ListAndConversion!$A$15),INDEX(Flow_Cell_Lane,MIN(IF(COUNTIF($E$2:E99,Flow_Cell_Lane)=0,ROW(Flow_Cell_Lane)-9))),"-")="","-",IF((ROW(E100)-3)&lt;(ListAndConversion!$A$15),INDEX(Flow_Cell_Lane,MIN(IF(COUNTIF($E$2:E99,Flow_Cell_Lane)=0,ROW(Flow_Cell_Lane)-9))),"-"))</f>
        <v>#DIV/0!</v>
      </c>
      <c r="F100" s="378" t="e">
        <f t="shared" si="45"/>
        <v>#DIV/0!</v>
      </c>
      <c r="G100" s="378" t="e">
        <f t="shared" si="71"/>
        <v>#DIV/0!</v>
      </c>
      <c r="H100" s="378" t="e">
        <f t="shared" si="71"/>
        <v>#DIV/0!</v>
      </c>
      <c r="I100" s="378" t="e">
        <f t="shared" si="71"/>
        <v>#DIV/0!</v>
      </c>
      <c r="J100" s="378" t="e">
        <f t="shared" si="71"/>
        <v>#DIV/0!</v>
      </c>
      <c r="K100" s="378" t="e">
        <f t="shared" si="71"/>
        <v>#DIV/0!</v>
      </c>
      <c r="L100" s="378" t="e">
        <f t="shared" si="71"/>
        <v>#DIV/0!</v>
      </c>
      <c r="M100" s="378" t="e">
        <f t="shared" si="71"/>
        <v>#DIV/0!</v>
      </c>
      <c r="N100" s="497" t="e">
        <f t="shared" si="46"/>
        <v>#DIV/0!</v>
      </c>
      <c r="O100" s="497" t="str">
        <f t="array" ref="O100">IFERROR(INDEX(Calculation!I:AN,MATCH(ListAndConversion!E100,Calculation!I:I,0),31),"-")</f>
        <v>-</v>
      </c>
      <c r="P100" s="498">
        <f>IF(COUNTIFS(Calculation!$I$10:$I$393,E100,Direct_Denaturation,"-")&lt;&gt;1,COUNTIFS(Calculation!$I$10:$I$393,E100,Direct_Denaturation,"-"),0)</f>
        <v>0</v>
      </c>
      <c r="V100" s="542" t="s">
        <v>82</v>
      </c>
      <c r="W100" s="542" t="s">
        <v>82</v>
      </c>
      <c r="X100" s="542" t="s">
        <v>82</v>
      </c>
      <c r="Y100" s="542" t="s">
        <v>82</v>
      </c>
      <c r="Z100" s="542" t="s">
        <v>82</v>
      </c>
      <c r="AA100" s="542" t="s">
        <v>82</v>
      </c>
      <c r="AB100" s="542" t="s">
        <v>82</v>
      </c>
      <c r="AC100" s="542" t="s">
        <v>82</v>
      </c>
      <c r="AD100" s="542" t="s">
        <v>82</v>
      </c>
      <c r="AE100" s="542" t="s">
        <v>82</v>
      </c>
      <c r="AF100" s="542" t="s">
        <v>82</v>
      </c>
      <c r="AG100" s="542" t="s">
        <v>82</v>
      </c>
      <c r="AH100" s="9"/>
      <c r="AI100" s="487">
        <v>97</v>
      </c>
      <c r="AJ100" s="497" t="s">
        <v>161</v>
      </c>
      <c r="AK100" s="378">
        <v>1</v>
      </c>
      <c r="AL100" s="378" t="str">
        <f t="shared" ca="1" si="49"/>
        <v>-</v>
      </c>
      <c r="AM100" s="378" t="str">
        <f t="array" aca="1" ref="AM100" ca="1">IFERROR(IF(AI100&lt;=$AB$2,"-",INDEX(Calculation_Tab,SMALL(ROW(Main_Dil)*(Main_Dil&lt;&gt;"-"),COUNTIF(Main_Dil,"-")+ROW()-3-$AB$2)-9,5)),"-")</f>
        <v>-</v>
      </c>
      <c r="AN100" s="378" t="str">
        <f t="array" aca="1" ref="AN100" ca="1">IFERROR(IF(AI100&lt;=$AB$2,"-",INDEX($A$3:$B$12,MATCH(INDEX(Calculation_Tab,SMALL(ROW(Main_Dil)*(Main_Dil&lt;&gt;"-"),COUNTIF(Main_Dil,"-")+ROW()-3-$AB$2)-9,5),$A$3:$A$12,0),2)),"-")</f>
        <v>-</v>
      </c>
      <c r="AO100" s="378" t="str">
        <f t="array" aca="1" ref="AO100" ca="1">IFERROR(IF(AI100&lt;=$AB$2,"-",INDEX(Coordinate,MATCH(INDEX(Calculation_Tab,SMALL(ROW(Main_Dil)*(Main_Dil&lt;&gt;"-"),COUNTIF(Main_Dil,"-")+ROW()-3-$AB$2)-9,6),$X$4:$X$99,0),2)),"-")</f>
        <v>-</v>
      </c>
      <c r="AP100" s="510" t="str">
        <f t="array" aca="1" ref="AP100" ca="1">IFERROR(IF(AI100&lt;=$AB$2,"-",INDEX(Calculation_Tab,SMALL(ROW(Main_Dil)*(Main_Dil&lt;&gt;"-"),COUNTIF(Main_Dil,"-")+ROW()-3-$AB$2)-9,21)),"-")</f>
        <v>-</v>
      </c>
      <c r="AQ100" s="511" t="str">
        <f t="array" aca="1" ref="AQ100" ca="1">IFERROR(IF(AI100&lt;=$AB$2,"-",INDEX(Calculation_Tab,SMALL(ROW(Main_Dil)*(Main_Dil&lt;&gt;"-"),COUNTIF(Main_Dil,"-")+ROW()-3-$AB$2)-9,22)),"-")</f>
        <v>-</v>
      </c>
      <c r="AR100" s="487" t="str">
        <f t="shared" ca="1" si="50"/>
        <v>-</v>
      </c>
      <c r="AS100" s="378">
        <v>97</v>
      </c>
      <c r="AT100" s="497" t="s">
        <v>161</v>
      </c>
      <c r="AU100" s="498">
        <v>1</v>
      </c>
      <c r="AV100" s="378" t="str">
        <f t="shared" ca="1" si="51"/>
        <v>-</v>
      </c>
      <c r="AW100" s="378" t="str">
        <f t="array" aca="1" ref="AW100" ca="1">IFERROR(IF(AS100&lt;=$AB$2+$AN$2,"-",INDEX(Calculation_Tab,SMALL(ROW(Direct_Denaturation)*(Direct_Denaturation&lt;&gt;"-"),COUNTIF(Direct_Denaturation,"-")+ROW()-3-$AB$2-$AN$2)-9,5)),"-")</f>
        <v>-</v>
      </c>
      <c r="AX100" s="378" t="str">
        <f t="array" aca="1" ref="AX100" ca="1">IFERROR(IF(AS100&lt;=$AB$2+$AN$2,"-",INDEX($A$3:$B$12,MATCH(INDEX(Calculation_Tab,SMALL(ROW(Direct_Denaturation)*(Direct_Denaturation&lt;&gt;"-"),COUNTIF(Direct_Denaturation,"-")+ROW()-3-$AB$2-$AN$2)-9,5),$A$3:$A$12,0),2)),"-")</f>
        <v>-</v>
      </c>
      <c r="AY100" s="378" t="str">
        <f t="array" aca="1" ref="AY100" ca="1">IFERROR(IF(AS100&lt;=$AB$2+$AN$2,"-",INDEX(Coordinate,MATCH(INDEX(Calculation_Tab,SMALL(ROW(Direct_Denaturation)*(Direct_Denaturation&lt;&gt;"-"),COUNTIF(Direct_Denaturation,"-")+ROW()-3-$AB$2-$AN$2)-9,6),$X$4:$X$99,0),2)),"-")</f>
        <v>-</v>
      </c>
      <c r="AZ100" s="510" t="str">
        <f t="array" aca="1" ref="AZ100" ca="1">IFERROR(IF(AS100&lt;=$AB$2+$AN$2,"-",INDEX(Calculation_Tab,SMALL(ROW(Direct_Denaturation)*(Direct_Denaturation&lt;&gt;"-"),COUNTIF(Direct_Denaturation,"-")+ROW()-3-$AB$2-$AN$2)-9,32)),"-")</f>
        <v>-</v>
      </c>
      <c r="BA100" s="510" t="str">
        <f t="array" aca="1" ref="BA100" ca="1">IFERROR(IF(AS100&lt;=$AB$2+$AN$2,"-",INDEX(Calculation_Tab,SMALL(ROW(Direct_Denaturation)*(Direct_Denaturation&lt;&gt;"-"),COUNTIF(Direct_Denaturation,"-")+ROW()-3-$AB$2-$AN$2)-9,34)),"-")</f>
        <v>-</v>
      </c>
      <c r="BB100" s="510" t="str">
        <f t="array" aca="1" ref="BB100" ca="1">IFERROR(IF(AS100&lt;=$AB$2+$AN$2,"-",INDEX(Calculation_Tab,SMALL(ROW(Direct_Denaturation)*(Direct_Denaturation&lt;&gt;"-"),COUNTIF(Direct_Denaturation,"-")+ROW()-3-$AB$2-$AN$2)-9,33)),"-")</f>
        <v>-</v>
      </c>
      <c r="BC100" s="510" t="str">
        <f t="array" aca="1" ref="BC100" ca="1">IFERROR(IF(AS100&lt;=$AB$2+$AN$2,"-",INDEX(Calculation_Tab,SMALL(ROW(Direct_Denaturation)*(Direct_Denaturation&lt;&gt;"-"),COUNTIF(Direct_Denaturation,"-")+ROW()-3-$AB$2-$AN$2)-9,35)),"-")</f>
        <v>-</v>
      </c>
      <c r="BD100" s="511" t="str">
        <f t="shared" ca="1" si="52"/>
        <v>-</v>
      </c>
      <c r="BK100" s="542" t="s">
        <v>82</v>
      </c>
      <c r="BL100" s="542" t="s">
        <v>82</v>
      </c>
      <c r="BM100" s="487" t="str">
        <f t="array" aca="1" ref="BM100" ca="1">IFERROR(INDEX(Calculation_Tab,SMALL(ROW(ToPool)*(ToPool&lt;&gt;"-"),COUNTIF(ToPool,"-")+ROW()-3)-9,3),"-")</f>
        <v>-</v>
      </c>
      <c r="BN100" s="378" t="str">
        <f t="shared" ca="1" si="55"/>
        <v>-</v>
      </c>
      <c r="BO100" s="378" t="str">
        <f t="shared" ca="1" si="56"/>
        <v>-</v>
      </c>
      <c r="BP100" s="523" t="str">
        <f t="shared" ca="1" si="57"/>
        <v>-</v>
      </c>
      <c r="BQ100" s="378" t="str">
        <f t="array" aca="1" ref="BQ100" ca="1">IFERROR(INDEX(BE:BG,MATCH(INDEX(Calculation_Tab,SMALL(ROW(ToPool)*(ToPool&lt;&gt;"-"),COUNTIF(ToPool,"-")+ROW()-3)-9,9),BG:BG,0),2),"-")</f>
        <v>-</v>
      </c>
      <c r="BR100" s="510" t="str">
        <f t="shared" ca="1" si="58"/>
        <v>-</v>
      </c>
      <c r="BS100" s="511" t="str">
        <f t="shared" ca="1" si="59"/>
        <v>-</v>
      </c>
      <c r="BT100" s="543" t="s">
        <v>82</v>
      </c>
      <c r="BU100" s="487" t="str">
        <f t="shared" ca="1" si="63"/>
        <v>-</v>
      </c>
      <c r="BV100" s="487" t="str">
        <f t="array" aca="1" ref="BV10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00" s="378" t="str">
        <f t="shared" ca="1" si="60"/>
        <v>-</v>
      </c>
      <c r="BX100" s="378" t="str">
        <f t="shared" ca="1" si="61"/>
        <v>-</v>
      </c>
      <c r="BY100" s="510" t="str">
        <f ca="1">IFERROR(ROUND(INDEX(Cluster,MATCH(IF(LEFT(BV100,4)="Pool",INDEX(Cluster,MATCH(INDEX(Calculation_Tab,MATCH(INDEX($BE$4:$BJ$99,MATCH(BV100,$BE$4:$BE$99,0),3),Flow_Cell_Lane,0),3),Cluster!$F$29:$F$412,0),6),BV100),Identifier_Cluster,0),19)*IF(LEFT(BV100,4)="pool",IF(LEN(INDEX($BE$4:$BJ$99,MATCH(BV100,$BE$4:$BE$99,0),3))=10,2,IF(LEN(INDEX($BE$4:$BJ$99,MATCH(BV100,$BE$4:$BE$99,0),3))&gt;10,LEN(INDEX($BE$4:$BJ$99,MATCH(BV100,$BE$4:$BE$99,0),3))-8,1)),1)*IF(LEFT(BV100,4)="pool",IF(INDEX($BE$4:$BJ$99,MATCH(BV100,$BE$4:$BE$99,0),6)&lt;1,1,INDEX($BE$4:$BJ$99,MATCH(BV100,$BE$4:$BE$99,0),6)),INDEX(Calculation_Tab,MATCH(BV100,Identifier,0),10)),1)*(1+Calculation!$Q$6),"-")</f>
        <v>-</v>
      </c>
      <c r="BZ100" s="378" t="str">
        <f ca="1">IFERROR((0.5/50)*CE100/Calculation!$AG$6*(IF(LEFT(BV100,4)="Pool",IF(LEN(INDEX($BE$4:$BJ$99,MATCH(BV100,$BE$4:$BE$99,0),3))=10,2,IF(LEN(INDEX($BE$4:$BJ$99,MATCH(BV100,$BE$4:$BE$99,0),3))&gt;10,LEN(INDEX($BE$4:$BJ$99,MATCH(BV100,$BE$4:$BE$99,0),3))-8,1)),IF(INDEX(Calculation_Tab,MATCH(BV100,Identifier,0),10)&gt;1,INDEX(Calculation_Tab,MATCH(BV100,Identifier,0),10),1)))*(1+Calculation!$Q$6),"-")</f>
        <v>-</v>
      </c>
      <c r="CA100" s="510" t="str">
        <f ca="1">IFERROR(IF((BZ100*Calculation!$AG$6/0.05)-SUM(BY100:BZ100,CC100)&gt;0,(BZ100*Calculation!$AG$6/0.05)-SUM(BY100:BZ100,CC100),0),"-")</f>
        <v>-</v>
      </c>
      <c r="CB100" s="510" t="str">
        <f ca="1">IFERROR(5/50*CE100*(IF(LEFT(BV100,4)="Pool",IF(LEN(INDEX($BE$4:$BJ$99,MATCH(BV100,$BE$4:$BE$99,0),3))=10,2,IF(LEN(INDEX($BE$4:$BJ$99,MATCH(BV100,$BE$4:$BE$99,0),3))&gt;10,LEN(INDEX($BE$4:$BJ$99,MATCH(BV100,$BE$4:$BE$99,0),3))-8,1)),IF(INDEX(Calculation_Tab,MATCH(BV100,Identifier,0),10)&gt;1,INDEX(Calculation_Tab,MATCH(BV100,Identifier,0),10),1)))*(1+Calculation!$Q$6),"-")</f>
        <v>-</v>
      </c>
      <c r="CC100" s="508" t="str">
        <f ca="1">IFERROR(ROUND(INDEX(Cluster,MATCH(IF(LEFT(BV100,4)="Pool",INDEX(Cluster,MATCH(INDEX(Calculation_Tab,MATCH(INDEX($BE$4:$BJ$99,MATCH(BV100,$BE$4:$BE$99,0),3),Flow_Cell_Lane,0),3),Cluster!$F$29:$F$412,0),6),BV100),Identifier_Cluster,0),20)*IF(LEFT(BV100,4)="pool",IF(LEN(INDEX($BE$4:$BJ$99,MATCH(BV100,$BE$4:$BE$99,0),3))=10,2,IF(LEN(INDEX($BE$4:$BJ$99,MATCH(BV100,$BE$4:$BE$99,0),3))&gt;10,LEN(INDEX($BE$4:$BJ$99,MATCH(BV100,$BE$4:$BE$99,0),3))-8,1)),1)*IF(LEFT(BV100,4)="pool",IF(INDEX($BE$4:$BJ$99,MATCH(BV100,$BE$4:$BE$99,0),6)&lt;1,1,INDEX($BE$4:$BJ$99,MATCH(BV100,$BE$4:$BE$99,0),6)),INDEX(Calculation_Tab,MATCH(BV100,Identifier,0),10)),1)*(1+Calculation!$Q$6),"-")</f>
        <v>-</v>
      </c>
      <c r="CD100" s="509" t="str">
        <f ca="1">IFERROR(INDEX(Cluster!AC:AD,MATCH(IF(LEFT(BV100,4)="Pool",INDEX(Cluster!$D$29:$AA$412,MATCH(INDEX(Calculation_Tab,MATCH(INDEX($BE$4:$BJ$99,MATCH(BV100,$BE$4:$BE$99,0),3),Flow_Cell_Lane,0),3),Cluster!$F$29:$F$412,0),24),INDEX(Cluster!$D$29:$AA$412,MATCH(BV100,Cluster!$F$29:$F$412,0),24)),Cluster!AC:AC,0),2),"-")</f>
        <v>-</v>
      </c>
      <c r="CE100" s="378" t="str">
        <f ca="1">IFERROR(IF(BV100&lt;&gt;"-",Calculation!$AK$6,"-"),"-")</f>
        <v>-</v>
      </c>
      <c r="CF100" s="378" t="str">
        <f ca="1">IF(OR(LEFT(ListAndConversion!BW100,3)="Dil",LEFT(ListAndConversion!BW100,3)="Poo"),ListAndConversion!$BT$4,IF(LEFT(ListAndConversion!BW100,3)="Sou",INDEX(ListAndConversion!$AT$3:$AV$387,MATCH(ListAndConversion!BV100,ListAndConversion!$AV$3:$AV$387,0),1),"-"))</f>
        <v>-</v>
      </c>
      <c r="CG100" s="498" t="str">
        <f ca="1">IF(OR(LEFT(ListAndConversion!BW100,3)="Dil",LEFT(ListAndConversion!BW100,3)="Poo"),ListAndConversion!BU100,IF(LEFT(ListAndConversion!BW100,3)="Sou",INDEX(ListAndConversion!$AT$4:$AV$387,MATCH(ListAndConversion!BV100,ListAndConversion!$AV$4:$AV$387,0),2),"-"))</f>
        <v>-</v>
      </c>
      <c r="CH100" s="378"/>
      <c r="CI100" s="487" t="str">
        <f t="shared" ca="1" si="62"/>
        <v>-</v>
      </c>
      <c r="CJ100" s="378" t="str">
        <f t="shared" ca="1" si="72"/>
        <v>-</v>
      </c>
      <c r="CK100" s="378" t="str">
        <f t="shared" ca="1" si="72"/>
        <v>-</v>
      </c>
      <c r="CL100" s="378" t="str">
        <f t="shared" ca="1" si="72"/>
        <v>-</v>
      </c>
      <c r="CM100" s="378" t="str">
        <f t="shared" ca="1" si="72"/>
        <v>-</v>
      </c>
      <c r="CN100" s="378" t="str">
        <f t="shared" ca="1" si="72"/>
        <v>-</v>
      </c>
      <c r="CO100" s="378" t="str">
        <f t="shared" ca="1" si="72"/>
        <v>-</v>
      </c>
      <c r="CP100" s="378" t="str">
        <f t="shared" ca="1" si="72"/>
        <v>-</v>
      </c>
      <c r="CQ100" s="378" t="str">
        <f t="shared" ca="1" si="72"/>
        <v>-</v>
      </c>
      <c r="CR100" s="510" t="str">
        <f ca="1">IFERROR(IF(LEFT(BW100,3)="Poo",INDEX($BE$4:$BJ$99,MATCH(CI100,$BG$4:$BG$99,0),6)*((15/50))*Calculation!$AK$6,INDEX(Calculation_Tab,MATCH(BV100,Identifier,0),10)/(IF(LEN(INDEX(Calculation_Tab,MATCH(BV100,Identifier,0),9))&gt;8,LEN(INDEX(Calculation_Tab,MATCH(BV100,Identifier,0),9))-8,1))*((15/50)*Calculation!$AK$6)),"-")</f>
        <v>-</v>
      </c>
      <c r="CS100" s="498" t="str">
        <f ca="1">IF(CI100="-","-",IF(COUNTIF($CI$3:CI100,CI100)&gt;1,0,IFERROR((35/50)*Calculation!$AK$6,"-")))</f>
        <v>-</v>
      </c>
    </row>
    <row r="101" spans="4:97" x14ac:dyDescent="0.5">
      <c r="D101" s="487" t="e">
        <f t="shared" si="44"/>
        <v>#DIV/0!</v>
      </c>
      <c r="E101" s="496" t="e">
        <f t="array" ref="E101">IF(IF((ROW(E101)-3)&lt;(ListAndConversion!$A$15),INDEX(Flow_Cell_Lane,MIN(IF(COUNTIF($E$2:E100,Flow_Cell_Lane)=0,ROW(Flow_Cell_Lane)-9))),"-")="","-",IF((ROW(E101)-3)&lt;(ListAndConversion!$A$15),INDEX(Flow_Cell_Lane,MIN(IF(COUNTIF($E$2:E100,Flow_Cell_Lane)=0,ROW(Flow_Cell_Lane)-9))),"-"))</f>
        <v>#DIV/0!</v>
      </c>
      <c r="F101" s="378" t="e">
        <f t="shared" si="45"/>
        <v>#DIV/0!</v>
      </c>
      <c r="G101" s="378" t="e">
        <f t="shared" si="71"/>
        <v>#DIV/0!</v>
      </c>
      <c r="H101" s="378" t="e">
        <f t="shared" si="71"/>
        <v>#DIV/0!</v>
      </c>
      <c r="I101" s="378" t="e">
        <f t="shared" si="71"/>
        <v>#DIV/0!</v>
      </c>
      <c r="J101" s="378" t="e">
        <f t="shared" si="71"/>
        <v>#DIV/0!</v>
      </c>
      <c r="K101" s="378" t="e">
        <f t="shared" si="71"/>
        <v>#DIV/0!</v>
      </c>
      <c r="L101" s="378" t="e">
        <f t="shared" si="71"/>
        <v>#DIV/0!</v>
      </c>
      <c r="M101" s="378" t="e">
        <f t="shared" si="71"/>
        <v>#DIV/0!</v>
      </c>
      <c r="N101" s="497" t="e">
        <f t="shared" si="46"/>
        <v>#DIV/0!</v>
      </c>
      <c r="O101" s="497" t="str">
        <f t="array" ref="O101">IFERROR(INDEX(Calculation!I:AN,MATCH(ListAndConversion!E101,Calculation!I:I,0),31),"-")</f>
        <v>-</v>
      </c>
      <c r="P101" s="498">
        <f>IF(COUNTIFS(Calculation!$I$10:$I$393,E101,Direct_Denaturation,"-")&lt;&gt;1,COUNTIFS(Calculation!$I$10:$I$393,E101,Direct_Denaturation,"-"),0)</f>
        <v>0</v>
      </c>
      <c r="V101" s="542" t="s">
        <v>82</v>
      </c>
      <c r="W101" s="542" t="s">
        <v>82</v>
      </c>
      <c r="X101" s="542" t="s">
        <v>82</v>
      </c>
      <c r="Y101" s="542" t="s">
        <v>82</v>
      </c>
      <c r="Z101" s="542" t="s">
        <v>82</v>
      </c>
      <c r="AA101" s="542" t="s">
        <v>82</v>
      </c>
      <c r="AB101" s="542" t="s">
        <v>82</v>
      </c>
      <c r="AC101" s="542" t="s">
        <v>82</v>
      </c>
      <c r="AD101" s="542" t="s">
        <v>82</v>
      </c>
      <c r="AE101" s="542" t="s">
        <v>82</v>
      </c>
      <c r="AF101" s="542" t="s">
        <v>82</v>
      </c>
      <c r="AG101" s="542" t="s">
        <v>82</v>
      </c>
      <c r="AH101" s="9"/>
      <c r="AI101" s="487">
        <v>98</v>
      </c>
      <c r="AJ101" s="497" t="s">
        <v>161</v>
      </c>
      <c r="AK101" s="378">
        <v>2</v>
      </c>
      <c r="AL101" s="378" t="str">
        <f t="shared" ca="1" si="49"/>
        <v>-</v>
      </c>
      <c r="AM101" s="378" t="str">
        <f t="array" aca="1" ref="AM101" ca="1">IFERROR(IF(AI101&lt;=$AB$2,"-",INDEX(Calculation_Tab,SMALL(ROW(Main_Dil)*(Main_Dil&lt;&gt;"-"),COUNTIF(Main_Dil,"-")+ROW()-3-$AB$2)-9,5)),"-")</f>
        <v>-</v>
      </c>
      <c r="AN101" s="378" t="str">
        <f t="array" aca="1" ref="AN101" ca="1">IFERROR(IF(AI101&lt;=$AB$2,"-",INDEX($A$3:$B$12,MATCH(INDEX(Calculation_Tab,SMALL(ROW(Main_Dil)*(Main_Dil&lt;&gt;"-"),COUNTIF(Main_Dil,"-")+ROW()-3-$AB$2)-9,5),$A$3:$A$12,0),2)),"-")</f>
        <v>-</v>
      </c>
      <c r="AO101" s="378" t="str">
        <f t="array" aca="1" ref="AO101" ca="1">IFERROR(IF(AI101&lt;=$AB$2,"-",INDEX(Coordinate,MATCH(INDEX(Calculation_Tab,SMALL(ROW(Main_Dil)*(Main_Dil&lt;&gt;"-"),COUNTIF(Main_Dil,"-")+ROW()-3-$AB$2)-9,6),$X$4:$X$99,0),2)),"-")</f>
        <v>-</v>
      </c>
      <c r="AP101" s="510" t="str">
        <f t="array" aca="1" ref="AP101" ca="1">IFERROR(IF(AI101&lt;=$AB$2,"-",INDEX(Calculation_Tab,SMALL(ROW(Main_Dil)*(Main_Dil&lt;&gt;"-"),COUNTIF(Main_Dil,"-")+ROW()-3-$AB$2)-9,21)),"-")</f>
        <v>-</v>
      </c>
      <c r="AQ101" s="511" t="str">
        <f t="array" aca="1" ref="AQ101" ca="1">IFERROR(IF(AI101&lt;=$AB$2,"-",INDEX(Calculation_Tab,SMALL(ROW(Main_Dil)*(Main_Dil&lt;&gt;"-"),COUNTIF(Main_Dil,"-")+ROW()-3-$AB$2)-9,22)),"-")</f>
        <v>-</v>
      </c>
      <c r="AR101" s="487" t="str">
        <f t="shared" ca="1" si="50"/>
        <v>-</v>
      </c>
      <c r="AS101" s="378">
        <v>98</v>
      </c>
      <c r="AT101" s="497" t="s">
        <v>161</v>
      </c>
      <c r="AU101" s="498">
        <v>2</v>
      </c>
      <c r="AV101" s="378" t="str">
        <f t="shared" ca="1" si="51"/>
        <v>-</v>
      </c>
      <c r="AW101" s="378" t="str">
        <f t="array" aca="1" ref="AW101" ca="1">IFERROR(IF(AS101&lt;=$AB$2+$AN$2,"-",INDEX(Calculation_Tab,SMALL(ROW(Direct_Denaturation)*(Direct_Denaturation&lt;&gt;"-"),COUNTIF(Direct_Denaturation,"-")+ROW()-3-$AB$2-$AN$2)-9,5)),"-")</f>
        <v>-</v>
      </c>
      <c r="AX101" s="378" t="str">
        <f t="array" aca="1" ref="AX101" ca="1">IFERROR(IF(AS101&lt;=$AB$2+$AN$2,"-",INDEX($A$3:$B$12,MATCH(INDEX(Calculation_Tab,SMALL(ROW(Direct_Denaturation)*(Direct_Denaturation&lt;&gt;"-"),COUNTIF(Direct_Denaturation,"-")+ROW()-3-$AB$2-$AN$2)-9,5),$A$3:$A$12,0),2)),"-")</f>
        <v>-</v>
      </c>
      <c r="AY101" s="378" t="str">
        <f t="array" aca="1" ref="AY101" ca="1">IFERROR(IF(AS101&lt;=$AB$2+$AN$2,"-",INDEX(Coordinate,MATCH(INDEX(Calculation_Tab,SMALL(ROW(Direct_Denaturation)*(Direct_Denaturation&lt;&gt;"-"),COUNTIF(Direct_Denaturation,"-")+ROW()-3-$AB$2-$AN$2)-9,6),$X$4:$X$99,0),2)),"-")</f>
        <v>-</v>
      </c>
      <c r="AZ101" s="510" t="str">
        <f t="array" aca="1" ref="AZ101" ca="1">IFERROR(IF(AS101&lt;=$AB$2+$AN$2,"-",INDEX(Calculation_Tab,SMALL(ROW(Direct_Denaturation)*(Direct_Denaturation&lt;&gt;"-"),COUNTIF(Direct_Denaturation,"-")+ROW()-3-$AB$2-$AN$2)-9,32)),"-")</f>
        <v>-</v>
      </c>
      <c r="BA101" s="510" t="str">
        <f t="array" aca="1" ref="BA101" ca="1">IFERROR(IF(AS101&lt;=$AB$2+$AN$2,"-",INDEX(Calculation_Tab,SMALL(ROW(Direct_Denaturation)*(Direct_Denaturation&lt;&gt;"-"),COUNTIF(Direct_Denaturation,"-")+ROW()-3-$AB$2-$AN$2)-9,34)),"-")</f>
        <v>-</v>
      </c>
      <c r="BB101" s="510" t="str">
        <f t="array" aca="1" ref="BB101" ca="1">IFERROR(IF(AS101&lt;=$AB$2+$AN$2,"-",INDEX(Calculation_Tab,SMALL(ROW(Direct_Denaturation)*(Direct_Denaturation&lt;&gt;"-"),COUNTIF(Direct_Denaturation,"-")+ROW()-3-$AB$2-$AN$2)-9,33)),"-")</f>
        <v>-</v>
      </c>
      <c r="BC101" s="510" t="str">
        <f t="array" aca="1" ref="BC101" ca="1">IFERROR(IF(AS101&lt;=$AB$2+$AN$2,"-",INDEX(Calculation_Tab,SMALL(ROW(Direct_Denaturation)*(Direct_Denaturation&lt;&gt;"-"),COUNTIF(Direct_Denaturation,"-")+ROW()-3-$AB$2-$AN$2)-9,35)),"-")</f>
        <v>-</v>
      </c>
      <c r="BD101" s="511" t="str">
        <f t="shared" ca="1" si="52"/>
        <v>-</v>
      </c>
      <c r="BK101" s="542" t="s">
        <v>82</v>
      </c>
      <c r="BL101" s="542" t="s">
        <v>82</v>
      </c>
      <c r="BM101" s="487" t="str">
        <f t="array" aca="1" ref="BM101" ca="1">IFERROR(INDEX(Calculation_Tab,SMALL(ROW(ToPool)*(ToPool&lt;&gt;"-"),COUNTIF(ToPool,"-")+ROW()-3)-9,3),"-")</f>
        <v>-</v>
      </c>
      <c r="BN101" s="378" t="str">
        <f t="shared" ca="1" si="55"/>
        <v>-</v>
      </c>
      <c r="BO101" s="378" t="str">
        <f t="shared" ca="1" si="56"/>
        <v>-</v>
      </c>
      <c r="BP101" s="523" t="str">
        <f t="shared" ca="1" si="57"/>
        <v>-</v>
      </c>
      <c r="BQ101" s="378" t="str">
        <f t="array" aca="1" ref="BQ101" ca="1">IFERROR(INDEX(BE:BG,MATCH(INDEX(Calculation_Tab,SMALL(ROW(ToPool)*(ToPool&lt;&gt;"-"),COUNTIF(ToPool,"-")+ROW()-3)-9,9),BG:BG,0),2),"-")</f>
        <v>-</v>
      </c>
      <c r="BR101" s="510" t="str">
        <f t="shared" ca="1" si="58"/>
        <v>-</v>
      </c>
      <c r="BS101" s="511" t="str">
        <f t="shared" ca="1" si="59"/>
        <v>-</v>
      </c>
      <c r="BT101" s="543" t="s">
        <v>82</v>
      </c>
      <c r="BU101" s="487" t="str">
        <f t="shared" ca="1" si="63"/>
        <v>-</v>
      </c>
      <c r="BV101" s="487" t="str">
        <f t="array" aca="1" ref="BV10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01" s="378" t="str">
        <f t="shared" ca="1" si="60"/>
        <v>-</v>
      </c>
      <c r="BX101" s="378" t="str">
        <f t="shared" ca="1" si="61"/>
        <v>-</v>
      </c>
      <c r="BY101" s="510" t="str">
        <f ca="1">IFERROR(ROUND(INDEX(Cluster,MATCH(IF(LEFT(BV101,4)="Pool",INDEX(Cluster,MATCH(INDEX(Calculation_Tab,MATCH(INDEX($BE$4:$BJ$99,MATCH(BV101,$BE$4:$BE$99,0),3),Flow_Cell_Lane,0),3),Cluster!$F$29:$F$412,0),6),BV101),Identifier_Cluster,0),19)*IF(LEFT(BV101,4)="pool",IF(LEN(INDEX($BE$4:$BJ$99,MATCH(BV101,$BE$4:$BE$99,0),3))=10,2,IF(LEN(INDEX($BE$4:$BJ$99,MATCH(BV101,$BE$4:$BE$99,0),3))&gt;10,LEN(INDEX($BE$4:$BJ$99,MATCH(BV101,$BE$4:$BE$99,0),3))-8,1)),1)*IF(LEFT(BV101,4)="pool",IF(INDEX($BE$4:$BJ$99,MATCH(BV101,$BE$4:$BE$99,0),6)&lt;1,1,INDEX($BE$4:$BJ$99,MATCH(BV101,$BE$4:$BE$99,0),6)),INDEX(Calculation_Tab,MATCH(BV101,Identifier,0),10)),1)*(1+Calculation!$Q$6),"-")</f>
        <v>-</v>
      </c>
      <c r="BZ101" s="378" t="str">
        <f ca="1">IFERROR((0.5/50)*CE101/Calculation!$AG$6*(IF(LEFT(BV101,4)="Pool",IF(LEN(INDEX($BE$4:$BJ$99,MATCH(BV101,$BE$4:$BE$99,0),3))=10,2,IF(LEN(INDEX($BE$4:$BJ$99,MATCH(BV101,$BE$4:$BE$99,0),3))&gt;10,LEN(INDEX($BE$4:$BJ$99,MATCH(BV101,$BE$4:$BE$99,0),3))-8,1)),IF(INDEX(Calculation_Tab,MATCH(BV101,Identifier,0),10)&gt;1,INDEX(Calculation_Tab,MATCH(BV101,Identifier,0),10),1)))*(1+Calculation!$Q$6),"-")</f>
        <v>-</v>
      </c>
      <c r="CA101" s="510" t="str">
        <f ca="1">IFERROR(IF((BZ101*Calculation!$AG$6/0.05)-SUM(BY101:BZ101,CC101)&gt;0,(BZ101*Calculation!$AG$6/0.05)-SUM(BY101:BZ101,CC101),0),"-")</f>
        <v>-</v>
      </c>
      <c r="CB101" s="510" t="str">
        <f ca="1">IFERROR(5/50*CE101*(IF(LEFT(BV101,4)="Pool",IF(LEN(INDEX($BE$4:$BJ$99,MATCH(BV101,$BE$4:$BE$99,0),3))=10,2,IF(LEN(INDEX($BE$4:$BJ$99,MATCH(BV101,$BE$4:$BE$99,0),3))&gt;10,LEN(INDEX($BE$4:$BJ$99,MATCH(BV101,$BE$4:$BE$99,0),3))-8,1)),IF(INDEX(Calculation_Tab,MATCH(BV101,Identifier,0),10)&gt;1,INDEX(Calculation_Tab,MATCH(BV101,Identifier,0),10),1)))*(1+Calculation!$Q$6),"-")</f>
        <v>-</v>
      </c>
      <c r="CC101" s="508" t="str">
        <f ca="1">IFERROR(ROUND(INDEX(Cluster,MATCH(IF(LEFT(BV101,4)="Pool",INDEX(Cluster,MATCH(INDEX(Calculation_Tab,MATCH(INDEX($BE$4:$BJ$99,MATCH(BV101,$BE$4:$BE$99,0),3),Flow_Cell_Lane,0),3),Cluster!$F$29:$F$412,0),6),BV101),Identifier_Cluster,0),20)*IF(LEFT(BV101,4)="pool",IF(LEN(INDEX($BE$4:$BJ$99,MATCH(BV101,$BE$4:$BE$99,0),3))=10,2,IF(LEN(INDEX($BE$4:$BJ$99,MATCH(BV101,$BE$4:$BE$99,0),3))&gt;10,LEN(INDEX($BE$4:$BJ$99,MATCH(BV101,$BE$4:$BE$99,0),3))-8,1)),1)*IF(LEFT(BV101,4)="pool",IF(INDEX($BE$4:$BJ$99,MATCH(BV101,$BE$4:$BE$99,0),6)&lt;1,1,INDEX($BE$4:$BJ$99,MATCH(BV101,$BE$4:$BE$99,0),6)),INDEX(Calculation_Tab,MATCH(BV101,Identifier,0),10)),1)*(1+Calculation!$Q$6),"-")</f>
        <v>-</v>
      </c>
      <c r="CD101" s="509" t="str">
        <f ca="1">IFERROR(INDEX(Cluster!AC:AD,MATCH(IF(LEFT(BV101,4)="Pool",INDEX(Cluster!$D$29:$AA$412,MATCH(INDEX(Calculation_Tab,MATCH(INDEX($BE$4:$BJ$99,MATCH(BV101,$BE$4:$BE$99,0),3),Flow_Cell_Lane,0),3),Cluster!$F$29:$F$412,0),24),INDEX(Cluster!$D$29:$AA$412,MATCH(BV101,Cluster!$F$29:$F$412,0),24)),Cluster!AC:AC,0),2),"-")</f>
        <v>-</v>
      </c>
      <c r="CE101" s="378" t="str">
        <f ca="1">IFERROR(IF(BV101&lt;&gt;"-",Calculation!$AK$6,"-"),"-")</f>
        <v>-</v>
      </c>
      <c r="CF101" s="378" t="str">
        <f ca="1">IF(OR(LEFT(ListAndConversion!BW101,3)="Dil",LEFT(ListAndConversion!BW101,3)="Poo"),ListAndConversion!$BT$4,IF(LEFT(ListAndConversion!BW101,3)="Sou",INDEX(ListAndConversion!$AT$3:$AV$387,MATCH(ListAndConversion!BV101,ListAndConversion!$AV$3:$AV$387,0),1),"-"))</f>
        <v>-</v>
      </c>
      <c r="CG101" s="498" t="str">
        <f ca="1">IF(OR(LEFT(ListAndConversion!BW101,3)="Dil",LEFT(ListAndConversion!BW101,3)="Poo"),ListAndConversion!BU101,IF(LEFT(ListAndConversion!BW101,3)="Sou",INDEX(ListAndConversion!$AT$4:$AV$387,MATCH(ListAndConversion!BV101,ListAndConversion!$AV$4:$AV$387,0),2),"-"))</f>
        <v>-</v>
      </c>
      <c r="CH101" s="378"/>
      <c r="CI101" s="487" t="str">
        <f t="shared" ca="1" si="62"/>
        <v>-</v>
      </c>
      <c r="CJ101" s="378" t="str">
        <f t="shared" ca="1" si="72"/>
        <v>-</v>
      </c>
      <c r="CK101" s="378" t="str">
        <f t="shared" ca="1" si="72"/>
        <v>-</v>
      </c>
      <c r="CL101" s="378" t="str">
        <f t="shared" ca="1" si="72"/>
        <v>-</v>
      </c>
      <c r="CM101" s="378" t="str">
        <f t="shared" ca="1" si="72"/>
        <v>-</v>
      </c>
      <c r="CN101" s="378" t="str">
        <f t="shared" ca="1" si="72"/>
        <v>-</v>
      </c>
      <c r="CO101" s="378" t="str">
        <f t="shared" ca="1" si="72"/>
        <v>-</v>
      </c>
      <c r="CP101" s="378" t="str">
        <f t="shared" ca="1" si="72"/>
        <v>-</v>
      </c>
      <c r="CQ101" s="378" t="str">
        <f t="shared" ca="1" si="72"/>
        <v>-</v>
      </c>
      <c r="CR101" s="510" t="str">
        <f ca="1">IFERROR(IF(LEFT(BW101,3)="Poo",INDEX($BE$4:$BJ$99,MATCH(CI101,$BG$4:$BG$99,0),6)*((15/50))*Calculation!$AK$6,INDEX(Calculation_Tab,MATCH(BV101,Identifier,0),10)/(IF(LEN(INDEX(Calculation_Tab,MATCH(BV101,Identifier,0),9))&gt;8,LEN(INDEX(Calculation_Tab,MATCH(BV101,Identifier,0),9))-8,1))*((15/50)*Calculation!$AK$6)),"-")</f>
        <v>-</v>
      </c>
      <c r="CS101" s="498" t="str">
        <f ca="1">IF(CI101="-","-",IF(COUNTIF($CI$3:CI101,CI101)&gt;1,0,IFERROR((35/50)*Calculation!$AK$6,"-")))</f>
        <v>-</v>
      </c>
    </row>
    <row r="102" spans="4:97" x14ac:dyDescent="0.5">
      <c r="D102" s="487" t="e">
        <f t="shared" si="44"/>
        <v>#DIV/0!</v>
      </c>
      <c r="E102" s="496" t="e">
        <f t="array" ref="E102">IF(IF((ROW(E102)-3)&lt;(ListAndConversion!$A$15),INDEX(Flow_Cell_Lane,MIN(IF(COUNTIF($E$2:E101,Flow_Cell_Lane)=0,ROW(Flow_Cell_Lane)-9))),"-")="","-",IF((ROW(E102)-3)&lt;(ListAndConversion!$A$15),INDEX(Flow_Cell_Lane,MIN(IF(COUNTIF($E$2:E101,Flow_Cell_Lane)=0,ROW(Flow_Cell_Lane)-9))),"-"))</f>
        <v>#DIV/0!</v>
      </c>
      <c r="F102" s="378" t="e">
        <f t="shared" si="45"/>
        <v>#DIV/0!</v>
      </c>
      <c r="G102" s="378" t="e">
        <f t="shared" si="71"/>
        <v>#DIV/0!</v>
      </c>
      <c r="H102" s="378" t="e">
        <f t="shared" si="71"/>
        <v>#DIV/0!</v>
      </c>
      <c r="I102" s="378" t="e">
        <f t="shared" si="71"/>
        <v>#DIV/0!</v>
      </c>
      <c r="J102" s="378" t="e">
        <f t="shared" si="71"/>
        <v>#DIV/0!</v>
      </c>
      <c r="K102" s="378" t="e">
        <f t="shared" si="71"/>
        <v>#DIV/0!</v>
      </c>
      <c r="L102" s="378" t="e">
        <f t="shared" si="71"/>
        <v>#DIV/0!</v>
      </c>
      <c r="M102" s="378" t="e">
        <f t="shared" si="71"/>
        <v>#DIV/0!</v>
      </c>
      <c r="N102" s="497" t="e">
        <f t="shared" si="46"/>
        <v>#DIV/0!</v>
      </c>
      <c r="O102" s="497" t="str">
        <f t="array" ref="O102">IFERROR(INDEX(Calculation!I:AN,MATCH(ListAndConversion!E102,Calculation!I:I,0),31),"-")</f>
        <v>-</v>
      </c>
      <c r="P102" s="498">
        <f>IF(COUNTIFS(Calculation!$I$10:$I$393,E102,Direct_Denaturation,"-")&lt;&gt;1,COUNTIFS(Calculation!$I$10:$I$393,E102,Direct_Denaturation,"-"),0)</f>
        <v>0</v>
      </c>
      <c r="V102" s="542" t="s">
        <v>82</v>
      </c>
      <c r="W102" s="542" t="s">
        <v>82</v>
      </c>
      <c r="X102" s="542" t="s">
        <v>82</v>
      </c>
      <c r="Y102" s="542" t="s">
        <v>82</v>
      </c>
      <c r="Z102" s="542" t="s">
        <v>82</v>
      </c>
      <c r="AA102" s="542" t="s">
        <v>82</v>
      </c>
      <c r="AB102" s="542" t="s">
        <v>82</v>
      </c>
      <c r="AC102" s="542" t="s">
        <v>82</v>
      </c>
      <c r="AD102" s="542" t="s">
        <v>82</v>
      </c>
      <c r="AE102" s="542" t="s">
        <v>82</v>
      </c>
      <c r="AF102" s="542" t="s">
        <v>82</v>
      </c>
      <c r="AG102" s="542" t="s">
        <v>82</v>
      </c>
      <c r="AH102" s="9"/>
      <c r="AI102" s="487">
        <v>99</v>
      </c>
      <c r="AJ102" s="497" t="s">
        <v>161</v>
      </c>
      <c r="AK102" s="378">
        <v>3</v>
      </c>
      <c r="AL102" s="378" t="str">
        <f t="shared" ca="1" si="49"/>
        <v>-</v>
      </c>
      <c r="AM102" s="378" t="str">
        <f t="array" aca="1" ref="AM102" ca="1">IFERROR(IF(AI102&lt;=$AB$2,"-",INDEX(Calculation_Tab,SMALL(ROW(Main_Dil)*(Main_Dil&lt;&gt;"-"),COUNTIF(Main_Dil,"-")+ROW()-3-$AB$2)-9,5)),"-")</f>
        <v>-</v>
      </c>
      <c r="AN102" s="378" t="str">
        <f t="array" aca="1" ref="AN102" ca="1">IFERROR(IF(AI102&lt;=$AB$2,"-",INDEX($A$3:$B$12,MATCH(INDEX(Calculation_Tab,SMALL(ROW(Main_Dil)*(Main_Dil&lt;&gt;"-"),COUNTIF(Main_Dil,"-")+ROW()-3-$AB$2)-9,5),$A$3:$A$12,0),2)),"-")</f>
        <v>-</v>
      </c>
      <c r="AO102" s="378" t="str">
        <f t="array" aca="1" ref="AO102" ca="1">IFERROR(IF(AI102&lt;=$AB$2,"-",INDEX(Coordinate,MATCH(INDEX(Calculation_Tab,SMALL(ROW(Main_Dil)*(Main_Dil&lt;&gt;"-"),COUNTIF(Main_Dil,"-")+ROW()-3-$AB$2)-9,6),$X$4:$X$99,0),2)),"-")</f>
        <v>-</v>
      </c>
      <c r="AP102" s="510" t="str">
        <f t="array" aca="1" ref="AP102" ca="1">IFERROR(IF(AI102&lt;=$AB$2,"-",INDEX(Calculation_Tab,SMALL(ROW(Main_Dil)*(Main_Dil&lt;&gt;"-"),COUNTIF(Main_Dil,"-")+ROW()-3-$AB$2)-9,21)),"-")</f>
        <v>-</v>
      </c>
      <c r="AQ102" s="511" t="str">
        <f t="array" aca="1" ref="AQ102" ca="1">IFERROR(IF(AI102&lt;=$AB$2,"-",INDEX(Calculation_Tab,SMALL(ROW(Main_Dil)*(Main_Dil&lt;&gt;"-"),COUNTIF(Main_Dil,"-")+ROW()-3-$AB$2)-9,22)),"-")</f>
        <v>-</v>
      </c>
      <c r="AR102" s="487" t="str">
        <f t="shared" ca="1" si="50"/>
        <v>-</v>
      </c>
      <c r="AS102" s="378">
        <v>99</v>
      </c>
      <c r="AT102" s="497" t="s">
        <v>161</v>
      </c>
      <c r="AU102" s="498">
        <v>3</v>
      </c>
      <c r="AV102" s="378" t="str">
        <f t="shared" ca="1" si="51"/>
        <v>-</v>
      </c>
      <c r="AW102" s="378" t="str">
        <f t="array" aca="1" ref="AW102" ca="1">IFERROR(IF(AS102&lt;=$AB$2+$AN$2,"-",INDEX(Calculation_Tab,SMALL(ROW(Direct_Denaturation)*(Direct_Denaturation&lt;&gt;"-"),COUNTIF(Direct_Denaturation,"-")+ROW()-3-$AB$2-$AN$2)-9,5)),"-")</f>
        <v>-</v>
      </c>
      <c r="AX102" s="378" t="str">
        <f t="array" aca="1" ref="AX102" ca="1">IFERROR(IF(AS102&lt;=$AB$2+$AN$2,"-",INDEX($A$3:$B$12,MATCH(INDEX(Calculation_Tab,SMALL(ROW(Direct_Denaturation)*(Direct_Denaturation&lt;&gt;"-"),COUNTIF(Direct_Denaturation,"-")+ROW()-3-$AB$2-$AN$2)-9,5),$A$3:$A$12,0),2)),"-")</f>
        <v>-</v>
      </c>
      <c r="AY102" s="378" t="str">
        <f t="array" aca="1" ref="AY102" ca="1">IFERROR(IF(AS102&lt;=$AB$2+$AN$2,"-",INDEX(Coordinate,MATCH(INDEX(Calculation_Tab,SMALL(ROW(Direct_Denaturation)*(Direct_Denaturation&lt;&gt;"-"),COUNTIF(Direct_Denaturation,"-")+ROW()-3-$AB$2-$AN$2)-9,6),$X$4:$X$99,0),2)),"-")</f>
        <v>-</v>
      </c>
      <c r="AZ102" s="510" t="str">
        <f t="array" aca="1" ref="AZ102" ca="1">IFERROR(IF(AS102&lt;=$AB$2+$AN$2,"-",INDEX(Calculation_Tab,SMALL(ROW(Direct_Denaturation)*(Direct_Denaturation&lt;&gt;"-"),COUNTIF(Direct_Denaturation,"-")+ROW()-3-$AB$2-$AN$2)-9,32)),"-")</f>
        <v>-</v>
      </c>
      <c r="BA102" s="510" t="str">
        <f t="array" aca="1" ref="BA102" ca="1">IFERROR(IF(AS102&lt;=$AB$2+$AN$2,"-",INDEX(Calculation_Tab,SMALL(ROW(Direct_Denaturation)*(Direct_Denaturation&lt;&gt;"-"),COUNTIF(Direct_Denaturation,"-")+ROW()-3-$AB$2-$AN$2)-9,34)),"-")</f>
        <v>-</v>
      </c>
      <c r="BB102" s="510" t="str">
        <f t="array" aca="1" ref="BB102" ca="1">IFERROR(IF(AS102&lt;=$AB$2+$AN$2,"-",INDEX(Calculation_Tab,SMALL(ROW(Direct_Denaturation)*(Direct_Denaturation&lt;&gt;"-"),COUNTIF(Direct_Denaturation,"-")+ROW()-3-$AB$2-$AN$2)-9,33)),"-")</f>
        <v>-</v>
      </c>
      <c r="BC102" s="510" t="str">
        <f t="array" aca="1" ref="BC102" ca="1">IFERROR(IF(AS102&lt;=$AB$2+$AN$2,"-",INDEX(Calculation_Tab,SMALL(ROW(Direct_Denaturation)*(Direct_Denaturation&lt;&gt;"-"),COUNTIF(Direct_Denaturation,"-")+ROW()-3-$AB$2-$AN$2)-9,35)),"-")</f>
        <v>-</v>
      </c>
      <c r="BD102" s="511" t="str">
        <f t="shared" ca="1" si="52"/>
        <v>-</v>
      </c>
      <c r="BK102" s="542" t="s">
        <v>82</v>
      </c>
      <c r="BL102" s="542" t="s">
        <v>82</v>
      </c>
      <c r="BM102" s="487" t="str">
        <f t="array" aca="1" ref="BM102" ca="1">IFERROR(INDEX(Calculation_Tab,SMALL(ROW(ToPool)*(ToPool&lt;&gt;"-"),COUNTIF(ToPool,"-")+ROW()-3)-9,3),"-")</f>
        <v>-</v>
      </c>
      <c r="BN102" s="378" t="str">
        <f t="shared" ca="1" si="55"/>
        <v>-</v>
      </c>
      <c r="BO102" s="378" t="str">
        <f t="shared" ca="1" si="56"/>
        <v>-</v>
      </c>
      <c r="BP102" s="523" t="str">
        <f t="shared" ca="1" si="57"/>
        <v>-</v>
      </c>
      <c r="BQ102" s="378" t="str">
        <f t="array" aca="1" ref="BQ102" ca="1">IFERROR(INDEX(BE:BG,MATCH(INDEX(Calculation_Tab,SMALL(ROW(ToPool)*(ToPool&lt;&gt;"-"),COUNTIF(ToPool,"-")+ROW()-3)-9,9),BG:BG,0),2),"-")</f>
        <v>-</v>
      </c>
      <c r="BR102" s="510" t="str">
        <f t="shared" ca="1" si="58"/>
        <v>-</v>
      </c>
      <c r="BS102" s="511" t="str">
        <f t="shared" ca="1" si="59"/>
        <v>-</v>
      </c>
      <c r="BT102" s="543" t="s">
        <v>82</v>
      </c>
      <c r="BU102" s="487" t="str">
        <f t="shared" ca="1" si="63"/>
        <v>-</v>
      </c>
      <c r="BV102" s="487" t="str">
        <f t="array" aca="1" ref="BV10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02" s="378" t="str">
        <f t="shared" ca="1" si="60"/>
        <v>-</v>
      </c>
      <c r="BX102" s="378" t="str">
        <f t="shared" ca="1" si="61"/>
        <v>-</v>
      </c>
      <c r="BY102" s="510" t="str">
        <f ca="1">IFERROR(ROUND(INDEX(Cluster,MATCH(IF(LEFT(BV102,4)="Pool",INDEX(Cluster,MATCH(INDEX(Calculation_Tab,MATCH(INDEX($BE$4:$BJ$99,MATCH(BV102,$BE$4:$BE$99,0),3),Flow_Cell_Lane,0),3),Cluster!$F$29:$F$412,0),6),BV102),Identifier_Cluster,0),19)*IF(LEFT(BV102,4)="pool",IF(LEN(INDEX($BE$4:$BJ$99,MATCH(BV102,$BE$4:$BE$99,0),3))=10,2,IF(LEN(INDEX($BE$4:$BJ$99,MATCH(BV102,$BE$4:$BE$99,0),3))&gt;10,LEN(INDEX($BE$4:$BJ$99,MATCH(BV102,$BE$4:$BE$99,0),3))-8,1)),1)*IF(LEFT(BV102,4)="pool",IF(INDEX($BE$4:$BJ$99,MATCH(BV102,$BE$4:$BE$99,0),6)&lt;1,1,INDEX($BE$4:$BJ$99,MATCH(BV102,$BE$4:$BE$99,0),6)),INDEX(Calculation_Tab,MATCH(BV102,Identifier,0),10)),1)*(1+Calculation!$Q$6),"-")</f>
        <v>-</v>
      </c>
      <c r="BZ102" s="378" t="str">
        <f ca="1">IFERROR((0.5/50)*CE102/Calculation!$AG$6*(IF(LEFT(BV102,4)="Pool",IF(LEN(INDEX($BE$4:$BJ$99,MATCH(BV102,$BE$4:$BE$99,0),3))=10,2,IF(LEN(INDEX($BE$4:$BJ$99,MATCH(BV102,$BE$4:$BE$99,0),3))&gt;10,LEN(INDEX($BE$4:$BJ$99,MATCH(BV102,$BE$4:$BE$99,0),3))-8,1)),IF(INDEX(Calculation_Tab,MATCH(BV102,Identifier,0),10)&gt;1,INDEX(Calculation_Tab,MATCH(BV102,Identifier,0),10),1)))*(1+Calculation!$Q$6),"-")</f>
        <v>-</v>
      </c>
      <c r="CA102" s="510" t="str">
        <f ca="1">IFERROR(IF((BZ102*Calculation!$AG$6/0.05)-SUM(BY102:BZ102,CC102)&gt;0,(BZ102*Calculation!$AG$6/0.05)-SUM(BY102:BZ102,CC102),0),"-")</f>
        <v>-</v>
      </c>
      <c r="CB102" s="510" t="str">
        <f ca="1">IFERROR(5/50*CE102*(IF(LEFT(BV102,4)="Pool",IF(LEN(INDEX($BE$4:$BJ$99,MATCH(BV102,$BE$4:$BE$99,0),3))=10,2,IF(LEN(INDEX($BE$4:$BJ$99,MATCH(BV102,$BE$4:$BE$99,0),3))&gt;10,LEN(INDEX($BE$4:$BJ$99,MATCH(BV102,$BE$4:$BE$99,0),3))-8,1)),IF(INDEX(Calculation_Tab,MATCH(BV102,Identifier,0),10)&gt;1,INDEX(Calculation_Tab,MATCH(BV102,Identifier,0),10),1)))*(1+Calculation!$Q$6),"-")</f>
        <v>-</v>
      </c>
      <c r="CC102" s="508" t="str">
        <f ca="1">IFERROR(ROUND(INDEX(Cluster,MATCH(IF(LEFT(BV102,4)="Pool",INDEX(Cluster,MATCH(INDEX(Calculation_Tab,MATCH(INDEX($BE$4:$BJ$99,MATCH(BV102,$BE$4:$BE$99,0),3),Flow_Cell_Lane,0),3),Cluster!$F$29:$F$412,0),6),BV102),Identifier_Cluster,0),20)*IF(LEFT(BV102,4)="pool",IF(LEN(INDEX($BE$4:$BJ$99,MATCH(BV102,$BE$4:$BE$99,0),3))=10,2,IF(LEN(INDEX($BE$4:$BJ$99,MATCH(BV102,$BE$4:$BE$99,0),3))&gt;10,LEN(INDEX($BE$4:$BJ$99,MATCH(BV102,$BE$4:$BE$99,0),3))-8,1)),1)*IF(LEFT(BV102,4)="pool",IF(INDEX($BE$4:$BJ$99,MATCH(BV102,$BE$4:$BE$99,0),6)&lt;1,1,INDEX($BE$4:$BJ$99,MATCH(BV102,$BE$4:$BE$99,0),6)),INDEX(Calculation_Tab,MATCH(BV102,Identifier,0),10)),1)*(1+Calculation!$Q$6),"-")</f>
        <v>-</v>
      </c>
      <c r="CD102" s="509" t="str">
        <f ca="1">IFERROR(INDEX(Cluster!AC:AD,MATCH(IF(LEFT(BV102,4)="Pool",INDEX(Cluster!$D$29:$AA$412,MATCH(INDEX(Calculation_Tab,MATCH(INDEX($BE$4:$BJ$99,MATCH(BV102,$BE$4:$BE$99,0),3),Flow_Cell_Lane,0),3),Cluster!$F$29:$F$412,0),24),INDEX(Cluster!$D$29:$AA$412,MATCH(BV102,Cluster!$F$29:$F$412,0),24)),Cluster!AC:AC,0),2),"-")</f>
        <v>-</v>
      </c>
      <c r="CE102" s="378" t="str">
        <f ca="1">IFERROR(IF(BV102&lt;&gt;"-",Calculation!$AK$6,"-"),"-")</f>
        <v>-</v>
      </c>
      <c r="CF102" s="378" t="str">
        <f ca="1">IF(OR(LEFT(ListAndConversion!BW102,3)="Dil",LEFT(ListAndConversion!BW102,3)="Poo"),ListAndConversion!$BT$4,IF(LEFT(ListAndConversion!BW102,3)="Sou",INDEX(ListAndConversion!$AT$3:$AV$387,MATCH(ListAndConversion!BV102,ListAndConversion!$AV$3:$AV$387,0),1),"-"))</f>
        <v>-</v>
      </c>
      <c r="CG102" s="498" t="str">
        <f ca="1">IF(OR(LEFT(ListAndConversion!BW102,3)="Dil",LEFT(ListAndConversion!BW102,3)="Poo"),ListAndConversion!BU102,IF(LEFT(ListAndConversion!BW102,3)="Sou",INDEX(ListAndConversion!$AT$4:$AV$387,MATCH(ListAndConversion!BV102,ListAndConversion!$AV$4:$AV$387,0),2),"-"))</f>
        <v>-</v>
      </c>
      <c r="CH102" s="378"/>
      <c r="CI102" s="487" t="str">
        <f t="shared" ca="1" si="62"/>
        <v>-</v>
      </c>
      <c r="CJ102" s="378" t="str">
        <f t="shared" ca="1" si="72"/>
        <v>-</v>
      </c>
      <c r="CK102" s="378" t="str">
        <f t="shared" ca="1" si="72"/>
        <v>-</v>
      </c>
      <c r="CL102" s="378" t="str">
        <f t="shared" ca="1" si="72"/>
        <v>-</v>
      </c>
      <c r="CM102" s="378" t="str">
        <f t="shared" ca="1" si="72"/>
        <v>-</v>
      </c>
      <c r="CN102" s="378" t="str">
        <f t="shared" ca="1" si="72"/>
        <v>-</v>
      </c>
      <c r="CO102" s="378" t="str">
        <f t="shared" ca="1" si="72"/>
        <v>-</v>
      </c>
      <c r="CP102" s="378" t="str">
        <f t="shared" ca="1" si="72"/>
        <v>-</v>
      </c>
      <c r="CQ102" s="378" t="str">
        <f t="shared" ca="1" si="72"/>
        <v>-</v>
      </c>
      <c r="CR102" s="510" t="str">
        <f ca="1">IFERROR(IF(LEFT(BW102,3)="Poo",INDEX($BE$4:$BJ$99,MATCH(CI102,$BG$4:$BG$99,0),6)*((15/50))*Calculation!$AK$6,INDEX(Calculation_Tab,MATCH(BV102,Identifier,0),10)/(IF(LEN(INDEX(Calculation_Tab,MATCH(BV102,Identifier,0),9))&gt;8,LEN(INDEX(Calculation_Tab,MATCH(BV102,Identifier,0),9))-8,1))*((15/50)*Calculation!$AK$6)),"-")</f>
        <v>-</v>
      </c>
      <c r="CS102" s="498" t="str">
        <f ca="1">IF(CI102="-","-",IF(COUNTIF($CI$3:CI102,CI102)&gt;1,0,IFERROR((35/50)*Calculation!$AK$6,"-")))</f>
        <v>-</v>
      </c>
    </row>
    <row r="103" spans="4:97" x14ac:dyDescent="0.5">
      <c r="D103" s="487" t="e">
        <f t="shared" si="44"/>
        <v>#DIV/0!</v>
      </c>
      <c r="E103" s="496" t="e">
        <f t="array" ref="E103">IF(IF((ROW(E103)-3)&lt;(ListAndConversion!$A$15),INDEX(Flow_Cell_Lane,MIN(IF(COUNTIF($E$2:E102,Flow_Cell_Lane)=0,ROW(Flow_Cell_Lane)-9))),"-")="","-",IF((ROW(E103)-3)&lt;(ListAndConversion!$A$15),INDEX(Flow_Cell_Lane,MIN(IF(COUNTIF($E$2:E102,Flow_Cell_Lane)=0,ROW(Flow_Cell_Lane)-9))),"-"))</f>
        <v>#DIV/0!</v>
      </c>
      <c r="F103" s="378" t="e">
        <f t="shared" si="45"/>
        <v>#DIV/0!</v>
      </c>
      <c r="G103" s="378" t="e">
        <f t="shared" ref="G103:M112" si="73">IF($D103&gt;8,IF($D103&gt;=(8+G$2),CONCATENATE(LEFT($E103,7),RIGHT(LEFT($E103,8+G$2),1)),""),"")</f>
        <v>#DIV/0!</v>
      </c>
      <c r="H103" s="378" t="e">
        <f t="shared" si="73"/>
        <v>#DIV/0!</v>
      </c>
      <c r="I103" s="378" t="e">
        <f t="shared" si="73"/>
        <v>#DIV/0!</v>
      </c>
      <c r="J103" s="378" t="e">
        <f t="shared" si="73"/>
        <v>#DIV/0!</v>
      </c>
      <c r="K103" s="378" t="e">
        <f t="shared" si="73"/>
        <v>#DIV/0!</v>
      </c>
      <c r="L103" s="378" t="e">
        <f t="shared" si="73"/>
        <v>#DIV/0!</v>
      </c>
      <c r="M103" s="378" t="e">
        <f t="shared" si="73"/>
        <v>#DIV/0!</v>
      </c>
      <c r="N103" s="497" t="e">
        <f t="shared" si="46"/>
        <v>#DIV/0!</v>
      </c>
      <c r="O103" s="497" t="str">
        <f t="array" ref="O103">IFERROR(INDEX(Calculation!I:AN,MATCH(ListAndConversion!E103,Calculation!I:I,0),31),"-")</f>
        <v>-</v>
      </c>
      <c r="P103" s="498">
        <f>IF(COUNTIFS(Calculation!$I$10:$I$393,E103,Direct_Denaturation,"-")&lt;&gt;1,COUNTIFS(Calculation!$I$10:$I$393,E103,Direct_Denaturation,"-"),0)</f>
        <v>0</v>
      </c>
      <c r="V103" s="542" t="s">
        <v>82</v>
      </c>
      <c r="W103" s="542" t="s">
        <v>82</v>
      </c>
      <c r="X103" s="542" t="s">
        <v>82</v>
      </c>
      <c r="Y103" s="542" t="s">
        <v>82</v>
      </c>
      <c r="Z103" s="542" t="s">
        <v>82</v>
      </c>
      <c r="AA103" s="542" t="s">
        <v>82</v>
      </c>
      <c r="AB103" s="542" t="s">
        <v>82</v>
      </c>
      <c r="AC103" s="542" t="s">
        <v>82</v>
      </c>
      <c r="AD103" s="542" t="s">
        <v>82</v>
      </c>
      <c r="AE103" s="542" t="s">
        <v>82</v>
      </c>
      <c r="AF103" s="542" t="s">
        <v>82</v>
      </c>
      <c r="AG103" s="542" t="s">
        <v>82</v>
      </c>
      <c r="AH103" s="9"/>
      <c r="AI103" s="487">
        <v>100</v>
      </c>
      <c r="AJ103" s="497" t="s">
        <v>161</v>
      </c>
      <c r="AK103" s="378">
        <v>4</v>
      </c>
      <c r="AL103" s="378" t="str">
        <f t="shared" ca="1" si="49"/>
        <v>-</v>
      </c>
      <c r="AM103" s="378" t="str">
        <f t="array" aca="1" ref="AM103" ca="1">IFERROR(IF(AI103&lt;=$AB$2,"-",INDEX(Calculation_Tab,SMALL(ROW(Main_Dil)*(Main_Dil&lt;&gt;"-"),COUNTIF(Main_Dil,"-")+ROW()-3-$AB$2)-9,5)),"-")</f>
        <v>-</v>
      </c>
      <c r="AN103" s="378" t="str">
        <f t="array" aca="1" ref="AN103" ca="1">IFERROR(IF(AI103&lt;=$AB$2,"-",INDEX($A$3:$B$12,MATCH(INDEX(Calculation_Tab,SMALL(ROW(Main_Dil)*(Main_Dil&lt;&gt;"-"),COUNTIF(Main_Dil,"-")+ROW()-3-$AB$2)-9,5),$A$3:$A$12,0),2)),"-")</f>
        <v>-</v>
      </c>
      <c r="AO103" s="378" t="str">
        <f t="array" aca="1" ref="AO103" ca="1">IFERROR(IF(AI103&lt;=$AB$2,"-",INDEX(Coordinate,MATCH(INDEX(Calculation_Tab,SMALL(ROW(Main_Dil)*(Main_Dil&lt;&gt;"-"),COUNTIF(Main_Dil,"-")+ROW()-3-$AB$2)-9,6),$X$4:$X$99,0),2)),"-")</f>
        <v>-</v>
      </c>
      <c r="AP103" s="510" t="str">
        <f t="array" aca="1" ref="AP103" ca="1">IFERROR(IF(AI103&lt;=$AB$2,"-",INDEX(Calculation_Tab,SMALL(ROW(Main_Dil)*(Main_Dil&lt;&gt;"-"),COUNTIF(Main_Dil,"-")+ROW()-3-$AB$2)-9,21)),"-")</f>
        <v>-</v>
      </c>
      <c r="AQ103" s="511" t="str">
        <f t="array" aca="1" ref="AQ103" ca="1">IFERROR(IF(AI103&lt;=$AB$2,"-",INDEX(Calculation_Tab,SMALL(ROW(Main_Dil)*(Main_Dil&lt;&gt;"-"),COUNTIF(Main_Dil,"-")+ROW()-3-$AB$2)-9,22)),"-")</f>
        <v>-</v>
      </c>
      <c r="AR103" s="487" t="str">
        <f t="shared" ca="1" si="50"/>
        <v>-</v>
      </c>
      <c r="AS103" s="378">
        <v>100</v>
      </c>
      <c r="AT103" s="497" t="s">
        <v>161</v>
      </c>
      <c r="AU103" s="498">
        <v>4</v>
      </c>
      <c r="AV103" s="378" t="str">
        <f t="shared" ca="1" si="51"/>
        <v>-</v>
      </c>
      <c r="AW103" s="378" t="str">
        <f t="array" aca="1" ref="AW103" ca="1">IFERROR(IF(AS103&lt;=$AB$2+$AN$2,"-",INDEX(Calculation_Tab,SMALL(ROW(Direct_Denaturation)*(Direct_Denaturation&lt;&gt;"-"),COUNTIF(Direct_Denaturation,"-")+ROW()-3-$AB$2-$AN$2)-9,5)),"-")</f>
        <v>-</v>
      </c>
      <c r="AX103" s="378" t="str">
        <f t="array" aca="1" ref="AX103" ca="1">IFERROR(IF(AS103&lt;=$AB$2+$AN$2,"-",INDEX($A$3:$B$12,MATCH(INDEX(Calculation_Tab,SMALL(ROW(Direct_Denaturation)*(Direct_Denaturation&lt;&gt;"-"),COUNTIF(Direct_Denaturation,"-")+ROW()-3-$AB$2-$AN$2)-9,5),$A$3:$A$12,0),2)),"-")</f>
        <v>-</v>
      </c>
      <c r="AY103" s="378" t="str">
        <f t="array" aca="1" ref="AY103" ca="1">IFERROR(IF(AS103&lt;=$AB$2+$AN$2,"-",INDEX(Coordinate,MATCH(INDEX(Calculation_Tab,SMALL(ROW(Direct_Denaturation)*(Direct_Denaturation&lt;&gt;"-"),COUNTIF(Direct_Denaturation,"-")+ROW()-3-$AB$2-$AN$2)-9,6),$X$4:$X$99,0),2)),"-")</f>
        <v>-</v>
      </c>
      <c r="AZ103" s="510" t="str">
        <f t="array" aca="1" ref="AZ103" ca="1">IFERROR(IF(AS103&lt;=$AB$2+$AN$2,"-",INDEX(Calculation_Tab,SMALL(ROW(Direct_Denaturation)*(Direct_Denaturation&lt;&gt;"-"),COUNTIF(Direct_Denaturation,"-")+ROW()-3-$AB$2-$AN$2)-9,32)),"-")</f>
        <v>-</v>
      </c>
      <c r="BA103" s="510" t="str">
        <f t="array" aca="1" ref="BA103" ca="1">IFERROR(IF(AS103&lt;=$AB$2+$AN$2,"-",INDEX(Calculation_Tab,SMALL(ROW(Direct_Denaturation)*(Direct_Denaturation&lt;&gt;"-"),COUNTIF(Direct_Denaturation,"-")+ROW()-3-$AB$2-$AN$2)-9,34)),"-")</f>
        <v>-</v>
      </c>
      <c r="BB103" s="510" t="str">
        <f t="array" aca="1" ref="BB103" ca="1">IFERROR(IF(AS103&lt;=$AB$2+$AN$2,"-",INDEX(Calculation_Tab,SMALL(ROW(Direct_Denaturation)*(Direct_Denaturation&lt;&gt;"-"),COUNTIF(Direct_Denaturation,"-")+ROW()-3-$AB$2-$AN$2)-9,33)),"-")</f>
        <v>-</v>
      </c>
      <c r="BC103" s="510" t="str">
        <f t="array" aca="1" ref="BC103" ca="1">IFERROR(IF(AS103&lt;=$AB$2+$AN$2,"-",INDEX(Calculation_Tab,SMALL(ROW(Direct_Denaturation)*(Direct_Denaturation&lt;&gt;"-"),COUNTIF(Direct_Denaturation,"-")+ROW()-3-$AB$2-$AN$2)-9,35)),"-")</f>
        <v>-</v>
      </c>
      <c r="BD103" s="511" t="str">
        <f t="shared" ca="1" si="52"/>
        <v>-</v>
      </c>
      <c r="BK103" s="542" t="s">
        <v>82</v>
      </c>
      <c r="BL103" s="542" t="s">
        <v>82</v>
      </c>
      <c r="BM103" s="487" t="str">
        <f t="array" aca="1" ref="BM103" ca="1">IFERROR(INDEX(Calculation_Tab,SMALL(ROW(ToPool)*(ToPool&lt;&gt;"-"),COUNTIF(ToPool,"-")+ROW()-3)-9,3),"-")</f>
        <v>-</v>
      </c>
      <c r="BN103" s="378" t="str">
        <f t="shared" ca="1" si="55"/>
        <v>-</v>
      </c>
      <c r="BO103" s="378" t="str">
        <f t="shared" ca="1" si="56"/>
        <v>-</v>
      </c>
      <c r="BP103" s="523" t="str">
        <f t="shared" ca="1" si="57"/>
        <v>-</v>
      </c>
      <c r="BQ103" s="378" t="str">
        <f t="array" aca="1" ref="BQ103" ca="1">IFERROR(INDEX(BE:BG,MATCH(INDEX(Calculation_Tab,SMALL(ROW(ToPool)*(ToPool&lt;&gt;"-"),COUNTIF(ToPool,"-")+ROW()-3)-9,9),BG:BG,0),2),"-")</f>
        <v>-</v>
      </c>
      <c r="BR103" s="510" t="str">
        <f t="shared" ca="1" si="58"/>
        <v>-</v>
      </c>
      <c r="BS103" s="511" t="str">
        <f t="shared" ca="1" si="59"/>
        <v>-</v>
      </c>
      <c r="BT103" s="543" t="s">
        <v>82</v>
      </c>
      <c r="BU103" s="487" t="str">
        <f t="shared" ca="1" si="63"/>
        <v>-</v>
      </c>
      <c r="BV103" s="487" t="str">
        <f t="array" aca="1" ref="BV10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03" s="378" t="str">
        <f t="shared" ca="1" si="60"/>
        <v>-</v>
      </c>
      <c r="BX103" s="378" t="str">
        <f t="shared" ca="1" si="61"/>
        <v>-</v>
      </c>
      <c r="BY103" s="510" t="str">
        <f ca="1">IFERROR(ROUND(INDEX(Cluster,MATCH(IF(LEFT(BV103,4)="Pool",INDEX(Cluster,MATCH(INDEX(Calculation_Tab,MATCH(INDEX($BE$4:$BJ$99,MATCH(BV103,$BE$4:$BE$99,0),3),Flow_Cell_Lane,0),3),Cluster!$F$29:$F$412,0),6),BV103),Identifier_Cluster,0),19)*IF(LEFT(BV103,4)="pool",IF(LEN(INDEX($BE$4:$BJ$99,MATCH(BV103,$BE$4:$BE$99,0),3))=10,2,IF(LEN(INDEX($BE$4:$BJ$99,MATCH(BV103,$BE$4:$BE$99,0),3))&gt;10,LEN(INDEX($BE$4:$BJ$99,MATCH(BV103,$BE$4:$BE$99,0),3))-8,1)),1)*IF(LEFT(BV103,4)="pool",IF(INDEX($BE$4:$BJ$99,MATCH(BV103,$BE$4:$BE$99,0),6)&lt;1,1,INDEX($BE$4:$BJ$99,MATCH(BV103,$BE$4:$BE$99,0),6)),INDEX(Calculation_Tab,MATCH(BV103,Identifier,0),10)),1)*(1+Calculation!$Q$6),"-")</f>
        <v>-</v>
      </c>
      <c r="BZ103" s="378" t="str">
        <f ca="1">IFERROR((0.5/50)*CE103/Calculation!$AG$6*(IF(LEFT(BV103,4)="Pool",IF(LEN(INDEX($BE$4:$BJ$99,MATCH(BV103,$BE$4:$BE$99,0),3))=10,2,IF(LEN(INDEX($BE$4:$BJ$99,MATCH(BV103,$BE$4:$BE$99,0),3))&gt;10,LEN(INDEX($BE$4:$BJ$99,MATCH(BV103,$BE$4:$BE$99,0),3))-8,1)),IF(INDEX(Calculation_Tab,MATCH(BV103,Identifier,0),10)&gt;1,INDEX(Calculation_Tab,MATCH(BV103,Identifier,0),10),1)))*(1+Calculation!$Q$6),"-")</f>
        <v>-</v>
      </c>
      <c r="CA103" s="510" t="str">
        <f ca="1">IFERROR(IF((BZ103*Calculation!$AG$6/0.05)-SUM(BY103:BZ103,CC103)&gt;0,(BZ103*Calculation!$AG$6/0.05)-SUM(BY103:BZ103,CC103),0),"-")</f>
        <v>-</v>
      </c>
      <c r="CB103" s="510" t="str">
        <f ca="1">IFERROR(5/50*CE103*(IF(LEFT(BV103,4)="Pool",IF(LEN(INDEX($BE$4:$BJ$99,MATCH(BV103,$BE$4:$BE$99,0),3))=10,2,IF(LEN(INDEX($BE$4:$BJ$99,MATCH(BV103,$BE$4:$BE$99,0),3))&gt;10,LEN(INDEX($BE$4:$BJ$99,MATCH(BV103,$BE$4:$BE$99,0),3))-8,1)),IF(INDEX(Calculation_Tab,MATCH(BV103,Identifier,0),10)&gt;1,INDEX(Calculation_Tab,MATCH(BV103,Identifier,0),10),1)))*(1+Calculation!$Q$6),"-")</f>
        <v>-</v>
      </c>
      <c r="CC103" s="508" t="str">
        <f ca="1">IFERROR(ROUND(INDEX(Cluster,MATCH(IF(LEFT(BV103,4)="Pool",INDEX(Cluster,MATCH(INDEX(Calculation_Tab,MATCH(INDEX($BE$4:$BJ$99,MATCH(BV103,$BE$4:$BE$99,0),3),Flow_Cell_Lane,0),3),Cluster!$F$29:$F$412,0),6),BV103),Identifier_Cluster,0),20)*IF(LEFT(BV103,4)="pool",IF(LEN(INDEX($BE$4:$BJ$99,MATCH(BV103,$BE$4:$BE$99,0),3))=10,2,IF(LEN(INDEX($BE$4:$BJ$99,MATCH(BV103,$BE$4:$BE$99,0),3))&gt;10,LEN(INDEX($BE$4:$BJ$99,MATCH(BV103,$BE$4:$BE$99,0),3))-8,1)),1)*IF(LEFT(BV103,4)="pool",IF(INDEX($BE$4:$BJ$99,MATCH(BV103,$BE$4:$BE$99,0),6)&lt;1,1,INDEX($BE$4:$BJ$99,MATCH(BV103,$BE$4:$BE$99,0),6)),INDEX(Calculation_Tab,MATCH(BV103,Identifier,0),10)),1)*(1+Calculation!$Q$6),"-")</f>
        <v>-</v>
      </c>
      <c r="CD103" s="509" t="str">
        <f ca="1">IFERROR(INDEX(Cluster!AC:AD,MATCH(IF(LEFT(BV103,4)="Pool",INDEX(Cluster!$D$29:$AA$412,MATCH(INDEX(Calculation_Tab,MATCH(INDEX($BE$4:$BJ$99,MATCH(BV103,$BE$4:$BE$99,0),3),Flow_Cell_Lane,0),3),Cluster!$F$29:$F$412,0),24),INDEX(Cluster!$D$29:$AA$412,MATCH(BV103,Cluster!$F$29:$F$412,0),24)),Cluster!AC:AC,0),2),"-")</f>
        <v>-</v>
      </c>
      <c r="CE103" s="378" t="str">
        <f ca="1">IFERROR(IF(BV103&lt;&gt;"-",Calculation!$AK$6,"-"),"-")</f>
        <v>-</v>
      </c>
      <c r="CF103" s="378" t="str">
        <f ca="1">IF(OR(LEFT(ListAndConversion!BW103,3)="Dil",LEFT(ListAndConversion!BW103,3)="Poo"),ListAndConversion!$BT$4,IF(LEFT(ListAndConversion!BW103,3)="Sou",INDEX(ListAndConversion!$AT$3:$AV$387,MATCH(ListAndConversion!BV103,ListAndConversion!$AV$3:$AV$387,0),1),"-"))</f>
        <v>-</v>
      </c>
      <c r="CG103" s="498" t="str">
        <f ca="1">IF(OR(LEFT(ListAndConversion!BW103,3)="Dil",LEFT(ListAndConversion!BW103,3)="Poo"),ListAndConversion!BU103,IF(LEFT(ListAndConversion!BW103,3)="Sou",INDEX(ListAndConversion!$AT$4:$AV$387,MATCH(ListAndConversion!BV103,ListAndConversion!$AV$4:$AV$387,0),2),"-"))</f>
        <v>-</v>
      </c>
      <c r="CH103" s="378"/>
      <c r="CI103" s="487" t="str">
        <f t="shared" ca="1" si="62"/>
        <v>-</v>
      </c>
      <c r="CJ103" s="378" t="str">
        <f t="shared" ca="1" si="72"/>
        <v>-</v>
      </c>
      <c r="CK103" s="378" t="str">
        <f t="shared" ca="1" si="72"/>
        <v>-</v>
      </c>
      <c r="CL103" s="378" t="str">
        <f t="shared" ca="1" si="72"/>
        <v>-</v>
      </c>
      <c r="CM103" s="378" t="str">
        <f t="shared" ca="1" si="72"/>
        <v>-</v>
      </c>
      <c r="CN103" s="378" t="str">
        <f t="shared" ca="1" si="72"/>
        <v>-</v>
      </c>
      <c r="CO103" s="378" t="str">
        <f t="shared" ca="1" si="72"/>
        <v>-</v>
      </c>
      <c r="CP103" s="378" t="str">
        <f t="shared" ca="1" si="72"/>
        <v>-</v>
      </c>
      <c r="CQ103" s="378" t="str">
        <f t="shared" ca="1" si="72"/>
        <v>-</v>
      </c>
      <c r="CR103" s="510" t="str">
        <f ca="1">IFERROR(IF(LEFT(BW103,3)="Poo",INDEX($BE$4:$BJ$99,MATCH(CI103,$BG$4:$BG$99,0),6)*((15/50))*Calculation!$AK$6,INDEX(Calculation_Tab,MATCH(BV103,Identifier,0),10)/(IF(LEN(INDEX(Calculation_Tab,MATCH(BV103,Identifier,0),9))&gt;8,LEN(INDEX(Calculation_Tab,MATCH(BV103,Identifier,0),9))-8,1))*((15/50)*Calculation!$AK$6)),"-")</f>
        <v>-</v>
      </c>
      <c r="CS103" s="498" t="str">
        <f ca="1">IF(CI103="-","-",IF(COUNTIF($CI$3:CI103,CI103)&gt;1,0,IFERROR((35/50)*Calculation!$AK$6,"-")))</f>
        <v>-</v>
      </c>
    </row>
    <row r="104" spans="4:97" x14ac:dyDescent="0.5">
      <c r="D104" s="487" t="e">
        <f t="shared" si="44"/>
        <v>#DIV/0!</v>
      </c>
      <c r="E104" s="496" t="e">
        <f t="array" ref="E104">IF(IF((ROW(E104)-3)&lt;(ListAndConversion!$A$15),INDEX(Flow_Cell_Lane,MIN(IF(COUNTIF($E$2:E103,Flow_Cell_Lane)=0,ROW(Flow_Cell_Lane)-9))),"-")="","-",IF((ROW(E104)-3)&lt;(ListAndConversion!$A$15),INDEX(Flow_Cell_Lane,MIN(IF(COUNTIF($E$2:E103,Flow_Cell_Lane)=0,ROW(Flow_Cell_Lane)-9))),"-"))</f>
        <v>#DIV/0!</v>
      </c>
      <c r="F104" s="378" t="e">
        <f t="shared" si="45"/>
        <v>#DIV/0!</v>
      </c>
      <c r="G104" s="378" t="e">
        <f t="shared" si="73"/>
        <v>#DIV/0!</v>
      </c>
      <c r="H104" s="378" t="e">
        <f t="shared" si="73"/>
        <v>#DIV/0!</v>
      </c>
      <c r="I104" s="378" t="e">
        <f t="shared" si="73"/>
        <v>#DIV/0!</v>
      </c>
      <c r="J104" s="378" t="e">
        <f t="shared" si="73"/>
        <v>#DIV/0!</v>
      </c>
      <c r="K104" s="378" t="e">
        <f t="shared" si="73"/>
        <v>#DIV/0!</v>
      </c>
      <c r="L104" s="378" t="e">
        <f t="shared" si="73"/>
        <v>#DIV/0!</v>
      </c>
      <c r="M104" s="378" t="e">
        <f t="shared" si="73"/>
        <v>#DIV/0!</v>
      </c>
      <c r="N104" s="497" t="e">
        <f t="shared" si="46"/>
        <v>#DIV/0!</v>
      </c>
      <c r="O104" s="497" t="str">
        <f t="array" ref="O104">IFERROR(INDEX(Calculation!I:AN,MATCH(ListAndConversion!E104,Calculation!I:I,0),31),"-")</f>
        <v>-</v>
      </c>
      <c r="P104" s="498">
        <f>IF(COUNTIFS(Calculation!$I$10:$I$393,E104,Direct_Denaturation,"-")&lt;&gt;1,COUNTIFS(Calculation!$I$10:$I$393,E104,Direct_Denaturation,"-"),0)</f>
        <v>0</v>
      </c>
      <c r="V104" s="542" t="s">
        <v>82</v>
      </c>
      <c r="W104" s="542" t="s">
        <v>82</v>
      </c>
      <c r="X104" s="542" t="s">
        <v>82</v>
      </c>
      <c r="Y104" s="542" t="s">
        <v>82</v>
      </c>
      <c r="Z104" s="542" t="s">
        <v>82</v>
      </c>
      <c r="AA104" s="542" t="s">
        <v>82</v>
      </c>
      <c r="AB104" s="542" t="s">
        <v>82</v>
      </c>
      <c r="AC104" s="542" t="s">
        <v>82</v>
      </c>
      <c r="AD104" s="542" t="s">
        <v>82</v>
      </c>
      <c r="AE104" s="542" t="s">
        <v>82</v>
      </c>
      <c r="AF104" s="542" t="s">
        <v>82</v>
      </c>
      <c r="AG104" s="542" t="s">
        <v>82</v>
      </c>
      <c r="AH104" s="9"/>
      <c r="AI104" s="487">
        <v>101</v>
      </c>
      <c r="AJ104" s="497" t="s">
        <v>161</v>
      </c>
      <c r="AK104" s="378">
        <v>5</v>
      </c>
      <c r="AL104" s="378" t="str">
        <f t="shared" ca="1" si="49"/>
        <v>-</v>
      </c>
      <c r="AM104" s="378" t="str">
        <f t="array" aca="1" ref="AM104" ca="1">IFERROR(IF(AI104&lt;=$AB$2,"-",INDEX(Calculation_Tab,SMALL(ROW(Main_Dil)*(Main_Dil&lt;&gt;"-"),COUNTIF(Main_Dil,"-")+ROW()-3-$AB$2)-9,5)),"-")</f>
        <v>-</v>
      </c>
      <c r="AN104" s="378" t="str">
        <f t="array" aca="1" ref="AN104" ca="1">IFERROR(IF(AI104&lt;=$AB$2,"-",INDEX($A$3:$B$12,MATCH(INDEX(Calculation_Tab,SMALL(ROW(Main_Dil)*(Main_Dil&lt;&gt;"-"),COUNTIF(Main_Dil,"-")+ROW()-3-$AB$2)-9,5),$A$3:$A$12,0),2)),"-")</f>
        <v>-</v>
      </c>
      <c r="AO104" s="378" t="str">
        <f t="array" aca="1" ref="AO104" ca="1">IFERROR(IF(AI104&lt;=$AB$2,"-",INDEX(Coordinate,MATCH(INDEX(Calculation_Tab,SMALL(ROW(Main_Dil)*(Main_Dil&lt;&gt;"-"),COUNTIF(Main_Dil,"-")+ROW()-3-$AB$2)-9,6),$X$4:$X$99,0),2)),"-")</f>
        <v>-</v>
      </c>
      <c r="AP104" s="510" t="str">
        <f t="array" aca="1" ref="AP104" ca="1">IFERROR(IF(AI104&lt;=$AB$2,"-",INDEX(Calculation_Tab,SMALL(ROW(Main_Dil)*(Main_Dil&lt;&gt;"-"),COUNTIF(Main_Dil,"-")+ROW()-3-$AB$2)-9,21)),"-")</f>
        <v>-</v>
      </c>
      <c r="AQ104" s="511" t="str">
        <f t="array" aca="1" ref="AQ104" ca="1">IFERROR(IF(AI104&lt;=$AB$2,"-",INDEX(Calculation_Tab,SMALL(ROW(Main_Dil)*(Main_Dil&lt;&gt;"-"),COUNTIF(Main_Dil,"-")+ROW()-3-$AB$2)-9,22)),"-")</f>
        <v>-</v>
      </c>
      <c r="AR104" s="487" t="str">
        <f t="shared" ca="1" si="50"/>
        <v>-</v>
      </c>
      <c r="AS104" s="378">
        <v>101</v>
      </c>
      <c r="AT104" s="497" t="s">
        <v>161</v>
      </c>
      <c r="AU104" s="498">
        <v>5</v>
      </c>
      <c r="AV104" s="378" t="str">
        <f t="shared" ca="1" si="51"/>
        <v>-</v>
      </c>
      <c r="AW104" s="378" t="str">
        <f t="array" aca="1" ref="AW104" ca="1">IFERROR(IF(AS104&lt;=$AB$2+$AN$2,"-",INDEX(Calculation_Tab,SMALL(ROW(Direct_Denaturation)*(Direct_Denaturation&lt;&gt;"-"),COUNTIF(Direct_Denaturation,"-")+ROW()-3-$AB$2-$AN$2)-9,5)),"-")</f>
        <v>-</v>
      </c>
      <c r="AX104" s="378" t="str">
        <f t="array" aca="1" ref="AX104" ca="1">IFERROR(IF(AS104&lt;=$AB$2+$AN$2,"-",INDEX($A$3:$B$12,MATCH(INDEX(Calculation_Tab,SMALL(ROW(Direct_Denaturation)*(Direct_Denaturation&lt;&gt;"-"),COUNTIF(Direct_Denaturation,"-")+ROW()-3-$AB$2-$AN$2)-9,5),$A$3:$A$12,0),2)),"-")</f>
        <v>-</v>
      </c>
      <c r="AY104" s="378" t="str">
        <f t="array" aca="1" ref="AY104" ca="1">IFERROR(IF(AS104&lt;=$AB$2+$AN$2,"-",INDEX(Coordinate,MATCH(INDEX(Calculation_Tab,SMALL(ROW(Direct_Denaturation)*(Direct_Denaturation&lt;&gt;"-"),COUNTIF(Direct_Denaturation,"-")+ROW()-3-$AB$2-$AN$2)-9,6),$X$4:$X$99,0),2)),"-")</f>
        <v>-</v>
      </c>
      <c r="AZ104" s="510" t="str">
        <f t="array" aca="1" ref="AZ104" ca="1">IFERROR(IF(AS104&lt;=$AB$2+$AN$2,"-",INDEX(Calculation_Tab,SMALL(ROW(Direct_Denaturation)*(Direct_Denaturation&lt;&gt;"-"),COUNTIF(Direct_Denaturation,"-")+ROW()-3-$AB$2-$AN$2)-9,32)),"-")</f>
        <v>-</v>
      </c>
      <c r="BA104" s="510" t="str">
        <f t="array" aca="1" ref="BA104" ca="1">IFERROR(IF(AS104&lt;=$AB$2+$AN$2,"-",INDEX(Calculation_Tab,SMALL(ROW(Direct_Denaturation)*(Direct_Denaturation&lt;&gt;"-"),COUNTIF(Direct_Denaturation,"-")+ROW()-3-$AB$2-$AN$2)-9,34)),"-")</f>
        <v>-</v>
      </c>
      <c r="BB104" s="510" t="str">
        <f t="array" aca="1" ref="BB104" ca="1">IFERROR(IF(AS104&lt;=$AB$2+$AN$2,"-",INDEX(Calculation_Tab,SMALL(ROW(Direct_Denaturation)*(Direct_Denaturation&lt;&gt;"-"),COUNTIF(Direct_Denaturation,"-")+ROW()-3-$AB$2-$AN$2)-9,33)),"-")</f>
        <v>-</v>
      </c>
      <c r="BC104" s="510" t="str">
        <f t="array" aca="1" ref="BC104" ca="1">IFERROR(IF(AS104&lt;=$AB$2+$AN$2,"-",INDEX(Calculation_Tab,SMALL(ROW(Direct_Denaturation)*(Direct_Denaturation&lt;&gt;"-"),COUNTIF(Direct_Denaturation,"-")+ROW()-3-$AB$2-$AN$2)-9,35)),"-")</f>
        <v>-</v>
      </c>
      <c r="BD104" s="511" t="str">
        <f t="shared" ca="1" si="52"/>
        <v>-</v>
      </c>
      <c r="BK104" s="542" t="s">
        <v>82</v>
      </c>
      <c r="BL104" s="542" t="s">
        <v>82</v>
      </c>
      <c r="BM104" s="487" t="str">
        <f t="array" aca="1" ref="BM104" ca="1">IFERROR(INDEX(Calculation_Tab,SMALL(ROW(ToPool)*(ToPool&lt;&gt;"-"),COUNTIF(ToPool,"-")+ROW()-3)-9,3),"-")</f>
        <v>-</v>
      </c>
      <c r="BN104" s="378" t="str">
        <f t="shared" ca="1" si="55"/>
        <v>-</v>
      </c>
      <c r="BO104" s="378" t="str">
        <f t="shared" ca="1" si="56"/>
        <v>-</v>
      </c>
      <c r="BP104" s="523" t="str">
        <f t="shared" ca="1" si="57"/>
        <v>-</v>
      </c>
      <c r="BQ104" s="378" t="str">
        <f t="array" aca="1" ref="BQ104" ca="1">IFERROR(INDEX(BE:BG,MATCH(INDEX(Calculation_Tab,SMALL(ROW(ToPool)*(ToPool&lt;&gt;"-"),COUNTIF(ToPool,"-")+ROW()-3)-9,9),BG:BG,0),2),"-")</f>
        <v>-</v>
      </c>
      <c r="BR104" s="510" t="str">
        <f t="shared" ca="1" si="58"/>
        <v>-</v>
      </c>
      <c r="BS104" s="511" t="str">
        <f t="shared" ca="1" si="59"/>
        <v>-</v>
      </c>
      <c r="BT104" s="543" t="s">
        <v>82</v>
      </c>
      <c r="BU104" s="487" t="str">
        <f t="shared" ca="1" si="63"/>
        <v>-</v>
      </c>
      <c r="BV104" s="487" t="str">
        <f t="array" aca="1" ref="BV10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04" s="378" t="str">
        <f t="shared" ca="1" si="60"/>
        <v>-</v>
      </c>
      <c r="BX104" s="378" t="str">
        <f t="shared" ca="1" si="61"/>
        <v>-</v>
      </c>
      <c r="BY104" s="510" t="str">
        <f ca="1">IFERROR(ROUND(INDEX(Cluster,MATCH(IF(LEFT(BV104,4)="Pool",INDEX(Cluster,MATCH(INDEX(Calculation_Tab,MATCH(INDEX($BE$4:$BJ$99,MATCH(BV104,$BE$4:$BE$99,0),3),Flow_Cell_Lane,0),3),Cluster!$F$29:$F$412,0),6),BV104),Identifier_Cluster,0),19)*IF(LEFT(BV104,4)="pool",IF(LEN(INDEX($BE$4:$BJ$99,MATCH(BV104,$BE$4:$BE$99,0),3))=10,2,IF(LEN(INDEX($BE$4:$BJ$99,MATCH(BV104,$BE$4:$BE$99,0),3))&gt;10,LEN(INDEX($BE$4:$BJ$99,MATCH(BV104,$BE$4:$BE$99,0),3))-8,1)),1)*IF(LEFT(BV104,4)="pool",IF(INDEX($BE$4:$BJ$99,MATCH(BV104,$BE$4:$BE$99,0),6)&lt;1,1,INDEX($BE$4:$BJ$99,MATCH(BV104,$BE$4:$BE$99,0),6)),INDEX(Calculation_Tab,MATCH(BV104,Identifier,0),10)),1)*(1+Calculation!$Q$6),"-")</f>
        <v>-</v>
      </c>
      <c r="BZ104" s="378" t="str">
        <f ca="1">IFERROR((0.5/50)*CE104/Calculation!$AG$6*(IF(LEFT(BV104,4)="Pool",IF(LEN(INDEX($BE$4:$BJ$99,MATCH(BV104,$BE$4:$BE$99,0),3))=10,2,IF(LEN(INDEX($BE$4:$BJ$99,MATCH(BV104,$BE$4:$BE$99,0),3))&gt;10,LEN(INDEX($BE$4:$BJ$99,MATCH(BV104,$BE$4:$BE$99,0),3))-8,1)),IF(INDEX(Calculation_Tab,MATCH(BV104,Identifier,0),10)&gt;1,INDEX(Calculation_Tab,MATCH(BV104,Identifier,0),10),1)))*(1+Calculation!$Q$6),"-")</f>
        <v>-</v>
      </c>
      <c r="CA104" s="510" t="str">
        <f ca="1">IFERROR(IF((BZ104*Calculation!$AG$6/0.05)-SUM(BY104:BZ104,CC104)&gt;0,(BZ104*Calculation!$AG$6/0.05)-SUM(BY104:BZ104,CC104),0),"-")</f>
        <v>-</v>
      </c>
      <c r="CB104" s="510" t="str">
        <f ca="1">IFERROR(5/50*CE104*(IF(LEFT(BV104,4)="Pool",IF(LEN(INDEX($BE$4:$BJ$99,MATCH(BV104,$BE$4:$BE$99,0),3))=10,2,IF(LEN(INDEX($BE$4:$BJ$99,MATCH(BV104,$BE$4:$BE$99,0),3))&gt;10,LEN(INDEX($BE$4:$BJ$99,MATCH(BV104,$BE$4:$BE$99,0),3))-8,1)),IF(INDEX(Calculation_Tab,MATCH(BV104,Identifier,0),10)&gt;1,INDEX(Calculation_Tab,MATCH(BV104,Identifier,0),10),1)))*(1+Calculation!$Q$6),"-")</f>
        <v>-</v>
      </c>
      <c r="CC104" s="508" t="str">
        <f ca="1">IFERROR(ROUND(INDEX(Cluster,MATCH(IF(LEFT(BV104,4)="Pool",INDEX(Cluster,MATCH(INDEX(Calculation_Tab,MATCH(INDEX($BE$4:$BJ$99,MATCH(BV104,$BE$4:$BE$99,0),3),Flow_Cell_Lane,0),3),Cluster!$F$29:$F$412,0),6),BV104),Identifier_Cluster,0),20)*IF(LEFT(BV104,4)="pool",IF(LEN(INDEX($BE$4:$BJ$99,MATCH(BV104,$BE$4:$BE$99,0),3))=10,2,IF(LEN(INDEX($BE$4:$BJ$99,MATCH(BV104,$BE$4:$BE$99,0),3))&gt;10,LEN(INDEX($BE$4:$BJ$99,MATCH(BV104,$BE$4:$BE$99,0),3))-8,1)),1)*IF(LEFT(BV104,4)="pool",IF(INDEX($BE$4:$BJ$99,MATCH(BV104,$BE$4:$BE$99,0),6)&lt;1,1,INDEX($BE$4:$BJ$99,MATCH(BV104,$BE$4:$BE$99,0),6)),INDEX(Calculation_Tab,MATCH(BV104,Identifier,0),10)),1)*(1+Calculation!$Q$6),"-")</f>
        <v>-</v>
      </c>
      <c r="CD104" s="509" t="str">
        <f ca="1">IFERROR(INDEX(Cluster!AC:AD,MATCH(IF(LEFT(BV104,4)="Pool",INDEX(Cluster!$D$29:$AA$412,MATCH(INDEX(Calculation_Tab,MATCH(INDEX($BE$4:$BJ$99,MATCH(BV104,$BE$4:$BE$99,0),3),Flow_Cell_Lane,0),3),Cluster!$F$29:$F$412,0),24),INDEX(Cluster!$D$29:$AA$412,MATCH(BV104,Cluster!$F$29:$F$412,0),24)),Cluster!AC:AC,0),2),"-")</f>
        <v>-</v>
      </c>
      <c r="CE104" s="378" t="str">
        <f ca="1">IFERROR(IF(BV104&lt;&gt;"-",Calculation!$AK$6,"-"),"-")</f>
        <v>-</v>
      </c>
      <c r="CF104" s="378" t="str">
        <f ca="1">IF(OR(LEFT(ListAndConversion!BW104,3)="Dil",LEFT(ListAndConversion!BW104,3)="Poo"),ListAndConversion!$BT$4,IF(LEFT(ListAndConversion!BW104,3)="Sou",INDEX(ListAndConversion!$AT$3:$AV$387,MATCH(ListAndConversion!BV104,ListAndConversion!$AV$3:$AV$387,0),1),"-"))</f>
        <v>-</v>
      </c>
      <c r="CG104" s="498" t="str">
        <f ca="1">IF(OR(LEFT(ListAndConversion!BW104,3)="Dil",LEFT(ListAndConversion!BW104,3)="Poo"),ListAndConversion!BU104,IF(LEFT(ListAndConversion!BW104,3)="Sou",INDEX(ListAndConversion!$AT$4:$AV$387,MATCH(ListAndConversion!BV104,ListAndConversion!$AV$4:$AV$387,0),2),"-"))</f>
        <v>-</v>
      </c>
      <c r="CH104" s="378"/>
      <c r="CI104" s="487" t="str">
        <f t="shared" ca="1" si="62"/>
        <v>-</v>
      </c>
      <c r="CJ104" s="378" t="str">
        <f t="shared" ref="CJ104:CQ113" ca="1" si="74">IFERROR(INDEX($R$3:$U$98,MATCH(INDEX($F$3:$M$387,MATCH($CI104,$E$3:$E$386,0),CJ$3),$S$3:$S$98,0),4),"-")</f>
        <v>-</v>
      </c>
      <c r="CK104" s="378" t="str">
        <f t="shared" ca="1" si="74"/>
        <v>-</v>
      </c>
      <c r="CL104" s="378" t="str">
        <f t="shared" ca="1" si="74"/>
        <v>-</v>
      </c>
      <c r="CM104" s="378" t="str">
        <f t="shared" ca="1" si="74"/>
        <v>-</v>
      </c>
      <c r="CN104" s="378" t="str">
        <f t="shared" ca="1" si="74"/>
        <v>-</v>
      </c>
      <c r="CO104" s="378" t="str">
        <f t="shared" ca="1" si="74"/>
        <v>-</v>
      </c>
      <c r="CP104" s="378" t="str">
        <f t="shared" ca="1" si="74"/>
        <v>-</v>
      </c>
      <c r="CQ104" s="378" t="str">
        <f t="shared" ca="1" si="74"/>
        <v>-</v>
      </c>
      <c r="CR104" s="510" t="str">
        <f ca="1">IFERROR(IF(LEFT(BW104,3)="Poo",INDEX($BE$4:$BJ$99,MATCH(CI104,$BG$4:$BG$99,0),6)*((15/50))*Calculation!$AK$6,INDEX(Calculation_Tab,MATCH(BV104,Identifier,0),10)/(IF(LEN(INDEX(Calculation_Tab,MATCH(BV104,Identifier,0),9))&gt;8,LEN(INDEX(Calculation_Tab,MATCH(BV104,Identifier,0),9))-8,1))*((15/50)*Calculation!$AK$6)),"-")</f>
        <v>-</v>
      </c>
      <c r="CS104" s="498" t="str">
        <f ca="1">IF(CI104="-","-",IF(COUNTIF($CI$3:CI104,CI104)&gt;1,0,IFERROR((35/50)*Calculation!$AK$6,"-")))</f>
        <v>-</v>
      </c>
    </row>
    <row r="105" spans="4:97" x14ac:dyDescent="0.5">
      <c r="D105" s="487" t="e">
        <f t="shared" si="44"/>
        <v>#DIV/0!</v>
      </c>
      <c r="E105" s="496" t="e">
        <f t="array" ref="E105">IF(IF((ROW(E105)-3)&lt;(ListAndConversion!$A$15),INDEX(Flow_Cell_Lane,MIN(IF(COUNTIF($E$2:E104,Flow_Cell_Lane)=0,ROW(Flow_Cell_Lane)-9))),"-")="","-",IF((ROW(E105)-3)&lt;(ListAndConversion!$A$15),INDEX(Flow_Cell_Lane,MIN(IF(COUNTIF($E$2:E104,Flow_Cell_Lane)=0,ROW(Flow_Cell_Lane)-9))),"-"))</f>
        <v>#DIV/0!</v>
      </c>
      <c r="F105" s="378" t="e">
        <f t="shared" si="45"/>
        <v>#DIV/0!</v>
      </c>
      <c r="G105" s="378" t="e">
        <f t="shared" si="73"/>
        <v>#DIV/0!</v>
      </c>
      <c r="H105" s="378" t="e">
        <f t="shared" si="73"/>
        <v>#DIV/0!</v>
      </c>
      <c r="I105" s="378" t="e">
        <f t="shared" si="73"/>
        <v>#DIV/0!</v>
      </c>
      <c r="J105" s="378" t="e">
        <f t="shared" si="73"/>
        <v>#DIV/0!</v>
      </c>
      <c r="K105" s="378" t="e">
        <f t="shared" si="73"/>
        <v>#DIV/0!</v>
      </c>
      <c r="L105" s="378" t="e">
        <f t="shared" si="73"/>
        <v>#DIV/0!</v>
      </c>
      <c r="M105" s="378" t="e">
        <f t="shared" si="73"/>
        <v>#DIV/0!</v>
      </c>
      <c r="N105" s="497" t="e">
        <f t="shared" si="46"/>
        <v>#DIV/0!</v>
      </c>
      <c r="O105" s="497" t="str">
        <f t="array" ref="O105">IFERROR(INDEX(Calculation!I:AN,MATCH(ListAndConversion!E105,Calculation!I:I,0),31),"-")</f>
        <v>-</v>
      </c>
      <c r="P105" s="498">
        <f>IF(COUNTIFS(Calculation!$I$10:$I$393,E105,Direct_Denaturation,"-")&lt;&gt;1,COUNTIFS(Calculation!$I$10:$I$393,E105,Direct_Denaturation,"-"),0)</f>
        <v>0</v>
      </c>
      <c r="V105" s="542" t="s">
        <v>82</v>
      </c>
      <c r="W105" s="542" t="s">
        <v>82</v>
      </c>
      <c r="X105" s="542" t="s">
        <v>82</v>
      </c>
      <c r="Y105" s="542" t="s">
        <v>82</v>
      </c>
      <c r="Z105" s="542" t="s">
        <v>82</v>
      </c>
      <c r="AA105" s="542" t="s">
        <v>82</v>
      </c>
      <c r="AB105" s="542" t="s">
        <v>82</v>
      </c>
      <c r="AC105" s="542" t="s">
        <v>82</v>
      </c>
      <c r="AD105" s="542" t="s">
        <v>82</v>
      </c>
      <c r="AE105" s="542" t="s">
        <v>82</v>
      </c>
      <c r="AF105" s="542" t="s">
        <v>82</v>
      </c>
      <c r="AG105" s="542" t="s">
        <v>82</v>
      </c>
      <c r="AH105" s="9"/>
      <c r="AI105" s="487">
        <v>102</v>
      </c>
      <c r="AJ105" s="497" t="s">
        <v>161</v>
      </c>
      <c r="AK105" s="378">
        <v>6</v>
      </c>
      <c r="AL105" s="378" t="str">
        <f t="shared" ca="1" si="49"/>
        <v>-</v>
      </c>
      <c r="AM105" s="378" t="str">
        <f t="array" aca="1" ref="AM105" ca="1">IFERROR(IF(AI105&lt;=$AB$2,"-",INDEX(Calculation_Tab,SMALL(ROW(Main_Dil)*(Main_Dil&lt;&gt;"-"),COUNTIF(Main_Dil,"-")+ROW()-3-$AB$2)-9,5)),"-")</f>
        <v>-</v>
      </c>
      <c r="AN105" s="378" t="str">
        <f t="array" aca="1" ref="AN105" ca="1">IFERROR(IF(AI105&lt;=$AB$2,"-",INDEX($A$3:$B$12,MATCH(INDEX(Calculation_Tab,SMALL(ROW(Main_Dil)*(Main_Dil&lt;&gt;"-"),COUNTIF(Main_Dil,"-")+ROW()-3-$AB$2)-9,5),$A$3:$A$12,0),2)),"-")</f>
        <v>-</v>
      </c>
      <c r="AO105" s="378" t="str">
        <f t="array" aca="1" ref="AO105" ca="1">IFERROR(IF(AI105&lt;=$AB$2,"-",INDEX(Coordinate,MATCH(INDEX(Calculation_Tab,SMALL(ROW(Main_Dil)*(Main_Dil&lt;&gt;"-"),COUNTIF(Main_Dil,"-")+ROW()-3-$AB$2)-9,6),$X$4:$X$99,0),2)),"-")</f>
        <v>-</v>
      </c>
      <c r="AP105" s="510" t="str">
        <f t="array" aca="1" ref="AP105" ca="1">IFERROR(IF(AI105&lt;=$AB$2,"-",INDEX(Calculation_Tab,SMALL(ROW(Main_Dil)*(Main_Dil&lt;&gt;"-"),COUNTIF(Main_Dil,"-")+ROW()-3-$AB$2)-9,21)),"-")</f>
        <v>-</v>
      </c>
      <c r="AQ105" s="511" t="str">
        <f t="array" aca="1" ref="AQ105" ca="1">IFERROR(IF(AI105&lt;=$AB$2,"-",INDEX(Calculation_Tab,SMALL(ROW(Main_Dil)*(Main_Dil&lt;&gt;"-"),COUNTIF(Main_Dil,"-")+ROW()-3-$AB$2)-9,22)),"-")</f>
        <v>-</v>
      </c>
      <c r="AR105" s="487" t="str">
        <f t="shared" ca="1" si="50"/>
        <v>-</v>
      </c>
      <c r="AS105" s="378">
        <v>102</v>
      </c>
      <c r="AT105" s="497" t="s">
        <v>161</v>
      </c>
      <c r="AU105" s="498">
        <v>6</v>
      </c>
      <c r="AV105" s="378" t="str">
        <f t="shared" ca="1" si="51"/>
        <v>-</v>
      </c>
      <c r="AW105" s="378" t="str">
        <f t="array" aca="1" ref="AW105" ca="1">IFERROR(IF(AS105&lt;=$AB$2+$AN$2,"-",INDEX(Calculation_Tab,SMALL(ROW(Direct_Denaturation)*(Direct_Denaturation&lt;&gt;"-"),COUNTIF(Direct_Denaturation,"-")+ROW()-3-$AB$2-$AN$2)-9,5)),"-")</f>
        <v>-</v>
      </c>
      <c r="AX105" s="378" t="str">
        <f t="array" aca="1" ref="AX105" ca="1">IFERROR(IF(AS105&lt;=$AB$2+$AN$2,"-",INDEX($A$3:$B$12,MATCH(INDEX(Calculation_Tab,SMALL(ROW(Direct_Denaturation)*(Direct_Denaturation&lt;&gt;"-"),COUNTIF(Direct_Denaturation,"-")+ROW()-3-$AB$2-$AN$2)-9,5),$A$3:$A$12,0),2)),"-")</f>
        <v>-</v>
      </c>
      <c r="AY105" s="378" t="str">
        <f t="array" aca="1" ref="AY105" ca="1">IFERROR(IF(AS105&lt;=$AB$2+$AN$2,"-",INDEX(Coordinate,MATCH(INDEX(Calculation_Tab,SMALL(ROW(Direct_Denaturation)*(Direct_Denaturation&lt;&gt;"-"),COUNTIF(Direct_Denaturation,"-")+ROW()-3-$AB$2-$AN$2)-9,6),$X$4:$X$99,0),2)),"-")</f>
        <v>-</v>
      </c>
      <c r="AZ105" s="510" t="str">
        <f t="array" aca="1" ref="AZ105" ca="1">IFERROR(IF(AS105&lt;=$AB$2+$AN$2,"-",INDEX(Calculation_Tab,SMALL(ROW(Direct_Denaturation)*(Direct_Denaturation&lt;&gt;"-"),COUNTIF(Direct_Denaturation,"-")+ROW()-3-$AB$2-$AN$2)-9,32)),"-")</f>
        <v>-</v>
      </c>
      <c r="BA105" s="510" t="str">
        <f t="array" aca="1" ref="BA105" ca="1">IFERROR(IF(AS105&lt;=$AB$2+$AN$2,"-",INDEX(Calculation_Tab,SMALL(ROW(Direct_Denaturation)*(Direct_Denaturation&lt;&gt;"-"),COUNTIF(Direct_Denaturation,"-")+ROW()-3-$AB$2-$AN$2)-9,34)),"-")</f>
        <v>-</v>
      </c>
      <c r="BB105" s="510" t="str">
        <f t="array" aca="1" ref="BB105" ca="1">IFERROR(IF(AS105&lt;=$AB$2+$AN$2,"-",INDEX(Calculation_Tab,SMALL(ROW(Direct_Denaturation)*(Direct_Denaturation&lt;&gt;"-"),COUNTIF(Direct_Denaturation,"-")+ROW()-3-$AB$2-$AN$2)-9,33)),"-")</f>
        <v>-</v>
      </c>
      <c r="BC105" s="510" t="str">
        <f t="array" aca="1" ref="BC105" ca="1">IFERROR(IF(AS105&lt;=$AB$2+$AN$2,"-",INDEX(Calculation_Tab,SMALL(ROW(Direct_Denaturation)*(Direct_Denaturation&lt;&gt;"-"),COUNTIF(Direct_Denaturation,"-")+ROW()-3-$AB$2-$AN$2)-9,35)),"-")</f>
        <v>-</v>
      </c>
      <c r="BD105" s="511" t="str">
        <f t="shared" ca="1" si="52"/>
        <v>-</v>
      </c>
      <c r="BK105" s="542" t="s">
        <v>82</v>
      </c>
      <c r="BL105" s="542" t="s">
        <v>82</v>
      </c>
      <c r="BM105" s="487" t="str">
        <f t="array" aca="1" ref="BM105" ca="1">IFERROR(INDEX(Calculation_Tab,SMALL(ROW(ToPool)*(ToPool&lt;&gt;"-"),COUNTIF(ToPool,"-")+ROW()-3)-9,3),"-")</f>
        <v>-</v>
      </c>
      <c r="BN105" s="378" t="str">
        <f t="shared" ca="1" si="55"/>
        <v>-</v>
      </c>
      <c r="BO105" s="378" t="str">
        <f t="shared" ca="1" si="56"/>
        <v>-</v>
      </c>
      <c r="BP105" s="523" t="str">
        <f t="shared" ca="1" si="57"/>
        <v>-</v>
      </c>
      <c r="BQ105" s="378" t="str">
        <f t="array" aca="1" ref="BQ105" ca="1">IFERROR(INDEX(BE:BG,MATCH(INDEX(Calculation_Tab,SMALL(ROW(ToPool)*(ToPool&lt;&gt;"-"),COUNTIF(ToPool,"-")+ROW()-3)-9,9),BG:BG,0),2),"-")</f>
        <v>-</v>
      </c>
      <c r="BR105" s="510" t="str">
        <f t="shared" ca="1" si="58"/>
        <v>-</v>
      </c>
      <c r="BS105" s="511" t="str">
        <f t="shared" ca="1" si="59"/>
        <v>-</v>
      </c>
      <c r="BT105" s="543" t="s">
        <v>82</v>
      </c>
      <c r="BU105" s="487" t="str">
        <f t="shared" ca="1" si="63"/>
        <v>-</v>
      </c>
      <c r="BV105" s="487" t="str">
        <f t="array" aca="1" ref="BV10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05" s="378" t="str">
        <f t="shared" ca="1" si="60"/>
        <v>-</v>
      </c>
      <c r="BX105" s="378" t="str">
        <f t="shared" ca="1" si="61"/>
        <v>-</v>
      </c>
      <c r="BY105" s="510" t="str">
        <f ca="1">IFERROR(ROUND(INDEX(Cluster,MATCH(IF(LEFT(BV105,4)="Pool",INDEX(Cluster,MATCH(INDEX(Calculation_Tab,MATCH(INDEX($BE$4:$BJ$99,MATCH(BV105,$BE$4:$BE$99,0),3),Flow_Cell_Lane,0),3),Cluster!$F$29:$F$412,0),6),BV105),Identifier_Cluster,0),19)*IF(LEFT(BV105,4)="pool",IF(LEN(INDEX($BE$4:$BJ$99,MATCH(BV105,$BE$4:$BE$99,0),3))=10,2,IF(LEN(INDEX($BE$4:$BJ$99,MATCH(BV105,$BE$4:$BE$99,0),3))&gt;10,LEN(INDEX($BE$4:$BJ$99,MATCH(BV105,$BE$4:$BE$99,0),3))-8,1)),1)*IF(LEFT(BV105,4)="pool",IF(INDEX($BE$4:$BJ$99,MATCH(BV105,$BE$4:$BE$99,0),6)&lt;1,1,INDEX($BE$4:$BJ$99,MATCH(BV105,$BE$4:$BE$99,0),6)),INDEX(Calculation_Tab,MATCH(BV105,Identifier,0),10)),1)*(1+Calculation!$Q$6),"-")</f>
        <v>-</v>
      </c>
      <c r="BZ105" s="378" t="str">
        <f ca="1">IFERROR((0.5/50)*CE105/Calculation!$AG$6*(IF(LEFT(BV105,4)="Pool",IF(LEN(INDEX($BE$4:$BJ$99,MATCH(BV105,$BE$4:$BE$99,0),3))=10,2,IF(LEN(INDEX($BE$4:$BJ$99,MATCH(BV105,$BE$4:$BE$99,0),3))&gt;10,LEN(INDEX($BE$4:$BJ$99,MATCH(BV105,$BE$4:$BE$99,0),3))-8,1)),IF(INDEX(Calculation_Tab,MATCH(BV105,Identifier,0),10)&gt;1,INDEX(Calculation_Tab,MATCH(BV105,Identifier,0),10),1)))*(1+Calculation!$Q$6),"-")</f>
        <v>-</v>
      </c>
      <c r="CA105" s="510" t="str">
        <f ca="1">IFERROR(IF((BZ105*Calculation!$AG$6/0.05)-SUM(BY105:BZ105,CC105)&gt;0,(BZ105*Calculation!$AG$6/0.05)-SUM(BY105:BZ105,CC105),0),"-")</f>
        <v>-</v>
      </c>
      <c r="CB105" s="510" t="str">
        <f ca="1">IFERROR(5/50*CE105*(IF(LEFT(BV105,4)="Pool",IF(LEN(INDEX($BE$4:$BJ$99,MATCH(BV105,$BE$4:$BE$99,0),3))=10,2,IF(LEN(INDEX($BE$4:$BJ$99,MATCH(BV105,$BE$4:$BE$99,0),3))&gt;10,LEN(INDEX($BE$4:$BJ$99,MATCH(BV105,$BE$4:$BE$99,0),3))-8,1)),IF(INDEX(Calculation_Tab,MATCH(BV105,Identifier,0),10)&gt;1,INDEX(Calculation_Tab,MATCH(BV105,Identifier,0),10),1)))*(1+Calculation!$Q$6),"-")</f>
        <v>-</v>
      </c>
      <c r="CC105" s="508" t="str">
        <f ca="1">IFERROR(ROUND(INDEX(Cluster,MATCH(IF(LEFT(BV105,4)="Pool",INDEX(Cluster,MATCH(INDEX(Calculation_Tab,MATCH(INDEX($BE$4:$BJ$99,MATCH(BV105,$BE$4:$BE$99,0),3),Flow_Cell_Lane,0),3),Cluster!$F$29:$F$412,0),6),BV105),Identifier_Cluster,0),20)*IF(LEFT(BV105,4)="pool",IF(LEN(INDEX($BE$4:$BJ$99,MATCH(BV105,$BE$4:$BE$99,0),3))=10,2,IF(LEN(INDEX($BE$4:$BJ$99,MATCH(BV105,$BE$4:$BE$99,0),3))&gt;10,LEN(INDEX($BE$4:$BJ$99,MATCH(BV105,$BE$4:$BE$99,0),3))-8,1)),1)*IF(LEFT(BV105,4)="pool",IF(INDEX($BE$4:$BJ$99,MATCH(BV105,$BE$4:$BE$99,0),6)&lt;1,1,INDEX($BE$4:$BJ$99,MATCH(BV105,$BE$4:$BE$99,0),6)),INDEX(Calculation_Tab,MATCH(BV105,Identifier,0),10)),1)*(1+Calculation!$Q$6),"-")</f>
        <v>-</v>
      </c>
      <c r="CD105" s="509" t="str">
        <f ca="1">IFERROR(INDEX(Cluster!AC:AD,MATCH(IF(LEFT(BV105,4)="Pool",INDEX(Cluster!$D$29:$AA$412,MATCH(INDEX(Calculation_Tab,MATCH(INDEX($BE$4:$BJ$99,MATCH(BV105,$BE$4:$BE$99,0),3),Flow_Cell_Lane,0),3),Cluster!$F$29:$F$412,0),24),INDEX(Cluster!$D$29:$AA$412,MATCH(BV105,Cluster!$F$29:$F$412,0),24)),Cluster!AC:AC,0),2),"-")</f>
        <v>-</v>
      </c>
      <c r="CE105" s="378" t="str">
        <f ca="1">IFERROR(IF(BV105&lt;&gt;"-",Calculation!$AK$6,"-"),"-")</f>
        <v>-</v>
      </c>
      <c r="CF105" s="378" t="str">
        <f ca="1">IF(OR(LEFT(ListAndConversion!BW105,3)="Dil",LEFT(ListAndConversion!BW105,3)="Poo"),ListAndConversion!$BT$4,IF(LEFT(ListAndConversion!BW105,3)="Sou",INDEX(ListAndConversion!$AT$3:$AV$387,MATCH(ListAndConversion!BV105,ListAndConversion!$AV$3:$AV$387,0),1),"-"))</f>
        <v>-</v>
      </c>
      <c r="CG105" s="498" t="str">
        <f ca="1">IF(OR(LEFT(ListAndConversion!BW105,3)="Dil",LEFT(ListAndConversion!BW105,3)="Poo"),ListAndConversion!BU105,IF(LEFT(ListAndConversion!BW105,3)="Sou",INDEX(ListAndConversion!$AT$4:$AV$387,MATCH(ListAndConversion!BV105,ListAndConversion!$AV$4:$AV$387,0),2),"-"))</f>
        <v>-</v>
      </c>
      <c r="CH105" s="378"/>
      <c r="CI105" s="487" t="str">
        <f t="shared" ca="1" si="62"/>
        <v>-</v>
      </c>
      <c r="CJ105" s="378" t="str">
        <f t="shared" ca="1" si="74"/>
        <v>-</v>
      </c>
      <c r="CK105" s="378" t="str">
        <f t="shared" ca="1" si="74"/>
        <v>-</v>
      </c>
      <c r="CL105" s="378" t="str">
        <f t="shared" ca="1" si="74"/>
        <v>-</v>
      </c>
      <c r="CM105" s="378" t="str">
        <f t="shared" ca="1" si="74"/>
        <v>-</v>
      </c>
      <c r="CN105" s="378" t="str">
        <f t="shared" ca="1" si="74"/>
        <v>-</v>
      </c>
      <c r="CO105" s="378" t="str">
        <f t="shared" ca="1" si="74"/>
        <v>-</v>
      </c>
      <c r="CP105" s="378" t="str">
        <f t="shared" ca="1" si="74"/>
        <v>-</v>
      </c>
      <c r="CQ105" s="378" t="str">
        <f t="shared" ca="1" si="74"/>
        <v>-</v>
      </c>
      <c r="CR105" s="510" t="str">
        <f ca="1">IFERROR(IF(LEFT(BW105,3)="Poo",INDEX($BE$4:$BJ$99,MATCH(CI105,$BG$4:$BG$99,0),6)*((15/50))*Calculation!$AK$6,INDEX(Calculation_Tab,MATCH(BV105,Identifier,0),10)/(IF(LEN(INDEX(Calculation_Tab,MATCH(BV105,Identifier,0),9))&gt;8,LEN(INDEX(Calculation_Tab,MATCH(BV105,Identifier,0),9))-8,1))*((15/50)*Calculation!$AK$6)),"-")</f>
        <v>-</v>
      </c>
      <c r="CS105" s="498" t="str">
        <f ca="1">IF(CI105="-","-",IF(COUNTIF($CI$3:CI105,CI105)&gt;1,0,IFERROR((35/50)*Calculation!$AK$6,"-")))</f>
        <v>-</v>
      </c>
    </row>
    <row r="106" spans="4:97" x14ac:dyDescent="0.5">
      <c r="D106" s="487" t="e">
        <f t="shared" si="44"/>
        <v>#DIV/0!</v>
      </c>
      <c r="E106" s="496" t="e">
        <f t="array" ref="E106">IF(IF((ROW(E106)-3)&lt;(ListAndConversion!$A$15),INDEX(Flow_Cell_Lane,MIN(IF(COUNTIF($E$2:E105,Flow_Cell_Lane)=0,ROW(Flow_Cell_Lane)-9))),"-")="","-",IF((ROW(E106)-3)&lt;(ListAndConversion!$A$15),INDEX(Flow_Cell_Lane,MIN(IF(COUNTIF($E$2:E105,Flow_Cell_Lane)=0,ROW(Flow_Cell_Lane)-9))),"-"))</f>
        <v>#DIV/0!</v>
      </c>
      <c r="F106" s="378" t="e">
        <f t="shared" si="45"/>
        <v>#DIV/0!</v>
      </c>
      <c r="G106" s="378" t="e">
        <f t="shared" si="73"/>
        <v>#DIV/0!</v>
      </c>
      <c r="H106" s="378" t="e">
        <f t="shared" si="73"/>
        <v>#DIV/0!</v>
      </c>
      <c r="I106" s="378" t="e">
        <f t="shared" si="73"/>
        <v>#DIV/0!</v>
      </c>
      <c r="J106" s="378" t="e">
        <f t="shared" si="73"/>
        <v>#DIV/0!</v>
      </c>
      <c r="K106" s="378" t="e">
        <f t="shared" si="73"/>
        <v>#DIV/0!</v>
      </c>
      <c r="L106" s="378" t="e">
        <f t="shared" si="73"/>
        <v>#DIV/0!</v>
      </c>
      <c r="M106" s="378" t="e">
        <f t="shared" si="73"/>
        <v>#DIV/0!</v>
      </c>
      <c r="N106" s="497" t="e">
        <f t="shared" si="46"/>
        <v>#DIV/0!</v>
      </c>
      <c r="O106" s="497" t="str">
        <f t="array" ref="O106">IFERROR(INDEX(Calculation!I:AN,MATCH(ListAndConversion!E106,Calculation!I:I,0),31),"-")</f>
        <v>-</v>
      </c>
      <c r="P106" s="498">
        <f>IF(COUNTIFS(Calculation!$I$10:$I$393,E106,Direct_Denaturation,"-")&lt;&gt;1,COUNTIFS(Calculation!$I$10:$I$393,E106,Direct_Denaturation,"-"),0)</f>
        <v>0</v>
      </c>
      <c r="V106" s="542" t="s">
        <v>82</v>
      </c>
      <c r="W106" s="542" t="s">
        <v>82</v>
      </c>
      <c r="X106" s="542" t="s">
        <v>82</v>
      </c>
      <c r="Y106" s="542" t="s">
        <v>82</v>
      </c>
      <c r="Z106" s="542" t="s">
        <v>82</v>
      </c>
      <c r="AA106" s="542" t="s">
        <v>82</v>
      </c>
      <c r="AB106" s="542" t="s">
        <v>82</v>
      </c>
      <c r="AC106" s="542" t="s">
        <v>82</v>
      </c>
      <c r="AD106" s="542" t="s">
        <v>82</v>
      </c>
      <c r="AE106" s="542" t="s">
        <v>82</v>
      </c>
      <c r="AF106" s="542" t="s">
        <v>82</v>
      </c>
      <c r="AG106" s="542" t="s">
        <v>82</v>
      </c>
      <c r="AH106" s="9"/>
      <c r="AI106" s="487">
        <v>103</v>
      </c>
      <c r="AJ106" s="497" t="s">
        <v>161</v>
      </c>
      <c r="AK106" s="378">
        <v>7</v>
      </c>
      <c r="AL106" s="378" t="str">
        <f t="shared" ca="1" si="49"/>
        <v>-</v>
      </c>
      <c r="AM106" s="378" t="str">
        <f t="array" aca="1" ref="AM106" ca="1">IFERROR(IF(AI106&lt;=$AB$2,"-",INDEX(Calculation_Tab,SMALL(ROW(Main_Dil)*(Main_Dil&lt;&gt;"-"),COUNTIF(Main_Dil,"-")+ROW()-3-$AB$2)-9,5)),"-")</f>
        <v>-</v>
      </c>
      <c r="AN106" s="378" t="str">
        <f t="array" aca="1" ref="AN106" ca="1">IFERROR(IF(AI106&lt;=$AB$2,"-",INDEX($A$3:$B$12,MATCH(INDEX(Calculation_Tab,SMALL(ROW(Main_Dil)*(Main_Dil&lt;&gt;"-"),COUNTIF(Main_Dil,"-")+ROW()-3-$AB$2)-9,5),$A$3:$A$12,0),2)),"-")</f>
        <v>-</v>
      </c>
      <c r="AO106" s="378" t="str">
        <f t="array" aca="1" ref="AO106" ca="1">IFERROR(IF(AI106&lt;=$AB$2,"-",INDEX(Coordinate,MATCH(INDEX(Calculation_Tab,SMALL(ROW(Main_Dil)*(Main_Dil&lt;&gt;"-"),COUNTIF(Main_Dil,"-")+ROW()-3-$AB$2)-9,6),$X$4:$X$99,0),2)),"-")</f>
        <v>-</v>
      </c>
      <c r="AP106" s="510" t="str">
        <f t="array" aca="1" ref="AP106" ca="1">IFERROR(IF(AI106&lt;=$AB$2,"-",INDEX(Calculation_Tab,SMALL(ROW(Main_Dil)*(Main_Dil&lt;&gt;"-"),COUNTIF(Main_Dil,"-")+ROW()-3-$AB$2)-9,21)),"-")</f>
        <v>-</v>
      </c>
      <c r="AQ106" s="511" t="str">
        <f t="array" aca="1" ref="AQ106" ca="1">IFERROR(IF(AI106&lt;=$AB$2,"-",INDEX(Calculation_Tab,SMALL(ROW(Main_Dil)*(Main_Dil&lt;&gt;"-"),COUNTIF(Main_Dil,"-")+ROW()-3-$AB$2)-9,22)),"-")</f>
        <v>-</v>
      </c>
      <c r="AR106" s="487" t="str">
        <f t="shared" ca="1" si="50"/>
        <v>-</v>
      </c>
      <c r="AS106" s="378">
        <v>103</v>
      </c>
      <c r="AT106" s="497" t="s">
        <v>161</v>
      </c>
      <c r="AU106" s="498">
        <v>7</v>
      </c>
      <c r="AV106" s="378" t="str">
        <f t="shared" ca="1" si="51"/>
        <v>-</v>
      </c>
      <c r="AW106" s="378" t="str">
        <f t="array" aca="1" ref="AW106" ca="1">IFERROR(IF(AS106&lt;=$AB$2+$AN$2,"-",INDEX(Calculation_Tab,SMALL(ROW(Direct_Denaturation)*(Direct_Denaturation&lt;&gt;"-"),COUNTIF(Direct_Denaturation,"-")+ROW()-3-$AB$2-$AN$2)-9,5)),"-")</f>
        <v>-</v>
      </c>
      <c r="AX106" s="378" t="str">
        <f t="array" aca="1" ref="AX106" ca="1">IFERROR(IF(AS106&lt;=$AB$2+$AN$2,"-",INDEX($A$3:$B$12,MATCH(INDEX(Calculation_Tab,SMALL(ROW(Direct_Denaturation)*(Direct_Denaturation&lt;&gt;"-"),COUNTIF(Direct_Denaturation,"-")+ROW()-3-$AB$2-$AN$2)-9,5),$A$3:$A$12,0),2)),"-")</f>
        <v>-</v>
      </c>
      <c r="AY106" s="378" t="str">
        <f t="array" aca="1" ref="AY106" ca="1">IFERROR(IF(AS106&lt;=$AB$2+$AN$2,"-",INDEX(Coordinate,MATCH(INDEX(Calculation_Tab,SMALL(ROW(Direct_Denaturation)*(Direct_Denaturation&lt;&gt;"-"),COUNTIF(Direct_Denaturation,"-")+ROW()-3-$AB$2-$AN$2)-9,6),$X$4:$X$99,0),2)),"-")</f>
        <v>-</v>
      </c>
      <c r="AZ106" s="510" t="str">
        <f t="array" aca="1" ref="AZ106" ca="1">IFERROR(IF(AS106&lt;=$AB$2+$AN$2,"-",INDEX(Calculation_Tab,SMALL(ROW(Direct_Denaturation)*(Direct_Denaturation&lt;&gt;"-"),COUNTIF(Direct_Denaturation,"-")+ROW()-3-$AB$2-$AN$2)-9,32)),"-")</f>
        <v>-</v>
      </c>
      <c r="BA106" s="510" t="str">
        <f t="array" aca="1" ref="BA106" ca="1">IFERROR(IF(AS106&lt;=$AB$2+$AN$2,"-",INDEX(Calculation_Tab,SMALL(ROW(Direct_Denaturation)*(Direct_Denaturation&lt;&gt;"-"),COUNTIF(Direct_Denaturation,"-")+ROW()-3-$AB$2-$AN$2)-9,34)),"-")</f>
        <v>-</v>
      </c>
      <c r="BB106" s="510" t="str">
        <f t="array" aca="1" ref="BB106" ca="1">IFERROR(IF(AS106&lt;=$AB$2+$AN$2,"-",INDEX(Calculation_Tab,SMALL(ROW(Direct_Denaturation)*(Direct_Denaturation&lt;&gt;"-"),COUNTIF(Direct_Denaturation,"-")+ROW()-3-$AB$2-$AN$2)-9,33)),"-")</f>
        <v>-</v>
      </c>
      <c r="BC106" s="510" t="str">
        <f t="array" aca="1" ref="BC106" ca="1">IFERROR(IF(AS106&lt;=$AB$2+$AN$2,"-",INDEX(Calculation_Tab,SMALL(ROW(Direct_Denaturation)*(Direct_Denaturation&lt;&gt;"-"),COUNTIF(Direct_Denaturation,"-")+ROW()-3-$AB$2-$AN$2)-9,35)),"-")</f>
        <v>-</v>
      </c>
      <c r="BD106" s="511" t="str">
        <f t="shared" ca="1" si="52"/>
        <v>-</v>
      </c>
      <c r="BK106" s="542" t="s">
        <v>82</v>
      </c>
      <c r="BL106" s="542" t="s">
        <v>82</v>
      </c>
      <c r="BM106" s="487" t="str">
        <f t="array" aca="1" ref="BM106" ca="1">IFERROR(INDEX(Calculation_Tab,SMALL(ROW(ToPool)*(ToPool&lt;&gt;"-"),COUNTIF(ToPool,"-")+ROW()-3)-9,3),"-")</f>
        <v>-</v>
      </c>
      <c r="BN106" s="378" t="str">
        <f t="shared" ca="1" si="55"/>
        <v>-</v>
      </c>
      <c r="BO106" s="378" t="str">
        <f t="shared" ca="1" si="56"/>
        <v>-</v>
      </c>
      <c r="BP106" s="523" t="str">
        <f t="shared" ca="1" si="57"/>
        <v>-</v>
      </c>
      <c r="BQ106" s="378" t="str">
        <f t="array" aca="1" ref="BQ106" ca="1">IFERROR(INDEX(BE:BG,MATCH(INDEX(Calculation_Tab,SMALL(ROW(ToPool)*(ToPool&lt;&gt;"-"),COUNTIF(ToPool,"-")+ROW()-3)-9,9),BG:BG,0),2),"-")</f>
        <v>-</v>
      </c>
      <c r="BR106" s="510" t="str">
        <f t="shared" ca="1" si="58"/>
        <v>-</v>
      </c>
      <c r="BS106" s="511" t="str">
        <f t="shared" ca="1" si="59"/>
        <v>-</v>
      </c>
      <c r="BT106" s="543" t="s">
        <v>82</v>
      </c>
      <c r="BU106" s="487" t="str">
        <f t="shared" ca="1" si="63"/>
        <v>-</v>
      </c>
      <c r="BV106" s="487" t="str">
        <f t="array" aca="1" ref="BV10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06" s="378" t="str">
        <f t="shared" ca="1" si="60"/>
        <v>-</v>
      </c>
      <c r="BX106" s="378" t="str">
        <f t="shared" ca="1" si="61"/>
        <v>-</v>
      </c>
      <c r="BY106" s="510" t="str">
        <f ca="1">IFERROR(ROUND(INDEX(Cluster,MATCH(IF(LEFT(BV106,4)="Pool",INDEX(Cluster,MATCH(INDEX(Calculation_Tab,MATCH(INDEX($BE$4:$BJ$99,MATCH(BV106,$BE$4:$BE$99,0),3),Flow_Cell_Lane,0),3),Cluster!$F$29:$F$412,0),6),BV106),Identifier_Cluster,0),19)*IF(LEFT(BV106,4)="pool",IF(LEN(INDEX($BE$4:$BJ$99,MATCH(BV106,$BE$4:$BE$99,0),3))=10,2,IF(LEN(INDEX($BE$4:$BJ$99,MATCH(BV106,$BE$4:$BE$99,0),3))&gt;10,LEN(INDEX($BE$4:$BJ$99,MATCH(BV106,$BE$4:$BE$99,0),3))-8,1)),1)*IF(LEFT(BV106,4)="pool",IF(INDEX($BE$4:$BJ$99,MATCH(BV106,$BE$4:$BE$99,0),6)&lt;1,1,INDEX($BE$4:$BJ$99,MATCH(BV106,$BE$4:$BE$99,0),6)),INDEX(Calculation_Tab,MATCH(BV106,Identifier,0),10)),1)*(1+Calculation!$Q$6),"-")</f>
        <v>-</v>
      </c>
      <c r="BZ106" s="378" t="str">
        <f ca="1">IFERROR((0.5/50)*CE106/Calculation!$AG$6*(IF(LEFT(BV106,4)="Pool",IF(LEN(INDEX($BE$4:$BJ$99,MATCH(BV106,$BE$4:$BE$99,0),3))=10,2,IF(LEN(INDEX($BE$4:$BJ$99,MATCH(BV106,$BE$4:$BE$99,0),3))&gt;10,LEN(INDEX($BE$4:$BJ$99,MATCH(BV106,$BE$4:$BE$99,0),3))-8,1)),IF(INDEX(Calculation_Tab,MATCH(BV106,Identifier,0),10)&gt;1,INDEX(Calculation_Tab,MATCH(BV106,Identifier,0),10),1)))*(1+Calculation!$Q$6),"-")</f>
        <v>-</v>
      </c>
      <c r="CA106" s="510" t="str">
        <f ca="1">IFERROR(IF((BZ106*Calculation!$AG$6/0.05)-SUM(BY106:BZ106,CC106)&gt;0,(BZ106*Calculation!$AG$6/0.05)-SUM(BY106:BZ106,CC106),0),"-")</f>
        <v>-</v>
      </c>
      <c r="CB106" s="510" t="str">
        <f ca="1">IFERROR(5/50*CE106*(IF(LEFT(BV106,4)="Pool",IF(LEN(INDEX($BE$4:$BJ$99,MATCH(BV106,$BE$4:$BE$99,0),3))=10,2,IF(LEN(INDEX($BE$4:$BJ$99,MATCH(BV106,$BE$4:$BE$99,0),3))&gt;10,LEN(INDEX($BE$4:$BJ$99,MATCH(BV106,$BE$4:$BE$99,0),3))-8,1)),IF(INDEX(Calculation_Tab,MATCH(BV106,Identifier,0),10)&gt;1,INDEX(Calculation_Tab,MATCH(BV106,Identifier,0),10),1)))*(1+Calculation!$Q$6),"-")</f>
        <v>-</v>
      </c>
      <c r="CC106" s="508" t="str">
        <f ca="1">IFERROR(ROUND(INDEX(Cluster,MATCH(IF(LEFT(BV106,4)="Pool",INDEX(Cluster,MATCH(INDEX(Calculation_Tab,MATCH(INDEX($BE$4:$BJ$99,MATCH(BV106,$BE$4:$BE$99,0),3),Flow_Cell_Lane,0),3),Cluster!$F$29:$F$412,0),6),BV106),Identifier_Cluster,0),20)*IF(LEFT(BV106,4)="pool",IF(LEN(INDEX($BE$4:$BJ$99,MATCH(BV106,$BE$4:$BE$99,0),3))=10,2,IF(LEN(INDEX($BE$4:$BJ$99,MATCH(BV106,$BE$4:$BE$99,0),3))&gt;10,LEN(INDEX($BE$4:$BJ$99,MATCH(BV106,$BE$4:$BE$99,0),3))-8,1)),1)*IF(LEFT(BV106,4)="pool",IF(INDEX($BE$4:$BJ$99,MATCH(BV106,$BE$4:$BE$99,0),6)&lt;1,1,INDEX($BE$4:$BJ$99,MATCH(BV106,$BE$4:$BE$99,0),6)),INDEX(Calculation_Tab,MATCH(BV106,Identifier,0),10)),1)*(1+Calculation!$Q$6),"-")</f>
        <v>-</v>
      </c>
      <c r="CD106" s="509" t="str">
        <f ca="1">IFERROR(INDEX(Cluster!AC:AD,MATCH(IF(LEFT(BV106,4)="Pool",INDEX(Cluster!$D$29:$AA$412,MATCH(INDEX(Calculation_Tab,MATCH(INDEX($BE$4:$BJ$99,MATCH(BV106,$BE$4:$BE$99,0),3),Flow_Cell_Lane,0),3),Cluster!$F$29:$F$412,0),24),INDEX(Cluster!$D$29:$AA$412,MATCH(BV106,Cluster!$F$29:$F$412,0),24)),Cluster!AC:AC,0),2),"-")</f>
        <v>-</v>
      </c>
      <c r="CE106" s="378" t="str">
        <f ca="1">IFERROR(IF(BV106&lt;&gt;"-",Calculation!$AK$6,"-"),"-")</f>
        <v>-</v>
      </c>
      <c r="CF106" s="378" t="str">
        <f ca="1">IF(OR(LEFT(ListAndConversion!BW106,3)="Dil",LEFT(ListAndConversion!BW106,3)="Poo"),ListAndConversion!$BT$4,IF(LEFT(ListAndConversion!BW106,3)="Sou",INDEX(ListAndConversion!$AT$3:$AV$387,MATCH(ListAndConversion!BV106,ListAndConversion!$AV$3:$AV$387,0),1),"-"))</f>
        <v>-</v>
      </c>
      <c r="CG106" s="498" t="str">
        <f ca="1">IF(OR(LEFT(ListAndConversion!BW106,3)="Dil",LEFT(ListAndConversion!BW106,3)="Poo"),ListAndConversion!BU106,IF(LEFT(ListAndConversion!BW106,3)="Sou",INDEX(ListAndConversion!$AT$4:$AV$387,MATCH(ListAndConversion!BV106,ListAndConversion!$AV$4:$AV$387,0),2),"-"))</f>
        <v>-</v>
      </c>
      <c r="CH106" s="378"/>
      <c r="CI106" s="487" t="str">
        <f t="shared" ca="1" si="62"/>
        <v>-</v>
      </c>
      <c r="CJ106" s="378" t="str">
        <f t="shared" ca="1" si="74"/>
        <v>-</v>
      </c>
      <c r="CK106" s="378" t="str">
        <f t="shared" ca="1" si="74"/>
        <v>-</v>
      </c>
      <c r="CL106" s="378" t="str">
        <f t="shared" ca="1" si="74"/>
        <v>-</v>
      </c>
      <c r="CM106" s="378" t="str">
        <f t="shared" ca="1" si="74"/>
        <v>-</v>
      </c>
      <c r="CN106" s="378" t="str">
        <f t="shared" ca="1" si="74"/>
        <v>-</v>
      </c>
      <c r="CO106" s="378" t="str">
        <f t="shared" ca="1" si="74"/>
        <v>-</v>
      </c>
      <c r="CP106" s="378" t="str">
        <f t="shared" ca="1" si="74"/>
        <v>-</v>
      </c>
      <c r="CQ106" s="378" t="str">
        <f t="shared" ca="1" si="74"/>
        <v>-</v>
      </c>
      <c r="CR106" s="510" t="str">
        <f ca="1">IFERROR(IF(LEFT(BW106,3)="Poo",INDEX($BE$4:$BJ$99,MATCH(CI106,$BG$4:$BG$99,0),6)*((15/50))*Calculation!$AK$6,INDEX(Calculation_Tab,MATCH(BV106,Identifier,0),10)/(IF(LEN(INDEX(Calculation_Tab,MATCH(BV106,Identifier,0),9))&gt;8,LEN(INDEX(Calculation_Tab,MATCH(BV106,Identifier,0),9))-8,1))*((15/50)*Calculation!$AK$6)),"-")</f>
        <v>-</v>
      </c>
      <c r="CS106" s="498" t="str">
        <f ca="1">IF(CI106="-","-",IF(COUNTIF($CI$3:CI106,CI106)&gt;1,0,IFERROR((35/50)*Calculation!$AK$6,"-")))</f>
        <v>-</v>
      </c>
    </row>
    <row r="107" spans="4:97" x14ac:dyDescent="0.5">
      <c r="D107" s="487" t="e">
        <f t="shared" si="44"/>
        <v>#DIV/0!</v>
      </c>
      <c r="E107" s="496" t="e">
        <f t="array" ref="E107">IF(IF((ROW(E107)-3)&lt;(ListAndConversion!$A$15),INDEX(Flow_Cell_Lane,MIN(IF(COUNTIF($E$2:E106,Flow_Cell_Lane)=0,ROW(Flow_Cell_Lane)-9))),"-")="","-",IF((ROW(E107)-3)&lt;(ListAndConversion!$A$15),INDEX(Flow_Cell_Lane,MIN(IF(COUNTIF($E$2:E106,Flow_Cell_Lane)=0,ROW(Flow_Cell_Lane)-9))),"-"))</f>
        <v>#DIV/0!</v>
      </c>
      <c r="F107" s="378" t="e">
        <f t="shared" si="45"/>
        <v>#DIV/0!</v>
      </c>
      <c r="G107" s="378" t="e">
        <f t="shared" si="73"/>
        <v>#DIV/0!</v>
      </c>
      <c r="H107" s="378" t="e">
        <f t="shared" si="73"/>
        <v>#DIV/0!</v>
      </c>
      <c r="I107" s="378" t="e">
        <f t="shared" si="73"/>
        <v>#DIV/0!</v>
      </c>
      <c r="J107" s="378" t="e">
        <f t="shared" si="73"/>
        <v>#DIV/0!</v>
      </c>
      <c r="K107" s="378" t="e">
        <f t="shared" si="73"/>
        <v>#DIV/0!</v>
      </c>
      <c r="L107" s="378" t="e">
        <f t="shared" si="73"/>
        <v>#DIV/0!</v>
      </c>
      <c r="M107" s="378" t="e">
        <f t="shared" si="73"/>
        <v>#DIV/0!</v>
      </c>
      <c r="N107" s="497" t="e">
        <f t="shared" si="46"/>
        <v>#DIV/0!</v>
      </c>
      <c r="O107" s="497" t="str">
        <f t="array" ref="O107">IFERROR(INDEX(Calculation!I:AN,MATCH(ListAndConversion!E107,Calculation!I:I,0),31),"-")</f>
        <v>-</v>
      </c>
      <c r="P107" s="498">
        <f>IF(COUNTIFS(Calculation!$I$10:$I$393,E107,Direct_Denaturation,"-")&lt;&gt;1,COUNTIFS(Calculation!$I$10:$I$393,E107,Direct_Denaturation,"-"),0)</f>
        <v>0</v>
      </c>
      <c r="V107" s="542" t="s">
        <v>82</v>
      </c>
      <c r="W107" s="542" t="s">
        <v>82</v>
      </c>
      <c r="X107" s="542" t="s">
        <v>82</v>
      </c>
      <c r="Y107" s="542" t="s">
        <v>82</v>
      </c>
      <c r="Z107" s="542" t="s">
        <v>82</v>
      </c>
      <c r="AA107" s="542" t="s">
        <v>82</v>
      </c>
      <c r="AB107" s="542" t="s">
        <v>82</v>
      </c>
      <c r="AC107" s="542" t="s">
        <v>82</v>
      </c>
      <c r="AD107" s="542" t="s">
        <v>82</v>
      </c>
      <c r="AE107" s="542" t="s">
        <v>82</v>
      </c>
      <c r="AF107" s="542" t="s">
        <v>82</v>
      </c>
      <c r="AG107" s="542" t="s">
        <v>82</v>
      </c>
      <c r="AH107" s="9"/>
      <c r="AI107" s="487">
        <v>104</v>
      </c>
      <c r="AJ107" s="497" t="s">
        <v>161</v>
      </c>
      <c r="AK107" s="378">
        <v>8</v>
      </c>
      <c r="AL107" s="378" t="str">
        <f t="shared" ca="1" si="49"/>
        <v>-</v>
      </c>
      <c r="AM107" s="378" t="str">
        <f t="array" aca="1" ref="AM107" ca="1">IFERROR(IF(AI107&lt;=$AB$2,"-",INDEX(Calculation_Tab,SMALL(ROW(Main_Dil)*(Main_Dil&lt;&gt;"-"),COUNTIF(Main_Dil,"-")+ROW()-3-$AB$2)-9,5)),"-")</f>
        <v>-</v>
      </c>
      <c r="AN107" s="378" t="str">
        <f t="array" aca="1" ref="AN107" ca="1">IFERROR(IF(AI107&lt;=$AB$2,"-",INDEX($A$3:$B$12,MATCH(INDEX(Calculation_Tab,SMALL(ROW(Main_Dil)*(Main_Dil&lt;&gt;"-"),COUNTIF(Main_Dil,"-")+ROW()-3-$AB$2)-9,5),$A$3:$A$12,0),2)),"-")</f>
        <v>-</v>
      </c>
      <c r="AO107" s="378" t="str">
        <f t="array" aca="1" ref="AO107" ca="1">IFERROR(IF(AI107&lt;=$AB$2,"-",INDEX(Coordinate,MATCH(INDEX(Calculation_Tab,SMALL(ROW(Main_Dil)*(Main_Dil&lt;&gt;"-"),COUNTIF(Main_Dil,"-")+ROW()-3-$AB$2)-9,6),$X$4:$X$99,0),2)),"-")</f>
        <v>-</v>
      </c>
      <c r="AP107" s="510" t="str">
        <f t="array" aca="1" ref="AP107" ca="1">IFERROR(IF(AI107&lt;=$AB$2,"-",INDEX(Calculation_Tab,SMALL(ROW(Main_Dil)*(Main_Dil&lt;&gt;"-"),COUNTIF(Main_Dil,"-")+ROW()-3-$AB$2)-9,21)),"-")</f>
        <v>-</v>
      </c>
      <c r="AQ107" s="511" t="str">
        <f t="array" aca="1" ref="AQ107" ca="1">IFERROR(IF(AI107&lt;=$AB$2,"-",INDEX(Calculation_Tab,SMALL(ROW(Main_Dil)*(Main_Dil&lt;&gt;"-"),COUNTIF(Main_Dil,"-")+ROW()-3-$AB$2)-9,22)),"-")</f>
        <v>-</v>
      </c>
      <c r="AR107" s="487" t="str">
        <f t="shared" ca="1" si="50"/>
        <v>-</v>
      </c>
      <c r="AS107" s="378">
        <v>104</v>
      </c>
      <c r="AT107" s="497" t="s">
        <v>161</v>
      </c>
      <c r="AU107" s="498">
        <v>8</v>
      </c>
      <c r="AV107" s="378" t="str">
        <f t="shared" ca="1" si="51"/>
        <v>-</v>
      </c>
      <c r="AW107" s="378" t="str">
        <f t="array" aca="1" ref="AW107" ca="1">IFERROR(IF(AS107&lt;=$AB$2+$AN$2,"-",INDEX(Calculation_Tab,SMALL(ROW(Direct_Denaturation)*(Direct_Denaturation&lt;&gt;"-"),COUNTIF(Direct_Denaturation,"-")+ROW()-3-$AB$2-$AN$2)-9,5)),"-")</f>
        <v>-</v>
      </c>
      <c r="AX107" s="378" t="str">
        <f t="array" aca="1" ref="AX107" ca="1">IFERROR(IF(AS107&lt;=$AB$2+$AN$2,"-",INDEX($A$3:$B$12,MATCH(INDEX(Calculation_Tab,SMALL(ROW(Direct_Denaturation)*(Direct_Denaturation&lt;&gt;"-"),COUNTIF(Direct_Denaturation,"-")+ROW()-3-$AB$2-$AN$2)-9,5),$A$3:$A$12,0),2)),"-")</f>
        <v>-</v>
      </c>
      <c r="AY107" s="378" t="str">
        <f t="array" aca="1" ref="AY107" ca="1">IFERROR(IF(AS107&lt;=$AB$2+$AN$2,"-",INDEX(Coordinate,MATCH(INDEX(Calculation_Tab,SMALL(ROW(Direct_Denaturation)*(Direct_Denaturation&lt;&gt;"-"),COUNTIF(Direct_Denaturation,"-")+ROW()-3-$AB$2-$AN$2)-9,6),$X$4:$X$99,0),2)),"-")</f>
        <v>-</v>
      </c>
      <c r="AZ107" s="510" t="str">
        <f t="array" aca="1" ref="AZ107" ca="1">IFERROR(IF(AS107&lt;=$AB$2+$AN$2,"-",INDEX(Calculation_Tab,SMALL(ROW(Direct_Denaturation)*(Direct_Denaturation&lt;&gt;"-"),COUNTIF(Direct_Denaturation,"-")+ROW()-3-$AB$2-$AN$2)-9,32)),"-")</f>
        <v>-</v>
      </c>
      <c r="BA107" s="510" t="str">
        <f t="array" aca="1" ref="BA107" ca="1">IFERROR(IF(AS107&lt;=$AB$2+$AN$2,"-",INDEX(Calculation_Tab,SMALL(ROW(Direct_Denaturation)*(Direct_Denaturation&lt;&gt;"-"),COUNTIF(Direct_Denaturation,"-")+ROW()-3-$AB$2-$AN$2)-9,34)),"-")</f>
        <v>-</v>
      </c>
      <c r="BB107" s="510" t="str">
        <f t="array" aca="1" ref="BB107" ca="1">IFERROR(IF(AS107&lt;=$AB$2+$AN$2,"-",INDEX(Calculation_Tab,SMALL(ROW(Direct_Denaturation)*(Direct_Denaturation&lt;&gt;"-"),COUNTIF(Direct_Denaturation,"-")+ROW()-3-$AB$2-$AN$2)-9,33)),"-")</f>
        <v>-</v>
      </c>
      <c r="BC107" s="510" t="str">
        <f t="array" aca="1" ref="BC107" ca="1">IFERROR(IF(AS107&lt;=$AB$2+$AN$2,"-",INDEX(Calculation_Tab,SMALL(ROW(Direct_Denaturation)*(Direct_Denaturation&lt;&gt;"-"),COUNTIF(Direct_Denaturation,"-")+ROW()-3-$AB$2-$AN$2)-9,35)),"-")</f>
        <v>-</v>
      </c>
      <c r="BD107" s="511" t="str">
        <f t="shared" ca="1" si="52"/>
        <v>-</v>
      </c>
      <c r="BK107" s="542" t="s">
        <v>82</v>
      </c>
      <c r="BL107" s="542" t="s">
        <v>82</v>
      </c>
      <c r="BM107" s="487" t="str">
        <f t="array" aca="1" ref="BM107" ca="1">IFERROR(INDEX(Calculation_Tab,SMALL(ROW(ToPool)*(ToPool&lt;&gt;"-"),COUNTIF(ToPool,"-")+ROW()-3)-9,3),"-")</f>
        <v>-</v>
      </c>
      <c r="BN107" s="378" t="str">
        <f t="shared" ca="1" si="55"/>
        <v>-</v>
      </c>
      <c r="BO107" s="378" t="str">
        <f t="shared" ca="1" si="56"/>
        <v>-</v>
      </c>
      <c r="BP107" s="523" t="str">
        <f t="shared" ca="1" si="57"/>
        <v>-</v>
      </c>
      <c r="BQ107" s="378" t="str">
        <f t="array" aca="1" ref="BQ107" ca="1">IFERROR(INDEX(BE:BG,MATCH(INDEX(Calculation_Tab,SMALL(ROW(ToPool)*(ToPool&lt;&gt;"-"),COUNTIF(ToPool,"-")+ROW()-3)-9,9),BG:BG,0),2),"-")</f>
        <v>-</v>
      </c>
      <c r="BR107" s="510" t="str">
        <f t="shared" ca="1" si="58"/>
        <v>-</v>
      </c>
      <c r="BS107" s="511" t="str">
        <f t="shared" ca="1" si="59"/>
        <v>-</v>
      </c>
      <c r="BT107" s="543" t="s">
        <v>82</v>
      </c>
      <c r="BU107" s="487" t="str">
        <f t="shared" ca="1" si="63"/>
        <v>-</v>
      </c>
      <c r="BV107" s="487" t="str">
        <f t="array" aca="1" ref="BV10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07" s="378" t="str">
        <f t="shared" ca="1" si="60"/>
        <v>-</v>
      </c>
      <c r="BX107" s="378" t="str">
        <f t="shared" ca="1" si="61"/>
        <v>-</v>
      </c>
      <c r="BY107" s="510" t="str">
        <f ca="1">IFERROR(ROUND(INDEX(Cluster,MATCH(IF(LEFT(BV107,4)="Pool",INDEX(Cluster,MATCH(INDEX(Calculation_Tab,MATCH(INDEX($BE$4:$BJ$99,MATCH(BV107,$BE$4:$BE$99,0),3),Flow_Cell_Lane,0),3),Cluster!$F$29:$F$412,0),6),BV107),Identifier_Cluster,0),19)*IF(LEFT(BV107,4)="pool",IF(LEN(INDEX($BE$4:$BJ$99,MATCH(BV107,$BE$4:$BE$99,0),3))=10,2,IF(LEN(INDEX($BE$4:$BJ$99,MATCH(BV107,$BE$4:$BE$99,0),3))&gt;10,LEN(INDEX($BE$4:$BJ$99,MATCH(BV107,$BE$4:$BE$99,0),3))-8,1)),1)*IF(LEFT(BV107,4)="pool",IF(INDEX($BE$4:$BJ$99,MATCH(BV107,$BE$4:$BE$99,0),6)&lt;1,1,INDEX($BE$4:$BJ$99,MATCH(BV107,$BE$4:$BE$99,0),6)),INDEX(Calculation_Tab,MATCH(BV107,Identifier,0),10)),1)*(1+Calculation!$Q$6),"-")</f>
        <v>-</v>
      </c>
      <c r="BZ107" s="378" t="str">
        <f ca="1">IFERROR((0.5/50)*CE107/Calculation!$AG$6*(IF(LEFT(BV107,4)="Pool",IF(LEN(INDEX($BE$4:$BJ$99,MATCH(BV107,$BE$4:$BE$99,0),3))=10,2,IF(LEN(INDEX($BE$4:$BJ$99,MATCH(BV107,$BE$4:$BE$99,0),3))&gt;10,LEN(INDEX($BE$4:$BJ$99,MATCH(BV107,$BE$4:$BE$99,0),3))-8,1)),IF(INDEX(Calculation_Tab,MATCH(BV107,Identifier,0),10)&gt;1,INDEX(Calculation_Tab,MATCH(BV107,Identifier,0),10),1)))*(1+Calculation!$Q$6),"-")</f>
        <v>-</v>
      </c>
      <c r="CA107" s="510" t="str">
        <f ca="1">IFERROR(IF((BZ107*Calculation!$AG$6/0.05)-SUM(BY107:BZ107,CC107)&gt;0,(BZ107*Calculation!$AG$6/0.05)-SUM(BY107:BZ107,CC107),0),"-")</f>
        <v>-</v>
      </c>
      <c r="CB107" s="510" t="str">
        <f ca="1">IFERROR(5/50*CE107*(IF(LEFT(BV107,4)="Pool",IF(LEN(INDEX($BE$4:$BJ$99,MATCH(BV107,$BE$4:$BE$99,0),3))=10,2,IF(LEN(INDEX($BE$4:$BJ$99,MATCH(BV107,$BE$4:$BE$99,0),3))&gt;10,LEN(INDEX($BE$4:$BJ$99,MATCH(BV107,$BE$4:$BE$99,0),3))-8,1)),IF(INDEX(Calculation_Tab,MATCH(BV107,Identifier,0),10)&gt;1,INDEX(Calculation_Tab,MATCH(BV107,Identifier,0),10),1)))*(1+Calculation!$Q$6),"-")</f>
        <v>-</v>
      </c>
      <c r="CC107" s="508" t="str">
        <f ca="1">IFERROR(ROUND(INDEX(Cluster,MATCH(IF(LEFT(BV107,4)="Pool",INDEX(Cluster,MATCH(INDEX(Calculation_Tab,MATCH(INDEX($BE$4:$BJ$99,MATCH(BV107,$BE$4:$BE$99,0),3),Flow_Cell_Lane,0),3),Cluster!$F$29:$F$412,0),6),BV107),Identifier_Cluster,0),20)*IF(LEFT(BV107,4)="pool",IF(LEN(INDEX($BE$4:$BJ$99,MATCH(BV107,$BE$4:$BE$99,0),3))=10,2,IF(LEN(INDEX($BE$4:$BJ$99,MATCH(BV107,$BE$4:$BE$99,0),3))&gt;10,LEN(INDEX($BE$4:$BJ$99,MATCH(BV107,$BE$4:$BE$99,0),3))-8,1)),1)*IF(LEFT(BV107,4)="pool",IF(INDEX($BE$4:$BJ$99,MATCH(BV107,$BE$4:$BE$99,0),6)&lt;1,1,INDEX($BE$4:$BJ$99,MATCH(BV107,$BE$4:$BE$99,0),6)),INDEX(Calculation_Tab,MATCH(BV107,Identifier,0),10)),1)*(1+Calculation!$Q$6),"-")</f>
        <v>-</v>
      </c>
      <c r="CD107" s="509" t="str">
        <f ca="1">IFERROR(INDEX(Cluster!AC:AD,MATCH(IF(LEFT(BV107,4)="Pool",INDEX(Cluster!$D$29:$AA$412,MATCH(INDEX(Calculation_Tab,MATCH(INDEX($BE$4:$BJ$99,MATCH(BV107,$BE$4:$BE$99,0),3),Flow_Cell_Lane,0),3),Cluster!$F$29:$F$412,0),24),INDEX(Cluster!$D$29:$AA$412,MATCH(BV107,Cluster!$F$29:$F$412,0),24)),Cluster!AC:AC,0),2),"-")</f>
        <v>-</v>
      </c>
      <c r="CE107" s="378" t="str">
        <f ca="1">IFERROR(IF(BV107&lt;&gt;"-",Calculation!$AK$6,"-"),"-")</f>
        <v>-</v>
      </c>
      <c r="CF107" s="378" t="str">
        <f ca="1">IF(OR(LEFT(ListAndConversion!BW107,3)="Dil",LEFT(ListAndConversion!BW107,3)="Poo"),ListAndConversion!$BT$4,IF(LEFT(ListAndConversion!BW107,3)="Sou",INDEX(ListAndConversion!$AT$3:$AV$387,MATCH(ListAndConversion!BV107,ListAndConversion!$AV$3:$AV$387,0),1),"-"))</f>
        <v>-</v>
      </c>
      <c r="CG107" s="498" t="str">
        <f ca="1">IF(OR(LEFT(ListAndConversion!BW107,3)="Dil",LEFT(ListAndConversion!BW107,3)="Poo"),ListAndConversion!BU107,IF(LEFT(ListAndConversion!BW107,3)="Sou",INDEX(ListAndConversion!$AT$4:$AV$387,MATCH(ListAndConversion!BV107,ListAndConversion!$AV$4:$AV$387,0),2),"-"))</f>
        <v>-</v>
      </c>
      <c r="CH107" s="378"/>
      <c r="CI107" s="487" t="str">
        <f t="shared" ca="1" si="62"/>
        <v>-</v>
      </c>
      <c r="CJ107" s="378" t="str">
        <f t="shared" ca="1" si="74"/>
        <v>-</v>
      </c>
      <c r="CK107" s="378" t="str">
        <f t="shared" ca="1" si="74"/>
        <v>-</v>
      </c>
      <c r="CL107" s="378" t="str">
        <f t="shared" ca="1" si="74"/>
        <v>-</v>
      </c>
      <c r="CM107" s="378" t="str">
        <f t="shared" ca="1" si="74"/>
        <v>-</v>
      </c>
      <c r="CN107" s="378" t="str">
        <f t="shared" ca="1" si="74"/>
        <v>-</v>
      </c>
      <c r="CO107" s="378" t="str">
        <f t="shared" ca="1" si="74"/>
        <v>-</v>
      </c>
      <c r="CP107" s="378" t="str">
        <f t="shared" ca="1" si="74"/>
        <v>-</v>
      </c>
      <c r="CQ107" s="378" t="str">
        <f t="shared" ca="1" si="74"/>
        <v>-</v>
      </c>
      <c r="CR107" s="510" t="str">
        <f ca="1">IFERROR(IF(LEFT(BW107,3)="Poo",INDEX($BE$4:$BJ$99,MATCH(CI107,$BG$4:$BG$99,0),6)*((15/50))*Calculation!$AK$6,INDEX(Calculation_Tab,MATCH(BV107,Identifier,0),10)/(IF(LEN(INDEX(Calculation_Tab,MATCH(BV107,Identifier,0),9))&gt;8,LEN(INDEX(Calculation_Tab,MATCH(BV107,Identifier,0),9))-8,1))*((15/50)*Calculation!$AK$6)),"-")</f>
        <v>-</v>
      </c>
      <c r="CS107" s="498" t="str">
        <f ca="1">IF(CI107="-","-",IF(COUNTIF($CI$3:CI107,CI107)&gt;1,0,IFERROR((35/50)*Calculation!$AK$6,"-")))</f>
        <v>-</v>
      </c>
    </row>
    <row r="108" spans="4:97" x14ac:dyDescent="0.5">
      <c r="D108" s="487" t="e">
        <f t="shared" si="44"/>
        <v>#DIV/0!</v>
      </c>
      <c r="E108" s="496" t="e">
        <f t="array" ref="E108">IF(IF((ROW(E108)-3)&lt;(ListAndConversion!$A$15),INDEX(Flow_Cell_Lane,MIN(IF(COUNTIF($E$2:E107,Flow_Cell_Lane)=0,ROW(Flow_Cell_Lane)-9))),"-")="","-",IF((ROW(E108)-3)&lt;(ListAndConversion!$A$15),INDEX(Flow_Cell_Lane,MIN(IF(COUNTIF($E$2:E107,Flow_Cell_Lane)=0,ROW(Flow_Cell_Lane)-9))),"-"))</f>
        <v>#DIV/0!</v>
      </c>
      <c r="F108" s="378" t="e">
        <f t="shared" si="45"/>
        <v>#DIV/0!</v>
      </c>
      <c r="G108" s="378" t="e">
        <f t="shared" si="73"/>
        <v>#DIV/0!</v>
      </c>
      <c r="H108" s="378" t="e">
        <f t="shared" si="73"/>
        <v>#DIV/0!</v>
      </c>
      <c r="I108" s="378" t="e">
        <f t="shared" si="73"/>
        <v>#DIV/0!</v>
      </c>
      <c r="J108" s="378" t="e">
        <f t="shared" si="73"/>
        <v>#DIV/0!</v>
      </c>
      <c r="K108" s="378" t="e">
        <f t="shared" si="73"/>
        <v>#DIV/0!</v>
      </c>
      <c r="L108" s="378" t="e">
        <f t="shared" si="73"/>
        <v>#DIV/0!</v>
      </c>
      <c r="M108" s="378" t="e">
        <f t="shared" si="73"/>
        <v>#DIV/0!</v>
      </c>
      <c r="N108" s="497" t="e">
        <f t="shared" si="46"/>
        <v>#DIV/0!</v>
      </c>
      <c r="O108" s="497" t="str">
        <f t="array" ref="O108">IFERROR(INDEX(Calculation!I:AN,MATCH(ListAndConversion!E108,Calculation!I:I,0),31),"-")</f>
        <v>-</v>
      </c>
      <c r="P108" s="498">
        <f>IF(COUNTIFS(Calculation!$I$10:$I$393,E108,Direct_Denaturation,"-")&lt;&gt;1,COUNTIFS(Calculation!$I$10:$I$393,E108,Direct_Denaturation,"-"),0)</f>
        <v>0</v>
      </c>
      <c r="V108" s="542" t="s">
        <v>82</v>
      </c>
      <c r="W108" s="542" t="s">
        <v>82</v>
      </c>
      <c r="X108" s="542" t="s">
        <v>82</v>
      </c>
      <c r="Y108" s="542" t="s">
        <v>82</v>
      </c>
      <c r="Z108" s="542" t="s">
        <v>82</v>
      </c>
      <c r="AA108" s="542" t="s">
        <v>82</v>
      </c>
      <c r="AB108" s="542" t="s">
        <v>82</v>
      </c>
      <c r="AC108" s="542" t="s">
        <v>82</v>
      </c>
      <c r="AD108" s="542" t="s">
        <v>82</v>
      </c>
      <c r="AE108" s="542" t="s">
        <v>82</v>
      </c>
      <c r="AF108" s="542" t="s">
        <v>82</v>
      </c>
      <c r="AG108" s="542" t="s">
        <v>82</v>
      </c>
      <c r="AH108" s="9"/>
      <c r="AI108" s="487">
        <v>105</v>
      </c>
      <c r="AJ108" s="497" t="s">
        <v>161</v>
      </c>
      <c r="AK108" s="378">
        <v>9</v>
      </c>
      <c r="AL108" s="378" t="str">
        <f t="shared" ca="1" si="49"/>
        <v>-</v>
      </c>
      <c r="AM108" s="378" t="str">
        <f t="array" aca="1" ref="AM108" ca="1">IFERROR(IF(AI108&lt;=$AB$2,"-",INDEX(Calculation_Tab,SMALL(ROW(Main_Dil)*(Main_Dil&lt;&gt;"-"),COUNTIF(Main_Dil,"-")+ROW()-3-$AB$2)-9,5)),"-")</f>
        <v>-</v>
      </c>
      <c r="AN108" s="378" t="str">
        <f t="array" aca="1" ref="AN108" ca="1">IFERROR(IF(AI108&lt;=$AB$2,"-",INDEX($A$3:$B$12,MATCH(INDEX(Calculation_Tab,SMALL(ROW(Main_Dil)*(Main_Dil&lt;&gt;"-"),COUNTIF(Main_Dil,"-")+ROW()-3-$AB$2)-9,5),$A$3:$A$12,0),2)),"-")</f>
        <v>-</v>
      </c>
      <c r="AO108" s="378" t="str">
        <f t="array" aca="1" ref="AO108" ca="1">IFERROR(IF(AI108&lt;=$AB$2,"-",INDEX(Coordinate,MATCH(INDEX(Calculation_Tab,SMALL(ROW(Main_Dil)*(Main_Dil&lt;&gt;"-"),COUNTIF(Main_Dil,"-")+ROW()-3-$AB$2)-9,6),$X$4:$X$99,0),2)),"-")</f>
        <v>-</v>
      </c>
      <c r="AP108" s="510" t="str">
        <f t="array" aca="1" ref="AP108" ca="1">IFERROR(IF(AI108&lt;=$AB$2,"-",INDEX(Calculation_Tab,SMALL(ROW(Main_Dil)*(Main_Dil&lt;&gt;"-"),COUNTIF(Main_Dil,"-")+ROW()-3-$AB$2)-9,21)),"-")</f>
        <v>-</v>
      </c>
      <c r="AQ108" s="511" t="str">
        <f t="array" aca="1" ref="AQ108" ca="1">IFERROR(IF(AI108&lt;=$AB$2,"-",INDEX(Calculation_Tab,SMALL(ROW(Main_Dil)*(Main_Dil&lt;&gt;"-"),COUNTIF(Main_Dil,"-")+ROW()-3-$AB$2)-9,22)),"-")</f>
        <v>-</v>
      </c>
      <c r="AR108" s="487" t="str">
        <f t="shared" ca="1" si="50"/>
        <v>-</v>
      </c>
      <c r="AS108" s="378">
        <v>105</v>
      </c>
      <c r="AT108" s="497" t="s">
        <v>161</v>
      </c>
      <c r="AU108" s="498">
        <v>9</v>
      </c>
      <c r="AV108" s="378" t="str">
        <f t="shared" ca="1" si="51"/>
        <v>-</v>
      </c>
      <c r="AW108" s="378" t="str">
        <f t="array" aca="1" ref="AW108" ca="1">IFERROR(IF(AS108&lt;=$AB$2+$AN$2,"-",INDEX(Calculation_Tab,SMALL(ROW(Direct_Denaturation)*(Direct_Denaturation&lt;&gt;"-"),COUNTIF(Direct_Denaturation,"-")+ROW()-3-$AB$2-$AN$2)-9,5)),"-")</f>
        <v>-</v>
      </c>
      <c r="AX108" s="378" t="str">
        <f t="array" aca="1" ref="AX108" ca="1">IFERROR(IF(AS108&lt;=$AB$2+$AN$2,"-",INDEX($A$3:$B$12,MATCH(INDEX(Calculation_Tab,SMALL(ROW(Direct_Denaturation)*(Direct_Denaturation&lt;&gt;"-"),COUNTIF(Direct_Denaturation,"-")+ROW()-3-$AB$2-$AN$2)-9,5),$A$3:$A$12,0),2)),"-")</f>
        <v>-</v>
      </c>
      <c r="AY108" s="378" t="str">
        <f t="array" aca="1" ref="AY108" ca="1">IFERROR(IF(AS108&lt;=$AB$2+$AN$2,"-",INDEX(Coordinate,MATCH(INDEX(Calculation_Tab,SMALL(ROW(Direct_Denaturation)*(Direct_Denaturation&lt;&gt;"-"),COUNTIF(Direct_Denaturation,"-")+ROW()-3-$AB$2-$AN$2)-9,6),$X$4:$X$99,0),2)),"-")</f>
        <v>-</v>
      </c>
      <c r="AZ108" s="510" t="str">
        <f t="array" aca="1" ref="AZ108" ca="1">IFERROR(IF(AS108&lt;=$AB$2+$AN$2,"-",INDEX(Calculation_Tab,SMALL(ROW(Direct_Denaturation)*(Direct_Denaturation&lt;&gt;"-"),COUNTIF(Direct_Denaturation,"-")+ROW()-3-$AB$2-$AN$2)-9,32)),"-")</f>
        <v>-</v>
      </c>
      <c r="BA108" s="510" t="str">
        <f t="array" aca="1" ref="BA108" ca="1">IFERROR(IF(AS108&lt;=$AB$2+$AN$2,"-",INDEX(Calculation_Tab,SMALL(ROW(Direct_Denaturation)*(Direct_Denaturation&lt;&gt;"-"),COUNTIF(Direct_Denaturation,"-")+ROW()-3-$AB$2-$AN$2)-9,34)),"-")</f>
        <v>-</v>
      </c>
      <c r="BB108" s="510" t="str">
        <f t="array" aca="1" ref="BB108" ca="1">IFERROR(IF(AS108&lt;=$AB$2+$AN$2,"-",INDEX(Calculation_Tab,SMALL(ROW(Direct_Denaturation)*(Direct_Denaturation&lt;&gt;"-"),COUNTIF(Direct_Denaturation,"-")+ROW()-3-$AB$2-$AN$2)-9,33)),"-")</f>
        <v>-</v>
      </c>
      <c r="BC108" s="510" t="str">
        <f t="array" aca="1" ref="BC108" ca="1">IFERROR(IF(AS108&lt;=$AB$2+$AN$2,"-",INDEX(Calculation_Tab,SMALL(ROW(Direct_Denaturation)*(Direct_Denaturation&lt;&gt;"-"),COUNTIF(Direct_Denaturation,"-")+ROW()-3-$AB$2-$AN$2)-9,35)),"-")</f>
        <v>-</v>
      </c>
      <c r="BD108" s="511" t="str">
        <f t="shared" ca="1" si="52"/>
        <v>-</v>
      </c>
      <c r="BK108" s="542" t="s">
        <v>82</v>
      </c>
      <c r="BL108" s="542" t="s">
        <v>82</v>
      </c>
      <c r="BM108" s="487" t="str">
        <f t="array" aca="1" ref="BM108" ca="1">IFERROR(INDEX(Calculation_Tab,SMALL(ROW(ToPool)*(ToPool&lt;&gt;"-"),COUNTIF(ToPool,"-")+ROW()-3)-9,3),"-")</f>
        <v>-</v>
      </c>
      <c r="BN108" s="378" t="str">
        <f t="shared" ca="1" si="55"/>
        <v>-</v>
      </c>
      <c r="BO108" s="378" t="str">
        <f t="shared" ca="1" si="56"/>
        <v>-</v>
      </c>
      <c r="BP108" s="523" t="str">
        <f t="shared" ca="1" si="57"/>
        <v>-</v>
      </c>
      <c r="BQ108" s="378" t="str">
        <f t="array" aca="1" ref="BQ108" ca="1">IFERROR(INDEX(BE:BG,MATCH(INDEX(Calculation_Tab,SMALL(ROW(ToPool)*(ToPool&lt;&gt;"-"),COUNTIF(ToPool,"-")+ROW()-3)-9,9),BG:BG,0),2),"-")</f>
        <v>-</v>
      </c>
      <c r="BR108" s="510" t="str">
        <f t="shared" ca="1" si="58"/>
        <v>-</v>
      </c>
      <c r="BS108" s="511" t="str">
        <f t="shared" ca="1" si="59"/>
        <v>-</v>
      </c>
      <c r="BT108" s="543" t="s">
        <v>82</v>
      </c>
      <c r="BU108" s="487" t="str">
        <f t="shared" ca="1" si="63"/>
        <v>-</v>
      </c>
      <c r="BV108" s="487" t="str">
        <f t="array" aca="1" ref="BV10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08" s="378" t="str">
        <f t="shared" ca="1" si="60"/>
        <v>-</v>
      </c>
      <c r="BX108" s="378" t="str">
        <f t="shared" ca="1" si="61"/>
        <v>-</v>
      </c>
      <c r="BY108" s="510" t="str">
        <f ca="1">IFERROR(ROUND(INDEX(Cluster,MATCH(IF(LEFT(BV108,4)="Pool",INDEX(Cluster,MATCH(INDEX(Calculation_Tab,MATCH(INDEX($BE$4:$BJ$99,MATCH(BV108,$BE$4:$BE$99,0),3),Flow_Cell_Lane,0),3),Cluster!$F$29:$F$412,0),6),BV108),Identifier_Cluster,0),19)*IF(LEFT(BV108,4)="pool",IF(LEN(INDEX($BE$4:$BJ$99,MATCH(BV108,$BE$4:$BE$99,0),3))=10,2,IF(LEN(INDEX($BE$4:$BJ$99,MATCH(BV108,$BE$4:$BE$99,0),3))&gt;10,LEN(INDEX($BE$4:$BJ$99,MATCH(BV108,$BE$4:$BE$99,0),3))-8,1)),1)*IF(LEFT(BV108,4)="pool",IF(INDEX($BE$4:$BJ$99,MATCH(BV108,$BE$4:$BE$99,0),6)&lt;1,1,INDEX($BE$4:$BJ$99,MATCH(BV108,$BE$4:$BE$99,0),6)),INDEX(Calculation_Tab,MATCH(BV108,Identifier,0),10)),1)*(1+Calculation!$Q$6),"-")</f>
        <v>-</v>
      </c>
      <c r="BZ108" s="378" t="str">
        <f ca="1">IFERROR((0.5/50)*CE108/Calculation!$AG$6*(IF(LEFT(BV108,4)="Pool",IF(LEN(INDEX($BE$4:$BJ$99,MATCH(BV108,$BE$4:$BE$99,0),3))=10,2,IF(LEN(INDEX($BE$4:$BJ$99,MATCH(BV108,$BE$4:$BE$99,0),3))&gt;10,LEN(INDEX($BE$4:$BJ$99,MATCH(BV108,$BE$4:$BE$99,0),3))-8,1)),IF(INDEX(Calculation_Tab,MATCH(BV108,Identifier,0),10)&gt;1,INDEX(Calculation_Tab,MATCH(BV108,Identifier,0),10),1)))*(1+Calculation!$Q$6),"-")</f>
        <v>-</v>
      </c>
      <c r="CA108" s="510" t="str">
        <f ca="1">IFERROR(IF((BZ108*Calculation!$AG$6/0.05)-SUM(BY108:BZ108,CC108)&gt;0,(BZ108*Calculation!$AG$6/0.05)-SUM(BY108:BZ108,CC108),0),"-")</f>
        <v>-</v>
      </c>
      <c r="CB108" s="510" t="str">
        <f ca="1">IFERROR(5/50*CE108*(IF(LEFT(BV108,4)="Pool",IF(LEN(INDEX($BE$4:$BJ$99,MATCH(BV108,$BE$4:$BE$99,0),3))=10,2,IF(LEN(INDEX($BE$4:$BJ$99,MATCH(BV108,$BE$4:$BE$99,0),3))&gt;10,LEN(INDEX($BE$4:$BJ$99,MATCH(BV108,$BE$4:$BE$99,0),3))-8,1)),IF(INDEX(Calculation_Tab,MATCH(BV108,Identifier,0),10)&gt;1,INDEX(Calculation_Tab,MATCH(BV108,Identifier,0),10),1)))*(1+Calculation!$Q$6),"-")</f>
        <v>-</v>
      </c>
      <c r="CC108" s="508" t="str">
        <f ca="1">IFERROR(ROUND(INDEX(Cluster,MATCH(IF(LEFT(BV108,4)="Pool",INDEX(Cluster,MATCH(INDEX(Calculation_Tab,MATCH(INDEX($BE$4:$BJ$99,MATCH(BV108,$BE$4:$BE$99,0),3),Flow_Cell_Lane,0),3),Cluster!$F$29:$F$412,0),6),BV108),Identifier_Cluster,0),20)*IF(LEFT(BV108,4)="pool",IF(LEN(INDEX($BE$4:$BJ$99,MATCH(BV108,$BE$4:$BE$99,0),3))=10,2,IF(LEN(INDEX($BE$4:$BJ$99,MATCH(BV108,$BE$4:$BE$99,0),3))&gt;10,LEN(INDEX($BE$4:$BJ$99,MATCH(BV108,$BE$4:$BE$99,0),3))-8,1)),1)*IF(LEFT(BV108,4)="pool",IF(INDEX($BE$4:$BJ$99,MATCH(BV108,$BE$4:$BE$99,0),6)&lt;1,1,INDEX($BE$4:$BJ$99,MATCH(BV108,$BE$4:$BE$99,0),6)),INDEX(Calculation_Tab,MATCH(BV108,Identifier,0),10)),1)*(1+Calculation!$Q$6),"-")</f>
        <v>-</v>
      </c>
      <c r="CD108" s="509" t="str">
        <f ca="1">IFERROR(INDEX(Cluster!AC:AD,MATCH(IF(LEFT(BV108,4)="Pool",INDEX(Cluster!$D$29:$AA$412,MATCH(INDEX(Calculation_Tab,MATCH(INDEX($BE$4:$BJ$99,MATCH(BV108,$BE$4:$BE$99,0),3),Flow_Cell_Lane,0),3),Cluster!$F$29:$F$412,0),24),INDEX(Cluster!$D$29:$AA$412,MATCH(BV108,Cluster!$F$29:$F$412,0),24)),Cluster!AC:AC,0),2),"-")</f>
        <v>-</v>
      </c>
      <c r="CE108" s="378" t="str">
        <f ca="1">IFERROR(IF(BV108&lt;&gt;"-",Calculation!$AK$6,"-"),"-")</f>
        <v>-</v>
      </c>
      <c r="CF108" s="378" t="str">
        <f ca="1">IF(OR(LEFT(ListAndConversion!BW108,3)="Dil",LEFT(ListAndConversion!BW108,3)="Poo"),ListAndConversion!$BT$4,IF(LEFT(ListAndConversion!BW108,3)="Sou",INDEX(ListAndConversion!$AT$3:$AV$387,MATCH(ListAndConversion!BV108,ListAndConversion!$AV$3:$AV$387,0),1),"-"))</f>
        <v>-</v>
      </c>
      <c r="CG108" s="498" t="str">
        <f ca="1">IF(OR(LEFT(ListAndConversion!BW108,3)="Dil",LEFT(ListAndConversion!BW108,3)="Poo"),ListAndConversion!BU108,IF(LEFT(ListAndConversion!BW108,3)="Sou",INDEX(ListAndConversion!$AT$4:$AV$387,MATCH(ListAndConversion!BV108,ListAndConversion!$AV$4:$AV$387,0),2),"-"))</f>
        <v>-</v>
      </c>
      <c r="CH108" s="378"/>
      <c r="CI108" s="487" t="str">
        <f t="shared" ca="1" si="62"/>
        <v>-</v>
      </c>
      <c r="CJ108" s="378" t="str">
        <f t="shared" ca="1" si="74"/>
        <v>-</v>
      </c>
      <c r="CK108" s="378" t="str">
        <f t="shared" ca="1" si="74"/>
        <v>-</v>
      </c>
      <c r="CL108" s="378" t="str">
        <f t="shared" ca="1" si="74"/>
        <v>-</v>
      </c>
      <c r="CM108" s="378" t="str">
        <f t="shared" ca="1" si="74"/>
        <v>-</v>
      </c>
      <c r="CN108" s="378" t="str">
        <f t="shared" ca="1" si="74"/>
        <v>-</v>
      </c>
      <c r="CO108" s="378" t="str">
        <f t="shared" ca="1" si="74"/>
        <v>-</v>
      </c>
      <c r="CP108" s="378" t="str">
        <f t="shared" ca="1" si="74"/>
        <v>-</v>
      </c>
      <c r="CQ108" s="378" t="str">
        <f t="shared" ca="1" si="74"/>
        <v>-</v>
      </c>
      <c r="CR108" s="510" t="str">
        <f ca="1">IFERROR(IF(LEFT(BW108,3)="Poo",INDEX($BE$4:$BJ$99,MATCH(CI108,$BG$4:$BG$99,0),6)*((15/50))*Calculation!$AK$6,INDEX(Calculation_Tab,MATCH(BV108,Identifier,0),10)/(IF(LEN(INDEX(Calculation_Tab,MATCH(BV108,Identifier,0),9))&gt;8,LEN(INDEX(Calculation_Tab,MATCH(BV108,Identifier,0),9))-8,1))*((15/50)*Calculation!$AK$6)),"-")</f>
        <v>-</v>
      </c>
      <c r="CS108" s="498" t="str">
        <f ca="1">IF(CI108="-","-",IF(COUNTIF($CI$3:CI108,CI108)&gt;1,0,IFERROR((35/50)*Calculation!$AK$6,"-")))</f>
        <v>-</v>
      </c>
    </row>
    <row r="109" spans="4:97" x14ac:dyDescent="0.5">
      <c r="D109" s="487" t="e">
        <f t="shared" si="44"/>
        <v>#DIV/0!</v>
      </c>
      <c r="E109" s="496" t="e">
        <f t="array" ref="E109">IF(IF((ROW(E109)-3)&lt;(ListAndConversion!$A$15),INDEX(Flow_Cell_Lane,MIN(IF(COUNTIF($E$2:E108,Flow_Cell_Lane)=0,ROW(Flow_Cell_Lane)-9))),"-")="","-",IF((ROW(E109)-3)&lt;(ListAndConversion!$A$15),INDEX(Flow_Cell_Lane,MIN(IF(COUNTIF($E$2:E108,Flow_Cell_Lane)=0,ROW(Flow_Cell_Lane)-9))),"-"))</f>
        <v>#DIV/0!</v>
      </c>
      <c r="F109" s="378" t="e">
        <f t="shared" si="45"/>
        <v>#DIV/0!</v>
      </c>
      <c r="G109" s="378" t="e">
        <f t="shared" si="73"/>
        <v>#DIV/0!</v>
      </c>
      <c r="H109" s="378" t="e">
        <f t="shared" si="73"/>
        <v>#DIV/0!</v>
      </c>
      <c r="I109" s="378" t="e">
        <f t="shared" si="73"/>
        <v>#DIV/0!</v>
      </c>
      <c r="J109" s="378" t="e">
        <f t="shared" si="73"/>
        <v>#DIV/0!</v>
      </c>
      <c r="K109" s="378" t="e">
        <f t="shared" si="73"/>
        <v>#DIV/0!</v>
      </c>
      <c r="L109" s="378" t="e">
        <f t="shared" si="73"/>
        <v>#DIV/0!</v>
      </c>
      <c r="M109" s="378" t="e">
        <f t="shared" si="73"/>
        <v>#DIV/0!</v>
      </c>
      <c r="N109" s="497" t="e">
        <f t="shared" si="46"/>
        <v>#DIV/0!</v>
      </c>
      <c r="O109" s="497" t="str">
        <f t="array" ref="O109">IFERROR(INDEX(Calculation!I:AN,MATCH(ListAndConversion!E109,Calculation!I:I,0),31),"-")</f>
        <v>-</v>
      </c>
      <c r="P109" s="498">
        <f>IF(COUNTIFS(Calculation!$I$10:$I$393,E109,Direct_Denaturation,"-")&lt;&gt;1,COUNTIFS(Calculation!$I$10:$I$393,E109,Direct_Denaturation,"-"),0)</f>
        <v>0</v>
      </c>
      <c r="V109" s="542" t="s">
        <v>82</v>
      </c>
      <c r="W109" s="542" t="s">
        <v>82</v>
      </c>
      <c r="X109" s="542" t="s">
        <v>82</v>
      </c>
      <c r="Y109" s="542" t="s">
        <v>82</v>
      </c>
      <c r="Z109" s="542" t="s">
        <v>82</v>
      </c>
      <c r="AA109" s="542" t="s">
        <v>82</v>
      </c>
      <c r="AB109" s="542" t="s">
        <v>82</v>
      </c>
      <c r="AC109" s="542" t="s">
        <v>82</v>
      </c>
      <c r="AD109" s="542" t="s">
        <v>82</v>
      </c>
      <c r="AE109" s="542" t="s">
        <v>82</v>
      </c>
      <c r="AF109" s="542" t="s">
        <v>82</v>
      </c>
      <c r="AG109" s="542" t="s">
        <v>82</v>
      </c>
      <c r="AH109" s="9"/>
      <c r="AI109" s="487">
        <v>106</v>
      </c>
      <c r="AJ109" s="497" t="s">
        <v>161</v>
      </c>
      <c r="AK109" s="378">
        <v>10</v>
      </c>
      <c r="AL109" s="378" t="str">
        <f t="shared" ca="1" si="49"/>
        <v>-</v>
      </c>
      <c r="AM109" s="378" t="str">
        <f t="array" aca="1" ref="AM109" ca="1">IFERROR(IF(AI109&lt;=$AB$2,"-",INDEX(Calculation_Tab,SMALL(ROW(Main_Dil)*(Main_Dil&lt;&gt;"-"),COUNTIF(Main_Dil,"-")+ROW()-3-$AB$2)-9,5)),"-")</f>
        <v>-</v>
      </c>
      <c r="AN109" s="378" t="str">
        <f t="array" aca="1" ref="AN109" ca="1">IFERROR(IF(AI109&lt;=$AB$2,"-",INDEX($A$3:$B$12,MATCH(INDEX(Calculation_Tab,SMALL(ROW(Main_Dil)*(Main_Dil&lt;&gt;"-"),COUNTIF(Main_Dil,"-")+ROW()-3-$AB$2)-9,5),$A$3:$A$12,0),2)),"-")</f>
        <v>-</v>
      </c>
      <c r="AO109" s="378" t="str">
        <f t="array" aca="1" ref="AO109" ca="1">IFERROR(IF(AI109&lt;=$AB$2,"-",INDEX(Coordinate,MATCH(INDEX(Calculation_Tab,SMALL(ROW(Main_Dil)*(Main_Dil&lt;&gt;"-"),COUNTIF(Main_Dil,"-")+ROW()-3-$AB$2)-9,6),$X$4:$X$99,0),2)),"-")</f>
        <v>-</v>
      </c>
      <c r="AP109" s="510" t="str">
        <f t="array" aca="1" ref="AP109" ca="1">IFERROR(IF(AI109&lt;=$AB$2,"-",INDEX(Calculation_Tab,SMALL(ROW(Main_Dil)*(Main_Dil&lt;&gt;"-"),COUNTIF(Main_Dil,"-")+ROW()-3-$AB$2)-9,21)),"-")</f>
        <v>-</v>
      </c>
      <c r="AQ109" s="511" t="str">
        <f t="array" aca="1" ref="AQ109" ca="1">IFERROR(IF(AI109&lt;=$AB$2,"-",INDEX(Calculation_Tab,SMALL(ROW(Main_Dil)*(Main_Dil&lt;&gt;"-"),COUNTIF(Main_Dil,"-")+ROW()-3-$AB$2)-9,22)),"-")</f>
        <v>-</v>
      </c>
      <c r="AR109" s="487" t="str">
        <f t="shared" ca="1" si="50"/>
        <v>-</v>
      </c>
      <c r="AS109" s="378">
        <v>106</v>
      </c>
      <c r="AT109" s="497" t="s">
        <v>161</v>
      </c>
      <c r="AU109" s="498">
        <v>10</v>
      </c>
      <c r="AV109" s="378" t="str">
        <f t="shared" ca="1" si="51"/>
        <v>-</v>
      </c>
      <c r="AW109" s="378" t="str">
        <f t="array" aca="1" ref="AW109" ca="1">IFERROR(IF(AS109&lt;=$AB$2+$AN$2,"-",INDEX(Calculation_Tab,SMALL(ROW(Direct_Denaturation)*(Direct_Denaturation&lt;&gt;"-"),COUNTIF(Direct_Denaturation,"-")+ROW()-3-$AB$2-$AN$2)-9,5)),"-")</f>
        <v>-</v>
      </c>
      <c r="AX109" s="378" t="str">
        <f t="array" aca="1" ref="AX109" ca="1">IFERROR(IF(AS109&lt;=$AB$2+$AN$2,"-",INDEX($A$3:$B$12,MATCH(INDEX(Calculation_Tab,SMALL(ROW(Direct_Denaturation)*(Direct_Denaturation&lt;&gt;"-"),COUNTIF(Direct_Denaturation,"-")+ROW()-3-$AB$2-$AN$2)-9,5),$A$3:$A$12,0),2)),"-")</f>
        <v>-</v>
      </c>
      <c r="AY109" s="378" t="str">
        <f t="array" aca="1" ref="AY109" ca="1">IFERROR(IF(AS109&lt;=$AB$2+$AN$2,"-",INDEX(Coordinate,MATCH(INDEX(Calculation_Tab,SMALL(ROW(Direct_Denaturation)*(Direct_Denaturation&lt;&gt;"-"),COUNTIF(Direct_Denaturation,"-")+ROW()-3-$AB$2-$AN$2)-9,6),$X$4:$X$99,0),2)),"-")</f>
        <v>-</v>
      </c>
      <c r="AZ109" s="510" t="str">
        <f t="array" aca="1" ref="AZ109" ca="1">IFERROR(IF(AS109&lt;=$AB$2+$AN$2,"-",INDEX(Calculation_Tab,SMALL(ROW(Direct_Denaturation)*(Direct_Denaturation&lt;&gt;"-"),COUNTIF(Direct_Denaturation,"-")+ROW()-3-$AB$2-$AN$2)-9,32)),"-")</f>
        <v>-</v>
      </c>
      <c r="BA109" s="510" t="str">
        <f t="array" aca="1" ref="BA109" ca="1">IFERROR(IF(AS109&lt;=$AB$2+$AN$2,"-",INDEX(Calculation_Tab,SMALL(ROW(Direct_Denaturation)*(Direct_Denaturation&lt;&gt;"-"),COUNTIF(Direct_Denaturation,"-")+ROW()-3-$AB$2-$AN$2)-9,34)),"-")</f>
        <v>-</v>
      </c>
      <c r="BB109" s="510" t="str">
        <f t="array" aca="1" ref="BB109" ca="1">IFERROR(IF(AS109&lt;=$AB$2+$AN$2,"-",INDEX(Calculation_Tab,SMALL(ROW(Direct_Denaturation)*(Direct_Denaturation&lt;&gt;"-"),COUNTIF(Direct_Denaturation,"-")+ROW()-3-$AB$2-$AN$2)-9,33)),"-")</f>
        <v>-</v>
      </c>
      <c r="BC109" s="510" t="str">
        <f t="array" aca="1" ref="BC109" ca="1">IFERROR(IF(AS109&lt;=$AB$2+$AN$2,"-",INDEX(Calculation_Tab,SMALL(ROW(Direct_Denaturation)*(Direct_Denaturation&lt;&gt;"-"),COUNTIF(Direct_Denaturation,"-")+ROW()-3-$AB$2-$AN$2)-9,35)),"-")</f>
        <v>-</v>
      </c>
      <c r="BD109" s="511" t="str">
        <f t="shared" ca="1" si="52"/>
        <v>-</v>
      </c>
      <c r="BK109" s="542" t="s">
        <v>82</v>
      </c>
      <c r="BL109" s="542" t="s">
        <v>82</v>
      </c>
      <c r="BM109" s="487" t="str">
        <f t="array" aca="1" ref="BM109" ca="1">IFERROR(INDEX(Calculation_Tab,SMALL(ROW(ToPool)*(ToPool&lt;&gt;"-"),COUNTIF(ToPool,"-")+ROW()-3)-9,3),"-")</f>
        <v>-</v>
      </c>
      <c r="BN109" s="378" t="str">
        <f t="shared" ca="1" si="55"/>
        <v>-</v>
      </c>
      <c r="BO109" s="378" t="str">
        <f t="shared" ca="1" si="56"/>
        <v>-</v>
      </c>
      <c r="BP109" s="523" t="str">
        <f t="shared" ca="1" si="57"/>
        <v>-</v>
      </c>
      <c r="BQ109" s="378" t="str">
        <f t="array" aca="1" ref="BQ109" ca="1">IFERROR(INDEX(BE:BG,MATCH(INDEX(Calculation_Tab,SMALL(ROW(ToPool)*(ToPool&lt;&gt;"-"),COUNTIF(ToPool,"-")+ROW()-3)-9,9),BG:BG,0),2),"-")</f>
        <v>-</v>
      </c>
      <c r="BR109" s="510" t="str">
        <f t="shared" ca="1" si="58"/>
        <v>-</v>
      </c>
      <c r="BS109" s="511" t="str">
        <f t="shared" ca="1" si="59"/>
        <v>-</v>
      </c>
      <c r="BT109" s="543" t="s">
        <v>82</v>
      </c>
      <c r="BU109" s="487" t="str">
        <f t="shared" ca="1" si="63"/>
        <v>-</v>
      </c>
      <c r="BV109" s="487" t="str">
        <f t="array" aca="1" ref="BV10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09" s="378" t="str">
        <f t="shared" ca="1" si="60"/>
        <v>-</v>
      </c>
      <c r="BX109" s="378" t="str">
        <f t="shared" ca="1" si="61"/>
        <v>-</v>
      </c>
      <c r="BY109" s="510" t="str">
        <f ca="1">IFERROR(ROUND(INDEX(Cluster,MATCH(IF(LEFT(BV109,4)="Pool",INDEX(Cluster,MATCH(INDEX(Calculation_Tab,MATCH(INDEX($BE$4:$BJ$99,MATCH(BV109,$BE$4:$BE$99,0),3),Flow_Cell_Lane,0),3),Cluster!$F$29:$F$412,0),6),BV109),Identifier_Cluster,0),19)*IF(LEFT(BV109,4)="pool",IF(LEN(INDEX($BE$4:$BJ$99,MATCH(BV109,$BE$4:$BE$99,0),3))=10,2,IF(LEN(INDEX($BE$4:$BJ$99,MATCH(BV109,$BE$4:$BE$99,0),3))&gt;10,LEN(INDEX($BE$4:$BJ$99,MATCH(BV109,$BE$4:$BE$99,0),3))-8,1)),1)*IF(LEFT(BV109,4)="pool",IF(INDEX($BE$4:$BJ$99,MATCH(BV109,$BE$4:$BE$99,0),6)&lt;1,1,INDEX($BE$4:$BJ$99,MATCH(BV109,$BE$4:$BE$99,0),6)),INDEX(Calculation_Tab,MATCH(BV109,Identifier,0),10)),1)*(1+Calculation!$Q$6),"-")</f>
        <v>-</v>
      </c>
      <c r="BZ109" s="378" t="str">
        <f ca="1">IFERROR((0.5/50)*CE109/Calculation!$AG$6*(IF(LEFT(BV109,4)="Pool",IF(LEN(INDEX($BE$4:$BJ$99,MATCH(BV109,$BE$4:$BE$99,0),3))=10,2,IF(LEN(INDEX($BE$4:$BJ$99,MATCH(BV109,$BE$4:$BE$99,0),3))&gt;10,LEN(INDEX($BE$4:$BJ$99,MATCH(BV109,$BE$4:$BE$99,0),3))-8,1)),IF(INDEX(Calculation_Tab,MATCH(BV109,Identifier,0),10)&gt;1,INDEX(Calculation_Tab,MATCH(BV109,Identifier,0),10),1)))*(1+Calculation!$Q$6),"-")</f>
        <v>-</v>
      </c>
      <c r="CA109" s="510" t="str">
        <f ca="1">IFERROR(IF((BZ109*Calculation!$AG$6/0.05)-SUM(BY109:BZ109,CC109)&gt;0,(BZ109*Calculation!$AG$6/0.05)-SUM(BY109:BZ109,CC109),0),"-")</f>
        <v>-</v>
      </c>
      <c r="CB109" s="510" t="str">
        <f ca="1">IFERROR(5/50*CE109*(IF(LEFT(BV109,4)="Pool",IF(LEN(INDEX($BE$4:$BJ$99,MATCH(BV109,$BE$4:$BE$99,0),3))=10,2,IF(LEN(INDEX($BE$4:$BJ$99,MATCH(BV109,$BE$4:$BE$99,0),3))&gt;10,LEN(INDEX($BE$4:$BJ$99,MATCH(BV109,$BE$4:$BE$99,0),3))-8,1)),IF(INDEX(Calculation_Tab,MATCH(BV109,Identifier,0),10)&gt;1,INDEX(Calculation_Tab,MATCH(BV109,Identifier,0),10),1)))*(1+Calculation!$Q$6),"-")</f>
        <v>-</v>
      </c>
      <c r="CC109" s="508" t="str">
        <f ca="1">IFERROR(ROUND(INDEX(Cluster,MATCH(IF(LEFT(BV109,4)="Pool",INDEX(Cluster,MATCH(INDEX(Calculation_Tab,MATCH(INDEX($BE$4:$BJ$99,MATCH(BV109,$BE$4:$BE$99,0),3),Flow_Cell_Lane,0),3),Cluster!$F$29:$F$412,0),6),BV109),Identifier_Cluster,0),20)*IF(LEFT(BV109,4)="pool",IF(LEN(INDEX($BE$4:$BJ$99,MATCH(BV109,$BE$4:$BE$99,0),3))=10,2,IF(LEN(INDEX($BE$4:$BJ$99,MATCH(BV109,$BE$4:$BE$99,0),3))&gt;10,LEN(INDEX($BE$4:$BJ$99,MATCH(BV109,$BE$4:$BE$99,0),3))-8,1)),1)*IF(LEFT(BV109,4)="pool",IF(INDEX($BE$4:$BJ$99,MATCH(BV109,$BE$4:$BE$99,0),6)&lt;1,1,INDEX($BE$4:$BJ$99,MATCH(BV109,$BE$4:$BE$99,0),6)),INDEX(Calculation_Tab,MATCH(BV109,Identifier,0),10)),1)*(1+Calculation!$Q$6),"-")</f>
        <v>-</v>
      </c>
      <c r="CD109" s="509" t="str">
        <f ca="1">IFERROR(INDEX(Cluster!AC:AD,MATCH(IF(LEFT(BV109,4)="Pool",INDEX(Cluster!$D$29:$AA$412,MATCH(INDEX(Calculation_Tab,MATCH(INDEX($BE$4:$BJ$99,MATCH(BV109,$BE$4:$BE$99,0),3),Flow_Cell_Lane,0),3),Cluster!$F$29:$F$412,0),24),INDEX(Cluster!$D$29:$AA$412,MATCH(BV109,Cluster!$F$29:$F$412,0),24)),Cluster!AC:AC,0),2),"-")</f>
        <v>-</v>
      </c>
      <c r="CE109" s="378" t="str">
        <f ca="1">IFERROR(IF(BV109&lt;&gt;"-",Calculation!$AK$6,"-"),"-")</f>
        <v>-</v>
      </c>
      <c r="CF109" s="378" t="str">
        <f ca="1">IF(OR(LEFT(ListAndConversion!BW109,3)="Dil",LEFT(ListAndConversion!BW109,3)="Poo"),ListAndConversion!$BT$4,IF(LEFT(ListAndConversion!BW109,3)="Sou",INDEX(ListAndConversion!$AT$3:$AV$387,MATCH(ListAndConversion!BV109,ListAndConversion!$AV$3:$AV$387,0),1),"-"))</f>
        <v>-</v>
      </c>
      <c r="CG109" s="498" t="str">
        <f ca="1">IF(OR(LEFT(ListAndConversion!BW109,3)="Dil",LEFT(ListAndConversion!BW109,3)="Poo"),ListAndConversion!BU109,IF(LEFT(ListAndConversion!BW109,3)="Sou",INDEX(ListAndConversion!$AT$4:$AV$387,MATCH(ListAndConversion!BV109,ListAndConversion!$AV$4:$AV$387,0),2),"-"))</f>
        <v>-</v>
      </c>
      <c r="CH109" s="378"/>
      <c r="CI109" s="487" t="str">
        <f t="shared" ca="1" si="62"/>
        <v>-</v>
      </c>
      <c r="CJ109" s="378" t="str">
        <f t="shared" ca="1" si="74"/>
        <v>-</v>
      </c>
      <c r="CK109" s="378" t="str">
        <f t="shared" ca="1" si="74"/>
        <v>-</v>
      </c>
      <c r="CL109" s="378" t="str">
        <f t="shared" ca="1" si="74"/>
        <v>-</v>
      </c>
      <c r="CM109" s="378" t="str">
        <f t="shared" ca="1" si="74"/>
        <v>-</v>
      </c>
      <c r="CN109" s="378" t="str">
        <f t="shared" ca="1" si="74"/>
        <v>-</v>
      </c>
      <c r="CO109" s="378" t="str">
        <f t="shared" ca="1" si="74"/>
        <v>-</v>
      </c>
      <c r="CP109" s="378" t="str">
        <f t="shared" ca="1" si="74"/>
        <v>-</v>
      </c>
      <c r="CQ109" s="378" t="str">
        <f t="shared" ca="1" si="74"/>
        <v>-</v>
      </c>
      <c r="CR109" s="510" t="str">
        <f ca="1">IFERROR(IF(LEFT(BW109,3)="Poo",INDEX($BE$4:$BJ$99,MATCH(CI109,$BG$4:$BG$99,0),6)*((15/50))*Calculation!$AK$6,INDEX(Calculation_Tab,MATCH(BV109,Identifier,0),10)/(IF(LEN(INDEX(Calculation_Tab,MATCH(BV109,Identifier,0),9))&gt;8,LEN(INDEX(Calculation_Tab,MATCH(BV109,Identifier,0),9))-8,1))*((15/50)*Calculation!$AK$6)),"-")</f>
        <v>-</v>
      </c>
      <c r="CS109" s="498" t="str">
        <f ca="1">IF(CI109="-","-",IF(COUNTIF($CI$3:CI109,CI109)&gt;1,0,IFERROR((35/50)*Calculation!$AK$6,"-")))</f>
        <v>-</v>
      </c>
    </row>
    <row r="110" spans="4:97" x14ac:dyDescent="0.5">
      <c r="D110" s="487" t="e">
        <f t="shared" si="44"/>
        <v>#DIV/0!</v>
      </c>
      <c r="E110" s="496" t="e">
        <f t="array" ref="E110">IF(IF((ROW(E110)-3)&lt;(ListAndConversion!$A$15),INDEX(Flow_Cell_Lane,MIN(IF(COUNTIF($E$2:E109,Flow_Cell_Lane)=0,ROW(Flow_Cell_Lane)-9))),"-")="","-",IF((ROW(E110)-3)&lt;(ListAndConversion!$A$15),INDEX(Flow_Cell_Lane,MIN(IF(COUNTIF($E$2:E109,Flow_Cell_Lane)=0,ROW(Flow_Cell_Lane)-9))),"-"))</f>
        <v>#DIV/0!</v>
      </c>
      <c r="F110" s="378" t="e">
        <f t="shared" si="45"/>
        <v>#DIV/0!</v>
      </c>
      <c r="G110" s="378" t="e">
        <f t="shared" si="73"/>
        <v>#DIV/0!</v>
      </c>
      <c r="H110" s="378" t="e">
        <f t="shared" si="73"/>
        <v>#DIV/0!</v>
      </c>
      <c r="I110" s="378" t="e">
        <f t="shared" si="73"/>
        <v>#DIV/0!</v>
      </c>
      <c r="J110" s="378" t="e">
        <f t="shared" si="73"/>
        <v>#DIV/0!</v>
      </c>
      <c r="K110" s="378" t="e">
        <f t="shared" si="73"/>
        <v>#DIV/0!</v>
      </c>
      <c r="L110" s="378" t="e">
        <f t="shared" si="73"/>
        <v>#DIV/0!</v>
      </c>
      <c r="M110" s="378" t="e">
        <f t="shared" si="73"/>
        <v>#DIV/0!</v>
      </c>
      <c r="N110" s="497" t="e">
        <f t="shared" si="46"/>
        <v>#DIV/0!</v>
      </c>
      <c r="O110" s="497" t="str">
        <f t="array" ref="O110">IFERROR(INDEX(Calculation!I:AN,MATCH(ListAndConversion!E110,Calculation!I:I,0),31),"-")</f>
        <v>-</v>
      </c>
      <c r="P110" s="498">
        <f>IF(COUNTIFS(Calculation!$I$10:$I$393,E110,Direct_Denaturation,"-")&lt;&gt;1,COUNTIFS(Calculation!$I$10:$I$393,E110,Direct_Denaturation,"-"),0)</f>
        <v>0</v>
      </c>
      <c r="V110" s="542" t="s">
        <v>82</v>
      </c>
      <c r="W110" s="542" t="s">
        <v>82</v>
      </c>
      <c r="X110" s="542" t="s">
        <v>82</v>
      </c>
      <c r="Y110" s="542" t="s">
        <v>82</v>
      </c>
      <c r="Z110" s="542" t="s">
        <v>82</v>
      </c>
      <c r="AA110" s="542" t="s">
        <v>82</v>
      </c>
      <c r="AB110" s="542" t="s">
        <v>82</v>
      </c>
      <c r="AC110" s="542" t="s">
        <v>82</v>
      </c>
      <c r="AD110" s="542" t="s">
        <v>82</v>
      </c>
      <c r="AE110" s="542" t="s">
        <v>82</v>
      </c>
      <c r="AF110" s="542" t="s">
        <v>82</v>
      </c>
      <c r="AG110" s="542" t="s">
        <v>82</v>
      </c>
      <c r="AH110" s="9"/>
      <c r="AI110" s="487">
        <v>107</v>
      </c>
      <c r="AJ110" s="497" t="s">
        <v>161</v>
      </c>
      <c r="AK110" s="378">
        <v>11</v>
      </c>
      <c r="AL110" s="378" t="str">
        <f t="shared" ca="1" si="49"/>
        <v>-</v>
      </c>
      <c r="AM110" s="378" t="str">
        <f t="array" aca="1" ref="AM110" ca="1">IFERROR(IF(AI110&lt;=$AB$2,"-",INDEX(Calculation_Tab,SMALL(ROW(Main_Dil)*(Main_Dil&lt;&gt;"-"),COUNTIF(Main_Dil,"-")+ROW()-3-$AB$2)-9,5)),"-")</f>
        <v>-</v>
      </c>
      <c r="AN110" s="378" t="str">
        <f t="array" aca="1" ref="AN110" ca="1">IFERROR(IF(AI110&lt;=$AB$2,"-",INDEX($A$3:$B$12,MATCH(INDEX(Calculation_Tab,SMALL(ROW(Main_Dil)*(Main_Dil&lt;&gt;"-"),COUNTIF(Main_Dil,"-")+ROW()-3-$AB$2)-9,5),$A$3:$A$12,0),2)),"-")</f>
        <v>-</v>
      </c>
      <c r="AO110" s="378" t="str">
        <f t="array" aca="1" ref="AO110" ca="1">IFERROR(IF(AI110&lt;=$AB$2,"-",INDEX(Coordinate,MATCH(INDEX(Calculation_Tab,SMALL(ROW(Main_Dil)*(Main_Dil&lt;&gt;"-"),COUNTIF(Main_Dil,"-")+ROW()-3-$AB$2)-9,6),$X$4:$X$99,0),2)),"-")</f>
        <v>-</v>
      </c>
      <c r="AP110" s="510" t="str">
        <f t="array" aca="1" ref="AP110" ca="1">IFERROR(IF(AI110&lt;=$AB$2,"-",INDEX(Calculation_Tab,SMALL(ROW(Main_Dil)*(Main_Dil&lt;&gt;"-"),COUNTIF(Main_Dil,"-")+ROW()-3-$AB$2)-9,21)),"-")</f>
        <v>-</v>
      </c>
      <c r="AQ110" s="511" t="str">
        <f t="array" aca="1" ref="AQ110" ca="1">IFERROR(IF(AI110&lt;=$AB$2,"-",INDEX(Calculation_Tab,SMALL(ROW(Main_Dil)*(Main_Dil&lt;&gt;"-"),COUNTIF(Main_Dil,"-")+ROW()-3-$AB$2)-9,22)),"-")</f>
        <v>-</v>
      </c>
      <c r="AR110" s="487" t="str">
        <f t="shared" ca="1" si="50"/>
        <v>-</v>
      </c>
      <c r="AS110" s="378">
        <v>107</v>
      </c>
      <c r="AT110" s="497" t="s">
        <v>161</v>
      </c>
      <c r="AU110" s="498">
        <v>11</v>
      </c>
      <c r="AV110" s="378" t="str">
        <f t="shared" ca="1" si="51"/>
        <v>-</v>
      </c>
      <c r="AW110" s="378" t="str">
        <f t="array" aca="1" ref="AW110" ca="1">IFERROR(IF(AS110&lt;=$AB$2+$AN$2,"-",INDEX(Calculation_Tab,SMALL(ROW(Direct_Denaturation)*(Direct_Denaturation&lt;&gt;"-"),COUNTIF(Direct_Denaturation,"-")+ROW()-3-$AB$2-$AN$2)-9,5)),"-")</f>
        <v>-</v>
      </c>
      <c r="AX110" s="378" t="str">
        <f t="array" aca="1" ref="AX110" ca="1">IFERROR(IF(AS110&lt;=$AB$2+$AN$2,"-",INDEX($A$3:$B$12,MATCH(INDEX(Calculation_Tab,SMALL(ROW(Direct_Denaturation)*(Direct_Denaturation&lt;&gt;"-"),COUNTIF(Direct_Denaturation,"-")+ROW()-3-$AB$2-$AN$2)-9,5),$A$3:$A$12,0),2)),"-")</f>
        <v>-</v>
      </c>
      <c r="AY110" s="378" t="str">
        <f t="array" aca="1" ref="AY110" ca="1">IFERROR(IF(AS110&lt;=$AB$2+$AN$2,"-",INDEX(Coordinate,MATCH(INDEX(Calculation_Tab,SMALL(ROW(Direct_Denaturation)*(Direct_Denaturation&lt;&gt;"-"),COUNTIF(Direct_Denaturation,"-")+ROW()-3-$AB$2-$AN$2)-9,6),$X$4:$X$99,0),2)),"-")</f>
        <v>-</v>
      </c>
      <c r="AZ110" s="510" t="str">
        <f t="array" aca="1" ref="AZ110" ca="1">IFERROR(IF(AS110&lt;=$AB$2+$AN$2,"-",INDEX(Calculation_Tab,SMALL(ROW(Direct_Denaturation)*(Direct_Denaturation&lt;&gt;"-"),COUNTIF(Direct_Denaturation,"-")+ROW()-3-$AB$2-$AN$2)-9,32)),"-")</f>
        <v>-</v>
      </c>
      <c r="BA110" s="510" t="str">
        <f t="array" aca="1" ref="BA110" ca="1">IFERROR(IF(AS110&lt;=$AB$2+$AN$2,"-",INDEX(Calculation_Tab,SMALL(ROW(Direct_Denaturation)*(Direct_Denaturation&lt;&gt;"-"),COUNTIF(Direct_Denaturation,"-")+ROW()-3-$AB$2-$AN$2)-9,34)),"-")</f>
        <v>-</v>
      </c>
      <c r="BB110" s="510" t="str">
        <f t="array" aca="1" ref="BB110" ca="1">IFERROR(IF(AS110&lt;=$AB$2+$AN$2,"-",INDEX(Calculation_Tab,SMALL(ROW(Direct_Denaturation)*(Direct_Denaturation&lt;&gt;"-"),COUNTIF(Direct_Denaturation,"-")+ROW()-3-$AB$2-$AN$2)-9,33)),"-")</f>
        <v>-</v>
      </c>
      <c r="BC110" s="510" t="str">
        <f t="array" aca="1" ref="BC110" ca="1">IFERROR(IF(AS110&lt;=$AB$2+$AN$2,"-",INDEX(Calculation_Tab,SMALL(ROW(Direct_Denaturation)*(Direct_Denaturation&lt;&gt;"-"),COUNTIF(Direct_Denaturation,"-")+ROW()-3-$AB$2-$AN$2)-9,35)),"-")</f>
        <v>-</v>
      </c>
      <c r="BD110" s="511" t="str">
        <f t="shared" ca="1" si="52"/>
        <v>-</v>
      </c>
      <c r="BK110" s="542" t="s">
        <v>82</v>
      </c>
      <c r="BL110" s="542" t="s">
        <v>82</v>
      </c>
      <c r="BM110" s="487" t="str">
        <f t="array" aca="1" ref="BM110" ca="1">IFERROR(INDEX(Calculation_Tab,SMALL(ROW(ToPool)*(ToPool&lt;&gt;"-"),COUNTIF(ToPool,"-")+ROW()-3)-9,3),"-")</f>
        <v>-</v>
      </c>
      <c r="BN110" s="378" t="str">
        <f t="shared" ca="1" si="55"/>
        <v>-</v>
      </c>
      <c r="BO110" s="378" t="str">
        <f t="shared" ca="1" si="56"/>
        <v>-</v>
      </c>
      <c r="BP110" s="523" t="str">
        <f t="shared" ca="1" si="57"/>
        <v>-</v>
      </c>
      <c r="BQ110" s="378" t="str">
        <f t="array" aca="1" ref="BQ110" ca="1">IFERROR(INDEX(BE:BG,MATCH(INDEX(Calculation_Tab,SMALL(ROW(ToPool)*(ToPool&lt;&gt;"-"),COUNTIF(ToPool,"-")+ROW()-3)-9,9),BG:BG,0),2),"-")</f>
        <v>-</v>
      </c>
      <c r="BR110" s="510" t="str">
        <f t="shared" ca="1" si="58"/>
        <v>-</v>
      </c>
      <c r="BS110" s="511" t="str">
        <f t="shared" ca="1" si="59"/>
        <v>-</v>
      </c>
      <c r="BT110" s="543" t="s">
        <v>82</v>
      </c>
      <c r="BU110" s="487" t="str">
        <f t="shared" ca="1" si="63"/>
        <v>-</v>
      </c>
      <c r="BV110" s="487" t="str">
        <f t="array" aca="1" ref="BV11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10" s="378" t="str">
        <f t="shared" ca="1" si="60"/>
        <v>-</v>
      </c>
      <c r="BX110" s="378" t="str">
        <f t="shared" ca="1" si="61"/>
        <v>-</v>
      </c>
      <c r="BY110" s="510" t="str">
        <f ca="1">IFERROR(ROUND(INDEX(Cluster,MATCH(IF(LEFT(BV110,4)="Pool",INDEX(Cluster,MATCH(INDEX(Calculation_Tab,MATCH(INDEX($BE$4:$BJ$99,MATCH(BV110,$BE$4:$BE$99,0),3),Flow_Cell_Lane,0),3),Cluster!$F$29:$F$412,0),6),BV110),Identifier_Cluster,0),19)*IF(LEFT(BV110,4)="pool",IF(LEN(INDEX($BE$4:$BJ$99,MATCH(BV110,$BE$4:$BE$99,0),3))=10,2,IF(LEN(INDEX($BE$4:$BJ$99,MATCH(BV110,$BE$4:$BE$99,0),3))&gt;10,LEN(INDEX($BE$4:$BJ$99,MATCH(BV110,$BE$4:$BE$99,0),3))-8,1)),1)*IF(LEFT(BV110,4)="pool",IF(INDEX($BE$4:$BJ$99,MATCH(BV110,$BE$4:$BE$99,0),6)&lt;1,1,INDEX($BE$4:$BJ$99,MATCH(BV110,$BE$4:$BE$99,0),6)),INDEX(Calculation_Tab,MATCH(BV110,Identifier,0),10)),1)*(1+Calculation!$Q$6),"-")</f>
        <v>-</v>
      </c>
      <c r="BZ110" s="378" t="str">
        <f ca="1">IFERROR((0.5/50)*CE110/Calculation!$AG$6*(IF(LEFT(BV110,4)="Pool",IF(LEN(INDEX($BE$4:$BJ$99,MATCH(BV110,$BE$4:$BE$99,0),3))=10,2,IF(LEN(INDEX($BE$4:$BJ$99,MATCH(BV110,$BE$4:$BE$99,0),3))&gt;10,LEN(INDEX($BE$4:$BJ$99,MATCH(BV110,$BE$4:$BE$99,0),3))-8,1)),IF(INDEX(Calculation_Tab,MATCH(BV110,Identifier,0),10)&gt;1,INDEX(Calculation_Tab,MATCH(BV110,Identifier,0),10),1)))*(1+Calculation!$Q$6),"-")</f>
        <v>-</v>
      </c>
      <c r="CA110" s="510" t="str">
        <f ca="1">IFERROR(IF((BZ110*Calculation!$AG$6/0.05)-SUM(BY110:BZ110,CC110)&gt;0,(BZ110*Calculation!$AG$6/0.05)-SUM(BY110:BZ110,CC110),0),"-")</f>
        <v>-</v>
      </c>
      <c r="CB110" s="510" t="str">
        <f ca="1">IFERROR(5/50*CE110*(IF(LEFT(BV110,4)="Pool",IF(LEN(INDEX($BE$4:$BJ$99,MATCH(BV110,$BE$4:$BE$99,0),3))=10,2,IF(LEN(INDEX($BE$4:$BJ$99,MATCH(BV110,$BE$4:$BE$99,0),3))&gt;10,LEN(INDEX($BE$4:$BJ$99,MATCH(BV110,$BE$4:$BE$99,0),3))-8,1)),IF(INDEX(Calculation_Tab,MATCH(BV110,Identifier,0),10)&gt;1,INDEX(Calculation_Tab,MATCH(BV110,Identifier,0),10),1)))*(1+Calculation!$Q$6),"-")</f>
        <v>-</v>
      </c>
      <c r="CC110" s="508" t="str">
        <f ca="1">IFERROR(ROUND(INDEX(Cluster,MATCH(IF(LEFT(BV110,4)="Pool",INDEX(Cluster,MATCH(INDEX(Calculation_Tab,MATCH(INDEX($BE$4:$BJ$99,MATCH(BV110,$BE$4:$BE$99,0),3),Flow_Cell_Lane,0),3),Cluster!$F$29:$F$412,0),6),BV110),Identifier_Cluster,0),20)*IF(LEFT(BV110,4)="pool",IF(LEN(INDEX($BE$4:$BJ$99,MATCH(BV110,$BE$4:$BE$99,0),3))=10,2,IF(LEN(INDEX($BE$4:$BJ$99,MATCH(BV110,$BE$4:$BE$99,0),3))&gt;10,LEN(INDEX($BE$4:$BJ$99,MATCH(BV110,$BE$4:$BE$99,0),3))-8,1)),1)*IF(LEFT(BV110,4)="pool",IF(INDEX($BE$4:$BJ$99,MATCH(BV110,$BE$4:$BE$99,0),6)&lt;1,1,INDEX($BE$4:$BJ$99,MATCH(BV110,$BE$4:$BE$99,0),6)),INDEX(Calculation_Tab,MATCH(BV110,Identifier,0),10)),1)*(1+Calculation!$Q$6),"-")</f>
        <v>-</v>
      </c>
      <c r="CD110" s="509" t="str">
        <f ca="1">IFERROR(INDEX(Cluster!AC:AD,MATCH(IF(LEFT(BV110,4)="Pool",INDEX(Cluster!$D$29:$AA$412,MATCH(INDEX(Calculation_Tab,MATCH(INDEX($BE$4:$BJ$99,MATCH(BV110,$BE$4:$BE$99,0),3),Flow_Cell_Lane,0),3),Cluster!$F$29:$F$412,0),24),INDEX(Cluster!$D$29:$AA$412,MATCH(BV110,Cluster!$F$29:$F$412,0),24)),Cluster!AC:AC,0),2),"-")</f>
        <v>-</v>
      </c>
      <c r="CE110" s="378" t="str">
        <f ca="1">IFERROR(IF(BV110&lt;&gt;"-",Calculation!$AK$6,"-"),"-")</f>
        <v>-</v>
      </c>
      <c r="CF110" s="378" t="str">
        <f ca="1">IF(OR(LEFT(ListAndConversion!BW110,3)="Dil",LEFT(ListAndConversion!BW110,3)="Poo"),ListAndConversion!$BT$4,IF(LEFT(ListAndConversion!BW110,3)="Sou",INDEX(ListAndConversion!$AT$3:$AV$387,MATCH(ListAndConversion!BV110,ListAndConversion!$AV$3:$AV$387,0),1),"-"))</f>
        <v>-</v>
      </c>
      <c r="CG110" s="498" t="str">
        <f ca="1">IF(OR(LEFT(ListAndConversion!BW110,3)="Dil",LEFT(ListAndConversion!BW110,3)="Poo"),ListAndConversion!BU110,IF(LEFT(ListAndConversion!BW110,3)="Sou",INDEX(ListAndConversion!$AT$4:$AV$387,MATCH(ListAndConversion!BV110,ListAndConversion!$AV$4:$AV$387,0),2),"-"))</f>
        <v>-</v>
      </c>
      <c r="CH110" s="378"/>
      <c r="CI110" s="487" t="str">
        <f t="shared" ca="1" si="62"/>
        <v>-</v>
      </c>
      <c r="CJ110" s="378" t="str">
        <f t="shared" ca="1" si="74"/>
        <v>-</v>
      </c>
      <c r="CK110" s="378" t="str">
        <f t="shared" ca="1" si="74"/>
        <v>-</v>
      </c>
      <c r="CL110" s="378" t="str">
        <f t="shared" ca="1" si="74"/>
        <v>-</v>
      </c>
      <c r="CM110" s="378" t="str">
        <f t="shared" ca="1" si="74"/>
        <v>-</v>
      </c>
      <c r="CN110" s="378" t="str">
        <f t="shared" ca="1" si="74"/>
        <v>-</v>
      </c>
      <c r="CO110" s="378" t="str">
        <f t="shared" ca="1" si="74"/>
        <v>-</v>
      </c>
      <c r="CP110" s="378" t="str">
        <f t="shared" ca="1" si="74"/>
        <v>-</v>
      </c>
      <c r="CQ110" s="378" t="str">
        <f t="shared" ca="1" si="74"/>
        <v>-</v>
      </c>
      <c r="CR110" s="510" t="str">
        <f ca="1">IFERROR(IF(LEFT(BW110,3)="Poo",INDEX($BE$4:$BJ$99,MATCH(CI110,$BG$4:$BG$99,0),6)*((15/50))*Calculation!$AK$6,INDEX(Calculation_Tab,MATCH(BV110,Identifier,0),10)/(IF(LEN(INDEX(Calculation_Tab,MATCH(BV110,Identifier,0),9))&gt;8,LEN(INDEX(Calculation_Tab,MATCH(BV110,Identifier,0),9))-8,1))*((15/50)*Calculation!$AK$6)),"-")</f>
        <v>-</v>
      </c>
      <c r="CS110" s="498" t="str">
        <f ca="1">IF(CI110="-","-",IF(COUNTIF($CI$3:CI110,CI110)&gt;1,0,IFERROR((35/50)*Calculation!$AK$6,"-")))</f>
        <v>-</v>
      </c>
    </row>
    <row r="111" spans="4:97" x14ac:dyDescent="0.5">
      <c r="D111" s="487" t="e">
        <f t="shared" si="44"/>
        <v>#DIV/0!</v>
      </c>
      <c r="E111" s="496" t="e">
        <f t="array" ref="E111">IF(IF((ROW(E111)-3)&lt;(ListAndConversion!$A$15),INDEX(Flow_Cell_Lane,MIN(IF(COUNTIF($E$2:E110,Flow_Cell_Lane)=0,ROW(Flow_Cell_Lane)-9))),"-")="","-",IF((ROW(E111)-3)&lt;(ListAndConversion!$A$15),INDEX(Flow_Cell_Lane,MIN(IF(COUNTIF($E$2:E110,Flow_Cell_Lane)=0,ROW(Flow_Cell_Lane)-9))),"-"))</f>
        <v>#DIV/0!</v>
      </c>
      <c r="F111" s="378" t="e">
        <f t="shared" si="45"/>
        <v>#DIV/0!</v>
      </c>
      <c r="G111" s="378" t="e">
        <f t="shared" si="73"/>
        <v>#DIV/0!</v>
      </c>
      <c r="H111" s="378" t="e">
        <f t="shared" si="73"/>
        <v>#DIV/0!</v>
      </c>
      <c r="I111" s="378" t="e">
        <f t="shared" si="73"/>
        <v>#DIV/0!</v>
      </c>
      <c r="J111" s="378" t="e">
        <f t="shared" si="73"/>
        <v>#DIV/0!</v>
      </c>
      <c r="K111" s="378" t="e">
        <f t="shared" si="73"/>
        <v>#DIV/0!</v>
      </c>
      <c r="L111" s="378" t="e">
        <f t="shared" si="73"/>
        <v>#DIV/0!</v>
      </c>
      <c r="M111" s="378" t="e">
        <f t="shared" si="73"/>
        <v>#DIV/0!</v>
      </c>
      <c r="N111" s="497" t="e">
        <f t="shared" si="46"/>
        <v>#DIV/0!</v>
      </c>
      <c r="O111" s="497" t="str">
        <f t="array" ref="O111">IFERROR(INDEX(Calculation!I:AN,MATCH(ListAndConversion!E111,Calculation!I:I,0),31),"-")</f>
        <v>-</v>
      </c>
      <c r="P111" s="498">
        <f>IF(COUNTIFS(Calculation!$I$10:$I$393,E111,Direct_Denaturation,"-")&lt;&gt;1,COUNTIFS(Calculation!$I$10:$I$393,E111,Direct_Denaturation,"-"),0)</f>
        <v>0</v>
      </c>
      <c r="V111" s="542" t="s">
        <v>82</v>
      </c>
      <c r="W111" s="542" t="s">
        <v>82</v>
      </c>
      <c r="X111" s="542" t="s">
        <v>82</v>
      </c>
      <c r="Y111" s="542" t="s">
        <v>82</v>
      </c>
      <c r="Z111" s="542" t="s">
        <v>82</v>
      </c>
      <c r="AA111" s="542" t="s">
        <v>82</v>
      </c>
      <c r="AB111" s="542" t="s">
        <v>82</v>
      </c>
      <c r="AC111" s="542" t="s">
        <v>82</v>
      </c>
      <c r="AD111" s="542" t="s">
        <v>82</v>
      </c>
      <c r="AE111" s="542" t="s">
        <v>82</v>
      </c>
      <c r="AF111" s="542" t="s">
        <v>82</v>
      </c>
      <c r="AG111" s="542" t="s">
        <v>82</v>
      </c>
      <c r="AH111" s="9"/>
      <c r="AI111" s="487">
        <v>108</v>
      </c>
      <c r="AJ111" s="497" t="s">
        <v>161</v>
      </c>
      <c r="AK111" s="378">
        <v>12</v>
      </c>
      <c r="AL111" s="378" t="str">
        <f t="shared" ca="1" si="49"/>
        <v>-</v>
      </c>
      <c r="AM111" s="378" t="str">
        <f t="array" aca="1" ref="AM111" ca="1">IFERROR(IF(AI111&lt;=$AB$2,"-",INDEX(Calculation_Tab,SMALL(ROW(Main_Dil)*(Main_Dil&lt;&gt;"-"),COUNTIF(Main_Dil,"-")+ROW()-3-$AB$2)-9,5)),"-")</f>
        <v>-</v>
      </c>
      <c r="AN111" s="378" t="str">
        <f t="array" aca="1" ref="AN111" ca="1">IFERROR(IF(AI111&lt;=$AB$2,"-",INDEX($A$3:$B$12,MATCH(INDEX(Calculation_Tab,SMALL(ROW(Main_Dil)*(Main_Dil&lt;&gt;"-"),COUNTIF(Main_Dil,"-")+ROW()-3-$AB$2)-9,5),$A$3:$A$12,0),2)),"-")</f>
        <v>-</v>
      </c>
      <c r="AO111" s="378" t="str">
        <f t="array" aca="1" ref="AO111" ca="1">IFERROR(IF(AI111&lt;=$AB$2,"-",INDEX(Coordinate,MATCH(INDEX(Calculation_Tab,SMALL(ROW(Main_Dil)*(Main_Dil&lt;&gt;"-"),COUNTIF(Main_Dil,"-")+ROW()-3-$AB$2)-9,6),$X$4:$X$99,0),2)),"-")</f>
        <v>-</v>
      </c>
      <c r="AP111" s="510" t="str">
        <f t="array" aca="1" ref="AP111" ca="1">IFERROR(IF(AI111&lt;=$AB$2,"-",INDEX(Calculation_Tab,SMALL(ROW(Main_Dil)*(Main_Dil&lt;&gt;"-"),COUNTIF(Main_Dil,"-")+ROW()-3-$AB$2)-9,21)),"-")</f>
        <v>-</v>
      </c>
      <c r="AQ111" s="511" t="str">
        <f t="array" aca="1" ref="AQ111" ca="1">IFERROR(IF(AI111&lt;=$AB$2,"-",INDEX(Calculation_Tab,SMALL(ROW(Main_Dil)*(Main_Dil&lt;&gt;"-"),COUNTIF(Main_Dil,"-")+ROW()-3-$AB$2)-9,22)),"-")</f>
        <v>-</v>
      </c>
      <c r="AR111" s="487" t="str">
        <f t="shared" ca="1" si="50"/>
        <v>-</v>
      </c>
      <c r="AS111" s="378">
        <v>108</v>
      </c>
      <c r="AT111" s="497" t="s">
        <v>161</v>
      </c>
      <c r="AU111" s="498">
        <v>12</v>
      </c>
      <c r="AV111" s="378" t="str">
        <f t="shared" ca="1" si="51"/>
        <v>-</v>
      </c>
      <c r="AW111" s="378" t="str">
        <f t="array" aca="1" ref="AW111" ca="1">IFERROR(IF(AS111&lt;=$AB$2+$AN$2,"-",INDEX(Calculation_Tab,SMALL(ROW(Direct_Denaturation)*(Direct_Denaturation&lt;&gt;"-"),COUNTIF(Direct_Denaturation,"-")+ROW()-3-$AB$2-$AN$2)-9,5)),"-")</f>
        <v>-</v>
      </c>
      <c r="AX111" s="378" t="str">
        <f t="array" aca="1" ref="AX111" ca="1">IFERROR(IF(AS111&lt;=$AB$2+$AN$2,"-",INDEX($A$3:$B$12,MATCH(INDEX(Calculation_Tab,SMALL(ROW(Direct_Denaturation)*(Direct_Denaturation&lt;&gt;"-"),COUNTIF(Direct_Denaturation,"-")+ROW()-3-$AB$2-$AN$2)-9,5),$A$3:$A$12,0),2)),"-")</f>
        <v>-</v>
      </c>
      <c r="AY111" s="378" t="str">
        <f t="array" aca="1" ref="AY111" ca="1">IFERROR(IF(AS111&lt;=$AB$2+$AN$2,"-",INDEX(Coordinate,MATCH(INDEX(Calculation_Tab,SMALL(ROW(Direct_Denaturation)*(Direct_Denaturation&lt;&gt;"-"),COUNTIF(Direct_Denaturation,"-")+ROW()-3-$AB$2-$AN$2)-9,6),$X$4:$X$99,0),2)),"-")</f>
        <v>-</v>
      </c>
      <c r="AZ111" s="510" t="str">
        <f t="array" aca="1" ref="AZ111" ca="1">IFERROR(IF(AS111&lt;=$AB$2+$AN$2,"-",INDEX(Calculation_Tab,SMALL(ROW(Direct_Denaturation)*(Direct_Denaturation&lt;&gt;"-"),COUNTIF(Direct_Denaturation,"-")+ROW()-3-$AB$2-$AN$2)-9,32)),"-")</f>
        <v>-</v>
      </c>
      <c r="BA111" s="510" t="str">
        <f t="array" aca="1" ref="BA111" ca="1">IFERROR(IF(AS111&lt;=$AB$2+$AN$2,"-",INDEX(Calculation_Tab,SMALL(ROW(Direct_Denaturation)*(Direct_Denaturation&lt;&gt;"-"),COUNTIF(Direct_Denaturation,"-")+ROW()-3-$AB$2-$AN$2)-9,34)),"-")</f>
        <v>-</v>
      </c>
      <c r="BB111" s="510" t="str">
        <f t="array" aca="1" ref="BB111" ca="1">IFERROR(IF(AS111&lt;=$AB$2+$AN$2,"-",INDEX(Calculation_Tab,SMALL(ROW(Direct_Denaturation)*(Direct_Denaturation&lt;&gt;"-"),COUNTIF(Direct_Denaturation,"-")+ROW()-3-$AB$2-$AN$2)-9,33)),"-")</f>
        <v>-</v>
      </c>
      <c r="BC111" s="510" t="str">
        <f t="array" aca="1" ref="BC111" ca="1">IFERROR(IF(AS111&lt;=$AB$2+$AN$2,"-",INDEX(Calculation_Tab,SMALL(ROW(Direct_Denaturation)*(Direct_Denaturation&lt;&gt;"-"),COUNTIF(Direct_Denaturation,"-")+ROW()-3-$AB$2-$AN$2)-9,35)),"-")</f>
        <v>-</v>
      </c>
      <c r="BD111" s="511" t="str">
        <f t="shared" ca="1" si="52"/>
        <v>-</v>
      </c>
      <c r="BK111" s="542" t="s">
        <v>82</v>
      </c>
      <c r="BL111" s="542" t="s">
        <v>82</v>
      </c>
      <c r="BM111" s="487" t="str">
        <f t="array" aca="1" ref="BM111" ca="1">IFERROR(INDEX(Calculation_Tab,SMALL(ROW(ToPool)*(ToPool&lt;&gt;"-"),COUNTIF(ToPool,"-")+ROW()-3)-9,3),"-")</f>
        <v>-</v>
      </c>
      <c r="BN111" s="378" t="str">
        <f t="shared" ca="1" si="55"/>
        <v>-</v>
      </c>
      <c r="BO111" s="378" t="str">
        <f t="shared" ca="1" si="56"/>
        <v>-</v>
      </c>
      <c r="BP111" s="523" t="str">
        <f t="shared" ca="1" si="57"/>
        <v>-</v>
      </c>
      <c r="BQ111" s="378" t="str">
        <f t="array" aca="1" ref="BQ111" ca="1">IFERROR(INDEX(BE:BG,MATCH(INDEX(Calculation_Tab,SMALL(ROW(ToPool)*(ToPool&lt;&gt;"-"),COUNTIF(ToPool,"-")+ROW()-3)-9,9),BG:BG,0),2),"-")</f>
        <v>-</v>
      </c>
      <c r="BR111" s="510" t="str">
        <f t="shared" ca="1" si="58"/>
        <v>-</v>
      </c>
      <c r="BS111" s="511" t="str">
        <f t="shared" ca="1" si="59"/>
        <v>-</v>
      </c>
      <c r="BT111" s="543" t="s">
        <v>82</v>
      </c>
      <c r="BU111" s="487" t="str">
        <f t="shared" ca="1" si="63"/>
        <v>-</v>
      </c>
      <c r="BV111" s="487" t="str">
        <f t="array" aca="1" ref="BV11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11" s="378" t="str">
        <f t="shared" ca="1" si="60"/>
        <v>-</v>
      </c>
      <c r="BX111" s="378" t="str">
        <f t="shared" ca="1" si="61"/>
        <v>-</v>
      </c>
      <c r="BY111" s="510" t="str">
        <f ca="1">IFERROR(ROUND(INDEX(Cluster,MATCH(IF(LEFT(BV111,4)="Pool",INDEX(Cluster,MATCH(INDEX(Calculation_Tab,MATCH(INDEX($BE$4:$BJ$99,MATCH(BV111,$BE$4:$BE$99,0),3),Flow_Cell_Lane,0),3),Cluster!$F$29:$F$412,0),6),BV111),Identifier_Cluster,0),19)*IF(LEFT(BV111,4)="pool",IF(LEN(INDEX($BE$4:$BJ$99,MATCH(BV111,$BE$4:$BE$99,0),3))=10,2,IF(LEN(INDEX($BE$4:$BJ$99,MATCH(BV111,$BE$4:$BE$99,0),3))&gt;10,LEN(INDEX($BE$4:$BJ$99,MATCH(BV111,$BE$4:$BE$99,0),3))-8,1)),1)*IF(LEFT(BV111,4)="pool",IF(INDEX($BE$4:$BJ$99,MATCH(BV111,$BE$4:$BE$99,0),6)&lt;1,1,INDEX($BE$4:$BJ$99,MATCH(BV111,$BE$4:$BE$99,0),6)),INDEX(Calculation_Tab,MATCH(BV111,Identifier,0),10)),1)*(1+Calculation!$Q$6),"-")</f>
        <v>-</v>
      </c>
      <c r="BZ111" s="378" t="str">
        <f ca="1">IFERROR((0.5/50)*CE111/Calculation!$AG$6*(IF(LEFT(BV111,4)="Pool",IF(LEN(INDEX($BE$4:$BJ$99,MATCH(BV111,$BE$4:$BE$99,0),3))=10,2,IF(LEN(INDEX($BE$4:$BJ$99,MATCH(BV111,$BE$4:$BE$99,0),3))&gt;10,LEN(INDEX($BE$4:$BJ$99,MATCH(BV111,$BE$4:$BE$99,0),3))-8,1)),IF(INDEX(Calculation_Tab,MATCH(BV111,Identifier,0),10)&gt;1,INDEX(Calculation_Tab,MATCH(BV111,Identifier,0),10),1)))*(1+Calculation!$Q$6),"-")</f>
        <v>-</v>
      </c>
      <c r="CA111" s="510" t="str">
        <f ca="1">IFERROR(IF((BZ111*Calculation!$AG$6/0.05)-SUM(BY111:BZ111,CC111)&gt;0,(BZ111*Calculation!$AG$6/0.05)-SUM(BY111:BZ111,CC111),0),"-")</f>
        <v>-</v>
      </c>
      <c r="CB111" s="510" t="str">
        <f ca="1">IFERROR(5/50*CE111*(IF(LEFT(BV111,4)="Pool",IF(LEN(INDEX($BE$4:$BJ$99,MATCH(BV111,$BE$4:$BE$99,0),3))=10,2,IF(LEN(INDEX($BE$4:$BJ$99,MATCH(BV111,$BE$4:$BE$99,0),3))&gt;10,LEN(INDEX($BE$4:$BJ$99,MATCH(BV111,$BE$4:$BE$99,0),3))-8,1)),IF(INDEX(Calculation_Tab,MATCH(BV111,Identifier,0),10)&gt;1,INDEX(Calculation_Tab,MATCH(BV111,Identifier,0),10),1)))*(1+Calculation!$Q$6),"-")</f>
        <v>-</v>
      </c>
      <c r="CC111" s="508" t="str">
        <f ca="1">IFERROR(ROUND(INDEX(Cluster,MATCH(IF(LEFT(BV111,4)="Pool",INDEX(Cluster,MATCH(INDEX(Calculation_Tab,MATCH(INDEX($BE$4:$BJ$99,MATCH(BV111,$BE$4:$BE$99,0),3),Flow_Cell_Lane,0),3),Cluster!$F$29:$F$412,0),6),BV111),Identifier_Cluster,0),20)*IF(LEFT(BV111,4)="pool",IF(LEN(INDEX($BE$4:$BJ$99,MATCH(BV111,$BE$4:$BE$99,0),3))=10,2,IF(LEN(INDEX($BE$4:$BJ$99,MATCH(BV111,$BE$4:$BE$99,0),3))&gt;10,LEN(INDEX($BE$4:$BJ$99,MATCH(BV111,$BE$4:$BE$99,0),3))-8,1)),1)*IF(LEFT(BV111,4)="pool",IF(INDEX($BE$4:$BJ$99,MATCH(BV111,$BE$4:$BE$99,0),6)&lt;1,1,INDEX($BE$4:$BJ$99,MATCH(BV111,$BE$4:$BE$99,0),6)),INDEX(Calculation_Tab,MATCH(BV111,Identifier,0),10)),1)*(1+Calculation!$Q$6),"-")</f>
        <v>-</v>
      </c>
      <c r="CD111" s="509" t="str">
        <f ca="1">IFERROR(INDEX(Cluster!AC:AD,MATCH(IF(LEFT(BV111,4)="Pool",INDEX(Cluster!$D$29:$AA$412,MATCH(INDEX(Calculation_Tab,MATCH(INDEX($BE$4:$BJ$99,MATCH(BV111,$BE$4:$BE$99,0),3),Flow_Cell_Lane,0),3),Cluster!$F$29:$F$412,0),24),INDEX(Cluster!$D$29:$AA$412,MATCH(BV111,Cluster!$F$29:$F$412,0),24)),Cluster!AC:AC,0),2),"-")</f>
        <v>-</v>
      </c>
      <c r="CE111" s="378" t="str">
        <f ca="1">IFERROR(IF(BV111&lt;&gt;"-",Calculation!$AK$6,"-"),"-")</f>
        <v>-</v>
      </c>
      <c r="CF111" s="378" t="str">
        <f ca="1">IF(OR(LEFT(ListAndConversion!BW111,3)="Dil",LEFT(ListAndConversion!BW111,3)="Poo"),ListAndConversion!$BT$4,IF(LEFT(ListAndConversion!BW111,3)="Sou",INDEX(ListAndConversion!$AT$3:$AV$387,MATCH(ListAndConversion!BV111,ListAndConversion!$AV$3:$AV$387,0),1),"-"))</f>
        <v>-</v>
      </c>
      <c r="CG111" s="498" t="str">
        <f ca="1">IF(OR(LEFT(ListAndConversion!BW111,3)="Dil",LEFT(ListAndConversion!BW111,3)="Poo"),ListAndConversion!BU111,IF(LEFT(ListAndConversion!BW111,3)="Sou",INDEX(ListAndConversion!$AT$4:$AV$387,MATCH(ListAndConversion!BV111,ListAndConversion!$AV$4:$AV$387,0),2),"-"))</f>
        <v>-</v>
      </c>
      <c r="CH111" s="378"/>
      <c r="CI111" s="487" t="str">
        <f t="shared" ca="1" si="62"/>
        <v>-</v>
      </c>
      <c r="CJ111" s="378" t="str">
        <f t="shared" ca="1" si="74"/>
        <v>-</v>
      </c>
      <c r="CK111" s="378" t="str">
        <f t="shared" ca="1" si="74"/>
        <v>-</v>
      </c>
      <c r="CL111" s="378" t="str">
        <f t="shared" ca="1" si="74"/>
        <v>-</v>
      </c>
      <c r="CM111" s="378" t="str">
        <f t="shared" ca="1" si="74"/>
        <v>-</v>
      </c>
      <c r="CN111" s="378" t="str">
        <f t="shared" ca="1" si="74"/>
        <v>-</v>
      </c>
      <c r="CO111" s="378" t="str">
        <f t="shared" ca="1" si="74"/>
        <v>-</v>
      </c>
      <c r="CP111" s="378" t="str">
        <f t="shared" ca="1" si="74"/>
        <v>-</v>
      </c>
      <c r="CQ111" s="378" t="str">
        <f t="shared" ca="1" si="74"/>
        <v>-</v>
      </c>
      <c r="CR111" s="510" t="str">
        <f ca="1">IFERROR(IF(LEFT(BW111,3)="Poo",INDEX($BE$4:$BJ$99,MATCH(CI111,$BG$4:$BG$99,0),6)*((15/50))*Calculation!$AK$6,INDEX(Calculation_Tab,MATCH(BV111,Identifier,0),10)/(IF(LEN(INDEX(Calculation_Tab,MATCH(BV111,Identifier,0),9))&gt;8,LEN(INDEX(Calculation_Tab,MATCH(BV111,Identifier,0),9))-8,1))*((15/50)*Calculation!$AK$6)),"-")</f>
        <v>-</v>
      </c>
      <c r="CS111" s="498" t="str">
        <f ca="1">IF(CI111="-","-",IF(COUNTIF($CI$3:CI111,CI111)&gt;1,0,IFERROR((35/50)*Calculation!$AK$6,"-")))</f>
        <v>-</v>
      </c>
    </row>
    <row r="112" spans="4:97" x14ac:dyDescent="0.5">
      <c r="D112" s="487" t="e">
        <f t="shared" si="44"/>
        <v>#DIV/0!</v>
      </c>
      <c r="E112" s="496" t="e">
        <f t="array" ref="E112">IF(IF((ROW(E112)-3)&lt;(ListAndConversion!$A$15),INDEX(Flow_Cell_Lane,MIN(IF(COUNTIF($E$2:E111,Flow_Cell_Lane)=0,ROW(Flow_Cell_Lane)-9))),"-")="","-",IF((ROW(E112)-3)&lt;(ListAndConversion!$A$15),INDEX(Flow_Cell_Lane,MIN(IF(COUNTIF($E$2:E111,Flow_Cell_Lane)=0,ROW(Flow_Cell_Lane)-9))),"-"))</f>
        <v>#DIV/0!</v>
      </c>
      <c r="F112" s="378" t="e">
        <f t="shared" si="45"/>
        <v>#DIV/0!</v>
      </c>
      <c r="G112" s="378" t="e">
        <f t="shared" si="73"/>
        <v>#DIV/0!</v>
      </c>
      <c r="H112" s="378" t="e">
        <f t="shared" si="73"/>
        <v>#DIV/0!</v>
      </c>
      <c r="I112" s="378" t="e">
        <f t="shared" si="73"/>
        <v>#DIV/0!</v>
      </c>
      <c r="J112" s="378" t="e">
        <f t="shared" si="73"/>
        <v>#DIV/0!</v>
      </c>
      <c r="K112" s="378" t="e">
        <f t="shared" si="73"/>
        <v>#DIV/0!</v>
      </c>
      <c r="L112" s="378" t="e">
        <f t="shared" si="73"/>
        <v>#DIV/0!</v>
      </c>
      <c r="M112" s="378" t="e">
        <f t="shared" si="73"/>
        <v>#DIV/0!</v>
      </c>
      <c r="N112" s="497" t="e">
        <f t="shared" si="46"/>
        <v>#DIV/0!</v>
      </c>
      <c r="O112" s="497" t="str">
        <f t="array" ref="O112">IFERROR(INDEX(Calculation!I:AN,MATCH(ListAndConversion!E112,Calculation!I:I,0),31),"-")</f>
        <v>-</v>
      </c>
      <c r="P112" s="498">
        <f>IF(COUNTIFS(Calculation!$I$10:$I$393,E112,Direct_Denaturation,"-")&lt;&gt;1,COUNTIFS(Calculation!$I$10:$I$393,E112,Direct_Denaturation,"-"),0)</f>
        <v>0</v>
      </c>
      <c r="V112" s="542" t="s">
        <v>82</v>
      </c>
      <c r="W112" s="542" t="s">
        <v>82</v>
      </c>
      <c r="X112" s="542" t="s">
        <v>82</v>
      </c>
      <c r="Y112" s="542" t="s">
        <v>82</v>
      </c>
      <c r="Z112" s="542" t="s">
        <v>82</v>
      </c>
      <c r="AA112" s="542" t="s">
        <v>82</v>
      </c>
      <c r="AB112" s="542" t="s">
        <v>82</v>
      </c>
      <c r="AC112" s="542" t="s">
        <v>82</v>
      </c>
      <c r="AD112" s="542" t="s">
        <v>82</v>
      </c>
      <c r="AE112" s="542" t="s">
        <v>82</v>
      </c>
      <c r="AF112" s="542" t="s">
        <v>82</v>
      </c>
      <c r="AG112" s="542" t="s">
        <v>82</v>
      </c>
      <c r="AH112" s="9"/>
      <c r="AI112" s="487">
        <v>109</v>
      </c>
      <c r="AJ112" s="497" t="s">
        <v>161</v>
      </c>
      <c r="AK112" s="378">
        <v>13</v>
      </c>
      <c r="AL112" s="378" t="str">
        <f t="shared" ca="1" si="49"/>
        <v>-</v>
      </c>
      <c r="AM112" s="378" t="str">
        <f t="array" aca="1" ref="AM112" ca="1">IFERROR(IF(AI112&lt;=$AB$2,"-",INDEX(Calculation_Tab,SMALL(ROW(Main_Dil)*(Main_Dil&lt;&gt;"-"),COUNTIF(Main_Dil,"-")+ROW()-3-$AB$2)-9,5)),"-")</f>
        <v>-</v>
      </c>
      <c r="AN112" s="378" t="str">
        <f t="array" aca="1" ref="AN112" ca="1">IFERROR(IF(AI112&lt;=$AB$2,"-",INDEX($A$3:$B$12,MATCH(INDEX(Calculation_Tab,SMALL(ROW(Main_Dil)*(Main_Dil&lt;&gt;"-"),COUNTIF(Main_Dil,"-")+ROW()-3-$AB$2)-9,5),$A$3:$A$12,0),2)),"-")</f>
        <v>-</v>
      </c>
      <c r="AO112" s="378" t="str">
        <f t="array" aca="1" ref="AO112" ca="1">IFERROR(IF(AI112&lt;=$AB$2,"-",INDEX(Coordinate,MATCH(INDEX(Calculation_Tab,SMALL(ROW(Main_Dil)*(Main_Dil&lt;&gt;"-"),COUNTIF(Main_Dil,"-")+ROW()-3-$AB$2)-9,6),$X$4:$X$99,0),2)),"-")</f>
        <v>-</v>
      </c>
      <c r="AP112" s="510" t="str">
        <f t="array" aca="1" ref="AP112" ca="1">IFERROR(IF(AI112&lt;=$AB$2,"-",INDEX(Calculation_Tab,SMALL(ROW(Main_Dil)*(Main_Dil&lt;&gt;"-"),COUNTIF(Main_Dil,"-")+ROW()-3-$AB$2)-9,21)),"-")</f>
        <v>-</v>
      </c>
      <c r="AQ112" s="511" t="str">
        <f t="array" aca="1" ref="AQ112" ca="1">IFERROR(IF(AI112&lt;=$AB$2,"-",INDEX(Calculation_Tab,SMALL(ROW(Main_Dil)*(Main_Dil&lt;&gt;"-"),COUNTIF(Main_Dil,"-")+ROW()-3-$AB$2)-9,22)),"-")</f>
        <v>-</v>
      </c>
      <c r="AR112" s="487" t="str">
        <f t="shared" ca="1" si="50"/>
        <v>-</v>
      </c>
      <c r="AS112" s="378">
        <v>109</v>
      </c>
      <c r="AT112" s="497" t="s">
        <v>161</v>
      </c>
      <c r="AU112" s="498">
        <v>13</v>
      </c>
      <c r="AV112" s="378" t="str">
        <f t="shared" ca="1" si="51"/>
        <v>-</v>
      </c>
      <c r="AW112" s="378" t="str">
        <f t="array" aca="1" ref="AW112" ca="1">IFERROR(IF(AS112&lt;=$AB$2+$AN$2,"-",INDEX(Calculation_Tab,SMALL(ROW(Direct_Denaturation)*(Direct_Denaturation&lt;&gt;"-"),COUNTIF(Direct_Denaturation,"-")+ROW()-3-$AB$2-$AN$2)-9,5)),"-")</f>
        <v>-</v>
      </c>
      <c r="AX112" s="378" t="str">
        <f t="array" aca="1" ref="AX112" ca="1">IFERROR(IF(AS112&lt;=$AB$2+$AN$2,"-",INDEX($A$3:$B$12,MATCH(INDEX(Calculation_Tab,SMALL(ROW(Direct_Denaturation)*(Direct_Denaturation&lt;&gt;"-"),COUNTIF(Direct_Denaturation,"-")+ROW()-3-$AB$2-$AN$2)-9,5),$A$3:$A$12,0),2)),"-")</f>
        <v>-</v>
      </c>
      <c r="AY112" s="378" t="str">
        <f t="array" aca="1" ref="AY112" ca="1">IFERROR(IF(AS112&lt;=$AB$2+$AN$2,"-",INDEX(Coordinate,MATCH(INDEX(Calculation_Tab,SMALL(ROW(Direct_Denaturation)*(Direct_Denaturation&lt;&gt;"-"),COUNTIF(Direct_Denaturation,"-")+ROW()-3-$AB$2-$AN$2)-9,6),$X$4:$X$99,0),2)),"-")</f>
        <v>-</v>
      </c>
      <c r="AZ112" s="510" t="str">
        <f t="array" aca="1" ref="AZ112" ca="1">IFERROR(IF(AS112&lt;=$AB$2+$AN$2,"-",INDEX(Calculation_Tab,SMALL(ROW(Direct_Denaturation)*(Direct_Denaturation&lt;&gt;"-"),COUNTIF(Direct_Denaturation,"-")+ROW()-3-$AB$2-$AN$2)-9,32)),"-")</f>
        <v>-</v>
      </c>
      <c r="BA112" s="510" t="str">
        <f t="array" aca="1" ref="BA112" ca="1">IFERROR(IF(AS112&lt;=$AB$2+$AN$2,"-",INDEX(Calculation_Tab,SMALL(ROW(Direct_Denaturation)*(Direct_Denaturation&lt;&gt;"-"),COUNTIF(Direct_Denaturation,"-")+ROW()-3-$AB$2-$AN$2)-9,34)),"-")</f>
        <v>-</v>
      </c>
      <c r="BB112" s="510" t="str">
        <f t="array" aca="1" ref="BB112" ca="1">IFERROR(IF(AS112&lt;=$AB$2+$AN$2,"-",INDEX(Calculation_Tab,SMALL(ROW(Direct_Denaturation)*(Direct_Denaturation&lt;&gt;"-"),COUNTIF(Direct_Denaturation,"-")+ROW()-3-$AB$2-$AN$2)-9,33)),"-")</f>
        <v>-</v>
      </c>
      <c r="BC112" s="510" t="str">
        <f t="array" aca="1" ref="BC112" ca="1">IFERROR(IF(AS112&lt;=$AB$2+$AN$2,"-",INDEX(Calculation_Tab,SMALL(ROW(Direct_Denaturation)*(Direct_Denaturation&lt;&gt;"-"),COUNTIF(Direct_Denaturation,"-")+ROW()-3-$AB$2-$AN$2)-9,35)),"-")</f>
        <v>-</v>
      </c>
      <c r="BD112" s="511" t="str">
        <f t="shared" ca="1" si="52"/>
        <v>-</v>
      </c>
      <c r="BK112" s="542" t="s">
        <v>82</v>
      </c>
      <c r="BL112" s="542" t="s">
        <v>82</v>
      </c>
      <c r="BM112" s="487" t="str">
        <f t="array" aca="1" ref="BM112" ca="1">IFERROR(INDEX(Calculation_Tab,SMALL(ROW(ToPool)*(ToPool&lt;&gt;"-"),COUNTIF(ToPool,"-")+ROW()-3)-9,3),"-")</f>
        <v>-</v>
      </c>
      <c r="BN112" s="378" t="str">
        <f t="shared" ca="1" si="55"/>
        <v>-</v>
      </c>
      <c r="BO112" s="378" t="str">
        <f t="shared" ca="1" si="56"/>
        <v>-</v>
      </c>
      <c r="BP112" s="523" t="str">
        <f t="shared" ca="1" si="57"/>
        <v>-</v>
      </c>
      <c r="BQ112" s="378" t="str">
        <f t="array" aca="1" ref="BQ112" ca="1">IFERROR(INDEX(BE:BG,MATCH(INDEX(Calculation_Tab,SMALL(ROW(ToPool)*(ToPool&lt;&gt;"-"),COUNTIF(ToPool,"-")+ROW()-3)-9,9),BG:BG,0),2),"-")</f>
        <v>-</v>
      </c>
      <c r="BR112" s="510" t="str">
        <f t="shared" ca="1" si="58"/>
        <v>-</v>
      </c>
      <c r="BS112" s="511" t="str">
        <f t="shared" ca="1" si="59"/>
        <v>-</v>
      </c>
      <c r="BT112" s="543" t="s">
        <v>82</v>
      </c>
      <c r="BU112" s="487" t="str">
        <f t="shared" ca="1" si="63"/>
        <v>-</v>
      </c>
      <c r="BV112" s="487" t="str">
        <f t="array" aca="1" ref="BV11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12" s="378" t="str">
        <f t="shared" ca="1" si="60"/>
        <v>-</v>
      </c>
      <c r="BX112" s="378" t="str">
        <f t="shared" ca="1" si="61"/>
        <v>-</v>
      </c>
      <c r="BY112" s="510" t="str">
        <f ca="1">IFERROR(ROUND(INDEX(Cluster,MATCH(IF(LEFT(BV112,4)="Pool",INDEX(Cluster,MATCH(INDEX(Calculation_Tab,MATCH(INDEX($BE$4:$BJ$99,MATCH(BV112,$BE$4:$BE$99,0),3),Flow_Cell_Lane,0),3),Cluster!$F$29:$F$412,0),6),BV112),Identifier_Cluster,0),19)*IF(LEFT(BV112,4)="pool",IF(LEN(INDEX($BE$4:$BJ$99,MATCH(BV112,$BE$4:$BE$99,0),3))=10,2,IF(LEN(INDEX($BE$4:$BJ$99,MATCH(BV112,$BE$4:$BE$99,0),3))&gt;10,LEN(INDEX($BE$4:$BJ$99,MATCH(BV112,$BE$4:$BE$99,0),3))-8,1)),1)*IF(LEFT(BV112,4)="pool",IF(INDEX($BE$4:$BJ$99,MATCH(BV112,$BE$4:$BE$99,0),6)&lt;1,1,INDEX($BE$4:$BJ$99,MATCH(BV112,$BE$4:$BE$99,0),6)),INDEX(Calculation_Tab,MATCH(BV112,Identifier,0),10)),1)*(1+Calculation!$Q$6),"-")</f>
        <v>-</v>
      </c>
      <c r="BZ112" s="378" t="str">
        <f ca="1">IFERROR((0.5/50)*CE112/Calculation!$AG$6*(IF(LEFT(BV112,4)="Pool",IF(LEN(INDEX($BE$4:$BJ$99,MATCH(BV112,$BE$4:$BE$99,0),3))=10,2,IF(LEN(INDEX($BE$4:$BJ$99,MATCH(BV112,$BE$4:$BE$99,0),3))&gt;10,LEN(INDEX($BE$4:$BJ$99,MATCH(BV112,$BE$4:$BE$99,0),3))-8,1)),IF(INDEX(Calculation_Tab,MATCH(BV112,Identifier,0),10)&gt;1,INDEX(Calculation_Tab,MATCH(BV112,Identifier,0),10),1)))*(1+Calculation!$Q$6),"-")</f>
        <v>-</v>
      </c>
      <c r="CA112" s="510" t="str">
        <f ca="1">IFERROR(IF((BZ112*Calculation!$AG$6/0.05)-SUM(BY112:BZ112,CC112)&gt;0,(BZ112*Calculation!$AG$6/0.05)-SUM(BY112:BZ112,CC112),0),"-")</f>
        <v>-</v>
      </c>
      <c r="CB112" s="510" t="str">
        <f ca="1">IFERROR(5/50*CE112*(IF(LEFT(BV112,4)="Pool",IF(LEN(INDEX($BE$4:$BJ$99,MATCH(BV112,$BE$4:$BE$99,0),3))=10,2,IF(LEN(INDEX($BE$4:$BJ$99,MATCH(BV112,$BE$4:$BE$99,0),3))&gt;10,LEN(INDEX($BE$4:$BJ$99,MATCH(BV112,$BE$4:$BE$99,0),3))-8,1)),IF(INDEX(Calculation_Tab,MATCH(BV112,Identifier,0),10)&gt;1,INDEX(Calculation_Tab,MATCH(BV112,Identifier,0),10),1)))*(1+Calculation!$Q$6),"-")</f>
        <v>-</v>
      </c>
      <c r="CC112" s="508" t="str">
        <f ca="1">IFERROR(ROUND(INDEX(Cluster,MATCH(IF(LEFT(BV112,4)="Pool",INDEX(Cluster,MATCH(INDEX(Calculation_Tab,MATCH(INDEX($BE$4:$BJ$99,MATCH(BV112,$BE$4:$BE$99,0),3),Flow_Cell_Lane,0),3),Cluster!$F$29:$F$412,0),6),BV112),Identifier_Cluster,0),20)*IF(LEFT(BV112,4)="pool",IF(LEN(INDEX($BE$4:$BJ$99,MATCH(BV112,$BE$4:$BE$99,0),3))=10,2,IF(LEN(INDEX($BE$4:$BJ$99,MATCH(BV112,$BE$4:$BE$99,0),3))&gt;10,LEN(INDEX($BE$4:$BJ$99,MATCH(BV112,$BE$4:$BE$99,0),3))-8,1)),1)*IF(LEFT(BV112,4)="pool",IF(INDEX($BE$4:$BJ$99,MATCH(BV112,$BE$4:$BE$99,0),6)&lt;1,1,INDEX($BE$4:$BJ$99,MATCH(BV112,$BE$4:$BE$99,0),6)),INDEX(Calculation_Tab,MATCH(BV112,Identifier,0),10)),1)*(1+Calculation!$Q$6),"-")</f>
        <v>-</v>
      </c>
      <c r="CD112" s="509" t="str">
        <f ca="1">IFERROR(INDEX(Cluster!AC:AD,MATCH(IF(LEFT(BV112,4)="Pool",INDEX(Cluster!$D$29:$AA$412,MATCH(INDEX(Calculation_Tab,MATCH(INDEX($BE$4:$BJ$99,MATCH(BV112,$BE$4:$BE$99,0),3),Flow_Cell_Lane,0),3),Cluster!$F$29:$F$412,0),24),INDEX(Cluster!$D$29:$AA$412,MATCH(BV112,Cluster!$F$29:$F$412,0),24)),Cluster!AC:AC,0),2),"-")</f>
        <v>-</v>
      </c>
      <c r="CE112" s="378" t="str">
        <f ca="1">IFERROR(IF(BV112&lt;&gt;"-",Calculation!$AK$6,"-"),"-")</f>
        <v>-</v>
      </c>
      <c r="CF112" s="378" t="str">
        <f ca="1">IF(OR(LEFT(ListAndConversion!BW112,3)="Dil",LEFT(ListAndConversion!BW112,3)="Poo"),ListAndConversion!$BT$4,IF(LEFT(ListAndConversion!BW112,3)="Sou",INDEX(ListAndConversion!$AT$3:$AV$387,MATCH(ListAndConversion!BV112,ListAndConversion!$AV$3:$AV$387,0),1),"-"))</f>
        <v>-</v>
      </c>
      <c r="CG112" s="498" t="str">
        <f ca="1">IF(OR(LEFT(ListAndConversion!BW112,3)="Dil",LEFT(ListAndConversion!BW112,3)="Poo"),ListAndConversion!BU112,IF(LEFT(ListAndConversion!BW112,3)="Sou",INDEX(ListAndConversion!$AT$4:$AV$387,MATCH(ListAndConversion!BV112,ListAndConversion!$AV$4:$AV$387,0),2),"-"))</f>
        <v>-</v>
      </c>
      <c r="CH112" s="378"/>
      <c r="CI112" s="487" t="str">
        <f t="shared" ca="1" si="62"/>
        <v>-</v>
      </c>
      <c r="CJ112" s="378" t="str">
        <f t="shared" ca="1" si="74"/>
        <v>-</v>
      </c>
      <c r="CK112" s="378" t="str">
        <f t="shared" ca="1" si="74"/>
        <v>-</v>
      </c>
      <c r="CL112" s="378" t="str">
        <f t="shared" ca="1" si="74"/>
        <v>-</v>
      </c>
      <c r="CM112" s="378" t="str">
        <f t="shared" ca="1" si="74"/>
        <v>-</v>
      </c>
      <c r="CN112" s="378" t="str">
        <f t="shared" ca="1" si="74"/>
        <v>-</v>
      </c>
      <c r="CO112" s="378" t="str">
        <f t="shared" ca="1" si="74"/>
        <v>-</v>
      </c>
      <c r="CP112" s="378" t="str">
        <f t="shared" ca="1" si="74"/>
        <v>-</v>
      </c>
      <c r="CQ112" s="378" t="str">
        <f t="shared" ca="1" si="74"/>
        <v>-</v>
      </c>
      <c r="CR112" s="510" t="str">
        <f ca="1">IFERROR(IF(LEFT(BW112,3)="Poo",INDEX($BE$4:$BJ$99,MATCH(CI112,$BG$4:$BG$99,0),6)*((15/50))*Calculation!$AK$6,INDEX(Calculation_Tab,MATCH(BV112,Identifier,0),10)/(IF(LEN(INDEX(Calculation_Tab,MATCH(BV112,Identifier,0),9))&gt;8,LEN(INDEX(Calculation_Tab,MATCH(BV112,Identifier,0),9))-8,1))*((15/50)*Calculation!$AK$6)),"-")</f>
        <v>-</v>
      </c>
      <c r="CS112" s="498" t="str">
        <f ca="1">IF(CI112="-","-",IF(COUNTIF($CI$3:CI112,CI112)&gt;1,0,IFERROR((35/50)*Calculation!$AK$6,"-")))</f>
        <v>-</v>
      </c>
    </row>
    <row r="113" spans="4:97" x14ac:dyDescent="0.5">
      <c r="D113" s="487" t="e">
        <f t="shared" si="44"/>
        <v>#DIV/0!</v>
      </c>
      <c r="E113" s="496" t="e">
        <f t="array" ref="E113">IF(IF((ROW(E113)-3)&lt;(ListAndConversion!$A$15),INDEX(Flow_Cell_Lane,MIN(IF(COUNTIF($E$2:E112,Flow_Cell_Lane)=0,ROW(Flow_Cell_Lane)-9))),"-")="","-",IF((ROW(E113)-3)&lt;(ListAndConversion!$A$15),INDEX(Flow_Cell_Lane,MIN(IF(COUNTIF($E$2:E112,Flow_Cell_Lane)=0,ROW(Flow_Cell_Lane)-9))),"-"))</f>
        <v>#DIV/0!</v>
      </c>
      <c r="F113" s="378" t="e">
        <f t="shared" si="45"/>
        <v>#DIV/0!</v>
      </c>
      <c r="G113" s="378" t="e">
        <f t="shared" ref="G113:M122" si="75">IF($D113&gt;8,IF($D113&gt;=(8+G$2),CONCATENATE(LEFT($E113,7),RIGHT(LEFT($E113,8+G$2),1)),""),"")</f>
        <v>#DIV/0!</v>
      </c>
      <c r="H113" s="378" t="e">
        <f t="shared" si="75"/>
        <v>#DIV/0!</v>
      </c>
      <c r="I113" s="378" t="e">
        <f t="shared" si="75"/>
        <v>#DIV/0!</v>
      </c>
      <c r="J113" s="378" t="e">
        <f t="shared" si="75"/>
        <v>#DIV/0!</v>
      </c>
      <c r="K113" s="378" t="e">
        <f t="shared" si="75"/>
        <v>#DIV/0!</v>
      </c>
      <c r="L113" s="378" t="e">
        <f t="shared" si="75"/>
        <v>#DIV/0!</v>
      </c>
      <c r="M113" s="378" t="e">
        <f t="shared" si="75"/>
        <v>#DIV/0!</v>
      </c>
      <c r="N113" s="497" t="e">
        <f t="shared" si="46"/>
        <v>#DIV/0!</v>
      </c>
      <c r="O113" s="497" t="str">
        <f t="array" ref="O113">IFERROR(INDEX(Calculation!I:AN,MATCH(ListAndConversion!E113,Calculation!I:I,0),31),"-")</f>
        <v>-</v>
      </c>
      <c r="P113" s="498">
        <f>IF(COUNTIFS(Calculation!$I$10:$I$393,E113,Direct_Denaturation,"-")&lt;&gt;1,COUNTIFS(Calculation!$I$10:$I$393,E113,Direct_Denaturation,"-"),0)</f>
        <v>0</v>
      </c>
      <c r="V113" s="542" t="s">
        <v>82</v>
      </c>
      <c r="W113" s="542" t="s">
        <v>82</v>
      </c>
      <c r="X113" s="542" t="s">
        <v>82</v>
      </c>
      <c r="Y113" s="542" t="s">
        <v>82</v>
      </c>
      <c r="Z113" s="542" t="s">
        <v>82</v>
      </c>
      <c r="AA113" s="542" t="s">
        <v>82</v>
      </c>
      <c r="AB113" s="542" t="s">
        <v>82</v>
      </c>
      <c r="AC113" s="542" t="s">
        <v>82</v>
      </c>
      <c r="AD113" s="542" t="s">
        <v>82</v>
      </c>
      <c r="AE113" s="542" t="s">
        <v>82</v>
      </c>
      <c r="AF113" s="542" t="s">
        <v>82</v>
      </c>
      <c r="AG113" s="542" t="s">
        <v>82</v>
      </c>
      <c r="AH113" s="9"/>
      <c r="AI113" s="487">
        <v>110</v>
      </c>
      <c r="AJ113" s="497" t="s">
        <v>161</v>
      </c>
      <c r="AK113" s="378">
        <v>14</v>
      </c>
      <c r="AL113" s="378" t="str">
        <f t="shared" ca="1" si="49"/>
        <v>-</v>
      </c>
      <c r="AM113" s="378" t="str">
        <f t="array" aca="1" ref="AM113" ca="1">IFERROR(IF(AI113&lt;=$AB$2,"-",INDEX(Calculation_Tab,SMALL(ROW(Main_Dil)*(Main_Dil&lt;&gt;"-"),COUNTIF(Main_Dil,"-")+ROW()-3-$AB$2)-9,5)),"-")</f>
        <v>-</v>
      </c>
      <c r="AN113" s="378" t="str">
        <f t="array" aca="1" ref="AN113" ca="1">IFERROR(IF(AI113&lt;=$AB$2,"-",INDEX($A$3:$B$12,MATCH(INDEX(Calculation_Tab,SMALL(ROW(Main_Dil)*(Main_Dil&lt;&gt;"-"),COUNTIF(Main_Dil,"-")+ROW()-3-$AB$2)-9,5),$A$3:$A$12,0),2)),"-")</f>
        <v>-</v>
      </c>
      <c r="AO113" s="378" t="str">
        <f t="array" aca="1" ref="AO113" ca="1">IFERROR(IF(AI113&lt;=$AB$2,"-",INDEX(Coordinate,MATCH(INDEX(Calculation_Tab,SMALL(ROW(Main_Dil)*(Main_Dil&lt;&gt;"-"),COUNTIF(Main_Dil,"-")+ROW()-3-$AB$2)-9,6),$X$4:$X$99,0),2)),"-")</f>
        <v>-</v>
      </c>
      <c r="AP113" s="510" t="str">
        <f t="array" aca="1" ref="AP113" ca="1">IFERROR(IF(AI113&lt;=$AB$2,"-",INDEX(Calculation_Tab,SMALL(ROW(Main_Dil)*(Main_Dil&lt;&gt;"-"),COUNTIF(Main_Dil,"-")+ROW()-3-$AB$2)-9,21)),"-")</f>
        <v>-</v>
      </c>
      <c r="AQ113" s="511" t="str">
        <f t="array" aca="1" ref="AQ113" ca="1">IFERROR(IF(AI113&lt;=$AB$2,"-",INDEX(Calculation_Tab,SMALL(ROW(Main_Dil)*(Main_Dil&lt;&gt;"-"),COUNTIF(Main_Dil,"-")+ROW()-3-$AB$2)-9,22)),"-")</f>
        <v>-</v>
      </c>
      <c r="AR113" s="487" t="str">
        <f t="shared" ca="1" si="50"/>
        <v>-</v>
      </c>
      <c r="AS113" s="378">
        <v>110</v>
      </c>
      <c r="AT113" s="497" t="s">
        <v>161</v>
      </c>
      <c r="AU113" s="498">
        <v>14</v>
      </c>
      <c r="AV113" s="378" t="str">
        <f t="shared" ca="1" si="51"/>
        <v>-</v>
      </c>
      <c r="AW113" s="378" t="str">
        <f t="array" aca="1" ref="AW113" ca="1">IFERROR(IF(AS113&lt;=$AB$2+$AN$2,"-",INDEX(Calculation_Tab,SMALL(ROW(Direct_Denaturation)*(Direct_Denaturation&lt;&gt;"-"),COUNTIF(Direct_Denaturation,"-")+ROW()-3-$AB$2-$AN$2)-9,5)),"-")</f>
        <v>-</v>
      </c>
      <c r="AX113" s="378" t="str">
        <f t="array" aca="1" ref="AX113" ca="1">IFERROR(IF(AS113&lt;=$AB$2+$AN$2,"-",INDEX($A$3:$B$12,MATCH(INDEX(Calculation_Tab,SMALL(ROW(Direct_Denaturation)*(Direct_Denaturation&lt;&gt;"-"),COUNTIF(Direct_Denaturation,"-")+ROW()-3-$AB$2-$AN$2)-9,5),$A$3:$A$12,0),2)),"-")</f>
        <v>-</v>
      </c>
      <c r="AY113" s="378" t="str">
        <f t="array" aca="1" ref="AY113" ca="1">IFERROR(IF(AS113&lt;=$AB$2+$AN$2,"-",INDEX(Coordinate,MATCH(INDEX(Calculation_Tab,SMALL(ROW(Direct_Denaturation)*(Direct_Denaturation&lt;&gt;"-"),COUNTIF(Direct_Denaturation,"-")+ROW()-3-$AB$2-$AN$2)-9,6),$X$4:$X$99,0),2)),"-")</f>
        <v>-</v>
      </c>
      <c r="AZ113" s="510" t="str">
        <f t="array" aca="1" ref="AZ113" ca="1">IFERROR(IF(AS113&lt;=$AB$2+$AN$2,"-",INDEX(Calculation_Tab,SMALL(ROW(Direct_Denaturation)*(Direct_Denaturation&lt;&gt;"-"),COUNTIF(Direct_Denaturation,"-")+ROW()-3-$AB$2-$AN$2)-9,32)),"-")</f>
        <v>-</v>
      </c>
      <c r="BA113" s="510" t="str">
        <f t="array" aca="1" ref="BA113" ca="1">IFERROR(IF(AS113&lt;=$AB$2+$AN$2,"-",INDEX(Calculation_Tab,SMALL(ROW(Direct_Denaturation)*(Direct_Denaturation&lt;&gt;"-"),COUNTIF(Direct_Denaturation,"-")+ROW()-3-$AB$2-$AN$2)-9,34)),"-")</f>
        <v>-</v>
      </c>
      <c r="BB113" s="510" t="str">
        <f t="array" aca="1" ref="BB113" ca="1">IFERROR(IF(AS113&lt;=$AB$2+$AN$2,"-",INDEX(Calculation_Tab,SMALL(ROW(Direct_Denaturation)*(Direct_Denaturation&lt;&gt;"-"),COUNTIF(Direct_Denaturation,"-")+ROW()-3-$AB$2-$AN$2)-9,33)),"-")</f>
        <v>-</v>
      </c>
      <c r="BC113" s="510" t="str">
        <f t="array" aca="1" ref="BC113" ca="1">IFERROR(IF(AS113&lt;=$AB$2+$AN$2,"-",INDEX(Calculation_Tab,SMALL(ROW(Direct_Denaturation)*(Direct_Denaturation&lt;&gt;"-"),COUNTIF(Direct_Denaturation,"-")+ROW()-3-$AB$2-$AN$2)-9,35)),"-")</f>
        <v>-</v>
      </c>
      <c r="BD113" s="511" t="str">
        <f t="shared" ca="1" si="52"/>
        <v>-</v>
      </c>
      <c r="BK113" s="542" t="s">
        <v>82</v>
      </c>
      <c r="BL113" s="542" t="s">
        <v>82</v>
      </c>
      <c r="BM113" s="487" t="str">
        <f t="array" aca="1" ref="BM113" ca="1">IFERROR(INDEX(Calculation_Tab,SMALL(ROW(ToPool)*(ToPool&lt;&gt;"-"),COUNTIF(ToPool,"-")+ROW()-3)-9,3),"-")</f>
        <v>-</v>
      </c>
      <c r="BN113" s="378" t="str">
        <f t="shared" ca="1" si="55"/>
        <v>-</v>
      </c>
      <c r="BO113" s="378" t="str">
        <f t="shared" ca="1" si="56"/>
        <v>-</v>
      </c>
      <c r="BP113" s="523" t="str">
        <f t="shared" ca="1" si="57"/>
        <v>-</v>
      </c>
      <c r="BQ113" s="378" t="str">
        <f t="array" aca="1" ref="BQ113" ca="1">IFERROR(INDEX(BE:BG,MATCH(INDEX(Calculation_Tab,SMALL(ROW(ToPool)*(ToPool&lt;&gt;"-"),COUNTIF(ToPool,"-")+ROW()-3)-9,9),BG:BG,0),2),"-")</f>
        <v>-</v>
      </c>
      <c r="BR113" s="510" t="str">
        <f t="shared" ca="1" si="58"/>
        <v>-</v>
      </c>
      <c r="BS113" s="511" t="str">
        <f t="shared" ca="1" si="59"/>
        <v>-</v>
      </c>
      <c r="BT113" s="543" t="s">
        <v>82</v>
      </c>
      <c r="BU113" s="487" t="str">
        <f t="shared" ca="1" si="63"/>
        <v>-</v>
      </c>
      <c r="BV113" s="487" t="str">
        <f t="array" aca="1" ref="BV11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13" s="378" t="str">
        <f t="shared" ca="1" si="60"/>
        <v>-</v>
      </c>
      <c r="BX113" s="378" t="str">
        <f t="shared" ca="1" si="61"/>
        <v>-</v>
      </c>
      <c r="BY113" s="510" t="str">
        <f ca="1">IFERROR(ROUND(INDEX(Cluster,MATCH(IF(LEFT(BV113,4)="Pool",INDEX(Cluster,MATCH(INDEX(Calculation_Tab,MATCH(INDEX($BE$4:$BJ$99,MATCH(BV113,$BE$4:$BE$99,0),3),Flow_Cell_Lane,0),3),Cluster!$F$29:$F$412,0),6),BV113),Identifier_Cluster,0),19)*IF(LEFT(BV113,4)="pool",IF(LEN(INDEX($BE$4:$BJ$99,MATCH(BV113,$BE$4:$BE$99,0),3))=10,2,IF(LEN(INDEX($BE$4:$BJ$99,MATCH(BV113,$BE$4:$BE$99,0),3))&gt;10,LEN(INDEX($BE$4:$BJ$99,MATCH(BV113,$BE$4:$BE$99,0),3))-8,1)),1)*IF(LEFT(BV113,4)="pool",IF(INDEX($BE$4:$BJ$99,MATCH(BV113,$BE$4:$BE$99,0),6)&lt;1,1,INDEX($BE$4:$BJ$99,MATCH(BV113,$BE$4:$BE$99,0),6)),INDEX(Calculation_Tab,MATCH(BV113,Identifier,0),10)),1)*(1+Calculation!$Q$6),"-")</f>
        <v>-</v>
      </c>
      <c r="BZ113" s="378" t="str">
        <f ca="1">IFERROR((0.5/50)*CE113/Calculation!$AG$6*(IF(LEFT(BV113,4)="Pool",IF(LEN(INDEX($BE$4:$BJ$99,MATCH(BV113,$BE$4:$BE$99,0),3))=10,2,IF(LEN(INDEX($BE$4:$BJ$99,MATCH(BV113,$BE$4:$BE$99,0),3))&gt;10,LEN(INDEX($BE$4:$BJ$99,MATCH(BV113,$BE$4:$BE$99,0),3))-8,1)),IF(INDEX(Calculation_Tab,MATCH(BV113,Identifier,0),10)&gt;1,INDEX(Calculation_Tab,MATCH(BV113,Identifier,0),10),1)))*(1+Calculation!$Q$6),"-")</f>
        <v>-</v>
      </c>
      <c r="CA113" s="510" t="str">
        <f ca="1">IFERROR(IF((BZ113*Calculation!$AG$6/0.05)-SUM(BY113:BZ113,CC113)&gt;0,(BZ113*Calculation!$AG$6/0.05)-SUM(BY113:BZ113,CC113),0),"-")</f>
        <v>-</v>
      </c>
      <c r="CB113" s="510" t="str">
        <f ca="1">IFERROR(5/50*CE113*(IF(LEFT(BV113,4)="Pool",IF(LEN(INDEX($BE$4:$BJ$99,MATCH(BV113,$BE$4:$BE$99,0),3))=10,2,IF(LEN(INDEX($BE$4:$BJ$99,MATCH(BV113,$BE$4:$BE$99,0),3))&gt;10,LEN(INDEX($BE$4:$BJ$99,MATCH(BV113,$BE$4:$BE$99,0),3))-8,1)),IF(INDEX(Calculation_Tab,MATCH(BV113,Identifier,0),10)&gt;1,INDEX(Calculation_Tab,MATCH(BV113,Identifier,0),10),1)))*(1+Calculation!$Q$6),"-")</f>
        <v>-</v>
      </c>
      <c r="CC113" s="508" t="str">
        <f ca="1">IFERROR(ROUND(INDEX(Cluster,MATCH(IF(LEFT(BV113,4)="Pool",INDEX(Cluster,MATCH(INDEX(Calculation_Tab,MATCH(INDEX($BE$4:$BJ$99,MATCH(BV113,$BE$4:$BE$99,0),3),Flow_Cell_Lane,0),3),Cluster!$F$29:$F$412,0),6),BV113),Identifier_Cluster,0),20)*IF(LEFT(BV113,4)="pool",IF(LEN(INDEX($BE$4:$BJ$99,MATCH(BV113,$BE$4:$BE$99,0),3))=10,2,IF(LEN(INDEX($BE$4:$BJ$99,MATCH(BV113,$BE$4:$BE$99,0),3))&gt;10,LEN(INDEX($BE$4:$BJ$99,MATCH(BV113,$BE$4:$BE$99,0),3))-8,1)),1)*IF(LEFT(BV113,4)="pool",IF(INDEX($BE$4:$BJ$99,MATCH(BV113,$BE$4:$BE$99,0),6)&lt;1,1,INDEX($BE$4:$BJ$99,MATCH(BV113,$BE$4:$BE$99,0),6)),INDEX(Calculation_Tab,MATCH(BV113,Identifier,0),10)),1)*(1+Calculation!$Q$6),"-")</f>
        <v>-</v>
      </c>
      <c r="CD113" s="509" t="str">
        <f ca="1">IFERROR(INDEX(Cluster!AC:AD,MATCH(IF(LEFT(BV113,4)="Pool",INDEX(Cluster!$D$29:$AA$412,MATCH(INDEX(Calculation_Tab,MATCH(INDEX($BE$4:$BJ$99,MATCH(BV113,$BE$4:$BE$99,0),3),Flow_Cell_Lane,0),3),Cluster!$F$29:$F$412,0),24),INDEX(Cluster!$D$29:$AA$412,MATCH(BV113,Cluster!$F$29:$F$412,0),24)),Cluster!AC:AC,0),2),"-")</f>
        <v>-</v>
      </c>
      <c r="CE113" s="378" t="str">
        <f ca="1">IFERROR(IF(BV113&lt;&gt;"-",Calculation!$AK$6,"-"),"-")</f>
        <v>-</v>
      </c>
      <c r="CF113" s="378" t="str">
        <f ca="1">IF(OR(LEFT(ListAndConversion!BW113,3)="Dil",LEFT(ListAndConversion!BW113,3)="Poo"),ListAndConversion!$BT$4,IF(LEFT(ListAndConversion!BW113,3)="Sou",INDEX(ListAndConversion!$AT$3:$AV$387,MATCH(ListAndConversion!BV113,ListAndConversion!$AV$3:$AV$387,0),1),"-"))</f>
        <v>-</v>
      </c>
      <c r="CG113" s="498" t="str">
        <f ca="1">IF(OR(LEFT(ListAndConversion!BW113,3)="Dil",LEFT(ListAndConversion!BW113,3)="Poo"),ListAndConversion!BU113,IF(LEFT(ListAndConversion!BW113,3)="Sou",INDEX(ListAndConversion!$AT$4:$AV$387,MATCH(ListAndConversion!BV113,ListAndConversion!$AV$4:$AV$387,0),2),"-"))</f>
        <v>-</v>
      </c>
      <c r="CH113" s="378"/>
      <c r="CI113" s="487" t="str">
        <f t="shared" ca="1" si="62"/>
        <v>-</v>
      </c>
      <c r="CJ113" s="378" t="str">
        <f t="shared" ca="1" si="74"/>
        <v>-</v>
      </c>
      <c r="CK113" s="378" t="str">
        <f t="shared" ca="1" si="74"/>
        <v>-</v>
      </c>
      <c r="CL113" s="378" t="str">
        <f t="shared" ca="1" si="74"/>
        <v>-</v>
      </c>
      <c r="CM113" s="378" t="str">
        <f t="shared" ca="1" si="74"/>
        <v>-</v>
      </c>
      <c r="CN113" s="378" t="str">
        <f t="shared" ca="1" si="74"/>
        <v>-</v>
      </c>
      <c r="CO113" s="378" t="str">
        <f t="shared" ca="1" si="74"/>
        <v>-</v>
      </c>
      <c r="CP113" s="378" t="str">
        <f t="shared" ca="1" si="74"/>
        <v>-</v>
      </c>
      <c r="CQ113" s="378" t="str">
        <f t="shared" ca="1" si="74"/>
        <v>-</v>
      </c>
      <c r="CR113" s="510" t="str">
        <f ca="1">IFERROR(IF(LEFT(BW113,3)="Poo",INDEX($BE$4:$BJ$99,MATCH(CI113,$BG$4:$BG$99,0),6)*((15/50))*Calculation!$AK$6,INDEX(Calculation_Tab,MATCH(BV113,Identifier,0),10)/(IF(LEN(INDEX(Calculation_Tab,MATCH(BV113,Identifier,0),9))&gt;8,LEN(INDEX(Calculation_Tab,MATCH(BV113,Identifier,0),9))-8,1))*((15/50)*Calculation!$AK$6)),"-")</f>
        <v>-</v>
      </c>
      <c r="CS113" s="498" t="str">
        <f ca="1">IF(CI113="-","-",IF(COUNTIF($CI$3:CI113,CI113)&gt;1,0,IFERROR((35/50)*Calculation!$AK$6,"-")))</f>
        <v>-</v>
      </c>
    </row>
    <row r="114" spans="4:97" x14ac:dyDescent="0.5">
      <c r="D114" s="487" t="e">
        <f t="shared" si="44"/>
        <v>#DIV/0!</v>
      </c>
      <c r="E114" s="496" t="e">
        <f t="array" ref="E114">IF(IF((ROW(E114)-3)&lt;(ListAndConversion!$A$15),INDEX(Flow_Cell_Lane,MIN(IF(COUNTIF($E$2:E113,Flow_Cell_Lane)=0,ROW(Flow_Cell_Lane)-9))),"-")="","-",IF((ROW(E114)-3)&lt;(ListAndConversion!$A$15),INDEX(Flow_Cell_Lane,MIN(IF(COUNTIF($E$2:E113,Flow_Cell_Lane)=0,ROW(Flow_Cell_Lane)-9))),"-"))</f>
        <v>#DIV/0!</v>
      </c>
      <c r="F114" s="378" t="e">
        <f t="shared" si="45"/>
        <v>#DIV/0!</v>
      </c>
      <c r="G114" s="378" t="e">
        <f t="shared" si="75"/>
        <v>#DIV/0!</v>
      </c>
      <c r="H114" s="378" t="e">
        <f t="shared" si="75"/>
        <v>#DIV/0!</v>
      </c>
      <c r="I114" s="378" t="e">
        <f t="shared" si="75"/>
        <v>#DIV/0!</v>
      </c>
      <c r="J114" s="378" t="e">
        <f t="shared" si="75"/>
        <v>#DIV/0!</v>
      </c>
      <c r="K114" s="378" t="e">
        <f t="shared" si="75"/>
        <v>#DIV/0!</v>
      </c>
      <c r="L114" s="378" t="e">
        <f t="shared" si="75"/>
        <v>#DIV/0!</v>
      </c>
      <c r="M114" s="378" t="e">
        <f t="shared" si="75"/>
        <v>#DIV/0!</v>
      </c>
      <c r="N114" s="497" t="e">
        <f t="shared" si="46"/>
        <v>#DIV/0!</v>
      </c>
      <c r="O114" s="497" t="str">
        <f t="array" ref="O114">IFERROR(INDEX(Calculation!I:AN,MATCH(ListAndConversion!E114,Calculation!I:I,0),31),"-")</f>
        <v>-</v>
      </c>
      <c r="P114" s="498">
        <f>IF(COUNTIFS(Calculation!$I$10:$I$393,E114,Direct_Denaturation,"-")&lt;&gt;1,COUNTIFS(Calculation!$I$10:$I$393,E114,Direct_Denaturation,"-"),0)</f>
        <v>0</v>
      </c>
      <c r="V114" s="542" t="s">
        <v>82</v>
      </c>
      <c r="W114" s="542" t="s">
        <v>82</v>
      </c>
      <c r="X114" s="542" t="s">
        <v>82</v>
      </c>
      <c r="Y114" s="542" t="s">
        <v>82</v>
      </c>
      <c r="Z114" s="542" t="s">
        <v>82</v>
      </c>
      <c r="AA114" s="542" t="s">
        <v>82</v>
      </c>
      <c r="AB114" s="542" t="s">
        <v>82</v>
      </c>
      <c r="AC114" s="542" t="s">
        <v>82</v>
      </c>
      <c r="AD114" s="542" t="s">
        <v>82</v>
      </c>
      <c r="AE114" s="542" t="s">
        <v>82</v>
      </c>
      <c r="AF114" s="542" t="s">
        <v>82</v>
      </c>
      <c r="AG114" s="542" t="s">
        <v>82</v>
      </c>
      <c r="AH114" s="9"/>
      <c r="AI114" s="487">
        <v>111</v>
      </c>
      <c r="AJ114" s="497" t="s">
        <v>161</v>
      </c>
      <c r="AK114" s="378">
        <v>15</v>
      </c>
      <c r="AL114" s="378" t="str">
        <f t="shared" ca="1" si="49"/>
        <v>-</v>
      </c>
      <c r="AM114" s="378" t="str">
        <f t="array" aca="1" ref="AM114" ca="1">IFERROR(IF(AI114&lt;=$AB$2,"-",INDEX(Calculation_Tab,SMALL(ROW(Main_Dil)*(Main_Dil&lt;&gt;"-"),COUNTIF(Main_Dil,"-")+ROW()-3-$AB$2)-9,5)),"-")</f>
        <v>-</v>
      </c>
      <c r="AN114" s="378" t="str">
        <f t="array" aca="1" ref="AN114" ca="1">IFERROR(IF(AI114&lt;=$AB$2,"-",INDEX($A$3:$B$12,MATCH(INDEX(Calculation_Tab,SMALL(ROW(Main_Dil)*(Main_Dil&lt;&gt;"-"),COUNTIF(Main_Dil,"-")+ROW()-3-$AB$2)-9,5),$A$3:$A$12,0),2)),"-")</f>
        <v>-</v>
      </c>
      <c r="AO114" s="378" t="str">
        <f t="array" aca="1" ref="AO114" ca="1">IFERROR(IF(AI114&lt;=$AB$2,"-",INDEX(Coordinate,MATCH(INDEX(Calculation_Tab,SMALL(ROW(Main_Dil)*(Main_Dil&lt;&gt;"-"),COUNTIF(Main_Dil,"-")+ROW()-3-$AB$2)-9,6),$X$4:$X$99,0),2)),"-")</f>
        <v>-</v>
      </c>
      <c r="AP114" s="510" t="str">
        <f t="array" aca="1" ref="AP114" ca="1">IFERROR(IF(AI114&lt;=$AB$2,"-",INDEX(Calculation_Tab,SMALL(ROW(Main_Dil)*(Main_Dil&lt;&gt;"-"),COUNTIF(Main_Dil,"-")+ROW()-3-$AB$2)-9,21)),"-")</f>
        <v>-</v>
      </c>
      <c r="AQ114" s="511" t="str">
        <f t="array" aca="1" ref="AQ114" ca="1">IFERROR(IF(AI114&lt;=$AB$2,"-",INDEX(Calculation_Tab,SMALL(ROW(Main_Dil)*(Main_Dil&lt;&gt;"-"),COUNTIF(Main_Dil,"-")+ROW()-3-$AB$2)-9,22)),"-")</f>
        <v>-</v>
      </c>
      <c r="AR114" s="487" t="str">
        <f t="shared" ca="1" si="50"/>
        <v>-</v>
      </c>
      <c r="AS114" s="378">
        <v>111</v>
      </c>
      <c r="AT114" s="497" t="s">
        <v>161</v>
      </c>
      <c r="AU114" s="498">
        <v>15</v>
      </c>
      <c r="AV114" s="378" t="str">
        <f t="shared" ca="1" si="51"/>
        <v>-</v>
      </c>
      <c r="AW114" s="378" t="str">
        <f t="array" aca="1" ref="AW114" ca="1">IFERROR(IF(AS114&lt;=$AB$2+$AN$2,"-",INDEX(Calculation_Tab,SMALL(ROW(Direct_Denaturation)*(Direct_Denaturation&lt;&gt;"-"),COUNTIF(Direct_Denaturation,"-")+ROW()-3-$AB$2-$AN$2)-9,5)),"-")</f>
        <v>-</v>
      </c>
      <c r="AX114" s="378" t="str">
        <f t="array" aca="1" ref="AX114" ca="1">IFERROR(IF(AS114&lt;=$AB$2+$AN$2,"-",INDEX($A$3:$B$12,MATCH(INDEX(Calculation_Tab,SMALL(ROW(Direct_Denaturation)*(Direct_Denaturation&lt;&gt;"-"),COUNTIF(Direct_Denaturation,"-")+ROW()-3-$AB$2-$AN$2)-9,5),$A$3:$A$12,0),2)),"-")</f>
        <v>-</v>
      </c>
      <c r="AY114" s="378" t="str">
        <f t="array" aca="1" ref="AY114" ca="1">IFERROR(IF(AS114&lt;=$AB$2+$AN$2,"-",INDEX(Coordinate,MATCH(INDEX(Calculation_Tab,SMALL(ROW(Direct_Denaturation)*(Direct_Denaturation&lt;&gt;"-"),COUNTIF(Direct_Denaturation,"-")+ROW()-3-$AB$2-$AN$2)-9,6),$X$4:$X$99,0),2)),"-")</f>
        <v>-</v>
      </c>
      <c r="AZ114" s="510" t="str">
        <f t="array" aca="1" ref="AZ114" ca="1">IFERROR(IF(AS114&lt;=$AB$2+$AN$2,"-",INDEX(Calculation_Tab,SMALL(ROW(Direct_Denaturation)*(Direct_Denaturation&lt;&gt;"-"),COUNTIF(Direct_Denaturation,"-")+ROW()-3-$AB$2-$AN$2)-9,32)),"-")</f>
        <v>-</v>
      </c>
      <c r="BA114" s="510" t="str">
        <f t="array" aca="1" ref="BA114" ca="1">IFERROR(IF(AS114&lt;=$AB$2+$AN$2,"-",INDEX(Calculation_Tab,SMALL(ROW(Direct_Denaturation)*(Direct_Denaturation&lt;&gt;"-"),COUNTIF(Direct_Denaturation,"-")+ROW()-3-$AB$2-$AN$2)-9,34)),"-")</f>
        <v>-</v>
      </c>
      <c r="BB114" s="510" t="str">
        <f t="array" aca="1" ref="BB114" ca="1">IFERROR(IF(AS114&lt;=$AB$2+$AN$2,"-",INDEX(Calculation_Tab,SMALL(ROW(Direct_Denaturation)*(Direct_Denaturation&lt;&gt;"-"),COUNTIF(Direct_Denaturation,"-")+ROW()-3-$AB$2-$AN$2)-9,33)),"-")</f>
        <v>-</v>
      </c>
      <c r="BC114" s="510" t="str">
        <f t="array" aca="1" ref="BC114" ca="1">IFERROR(IF(AS114&lt;=$AB$2+$AN$2,"-",INDEX(Calculation_Tab,SMALL(ROW(Direct_Denaturation)*(Direct_Denaturation&lt;&gt;"-"),COUNTIF(Direct_Denaturation,"-")+ROW()-3-$AB$2-$AN$2)-9,35)),"-")</f>
        <v>-</v>
      </c>
      <c r="BD114" s="511" t="str">
        <f t="shared" ca="1" si="52"/>
        <v>-</v>
      </c>
      <c r="BK114" s="542" t="s">
        <v>82</v>
      </c>
      <c r="BL114" s="542" t="s">
        <v>82</v>
      </c>
      <c r="BM114" s="487" t="str">
        <f t="array" aca="1" ref="BM114" ca="1">IFERROR(INDEX(Calculation_Tab,SMALL(ROW(ToPool)*(ToPool&lt;&gt;"-"),COUNTIF(ToPool,"-")+ROW()-3)-9,3),"-")</f>
        <v>-</v>
      </c>
      <c r="BN114" s="378" t="str">
        <f t="shared" ca="1" si="55"/>
        <v>-</v>
      </c>
      <c r="BO114" s="378" t="str">
        <f t="shared" ca="1" si="56"/>
        <v>-</v>
      </c>
      <c r="BP114" s="523" t="str">
        <f t="shared" ca="1" si="57"/>
        <v>-</v>
      </c>
      <c r="BQ114" s="378" t="str">
        <f t="array" aca="1" ref="BQ114" ca="1">IFERROR(INDEX(BE:BG,MATCH(INDEX(Calculation_Tab,SMALL(ROW(ToPool)*(ToPool&lt;&gt;"-"),COUNTIF(ToPool,"-")+ROW()-3)-9,9),BG:BG,0),2),"-")</f>
        <v>-</v>
      </c>
      <c r="BR114" s="510" t="str">
        <f t="shared" ca="1" si="58"/>
        <v>-</v>
      </c>
      <c r="BS114" s="511" t="str">
        <f t="shared" ca="1" si="59"/>
        <v>-</v>
      </c>
      <c r="BT114" s="543" t="s">
        <v>82</v>
      </c>
      <c r="BU114" s="487" t="str">
        <f t="shared" ca="1" si="63"/>
        <v>-</v>
      </c>
      <c r="BV114" s="487" t="str">
        <f t="array" aca="1" ref="BV11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14" s="378" t="str">
        <f t="shared" ca="1" si="60"/>
        <v>-</v>
      </c>
      <c r="BX114" s="378" t="str">
        <f t="shared" ca="1" si="61"/>
        <v>-</v>
      </c>
      <c r="BY114" s="510" t="str">
        <f ca="1">IFERROR(ROUND(INDEX(Cluster,MATCH(IF(LEFT(BV114,4)="Pool",INDEX(Cluster,MATCH(INDEX(Calculation_Tab,MATCH(INDEX($BE$4:$BJ$99,MATCH(BV114,$BE$4:$BE$99,0),3),Flow_Cell_Lane,0),3),Cluster!$F$29:$F$412,0),6),BV114),Identifier_Cluster,0),19)*IF(LEFT(BV114,4)="pool",IF(LEN(INDEX($BE$4:$BJ$99,MATCH(BV114,$BE$4:$BE$99,0),3))=10,2,IF(LEN(INDEX($BE$4:$BJ$99,MATCH(BV114,$BE$4:$BE$99,0),3))&gt;10,LEN(INDEX($BE$4:$BJ$99,MATCH(BV114,$BE$4:$BE$99,0),3))-8,1)),1)*IF(LEFT(BV114,4)="pool",IF(INDEX($BE$4:$BJ$99,MATCH(BV114,$BE$4:$BE$99,0),6)&lt;1,1,INDEX($BE$4:$BJ$99,MATCH(BV114,$BE$4:$BE$99,0),6)),INDEX(Calculation_Tab,MATCH(BV114,Identifier,0),10)),1)*(1+Calculation!$Q$6),"-")</f>
        <v>-</v>
      </c>
      <c r="BZ114" s="378" t="str">
        <f ca="1">IFERROR((0.5/50)*CE114/Calculation!$AG$6*(IF(LEFT(BV114,4)="Pool",IF(LEN(INDEX($BE$4:$BJ$99,MATCH(BV114,$BE$4:$BE$99,0),3))=10,2,IF(LEN(INDEX($BE$4:$BJ$99,MATCH(BV114,$BE$4:$BE$99,0),3))&gt;10,LEN(INDEX($BE$4:$BJ$99,MATCH(BV114,$BE$4:$BE$99,0),3))-8,1)),IF(INDEX(Calculation_Tab,MATCH(BV114,Identifier,0),10)&gt;1,INDEX(Calculation_Tab,MATCH(BV114,Identifier,0),10),1)))*(1+Calculation!$Q$6),"-")</f>
        <v>-</v>
      </c>
      <c r="CA114" s="510" t="str">
        <f ca="1">IFERROR(IF((BZ114*Calculation!$AG$6/0.05)-SUM(BY114:BZ114,CC114)&gt;0,(BZ114*Calculation!$AG$6/0.05)-SUM(BY114:BZ114,CC114),0),"-")</f>
        <v>-</v>
      </c>
      <c r="CB114" s="510" t="str">
        <f ca="1">IFERROR(5/50*CE114*(IF(LEFT(BV114,4)="Pool",IF(LEN(INDEX($BE$4:$BJ$99,MATCH(BV114,$BE$4:$BE$99,0),3))=10,2,IF(LEN(INDEX($BE$4:$BJ$99,MATCH(BV114,$BE$4:$BE$99,0),3))&gt;10,LEN(INDEX($BE$4:$BJ$99,MATCH(BV114,$BE$4:$BE$99,0),3))-8,1)),IF(INDEX(Calculation_Tab,MATCH(BV114,Identifier,0),10)&gt;1,INDEX(Calculation_Tab,MATCH(BV114,Identifier,0),10),1)))*(1+Calculation!$Q$6),"-")</f>
        <v>-</v>
      </c>
      <c r="CC114" s="508" t="str">
        <f ca="1">IFERROR(ROUND(INDEX(Cluster,MATCH(IF(LEFT(BV114,4)="Pool",INDEX(Cluster,MATCH(INDEX(Calculation_Tab,MATCH(INDEX($BE$4:$BJ$99,MATCH(BV114,$BE$4:$BE$99,0),3),Flow_Cell_Lane,0),3),Cluster!$F$29:$F$412,0),6),BV114),Identifier_Cluster,0),20)*IF(LEFT(BV114,4)="pool",IF(LEN(INDEX($BE$4:$BJ$99,MATCH(BV114,$BE$4:$BE$99,0),3))=10,2,IF(LEN(INDEX($BE$4:$BJ$99,MATCH(BV114,$BE$4:$BE$99,0),3))&gt;10,LEN(INDEX($BE$4:$BJ$99,MATCH(BV114,$BE$4:$BE$99,0),3))-8,1)),1)*IF(LEFT(BV114,4)="pool",IF(INDEX($BE$4:$BJ$99,MATCH(BV114,$BE$4:$BE$99,0),6)&lt;1,1,INDEX($BE$4:$BJ$99,MATCH(BV114,$BE$4:$BE$99,0),6)),INDEX(Calculation_Tab,MATCH(BV114,Identifier,0),10)),1)*(1+Calculation!$Q$6),"-")</f>
        <v>-</v>
      </c>
      <c r="CD114" s="509" t="str">
        <f ca="1">IFERROR(INDEX(Cluster!AC:AD,MATCH(IF(LEFT(BV114,4)="Pool",INDEX(Cluster!$D$29:$AA$412,MATCH(INDEX(Calculation_Tab,MATCH(INDEX($BE$4:$BJ$99,MATCH(BV114,$BE$4:$BE$99,0),3),Flow_Cell_Lane,0),3),Cluster!$F$29:$F$412,0),24),INDEX(Cluster!$D$29:$AA$412,MATCH(BV114,Cluster!$F$29:$F$412,0),24)),Cluster!AC:AC,0),2),"-")</f>
        <v>-</v>
      </c>
      <c r="CE114" s="378" t="str">
        <f ca="1">IFERROR(IF(BV114&lt;&gt;"-",Calculation!$AK$6,"-"),"-")</f>
        <v>-</v>
      </c>
      <c r="CF114" s="378" t="str">
        <f ca="1">IF(OR(LEFT(ListAndConversion!BW114,3)="Dil",LEFT(ListAndConversion!BW114,3)="Poo"),ListAndConversion!$BT$4,IF(LEFT(ListAndConversion!BW114,3)="Sou",INDEX(ListAndConversion!$AT$3:$AV$387,MATCH(ListAndConversion!BV114,ListAndConversion!$AV$3:$AV$387,0),1),"-"))</f>
        <v>-</v>
      </c>
      <c r="CG114" s="498" t="str">
        <f ca="1">IF(OR(LEFT(ListAndConversion!BW114,3)="Dil",LEFT(ListAndConversion!BW114,3)="Poo"),ListAndConversion!BU114,IF(LEFT(ListAndConversion!BW114,3)="Sou",INDEX(ListAndConversion!$AT$4:$AV$387,MATCH(ListAndConversion!BV114,ListAndConversion!$AV$4:$AV$387,0),2),"-"))</f>
        <v>-</v>
      </c>
      <c r="CH114" s="378"/>
      <c r="CI114" s="487" t="str">
        <f t="shared" ca="1" si="62"/>
        <v>-</v>
      </c>
      <c r="CJ114" s="378" t="str">
        <f t="shared" ref="CJ114:CQ123" ca="1" si="76">IFERROR(INDEX($R$3:$U$98,MATCH(INDEX($F$3:$M$387,MATCH($CI114,$E$3:$E$386,0),CJ$3),$S$3:$S$98,0),4),"-")</f>
        <v>-</v>
      </c>
      <c r="CK114" s="378" t="str">
        <f t="shared" ca="1" si="76"/>
        <v>-</v>
      </c>
      <c r="CL114" s="378" t="str">
        <f t="shared" ca="1" si="76"/>
        <v>-</v>
      </c>
      <c r="CM114" s="378" t="str">
        <f t="shared" ca="1" si="76"/>
        <v>-</v>
      </c>
      <c r="CN114" s="378" t="str">
        <f t="shared" ca="1" si="76"/>
        <v>-</v>
      </c>
      <c r="CO114" s="378" t="str">
        <f t="shared" ca="1" si="76"/>
        <v>-</v>
      </c>
      <c r="CP114" s="378" t="str">
        <f t="shared" ca="1" si="76"/>
        <v>-</v>
      </c>
      <c r="CQ114" s="378" t="str">
        <f t="shared" ca="1" si="76"/>
        <v>-</v>
      </c>
      <c r="CR114" s="510" t="str">
        <f ca="1">IFERROR(IF(LEFT(BW114,3)="Poo",INDEX($BE$4:$BJ$99,MATCH(CI114,$BG$4:$BG$99,0),6)*((15/50))*Calculation!$AK$6,INDEX(Calculation_Tab,MATCH(BV114,Identifier,0),10)/(IF(LEN(INDEX(Calculation_Tab,MATCH(BV114,Identifier,0),9))&gt;8,LEN(INDEX(Calculation_Tab,MATCH(BV114,Identifier,0),9))-8,1))*((15/50)*Calculation!$AK$6)),"-")</f>
        <v>-</v>
      </c>
      <c r="CS114" s="498" t="str">
        <f ca="1">IF(CI114="-","-",IF(COUNTIF($CI$3:CI114,CI114)&gt;1,0,IFERROR((35/50)*Calculation!$AK$6,"-")))</f>
        <v>-</v>
      </c>
    </row>
    <row r="115" spans="4:97" x14ac:dyDescent="0.5">
      <c r="D115" s="487" t="e">
        <f t="shared" si="44"/>
        <v>#DIV/0!</v>
      </c>
      <c r="E115" s="496" t="e">
        <f t="array" ref="E115">IF(IF((ROW(E115)-3)&lt;(ListAndConversion!$A$15),INDEX(Flow_Cell_Lane,MIN(IF(COUNTIF($E$2:E114,Flow_Cell_Lane)=0,ROW(Flow_Cell_Lane)-9))),"-")="","-",IF((ROW(E115)-3)&lt;(ListAndConversion!$A$15),INDEX(Flow_Cell_Lane,MIN(IF(COUNTIF($E$2:E114,Flow_Cell_Lane)=0,ROW(Flow_Cell_Lane)-9))),"-"))</f>
        <v>#DIV/0!</v>
      </c>
      <c r="F115" s="378" t="e">
        <f t="shared" si="45"/>
        <v>#DIV/0!</v>
      </c>
      <c r="G115" s="378" t="e">
        <f t="shared" si="75"/>
        <v>#DIV/0!</v>
      </c>
      <c r="H115" s="378" t="e">
        <f t="shared" si="75"/>
        <v>#DIV/0!</v>
      </c>
      <c r="I115" s="378" t="e">
        <f t="shared" si="75"/>
        <v>#DIV/0!</v>
      </c>
      <c r="J115" s="378" t="e">
        <f t="shared" si="75"/>
        <v>#DIV/0!</v>
      </c>
      <c r="K115" s="378" t="e">
        <f t="shared" si="75"/>
        <v>#DIV/0!</v>
      </c>
      <c r="L115" s="378" t="e">
        <f t="shared" si="75"/>
        <v>#DIV/0!</v>
      </c>
      <c r="M115" s="378" t="e">
        <f t="shared" si="75"/>
        <v>#DIV/0!</v>
      </c>
      <c r="N115" s="497" t="e">
        <f t="shared" si="46"/>
        <v>#DIV/0!</v>
      </c>
      <c r="O115" s="497" t="str">
        <f t="array" ref="O115">IFERROR(INDEX(Calculation!I:AN,MATCH(ListAndConversion!E115,Calculation!I:I,0),31),"-")</f>
        <v>-</v>
      </c>
      <c r="P115" s="498">
        <f>IF(COUNTIFS(Calculation!$I$10:$I$393,E115,Direct_Denaturation,"-")&lt;&gt;1,COUNTIFS(Calculation!$I$10:$I$393,E115,Direct_Denaturation,"-"),0)</f>
        <v>0</v>
      </c>
      <c r="V115" s="542" t="s">
        <v>82</v>
      </c>
      <c r="W115" s="542" t="s">
        <v>82</v>
      </c>
      <c r="X115" s="542" t="s">
        <v>82</v>
      </c>
      <c r="Y115" s="542" t="s">
        <v>82</v>
      </c>
      <c r="Z115" s="542" t="s">
        <v>82</v>
      </c>
      <c r="AA115" s="542" t="s">
        <v>82</v>
      </c>
      <c r="AB115" s="542" t="s">
        <v>82</v>
      </c>
      <c r="AC115" s="542" t="s">
        <v>82</v>
      </c>
      <c r="AD115" s="542" t="s">
        <v>82</v>
      </c>
      <c r="AE115" s="542" t="s">
        <v>82</v>
      </c>
      <c r="AF115" s="542" t="s">
        <v>82</v>
      </c>
      <c r="AG115" s="542" t="s">
        <v>82</v>
      </c>
      <c r="AH115" s="9"/>
      <c r="AI115" s="487">
        <v>112</v>
      </c>
      <c r="AJ115" s="497" t="s">
        <v>161</v>
      </c>
      <c r="AK115" s="378">
        <v>16</v>
      </c>
      <c r="AL115" s="378" t="str">
        <f t="shared" ca="1" si="49"/>
        <v>-</v>
      </c>
      <c r="AM115" s="378" t="str">
        <f t="array" aca="1" ref="AM115" ca="1">IFERROR(IF(AI115&lt;=$AB$2,"-",INDEX(Calculation_Tab,SMALL(ROW(Main_Dil)*(Main_Dil&lt;&gt;"-"),COUNTIF(Main_Dil,"-")+ROW()-3-$AB$2)-9,5)),"-")</f>
        <v>-</v>
      </c>
      <c r="AN115" s="378" t="str">
        <f t="array" aca="1" ref="AN115" ca="1">IFERROR(IF(AI115&lt;=$AB$2,"-",INDEX($A$3:$B$12,MATCH(INDEX(Calculation_Tab,SMALL(ROW(Main_Dil)*(Main_Dil&lt;&gt;"-"),COUNTIF(Main_Dil,"-")+ROW()-3-$AB$2)-9,5),$A$3:$A$12,0),2)),"-")</f>
        <v>-</v>
      </c>
      <c r="AO115" s="378" t="str">
        <f t="array" aca="1" ref="AO115" ca="1">IFERROR(IF(AI115&lt;=$AB$2,"-",INDEX(Coordinate,MATCH(INDEX(Calculation_Tab,SMALL(ROW(Main_Dil)*(Main_Dil&lt;&gt;"-"),COUNTIF(Main_Dil,"-")+ROW()-3-$AB$2)-9,6),$X$4:$X$99,0),2)),"-")</f>
        <v>-</v>
      </c>
      <c r="AP115" s="510" t="str">
        <f t="array" aca="1" ref="AP115" ca="1">IFERROR(IF(AI115&lt;=$AB$2,"-",INDEX(Calculation_Tab,SMALL(ROW(Main_Dil)*(Main_Dil&lt;&gt;"-"),COUNTIF(Main_Dil,"-")+ROW()-3-$AB$2)-9,21)),"-")</f>
        <v>-</v>
      </c>
      <c r="AQ115" s="511" t="str">
        <f t="array" aca="1" ref="AQ115" ca="1">IFERROR(IF(AI115&lt;=$AB$2,"-",INDEX(Calculation_Tab,SMALL(ROW(Main_Dil)*(Main_Dil&lt;&gt;"-"),COUNTIF(Main_Dil,"-")+ROW()-3-$AB$2)-9,22)),"-")</f>
        <v>-</v>
      </c>
      <c r="AR115" s="487" t="str">
        <f t="shared" ca="1" si="50"/>
        <v>-</v>
      </c>
      <c r="AS115" s="378">
        <v>112</v>
      </c>
      <c r="AT115" s="497" t="s">
        <v>161</v>
      </c>
      <c r="AU115" s="498">
        <v>16</v>
      </c>
      <c r="AV115" s="378" t="str">
        <f t="shared" ca="1" si="51"/>
        <v>-</v>
      </c>
      <c r="AW115" s="378" t="str">
        <f t="array" aca="1" ref="AW115" ca="1">IFERROR(IF(AS115&lt;=$AB$2+$AN$2,"-",INDEX(Calculation_Tab,SMALL(ROW(Direct_Denaturation)*(Direct_Denaturation&lt;&gt;"-"),COUNTIF(Direct_Denaturation,"-")+ROW()-3-$AB$2-$AN$2)-9,5)),"-")</f>
        <v>-</v>
      </c>
      <c r="AX115" s="378" t="str">
        <f t="array" aca="1" ref="AX115" ca="1">IFERROR(IF(AS115&lt;=$AB$2+$AN$2,"-",INDEX($A$3:$B$12,MATCH(INDEX(Calculation_Tab,SMALL(ROW(Direct_Denaturation)*(Direct_Denaturation&lt;&gt;"-"),COUNTIF(Direct_Denaturation,"-")+ROW()-3-$AB$2-$AN$2)-9,5),$A$3:$A$12,0),2)),"-")</f>
        <v>-</v>
      </c>
      <c r="AY115" s="378" t="str">
        <f t="array" aca="1" ref="AY115" ca="1">IFERROR(IF(AS115&lt;=$AB$2+$AN$2,"-",INDEX(Coordinate,MATCH(INDEX(Calculation_Tab,SMALL(ROW(Direct_Denaturation)*(Direct_Denaturation&lt;&gt;"-"),COUNTIF(Direct_Denaturation,"-")+ROW()-3-$AB$2-$AN$2)-9,6),$X$4:$X$99,0),2)),"-")</f>
        <v>-</v>
      </c>
      <c r="AZ115" s="510" t="str">
        <f t="array" aca="1" ref="AZ115" ca="1">IFERROR(IF(AS115&lt;=$AB$2+$AN$2,"-",INDEX(Calculation_Tab,SMALL(ROW(Direct_Denaturation)*(Direct_Denaturation&lt;&gt;"-"),COUNTIF(Direct_Denaturation,"-")+ROW()-3-$AB$2-$AN$2)-9,32)),"-")</f>
        <v>-</v>
      </c>
      <c r="BA115" s="510" t="str">
        <f t="array" aca="1" ref="BA115" ca="1">IFERROR(IF(AS115&lt;=$AB$2+$AN$2,"-",INDEX(Calculation_Tab,SMALL(ROW(Direct_Denaturation)*(Direct_Denaturation&lt;&gt;"-"),COUNTIF(Direct_Denaturation,"-")+ROW()-3-$AB$2-$AN$2)-9,34)),"-")</f>
        <v>-</v>
      </c>
      <c r="BB115" s="510" t="str">
        <f t="array" aca="1" ref="BB115" ca="1">IFERROR(IF(AS115&lt;=$AB$2+$AN$2,"-",INDEX(Calculation_Tab,SMALL(ROW(Direct_Denaturation)*(Direct_Denaturation&lt;&gt;"-"),COUNTIF(Direct_Denaturation,"-")+ROW()-3-$AB$2-$AN$2)-9,33)),"-")</f>
        <v>-</v>
      </c>
      <c r="BC115" s="510" t="str">
        <f t="array" aca="1" ref="BC115" ca="1">IFERROR(IF(AS115&lt;=$AB$2+$AN$2,"-",INDEX(Calculation_Tab,SMALL(ROW(Direct_Denaturation)*(Direct_Denaturation&lt;&gt;"-"),COUNTIF(Direct_Denaturation,"-")+ROW()-3-$AB$2-$AN$2)-9,35)),"-")</f>
        <v>-</v>
      </c>
      <c r="BD115" s="511" t="str">
        <f t="shared" ca="1" si="52"/>
        <v>-</v>
      </c>
      <c r="BK115" s="542" t="s">
        <v>82</v>
      </c>
      <c r="BL115" s="542" t="s">
        <v>82</v>
      </c>
      <c r="BM115" s="487" t="str">
        <f t="array" aca="1" ref="BM115" ca="1">IFERROR(INDEX(Calculation_Tab,SMALL(ROW(ToPool)*(ToPool&lt;&gt;"-"),COUNTIF(ToPool,"-")+ROW()-3)-9,3),"-")</f>
        <v>-</v>
      </c>
      <c r="BN115" s="378" t="str">
        <f t="shared" ca="1" si="55"/>
        <v>-</v>
      </c>
      <c r="BO115" s="378" t="str">
        <f t="shared" ca="1" si="56"/>
        <v>-</v>
      </c>
      <c r="BP115" s="523" t="str">
        <f t="shared" ca="1" si="57"/>
        <v>-</v>
      </c>
      <c r="BQ115" s="378" t="str">
        <f t="array" aca="1" ref="BQ115" ca="1">IFERROR(INDEX(BE:BG,MATCH(INDEX(Calculation_Tab,SMALL(ROW(ToPool)*(ToPool&lt;&gt;"-"),COUNTIF(ToPool,"-")+ROW()-3)-9,9),BG:BG,0),2),"-")</f>
        <v>-</v>
      </c>
      <c r="BR115" s="510" t="str">
        <f t="shared" ca="1" si="58"/>
        <v>-</v>
      </c>
      <c r="BS115" s="511" t="str">
        <f t="shared" ca="1" si="59"/>
        <v>-</v>
      </c>
      <c r="BT115" s="543" t="s">
        <v>82</v>
      </c>
      <c r="BU115" s="487" t="str">
        <f t="shared" ca="1" si="63"/>
        <v>-</v>
      </c>
      <c r="BV115" s="487" t="str">
        <f t="array" aca="1" ref="BV11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15" s="378" t="str">
        <f t="shared" ca="1" si="60"/>
        <v>-</v>
      </c>
      <c r="BX115" s="378" t="str">
        <f t="shared" ca="1" si="61"/>
        <v>-</v>
      </c>
      <c r="BY115" s="510" t="str">
        <f ca="1">IFERROR(ROUND(INDEX(Cluster,MATCH(IF(LEFT(BV115,4)="Pool",INDEX(Cluster,MATCH(INDEX(Calculation_Tab,MATCH(INDEX($BE$4:$BJ$99,MATCH(BV115,$BE$4:$BE$99,0),3),Flow_Cell_Lane,0),3),Cluster!$F$29:$F$412,0),6),BV115),Identifier_Cluster,0),19)*IF(LEFT(BV115,4)="pool",IF(LEN(INDEX($BE$4:$BJ$99,MATCH(BV115,$BE$4:$BE$99,0),3))=10,2,IF(LEN(INDEX($BE$4:$BJ$99,MATCH(BV115,$BE$4:$BE$99,0),3))&gt;10,LEN(INDEX($BE$4:$BJ$99,MATCH(BV115,$BE$4:$BE$99,0),3))-8,1)),1)*IF(LEFT(BV115,4)="pool",IF(INDEX($BE$4:$BJ$99,MATCH(BV115,$BE$4:$BE$99,0),6)&lt;1,1,INDEX($BE$4:$BJ$99,MATCH(BV115,$BE$4:$BE$99,0),6)),INDEX(Calculation_Tab,MATCH(BV115,Identifier,0),10)),1)*(1+Calculation!$Q$6),"-")</f>
        <v>-</v>
      </c>
      <c r="BZ115" s="378" t="str">
        <f ca="1">IFERROR((0.5/50)*CE115/Calculation!$AG$6*(IF(LEFT(BV115,4)="Pool",IF(LEN(INDEX($BE$4:$BJ$99,MATCH(BV115,$BE$4:$BE$99,0),3))=10,2,IF(LEN(INDEX($BE$4:$BJ$99,MATCH(BV115,$BE$4:$BE$99,0),3))&gt;10,LEN(INDEX($BE$4:$BJ$99,MATCH(BV115,$BE$4:$BE$99,0),3))-8,1)),IF(INDEX(Calculation_Tab,MATCH(BV115,Identifier,0),10)&gt;1,INDEX(Calculation_Tab,MATCH(BV115,Identifier,0),10),1)))*(1+Calculation!$Q$6),"-")</f>
        <v>-</v>
      </c>
      <c r="CA115" s="510" t="str">
        <f ca="1">IFERROR(IF((BZ115*Calculation!$AG$6/0.05)-SUM(BY115:BZ115,CC115)&gt;0,(BZ115*Calculation!$AG$6/0.05)-SUM(BY115:BZ115,CC115),0),"-")</f>
        <v>-</v>
      </c>
      <c r="CB115" s="510" t="str">
        <f ca="1">IFERROR(5/50*CE115*(IF(LEFT(BV115,4)="Pool",IF(LEN(INDEX($BE$4:$BJ$99,MATCH(BV115,$BE$4:$BE$99,0),3))=10,2,IF(LEN(INDEX($BE$4:$BJ$99,MATCH(BV115,$BE$4:$BE$99,0),3))&gt;10,LEN(INDEX($BE$4:$BJ$99,MATCH(BV115,$BE$4:$BE$99,0),3))-8,1)),IF(INDEX(Calculation_Tab,MATCH(BV115,Identifier,0),10)&gt;1,INDEX(Calculation_Tab,MATCH(BV115,Identifier,0),10),1)))*(1+Calculation!$Q$6),"-")</f>
        <v>-</v>
      </c>
      <c r="CC115" s="508" t="str">
        <f ca="1">IFERROR(ROUND(INDEX(Cluster,MATCH(IF(LEFT(BV115,4)="Pool",INDEX(Cluster,MATCH(INDEX(Calculation_Tab,MATCH(INDEX($BE$4:$BJ$99,MATCH(BV115,$BE$4:$BE$99,0),3),Flow_Cell_Lane,0),3),Cluster!$F$29:$F$412,0),6),BV115),Identifier_Cluster,0),20)*IF(LEFT(BV115,4)="pool",IF(LEN(INDEX($BE$4:$BJ$99,MATCH(BV115,$BE$4:$BE$99,0),3))=10,2,IF(LEN(INDEX($BE$4:$BJ$99,MATCH(BV115,$BE$4:$BE$99,0),3))&gt;10,LEN(INDEX($BE$4:$BJ$99,MATCH(BV115,$BE$4:$BE$99,0),3))-8,1)),1)*IF(LEFT(BV115,4)="pool",IF(INDEX($BE$4:$BJ$99,MATCH(BV115,$BE$4:$BE$99,0),6)&lt;1,1,INDEX($BE$4:$BJ$99,MATCH(BV115,$BE$4:$BE$99,0),6)),INDEX(Calculation_Tab,MATCH(BV115,Identifier,0),10)),1)*(1+Calculation!$Q$6),"-")</f>
        <v>-</v>
      </c>
      <c r="CD115" s="509" t="str">
        <f ca="1">IFERROR(INDEX(Cluster!AC:AD,MATCH(IF(LEFT(BV115,4)="Pool",INDEX(Cluster!$D$29:$AA$412,MATCH(INDEX(Calculation_Tab,MATCH(INDEX($BE$4:$BJ$99,MATCH(BV115,$BE$4:$BE$99,0),3),Flow_Cell_Lane,0),3),Cluster!$F$29:$F$412,0),24),INDEX(Cluster!$D$29:$AA$412,MATCH(BV115,Cluster!$F$29:$F$412,0),24)),Cluster!AC:AC,0),2),"-")</f>
        <v>-</v>
      </c>
      <c r="CE115" s="378" t="str">
        <f ca="1">IFERROR(IF(BV115&lt;&gt;"-",Calculation!$AK$6,"-"),"-")</f>
        <v>-</v>
      </c>
      <c r="CF115" s="378" t="str">
        <f ca="1">IF(OR(LEFT(ListAndConversion!BW115,3)="Dil",LEFT(ListAndConversion!BW115,3)="Poo"),ListAndConversion!$BT$4,IF(LEFT(ListAndConversion!BW115,3)="Sou",INDEX(ListAndConversion!$AT$3:$AV$387,MATCH(ListAndConversion!BV115,ListAndConversion!$AV$3:$AV$387,0),1),"-"))</f>
        <v>-</v>
      </c>
      <c r="CG115" s="498" t="str">
        <f ca="1">IF(OR(LEFT(ListAndConversion!BW115,3)="Dil",LEFT(ListAndConversion!BW115,3)="Poo"),ListAndConversion!BU115,IF(LEFT(ListAndConversion!BW115,3)="Sou",INDEX(ListAndConversion!$AT$4:$AV$387,MATCH(ListAndConversion!BV115,ListAndConversion!$AV$4:$AV$387,0),2),"-"))</f>
        <v>-</v>
      </c>
      <c r="CH115" s="378"/>
      <c r="CI115" s="487" t="str">
        <f t="shared" ca="1" si="62"/>
        <v>-</v>
      </c>
      <c r="CJ115" s="378" t="str">
        <f t="shared" ca="1" si="76"/>
        <v>-</v>
      </c>
      <c r="CK115" s="378" t="str">
        <f t="shared" ca="1" si="76"/>
        <v>-</v>
      </c>
      <c r="CL115" s="378" t="str">
        <f t="shared" ca="1" si="76"/>
        <v>-</v>
      </c>
      <c r="CM115" s="378" t="str">
        <f t="shared" ca="1" si="76"/>
        <v>-</v>
      </c>
      <c r="CN115" s="378" t="str">
        <f t="shared" ca="1" si="76"/>
        <v>-</v>
      </c>
      <c r="CO115" s="378" t="str">
        <f t="shared" ca="1" si="76"/>
        <v>-</v>
      </c>
      <c r="CP115" s="378" t="str">
        <f t="shared" ca="1" si="76"/>
        <v>-</v>
      </c>
      <c r="CQ115" s="378" t="str">
        <f t="shared" ca="1" si="76"/>
        <v>-</v>
      </c>
      <c r="CR115" s="510" t="str">
        <f ca="1">IFERROR(IF(LEFT(BW115,3)="Poo",INDEX($BE$4:$BJ$99,MATCH(CI115,$BG$4:$BG$99,0),6)*((15/50))*Calculation!$AK$6,INDEX(Calculation_Tab,MATCH(BV115,Identifier,0),10)/(IF(LEN(INDEX(Calculation_Tab,MATCH(BV115,Identifier,0),9))&gt;8,LEN(INDEX(Calculation_Tab,MATCH(BV115,Identifier,0),9))-8,1))*((15/50)*Calculation!$AK$6)),"-")</f>
        <v>-</v>
      </c>
      <c r="CS115" s="498" t="str">
        <f ca="1">IF(CI115="-","-",IF(COUNTIF($CI$3:CI115,CI115)&gt;1,0,IFERROR((35/50)*Calculation!$AK$6,"-")))</f>
        <v>-</v>
      </c>
    </row>
    <row r="116" spans="4:97" x14ac:dyDescent="0.5">
      <c r="D116" s="487" t="e">
        <f t="shared" si="44"/>
        <v>#DIV/0!</v>
      </c>
      <c r="E116" s="496" t="e">
        <f t="array" ref="E116">IF(IF((ROW(E116)-3)&lt;(ListAndConversion!$A$15),INDEX(Flow_Cell_Lane,MIN(IF(COUNTIF($E$2:E115,Flow_Cell_Lane)=0,ROW(Flow_Cell_Lane)-9))),"-")="","-",IF((ROW(E116)-3)&lt;(ListAndConversion!$A$15),INDEX(Flow_Cell_Lane,MIN(IF(COUNTIF($E$2:E115,Flow_Cell_Lane)=0,ROW(Flow_Cell_Lane)-9))),"-"))</f>
        <v>#DIV/0!</v>
      </c>
      <c r="F116" s="378" t="e">
        <f t="shared" si="45"/>
        <v>#DIV/0!</v>
      </c>
      <c r="G116" s="378" t="e">
        <f t="shared" si="75"/>
        <v>#DIV/0!</v>
      </c>
      <c r="H116" s="378" t="e">
        <f t="shared" si="75"/>
        <v>#DIV/0!</v>
      </c>
      <c r="I116" s="378" t="e">
        <f t="shared" si="75"/>
        <v>#DIV/0!</v>
      </c>
      <c r="J116" s="378" t="e">
        <f t="shared" si="75"/>
        <v>#DIV/0!</v>
      </c>
      <c r="K116" s="378" t="e">
        <f t="shared" si="75"/>
        <v>#DIV/0!</v>
      </c>
      <c r="L116" s="378" t="e">
        <f t="shared" si="75"/>
        <v>#DIV/0!</v>
      </c>
      <c r="M116" s="378" t="e">
        <f t="shared" si="75"/>
        <v>#DIV/0!</v>
      </c>
      <c r="N116" s="497" t="e">
        <f t="shared" si="46"/>
        <v>#DIV/0!</v>
      </c>
      <c r="O116" s="497" t="str">
        <f t="array" ref="O116">IFERROR(INDEX(Calculation!I:AN,MATCH(ListAndConversion!E116,Calculation!I:I,0),31),"-")</f>
        <v>-</v>
      </c>
      <c r="P116" s="498">
        <f>IF(COUNTIFS(Calculation!$I$10:$I$393,E116,Direct_Denaturation,"-")&lt;&gt;1,COUNTIFS(Calculation!$I$10:$I$393,E116,Direct_Denaturation,"-"),0)</f>
        <v>0</v>
      </c>
      <c r="V116" s="542" t="s">
        <v>82</v>
      </c>
      <c r="W116" s="542" t="s">
        <v>82</v>
      </c>
      <c r="X116" s="542" t="s">
        <v>82</v>
      </c>
      <c r="Y116" s="542" t="s">
        <v>82</v>
      </c>
      <c r="Z116" s="542" t="s">
        <v>82</v>
      </c>
      <c r="AA116" s="542" t="s">
        <v>82</v>
      </c>
      <c r="AB116" s="542" t="s">
        <v>82</v>
      </c>
      <c r="AC116" s="542" t="s">
        <v>82</v>
      </c>
      <c r="AD116" s="542" t="s">
        <v>82</v>
      </c>
      <c r="AE116" s="542" t="s">
        <v>82</v>
      </c>
      <c r="AF116" s="542" t="s">
        <v>82</v>
      </c>
      <c r="AG116" s="542" t="s">
        <v>82</v>
      </c>
      <c r="AH116" s="9"/>
      <c r="AI116" s="487">
        <v>113</v>
      </c>
      <c r="AJ116" s="497" t="s">
        <v>161</v>
      </c>
      <c r="AK116" s="378">
        <v>17</v>
      </c>
      <c r="AL116" s="378" t="str">
        <f t="shared" ca="1" si="49"/>
        <v>-</v>
      </c>
      <c r="AM116" s="378" t="str">
        <f t="array" aca="1" ref="AM116" ca="1">IFERROR(IF(AI116&lt;=$AB$2,"-",INDEX(Calculation_Tab,SMALL(ROW(Main_Dil)*(Main_Dil&lt;&gt;"-"),COUNTIF(Main_Dil,"-")+ROW()-3-$AB$2)-9,5)),"-")</f>
        <v>-</v>
      </c>
      <c r="AN116" s="378" t="str">
        <f t="array" aca="1" ref="AN116" ca="1">IFERROR(IF(AI116&lt;=$AB$2,"-",INDEX($A$3:$B$12,MATCH(INDEX(Calculation_Tab,SMALL(ROW(Main_Dil)*(Main_Dil&lt;&gt;"-"),COUNTIF(Main_Dil,"-")+ROW()-3-$AB$2)-9,5),$A$3:$A$12,0),2)),"-")</f>
        <v>-</v>
      </c>
      <c r="AO116" s="378" t="str">
        <f t="array" aca="1" ref="AO116" ca="1">IFERROR(IF(AI116&lt;=$AB$2,"-",INDEX(Coordinate,MATCH(INDEX(Calculation_Tab,SMALL(ROW(Main_Dil)*(Main_Dil&lt;&gt;"-"),COUNTIF(Main_Dil,"-")+ROW()-3-$AB$2)-9,6),$X$4:$X$99,0),2)),"-")</f>
        <v>-</v>
      </c>
      <c r="AP116" s="510" t="str">
        <f t="array" aca="1" ref="AP116" ca="1">IFERROR(IF(AI116&lt;=$AB$2,"-",INDEX(Calculation_Tab,SMALL(ROW(Main_Dil)*(Main_Dil&lt;&gt;"-"),COUNTIF(Main_Dil,"-")+ROW()-3-$AB$2)-9,21)),"-")</f>
        <v>-</v>
      </c>
      <c r="AQ116" s="511" t="str">
        <f t="array" aca="1" ref="AQ116" ca="1">IFERROR(IF(AI116&lt;=$AB$2,"-",INDEX(Calculation_Tab,SMALL(ROW(Main_Dil)*(Main_Dil&lt;&gt;"-"),COUNTIF(Main_Dil,"-")+ROW()-3-$AB$2)-9,22)),"-")</f>
        <v>-</v>
      </c>
      <c r="AR116" s="487" t="str">
        <f t="shared" ca="1" si="50"/>
        <v>-</v>
      </c>
      <c r="AS116" s="378">
        <v>113</v>
      </c>
      <c r="AT116" s="497" t="s">
        <v>161</v>
      </c>
      <c r="AU116" s="498">
        <v>17</v>
      </c>
      <c r="AV116" s="378" t="str">
        <f t="shared" ca="1" si="51"/>
        <v>-</v>
      </c>
      <c r="AW116" s="378" t="str">
        <f t="array" aca="1" ref="AW116" ca="1">IFERROR(IF(AS116&lt;=$AB$2+$AN$2,"-",INDEX(Calculation_Tab,SMALL(ROW(Direct_Denaturation)*(Direct_Denaturation&lt;&gt;"-"),COUNTIF(Direct_Denaturation,"-")+ROW()-3-$AB$2-$AN$2)-9,5)),"-")</f>
        <v>-</v>
      </c>
      <c r="AX116" s="378" t="str">
        <f t="array" aca="1" ref="AX116" ca="1">IFERROR(IF(AS116&lt;=$AB$2+$AN$2,"-",INDEX($A$3:$B$12,MATCH(INDEX(Calculation_Tab,SMALL(ROW(Direct_Denaturation)*(Direct_Denaturation&lt;&gt;"-"),COUNTIF(Direct_Denaturation,"-")+ROW()-3-$AB$2-$AN$2)-9,5),$A$3:$A$12,0),2)),"-")</f>
        <v>-</v>
      </c>
      <c r="AY116" s="378" t="str">
        <f t="array" aca="1" ref="AY116" ca="1">IFERROR(IF(AS116&lt;=$AB$2+$AN$2,"-",INDEX(Coordinate,MATCH(INDEX(Calculation_Tab,SMALL(ROW(Direct_Denaturation)*(Direct_Denaturation&lt;&gt;"-"),COUNTIF(Direct_Denaturation,"-")+ROW()-3-$AB$2-$AN$2)-9,6),$X$4:$X$99,0),2)),"-")</f>
        <v>-</v>
      </c>
      <c r="AZ116" s="510" t="str">
        <f t="array" aca="1" ref="AZ116" ca="1">IFERROR(IF(AS116&lt;=$AB$2+$AN$2,"-",INDEX(Calculation_Tab,SMALL(ROW(Direct_Denaturation)*(Direct_Denaturation&lt;&gt;"-"),COUNTIF(Direct_Denaturation,"-")+ROW()-3-$AB$2-$AN$2)-9,32)),"-")</f>
        <v>-</v>
      </c>
      <c r="BA116" s="510" t="str">
        <f t="array" aca="1" ref="BA116" ca="1">IFERROR(IF(AS116&lt;=$AB$2+$AN$2,"-",INDEX(Calculation_Tab,SMALL(ROW(Direct_Denaturation)*(Direct_Denaturation&lt;&gt;"-"),COUNTIF(Direct_Denaturation,"-")+ROW()-3-$AB$2-$AN$2)-9,34)),"-")</f>
        <v>-</v>
      </c>
      <c r="BB116" s="510" t="str">
        <f t="array" aca="1" ref="BB116" ca="1">IFERROR(IF(AS116&lt;=$AB$2+$AN$2,"-",INDEX(Calculation_Tab,SMALL(ROW(Direct_Denaturation)*(Direct_Denaturation&lt;&gt;"-"),COUNTIF(Direct_Denaturation,"-")+ROW()-3-$AB$2-$AN$2)-9,33)),"-")</f>
        <v>-</v>
      </c>
      <c r="BC116" s="510" t="str">
        <f t="array" aca="1" ref="BC116" ca="1">IFERROR(IF(AS116&lt;=$AB$2+$AN$2,"-",INDEX(Calculation_Tab,SMALL(ROW(Direct_Denaturation)*(Direct_Denaturation&lt;&gt;"-"),COUNTIF(Direct_Denaturation,"-")+ROW()-3-$AB$2-$AN$2)-9,35)),"-")</f>
        <v>-</v>
      </c>
      <c r="BD116" s="511" t="str">
        <f t="shared" ca="1" si="52"/>
        <v>-</v>
      </c>
      <c r="BK116" s="542" t="s">
        <v>82</v>
      </c>
      <c r="BL116" s="542" t="s">
        <v>82</v>
      </c>
      <c r="BM116" s="487" t="str">
        <f t="array" aca="1" ref="BM116" ca="1">IFERROR(INDEX(Calculation_Tab,SMALL(ROW(ToPool)*(ToPool&lt;&gt;"-"),COUNTIF(ToPool,"-")+ROW()-3)-9,3),"-")</f>
        <v>-</v>
      </c>
      <c r="BN116" s="378" t="str">
        <f t="shared" ca="1" si="55"/>
        <v>-</v>
      </c>
      <c r="BO116" s="378" t="str">
        <f t="shared" ca="1" si="56"/>
        <v>-</v>
      </c>
      <c r="BP116" s="523" t="str">
        <f t="shared" ca="1" si="57"/>
        <v>-</v>
      </c>
      <c r="BQ116" s="378" t="str">
        <f t="array" aca="1" ref="BQ116" ca="1">IFERROR(INDEX(BE:BG,MATCH(INDEX(Calculation_Tab,SMALL(ROW(ToPool)*(ToPool&lt;&gt;"-"),COUNTIF(ToPool,"-")+ROW()-3)-9,9),BG:BG,0),2),"-")</f>
        <v>-</v>
      </c>
      <c r="BR116" s="510" t="str">
        <f t="shared" ca="1" si="58"/>
        <v>-</v>
      </c>
      <c r="BS116" s="511" t="str">
        <f t="shared" ca="1" si="59"/>
        <v>-</v>
      </c>
      <c r="BT116" s="543" t="s">
        <v>82</v>
      </c>
      <c r="BU116" s="487" t="str">
        <f t="shared" ca="1" si="63"/>
        <v>-</v>
      </c>
      <c r="BV116" s="487" t="str">
        <f t="array" aca="1" ref="BV11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16" s="378" t="str">
        <f t="shared" ca="1" si="60"/>
        <v>-</v>
      </c>
      <c r="BX116" s="378" t="str">
        <f t="shared" ca="1" si="61"/>
        <v>-</v>
      </c>
      <c r="BY116" s="510" t="str">
        <f ca="1">IFERROR(ROUND(INDEX(Cluster,MATCH(IF(LEFT(BV116,4)="Pool",INDEX(Cluster,MATCH(INDEX(Calculation_Tab,MATCH(INDEX($BE$4:$BJ$99,MATCH(BV116,$BE$4:$BE$99,0),3),Flow_Cell_Lane,0),3),Cluster!$F$29:$F$412,0),6),BV116),Identifier_Cluster,0),19)*IF(LEFT(BV116,4)="pool",IF(LEN(INDEX($BE$4:$BJ$99,MATCH(BV116,$BE$4:$BE$99,0),3))=10,2,IF(LEN(INDEX($BE$4:$BJ$99,MATCH(BV116,$BE$4:$BE$99,0),3))&gt;10,LEN(INDEX($BE$4:$BJ$99,MATCH(BV116,$BE$4:$BE$99,0),3))-8,1)),1)*IF(LEFT(BV116,4)="pool",IF(INDEX($BE$4:$BJ$99,MATCH(BV116,$BE$4:$BE$99,0),6)&lt;1,1,INDEX($BE$4:$BJ$99,MATCH(BV116,$BE$4:$BE$99,0),6)),INDEX(Calculation_Tab,MATCH(BV116,Identifier,0),10)),1)*(1+Calculation!$Q$6),"-")</f>
        <v>-</v>
      </c>
      <c r="BZ116" s="378" t="str">
        <f ca="1">IFERROR((0.5/50)*CE116/Calculation!$AG$6*(IF(LEFT(BV116,4)="Pool",IF(LEN(INDEX($BE$4:$BJ$99,MATCH(BV116,$BE$4:$BE$99,0),3))=10,2,IF(LEN(INDEX($BE$4:$BJ$99,MATCH(BV116,$BE$4:$BE$99,0),3))&gt;10,LEN(INDEX($BE$4:$BJ$99,MATCH(BV116,$BE$4:$BE$99,0),3))-8,1)),IF(INDEX(Calculation_Tab,MATCH(BV116,Identifier,0),10)&gt;1,INDEX(Calculation_Tab,MATCH(BV116,Identifier,0),10),1)))*(1+Calculation!$Q$6),"-")</f>
        <v>-</v>
      </c>
      <c r="CA116" s="510" t="str">
        <f ca="1">IFERROR(IF((BZ116*Calculation!$AG$6/0.05)-SUM(BY116:BZ116,CC116)&gt;0,(BZ116*Calculation!$AG$6/0.05)-SUM(BY116:BZ116,CC116),0),"-")</f>
        <v>-</v>
      </c>
      <c r="CB116" s="510" t="str">
        <f ca="1">IFERROR(5/50*CE116*(IF(LEFT(BV116,4)="Pool",IF(LEN(INDEX($BE$4:$BJ$99,MATCH(BV116,$BE$4:$BE$99,0),3))=10,2,IF(LEN(INDEX($BE$4:$BJ$99,MATCH(BV116,$BE$4:$BE$99,0),3))&gt;10,LEN(INDEX($BE$4:$BJ$99,MATCH(BV116,$BE$4:$BE$99,0),3))-8,1)),IF(INDEX(Calculation_Tab,MATCH(BV116,Identifier,0),10)&gt;1,INDEX(Calculation_Tab,MATCH(BV116,Identifier,0),10),1)))*(1+Calculation!$Q$6),"-")</f>
        <v>-</v>
      </c>
      <c r="CC116" s="508" t="str">
        <f ca="1">IFERROR(ROUND(INDEX(Cluster,MATCH(IF(LEFT(BV116,4)="Pool",INDEX(Cluster,MATCH(INDEX(Calculation_Tab,MATCH(INDEX($BE$4:$BJ$99,MATCH(BV116,$BE$4:$BE$99,0),3),Flow_Cell_Lane,0),3),Cluster!$F$29:$F$412,0),6),BV116),Identifier_Cluster,0),20)*IF(LEFT(BV116,4)="pool",IF(LEN(INDEX($BE$4:$BJ$99,MATCH(BV116,$BE$4:$BE$99,0),3))=10,2,IF(LEN(INDEX($BE$4:$BJ$99,MATCH(BV116,$BE$4:$BE$99,0),3))&gt;10,LEN(INDEX($BE$4:$BJ$99,MATCH(BV116,$BE$4:$BE$99,0),3))-8,1)),1)*IF(LEFT(BV116,4)="pool",IF(INDEX($BE$4:$BJ$99,MATCH(BV116,$BE$4:$BE$99,0),6)&lt;1,1,INDEX($BE$4:$BJ$99,MATCH(BV116,$BE$4:$BE$99,0),6)),INDEX(Calculation_Tab,MATCH(BV116,Identifier,0),10)),1)*(1+Calculation!$Q$6),"-")</f>
        <v>-</v>
      </c>
      <c r="CD116" s="509" t="str">
        <f ca="1">IFERROR(INDEX(Cluster!AC:AD,MATCH(IF(LEFT(BV116,4)="Pool",INDEX(Cluster!$D$29:$AA$412,MATCH(INDEX(Calculation_Tab,MATCH(INDEX($BE$4:$BJ$99,MATCH(BV116,$BE$4:$BE$99,0),3),Flow_Cell_Lane,0),3),Cluster!$F$29:$F$412,0),24),INDEX(Cluster!$D$29:$AA$412,MATCH(BV116,Cluster!$F$29:$F$412,0),24)),Cluster!AC:AC,0),2),"-")</f>
        <v>-</v>
      </c>
      <c r="CE116" s="378" t="str">
        <f ca="1">IFERROR(IF(BV116&lt;&gt;"-",Calculation!$AK$6,"-"),"-")</f>
        <v>-</v>
      </c>
      <c r="CF116" s="378" t="str">
        <f ca="1">IF(OR(LEFT(ListAndConversion!BW116,3)="Dil",LEFT(ListAndConversion!BW116,3)="Poo"),ListAndConversion!$BT$4,IF(LEFT(ListAndConversion!BW116,3)="Sou",INDEX(ListAndConversion!$AT$3:$AV$387,MATCH(ListAndConversion!BV116,ListAndConversion!$AV$3:$AV$387,0),1),"-"))</f>
        <v>-</v>
      </c>
      <c r="CG116" s="498" t="str">
        <f ca="1">IF(OR(LEFT(ListAndConversion!BW116,3)="Dil",LEFT(ListAndConversion!BW116,3)="Poo"),ListAndConversion!BU116,IF(LEFT(ListAndConversion!BW116,3)="Sou",INDEX(ListAndConversion!$AT$4:$AV$387,MATCH(ListAndConversion!BV116,ListAndConversion!$AV$4:$AV$387,0),2),"-"))</f>
        <v>-</v>
      </c>
      <c r="CH116" s="378"/>
      <c r="CI116" s="487" t="str">
        <f t="shared" ca="1" si="62"/>
        <v>-</v>
      </c>
      <c r="CJ116" s="378" t="str">
        <f t="shared" ca="1" si="76"/>
        <v>-</v>
      </c>
      <c r="CK116" s="378" t="str">
        <f t="shared" ca="1" si="76"/>
        <v>-</v>
      </c>
      <c r="CL116" s="378" t="str">
        <f t="shared" ca="1" si="76"/>
        <v>-</v>
      </c>
      <c r="CM116" s="378" t="str">
        <f t="shared" ca="1" si="76"/>
        <v>-</v>
      </c>
      <c r="CN116" s="378" t="str">
        <f t="shared" ca="1" si="76"/>
        <v>-</v>
      </c>
      <c r="CO116" s="378" t="str">
        <f t="shared" ca="1" si="76"/>
        <v>-</v>
      </c>
      <c r="CP116" s="378" t="str">
        <f t="shared" ca="1" si="76"/>
        <v>-</v>
      </c>
      <c r="CQ116" s="378" t="str">
        <f t="shared" ca="1" si="76"/>
        <v>-</v>
      </c>
      <c r="CR116" s="510" t="str">
        <f ca="1">IFERROR(IF(LEFT(BW116,3)="Poo",INDEX($BE$4:$BJ$99,MATCH(CI116,$BG$4:$BG$99,0),6)*((15/50))*Calculation!$AK$6,INDEX(Calculation_Tab,MATCH(BV116,Identifier,0),10)/(IF(LEN(INDEX(Calculation_Tab,MATCH(BV116,Identifier,0),9))&gt;8,LEN(INDEX(Calculation_Tab,MATCH(BV116,Identifier,0),9))-8,1))*((15/50)*Calculation!$AK$6)),"-")</f>
        <v>-</v>
      </c>
      <c r="CS116" s="498" t="str">
        <f ca="1">IF(CI116="-","-",IF(COUNTIF($CI$3:CI116,CI116)&gt;1,0,IFERROR((35/50)*Calculation!$AK$6,"-")))</f>
        <v>-</v>
      </c>
    </row>
    <row r="117" spans="4:97" x14ac:dyDescent="0.5">
      <c r="D117" s="487" t="e">
        <f t="shared" si="44"/>
        <v>#DIV/0!</v>
      </c>
      <c r="E117" s="496" t="e">
        <f t="array" ref="E117">IF(IF((ROW(E117)-3)&lt;(ListAndConversion!$A$15),INDEX(Flow_Cell_Lane,MIN(IF(COUNTIF($E$2:E116,Flow_Cell_Lane)=0,ROW(Flow_Cell_Lane)-9))),"-")="","-",IF((ROW(E117)-3)&lt;(ListAndConversion!$A$15),INDEX(Flow_Cell_Lane,MIN(IF(COUNTIF($E$2:E116,Flow_Cell_Lane)=0,ROW(Flow_Cell_Lane)-9))),"-"))</f>
        <v>#DIV/0!</v>
      </c>
      <c r="F117" s="378" t="e">
        <f t="shared" si="45"/>
        <v>#DIV/0!</v>
      </c>
      <c r="G117" s="378" t="e">
        <f t="shared" si="75"/>
        <v>#DIV/0!</v>
      </c>
      <c r="H117" s="378" t="e">
        <f t="shared" si="75"/>
        <v>#DIV/0!</v>
      </c>
      <c r="I117" s="378" t="e">
        <f t="shared" si="75"/>
        <v>#DIV/0!</v>
      </c>
      <c r="J117" s="378" t="e">
        <f t="shared" si="75"/>
        <v>#DIV/0!</v>
      </c>
      <c r="K117" s="378" t="e">
        <f t="shared" si="75"/>
        <v>#DIV/0!</v>
      </c>
      <c r="L117" s="378" t="e">
        <f t="shared" si="75"/>
        <v>#DIV/0!</v>
      </c>
      <c r="M117" s="378" t="e">
        <f t="shared" si="75"/>
        <v>#DIV/0!</v>
      </c>
      <c r="N117" s="497" t="e">
        <f t="shared" si="46"/>
        <v>#DIV/0!</v>
      </c>
      <c r="O117" s="497" t="str">
        <f t="array" ref="O117">IFERROR(INDEX(Calculation!I:AN,MATCH(ListAndConversion!E117,Calculation!I:I,0),31),"-")</f>
        <v>-</v>
      </c>
      <c r="P117" s="498">
        <f>IF(COUNTIFS(Calculation!$I$10:$I$393,E117,Direct_Denaturation,"-")&lt;&gt;1,COUNTIFS(Calculation!$I$10:$I$393,E117,Direct_Denaturation,"-"),0)</f>
        <v>0</v>
      </c>
      <c r="V117" s="542" t="s">
        <v>82</v>
      </c>
      <c r="W117" s="542" t="s">
        <v>82</v>
      </c>
      <c r="X117" s="542" t="s">
        <v>82</v>
      </c>
      <c r="Y117" s="542" t="s">
        <v>82</v>
      </c>
      <c r="Z117" s="542" t="s">
        <v>82</v>
      </c>
      <c r="AA117" s="542" t="s">
        <v>82</v>
      </c>
      <c r="AB117" s="542" t="s">
        <v>82</v>
      </c>
      <c r="AC117" s="542" t="s">
        <v>82</v>
      </c>
      <c r="AD117" s="542" t="s">
        <v>82</v>
      </c>
      <c r="AE117" s="542" t="s">
        <v>82</v>
      </c>
      <c r="AF117" s="542" t="s">
        <v>82</v>
      </c>
      <c r="AG117" s="542" t="s">
        <v>82</v>
      </c>
      <c r="AH117" s="9"/>
      <c r="AI117" s="487">
        <v>114</v>
      </c>
      <c r="AJ117" s="497" t="s">
        <v>161</v>
      </c>
      <c r="AK117" s="378">
        <v>18</v>
      </c>
      <c r="AL117" s="378" t="str">
        <f t="shared" ca="1" si="49"/>
        <v>-</v>
      </c>
      <c r="AM117" s="378" t="str">
        <f t="array" aca="1" ref="AM117" ca="1">IFERROR(IF(AI117&lt;=$AB$2,"-",INDEX(Calculation_Tab,SMALL(ROW(Main_Dil)*(Main_Dil&lt;&gt;"-"),COUNTIF(Main_Dil,"-")+ROW()-3-$AB$2)-9,5)),"-")</f>
        <v>-</v>
      </c>
      <c r="AN117" s="378" t="str">
        <f t="array" aca="1" ref="AN117" ca="1">IFERROR(IF(AI117&lt;=$AB$2,"-",INDEX($A$3:$B$12,MATCH(INDEX(Calculation_Tab,SMALL(ROW(Main_Dil)*(Main_Dil&lt;&gt;"-"),COUNTIF(Main_Dil,"-")+ROW()-3-$AB$2)-9,5),$A$3:$A$12,0),2)),"-")</f>
        <v>-</v>
      </c>
      <c r="AO117" s="378" t="str">
        <f t="array" aca="1" ref="AO117" ca="1">IFERROR(IF(AI117&lt;=$AB$2,"-",INDEX(Coordinate,MATCH(INDEX(Calculation_Tab,SMALL(ROW(Main_Dil)*(Main_Dil&lt;&gt;"-"),COUNTIF(Main_Dil,"-")+ROW()-3-$AB$2)-9,6),$X$4:$X$99,0),2)),"-")</f>
        <v>-</v>
      </c>
      <c r="AP117" s="510" t="str">
        <f t="array" aca="1" ref="AP117" ca="1">IFERROR(IF(AI117&lt;=$AB$2,"-",INDEX(Calculation_Tab,SMALL(ROW(Main_Dil)*(Main_Dil&lt;&gt;"-"),COUNTIF(Main_Dil,"-")+ROW()-3-$AB$2)-9,21)),"-")</f>
        <v>-</v>
      </c>
      <c r="AQ117" s="511" t="str">
        <f t="array" aca="1" ref="AQ117" ca="1">IFERROR(IF(AI117&lt;=$AB$2,"-",INDEX(Calculation_Tab,SMALL(ROW(Main_Dil)*(Main_Dil&lt;&gt;"-"),COUNTIF(Main_Dil,"-")+ROW()-3-$AB$2)-9,22)),"-")</f>
        <v>-</v>
      </c>
      <c r="AR117" s="487" t="str">
        <f t="shared" ca="1" si="50"/>
        <v>-</v>
      </c>
      <c r="AS117" s="378">
        <v>114</v>
      </c>
      <c r="AT117" s="497" t="s">
        <v>161</v>
      </c>
      <c r="AU117" s="498">
        <v>18</v>
      </c>
      <c r="AV117" s="378" t="str">
        <f t="shared" ca="1" si="51"/>
        <v>-</v>
      </c>
      <c r="AW117" s="378" t="str">
        <f t="array" aca="1" ref="AW117" ca="1">IFERROR(IF(AS117&lt;=$AB$2+$AN$2,"-",INDEX(Calculation_Tab,SMALL(ROW(Direct_Denaturation)*(Direct_Denaturation&lt;&gt;"-"),COUNTIF(Direct_Denaturation,"-")+ROW()-3-$AB$2-$AN$2)-9,5)),"-")</f>
        <v>-</v>
      </c>
      <c r="AX117" s="378" t="str">
        <f t="array" aca="1" ref="AX117" ca="1">IFERROR(IF(AS117&lt;=$AB$2+$AN$2,"-",INDEX($A$3:$B$12,MATCH(INDEX(Calculation_Tab,SMALL(ROW(Direct_Denaturation)*(Direct_Denaturation&lt;&gt;"-"),COUNTIF(Direct_Denaturation,"-")+ROW()-3-$AB$2-$AN$2)-9,5),$A$3:$A$12,0),2)),"-")</f>
        <v>-</v>
      </c>
      <c r="AY117" s="378" t="str">
        <f t="array" aca="1" ref="AY117" ca="1">IFERROR(IF(AS117&lt;=$AB$2+$AN$2,"-",INDEX(Coordinate,MATCH(INDEX(Calculation_Tab,SMALL(ROW(Direct_Denaturation)*(Direct_Denaturation&lt;&gt;"-"),COUNTIF(Direct_Denaturation,"-")+ROW()-3-$AB$2-$AN$2)-9,6),$X$4:$X$99,0),2)),"-")</f>
        <v>-</v>
      </c>
      <c r="AZ117" s="510" t="str">
        <f t="array" aca="1" ref="AZ117" ca="1">IFERROR(IF(AS117&lt;=$AB$2+$AN$2,"-",INDEX(Calculation_Tab,SMALL(ROW(Direct_Denaturation)*(Direct_Denaturation&lt;&gt;"-"),COUNTIF(Direct_Denaturation,"-")+ROW()-3-$AB$2-$AN$2)-9,32)),"-")</f>
        <v>-</v>
      </c>
      <c r="BA117" s="510" t="str">
        <f t="array" aca="1" ref="BA117" ca="1">IFERROR(IF(AS117&lt;=$AB$2+$AN$2,"-",INDEX(Calculation_Tab,SMALL(ROW(Direct_Denaturation)*(Direct_Denaturation&lt;&gt;"-"),COUNTIF(Direct_Denaturation,"-")+ROW()-3-$AB$2-$AN$2)-9,34)),"-")</f>
        <v>-</v>
      </c>
      <c r="BB117" s="510" t="str">
        <f t="array" aca="1" ref="BB117" ca="1">IFERROR(IF(AS117&lt;=$AB$2+$AN$2,"-",INDEX(Calculation_Tab,SMALL(ROW(Direct_Denaturation)*(Direct_Denaturation&lt;&gt;"-"),COUNTIF(Direct_Denaturation,"-")+ROW()-3-$AB$2-$AN$2)-9,33)),"-")</f>
        <v>-</v>
      </c>
      <c r="BC117" s="510" t="str">
        <f t="array" aca="1" ref="BC117" ca="1">IFERROR(IF(AS117&lt;=$AB$2+$AN$2,"-",INDEX(Calculation_Tab,SMALL(ROW(Direct_Denaturation)*(Direct_Denaturation&lt;&gt;"-"),COUNTIF(Direct_Denaturation,"-")+ROW()-3-$AB$2-$AN$2)-9,35)),"-")</f>
        <v>-</v>
      </c>
      <c r="BD117" s="511" t="str">
        <f t="shared" ca="1" si="52"/>
        <v>-</v>
      </c>
      <c r="BK117" s="542" t="s">
        <v>82</v>
      </c>
      <c r="BL117" s="542" t="s">
        <v>82</v>
      </c>
      <c r="BM117" s="487" t="str">
        <f t="array" aca="1" ref="BM117" ca="1">IFERROR(INDEX(Calculation_Tab,SMALL(ROW(ToPool)*(ToPool&lt;&gt;"-"),COUNTIF(ToPool,"-")+ROW()-3)-9,3),"-")</f>
        <v>-</v>
      </c>
      <c r="BN117" s="378" t="str">
        <f t="shared" ca="1" si="55"/>
        <v>-</v>
      </c>
      <c r="BO117" s="378" t="str">
        <f t="shared" ca="1" si="56"/>
        <v>-</v>
      </c>
      <c r="BP117" s="523" t="str">
        <f t="shared" ca="1" si="57"/>
        <v>-</v>
      </c>
      <c r="BQ117" s="378" t="str">
        <f t="array" aca="1" ref="BQ117" ca="1">IFERROR(INDEX(BE:BG,MATCH(INDEX(Calculation_Tab,SMALL(ROW(ToPool)*(ToPool&lt;&gt;"-"),COUNTIF(ToPool,"-")+ROW()-3)-9,9),BG:BG,0),2),"-")</f>
        <v>-</v>
      </c>
      <c r="BR117" s="510" t="str">
        <f t="shared" ca="1" si="58"/>
        <v>-</v>
      </c>
      <c r="BS117" s="511" t="str">
        <f t="shared" ca="1" si="59"/>
        <v>-</v>
      </c>
      <c r="BT117" s="543" t="s">
        <v>82</v>
      </c>
      <c r="BU117" s="487" t="str">
        <f t="shared" ca="1" si="63"/>
        <v>-</v>
      </c>
      <c r="BV117" s="487" t="str">
        <f t="array" aca="1" ref="BV11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17" s="378" t="str">
        <f t="shared" ca="1" si="60"/>
        <v>-</v>
      </c>
      <c r="BX117" s="378" t="str">
        <f t="shared" ca="1" si="61"/>
        <v>-</v>
      </c>
      <c r="BY117" s="510" t="str">
        <f ca="1">IFERROR(ROUND(INDEX(Cluster,MATCH(IF(LEFT(BV117,4)="Pool",INDEX(Cluster,MATCH(INDEX(Calculation_Tab,MATCH(INDEX($BE$4:$BJ$99,MATCH(BV117,$BE$4:$BE$99,0),3),Flow_Cell_Lane,0),3),Cluster!$F$29:$F$412,0),6),BV117),Identifier_Cluster,0),19)*IF(LEFT(BV117,4)="pool",IF(LEN(INDEX($BE$4:$BJ$99,MATCH(BV117,$BE$4:$BE$99,0),3))=10,2,IF(LEN(INDEX($BE$4:$BJ$99,MATCH(BV117,$BE$4:$BE$99,0),3))&gt;10,LEN(INDEX($BE$4:$BJ$99,MATCH(BV117,$BE$4:$BE$99,0),3))-8,1)),1)*IF(LEFT(BV117,4)="pool",IF(INDEX($BE$4:$BJ$99,MATCH(BV117,$BE$4:$BE$99,0),6)&lt;1,1,INDEX($BE$4:$BJ$99,MATCH(BV117,$BE$4:$BE$99,0),6)),INDEX(Calculation_Tab,MATCH(BV117,Identifier,0),10)),1)*(1+Calculation!$Q$6),"-")</f>
        <v>-</v>
      </c>
      <c r="BZ117" s="378" t="str">
        <f ca="1">IFERROR((0.5/50)*CE117/Calculation!$AG$6*(IF(LEFT(BV117,4)="Pool",IF(LEN(INDEX($BE$4:$BJ$99,MATCH(BV117,$BE$4:$BE$99,0),3))=10,2,IF(LEN(INDEX($BE$4:$BJ$99,MATCH(BV117,$BE$4:$BE$99,0),3))&gt;10,LEN(INDEX($BE$4:$BJ$99,MATCH(BV117,$BE$4:$BE$99,0),3))-8,1)),IF(INDEX(Calculation_Tab,MATCH(BV117,Identifier,0),10)&gt;1,INDEX(Calculation_Tab,MATCH(BV117,Identifier,0),10),1)))*(1+Calculation!$Q$6),"-")</f>
        <v>-</v>
      </c>
      <c r="CA117" s="510" t="str">
        <f ca="1">IFERROR(IF((BZ117*Calculation!$AG$6/0.05)-SUM(BY117:BZ117,CC117)&gt;0,(BZ117*Calculation!$AG$6/0.05)-SUM(BY117:BZ117,CC117),0),"-")</f>
        <v>-</v>
      </c>
      <c r="CB117" s="510" t="str">
        <f ca="1">IFERROR(5/50*CE117*(IF(LEFT(BV117,4)="Pool",IF(LEN(INDEX($BE$4:$BJ$99,MATCH(BV117,$BE$4:$BE$99,0),3))=10,2,IF(LEN(INDEX($BE$4:$BJ$99,MATCH(BV117,$BE$4:$BE$99,0),3))&gt;10,LEN(INDEX($BE$4:$BJ$99,MATCH(BV117,$BE$4:$BE$99,0),3))-8,1)),IF(INDEX(Calculation_Tab,MATCH(BV117,Identifier,0),10)&gt;1,INDEX(Calculation_Tab,MATCH(BV117,Identifier,0),10),1)))*(1+Calculation!$Q$6),"-")</f>
        <v>-</v>
      </c>
      <c r="CC117" s="508" t="str">
        <f ca="1">IFERROR(ROUND(INDEX(Cluster,MATCH(IF(LEFT(BV117,4)="Pool",INDEX(Cluster,MATCH(INDEX(Calculation_Tab,MATCH(INDEX($BE$4:$BJ$99,MATCH(BV117,$BE$4:$BE$99,0),3),Flow_Cell_Lane,0),3),Cluster!$F$29:$F$412,0),6),BV117),Identifier_Cluster,0),20)*IF(LEFT(BV117,4)="pool",IF(LEN(INDEX($BE$4:$BJ$99,MATCH(BV117,$BE$4:$BE$99,0),3))=10,2,IF(LEN(INDEX($BE$4:$BJ$99,MATCH(BV117,$BE$4:$BE$99,0),3))&gt;10,LEN(INDEX($BE$4:$BJ$99,MATCH(BV117,$BE$4:$BE$99,0),3))-8,1)),1)*IF(LEFT(BV117,4)="pool",IF(INDEX($BE$4:$BJ$99,MATCH(BV117,$BE$4:$BE$99,0),6)&lt;1,1,INDEX($BE$4:$BJ$99,MATCH(BV117,$BE$4:$BE$99,0),6)),INDEX(Calculation_Tab,MATCH(BV117,Identifier,0),10)),1)*(1+Calculation!$Q$6),"-")</f>
        <v>-</v>
      </c>
      <c r="CD117" s="509" t="str">
        <f ca="1">IFERROR(INDEX(Cluster!AC:AD,MATCH(IF(LEFT(BV117,4)="Pool",INDEX(Cluster!$D$29:$AA$412,MATCH(INDEX(Calculation_Tab,MATCH(INDEX($BE$4:$BJ$99,MATCH(BV117,$BE$4:$BE$99,0),3),Flow_Cell_Lane,0),3),Cluster!$F$29:$F$412,0),24),INDEX(Cluster!$D$29:$AA$412,MATCH(BV117,Cluster!$F$29:$F$412,0),24)),Cluster!AC:AC,0),2),"-")</f>
        <v>-</v>
      </c>
      <c r="CE117" s="378" t="str">
        <f ca="1">IFERROR(IF(BV117&lt;&gt;"-",Calculation!$AK$6,"-"),"-")</f>
        <v>-</v>
      </c>
      <c r="CF117" s="378" t="str">
        <f ca="1">IF(OR(LEFT(ListAndConversion!BW117,3)="Dil",LEFT(ListAndConversion!BW117,3)="Poo"),ListAndConversion!$BT$4,IF(LEFT(ListAndConversion!BW117,3)="Sou",INDEX(ListAndConversion!$AT$3:$AV$387,MATCH(ListAndConversion!BV117,ListAndConversion!$AV$3:$AV$387,0),1),"-"))</f>
        <v>-</v>
      </c>
      <c r="CG117" s="498" t="str">
        <f ca="1">IF(OR(LEFT(ListAndConversion!BW117,3)="Dil",LEFT(ListAndConversion!BW117,3)="Poo"),ListAndConversion!BU117,IF(LEFT(ListAndConversion!BW117,3)="Sou",INDEX(ListAndConversion!$AT$4:$AV$387,MATCH(ListAndConversion!BV117,ListAndConversion!$AV$4:$AV$387,0),2),"-"))</f>
        <v>-</v>
      </c>
      <c r="CH117" s="378"/>
      <c r="CI117" s="487" t="str">
        <f t="shared" ca="1" si="62"/>
        <v>-</v>
      </c>
      <c r="CJ117" s="378" t="str">
        <f t="shared" ca="1" si="76"/>
        <v>-</v>
      </c>
      <c r="CK117" s="378" t="str">
        <f t="shared" ca="1" si="76"/>
        <v>-</v>
      </c>
      <c r="CL117" s="378" t="str">
        <f t="shared" ca="1" si="76"/>
        <v>-</v>
      </c>
      <c r="CM117" s="378" t="str">
        <f t="shared" ca="1" si="76"/>
        <v>-</v>
      </c>
      <c r="CN117" s="378" t="str">
        <f t="shared" ca="1" si="76"/>
        <v>-</v>
      </c>
      <c r="CO117" s="378" t="str">
        <f t="shared" ca="1" si="76"/>
        <v>-</v>
      </c>
      <c r="CP117" s="378" t="str">
        <f t="shared" ca="1" si="76"/>
        <v>-</v>
      </c>
      <c r="CQ117" s="378" t="str">
        <f t="shared" ca="1" si="76"/>
        <v>-</v>
      </c>
      <c r="CR117" s="510" t="str">
        <f ca="1">IFERROR(IF(LEFT(BW117,3)="Poo",INDEX($BE$4:$BJ$99,MATCH(CI117,$BG$4:$BG$99,0),6)*((15/50))*Calculation!$AK$6,INDEX(Calculation_Tab,MATCH(BV117,Identifier,0),10)/(IF(LEN(INDEX(Calculation_Tab,MATCH(BV117,Identifier,0),9))&gt;8,LEN(INDEX(Calculation_Tab,MATCH(BV117,Identifier,0),9))-8,1))*((15/50)*Calculation!$AK$6)),"-")</f>
        <v>-</v>
      </c>
      <c r="CS117" s="498" t="str">
        <f ca="1">IF(CI117="-","-",IF(COUNTIF($CI$3:CI117,CI117)&gt;1,0,IFERROR((35/50)*Calculation!$AK$6,"-")))</f>
        <v>-</v>
      </c>
    </row>
    <row r="118" spans="4:97" x14ac:dyDescent="0.5">
      <c r="D118" s="487" t="e">
        <f t="shared" si="44"/>
        <v>#DIV/0!</v>
      </c>
      <c r="E118" s="496" t="e">
        <f t="array" ref="E118">IF(IF((ROW(E118)-3)&lt;(ListAndConversion!$A$15),INDEX(Flow_Cell_Lane,MIN(IF(COUNTIF($E$2:E117,Flow_Cell_Lane)=0,ROW(Flow_Cell_Lane)-9))),"-")="","-",IF((ROW(E118)-3)&lt;(ListAndConversion!$A$15),INDEX(Flow_Cell_Lane,MIN(IF(COUNTIF($E$2:E117,Flow_Cell_Lane)=0,ROW(Flow_Cell_Lane)-9))),"-"))</f>
        <v>#DIV/0!</v>
      </c>
      <c r="F118" s="378" t="e">
        <f t="shared" si="45"/>
        <v>#DIV/0!</v>
      </c>
      <c r="G118" s="378" t="e">
        <f t="shared" si="75"/>
        <v>#DIV/0!</v>
      </c>
      <c r="H118" s="378" t="e">
        <f t="shared" si="75"/>
        <v>#DIV/0!</v>
      </c>
      <c r="I118" s="378" t="e">
        <f t="shared" si="75"/>
        <v>#DIV/0!</v>
      </c>
      <c r="J118" s="378" t="e">
        <f t="shared" si="75"/>
        <v>#DIV/0!</v>
      </c>
      <c r="K118" s="378" t="e">
        <f t="shared" si="75"/>
        <v>#DIV/0!</v>
      </c>
      <c r="L118" s="378" t="e">
        <f t="shared" si="75"/>
        <v>#DIV/0!</v>
      </c>
      <c r="M118" s="378" t="e">
        <f t="shared" si="75"/>
        <v>#DIV/0!</v>
      </c>
      <c r="N118" s="497" t="e">
        <f t="shared" si="46"/>
        <v>#DIV/0!</v>
      </c>
      <c r="O118" s="497" t="str">
        <f t="array" ref="O118">IFERROR(INDEX(Calculation!I:AN,MATCH(ListAndConversion!E118,Calculation!I:I,0),31),"-")</f>
        <v>-</v>
      </c>
      <c r="P118" s="498">
        <f>IF(COUNTIFS(Calculation!$I$10:$I$393,E118,Direct_Denaturation,"-")&lt;&gt;1,COUNTIFS(Calculation!$I$10:$I$393,E118,Direct_Denaturation,"-"),0)</f>
        <v>0</v>
      </c>
      <c r="V118" s="542" t="s">
        <v>82</v>
      </c>
      <c r="W118" s="542" t="s">
        <v>82</v>
      </c>
      <c r="X118" s="542" t="s">
        <v>82</v>
      </c>
      <c r="Y118" s="542" t="s">
        <v>82</v>
      </c>
      <c r="Z118" s="542" t="s">
        <v>82</v>
      </c>
      <c r="AA118" s="542" t="s">
        <v>82</v>
      </c>
      <c r="AB118" s="542" t="s">
        <v>82</v>
      </c>
      <c r="AC118" s="542" t="s">
        <v>82</v>
      </c>
      <c r="AD118" s="542" t="s">
        <v>82</v>
      </c>
      <c r="AE118" s="542" t="s">
        <v>82</v>
      </c>
      <c r="AF118" s="542" t="s">
        <v>82</v>
      </c>
      <c r="AG118" s="542" t="s">
        <v>82</v>
      </c>
      <c r="AH118" s="9"/>
      <c r="AI118" s="487">
        <v>115</v>
      </c>
      <c r="AJ118" s="497" t="s">
        <v>161</v>
      </c>
      <c r="AK118" s="378">
        <v>19</v>
      </c>
      <c r="AL118" s="378" t="str">
        <f t="shared" ca="1" si="49"/>
        <v>-</v>
      </c>
      <c r="AM118" s="378" t="str">
        <f t="array" aca="1" ref="AM118" ca="1">IFERROR(IF(AI118&lt;=$AB$2,"-",INDEX(Calculation_Tab,SMALL(ROW(Main_Dil)*(Main_Dil&lt;&gt;"-"),COUNTIF(Main_Dil,"-")+ROW()-3-$AB$2)-9,5)),"-")</f>
        <v>-</v>
      </c>
      <c r="AN118" s="378" t="str">
        <f t="array" aca="1" ref="AN118" ca="1">IFERROR(IF(AI118&lt;=$AB$2,"-",INDEX($A$3:$B$12,MATCH(INDEX(Calculation_Tab,SMALL(ROW(Main_Dil)*(Main_Dil&lt;&gt;"-"),COUNTIF(Main_Dil,"-")+ROW()-3-$AB$2)-9,5),$A$3:$A$12,0),2)),"-")</f>
        <v>-</v>
      </c>
      <c r="AO118" s="378" t="str">
        <f t="array" aca="1" ref="AO118" ca="1">IFERROR(IF(AI118&lt;=$AB$2,"-",INDEX(Coordinate,MATCH(INDEX(Calculation_Tab,SMALL(ROW(Main_Dil)*(Main_Dil&lt;&gt;"-"),COUNTIF(Main_Dil,"-")+ROW()-3-$AB$2)-9,6),$X$4:$X$99,0),2)),"-")</f>
        <v>-</v>
      </c>
      <c r="AP118" s="510" t="str">
        <f t="array" aca="1" ref="AP118" ca="1">IFERROR(IF(AI118&lt;=$AB$2,"-",INDEX(Calculation_Tab,SMALL(ROW(Main_Dil)*(Main_Dil&lt;&gt;"-"),COUNTIF(Main_Dil,"-")+ROW()-3-$AB$2)-9,21)),"-")</f>
        <v>-</v>
      </c>
      <c r="AQ118" s="511" t="str">
        <f t="array" aca="1" ref="AQ118" ca="1">IFERROR(IF(AI118&lt;=$AB$2,"-",INDEX(Calculation_Tab,SMALL(ROW(Main_Dil)*(Main_Dil&lt;&gt;"-"),COUNTIF(Main_Dil,"-")+ROW()-3-$AB$2)-9,22)),"-")</f>
        <v>-</v>
      </c>
      <c r="AR118" s="487" t="str">
        <f t="shared" ca="1" si="50"/>
        <v>-</v>
      </c>
      <c r="AS118" s="378">
        <v>115</v>
      </c>
      <c r="AT118" s="497" t="s">
        <v>161</v>
      </c>
      <c r="AU118" s="498">
        <v>19</v>
      </c>
      <c r="AV118" s="378" t="str">
        <f t="shared" ca="1" si="51"/>
        <v>-</v>
      </c>
      <c r="AW118" s="378" t="str">
        <f t="array" aca="1" ref="AW118" ca="1">IFERROR(IF(AS118&lt;=$AB$2+$AN$2,"-",INDEX(Calculation_Tab,SMALL(ROW(Direct_Denaturation)*(Direct_Denaturation&lt;&gt;"-"),COUNTIF(Direct_Denaturation,"-")+ROW()-3-$AB$2-$AN$2)-9,5)),"-")</f>
        <v>-</v>
      </c>
      <c r="AX118" s="378" t="str">
        <f t="array" aca="1" ref="AX118" ca="1">IFERROR(IF(AS118&lt;=$AB$2+$AN$2,"-",INDEX($A$3:$B$12,MATCH(INDEX(Calculation_Tab,SMALL(ROW(Direct_Denaturation)*(Direct_Denaturation&lt;&gt;"-"),COUNTIF(Direct_Denaturation,"-")+ROW()-3-$AB$2-$AN$2)-9,5),$A$3:$A$12,0),2)),"-")</f>
        <v>-</v>
      </c>
      <c r="AY118" s="378" t="str">
        <f t="array" aca="1" ref="AY118" ca="1">IFERROR(IF(AS118&lt;=$AB$2+$AN$2,"-",INDEX(Coordinate,MATCH(INDEX(Calculation_Tab,SMALL(ROW(Direct_Denaturation)*(Direct_Denaturation&lt;&gt;"-"),COUNTIF(Direct_Denaturation,"-")+ROW()-3-$AB$2-$AN$2)-9,6),$X$4:$X$99,0),2)),"-")</f>
        <v>-</v>
      </c>
      <c r="AZ118" s="510" t="str">
        <f t="array" aca="1" ref="AZ118" ca="1">IFERROR(IF(AS118&lt;=$AB$2+$AN$2,"-",INDEX(Calculation_Tab,SMALL(ROW(Direct_Denaturation)*(Direct_Denaturation&lt;&gt;"-"),COUNTIF(Direct_Denaturation,"-")+ROW()-3-$AB$2-$AN$2)-9,32)),"-")</f>
        <v>-</v>
      </c>
      <c r="BA118" s="510" t="str">
        <f t="array" aca="1" ref="BA118" ca="1">IFERROR(IF(AS118&lt;=$AB$2+$AN$2,"-",INDEX(Calculation_Tab,SMALL(ROW(Direct_Denaturation)*(Direct_Denaturation&lt;&gt;"-"),COUNTIF(Direct_Denaturation,"-")+ROW()-3-$AB$2-$AN$2)-9,34)),"-")</f>
        <v>-</v>
      </c>
      <c r="BB118" s="510" t="str">
        <f t="array" aca="1" ref="BB118" ca="1">IFERROR(IF(AS118&lt;=$AB$2+$AN$2,"-",INDEX(Calculation_Tab,SMALL(ROW(Direct_Denaturation)*(Direct_Denaturation&lt;&gt;"-"),COUNTIF(Direct_Denaturation,"-")+ROW()-3-$AB$2-$AN$2)-9,33)),"-")</f>
        <v>-</v>
      </c>
      <c r="BC118" s="510" t="str">
        <f t="array" aca="1" ref="BC118" ca="1">IFERROR(IF(AS118&lt;=$AB$2+$AN$2,"-",INDEX(Calculation_Tab,SMALL(ROW(Direct_Denaturation)*(Direct_Denaturation&lt;&gt;"-"),COUNTIF(Direct_Denaturation,"-")+ROW()-3-$AB$2-$AN$2)-9,35)),"-")</f>
        <v>-</v>
      </c>
      <c r="BD118" s="511" t="str">
        <f t="shared" ca="1" si="52"/>
        <v>-</v>
      </c>
      <c r="BK118" s="542" t="s">
        <v>82</v>
      </c>
      <c r="BL118" s="542" t="s">
        <v>82</v>
      </c>
      <c r="BM118" s="487" t="str">
        <f t="array" aca="1" ref="BM118" ca="1">IFERROR(INDEX(Calculation_Tab,SMALL(ROW(ToPool)*(ToPool&lt;&gt;"-"),COUNTIF(ToPool,"-")+ROW()-3)-9,3),"-")</f>
        <v>-</v>
      </c>
      <c r="BN118" s="378" t="str">
        <f t="shared" ca="1" si="55"/>
        <v>-</v>
      </c>
      <c r="BO118" s="378" t="str">
        <f t="shared" ca="1" si="56"/>
        <v>-</v>
      </c>
      <c r="BP118" s="523" t="str">
        <f t="shared" ca="1" si="57"/>
        <v>-</v>
      </c>
      <c r="BQ118" s="378" t="str">
        <f t="array" aca="1" ref="BQ118" ca="1">IFERROR(INDEX(BE:BG,MATCH(INDEX(Calculation_Tab,SMALL(ROW(ToPool)*(ToPool&lt;&gt;"-"),COUNTIF(ToPool,"-")+ROW()-3)-9,9),BG:BG,0),2),"-")</f>
        <v>-</v>
      </c>
      <c r="BR118" s="510" t="str">
        <f t="shared" ca="1" si="58"/>
        <v>-</v>
      </c>
      <c r="BS118" s="511" t="str">
        <f t="shared" ca="1" si="59"/>
        <v>-</v>
      </c>
      <c r="BT118" s="543" t="s">
        <v>82</v>
      </c>
      <c r="BU118" s="487" t="str">
        <f t="shared" ca="1" si="63"/>
        <v>-</v>
      </c>
      <c r="BV118" s="487" t="str">
        <f t="array" aca="1" ref="BV11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18" s="378" t="str">
        <f t="shared" ca="1" si="60"/>
        <v>-</v>
      </c>
      <c r="BX118" s="378" t="str">
        <f t="shared" ca="1" si="61"/>
        <v>-</v>
      </c>
      <c r="BY118" s="510" t="str">
        <f ca="1">IFERROR(ROUND(INDEX(Cluster,MATCH(IF(LEFT(BV118,4)="Pool",INDEX(Cluster,MATCH(INDEX(Calculation_Tab,MATCH(INDEX($BE$4:$BJ$99,MATCH(BV118,$BE$4:$BE$99,0),3),Flow_Cell_Lane,0),3),Cluster!$F$29:$F$412,0),6),BV118),Identifier_Cluster,0),19)*IF(LEFT(BV118,4)="pool",IF(LEN(INDEX($BE$4:$BJ$99,MATCH(BV118,$BE$4:$BE$99,0),3))=10,2,IF(LEN(INDEX($BE$4:$BJ$99,MATCH(BV118,$BE$4:$BE$99,0),3))&gt;10,LEN(INDEX($BE$4:$BJ$99,MATCH(BV118,$BE$4:$BE$99,0),3))-8,1)),1)*IF(LEFT(BV118,4)="pool",IF(INDEX($BE$4:$BJ$99,MATCH(BV118,$BE$4:$BE$99,0),6)&lt;1,1,INDEX($BE$4:$BJ$99,MATCH(BV118,$BE$4:$BE$99,0),6)),INDEX(Calculation_Tab,MATCH(BV118,Identifier,0),10)),1)*(1+Calculation!$Q$6),"-")</f>
        <v>-</v>
      </c>
      <c r="BZ118" s="378" t="str">
        <f ca="1">IFERROR((0.5/50)*CE118/Calculation!$AG$6*(IF(LEFT(BV118,4)="Pool",IF(LEN(INDEX($BE$4:$BJ$99,MATCH(BV118,$BE$4:$BE$99,0),3))=10,2,IF(LEN(INDEX($BE$4:$BJ$99,MATCH(BV118,$BE$4:$BE$99,0),3))&gt;10,LEN(INDEX($BE$4:$BJ$99,MATCH(BV118,$BE$4:$BE$99,0),3))-8,1)),IF(INDEX(Calculation_Tab,MATCH(BV118,Identifier,0),10)&gt;1,INDEX(Calculation_Tab,MATCH(BV118,Identifier,0),10),1)))*(1+Calculation!$Q$6),"-")</f>
        <v>-</v>
      </c>
      <c r="CA118" s="510" t="str">
        <f ca="1">IFERROR(IF((BZ118*Calculation!$AG$6/0.05)-SUM(BY118:BZ118,CC118)&gt;0,(BZ118*Calculation!$AG$6/0.05)-SUM(BY118:BZ118,CC118),0),"-")</f>
        <v>-</v>
      </c>
      <c r="CB118" s="510" t="str">
        <f ca="1">IFERROR(5/50*CE118*(IF(LEFT(BV118,4)="Pool",IF(LEN(INDEX($BE$4:$BJ$99,MATCH(BV118,$BE$4:$BE$99,0),3))=10,2,IF(LEN(INDEX($BE$4:$BJ$99,MATCH(BV118,$BE$4:$BE$99,0),3))&gt;10,LEN(INDEX($BE$4:$BJ$99,MATCH(BV118,$BE$4:$BE$99,0),3))-8,1)),IF(INDEX(Calculation_Tab,MATCH(BV118,Identifier,0),10)&gt;1,INDEX(Calculation_Tab,MATCH(BV118,Identifier,0),10),1)))*(1+Calculation!$Q$6),"-")</f>
        <v>-</v>
      </c>
      <c r="CC118" s="508" t="str">
        <f ca="1">IFERROR(ROUND(INDEX(Cluster,MATCH(IF(LEFT(BV118,4)="Pool",INDEX(Cluster,MATCH(INDEX(Calculation_Tab,MATCH(INDEX($BE$4:$BJ$99,MATCH(BV118,$BE$4:$BE$99,0),3),Flow_Cell_Lane,0),3),Cluster!$F$29:$F$412,0),6),BV118),Identifier_Cluster,0),20)*IF(LEFT(BV118,4)="pool",IF(LEN(INDEX($BE$4:$BJ$99,MATCH(BV118,$BE$4:$BE$99,0),3))=10,2,IF(LEN(INDEX($BE$4:$BJ$99,MATCH(BV118,$BE$4:$BE$99,0),3))&gt;10,LEN(INDEX($BE$4:$BJ$99,MATCH(BV118,$BE$4:$BE$99,0),3))-8,1)),1)*IF(LEFT(BV118,4)="pool",IF(INDEX($BE$4:$BJ$99,MATCH(BV118,$BE$4:$BE$99,0),6)&lt;1,1,INDEX($BE$4:$BJ$99,MATCH(BV118,$BE$4:$BE$99,0),6)),INDEX(Calculation_Tab,MATCH(BV118,Identifier,0),10)),1)*(1+Calculation!$Q$6),"-")</f>
        <v>-</v>
      </c>
      <c r="CD118" s="509" t="str">
        <f ca="1">IFERROR(INDEX(Cluster!AC:AD,MATCH(IF(LEFT(BV118,4)="Pool",INDEX(Cluster!$D$29:$AA$412,MATCH(INDEX(Calculation_Tab,MATCH(INDEX($BE$4:$BJ$99,MATCH(BV118,$BE$4:$BE$99,0),3),Flow_Cell_Lane,0),3),Cluster!$F$29:$F$412,0),24),INDEX(Cluster!$D$29:$AA$412,MATCH(BV118,Cluster!$F$29:$F$412,0),24)),Cluster!AC:AC,0),2),"-")</f>
        <v>-</v>
      </c>
      <c r="CE118" s="378" t="str">
        <f ca="1">IFERROR(IF(BV118&lt;&gt;"-",Calculation!$AK$6,"-"),"-")</f>
        <v>-</v>
      </c>
      <c r="CF118" s="378" t="str">
        <f ca="1">IF(OR(LEFT(ListAndConversion!BW118,3)="Dil",LEFT(ListAndConversion!BW118,3)="Poo"),ListAndConversion!$BT$4,IF(LEFT(ListAndConversion!BW118,3)="Sou",INDEX(ListAndConversion!$AT$3:$AV$387,MATCH(ListAndConversion!BV118,ListAndConversion!$AV$3:$AV$387,0),1),"-"))</f>
        <v>-</v>
      </c>
      <c r="CG118" s="498" t="str">
        <f ca="1">IF(OR(LEFT(ListAndConversion!BW118,3)="Dil",LEFT(ListAndConversion!BW118,3)="Poo"),ListAndConversion!BU118,IF(LEFT(ListAndConversion!BW118,3)="Sou",INDEX(ListAndConversion!$AT$4:$AV$387,MATCH(ListAndConversion!BV118,ListAndConversion!$AV$4:$AV$387,0),2),"-"))</f>
        <v>-</v>
      </c>
      <c r="CH118" s="378"/>
      <c r="CI118" s="487" t="str">
        <f t="shared" ca="1" si="62"/>
        <v>-</v>
      </c>
      <c r="CJ118" s="378" t="str">
        <f t="shared" ca="1" si="76"/>
        <v>-</v>
      </c>
      <c r="CK118" s="378" t="str">
        <f t="shared" ca="1" si="76"/>
        <v>-</v>
      </c>
      <c r="CL118" s="378" t="str">
        <f t="shared" ca="1" si="76"/>
        <v>-</v>
      </c>
      <c r="CM118" s="378" t="str">
        <f t="shared" ca="1" si="76"/>
        <v>-</v>
      </c>
      <c r="CN118" s="378" t="str">
        <f t="shared" ca="1" si="76"/>
        <v>-</v>
      </c>
      <c r="CO118" s="378" t="str">
        <f t="shared" ca="1" si="76"/>
        <v>-</v>
      </c>
      <c r="CP118" s="378" t="str">
        <f t="shared" ca="1" si="76"/>
        <v>-</v>
      </c>
      <c r="CQ118" s="378" t="str">
        <f t="shared" ca="1" si="76"/>
        <v>-</v>
      </c>
      <c r="CR118" s="510" t="str">
        <f ca="1">IFERROR(IF(LEFT(BW118,3)="Poo",INDEX($BE$4:$BJ$99,MATCH(CI118,$BG$4:$BG$99,0),6)*((15/50))*Calculation!$AK$6,INDEX(Calculation_Tab,MATCH(BV118,Identifier,0),10)/(IF(LEN(INDEX(Calculation_Tab,MATCH(BV118,Identifier,0),9))&gt;8,LEN(INDEX(Calculation_Tab,MATCH(BV118,Identifier,0),9))-8,1))*((15/50)*Calculation!$AK$6)),"-")</f>
        <v>-</v>
      </c>
      <c r="CS118" s="498" t="str">
        <f ca="1">IF(CI118="-","-",IF(COUNTIF($CI$3:CI118,CI118)&gt;1,0,IFERROR((35/50)*Calculation!$AK$6,"-")))</f>
        <v>-</v>
      </c>
    </row>
    <row r="119" spans="4:97" x14ac:dyDescent="0.5">
      <c r="D119" s="487" t="e">
        <f t="shared" si="44"/>
        <v>#DIV/0!</v>
      </c>
      <c r="E119" s="496" t="e">
        <f t="array" ref="E119">IF(IF((ROW(E119)-3)&lt;(ListAndConversion!$A$15),INDEX(Flow_Cell_Lane,MIN(IF(COUNTIF($E$2:E118,Flow_Cell_Lane)=0,ROW(Flow_Cell_Lane)-9))),"-")="","-",IF((ROW(E119)-3)&lt;(ListAndConversion!$A$15),INDEX(Flow_Cell_Lane,MIN(IF(COUNTIF($E$2:E118,Flow_Cell_Lane)=0,ROW(Flow_Cell_Lane)-9))),"-"))</f>
        <v>#DIV/0!</v>
      </c>
      <c r="F119" s="378" t="e">
        <f t="shared" si="45"/>
        <v>#DIV/0!</v>
      </c>
      <c r="G119" s="378" t="e">
        <f t="shared" si="75"/>
        <v>#DIV/0!</v>
      </c>
      <c r="H119" s="378" t="e">
        <f t="shared" si="75"/>
        <v>#DIV/0!</v>
      </c>
      <c r="I119" s="378" t="e">
        <f t="shared" si="75"/>
        <v>#DIV/0!</v>
      </c>
      <c r="J119" s="378" t="e">
        <f t="shared" si="75"/>
        <v>#DIV/0!</v>
      </c>
      <c r="K119" s="378" t="e">
        <f t="shared" si="75"/>
        <v>#DIV/0!</v>
      </c>
      <c r="L119" s="378" t="e">
        <f t="shared" si="75"/>
        <v>#DIV/0!</v>
      </c>
      <c r="M119" s="378" t="e">
        <f t="shared" si="75"/>
        <v>#DIV/0!</v>
      </c>
      <c r="N119" s="497" t="e">
        <f t="shared" si="46"/>
        <v>#DIV/0!</v>
      </c>
      <c r="O119" s="497" t="str">
        <f t="array" ref="O119">IFERROR(INDEX(Calculation!I:AN,MATCH(ListAndConversion!E119,Calculation!I:I,0),31),"-")</f>
        <v>-</v>
      </c>
      <c r="P119" s="498">
        <f>IF(COUNTIFS(Calculation!$I$10:$I$393,E119,Direct_Denaturation,"-")&lt;&gt;1,COUNTIFS(Calculation!$I$10:$I$393,E119,Direct_Denaturation,"-"),0)</f>
        <v>0</v>
      </c>
      <c r="V119" s="542" t="s">
        <v>82</v>
      </c>
      <c r="W119" s="542" t="s">
        <v>82</v>
      </c>
      <c r="X119" s="542" t="s">
        <v>82</v>
      </c>
      <c r="Y119" s="542" t="s">
        <v>82</v>
      </c>
      <c r="Z119" s="542" t="s">
        <v>82</v>
      </c>
      <c r="AA119" s="542" t="s">
        <v>82</v>
      </c>
      <c r="AB119" s="542" t="s">
        <v>82</v>
      </c>
      <c r="AC119" s="542" t="s">
        <v>82</v>
      </c>
      <c r="AD119" s="542" t="s">
        <v>82</v>
      </c>
      <c r="AE119" s="542" t="s">
        <v>82</v>
      </c>
      <c r="AF119" s="542" t="s">
        <v>82</v>
      </c>
      <c r="AG119" s="542" t="s">
        <v>82</v>
      </c>
      <c r="AH119" s="9"/>
      <c r="AI119" s="487">
        <v>116</v>
      </c>
      <c r="AJ119" s="497" t="s">
        <v>161</v>
      </c>
      <c r="AK119" s="378">
        <v>20</v>
      </c>
      <c r="AL119" s="378" t="str">
        <f t="shared" ca="1" si="49"/>
        <v>-</v>
      </c>
      <c r="AM119" s="378" t="str">
        <f t="array" aca="1" ref="AM119" ca="1">IFERROR(IF(AI119&lt;=$AB$2,"-",INDEX(Calculation_Tab,SMALL(ROW(Main_Dil)*(Main_Dil&lt;&gt;"-"),COUNTIF(Main_Dil,"-")+ROW()-3-$AB$2)-9,5)),"-")</f>
        <v>-</v>
      </c>
      <c r="AN119" s="378" t="str">
        <f t="array" aca="1" ref="AN119" ca="1">IFERROR(IF(AI119&lt;=$AB$2,"-",INDEX($A$3:$B$12,MATCH(INDEX(Calculation_Tab,SMALL(ROW(Main_Dil)*(Main_Dil&lt;&gt;"-"),COUNTIF(Main_Dil,"-")+ROW()-3-$AB$2)-9,5),$A$3:$A$12,0),2)),"-")</f>
        <v>-</v>
      </c>
      <c r="AO119" s="378" t="str">
        <f t="array" aca="1" ref="AO119" ca="1">IFERROR(IF(AI119&lt;=$AB$2,"-",INDEX(Coordinate,MATCH(INDEX(Calculation_Tab,SMALL(ROW(Main_Dil)*(Main_Dil&lt;&gt;"-"),COUNTIF(Main_Dil,"-")+ROW()-3-$AB$2)-9,6),$X$4:$X$99,0),2)),"-")</f>
        <v>-</v>
      </c>
      <c r="AP119" s="510" t="str">
        <f t="array" aca="1" ref="AP119" ca="1">IFERROR(IF(AI119&lt;=$AB$2,"-",INDEX(Calculation_Tab,SMALL(ROW(Main_Dil)*(Main_Dil&lt;&gt;"-"),COUNTIF(Main_Dil,"-")+ROW()-3-$AB$2)-9,21)),"-")</f>
        <v>-</v>
      </c>
      <c r="AQ119" s="511" t="str">
        <f t="array" aca="1" ref="AQ119" ca="1">IFERROR(IF(AI119&lt;=$AB$2,"-",INDEX(Calculation_Tab,SMALL(ROW(Main_Dil)*(Main_Dil&lt;&gt;"-"),COUNTIF(Main_Dil,"-")+ROW()-3-$AB$2)-9,22)),"-")</f>
        <v>-</v>
      </c>
      <c r="AR119" s="487" t="str">
        <f t="shared" ca="1" si="50"/>
        <v>-</v>
      </c>
      <c r="AS119" s="378">
        <v>116</v>
      </c>
      <c r="AT119" s="497" t="s">
        <v>161</v>
      </c>
      <c r="AU119" s="498">
        <v>20</v>
      </c>
      <c r="AV119" s="378" t="str">
        <f t="shared" ca="1" si="51"/>
        <v>-</v>
      </c>
      <c r="AW119" s="378" t="str">
        <f t="array" aca="1" ref="AW119" ca="1">IFERROR(IF(AS119&lt;=$AB$2+$AN$2,"-",INDEX(Calculation_Tab,SMALL(ROW(Direct_Denaturation)*(Direct_Denaturation&lt;&gt;"-"),COUNTIF(Direct_Denaturation,"-")+ROW()-3-$AB$2-$AN$2)-9,5)),"-")</f>
        <v>-</v>
      </c>
      <c r="AX119" s="378" t="str">
        <f t="array" aca="1" ref="AX119" ca="1">IFERROR(IF(AS119&lt;=$AB$2+$AN$2,"-",INDEX($A$3:$B$12,MATCH(INDEX(Calculation_Tab,SMALL(ROW(Direct_Denaturation)*(Direct_Denaturation&lt;&gt;"-"),COUNTIF(Direct_Denaturation,"-")+ROW()-3-$AB$2-$AN$2)-9,5),$A$3:$A$12,0),2)),"-")</f>
        <v>-</v>
      </c>
      <c r="AY119" s="378" t="str">
        <f t="array" aca="1" ref="AY119" ca="1">IFERROR(IF(AS119&lt;=$AB$2+$AN$2,"-",INDEX(Coordinate,MATCH(INDEX(Calculation_Tab,SMALL(ROW(Direct_Denaturation)*(Direct_Denaturation&lt;&gt;"-"),COUNTIF(Direct_Denaturation,"-")+ROW()-3-$AB$2-$AN$2)-9,6),$X$4:$X$99,0),2)),"-")</f>
        <v>-</v>
      </c>
      <c r="AZ119" s="510" t="str">
        <f t="array" aca="1" ref="AZ119" ca="1">IFERROR(IF(AS119&lt;=$AB$2+$AN$2,"-",INDEX(Calculation_Tab,SMALL(ROW(Direct_Denaturation)*(Direct_Denaturation&lt;&gt;"-"),COUNTIF(Direct_Denaturation,"-")+ROW()-3-$AB$2-$AN$2)-9,32)),"-")</f>
        <v>-</v>
      </c>
      <c r="BA119" s="510" t="str">
        <f t="array" aca="1" ref="BA119" ca="1">IFERROR(IF(AS119&lt;=$AB$2+$AN$2,"-",INDEX(Calculation_Tab,SMALL(ROW(Direct_Denaturation)*(Direct_Denaturation&lt;&gt;"-"),COUNTIF(Direct_Denaturation,"-")+ROW()-3-$AB$2-$AN$2)-9,34)),"-")</f>
        <v>-</v>
      </c>
      <c r="BB119" s="510" t="str">
        <f t="array" aca="1" ref="BB119" ca="1">IFERROR(IF(AS119&lt;=$AB$2+$AN$2,"-",INDEX(Calculation_Tab,SMALL(ROW(Direct_Denaturation)*(Direct_Denaturation&lt;&gt;"-"),COUNTIF(Direct_Denaturation,"-")+ROW()-3-$AB$2-$AN$2)-9,33)),"-")</f>
        <v>-</v>
      </c>
      <c r="BC119" s="510" t="str">
        <f t="array" aca="1" ref="BC119" ca="1">IFERROR(IF(AS119&lt;=$AB$2+$AN$2,"-",INDEX(Calculation_Tab,SMALL(ROW(Direct_Denaturation)*(Direct_Denaturation&lt;&gt;"-"),COUNTIF(Direct_Denaturation,"-")+ROW()-3-$AB$2-$AN$2)-9,35)),"-")</f>
        <v>-</v>
      </c>
      <c r="BD119" s="511" t="str">
        <f t="shared" ca="1" si="52"/>
        <v>-</v>
      </c>
      <c r="BK119" s="542" t="s">
        <v>82</v>
      </c>
      <c r="BL119" s="542" t="s">
        <v>82</v>
      </c>
      <c r="BM119" s="487" t="str">
        <f t="array" aca="1" ref="BM119" ca="1">IFERROR(INDEX(Calculation_Tab,SMALL(ROW(ToPool)*(ToPool&lt;&gt;"-"),COUNTIF(ToPool,"-")+ROW()-3)-9,3),"-")</f>
        <v>-</v>
      </c>
      <c r="BN119" s="378" t="str">
        <f t="shared" ca="1" si="55"/>
        <v>-</v>
      </c>
      <c r="BO119" s="378" t="str">
        <f t="shared" ca="1" si="56"/>
        <v>-</v>
      </c>
      <c r="BP119" s="523" t="str">
        <f t="shared" ca="1" si="57"/>
        <v>-</v>
      </c>
      <c r="BQ119" s="378" t="str">
        <f t="array" aca="1" ref="BQ119" ca="1">IFERROR(INDEX(BE:BG,MATCH(INDEX(Calculation_Tab,SMALL(ROW(ToPool)*(ToPool&lt;&gt;"-"),COUNTIF(ToPool,"-")+ROW()-3)-9,9),BG:BG,0),2),"-")</f>
        <v>-</v>
      </c>
      <c r="BR119" s="510" t="str">
        <f t="shared" ca="1" si="58"/>
        <v>-</v>
      </c>
      <c r="BS119" s="511" t="str">
        <f t="shared" ca="1" si="59"/>
        <v>-</v>
      </c>
      <c r="BT119" s="543" t="s">
        <v>82</v>
      </c>
      <c r="BU119" s="487" t="str">
        <f t="shared" ca="1" si="63"/>
        <v>-</v>
      </c>
      <c r="BV119" s="487" t="str">
        <f t="array" aca="1" ref="BV11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19" s="378" t="str">
        <f t="shared" ca="1" si="60"/>
        <v>-</v>
      </c>
      <c r="BX119" s="378" t="str">
        <f t="shared" ca="1" si="61"/>
        <v>-</v>
      </c>
      <c r="BY119" s="510" t="str">
        <f ca="1">IFERROR(ROUND(INDEX(Cluster,MATCH(IF(LEFT(BV119,4)="Pool",INDEX(Cluster,MATCH(INDEX(Calculation_Tab,MATCH(INDEX($BE$4:$BJ$99,MATCH(BV119,$BE$4:$BE$99,0),3),Flow_Cell_Lane,0),3),Cluster!$F$29:$F$412,0),6),BV119),Identifier_Cluster,0),19)*IF(LEFT(BV119,4)="pool",IF(LEN(INDEX($BE$4:$BJ$99,MATCH(BV119,$BE$4:$BE$99,0),3))=10,2,IF(LEN(INDEX($BE$4:$BJ$99,MATCH(BV119,$BE$4:$BE$99,0),3))&gt;10,LEN(INDEX($BE$4:$BJ$99,MATCH(BV119,$BE$4:$BE$99,0),3))-8,1)),1)*IF(LEFT(BV119,4)="pool",IF(INDEX($BE$4:$BJ$99,MATCH(BV119,$BE$4:$BE$99,0),6)&lt;1,1,INDEX($BE$4:$BJ$99,MATCH(BV119,$BE$4:$BE$99,0),6)),INDEX(Calculation_Tab,MATCH(BV119,Identifier,0),10)),1)*(1+Calculation!$Q$6),"-")</f>
        <v>-</v>
      </c>
      <c r="BZ119" s="378" t="str">
        <f ca="1">IFERROR((0.5/50)*CE119/Calculation!$AG$6*(IF(LEFT(BV119,4)="Pool",IF(LEN(INDEX($BE$4:$BJ$99,MATCH(BV119,$BE$4:$BE$99,0),3))=10,2,IF(LEN(INDEX($BE$4:$BJ$99,MATCH(BV119,$BE$4:$BE$99,0),3))&gt;10,LEN(INDEX($BE$4:$BJ$99,MATCH(BV119,$BE$4:$BE$99,0),3))-8,1)),IF(INDEX(Calculation_Tab,MATCH(BV119,Identifier,0),10)&gt;1,INDEX(Calculation_Tab,MATCH(BV119,Identifier,0),10),1)))*(1+Calculation!$Q$6),"-")</f>
        <v>-</v>
      </c>
      <c r="CA119" s="510" t="str">
        <f ca="1">IFERROR(IF((BZ119*Calculation!$AG$6/0.05)-SUM(BY119:BZ119,CC119)&gt;0,(BZ119*Calculation!$AG$6/0.05)-SUM(BY119:BZ119,CC119),0),"-")</f>
        <v>-</v>
      </c>
      <c r="CB119" s="510" t="str">
        <f ca="1">IFERROR(5/50*CE119*(IF(LEFT(BV119,4)="Pool",IF(LEN(INDEX($BE$4:$BJ$99,MATCH(BV119,$BE$4:$BE$99,0),3))=10,2,IF(LEN(INDEX($BE$4:$BJ$99,MATCH(BV119,$BE$4:$BE$99,0),3))&gt;10,LEN(INDEX($BE$4:$BJ$99,MATCH(BV119,$BE$4:$BE$99,0),3))-8,1)),IF(INDEX(Calculation_Tab,MATCH(BV119,Identifier,0),10)&gt;1,INDEX(Calculation_Tab,MATCH(BV119,Identifier,0),10),1)))*(1+Calculation!$Q$6),"-")</f>
        <v>-</v>
      </c>
      <c r="CC119" s="508" t="str">
        <f ca="1">IFERROR(ROUND(INDEX(Cluster,MATCH(IF(LEFT(BV119,4)="Pool",INDEX(Cluster,MATCH(INDEX(Calculation_Tab,MATCH(INDEX($BE$4:$BJ$99,MATCH(BV119,$BE$4:$BE$99,0),3),Flow_Cell_Lane,0),3),Cluster!$F$29:$F$412,0),6),BV119),Identifier_Cluster,0),20)*IF(LEFT(BV119,4)="pool",IF(LEN(INDEX($BE$4:$BJ$99,MATCH(BV119,$BE$4:$BE$99,0),3))=10,2,IF(LEN(INDEX($BE$4:$BJ$99,MATCH(BV119,$BE$4:$BE$99,0),3))&gt;10,LEN(INDEX($BE$4:$BJ$99,MATCH(BV119,$BE$4:$BE$99,0),3))-8,1)),1)*IF(LEFT(BV119,4)="pool",IF(INDEX($BE$4:$BJ$99,MATCH(BV119,$BE$4:$BE$99,0),6)&lt;1,1,INDEX($BE$4:$BJ$99,MATCH(BV119,$BE$4:$BE$99,0),6)),INDEX(Calculation_Tab,MATCH(BV119,Identifier,0),10)),1)*(1+Calculation!$Q$6),"-")</f>
        <v>-</v>
      </c>
      <c r="CD119" s="509" t="str">
        <f ca="1">IFERROR(INDEX(Cluster!AC:AD,MATCH(IF(LEFT(BV119,4)="Pool",INDEX(Cluster!$D$29:$AA$412,MATCH(INDEX(Calculation_Tab,MATCH(INDEX($BE$4:$BJ$99,MATCH(BV119,$BE$4:$BE$99,0),3),Flow_Cell_Lane,0),3),Cluster!$F$29:$F$412,0),24),INDEX(Cluster!$D$29:$AA$412,MATCH(BV119,Cluster!$F$29:$F$412,0),24)),Cluster!AC:AC,0),2),"-")</f>
        <v>-</v>
      </c>
      <c r="CE119" s="378" t="str">
        <f ca="1">IFERROR(IF(BV119&lt;&gt;"-",Calculation!$AK$6,"-"),"-")</f>
        <v>-</v>
      </c>
      <c r="CF119" s="378" t="str">
        <f ca="1">IF(OR(LEFT(ListAndConversion!BW119,3)="Dil",LEFT(ListAndConversion!BW119,3)="Poo"),ListAndConversion!$BT$4,IF(LEFT(ListAndConversion!BW119,3)="Sou",INDEX(ListAndConversion!$AT$3:$AV$387,MATCH(ListAndConversion!BV119,ListAndConversion!$AV$3:$AV$387,0),1),"-"))</f>
        <v>-</v>
      </c>
      <c r="CG119" s="498" t="str">
        <f ca="1">IF(OR(LEFT(ListAndConversion!BW119,3)="Dil",LEFT(ListAndConversion!BW119,3)="Poo"),ListAndConversion!BU119,IF(LEFT(ListAndConversion!BW119,3)="Sou",INDEX(ListAndConversion!$AT$4:$AV$387,MATCH(ListAndConversion!BV119,ListAndConversion!$AV$4:$AV$387,0),2),"-"))</f>
        <v>-</v>
      </c>
      <c r="CH119" s="378"/>
      <c r="CI119" s="487" t="str">
        <f t="shared" ca="1" si="62"/>
        <v>-</v>
      </c>
      <c r="CJ119" s="378" t="str">
        <f t="shared" ca="1" si="76"/>
        <v>-</v>
      </c>
      <c r="CK119" s="378" t="str">
        <f t="shared" ca="1" si="76"/>
        <v>-</v>
      </c>
      <c r="CL119" s="378" t="str">
        <f t="shared" ca="1" si="76"/>
        <v>-</v>
      </c>
      <c r="CM119" s="378" t="str">
        <f t="shared" ca="1" si="76"/>
        <v>-</v>
      </c>
      <c r="CN119" s="378" t="str">
        <f t="shared" ca="1" si="76"/>
        <v>-</v>
      </c>
      <c r="CO119" s="378" t="str">
        <f t="shared" ca="1" si="76"/>
        <v>-</v>
      </c>
      <c r="CP119" s="378" t="str">
        <f t="shared" ca="1" si="76"/>
        <v>-</v>
      </c>
      <c r="CQ119" s="378" t="str">
        <f t="shared" ca="1" si="76"/>
        <v>-</v>
      </c>
      <c r="CR119" s="510" t="str">
        <f ca="1">IFERROR(IF(LEFT(BW119,3)="Poo",INDEX($BE$4:$BJ$99,MATCH(CI119,$BG$4:$BG$99,0),6)*((15/50))*Calculation!$AK$6,INDEX(Calculation_Tab,MATCH(BV119,Identifier,0),10)/(IF(LEN(INDEX(Calculation_Tab,MATCH(BV119,Identifier,0),9))&gt;8,LEN(INDEX(Calculation_Tab,MATCH(BV119,Identifier,0),9))-8,1))*((15/50)*Calculation!$AK$6)),"-")</f>
        <v>-</v>
      </c>
      <c r="CS119" s="498" t="str">
        <f ca="1">IF(CI119="-","-",IF(COUNTIF($CI$3:CI119,CI119)&gt;1,0,IFERROR((35/50)*Calculation!$AK$6,"-")))</f>
        <v>-</v>
      </c>
    </row>
    <row r="120" spans="4:97" x14ac:dyDescent="0.5">
      <c r="D120" s="487" t="e">
        <f t="shared" si="44"/>
        <v>#DIV/0!</v>
      </c>
      <c r="E120" s="496" t="e">
        <f t="array" ref="E120">IF(IF((ROW(E120)-3)&lt;(ListAndConversion!$A$15),INDEX(Flow_Cell_Lane,MIN(IF(COUNTIF($E$2:E119,Flow_Cell_Lane)=0,ROW(Flow_Cell_Lane)-9))),"-")="","-",IF((ROW(E120)-3)&lt;(ListAndConversion!$A$15),INDEX(Flow_Cell_Lane,MIN(IF(COUNTIF($E$2:E119,Flow_Cell_Lane)=0,ROW(Flow_Cell_Lane)-9))),"-"))</f>
        <v>#DIV/0!</v>
      </c>
      <c r="F120" s="378" t="e">
        <f t="shared" si="45"/>
        <v>#DIV/0!</v>
      </c>
      <c r="G120" s="378" t="e">
        <f t="shared" si="75"/>
        <v>#DIV/0!</v>
      </c>
      <c r="H120" s="378" t="e">
        <f t="shared" si="75"/>
        <v>#DIV/0!</v>
      </c>
      <c r="I120" s="378" t="e">
        <f t="shared" si="75"/>
        <v>#DIV/0!</v>
      </c>
      <c r="J120" s="378" t="e">
        <f t="shared" si="75"/>
        <v>#DIV/0!</v>
      </c>
      <c r="K120" s="378" t="e">
        <f t="shared" si="75"/>
        <v>#DIV/0!</v>
      </c>
      <c r="L120" s="378" t="e">
        <f t="shared" si="75"/>
        <v>#DIV/0!</v>
      </c>
      <c r="M120" s="378" t="e">
        <f t="shared" si="75"/>
        <v>#DIV/0!</v>
      </c>
      <c r="N120" s="497" t="e">
        <f t="shared" si="46"/>
        <v>#DIV/0!</v>
      </c>
      <c r="O120" s="497" t="str">
        <f t="array" ref="O120">IFERROR(INDEX(Calculation!I:AN,MATCH(ListAndConversion!E120,Calculation!I:I,0),31),"-")</f>
        <v>-</v>
      </c>
      <c r="P120" s="498">
        <f>IF(COUNTIFS(Calculation!$I$10:$I$393,E120,Direct_Denaturation,"-")&lt;&gt;1,COUNTIFS(Calculation!$I$10:$I$393,E120,Direct_Denaturation,"-"),0)</f>
        <v>0</v>
      </c>
      <c r="V120" s="542" t="s">
        <v>82</v>
      </c>
      <c r="W120" s="542" t="s">
        <v>82</v>
      </c>
      <c r="X120" s="542" t="s">
        <v>82</v>
      </c>
      <c r="Y120" s="542" t="s">
        <v>82</v>
      </c>
      <c r="Z120" s="542" t="s">
        <v>82</v>
      </c>
      <c r="AA120" s="542" t="s">
        <v>82</v>
      </c>
      <c r="AB120" s="542" t="s">
        <v>82</v>
      </c>
      <c r="AC120" s="542" t="s">
        <v>82</v>
      </c>
      <c r="AD120" s="542" t="s">
        <v>82</v>
      </c>
      <c r="AE120" s="542" t="s">
        <v>82</v>
      </c>
      <c r="AF120" s="542" t="s">
        <v>82</v>
      </c>
      <c r="AG120" s="542" t="s">
        <v>82</v>
      </c>
      <c r="AH120" s="9"/>
      <c r="AI120" s="487">
        <v>117</v>
      </c>
      <c r="AJ120" s="497" t="s">
        <v>161</v>
      </c>
      <c r="AK120" s="378">
        <v>21</v>
      </c>
      <c r="AL120" s="378" t="str">
        <f t="shared" ca="1" si="49"/>
        <v>-</v>
      </c>
      <c r="AM120" s="378" t="str">
        <f t="array" aca="1" ref="AM120" ca="1">IFERROR(IF(AI120&lt;=$AB$2,"-",INDEX(Calculation_Tab,SMALL(ROW(Main_Dil)*(Main_Dil&lt;&gt;"-"),COUNTIF(Main_Dil,"-")+ROW()-3-$AB$2)-9,5)),"-")</f>
        <v>-</v>
      </c>
      <c r="AN120" s="378" t="str">
        <f t="array" aca="1" ref="AN120" ca="1">IFERROR(IF(AI120&lt;=$AB$2,"-",INDEX($A$3:$B$12,MATCH(INDEX(Calculation_Tab,SMALL(ROW(Main_Dil)*(Main_Dil&lt;&gt;"-"),COUNTIF(Main_Dil,"-")+ROW()-3-$AB$2)-9,5),$A$3:$A$12,0),2)),"-")</f>
        <v>-</v>
      </c>
      <c r="AO120" s="378" t="str">
        <f t="array" aca="1" ref="AO120" ca="1">IFERROR(IF(AI120&lt;=$AB$2,"-",INDEX(Coordinate,MATCH(INDEX(Calculation_Tab,SMALL(ROW(Main_Dil)*(Main_Dil&lt;&gt;"-"),COUNTIF(Main_Dil,"-")+ROW()-3-$AB$2)-9,6),$X$4:$X$99,0),2)),"-")</f>
        <v>-</v>
      </c>
      <c r="AP120" s="510" t="str">
        <f t="array" aca="1" ref="AP120" ca="1">IFERROR(IF(AI120&lt;=$AB$2,"-",INDEX(Calculation_Tab,SMALL(ROW(Main_Dil)*(Main_Dil&lt;&gt;"-"),COUNTIF(Main_Dil,"-")+ROW()-3-$AB$2)-9,21)),"-")</f>
        <v>-</v>
      </c>
      <c r="AQ120" s="511" t="str">
        <f t="array" aca="1" ref="AQ120" ca="1">IFERROR(IF(AI120&lt;=$AB$2,"-",INDEX(Calculation_Tab,SMALL(ROW(Main_Dil)*(Main_Dil&lt;&gt;"-"),COUNTIF(Main_Dil,"-")+ROW()-3-$AB$2)-9,22)),"-")</f>
        <v>-</v>
      </c>
      <c r="AR120" s="487" t="str">
        <f t="shared" ca="1" si="50"/>
        <v>-</v>
      </c>
      <c r="AS120" s="378">
        <v>117</v>
      </c>
      <c r="AT120" s="497" t="s">
        <v>161</v>
      </c>
      <c r="AU120" s="498">
        <v>21</v>
      </c>
      <c r="AV120" s="378" t="str">
        <f t="shared" ca="1" si="51"/>
        <v>-</v>
      </c>
      <c r="AW120" s="378" t="str">
        <f t="array" aca="1" ref="AW120" ca="1">IFERROR(IF(AS120&lt;=$AB$2+$AN$2,"-",INDEX(Calculation_Tab,SMALL(ROW(Direct_Denaturation)*(Direct_Denaturation&lt;&gt;"-"),COUNTIF(Direct_Denaturation,"-")+ROW()-3-$AB$2-$AN$2)-9,5)),"-")</f>
        <v>-</v>
      </c>
      <c r="AX120" s="378" t="str">
        <f t="array" aca="1" ref="AX120" ca="1">IFERROR(IF(AS120&lt;=$AB$2+$AN$2,"-",INDEX($A$3:$B$12,MATCH(INDEX(Calculation_Tab,SMALL(ROW(Direct_Denaturation)*(Direct_Denaturation&lt;&gt;"-"),COUNTIF(Direct_Denaturation,"-")+ROW()-3-$AB$2-$AN$2)-9,5),$A$3:$A$12,0),2)),"-")</f>
        <v>-</v>
      </c>
      <c r="AY120" s="378" t="str">
        <f t="array" aca="1" ref="AY120" ca="1">IFERROR(IF(AS120&lt;=$AB$2+$AN$2,"-",INDEX(Coordinate,MATCH(INDEX(Calculation_Tab,SMALL(ROW(Direct_Denaturation)*(Direct_Denaturation&lt;&gt;"-"),COUNTIF(Direct_Denaturation,"-")+ROW()-3-$AB$2-$AN$2)-9,6),$X$4:$X$99,0),2)),"-")</f>
        <v>-</v>
      </c>
      <c r="AZ120" s="510" t="str">
        <f t="array" aca="1" ref="AZ120" ca="1">IFERROR(IF(AS120&lt;=$AB$2+$AN$2,"-",INDEX(Calculation_Tab,SMALL(ROW(Direct_Denaturation)*(Direct_Denaturation&lt;&gt;"-"),COUNTIF(Direct_Denaturation,"-")+ROW()-3-$AB$2-$AN$2)-9,32)),"-")</f>
        <v>-</v>
      </c>
      <c r="BA120" s="510" t="str">
        <f t="array" aca="1" ref="BA120" ca="1">IFERROR(IF(AS120&lt;=$AB$2+$AN$2,"-",INDEX(Calculation_Tab,SMALL(ROW(Direct_Denaturation)*(Direct_Denaturation&lt;&gt;"-"),COUNTIF(Direct_Denaturation,"-")+ROW()-3-$AB$2-$AN$2)-9,34)),"-")</f>
        <v>-</v>
      </c>
      <c r="BB120" s="510" t="str">
        <f t="array" aca="1" ref="BB120" ca="1">IFERROR(IF(AS120&lt;=$AB$2+$AN$2,"-",INDEX(Calculation_Tab,SMALL(ROW(Direct_Denaturation)*(Direct_Denaturation&lt;&gt;"-"),COUNTIF(Direct_Denaturation,"-")+ROW()-3-$AB$2-$AN$2)-9,33)),"-")</f>
        <v>-</v>
      </c>
      <c r="BC120" s="510" t="str">
        <f t="array" aca="1" ref="BC120" ca="1">IFERROR(IF(AS120&lt;=$AB$2+$AN$2,"-",INDEX(Calculation_Tab,SMALL(ROW(Direct_Denaturation)*(Direct_Denaturation&lt;&gt;"-"),COUNTIF(Direct_Denaturation,"-")+ROW()-3-$AB$2-$AN$2)-9,35)),"-")</f>
        <v>-</v>
      </c>
      <c r="BD120" s="511" t="str">
        <f t="shared" ca="1" si="52"/>
        <v>-</v>
      </c>
      <c r="BK120" s="542" t="s">
        <v>82</v>
      </c>
      <c r="BL120" s="542" t="s">
        <v>82</v>
      </c>
      <c r="BM120" s="487" t="str">
        <f t="array" aca="1" ref="BM120" ca="1">IFERROR(INDEX(Calculation_Tab,SMALL(ROW(ToPool)*(ToPool&lt;&gt;"-"),COUNTIF(ToPool,"-")+ROW()-3)-9,3),"-")</f>
        <v>-</v>
      </c>
      <c r="BN120" s="378" t="str">
        <f t="shared" ca="1" si="55"/>
        <v>-</v>
      </c>
      <c r="BO120" s="378" t="str">
        <f t="shared" ca="1" si="56"/>
        <v>-</v>
      </c>
      <c r="BP120" s="523" t="str">
        <f t="shared" ca="1" si="57"/>
        <v>-</v>
      </c>
      <c r="BQ120" s="378" t="str">
        <f t="array" aca="1" ref="BQ120" ca="1">IFERROR(INDEX(BE:BG,MATCH(INDEX(Calculation_Tab,SMALL(ROW(ToPool)*(ToPool&lt;&gt;"-"),COUNTIF(ToPool,"-")+ROW()-3)-9,9),BG:BG,0),2),"-")</f>
        <v>-</v>
      </c>
      <c r="BR120" s="510" t="str">
        <f t="shared" ca="1" si="58"/>
        <v>-</v>
      </c>
      <c r="BS120" s="511" t="str">
        <f t="shared" ca="1" si="59"/>
        <v>-</v>
      </c>
      <c r="BT120" s="543" t="s">
        <v>82</v>
      </c>
      <c r="BU120" s="487" t="str">
        <f t="shared" ca="1" si="63"/>
        <v>-</v>
      </c>
      <c r="BV120" s="487" t="str">
        <f t="array" aca="1" ref="BV12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20" s="378" t="str">
        <f t="shared" ca="1" si="60"/>
        <v>-</v>
      </c>
      <c r="BX120" s="378" t="str">
        <f t="shared" ca="1" si="61"/>
        <v>-</v>
      </c>
      <c r="BY120" s="510" t="str">
        <f ca="1">IFERROR(ROUND(INDEX(Cluster,MATCH(IF(LEFT(BV120,4)="Pool",INDEX(Cluster,MATCH(INDEX(Calculation_Tab,MATCH(INDEX($BE$4:$BJ$99,MATCH(BV120,$BE$4:$BE$99,0),3),Flow_Cell_Lane,0),3),Cluster!$F$29:$F$412,0),6),BV120),Identifier_Cluster,0),19)*IF(LEFT(BV120,4)="pool",IF(LEN(INDEX($BE$4:$BJ$99,MATCH(BV120,$BE$4:$BE$99,0),3))=10,2,IF(LEN(INDEX($BE$4:$BJ$99,MATCH(BV120,$BE$4:$BE$99,0),3))&gt;10,LEN(INDEX($BE$4:$BJ$99,MATCH(BV120,$BE$4:$BE$99,0),3))-8,1)),1)*IF(LEFT(BV120,4)="pool",IF(INDEX($BE$4:$BJ$99,MATCH(BV120,$BE$4:$BE$99,0),6)&lt;1,1,INDEX($BE$4:$BJ$99,MATCH(BV120,$BE$4:$BE$99,0),6)),INDEX(Calculation_Tab,MATCH(BV120,Identifier,0),10)),1)*(1+Calculation!$Q$6),"-")</f>
        <v>-</v>
      </c>
      <c r="BZ120" s="378" t="str">
        <f ca="1">IFERROR((0.5/50)*CE120/Calculation!$AG$6*(IF(LEFT(BV120,4)="Pool",IF(LEN(INDEX($BE$4:$BJ$99,MATCH(BV120,$BE$4:$BE$99,0),3))=10,2,IF(LEN(INDEX($BE$4:$BJ$99,MATCH(BV120,$BE$4:$BE$99,0),3))&gt;10,LEN(INDEX($BE$4:$BJ$99,MATCH(BV120,$BE$4:$BE$99,0),3))-8,1)),IF(INDEX(Calculation_Tab,MATCH(BV120,Identifier,0),10)&gt;1,INDEX(Calculation_Tab,MATCH(BV120,Identifier,0),10),1)))*(1+Calculation!$Q$6),"-")</f>
        <v>-</v>
      </c>
      <c r="CA120" s="510" t="str">
        <f ca="1">IFERROR(IF((BZ120*Calculation!$AG$6/0.05)-SUM(BY120:BZ120,CC120)&gt;0,(BZ120*Calculation!$AG$6/0.05)-SUM(BY120:BZ120,CC120),0),"-")</f>
        <v>-</v>
      </c>
      <c r="CB120" s="510" t="str">
        <f ca="1">IFERROR(5/50*CE120*(IF(LEFT(BV120,4)="Pool",IF(LEN(INDEX($BE$4:$BJ$99,MATCH(BV120,$BE$4:$BE$99,0),3))=10,2,IF(LEN(INDEX($BE$4:$BJ$99,MATCH(BV120,$BE$4:$BE$99,0),3))&gt;10,LEN(INDEX($BE$4:$BJ$99,MATCH(BV120,$BE$4:$BE$99,0),3))-8,1)),IF(INDEX(Calculation_Tab,MATCH(BV120,Identifier,0),10)&gt;1,INDEX(Calculation_Tab,MATCH(BV120,Identifier,0),10),1)))*(1+Calculation!$Q$6),"-")</f>
        <v>-</v>
      </c>
      <c r="CC120" s="508" t="str">
        <f ca="1">IFERROR(ROUND(INDEX(Cluster,MATCH(IF(LEFT(BV120,4)="Pool",INDEX(Cluster,MATCH(INDEX(Calculation_Tab,MATCH(INDEX($BE$4:$BJ$99,MATCH(BV120,$BE$4:$BE$99,0),3),Flow_Cell_Lane,0),3),Cluster!$F$29:$F$412,0),6),BV120),Identifier_Cluster,0),20)*IF(LEFT(BV120,4)="pool",IF(LEN(INDEX($BE$4:$BJ$99,MATCH(BV120,$BE$4:$BE$99,0),3))=10,2,IF(LEN(INDEX($BE$4:$BJ$99,MATCH(BV120,$BE$4:$BE$99,0),3))&gt;10,LEN(INDEX($BE$4:$BJ$99,MATCH(BV120,$BE$4:$BE$99,0),3))-8,1)),1)*IF(LEFT(BV120,4)="pool",IF(INDEX($BE$4:$BJ$99,MATCH(BV120,$BE$4:$BE$99,0),6)&lt;1,1,INDEX($BE$4:$BJ$99,MATCH(BV120,$BE$4:$BE$99,0),6)),INDEX(Calculation_Tab,MATCH(BV120,Identifier,0),10)),1)*(1+Calculation!$Q$6),"-")</f>
        <v>-</v>
      </c>
      <c r="CD120" s="509" t="str">
        <f ca="1">IFERROR(INDEX(Cluster!AC:AD,MATCH(IF(LEFT(BV120,4)="Pool",INDEX(Cluster!$D$29:$AA$412,MATCH(INDEX(Calculation_Tab,MATCH(INDEX($BE$4:$BJ$99,MATCH(BV120,$BE$4:$BE$99,0),3),Flow_Cell_Lane,0),3),Cluster!$F$29:$F$412,0),24),INDEX(Cluster!$D$29:$AA$412,MATCH(BV120,Cluster!$F$29:$F$412,0),24)),Cluster!AC:AC,0),2),"-")</f>
        <v>-</v>
      </c>
      <c r="CE120" s="378" t="str">
        <f ca="1">IFERROR(IF(BV120&lt;&gt;"-",Calculation!$AK$6,"-"),"-")</f>
        <v>-</v>
      </c>
      <c r="CF120" s="378" t="str">
        <f ca="1">IF(OR(LEFT(ListAndConversion!BW120,3)="Dil",LEFT(ListAndConversion!BW120,3)="Poo"),ListAndConversion!$BT$4,IF(LEFT(ListAndConversion!BW120,3)="Sou",INDEX(ListAndConversion!$AT$3:$AV$387,MATCH(ListAndConversion!BV120,ListAndConversion!$AV$3:$AV$387,0),1),"-"))</f>
        <v>-</v>
      </c>
      <c r="CG120" s="498" t="str">
        <f ca="1">IF(OR(LEFT(ListAndConversion!BW120,3)="Dil",LEFT(ListAndConversion!BW120,3)="Poo"),ListAndConversion!BU120,IF(LEFT(ListAndConversion!BW120,3)="Sou",INDEX(ListAndConversion!$AT$4:$AV$387,MATCH(ListAndConversion!BV120,ListAndConversion!$AV$4:$AV$387,0),2),"-"))</f>
        <v>-</v>
      </c>
      <c r="CH120" s="378"/>
      <c r="CI120" s="487" t="str">
        <f t="shared" ca="1" si="62"/>
        <v>-</v>
      </c>
      <c r="CJ120" s="378" t="str">
        <f t="shared" ca="1" si="76"/>
        <v>-</v>
      </c>
      <c r="CK120" s="378" t="str">
        <f t="shared" ca="1" si="76"/>
        <v>-</v>
      </c>
      <c r="CL120" s="378" t="str">
        <f t="shared" ca="1" si="76"/>
        <v>-</v>
      </c>
      <c r="CM120" s="378" t="str">
        <f t="shared" ca="1" si="76"/>
        <v>-</v>
      </c>
      <c r="CN120" s="378" t="str">
        <f t="shared" ca="1" si="76"/>
        <v>-</v>
      </c>
      <c r="CO120" s="378" t="str">
        <f t="shared" ca="1" si="76"/>
        <v>-</v>
      </c>
      <c r="CP120" s="378" t="str">
        <f t="shared" ca="1" si="76"/>
        <v>-</v>
      </c>
      <c r="CQ120" s="378" t="str">
        <f t="shared" ca="1" si="76"/>
        <v>-</v>
      </c>
      <c r="CR120" s="510" t="str">
        <f ca="1">IFERROR(IF(LEFT(BW120,3)="Poo",INDEX($BE$4:$BJ$99,MATCH(CI120,$BG$4:$BG$99,0),6)*((15/50))*Calculation!$AK$6,INDEX(Calculation_Tab,MATCH(BV120,Identifier,0),10)/(IF(LEN(INDEX(Calculation_Tab,MATCH(BV120,Identifier,0),9))&gt;8,LEN(INDEX(Calculation_Tab,MATCH(BV120,Identifier,0),9))-8,1))*((15/50)*Calculation!$AK$6)),"-")</f>
        <v>-</v>
      </c>
      <c r="CS120" s="498" t="str">
        <f ca="1">IF(CI120="-","-",IF(COUNTIF($CI$3:CI120,CI120)&gt;1,0,IFERROR((35/50)*Calculation!$AK$6,"-")))</f>
        <v>-</v>
      </c>
    </row>
    <row r="121" spans="4:97" x14ac:dyDescent="0.5">
      <c r="D121" s="487" t="e">
        <f t="shared" si="44"/>
        <v>#DIV/0!</v>
      </c>
      <c r="E121" s="496" t="e">
        <f t="array" ref="E121">IF(IF((ROW(E121)-3)&lt;(ListAndConversion!$A$15),INDEX(Flow_Cell_Lane,MIN(IF(COUNTIF($E$2:E120,Flow_Cell_Lane)=0,ROW(Flow_Cell_Lane)-9))),"-")="","-",IF((ROW(E121)-3)&lt;(ListAndConversion!$A$15),INDEX(Flow_Cell_Lane,MIN(IF(COUNTIF($E$2:E120,Flow_Cell_Lane)=0,ROW(Flow_Cell_Lane)-9))),"-"))</f>
        <v>#DIV/0!</v>
      </c>
      <c r="F121" s="378" t="e">
        <f t="shared" si="45"/>
        <v>#DIV/0!</v>
      </c>
      <c r="G121" s="378" t="e">
        <f t="shared" si="75"/>
        <v>#DIV/0!</v>
      </c>
      <c r="H121" s="378" t="e">
        <f t="shared" si="75"/>
        <v>#DIV/0!</v>
      </c>
      <c r="I121" s="378" t="e">
        <f t="shared" si="75"/>
        <v>#DIV/0!</v>
      </c>
      <c r="J121" s="378" t="e">
        <f t="shared" si="75"/>
        <v>#DIV/0!</v>
      </c>
      <c r="K121" s="378" t="e">
        <f t="shared" si="75"/>
        <v>#DIV/0!</v>
      </c>
      <c r="L121" s="378" t="e">
        <f t="shared" si="75"/>
        <v>#DIV/0!</v>
      </c>
      <c r="M121" s="378" t="e">
        <f t="shared" si="75"/>
        <v>#DIV/0!</v>
      </c>
      <c r="N121" s="497" t="e">
        <f t="shared" si="46"/>
        <v>#DIV/0!</v>
      </c>
      <c r="O121" s="497" t="str">
        <f t="array" ref="O121">IFERROR(INDEX(Calculation!I:AN,MATCH(ListAndConversion!E121,Calculation!I:I,0),31),"-")</f>
        <v>-</v>
      </c>
      <c r="P121" s="498">
        <f>IF(COUNTIFS(Calculation!$I$10:$I$393,E121,Direct_Denaturation,"-")&lt;&gt;1,COUNTIFS(Calculation!$I$10:$I$393,E121,Direct_Denaturation,"-"),0)</f>
        <v>0</v>
      </c>
      <c r="V121" s="542" t="s">
        <v>82</v>
      </c>
      <c r="W121" s="542" t="s">
        <v>82</v>
      </c>
      <c r="X121" s="542" t="s">
        <v>82</v>
      </c>
      <c r="Y121" s="542" t="s">
        <v>82</v>
      </c>
      <c r="Z121" s="542" t="s">
        <v>82</v>
      </c>
      <c r="AA121" s="542" t="s">
        <v>82</v>
      </c>
      <c r="AB121" s="542" t="s">
        <v>82</v>
      </c>
      <c r="AC121" s="542" t="s">
        <v>82</v>
      </c>
      <c r="AD121" s="542" t="s">
        <v>82</v>
      </c>
      <c r="AE121" s="542" t="s">
        <v>82</v>
      </c>
      <c r="AF121" s="542" t="s">
        <v>82</v>
      </c>
      <c r="AG121" s="542" t="s">
        <v>82</v>
      </c>
      <c r="AH121" s="9"/>
      <c r="AI121" s="487">
        <v>118</v>
      </c>
      <c r="AJ121" s="497" t="s">
        <v>161</v>
      </c>
      <c r="AK121" s="378">
        <v>22</v>
      </c>
      <c r="AL121" s="378" t="str">
        <f t="shared" ca="1" si="49"/>
        <v>-</v>
      </c>
      <c r="AM121" s="378" t="str">
        <f t="array" aca="1" ref="AM121" ca="1">IFERROR(IF(AI121&lt;=$AB$2,"-",INDEX(Calculation_Tab,SMALL(ROW(Main_Dil)*(Main_Dil&lt;&gt;"-"),COUNTIF(Main_Dil,"-")+ROW()-3-$AB$2)-9,5)),"-")</f>
        <v>-</v>
      </c>
      <c r="AN121" s="378" t="str">
        <f t="array" aca="1" ref="AN121" ca="1">IFERROR(IF(AI121&lt;=$AB$2,"-",INDEX($A$3:$B$12,MATCH(INDEX(Calculation_Tab,SMALL(ROW(Main_Dil)*(Main_Dil&lt;&gt;"-"),COUNTIF(Main_Dil,"-")+ROW()-3-$AB$2)-9,5),$A$3:$A$12,0),2)),"-")</f>
        <v>-</v>
      </c>
      <c r="AO121" s="378" t="str">
        <f t="array" aca="1" ref="AO121" ca="1">IFERROR(IF(AI121&lt;=$AB$2,"-",INDEX(Coordinate,MATCH(INDEX(Calculation_Tab,SMALL(ROW(Main_Dil)*(Main_Dil&lt;&gt;"-"),COUNTIF(Main_Dil,"-")+ROW()-3-$AB$2)-9,6),$X$4:$X$99,0),2)),"-")</f>
        <v>-</v>
      </c>
      <c r="AP121" s="510" t="str">
        <f t="array" aca="1" ref="AP121" ca="1">IFERROR(IF(AI121&lt;=$AB$2,"-",INDEX(Calculation_Tab,SMALL(ROW(Main_Dil)*(Main_Dil&lt;&gt;"-"),COUNTIF(Main_Dil,"-")+ROW()-3-$AB$2)-9,21)),"-")</f>
        <v>-</v>
      </c>
      <c r="AQ121" s="511" t="str">
        <f t="array" aca="1" ref="AQ121" ca="1">IFERROR(IF(AI121&lt;=$AB$2,"-",INDEX(Calculation_Tab,SMALL(ROW(Main_Dil)*(Main_Dil&lt;&gt;"-"),COUNTIF(Main_Dil,"-")+ROW()-3-$AB$2)-9,22)),"-")</f>
        <v>-</v>
      </c>
      <c r="AR121" s="487" t="str">
        <f t="shared" ca="1" si="50"/>
        <v>-</v>
      </c>
      <c r="AS121" s="378">
        <v>118</v>
      </c>
      <c r="AT121" s="497" t="s">
        <v>161</v>
      </c>
      <c r="AU121" s="498">
        <v>22</v>
      </c>
      <c r="AV121" s="378" t="str">
        <f t="shared" ca="1" si="51"/>
        <v>-</v>
      </c>
      <c r="AW121" s="378" t="str">
        <f t="array" aca="1" ref="AW121" ca="1">IFERROR(IF(AS121&lt;=$AB$2+$AN$2,"-",INDEX(Calculation_Tab,SMALL(ROW(Direct_Denaturation)*(Direct_Denaturation&lt;&gt;"-"),COUNTIF(Direct_Denaturation,"-")+ROW()-3-$AB$2-$AN$2)-9,5)),"-")</f>
        <v>-</v>
      </c>
      <c r="AX121" s="378" t="str">
        <f t="array" aca="1" ref="AX121" ca="1">IFERROR(IF(AS121&lt;=$AB$2+$AN$2,"-",INDEX($A$3:$B$12,MATCH(INDEX(Calculation_Tab,SMALL(ROW(Direct_Denaturation)*(Direct_Denaturation&lt;&gt;"-"),COUNTIF(Direct_Denaturation,"-")+ROW()-3-$AB$2-$AN$2)-9,5),$A$3:$A$12,0),2)),"-")</f>
        <v>-</v>
      </c>
      <c r="AY121" s="378" t="str">
        <f t="array" aca="1" ref="AY121" ca="1">IFERROR(IF(AS121&lt;=$AB$2+$AN$2,"-",INDEX(Coordinate,MATCH(INDEX(Calculation_Tab,SMALL(ROW(Direct_Denaturation)*(Direct_Denaturation&lt;&gt;"-"),COUNTIF(Direct_Denaturation,"-")+ROW()-3-$AB$2-$AN$2)-9,6),$X$4:$X$99,0),2)),"-")</f>
        <v>-</v>
      </c>
      <c r="AZ121" s="510" t="str">
        <f t="array" aca="1" ref="AZ121" ca="1">IFERROR(IF(AS121&lt;=$AB$2+$AN$2,"-",INDEX(Calculation_Tab,SMALL(ROW(Direct_Denaturation)*(Direct_Denaturation&lt;&gt;"-"),COUNTIF(Direct_Denaturation,"-")+ROW()-3-$AB$2-$AN$2)-9,32)),"-")</f>
        <v>-</v>
      </c>
      <c r="BA121" s="510" t="str">
        <f t="array" aca="1" ref="BA121" ca="1">IFERROR(IF(AS121&lt;=$AB$2+$AN$2,"-",INDEX(Calculation_Tab,SMALL(ROW(Direct_Denaturation)*(Direct_Denaturation&lt;&gt;"-"),COUNTIF(Direct_Denaturation,"-")+ROW()-3-$AB$2-$AN$2)-9,34)),"-")</f>
        <v>-</v>
      </c>
      <c r="BB121" s="510" t="str">
        <f t="array" aca="1" ref="BB121" ca="1">IFERROR(IF(AS121&lt;=$AB$2+$AN$2,"-",INDEX(Calculation_Tab,SMALL(ROW(Direct_Denaturation)*(Direct_Denaturation&lt;&gt;"-"),COUNTIF(Direct_Denaturation,"-")+ROW()-3-$AB$2-$AN$2)-9,33)),"-")</f>
        <v>-</v>
      </c>
      <c r="BC121" s="510" t="str">
        <f t="array" aca="1" ref="BC121" ca="1">IFERROR(IF(AS121&lt;=$AB$2+$AN$2,"-",INDEX(Calculation_Tab,SMALL(ROW(Direct_Denaturation)*(Direct_Denaturation&lt;&gt;"-"),COUNTIF(Direct_Denaturation,"-")+ROW()-3-$AB$2-$AN$2)-9,35)),"-")</f>
        <v>-</v>
      </c>
      <c r="BD121" s="511" t="str">
        <f t="shared" ca="1" si="52"/>
        <v>-</v>
      </c>
      <c r="BK121" s="542" t="s">
        <v>82</v>
      </c>
      <c r="BL121" s="542" t="s">
        <v>82</v>
      </c>
      <c r="BM121" s="487" t="str">
        <f t="array" aca="1" ref="BM121" ca="1">IFERROR(INDEX(Calculation_Tab,SMALL(ROW(ToPool)*(ToPool&lt;&gt;"-"),COUNTIF(ToPool,"-")+ROW()-3)-9,3),"-")</f>
        <v>-</v>
      </c>
      <c r="BN121" s="378" t="str">
        <f t="shared" ca="1" si="55"/>
        <v>-</v>
      </c>
      <c r="BO121" s="378" t="str">
        <f t="shared" ca="1" si="56"/>
        <v>-</v>
      </c>
      <c r="BP121" s="523" t="str">
        <f t="shared" ca="1" si="57"/>
        <v>-</v>
      </c>
      <c r="BQ121" s="378" t="str">
        <f t="array" aca="1" ref="BQ121" ca="1">IFERROR(INDEX(BE:BG,MATCH(INDEX(Calculation_Tab,SMALL(ROW(ToPool)*(ToPool&lt;&gt;"-"),COUNTIF(ToPool,"-")+ROW()-3)-9,9),BG:BG,0),2),"-")</f>
        <v>-</v>
      </c>
      <c r="BR121" s="510" t="str">
        <f t="shared" ca="1" si="58"/>
        <v>-</v>
      </c>
      <c r="BS121" s="511" t="str">
        <f t="shared" ca="1" si="59"/>
        <v>-</v>
      </c>
      <c r="BT121" s="543" t="s">
        <v>82</v>
      </c>
      <c r="BU121" s="487" t="str">
        <f t="shared" ca="1" si="63"/>
        <v>-</v>
      </c>
      <c r="BV121" s="487" t="str">
        <f t="array" aca="1" ref="BV12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21" s="378" t="str">
        <f t="shared" ca="1" si="60"/>
        <v>-</v>
      </c>
      <c r="BX121" s="378" t="str">
        <f t="shared" ca="1" si="61"/>
        <v>-</v>
      </c>
      <c r="BY121" s="510" t="str">
        <f ca="1">IFERROR(ROUND(INDEX(Cluster,MATCH(IF(LEFT(BV121,4)="Pool",INDEX(Cluster,MATCH(INDEX(Calculation_Tab,MATCH(INDEX($BE$4:$BJ$99,MATCH(BV121,$BE$4:$BE$99,0),3),Flow_Cell_Lane,0),3),Cluster!$F$29:$F$412,0),6),BV121),Identifier_Cluster,0),19)*IF(LEFT(BV121,4)="pool",IF(LEN(INDEX($BE$4:$BJ$99,MATCH(BV121,$BE$4:$BE$99,0),3))=10,2,IF(LEN(INDEX($BE$4:$BJ$99,MATCH(BV121,$BE$4:$BE$99,0),3))&gt;10,LEN(INDEX($BE$4:$BJ$99,MATCH(BV121,$BE$4:$BE$99,0),3))-8,1)),1)*IF(LEFT(BV121,4)="pool",IF(INDEX($BE$4:$BJ$99,MATCH(BV121,$BE$4:$BE$99,0),6)&lt;1,1,INDEX($BE$4:$BJ$99,MATCH(BV121,$BE$4:$BE$99,0),6)),INDEX(Calculation_Tab,MATCH(BV121,Identifier,0),10)),1)*(1+Calculation!$Q$6),"-")</f>
        <v>-</v>
      </c>
      <c r="BZ121" s="378" t="str">
        <f ca="1">IFERROR((0.5/50)*CE121/Calculation!$AG$6*(IF(LEFT(BV121,4)="Pool",IF(LEN(INDEX($BE$4:$BJ$99,MATCH(BV121,$BE$4:$BE$99,0),3))=10,2,IF(LEN(INDEX($BE$4:$BJ$99,MATCH(BV121,$BE$4:$BE$99,0),3))&gt;10,LEN(INDEX($BE$4:$BJ$99,MATCH(BV121,$BE$4:$BE$99,0),3))-8,1)),IF(INDEX(Calculation_Tab,MATCH(BV121,Identifier,0),10)&gt;1,INDEX(Calculation_Tab,MATCH(BV121,Identifier,0),10),1)))*(1+Calculation!$Q$6),"-")</f>
        <v>-</v>
      </c>
      <c r="CA121" s="510" t="str">
        <f ca="1">IFERROR(IF((BZ121*Calculation!$AG$6/0.05)-SUM(BY121:BZ121,CC121)&gt;0,(BZ121*Calculation!$AG$6/0.05)-SUM(BY121:BZ121,CC121),0),"-")</f>
        <v>-</v>
      </c>
      <c r="CB121" s="510" t="str">
        <f ca="1">IFERROR(5/50*CE121*(IF(LEFT(BV121,4)="Pool",IF(LEN(INDEX($BE$4:$BJ$99,MATCH(BV121,$BE$4:$BE$99,0),3))=10,2,IF(LEN(INDEX($BE$4:$BJ$99,MATCH(BV121,$BE$4:$BE$99,0),3))&gt;10,LEN(INDEX($BE$4:$BJ$99,MATCH(BV121,$BE$4:$BE$99,0),3))-8,1)),IF(INDEX(Calculation_Tab,MATCH(BV121,Identifier,0),10)&gt;1,INDEX(Calculation_Tab,MATCH(BV121,Identifier,0),10),1)))*(1+Calculation!$Q$6),"-")</f>
        <v>-</v>
      </c>
      <c r="CC121" s="508" t="str">
        <f ca="1">IFERROR(ROUND(INDEX(Cluster,MATCH(IF(LEFT(BV121,4)="Pool",INDEX(Cluster,MATCH(INDEX(Calculation_Tab,MATCH(INDEX($BE$4:$BJ$99,MATCH(BV121,$BE$4:$BE$99,0),3),Flow_Cell_Lane,0),3),Cluster!$F$29:$F$412,0),6),BV121),Identifier_Cluster,0),20)*IF(LEFT(BV121,4)="pool",IF(LEN(INDEX($BE$4:$BJ$99,MATCH(BV121,$BE$4:$BE$99,0),3))=10,2,IF(LEN(INDEX($BE$4:$BJ$99,MATCH(BV121,$BE$4:$BE$99,0),3))&gt;10,LEN(INDEX($BE$4:$BJ$99,MATCH(BV121,$BE$4:$BE$99,0),3))-8,1)),1)*IF(LEFT(BV121,4)="pool",IF(INDEX($BE$4:$BJ$99,MATCH(BV121,$BE$4:$BE$99,0),6)&lt;1,1,INDEX($BE$4:$BJ$99,MATCH(BV121,$BE$4:$BE$99,0),6)),INDEX(Calculation_Tab,MATCH(BV121,Identifier,0),10)),1)*(1+Calculation!$Q$6),"-")</f>
        <v>-</v>
      </c>
      <c r="CD121" s="509" t="str">
        <f ca="1">IFERROR(INDEX(Cluster!AC:AD,MATCH(IF(LEFT(BV121,4)="Pool",INDEX(Cluster!$D$29:$AA$412,MATCH(INDEX(Calculation_Tab,MATCH(INDEX($BE$4:$BJ$99,MATCH(BV121,$BE$4:$BE$99,0),3),Flow_Cell_Lane,0),3),Cluster!$F$29:$F$412,0),24),INDEX(Cluster!$D$29:$AA$412,MATCH(BV121,Cluster!$F$29:$F$412,0),24)),Cluster!AC:AC,0),2),"-")</f>
        <v>-</v>
      </c>
      <c r="CE121" s="378" t="str">
        <f ca="1">IFERROR(IF(BV121&lt;&gt;"-",Calculation!$AK$6,"-"),"-")</f>
        <v>-</v>
      </c>
      <c r="CF121" s="378" t="str">
        <f ca="1">IF(OR(LEFT(ListAndConversion!BW121,3)="Dil",LEFT(ListAndConversion!BW121,3)="Poo"),ListAndConversion!$BT$4,IF(LEFT(ListAndConversion!BW121,3)="Sou",INDEX(ListAndConversion!$AT$3:$AV$387,MATCH(ListAndConversion!BV121,ListAndConversion!$AV$3:$AV$387,0),1),"-"))</f>
        <v>-</v>
      </c>
      <c r="CG121" s="498" t="str">
        <f ca="1">IF(OR(LEFT(ListAndConversion!BW121,3)="Dil",LEFT(ListAndConversion!BW121,3)="Poo"),ListAndConversion!BU121,IF(LEFT(ListAndConversion!BW121,3)="Sou",INDEX(ListAndConversion!$AT$4:$AV$387,MATCH(ListAndConversion!BV121,ListAndConversion!$AV$4:$AV$387,0),2),"-"))</f>
        <v>-</v>
      </c>
      <c r="CH121" s="378"/>
      <c r="CI121" s="487" t="str">
        <f t="shared" ca="1" si="62"/>
        <v>-</v>
      </c>
      <c r="CJ121" s="378" t="str">
        <f t="shared" ca="1" si="76"/>
        <v>-</v>
      </c>
      <c r="CK121" s="378" t="str">
        <f t="shared" ca="1" si="76"/>
        <v>-</v>
      </c>
      <c r="CL121" s="378" t="str">
        <f t="shared" ca="1" si="76"/>
        <v>-</v>
      </c>
      <c r="CM121" s="378" t="str">
        <f t="shared" ca="1" si="76"/>
        <v>-</v>
      </c>
      <c r="CN121" s="378" t="str">
        <f t="shared" ca="1" si="76"/>
        <v>-</v>
      </c>
      <c r="CO121" s="378" t="str">
        <f t="shared" ca="1" si="76"/>
        <v>-</v>
      </c>
      <c r="CP121" s="378" t="str">
        <f t="shared" ca="1" si="76"/>
        <v>-</v>
      </c>
      <c r="CQ121" s="378" t="str">
        <f t="shared" ca="1" si="76"/>
        <v>-</v>
      </c>
      <c r="CR121" s="510" t="str">
        <f ca="1">IFERROR(IF(LEFT(BW121,3)="Poo",INDEX($BE$4:$BJ$99,MATCH(CI121,$BG$4:$BG$99,0),6)*((15/50))*Calculation!$AK$6,INDEX(Calculation_Tab,MATCH(BV121,Identifier,0),10)/(IF(LEN(INDEX(Calculation_Tab,MATCH(BV121,Identifier,0),9))&gt;8,LEN(INDEX(Calculation_Tab,MATCH(BV121,Identifier,0),9))-8,1))*((15/50)*Calculation!$AK$6)),"-")</f>
        <v>-</v>
      </c>
      <c r="CS121" s="498" t="str">
        <f ca="1">IF(CI121="-","-",IF(COUNTIF($CI$3:CI121,CI121)&gt;1,0,IFERROR((35/50)*Calculation!$AK$6,"-")))</f>
        <v>-</v>
      </c>
    </row>
    <row r="122" spans="4:97" x14ac:dyDescent="0.5">
      <c r="D122" s="487" t="e">
        <f t="shared" si="44"/>
        <v>#DIV/0!</v>
      </c>
      <c r="E122" s="496" t="e">
        <f t="array" ref="E122">IF(IF((ROW(E122)-3)&lt;(ListAndConversion!$A$15),INDEX(Flow_Cell_Lane,MIN(IF(COUNTIF($E$2:E121,Flow_Cell_Lane)=0,ROW(Flow_Cell_Lane)-9))),"-")="","-",IF((ROW(E122)-3)&lt;(ListAndConversion!$A$15),INDEX(Flow_Cell_Lane,MIN(IF(COUNTIF($E$2:E121,Flow_Cell_Lane)=0,ROW(Flow_Cell_Lane)-9))),"-"))</f>
        <v>#DIV/0!</v>
      </c>
      <c r="F122" s="378" t="e">
        <f t="shared" si="45"/>
        <v>#DIV/0!</v>
      </c>
      <c r="G122" s="378" t="e">
        <f t="shared" si="75"/>
        <v>#DIV/0!</v>
      </c>
      <c r="H122" s="378" t="e">
        <f t="shared" si="75"/>
        <v>#DIV/0!</v>
      </c>
      <c r="I122" s="378" t="e">
        <f t="shared" si="75"/>
        <v>#DIV/0!</v>
      </c>
      <c r="J122" s="378" t="e">
        <f t="shared" si="75"/>
        <v>#DIV/0!</v>
      </c>
      <c r="K122" s="378" t="e">
        <f t="shared" si="75"/>
        <v>#DIV/0!</v>
      </c>
      <c r="L122" s="378" t="e">
        <f t="shared" si="75"/>
        <v>#DIV/0!</v>
      </c>
      <c r="M122" s="378" t="e">
        <f t="shared" si="75"/>
        <v>#DIV/0!</v>
      </c>
      <c r="N122" s="497" t="e">
        <f t="shared" si="46"/>
        <v>#DIV/0!</v>
      </c>
      <c r="O122" s="497" t="str">
        <f t="array" ref="O122">IFERROR(INDEX(Calculation!I:AN,MATCH(ListAndConversion!E122,Calculation!I:I,0),31),"-")</f>
        <v>-</v>
      </c>
      <c r="P122" s="498">
        <f>IF(COUNTIFS(Calculation!$I$10:$I$393,E122,Direct_Denaturation,"-")&lt;&gt;1,COUNTIFS(Calculation!$I$10:$I$393,E122,Direct_Denaturation,"-"),0)</f>
        <v>0</v>
      </c>
      <c r="V122" s="542" t="s">
        <v>82</v>
      </c>
      <c r="W122" s="542" t="s">
        <v>82</v>
      </c>
      <c r="X122" s="542" t="s">
        <v>82</v>
      </c>
      <c r="Y122" s="542" t="s">
        <v>82</v>
      </c>
      <c r="Z122" s="542" t="s">
        <v>82</v>
      </c>
      <c r="AA122" s="542" t="s">
        <v>82</v>
      </c>
      <c r="AB122" s="542" t="s">
        <v>82</v>
      </c>
      <c r="AC122" s="542" t="s">
        <v>82</v>
      </c>
      <c r="AD122" s="542" t="s">
        <v>82</v>
      </c>
      <c r="AE122" s="542" t="s">
        <v>82</v>
      </c>
      <c r="AF122" s="542" t="s">
        <v>82</v>
      </c>
      <c r="AG122" s="542" t="s">
        <v>82</v>
      </c>
      <c r="AH122" s="9"/>
      <c r="AI122" s="487">
        <v>119</v>
      </c>
      <c r="AJ122" s="497" t="s">
        <v>161</v>
      </c>
      <c r="AK122" s="378">
        <v>23</v>
      </c>
      <c r="AL122" s="378" t="str">
        <f t="shared" ca="1" si="49"/>
        <v>-</v>
      </c>
      <c r="AM122" s="378" t="str">
        <f t="array" aca="1" ref="AM122" ca="1">IFERROR(IF(AI122&lt;=$AB$2,"-",INDEX(Calculation_Tab,SMALL(ROW(Main_Dil)*(Main_Dil&lt;&gt;"-"),COUNTIF(Main_Dil,"-")+ROW()-3-$AB$2)-9,5)),"-")</f>
        <v>-</v>
      </c>
      <c r="AN122" s="378" t="str">
        <f t="array" aca="1" ref="AN122" ca="1">IFERROR(IF(AI122&lt;=$AB$2,"-",INDEX($A$3:$B$12,MATCH(INDEX(Calculation_Tab,SMALL(ROW(Main_Dil)*(Main_Dil&lt;&gt;"-"),COUNTIF(Main_Dil,"-")+ROW()-3-$AB$2)-9,5),$A$3:$A$12,0),2)),"-")</f>
        <v>-</v>
      </c>
      <c r="AO122" s="378" t="str">
        <f t="array" aca="1" ref="AO122" ca="1">IFERROR(IF(AI122&lt;=$AB$2,"-",INDEX(Coordinate,MATCH(INDEX(Calculation_Tab,SMALL(ROW(Main_Dil)*(Main_Dil&lt;&gt;"-"),COUNTIF(Main_Dil,"-")+ROW()-3-$AB$2)-9,6),$X$4:$X$99,0),2)),"-")</f>
        <v>-</v>
      </c>
      <c r="AP122" s="510" t="str">
        <f t="array" aca="1" ref="AP122" ca="1">IFERROR(IF(AI122&lt;=$AB$2,"-",INDEX(Calculation_Tab,SMALL(ROW(Main_Dil)*(Main_Dil&lt;&gt;"-"),COUNTIF(Main_Dil,"-")+ROW()-3-$AB$2)-9,21)),"-")</f>
        <v>-</v>
      </c>
      <c r="AQ122" s="511" t="str">
        <f t="array" aca="1" ref="AQ122" ca="1">IFERROR(IF(AI122&lt;=$AB$2,"-",INDEX(Calculation_Tab,SMALL(ROW(Main_Dil)*(Main_Dil&lt;&gt;"-"),COUNTIF(Main_Dil,"-")+ROW()-3-$AB$2)-9,22)),"-")</f>
        <v>-</v>
      </c>
      <c r="AR122" s="487" t="str">
        <f t="shared" ca="1" si="50"/>
        <v>-</v>
      </c>
      <c r="AS122" s="378">
        <v>119</v>
      </c>
      <c r="AT122" s="497" t="s">
        <v>161</v>
      </c>
      <c r="AU122" s="498">
        <v>23</v>
      </c>
      <c r="AV122" s="378" t="str">
        <f t="shared" ca="1" si="51"/>
        <v>-</v>
      </c>
      <c r="AW122" s="378" t="str">
        <f t="array" aca="1" ref="AW122" ca="1">IFERROR(IF(AS122&lt;=$AB$2+$AN$2,"-",INDEX(Calculation_Tab,SMALL(ROW(Direct_Denaturation)*(Direct_Denaturation&lt;&gt;"-"),COUNTIF(Direct_Denaturation,"-")+ROW()-3-$AB$2-$AN$2)-9,5)),"-")</f>
        <v>-</v>
      </c>
      <c r="AX122" s="378" t="str">
        <f t="array" aca="1" ref="AX122" ca="1">IFERROR(IF(AS122&lt;=$AB$2+$AN$2,"-",INDEX($A$3:$B$12,MATCH(INDEX(Calculation_Tab,SMALL(ROW(Direct_Denaturation)*(Direct_Denaturation&lt;&gt;"-"),COUNTIF(Direct_Denaturation,"-")+ROW()-3-$AB$2-$AN$2)-9,5),$A$3:$A$12,0),2)),"-")</f>
        <v>-</v>
      </c>
      <c r="AY122" s="378" t="str">
        <f t="array" aca="1" ref="AY122" ca="1">IFERROR(IF(AS122&lt;=$AB$2+$AN$2,"-",INDEX(Coordinate,MATCH(INDEX(Calculation_Tab,SMALL(ROW(Direct_Denaturation)*(Direct_Denaturation&lt;&gt;"-"),COUNTIF(Direct_Denaturation,"-")+ROW()-3-$AB$2-$AN$2)-9,6),$X$4:$X$99,0),2)),"-")</f>
        <v>-</v>
      </c>
      <c r="AZ122" s="510" t="str">
        <f t="array" aca="1" ref="AZ122" ca="1">IFERROR(IF(AS122&lt;=$AB$2+$AN$2,"-",INDEX(Calculation_Tab,SMALL(ROW(Direct_Denaturation)*(Direct_Denaturation&lt;&gt;"-"),COUNTIF(Direct_Denaturation,"-")+ROW()-3-$AB$2-$AN$2)-9,32)),"-")</f>
        <v>-</v>
      </c>
      <c r="BA122" s="510" t="str">
        <f t="array" aca="1" ref="BA122" ca="1">IFERROR(IF(AS122&lt;=$AB$2+$AN$2,"-",INDEX(Calculation_Tab,SMALL(ROW(Direct_Denaturation)*(Direct_Denaturation&lt;&gt;"-"),COUNTIF(Direct_Denaturation,"-")+ROW()-3-$AB$2-$AN$2)-9,34)),"-")</f>
        <v>-</v>
      </c>
      <c r="BB122" s="510" t="str">
        <f t="array" aca="1" ref="BB122" ca="1">IFERROR(IF(AS122&lt;=$AB$2+$AN$2,"-",INDEX(Calculation_Tab,SMALL(ROW(Direct_Denaturation)*(Direct_Denaturation&lt;&gt;"-"),COUNTIF(Direct_Denaturation,"-")+ROW()-3-$AB$2-$AN$2)-9,33)),"-")</f>
        <v>-</v>
      </c>
      <c r="BC122" s="510" t="str">
        <f t="array" aca="1" ref="BC122" ca="1">IFERROR(IF(AS122&lt;=$AB$2+$AN$2,"-",INDEX(Calculation_Tab,SMALL(ROW(Direct_Denaturation)*(Direct_Denaturation&lt;&gt;"-"),COUNTIF(Direct_Denaturation,"-")+ROW()-3-$AB$2-$AN$2)-9,35)),"-")</f>
        <v>-</v>
      </c>
      <c r="BD122" s="511" t="str">
        <f t="shared" ca="1" si="52"/>
        <v>-</v>
      </c>
      <c r="BK122" s="542" t="s">
        <v>82</v>
      </c>
      <c r="BL122" s="542" t="s">
        <v>82</v>
      </c>
      <c r="BM122" s="487" t="str">
        <f t="array" aca="1" ref="BM122" ca="1">IFERROR(INDEX(Calculation_Tab,SMALL(ROW(ToPool)*(ToPool&lt;&gt;"-"),COUNTIF(ToPool,"-")+ROW()-3)-9,3),"-")</f>
        <v>-</v>
      </c>
      <c r="BN122" s="378" t="str">
        <f t="shared" ca="1" si="55"/>
        <v>-</v>
      </c>
      <c r="BO122" s="378" t="str">
        <f t="shared" ca="1" si="56"/>
        <v>-</v>
      </c>
      <c r="BP122" s="523" t="str">
        <f t="shared" ca="1" si="57"/>
        <v>-</v>
      </c>
      <c r="BQ122" s="378" t="str">
        <f t="array" aca="1" ref="BQ122" ca="1">IFERROR(INDEX(BE:BG,MATCH(INDEX(Calculation_Tab,SMALL(ROW(ToPool)*(ToPool&lt;&gt;"-"),COUNTIF(ToPool,"-")+ROW()-3)-9,9),BG:BG,0),2),"-")</f>
        <v>-</v>
      </c>
      <c r="BR122" s="510" t="str">
        <f t="shared" ca="1" si="58"/>
        <v>-</v>
      </c>
      <c r="BS122" s="511" t="str">
        <f t="shared" ca="1" si="59"/>
        <v>-</v>
      </c>
      <c r="BT122" s="543" t="s">
        <v>82</v>
      </c>
      <c r="BU122" s="487" t="str">
        <f t="shared" ca="1" si="63"/>
        <v>-</v>
      </c>
      <c r="BV122" s="487" t="str">
        <f t="array" aca="1" ref="BV12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22" s="378" t="str">
        <f t="shared" ca="1" si="60"/>
        <v>-</v>
      </c>
      <c r="BX122" s="378" t="str">
        <f t="shared" ca="1" si="61"/>
        <v>-</v>
      </c>
      <c r="BY122" s="510" t="str">
        <f ca="1">IFERROR(ROUND(INDEX(Cluster,MATCH(IF(LEFT(BV122,4)="Pool",INDEX(Cluster,MATCH(INDEX(Calculation_Tab,MATCH(INDEX($BE$4:$BJ$99,MATCH(BV122,$BE$4:$BE$99,0),3),Flow_Cell_Lane,0),3),Cluster!$F$29:$F$412,0),6),BV122),Identifier_Cluster,0),19)*IF(LEFT(BV122,4)="pool",IF(LEN(INDEX($BE$4:$BJ$99,MATCH(BV122,$BE$4:$BE$99,0),3))=10,2,IF(LEN(INDEX($BE$4:$BJ$99,MATCH(BV122,$BE$4:$BE$99,0),3))&gt;10,LEN(INDEX($BE$4:$BJ$99,MATCH(BV122,$BE$4:$BE$99,0),3))-8,1)),1)*IF(LEFT(BV122,4)="pool",IF(INDEX($BE$4:$BJ$99,MATCH(BV122,$BE$4:$BE$99,0),6)&lt;1,1,INDEX($BE$4:$BJ$99,MATCH(BV122,$BE$4:$BE$99,0),6)),INDEX(Calculation_Tab,MATCH(BV122,Identifier,0),10)),1)*(1+Calculation!$Q$6),"-")</f>
        <v>-</v>
      </c>
      <c r="BZ122" s="378" t="str">
        <f ca="1">IFERROR((0.5/50)*CE122/Calculation!$AG$6*(IF(LEFT(BV122,4)="Pool",IF(LEN(INDEX($BE$4:$BJ$99,MATCH(BV122,$BE$4:$BE$99,0),3))=10,2,IF(LEN(INDEX($BE$4:$BJ$99,MATCH(BV122,$BE$4:$BE$99,0),3))&gt;10,LEN(INDEX($BE$4:$BJ$99,MATCH(BV122,$BE$4:$BE$99,0),3))-8,1)),IF(INDEX(Calculation_Tab,MATCH(BV122,Identifier,0),10)&gt;1,INDEX(Calculation_Tab,MATCH(BV122,Identifier,0),10),1)))*(1+Calculation!$Q$6),"-")</f>
        <v>-</v>
      </c>
      <c r="CA122" s="510" t="str">
        <f ca="1">IFERROR(IF((BZ122*Calculation!$AG$6/0.05)-SUM(BY122:BZ122,CC122)&gt;0,(BZ122*Calculation!$AG$6/0.05)-SUM(BY122:BZ122,CC122),0),"-")</f>
        <v>-</v>
      </c>
      <c r="CB122" s="510" t="str">
        <f ca="1">IFERROR(5/50*CE122*(IF(LEFT(BV122,4)="Pool",IF(LEN(INDEX($BE$4:$BJ$99,MATCH(BV122,$BE$4:$BE$99,0),3))=10,2,IF(LEN(INDEX($BE$4:$BJ$99,MATCH(BV122,$BE$4:$BE$99,0),3))&gt;10,LEN(INDEX($BE$4:$BJ$99,MATCH(BV122,$BE$4:$BE$99,0),3))-8,1)),IF(INDEX(Calculation_Tab,MATCH(BV122,Identifier,0),10)&gt;1,INDEX(Calculation_Tab,MATCH(BV122,Identifier,0),10),1)))*(1+Calculation!$Q$6),"-")</f>
        <v>-</v>
      </c>
      <c r="CC122" s="508" t="str">
        <f ca="1">IFERROR(ROUND(INDEX(Cluster,MATCH(IF(LEFT(BV122,4)="Pool",INDEX(Cluster,MATCH(INDEX(Calculation_Tab,MATCH(INDEX($BE$4:$BJ$99,MATCH(BV122,$BE$4:$BE$99,0),3),Flow_Cell_Lane,0),3),Cluster!$F$29:$F$412,0),6),BV122),Identifier_Cluster,0),20)*IF(LEFT(BV122,4)="pool",IF(LEN(INDEX($BE$4:$BJ$99,MATCH(BV122,$BE$4:$BE$99,0),3))=10,2,IF(LEN(INDEX($BE$4:$BJ$99,MATCH(BV122,$BE$4:$BE$99,0),3))&gt;10,LEN(INDEX($BE$4:$BJ$99,MATCH(BV122,$BE$4:$BE$99,0),3))-8,1)),1)*IF(LEFT(BV122,4)="pool",IF(INDEX($BE$4:$BJ$99,MATCH(BV122,$BE$4:$BE$99,0),6)&lt;1,1,INDEX($BE$4:$BJ$99,MATCH(BV122,$BE$4:$BE$99,0),6)),INDEX(Calculation_Tab,MATCH(BV122,Identifier,0),10)),1)*(1+Calculation!$Q$6),"-")</f>
        <v>-</v>
      </c>
      <c r="CD122" s="509" t="str">
        <f ca="1">IFERROR(INDEX(Cluster!AC:AD,MATCH(IF(LEFT(BV122,4)="Pool",INDEX(Cluster!$D$29:$AA$412,MATCH(INDEX(Calculation_Tab,MATCH(INDEX($BE$4:$BJ$99,MATCH(BV122,$BE$4:$BE$99,0),3),Flow_Cell_Lane,0),3),Cluster!$F$29:$F$412,0),24),INDEX(Cluster!$D$29:$AA$412,MATCH(BV122,Cluster!$F$29:$F$412,0),24)),Cluster!AC:AC,0),2),"-")</f>
        <v>-</v>
      </c>
      <c r="CE122" s="378" t="str">
        <f ca="1">IFERROR(IF(BV122&lt;&gt;"-",Calculation!$AK$6,"-"),"-")</f>
        <v>-</v>
      </c>
      <c r="CF122" s="378" t="str">
        <f ca="1">IF(OR(LEFT(ListAndConversion!BW122,3)="Dil",LEFT(ListAndConversion!BW122,3)="Poo"),ListAndConversion!$BT$4,IF(LEFT(ListAndConversion!BW122,3)="Sou",INDEX(ListAndConversion!$AT$3:$AV$387,MATCH(ListAndConversion!BV122,ListAndConversion!$AV$3:$AV$387,0),1),"-"))</f>
        <v>-</v>
      </c>
      <c r="CG122" s="498" t="str">
        <f ca="1">IF(OR(LEFT(ListAndConversion!BW122,3)="Dil",LEFT(ListAndConversion!BW122,3)="Poo"),ListAndConversion!BU122,IF(LEFT(ListAndConversion!BW122,3)="Sou",INDEX(ListAndConversion!$AT$4:$AV$387,MATCH(ListAndConversion!BV122,ListAndConversion!$AV$4:$AV$387,0),2),"-"))</f>
        <v>-</v>
      </c>
      <c r="CH122" s="378"/>
      <c r="CI122" s="487" t="str">
        <f t="shared" ca="1" si="62"/>
        <v>-</v>
      </c>
      <c r="CJ122" s="378" t="str">
        <f t="shared" ca="1" si="76"/>
        <v>-</v>
      </c>
      <c r="CK122" s="378" t="str">
        <f t="shared" ca="1" si="76"/>
        <v>-</v>
      </c>
      <c r="CL122" s="378" t="str">
        <f t="shared" ca="1" si="76"/>
        <v>-</v>
      </c>
      <c r="CM122" s="378" t="str">
        <f t="shared" ca="1" si="76"/>
        <v>-</v>
      </c>
      <c r="CN122" s="378" t="str">
        <f t="shared" ca="1" si="76"/>
        <v>-</v>
      </c>
      <c r="CO122" s="378" t="str">
        <f t="shared" ca="1" si="76"/>
        <v>-</v>
      </c>
      <c r="CP122" s="378" t="str">
        <f t="shared" ca="1" si="76"/>
        <v>-</v>
      </c>
      <c r="CQ122" s="378" t="str">
        <f t="shared" ca="1" si="76"/>
        <v>-</v>
      </c>
      <c r="CR122" s="510" t="str">
        <f ca="1">IFERROR(IF(LEFT(BW122,3)="Poo",INDEX($BE$4:$BJ$99,MATCH(CI122,$BG$4:$BG$99,0),6)*((15/50))*Calculation!$AK$6,INDEX(Calculation_Tab,MATCH(BV122,Identifier,0),10)/(IF(LEN(INDEX(Calculation_Tab,MATCH(BV122,Identifier,0),9))&gt;8,LEN(INDEX(Calculation_Tab,MATCH(BV122,Identifier,0),9))-8,1))*((15/50)*Calculation!$AK$6)),"-")</f>
        <v>-</v>
      </c>
      <c r="CS122" s="498" t="str">
        <f ca="1">IF(CI122="-","-",IF(COUNTIF($CI$3:CI122,CI122)&gt;1,0,IFERROR((35/50)*Calculation!$AK$6,"-")))</f>
        <v>-</v>
      </c>
    </row>
    <row r="123" spans="4:97" x14ac:dyDescent="0.5">
      <c r="D123" s="487" t="e">
        <f t="shared" si="44"/>
        <v>#DIV/0!</v>
      </c>
      <c r="E123" s="496" t="e">
        <f t="array" ref="E123">IF(IF((ROW(E123)-3)&lt;(ListAndConversion!$A$15),INDEX(Flow_Cell_Lane,MIN(IF(COUNTIF($E$2:E122,Flow_Cell_Lane)=0,ROW(Flow_Cell_Lane)-9))),"-")="","-",IF((ROW(E123)-3)&lt;(ListAndConversion!$A$15),INDEX(Flow_Cell_Lane,MIN(IF(COUNTIF($E$2:E122,Flow_Cell_Lane)=0,ROW(Flow_Cell_Lane)-9))),"-"))</f>
        <v>#DIV/0!</v>
      </c>
      <c r="F123" s="378" t="e">
        <f t="shared" si="45"/>
        <v>#DIV/0!</v>
      </c>
      <c r="G123" s="378" t="e">
        <f t="shared" ref="G123:M132" si="77">IF($D123&gt;8,IF($D123&gt;=(8+G$2),CONCATENATE(LEFT($E123,7),RIGHT(LEFT($E123,8+G$2),1)),""),"")</f>
        <v>#DIV/0!</v>
      </c>
      <c r="H123" s="378" t="e">
        <f t="shared" si="77"/>
        <v>#DIV/0!</v>
      </c>
      <c r="I123" s="378" t="e">
        <f t="shared" si="77"/>
        <v>#DIV/0!</v>
      </c>
      <c r="J123" s="378" t="e">
        <f t="shared" si="77"/>
        <v>#DIV/0!</v>
      </c>
      <c r="K123" s="378" t="e">
        <f t="shared" si="77"/>
        <v>#DIV/0!</v>
      </c>
      <c r="L123" s="378" t="e">
        <f t="shared" si="77"/>
        <v>#DIV/0!</v>
      </c>
      <c r="M123" s="378" t="e">
        <f t="shared" si="77"/>
        <v>#DIV/0!</v>
      </c>
      <c r="N123" s="497" t="e">
        <f t="shared" si="46"/>
        <v>#DIV/0!</v>
      </c>
      <c r="O123" s="497" t="str">
        <f t="array" ref="O123">IFERROR(INDEX(Calculation!I:AN,MATCH(ListAndConversion!E123,Calculation!I:I,0),31),"-")</f>
        <v>-</v>
      </c>
      <c r="P123" s="498">
        <f>IF(COUNTIFS(Calculation!$I$10:$I$393,E123,Direct_Denaturation,"-")&lt;&gt;1,COUNTIFS(Calculation!$I$10:$I$393,E123,Direct_Denaturation,"-"),0)</f>
        <v>0</v>
      </c>
      <c r="V123" s="542" t="s">
        <v>82</v>
      </c>
      <c r="W123" s="542" t="s">
        <v>82</v>
      </c>
      <c r="X123" s="542" t="s">
        <v>82</v>
      </c>
      <c r="Y123" s="542" t="s">
        <v>82</v>
      </c>
      <c r="Z123" s="542" t="s">
        <v>82</v>
      </c>
      <c r="AA123" s="542" t="s">
        <v>82</v>
      </c>
      <c r="AB123" s="542" t="s">
        <v>82</v>
      </c>
      <c r="AC123" s="542" t="s">
        <v>82</v>
      </c>
      <c r="AD123" s="542" t="s">
        <v>82</v>
      </c>
      <c r="AE123" s="542" t="s">
        <v>82</v>
      </c>
      <c r="AF123" s="542" t="s">
        <v>82</v>
      </c>
      <c r="AG123" s="542" t="s">
        <v>82</v>
      </c>
      <c r="AH123" s="9"/>
      <c r="AI123" s="487">
        <v>120</v>
      </c>
      <c r="AJ123" s="497" t="s">
        <v>161</v>
      </c>
      <c r="AK123" s="378">
        <v>24</v>
      </c>
      <c r="AL123" s="378" t="str">
        <f t="shared" ca="1" si="49"/>
        <v>-</v>
      </c>
      <c r="AM123" s="378" t="str">
        <f t="array" aca="1" ref="AM123" ca="1">IFERROR(IF(AI123&lt;=$AB$2,"-",INDEX(Calculation_Tab,SMALL(ROW(Main_Dil)*(Main_Dil&lt;&gt;"-"),COUNTIF(Main_Dil,"-")+ROW()-3-$AB$2)-9,5)),"-")</f>
        <v>-</v>
      </c>
      <c r="AN123" s="378" t="str">
        <f t="array" aca="1" ref="AN123" ca="1">IFERROR(IF(AI123&lt;=$AB$2,"-",INDEX($A$3:$B$12,MATCH(INDEX(Calculation_Tab,SMALL(ROW(Main_Dil)*(Main_Dil&lt;&gt;"-"),COUNTIF(Main_Dil,"-")+ROW()-3-$AB$2)-9,5),$A$3:$A$12,0),2)),"-")</f>
        <v>-</v>
      </c>
      <c r="AO123" s="378" t="str">
        <f t="array" aca="1" ref="AO123" ca="1">IFERROR(IF(AI123&lt;=$AB$2,"-",INDEX(Coordinate,MATCH(INDEX(Calculation_Tab,SMALL(ROW(Main_Dil)*(Main_Dil&lt;&gt;"-"),COUNTIF(Main_Dil,"-")+ROW()-3-$AB$2)-9,6),$X$4:$X$99,0),2)),"-")</f>
        <v>-</v>
      </c>
      <c r="AP123" s="510" t="str">
        <f t="array" aca="1" ref="AP123" ca="1">IFERROR(IF(AI123&lt;=$AB$2,"-",INDEX(Calculation_Tab,SMALL(ROW(Main_Dil)*(Main_Dil&lt;&gt;"-"),COUNTIF(Main_Dil,"-")+ROW()-3-$AB$2)-9,21)),"-")</f>
        <v>-</v>
      </c>
      <c r="AQ123" s="511" t="str">
        <f t="array" aca="1" ref="AQ123" ca="1">IFERROR(IF(AI123&lt;=$AB$2,"-",INDEX(Calculation_Tab,SMALL(ROW(Main_Dil)*(Main_Dil&lt;&gt;"-"),COUNTIF(Main_Dil,"-")+ROW()-3-$AB$2)-9,22)),"-")</f>
        <v>-</v>
      </c>
      <c r="AR123" s="487" t="str">
        <f t="shared" ca="1" si="50"/>
        <v>-</v>
      </c>
      <c r="AS123" s="378">
        <v>120</v>
      </c>
      <c r="AT123" s="497" t="s">
        <v>161</v>
      </c>
      <c r="AU123" s="498">
        <v>24</v>
      </c>
      <c r="AV123" s="378" t="str">
        <f t="shared" ca="1" si="51"/>
        <v>-</v>
      </c>
      <c r="AW123" s="378" t="str">
        <f t="array" aca="1" ref="AW123" ca="1">IFERROR(IF(AS123&lt;=$AB$2+$AN$2,"-",INDEX(Calculation_Tab,SMALL(ROW(Direct_Denaturation)*(Direct_Denaturation&lt;&gt;"-"),COUNTIF(Direct_Denaturation,"-")+ROW()-3-$AB$2-$AN$2)-9,5)),"-")</f>
        <v>-</v>
      </c>
      <c r="AX123" s="378" t="str">
        <f t="array" aca="1" ref="AX123" ca="1">IFERROR(IF(AS123&lt;=$AB$2+$AN$2,"-",INDEX($A$3:$B$12,MATCH(INDEX(Calculation_Tab,SMALL(ROW(Direct_Denaturation)*(Direct_Denaturation&lt;&gt;"-"),COUNTIF(Direct_Denaturation,"-")+ROW()-3-$AB$2-$AN$2)-9,5),$A$3:$A$12,0),2)),"-")</f>
        <v>-</v>
      </c>
      <c r="AY123" s="378" t="str">
        <f t="array" aca="1" ref="AY123" ca="1">IFERROR(IF(AS123&lt;=$AB$2+$AN$2,"-",INDEX(Coordinate,MATCH(INDEX(Calculation_Tab,SMALL(ROW(Direct_Denaturation)*(Direct_Denaturation&lt;&gt;"-"),COUNTIF(Direct_Denaturation,"-")+ROW()-3-$AB$2-$AN$2)-9,6),$X$4:$X$99,0),2)),"-")</f>
        <v>-</v>
      </c>
      <c r="AZ123" s="510" t="str">
        <f t="array" aca="1" ref="AZ123" ca="1">IFERROR(IF(AS123&lt;=$AB$2+$AN$2,"-",INDEX(Calculation_Tab,SMALL(ROW(Direct_Denaturation)*(Direct_Denaturation&lt;&gt;"-"),COUNTIF(Direct_Denaturation,"-")+ROW()-3-$AB$2-$AN$2)-9,32)),"-")</f>
        <v>-</v>
      </c>
      <c r="BA123" s="510" t="str">
        <f t="array" aca="1" ref="BA123" ca="1">IFERROR(IF(AS123&lt;=$AB$2+$AN$2,"-",INDEX(Calculation_Tab,SMALL(ROW(Direct_Denaturation)*(Direct_Denaturation&lt;&gt;"-"),COUNTIF(Direct_Denaturation,"-")+ROW()-3-$AB$2-$AN$2)-9,34)),"-")</f>
        <v>-</v>
      </c>
      <c r="BB123" s="510" t="str">
        <f t="array" aca="1" ref="BB123" ca="1">IFERROR(IF(AS123&lt;=$AB$2+$AN$2,"-",INDEX(Calculation_Tab,SMALL(ROW(Direct_Denaturation)*(Direct_Denaturation&lt;&gt;"-"),COUNTIF(Direct_Denaturation,"-")+ROW()-3-$AB$2-$AN$2)-9,33)),"-")</f>
        <v>-</v>
      </c>
      <c r="BC123" s="510" t="str">
        <f t="array" aca="1" ref="BC123" ca="1">IFERROR(IF(AS123&lt;=$AB$2+$AN$2,"-",INDEX(Calculation_Tab,SMALL(ROW(Direct_Denaturation)*(Direct_Denaturation&lt;&gt;"-"),COUNTIF(Direct_Denaturation,"-")+ROW()-3-$AB$2-$AN$2)-9,35)),"-")</f>
        <v>-</v>
      </c>
      <c r="BD123" s="511" t="str">
        <f t="shared" ca="1" si="52"/>
        <v>-</v>
      </c>
      <c r="BK123" s="542" t="s">
        <v>82</v>
      </c>
      <c r="BL123" s="542" t="s">
        <v>82</v>
      </c>
      <c r="BM123" s="487" t="str">
        <f t="array" aca="1" ref="BM123" ca="1">IFERROR(INDEX(Calculation_Tab,SMALL(ROW(ToPool)*(ToPool&lt;&gt;"-"),COUNTIF(ToPool,"-")+ROW()-3)-9,3),"-")</f>
        <v>-</v>
      </c>
      <c r="BN123" s="378" t="str">
        <f t="shared" ca="1" si="55"/>
        <v>-</v>
      </c>
      <c r="BO123" s="378" t="str">
        <f t="shared" ca="1" si="56"/>
        <v>-</v>
      </c>
      <c r="BP123" s="523" t="str">
        <f t="shared" ca="1" si="57"/>
        <v>-</v>
      </c>
      <c r="BQ123" s="378" t="str">
        <f t="array" aca="1" ref="BQ123" ca="1">IFERROR(INDEX(BE:BG,MATCH(INDEX(Calculation_Tab,SMALL(ROW(ToPool)*(ToPool&lt;&gt;"-"),COUNTIF(ToPool,"-")+ROW()-3)-9,9),BG:BG,0),2),"-")</f>
        <v>-</v>
      </c>
      <c r="BR123" s="510" t="str">
        <f t="shared" ca="1" si="58"/>
        <v>-</v>
      </c>
      <c r="BS123" s="511" t="str">
        <f t="shared" ca="1" si="59"/>
        <v>-</v>
      </c>
      <c r="BT123" s="543" t="s">
        <v>82</v>
      </c>
      <c r="BU123" s="487" t="str">
        <f t="shared" ca="1" si="63"/>
        <v>-</v>
      </c>
      <c r="BV123" s="487" t="str">
        <f t="array" aca="1" ref="BV12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23" s="378" t="str">
        <f t="shared" ca="1" si="60"/>
        <v>-</v>
      </c>
      <c r="BX123" s="378" t="str">
        <f t="shared" ca="1" si="61"/>
        <v>-</v>
      </c>
      <c r="BY123" s="510" t="str">
        <f ca="1">IFERROR(ROUND(INDEX(Cluster,MATCH(IF(LEFT(BV123,4)="Pool",INDEX(Cluster,MATCH(INDEX(Calculation_Tab,MATCH(INDEX($BE$4:$BJ$99,MATCH(BV123,$BE$4:$BE$99,0),3),Flow_Cell_Lane,0),3),Cluster!$F$29:$F$412,0),6),BV123),Identifier_Cluster,0),19)*IF(LEFT(BV123,4)="pool",IF(LEN(INDEX($BE$4:$BJ$99,MATCH(BV123,$BE$4:$BE$99,0),3))=10,2,IF(LEN(INDEX($BE$4:$BJ$99,MATCH(BV123,$BE$4:$BE$99,0),3))&gt;10,LEN(INDEX($BE$4:$BJ$99,MATCH(BV123,$BE$4:$BE$99,0),3))-8,1)),1)*IF(LEFT(BV123,4)="pool",IF(INDEX($BE$4:$BJ$99,MATCH(BV123,$BE$4:$BE$99,0),6)&lt;1,1,INDEX($BE$4:$BJ$99,MATCH(BV123,$BE$4:$BE$99,0),6)),INDEX(Calculation_Tab,MATCH(BV123,Identifier,0),10)),1)*(1+Calculation!$Q$6),"-")</f>
        <v>-</v>
      </c>
      <c r="BZ123" s="378" t="str">
        <f ca="1">IFERROR((0.5/50)*CE123/Calculation!$AG$6*(IF(LEFT(BV123,4)="Pool",IF(LEN(INDEX($BE$4:$BJ$99,MATCH(BV123,$BE$4:$BE$99,0),3))=10,2,IF(LEN(INDEX($BE$4:$BJ$99,MATCH(BV123,$BE$4:$BE$99,0),3))&gt;10,LEN(INDEX($BE$4:$BJ$99,MATCH(BV123,$BE$4:$BE$99,0),3))-8,1)),IF(INDEX(Calculation_Tab,MATCH(BV123,Identifier,0),10)&gt;1,INDEX(Calculation_Tab,MATCH(BV123,Identifier,0),10),1)))*(1+Calculation!$Q$6),"-")</f>
        <v>-</v>
      </c>
      <c r="CA123" s="510" t="str">
        <f ca="1">IFERROR(IF((BZ123*Calculation!$AG$6/0.05)-SUM(BY123:BZ123,CC123)&gt;0,(BZ123*Calculation!$AG$6/0.05)-SUM(BY123:BZ123,CC123),0),"-")</f>
        <v>-</v>
      </c>
      <c r="CB123" s="510" t="str">
        <f ca="1">IFERROR(5/50*CE123*(IF(LEFT(BV123,4)="Pool",IF(LEN(INDEX($BE$4:$BJ$99,MATCH(BV123,$BE$4:$BE$99,0),3))=10,2,IF(LEN(INDEX($BE$4:$BJ$99,MATCH(BV123,$BE$4:$BE$99,0),3))&gt;10,LEN(INDEX($BE$4:$BJ$99,MATCH(BV123,$BE$4:$BE$99,0),3))-8,1)),IF(INDEX(Calculation_Tab,MATCH(BV123,Identifier,0),10)&gt;1,INDEX(Calculation_Tab,MATCH(BV123,Identifier,0),10),1)))*(1+Calculation!$Q$6),"-")</f>
        <v>-</v>
      </c>
      <c r="CC123" s="508" t="str">
        <f ca="1">IFERROR(ROUND(INDEX(Cluster,MATCH(IF(LEFT(BV123,4)="Pool",INDEX(Cluster,MATCH(INDEX(Calculation_Tab,MATCH(INDEX($BE$4:$BJ$99,MATCH(BV123,$BE$4:$BE$99,0),3),Flow_Cell_Lane,0),3),Cluster!$F$29:$F$412,0),6),BV123),Identifier_Cluster,0),20)*IF(LEFT(BV123,4)="pool",IF(LEN(INDEX($BE$4:$BJ$99,MATCH(BV123,$BE$4:$BE$99,0),3))=10,2,IF(LEN(INDEX($BE$4:$BJ$99,MATCH(BV123,$BE$4:$BE$99,0),3))&gt;10,LEN(INDEX($BE$4:$BJ$99,MATCH(BV123,$BE$4:$BE$99,0),3))-8,1)),1)*IF(LEFT(BV123,4)="pool",IF(INDEX($BE$4:$BJ$99,MATCH(BV123,$BE$4:$BE$99,0),6)&lt;1,1,INDEX($BE$4:$BJ$99,MATCH(BV123,$BE$4:$BE$99,0),6)),INDEX(Calculation_Tab,MATCH(BV123,Identifier,0),10)),1)*(1+Calculation!$Q$6),"-")</f>
        <v>-</v>
      </c>
      <c r="CD123" s="509" t="str">
        <f ca="1">IFERROR(INDEX(Cluster!AC:AD,MATCH(IF(LEFT(BV123,4)="Pool",INDEX(Cluster!$D$29:$AA$412,MATCH(INDEX(Calculation_Tab,MATCH(INDEX($BE$4:$BJ$99,MATCH(BV123,$BE$4:$BE$99,0),3),Flow_Cell_Lane,0),3),Cluster!$F$29:$F$412,0),24),INDEX(Cluster!$D$29:$AA$412,MATCH(BV123,Cluster!$F$29:$F$412,0),24)),Cluster!AC:AC,0),2),"-")</f>
        <v>-</v>
      </c>
      <c r="CE123" s="378" t="str">
        <f ca="1">IFERROR(IF(BV123&lt;&gt;"-",Calculation!$AK$6,"-"),"-")</f>
        <v>-</v>
      </c>
      <c r="CF123" s="378" t="str">
        <f ca="1">IF(OR(LEFT(ListAndConversion!BW123,3)="Dil",LEFT(ListAndConversion!BW123,3)="Poo"),ListAndConversion!$BT$4,IF(LEFT(ListAndConversion!BW123,3)="Sou",INDEX(ListAndConversion!$AT$3:$AV$387,MATCH(ListAndConversion!BV123,ListAndConversion!$AV$3:$AV$387,0),1),"-"))</f>
        <v>-</v>
      </c>
      <c r="CG123" s="498" t="str">
        <f ca="1">IF(OR(LEFT(ListAndConversion!BW123,3)="Dil",LEFT(ListAndConversion!BW123,3)="Poo"),ListAndConversion!BU123,IF(LEFT(ListAndConversion!BW123,3)="Sou",INDEX(ListAndConversion!$AT$4:$AV$387,MATCH(ListAndConversion!BV123,ListAndConversion!$AV$4:$AV$387,0),2),"-"))</f>
        <v>-</v>
      </c>
      <c r="CH123" s="378"/>
      <c r="CI123" s="487" t="str">
        <f t="shared" ca="1" si="62"/>
        <v>-</v>
      </c>
      <c r="CJ123" s="378" t="str">
        <f t="shared" ca="1" si="76"/>
        <v>-</v>
      </c>
      <c r="CK123" s="378" t="str">
        <f t="shared" ca="1" si="76"/>
        <v>-</v>
      </c>
      <c r="CL123" s="378" t="str">
        <f t="shared" ca="1" si="76"/>
        <v>-</v>
      </c>
      <c r="CM123" s="378" t="str">
        <f t="shared" ca="1" si="76"/>
        <v>-</v>
      </c>
      <c r="CN123" s="378" t="str">
        <f t="shared" ca="1" si="76"/>
        <v>-</v>
      </c>
      <c r="CO123" s="378" t="str">
        <f t="shared" ca="1" si="76"/>
        <v>-</v>
      </c>
      <c r="CP123" s="378" t="str">
        <f t="shared" ca="1" si="76"/>
        <v>-</v>
      </c>
      <c r="CQ123" s="378" t="str">
        <f t="shared" ca="1" si="76"/>
        <v>-</v>
      </c>
      <c r="CR123" s="510" t="str">
        <f ca="1">IFERROR(IF(LEFT(BW123,3)="Poo",INDEX($BE$4:$BJ$99,MATCH(CI123,$BG$4:$BG$99,0),6)*((15/50))*Calculation!$AK$6,INDEX(Calculation_Tab,MATCH(BV123,Identifier,0),10)/(IF(LEN(INDEX(Calculation_Tab,MATCH(BV123,Identifier,0),9))&gt;8,LEN(INDEX(Calculation_Tab,MATCH(BV123,Identifier,0),9))-8,1))*((15/50)*Calculation!$AK$6)),"-")</f>
        <v>-</v>
      </c>
      <c r="CS123" s="498" t="str">
        <f ca="1">IF(CI123="-","-",IF(COUNTIF($CI$3:CI123,CI123)&gt;1,0,IFERROR((35/50)*Calculation!$AK$6,"-")))</f>
        <v>-</v>
      </c>
    </row>
    <row r="124" spans="4:97" x14ac:dyDescent="0.5">
      <c r="D124" s="487" t="e">
        <f t="shared" si="44"/>
        <v>#DIV/0!</v>
      </c>
      <c r="E124" s="496" t="e">
        <f t="array" ref="E124">IF(IF((ROW(E124)-3)&lt;(ListAndConversion!$A$15),INDEX(Flow_Cell_Lane,MIN(IF(COUNTIF($E$2:E123,Flow_Cell_Lane)=0,ROW(Flow_Cell_Lane)-9))),"-")="","-",IF((ROW(E124)-3)&lt;(ListAndConversion!$A$15),INDEX(Flow_Cell_Lane,MIN(IF(COUNTIF($E$2:E123,Flow_Cell_Lane)=0,ROW(Flow_Cell_Lane)-9))),"-"))</f>
        <v>#DIV/0!</v>
      </c>
      <c r="F124" s="378" t="e">
        <f t="shared" si="45"/>
        <v>#DIV/0!</v>
      </c>
      <c r="G124" s="378" t="e">
        <f t="shared" si="77"/>
        <v>#DIV/0!</v>
      </c>
      <c r="H124" s="378" t="e">
        <f t="shared" si="77"/>
        <v>#DIV/0!</v>
      </c>
      <c r="I124" s="378" t="e">
        <f t="shared" si="77"/>
        <v>#DIV/0!</v>
      </c>
      <c r="J124" s="378" t="e">
        <f t="shared" si="77"/>
        <v>#DIV/0!</v>
      </c>
      <c r="K124" s="378" t="e">
        <f t="shared" si="77"/>
        <v>#DIV/0!</v>
      </c>
      <c r="L124" s="378" t="e">
        <f t="shared" si="77"/>
        <v>#DIV/0!</v>
      </c>
      <c r="M124" s="378" t="e">
        <f t="shared" si="77"/>
        <v>#DIV/0!</v>
      </c>
      <c r="N124" s="497" t="e">
        <f t="shared" si="46"/>
        <v>#DIV/0!</v>
      </c>
      <c r="O124" s="497" t="str">
        <f t="array" ref="O124">IFERROR(INDEX(Calculation!I:AN,MATCH(ListAndConversion!E124,Calculation!I:I,0),31),"-")</f>
        <v>-</v>
      </c>
      <c r="P124" s="498">
        <f>IF(COUNTIFS(Calculation!$I$10:$I$393,E124,Direct_Denaturation,"-")&lt;&gt;1,COUNTIFS(Calculation!$I$10:$I$393,E124,Direct_Denaturation,"-"),0)</f>
        <v>0</v>
      </c>
      <c r="V124" s="542" t="s">
        <v>82</v>
      </c>
      <c r="W124" s="542" t="s">
        <v>82</v>
      </c>
      <c r="X124" s="542" t="s">
        <v>82</v>
      </c>
      <c r="Y124" s="542" t="s">
        <v>82</v>
      </c>
      <c r="Z124" s="542" t="s">
        <v>82</v>
      </c>
      <c r="AA124" s="542" t="s">
        <v>82</v>
      </c>
      <c r="AB124" s="542" t="s">
        <v>82</v>
      </c>
      <c r="AC124" s="542" t="s">
        <v>82</v>
      </c>
      <c r="AD124" s="542" t="s">
        <v>82</v>
      </c>
      <c r="AE124" s="542" t="s">
        <v>82</v>
      </c>
      <c r="AF124" s="542" t="s">
        <v>82</v>
      </c>
      <c r="AG124" s="542" t="s">
        <v>82</v>
      </c>
      <c r="AH124" s="9"/>
      <c r="AI124" s="487">
        <v>121</v>
      </c>
      <c r="AJ124" s="497" t="s">
        <v>161</v>
      </c>
      <c r="AK124" s="378">
        <v>25</v>
      </c>
      <c r="AL124" s="378" t="str">
        <f t="shared" ca="1" si="49"/>
        <v>-</v>
      </c>
      <c r="AM124" s="378" t="str">
        <f t="array" aca="1" ref="AM124" ca="1">IFERROR(IF(AI124&lt;=$AB$2,"-",INDEX(Calculation_Tab,SMALL(ROW(Main_Dil)*(Main_Dil&lt;&gt;"-"),COUNTIF(Main_Dil,"-")+ROW()-3-$AB$2)-9,5)),"-")</f>
        <v>-</v>
      </c>
      <c r="AN124" s="378" t="str">
        <f t="array" aca="1" ref="AN124" ca="1">IFERROR(IF(AI124&lt;=$AB$2,"-",INDEX($A$3:$B$12,MATCH(INDEX(Calculation_Tab,SMALL(ROW(Main_Dil)*(Main_Dil&lt;&gt;"-"),COUNTIF(Main_Dil,"-")+ROW()-3-$AB$2)-9,5),$A$3:$A$12,0),2)),"-")</f>
        <v>-</v>
      </c>
      <c r="AO124" s="378" t="str">
        <f t="array" aca="1" ref="AO124" ca="1">IFERROR(IF(AI124&lt;=$AB$2,"-",INDEX(Coordinate,MATCH(INDEX(Calculation_Tab,SMALL(ROW(Main_Dil)*(Main_Dil&lt;&gt;"-"),COUNTIF(Main_Dil,"-")+ROW()-3-$AB$2)-9,6),$X$4:$X$99,0),2)),"-")</f>
        <v>-</v>
      </c>
      <c r="AP124" s="510" t="str">
        <f t="array" aca="1" ref="AP124" ca="1">IFERROR(IF(AI124&lt;=$AB$2,"-",INDEX(Calculation_Tab,SMALL(ROW(Main_Dil)*(Main_Dil&lt;&gt;"-"),COUNTIF(Main_Dil,"-")+ROW()-3-$AB$2)-9,21)),"-")</f>
        <v>-</v>
      </c>
      <c r="AQ124" s="511" t="str">
        <f t="array" aca="1" ref="AQ124" ca="1">IFERROR(IF(AI124&lt;=$AB$2,"-",INDEX(Calculation_Tab,SMALL(ROW(Main_Dil)*(Main_Dil&lt;&gt;"-"),COUNTIF(Main_Dil,"-")+ROW()-3-$AB$2)-9,22)),"-")</f>
        <v>-</v>
      </c>
      <c r="AR124" s="487" t="str">
        <f t="shared" ca="1" si="50"/>
        <v>-</v>
      </c>
      <c r="AS124" s="378">
        <v>121</v>
      </c>
      <c r="AT124" s="497" t="s">
        <v>161</v>
      </c>
      <c r="AU124" s="498">
        <v>25</v>
      </c>
      <c r="AV124" s="378" t="str">
        <f t="shared" ca="1" si="51"/>
        <v>-</v>
      </c>
      <c r="AW124" s="378" t="str">
        <f t="array" aca="1" ref="AW124" ca="1">IFERROR(IF(AS124&lt;=$AB$2+$AN$2,"-",INDEX(Calculation_Tab,SMALL(ROW(Direct_Denaturation)*(Direct_Denaturation&lt;&gt;"-"),COUNTIF(Direct_Denaturation,"-")+ROW()-3-$AB$2-$AN$2)-9,5)),"-")</f>
        <v>-</v>
      </c>
      <c r="AX124" s="378" t="str">
        <f t="array" aca="1" ref="AX124" ca="1">IFERROR(IF(AS124&lt;=$AB$2+$AN$2,"-",INDEX($A$3:$B$12,MATCH(INDEX(Calculation_Tab,SMALL(ROW(Direct_Denaturation)*(Direct_Denaturation&lt;&gt;"-"),COUNTIF(Direct_Denaturation,"-")+ROW()-3-$AB$2-$AN$2)-9,5),$A$3:$A$12,0),2)),"-")</f>
        <v>-</v>
      </c>
      <c r="AY124" s="378" t="str">
        <f t="array" aca="1" ref="AY124" ca="1">IFERROR(IF(AS124&lt;=$AB$2+$AN$2,"-",INDEX(Coordinate,MATCH(INDEX(Calculation_Tab,SMALL(ROW(Direct_Denaturation)*(Direct_Denaturation&lt;&gt;"-"),COUNTIF(Direct_Denaturation,"-")+ROW()-3-$AB$2-$AN$2)-9,6),$X$4:$X$99,0),2)),"-")</f>
        <v>-</v>
      </c>
      <c r="AZ124" s="510" t="str">
        <f t="array" aca="1" ref="AZ124" ca="1">IFERROR(IF(AS124&lt;=$AB$2+$AN$2,"-",INDEX(Calculation_Tab,SMALL(ROW(Direct_Denaturation)*(Direct_Denaturation&lt;&gt;"-"),COUNTIF(Direct_Denaturation,"-")+ROW()-3-$AB$2-$AN$2)-9,32)),"-")</f>
        <v>-</v>
      </c>
      <c r="BA124" s="510" t="str">
        <f t="array" aca="1" ref="BA124" ca="1">IFERROR(IF(AS124&lt;=$AB$2+$AN$2,"-",INDEX(Calculation_Tab,SMALL(ROW(Direct_Denaturation)*(Direct_Denaturation&lt;&gt;"-"),COUNTIF(Direct_Denaturation,"-")+ROW()-3-$AB$2-$AN$2)-9,34)),"-")</f>
        <v>-</v>
      </c>
      <c r="BB124" s="510" t="str">
        <f t="array" aca="1" ref="BB124" ca="1">IFERROR(IF(AS124&lt;=$AB$2+$AN$2,"-",INDEX(Calculation_Tab,SMALL(ROW(Direct_Denaturation)*(Direct_Denaturation&lt;&gt;"-"),COUNTIF(Direct_Denaturation,"-")+ROW()-3-$AB$2-$AN$2)-9,33)),"-")</f>
        <v>-</v>
      </c>
      <c r="BC124" s="510" t="str">
        <f t="array" aca="1" ref="BC124" ca="1">IFERROR(IF(AS124&lt;=$AB$2+$AN$2,"-",INDEX(Calculation_Tab,SMALL(ROW(Direct_Denaturation)*(Direct_Denaturation&lt;&gt;"-"),COUNTIF(Direct_Denaturation,"-")+ROW()-3-$AB$2-$AN$2)-9,35)),"-")</f>
        <v>-</v>
      </c>
      <c r="BD124" s="511" t="str">
        <f t="shared" ca="1" si="52"/>
        <v>-</v>
      </c>
      <c r="BK124" s="542" t="s">
        <v>82</v>
      </c>
      <c r="BL124" s="542" t="s">
        <v>82</v>
      </c>
      <c r="BM124" s="487" t="str">
        <f t="array" aca="1" ref="BM124" ca="1">IFERROR(INDEX(Calculation_Tab,SMALL(ROW(ToPool)*(ToPool&lt;&gt;"-"),COUNTIF(ToPool,"-")+ROW()-3)-9,3),"-")</f>
        <v>-</v>
      </c>
      <c r="BN124" s="378" t="str">
        <f t="shared" ca="1" si="55"/>
        <v>-</v>
      </c>
      <c r="BO124" s="378" t="str">
        <f t="shared" ca="1" si="56"/>
        <v>-</v>
      </c>
      <c r="BP124" s="523" t="str">
        <f t="shared" ca="1" si="57"/>
        <v>-</v>
      </c>
      <c r="BQ124" s="378" t="str">
        <f t="array" aca="1" ref="BQ124" ca="1">IFERROR(INDEX(BE:BG,MATCH(INDEX(Calculation_Tab,SMALL(ROW(ToPool)*(ToPool&lt;&gt;"-"),COUNTIF(ToPool,"-")+ROW()-3)-9,9),BG:BG,0),2),"-")</f>
        <v>-</v>
      </c>
      <c r="BR124" s="510" t="str">
        <f t="shared" ca="1" si="58"/>
        <v>-</v>
      </c>
      <c r="BS124" s="511" t="str">
        <f t="shared" ca="1" si="59"/>
        <v>-</v>
      </c>
      <c r="BT124" s="543" t="s">
        <v>82</v>
      </c>
      <c r="BU124" s="487" t="str">
        <f t="shared" ca="1" si="63"/>
        <v>-</v>
      </c>
      <c r="BV124" s="487" t="str">
        <f t="array" aca="1" ref="BV12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24" s="378" t="str">
        <f t="shared" ca="1" si="60"/>
        <v>-</v>
      </c>
      <c r="BX124" s="378" t="str">
        <f t="shared" ca="1" si="61"/>
        <v>-</v>
      </c>
      <c r="BY124" s="510" t="str">
        <f ca="1">IFERROR(ROUND(INDEX(Cluster,MATCH(IF(LEFT(BV124,4)="Pool",INDEX(Cluster,MATCH(INDEX(Calculation_Tab,MATCH(INDEX($BE$4:$BJ$99,MATCH(BV124,$BE$4:$BE$99,0),3),Flow_Cell_Lane,0),3),Cluster!$F$29:$F$412,0),6),BV124),Identifier_Cluster,0),19)*IF(LEFT(BV124,4)="pool",IF(LEN(INDEX($BE$4:$BJ$99,MATCH(BV124,$BE$4:$BE$99,0),3))=10,2,IF(LEN(INDEX($BE$4:$BJ$99,MATCH(BV124,$BE$4:$BE$99,0),3))&gt;10,LEN(INDEX($BE$4:$BJ$99,MATCH(BV124,$BE$4:$BE$99,0),3))-8,1)),1)*IF(LEFT(BV124,4)="pool",IF(INDEX($BE$4:$BJ$99,MATCH(BV124,$BE$4:$BE$99,0),6)&lt;1,1,INDEX($BE$4:$BJ$99,MATCH(BV124,$BE$4:$BE$99,0),6)),INDEX(Calculation_Tab,MATCH(BV124,Identifier,0),10)),1)*(1+Calculation!$Q$6),"-")</f>
        <v>-</v>
      </c>
      <c r="BZ124" s="378" t="str">
        <f ca="1">IFERROR((0.5/50)*CE124/Calculation!$AG$6*(IF(LEFT(BV124,4)="Pool",IF(LEN(INDEX($BE$4:$BJ$99,MATCH(BV124,$BE$4:$BE$99,0),3))=10,2,IF(LEN(INDEX($BE$4:$BJ$99,MATCH(BV124,$BE$4:$BE$99,0),3))&gt;10,LEN(INDEX($BE$4:$BJ$99,MATCH(BV124,$BE$4:$BE$99,0),3))-8,1)),IF(INDEX(Calculation_Tab,MATCH(BV124,Identifier,0),10)&gt;1,INDEX(Calculation_Tab,MATCH(BV124,Identifier,0),10),1)))*(1+Calculation!$Q$6),"-")</f>
        <v>-</v>
      </c>
      <c r="CA124" s="510" t="str">
        <f ca="1">IFERROR(IF((BZ124*Calculation!$AG$6/0.05)-SUM(BY124:BZ124,CC124)&gt;0,(BZ124*Calculation!$AG$6/0.05)-SUM(BY124:BZ124,CC124),0),"-")</f>
        <v>-</v>
      </c>
      <c r="CB124" s="510" t="str">
        <f ca="1">IFERROR(5/50*CE124*(IF(LEFT(BV124,4)="Pool",IF(LEN(INDEX($BE$4:$BJ$99,MATCH(BV124,$BE$4:$BE$99,0),3))=10,2,IF(LEN(INDEX($BE$4:$BJ$99,MATCH(BV124,$BE$4:$BE$99,0),3))&gt;10,LEN(INDEX($BE$4:$BJ$99,MATCH(BV124,$BE$4:$BE$99,0),3))-8,1)),IF(INDEX(Calculation_Tab,MATCH(BV124,Identifier,0),10)&gt;1,INDEX(Calculation_Tab,MATCH(BV124,Identifier,0),10),1)))*(1+Calculation!$Q$6),"-")</f>
        <v>-</v>
      </c>
      <c r="CC124" s="508" t="str">
        <f ca="1">IFERROR(ROUND(INDEX(Cluster,MATCH(IF(LEFT(BV124,4)="Pool",INDEX(Cluster,MATCH(INDEX(Calculation_Tab,MATCH(INDEX($BE$4:$BJ$99,MATCH(BV124,$BE$4:$BE$99,0),3),Flow_Cell_Lane,0),3),Cluster!$F$29:$F$412,0),6),BV124),Identifier_Cluster,0),20)*IF(LEFT(BV124,4)="pool",IF(LEN(INDEX($BE$4:$BJ$99,MATCH(BV124,$BE$4:$BE$99,0),3))=10,2,IF(LEN(INDEX($BE$4:$BJ$99,MATCH(BV124,$BE$4:$BE$99,0),3))&gt;10,LEN(INDEX($BE$4:$BJ$99,MATCH(BV124,$BE$4:$BE$99,0),3))-8,1)),1)*IF(LEFT(BV124,4)="pool",IF(INDEX($BE$4:$BJ$99,MATCH(BV124,$BE$4:$BE$99,0),6)&lt;1,1,INDEX($BE$4:$BJ$99,MATCH(BV124,$BE$4:$BE$99,0),6)),INDEX(Calculation_Tab,MATCH(BV124,Identifier,0),10)),1)*(1+Calculation!$Q$6),"-")</f>
        <v>-</v>
      </c>
      <c r="CD124" s="509" t="str">
        <f ca="1">IFERROR(INDEX(Cluster!AC:AD,MATCH(IF(LEFT(BV124,4)="Pool",INDEX(Cluster!$D$29:$AA$412,MATCH(INDEX(Calculation_Tab,MATCH(INDEX($BE$4:$BJ$99,MATCH(BV124,$BE$4:$BE$99,0),3),Flow_Cell_Lane,0),3),Cluster!$F$29:$F$412,0),24),INDEX(Cluster!$D$29:$AA$412,MATCH(BV124,Cluster!$F$29:$F$412,0),24)),Cluster!AC:AC,0),2),"-")</f>
        <v>-</v>
      </c>
      <c r="CE124" s="378" t="str">
        <f ca="1">IFERROR(IF(BV124&lt;&gt;"-",Calculation!$AK$6,"-"),"-")</f>
        <v>-</v>
      </c>
      <c r="CF124" s="378" t="str">
        <f ca="1">IF(OR(LEFT(ListAndConversion!BW124,3)="Dil",LEFT(ListAndConversion!BW124,3)="Poo"),ListAndConversion!$BT$4,IF(LEFT(ListAndConversion!BW124,3)="Sou",INDEX(ListAndConversion!$AT$3:$AV$387,MATCH(ListAndConversion!BV124,ListAndConversion!$AV$3:$AV$387,0),1),"-"))</f>
        <v>-</v>
      </c>
      <c r="CG124" s="498" t="str">
        <f ca="1">IF(OR(LEFT(ListAndConversion!BW124,3)="Dil",LEFT(ListAndConversion!BW124,3)="Poo"),ListAndConversion!BU124,IF(LEFT(ListAndConversion!BW124,3)="Sou",INDEX(ListAndConversion!$AT$4:$AV$387,MATCH(ListAndConversion!BV124,ListAndConversion!$AV$4:$AV$387,0),2),"-"))</f>
        <v>-</v>
      </c>
      <c r="CH124" s="378"/>
      <c r="CI124" s="487" t="str">
        <f t="shared" ca="1" si="62"/>
        <v>-</v>
      </c>
      <c r="CJ124" s="378" t="str">
        <f t="shared" ref="CJ124:CQ133" ca="1" si="78">IFERROR(INDEX($R$3:$U$98,MATCH(INDEX($F$3:$M$387,MATCH($CI124,$E$3:$E$386,0),CJ$3),$S$3:$S$98,0),4),"-")</f>
        <v>-</v>
      </c>
      <c r="CK124" s="378" t="str">
        <f t="shared" ca="1" si="78"/>
        <v>-</v>
      </c>
      <c r="CL124" s="378" t="str">
        <f t="shared" ca="1" si="78"/>
        <v>-</v>
      </c>
      <c r="CM124" s="378" t="str">
        <f t="shared" ca="1" si="78"/>
        <v>-</v>
      </c>
      <c r="CN124" s="378" t="str">
        <f t="shared" ca="1" si="78"/>
        <v>-</v>
      </c>
      <c r="CO124" s="378" t="str">
        <f t="shared" ca="1" si="78"/>
        <v>-</v>
      </c>
      <c r="CP124" s="378" t="str">
        <f t="shared" ca="1" si="78"/>
        <v>-</v>
      </c>
      <c r="CQ124" s="378" t="str">
        <f t="shared" ca="1" si="78"/>
        <v>-</v>
      </c>
      <c r="CR124" s="510" t="str">
        <f ca="1">IFERROR(IF(LEFT(BW124,3)="Poo",INDEX($BE$4:$BJ$99,MATCH(CI124,$BG$4:$BG$99,0),6)*((15/50))*Calculation!$AK$6,INDEX(Calculation_Tab,MATCH(BV124,Identifier,0),10)/(IF(LEN(INDEX(Calculation_Tab,MATCH(BV124,Identifier,0),9))&gt;8,LEN(INDEX(Calculation_Tab,MATCH(BV124,Identifier,0),9))-8,1))*((15/50)*Calculation!$AK$6)),"-")</f>
        <v>-</v>
      </c>
      <c r="CS124" s="498" t="str">
        <f ca="1">IF(CI124="-","-",IF(COUNTIF($CI$3:CI124,CI124)&gt;1,0,IFERROR((35/50)*Calculation!$AK$6,"-")))</f>
        <v>-</v>
      </c>
    </row>
    <row r="125" spans="4:97" x14ac:dyDescent="0.5">
      <c r="D125" s="487" t="e">
        <f t="shared" si="44"/>
        <v>#DIV/0!</v>
      </c>
      <c r="E125" s="496" t="e">
        <f t="array" ref="E125">IF(IF((ROW(E125)-3)&lt;(ListAndConversion!$A$15),INDEX(Flow_Cell_Lane,MIN(IF(COUNTIF($E$2:E124,Flow_Cell_Lane)=0,ROW(Flow_Cell_Lane)-9))),"-")="","-",IF((ROW(E125)-3)&lt;(ListAndConversion!$A$15),INDEX(Flow_Cell_Lane,MIN(IF(COUNTIF($E$2:E124,Flow_Cell_Lane)=0,ROW(Flow_Cell_Lane)-9))),"-"))</f>
        <v>#DIV/0!</v>
      </c>
      <c r="F125" s="378" t="e">
        <f t="shared" si="45"/>
        <v>#DIV/0!</v>
      </c>
      <c r="G125" s="378" t="e">
        <f t="shared" si="77"/>
        <v>#DIV/0!</v>
      </c>
      <c r="H125" s="378" t="e">
        <f t="shared" si="77"/>
        <v>#DIV/0!</v>
      </c>
      <c r="I125" s="378" t="e">
        <f t="shared" si="77"/>
        <v>#DIV/0!</v>
      </c>
      <c r="J125" s="378" t="e">
        <f t="shared" si="77"/>
        <v>#DIV/0!</v>
      </c>
      <c r="K125" s="378" t="e">
        <f t="shared" si="77"/>
        <v>#DIV/0!</v>
      </c>
      <c r="L125" s="378" t="e">
        <f t="shared" si="77"/>
        <v>#DIV/0!</v>
      </c>
      <c r="M125" s="378" t="e">
        <f t="shared" si="77"/>
        <v>#DIV/0!</v>
      </c>
      <c r="N125" s="497" t="e">
        <f t="shared" si="46"/>
        <v>#DIV/0!</v>
      </c>
      <c r="O125" s="497" t="str">
        <f t="array" ref="O125">IFERROR(INDEX(Calculation!I:AN,MATCH(ListAndConversion!E125,Calculation!I:I,0),31),"-")</f>
        <v>-</v>
      </c>
      <c r="P125" s="498">
        <f>IF(COUNTIFS(Calculation!$I$10:$I$393,E125,Direct_Denaturation,"-")&lt;&gt;1,COUNTIFS(Calculation!$I$10:$I$393,E125,Direct_Denaturation,"-"),0)</f>
        <v>0</v>
      </c>
      <c r="V125" s="542" t="s">
        <v>82</v>
      </c>
      <c r="W125" s="542" t="s">
        <v>82</v>
      </c>
      <c r="X125" s="542" t="s">
        <v>82</v>
      </c>
      <c r="Y125" s="542" t="s">
        <v>82</v>
      </c>
      <c r="Z125" s="542" t="s">
        <v>82</v>
      </c>
      <c r="AA125" s="542" t="s">
        <v>82</v>
      </c>
      <c r="AB125" s="542" t="s">
        <v>82</v>
      </c>
      <c r="AC125" s="542" t="s">
        <v>82</v>
      </c>
      <c r="AD125" s="542" t="s">
        <v>82</v>
      </c>
      <c r="AE125" s="542" t="s">
        <v>82</v>
      </c>
      <c r="AF125" s="542" t="s">
        <v>82</v>
      </c>
      <c r="AG125" s="542" t="s">
        <v>82</v>
      </c>
      <c r="AH125" s="9"/>
      <c r="AI125" s="487">
        <v>122</v>
      </c>
      <c r="AJ125" s="497" t="s">
        <v>161</v>
      </c>
      <c r="AK125" s="378">
        <v>26</v>
      </c>
      <c r="AL125" s="378" t="str">
        <f t="shared" ca="1" si="49"/>
        <v>-</v>
      </c>
      <c r="AM125" s="378" t="str">
        <f t="array" aca="1" ref="AM125" ca="1">IFERROR(IF(AI125&lt;=$AB$2,"-",INDEX(Calculation_Tab,SMALL(ROW(Main_Dil)*(Main_Dil&lt;&gt;"-"),COUNTIF(Main_Dil,"-")+ROW()-3-$AB$2)-9,5)),"-")</f>
        <v>-</v>
      </c>
      <c r="AN125" s="378" t="str">
        <f t="array" aca="1" ref="AN125" ca="1">IFERROR(IF(AI125&lt;=$AB$2,"-",INDEX($A$3:$B$12,MATCH(INDEX(Calculation_Tab,SMALL(ROW(Main_Dil)*(Main_Dil&lt;&gt;"-"),COUNTIF(Main_Dil,"-")+ROW()-3-$AB$2)-9,5),$A$3:$A$12,0),2)),"-")</f>
        <v>-</v>
      </c>
      <c r="AO125" s="378" t="str">
        <f t="array" aca="1" ref="AO125" ca="1">IFERROR(IF(AI125&lt;=$AB$2,"-",INDEX(Coordinate,MATCH(INDEX(Calculation_Tab,SMALL(ROW(Main_Dil)*(Main_Dil&lt;&gt;"-"),COUNTIF(Main_Dil,"-")+ROW()-3-$AB$2)-9,6),$X$4:$X$99,0),2)),"-")</f>
        <v>-</v>
      </c>
      <c r="AP125" s="510" t="str">
        <f t="array" aca="1" ref="AP125" ca="1">IFERROR(IF(AI125&lt;=$AB$2,"-",INDEX(Calculation_Tab,SMALL(ROW(Main_Dil)*(Main_Dil&lt;&gt;"-"),COUNTIF(Main_Dil,"-")+ROW()-3-$AB$2)-9,21)),"-")</f>
        <v>-</v>
      </c>
      <c r="AQ125" s="511" t="str">
        <f t="array" aca="1" ref="AQ125" ca="1">IFERROR(IF(AI125&lt;=$AB$2,"-",INDEX(Calculation_Tab,SMALL(ROW(Main_Dil)*(Main_Dil&lt;&gt;"-"),COUNTIF(Main_Dil,"-")+ROW()-3-$AB$2)-9,22)),"-")</f>
        <v>-</v>
      </c>
      <c r="AR125" s="487" t="str">
        <f t="shared" ca="1" si="50"/>
        <v>-</v>
      </c>
      <c r="AS125" s="378">
        <v>122</v>
      </c>
      <c r="AT125" s="497" t="s">
        <v>161</v>
      </c>
      <c r="AU125" s="498">
        <v>26</v>
      </c>
      <c r="AV125" s="378" t="str">
        <f t="shared" ca="1" si="51"/>
        <v>-</v>
      </c>
      <c r="AW125" s="378" t="str">
        <f t="array" aca="1" ref="AW125" ca="1">IFERROR(IF(AS125&lt;=$AB$2+$AN$2,"-",INDEX(Calculation_Tab,SMALL(ROW(Direct_Denaturation)*(Direct_Denaturation&lt;&gt;"-"),COUNTIF(Direct_Denaturation,"-")+ROW()-3-$AB$2-$AN$2)-9,5)),"-")</f>
        <v>-</v>
      </c>
      <c r="AX125" s="378" t="str">
        <f t="array" aca="1" ref="AX125" ca="1">IFERROR(IF(AS125&lt;=$AB$2+$AN$2,"-",INDEX($A$3:$B$12,MATCH(INDEX(Calculation_Tab,SMALL(ROW(Direct_Denaturation)*(Direct_Denaturation&lt;&gt;"-"),COUNTIF(Direct_Denaturation,"-")+ROW()-3-$AB$2-$AN$2)-9,5),$A$3:$A$12,0),2)),"-")</f>
        <v>-</v>
      </c>
      <c r="AY125" s="378" t="str">
        <f t="array" aca="1" ref="AY125" ca="1">IFERROR(IF(AS125&lt;=$AB$2+$AN$2,"-",INDEX(Coordinate,MATCH(INDEX(Calculation_Tab,SMALL(ROW(Direct_Denaturation)*(Direct_Denaturation&lt;&gt;"-"),COUNTIF(Direct_Denaturation,"-")+ROW()-3-$AB$2-$AN$2)-9,6),$X$4:$X$99,0),2)),"-")</f>
        <v>-</v>
      </c>
      <c r="AZ125" s="510" t="str">
        <f t="array" aca="1" ref="AZ125" ca="1">IFERROR(IF(AS125&lt;=$AB$2+$AN$2,"-",INDEX(Calculation_Tab,SMALL(ROW(Direct_Denaturation)*(Direct_Denaturation&lt;&gt;"-"),COUNTIF(Direct_Denaturation,"-")+ROW()-3-$AB$2-$AN$2)-9,32)),"-")</f>
        <v>-</v>
      </c>
      <c r="BA125" s="510" t="str">
        <f t="array" aca="1" ref="BA125" ca="1">IFERROR(IF(AS125&lt;=$AB$2+$AN$2,"-",INDEX(Calculation_Tab,SMALL(ROW(Direct_Denaturation)*(Direct_Denaturation&lt;&gt;"-"),COUNTIF(Direct_Denaturation,"-")+ROW()-3-$AB$2-$AN$2)-9,34)),"-")</f>
        <v>-</v>
      </c>
      <c r="BB125" s="510" t="str">
        <f t="array" aca="1" ref="BB125" ca="1">IFERROR(IF(AS125&lt;=$AB$2+$AN$2,"-",INDEX(Calculation_Tab,SMALL(ROW(Direct_Denaturation)*(Direct_Denaturation&lt;&gt;"-"),COUNTIF(Direct_Denaturation,"-")+ROW()-3-$AB$2-$AN$2)-9,33)),"-")</f>
        <v>-</v>
      </c>
      <c r="BC125" s="510" t="str">
        <f t="array" aca="1" ref="BC125" ca="1">IFERROR(IF(AS125&lt;=$AB$2+$AN$2,"-",INDEX(Calculation_Tab,SMALL(ROW(Direct_Denaturation)*(Direct_Denaturation&lt;&gt;"-"),COUNTIF(Direct_Denaturation,"-")+ROW()-3-$AB$2-$AN$2)-9,35)),"-")</f>
        <v>-</v>
      </c>
      <c r="BD125" s="511" t="str">
        <f t="shared" ca="1" si="52"/>
        <v>-</v>
      </c>
      <c r="BK125" s="542" t="s">
        <v>82</v>
      </c>
      <c r="BL125" s="542" t="s">
        <v>82</v>
      </c>
      <c r="BM125" s="487" t="str">
        <f t="array" aca="1" ref="BM125" ca="1">IFERROR(INDEX(Calculation_Tab,SMALL(ROW(ToPool)*(ToPool&lt;&gt;"-"),COUNTIF(ToPool,"-")+ROW()-3)-9,3),"-")</f>
        <v>-</v>
      </c>
      <c r="BN125" s="378" t="str">
        <f t="shared" ca="1" si="55"/>
        <v>-</v>
      </c>
      <c r="BO125" s="378" t="str">
        <f t="shared" ca="1" si="56"/>
        <v>-</v>
      </c>
      <c r="BP125" s="523" t="str">
        <f t="shared" ca="1" si="57"/>
        <v>-</v>
      </c>
      <c r="BQ125" s="378" t="str">
        <f t="array" aca="1" ref="BQ125" ca="1">IFERROR(INDEX(BE:BG,MATCH(INDEX(Calculation_Tab,SMALL(ROW(ToPool)*(ToPool&lt;&gt;"-"),COUNTIF(ToPool,"-")+ROW()-3)-9,9),BG:BG,0),2),"-")</f>
        <v>-</v>
      </c>
      <c r="BR125" s="510" t="str">
        <f t="shared" ca="1" si="58"/>
        <v>-</v>
      </c>
      <c r="BS125" s="511" t="str">
        <f t="shared" ca="1" si="59"/>
        <v>-</v>
      </c>
      <c r="BT125" s="543" t="s">
        <v>82</v>
      </c>
      <c r="BU125" s="487" t="str">
        <f t="shared" ca="1" si="63"/>
        <v>-</v>
      </c>
      <c r="BV125" s="487" t="str">
        <f t="array" aca="1" ref="BV12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25" s="378" t="str">
        <f t="shared" ca="1" si="60"/>
        <v>-</v>
      </c>
      <c r="BX125" s="378" t="str">
        <f t="shared" ca="1" si="61"/>
        <v>-</v>
      </c>
      <c r="BY125" s="510" t="str">
        <f ca="1">IFERROR(ROUND(INDEX(Cluster,MATCH(IF(LEFT(BV125,4)="Pool",INDEX(Cluster,MATCH(INDEX(Calculation_Tab,MATCH(INDEX($BE$4:$BJ$99,MATCH(BV125,$BE$4:$BE$99,0),3),Flow_Cell_Lane,0),3),Cluster!$F$29:$F$412,0),6),BV125),Identifier_Cluster,0),19)*IF(LEFT(BV125,4)="pool",IF(LEN(INDEX($BE$4:$BJ$99,MATCH(BV125,$BE$4:$BE$99,0),3))=10,2,IF(LEN(INDEX($BE$4:$BJ$99,MATCH(BV125,$BE$4:$BE$99,0),3))&gt;10,LEN(INDEX($BE$4:$BJ$99,MATCH(BV125,$BE$4:$BE$99,0),3))-8,1)),1)*IF(LEFT(BV125,4)="pool",IF(INDEX($BE$4:$BJ$99,MATCH(BV125,$BE$4:$BE$99,0),6)&lt;1,1,INDEX($BE$4:$BJ$99,MATCH(BV125,$BE$4:$BE$99,0),6)),INDEX(Calculation_Tab,MATCH(BV125,Identifier,0),10)),1)*(1+Calculation!$Q$6),"-")</f>
        <v>-</v>
      </c>
      <c r="BZ125" s="378" t="str">
        <f ca="1">IFERROR((0.5/50)*CE125/Calculation!$AG$6*(IF(LEFT(BV125,4)="Pool",IF(LEN(INDEX($BE$4:$BJ$99,MATCH(BV125,$BE$4:$BE$99,0),3))=10,2,IF(LEN(INDEX($BE$4:$BJ$99,MATCH(BV125,$BE$4:$BE$99,0),3))&gt;10,LEN(INDEX($BE$4:$BJ$99,MATCH(BV125,$BE$4:$BE$99,0),3))-8,1)),IF(INDEX(Calculation_Tab,MATCH(BV125,Identifier,0),10)&gt;1,INDEX(Calculation_Tab,MATCH(BV125,Identifier,0),10),1)))*(1+Calculation!$Q$6),"-")</f>
        <v>-</v>
      </c>
      <c r="CA125" s="510" t="str">
        <f ca="1">IFERROR(IF((BZ125*Calculation!$AG$6/0.05)-SUM(BY125:BZ125,CC125)&gt;0,(BZ125*Calculation!$AG$6/0.05)-SUM(BY125:BZ125,CC125),0),"-")</f>
        <v>-</v>
      </c>
      <c r="CB125" s="510" t="str">
        <f ca="1">IFERROR(5/50*CE125*(IF(LEFT(BV125,4)="Pool",IF(LEN(INDEX($BE$4:$BJ$99,MATCH(BV125,$BE$4:$BE$99,0),3))=10,2,IF(LEN(INDEX($BE$4:$BJ$99,MATCH(BV125,$BE$4:$BE$99,0),3))&gt;10,LEN(INDEX($BE$4:$BJ$99,MATCH(BV125,$BE$4:$BE$99,0),3))-8,1)),IF(INDEX(Calculation_Tab,MATCH(BV125,Identifier,0),10)&gt;1,INDEX(Calculation_Tab,MATCH(BV125,Identifier,0),10),1)))*(1+Calculation!$Q$6),"-")</f>
        <v>-</v>
      </c>
      <c r="CC125" s="508" t="str">
        <f ca="1">IFERROR(ROUND(INDEX(Cluster,MATCH(IF(LEFT(BV125,4)="Pool",INDEX(Cluster,MATCH(INDEX(Calculation_Tab,MATCH(INDEX($BE$4:$BJ$99,MATCH(BV125,$BE$4:$BE$99,0),3),Flow_Cell_Lane,0),3),Cluster!$F$29:$F$412,0),6),BV125),Identifier_Cluster,0),20)*IF(LEFT(BV125,4)="pool",IF(LEN(INDEX($BE$4:$BJ$99,MATCH(BV125,$BE$4:$BE$99,0),3))=10,2,IF(LEN(INDEX($BE$4:$BJ$99,MATCH(BV125,$BE$4:$BE$99,0),3))&gt;10,LEN(INDEX($BE$4:$BJ$99,MATCH(BV125,$BE$4:$BE$99,0),3))-8,1)),1)*IF(LEFT(BV125,4)="pool",IF(INDEX($BE$4:$BJ$99,MATCH(BV125,$BE$4:$BE$99,0),6)&lt;1,1,INDEX($BE$4:$BJ$99,MATCH(BV125,$BE$4:$BE$99,0),6)),INDEX(Calculation_Tab,MATCH(BV125,Identifier,0),10)),1)*(1+Calculation!$Q$6),"-")</f>
        <v>-</v>
      </c>
      <c r="CD125" s="509" t="str">
        <f ca="1">IFERROR(INDEX(Cluster!AC:AD,MATCH(IF(LEFT(BV125,4)="Pool",INDEX(Cluster!$D$29:$AA$412,MATCH(INDEX(Calculation_Tab,MATCH(INDEX($BE$4:$BJ$99,MATCH(BV125,$BE$4:$BE$99,0),3),Flow_Cell_Lane,0),3),Cluster!$F$29:$F$412,0),24),INDEX(Cluster!$D$29:$AA$412,MATCH(BV125,Cluster!$F$29:$F$412,0),24)),Cluster!AC:AC,0),2),"-")</f>
        <v>-</v>
      </c>
      <c r="CE125" s="378" t="str">
        <f ca="1">IFERROR(IF(BV125&lt;&gt;"-",Calculation!$AK$6,"-"),"-")</f>
        <v>-</v>
      </c>
      <c r="CF125" s="378" t="str">
        <f ca="1">IF(OR(LEFT(ListAndConversion!BW125,3)="Dil",LEFT(ListAndConversion!BW125,3)="Poo"),ListAndConversion!$BT$4,IF(LEFT(ListAndConversion!BW125,3)="Sou",INDEX(ListAndConversion!$AT$3:$AV$387,MATCH(ListAndConversion!BV125,ListAndConversion!$AV$3:$AV$387,0),1),"-"))</f>
        <v>-</v>
      </c>
      <c r="CG125" s="498" t="str">
        <f ca="1">IF(OR(LEFT(ListAndConversion!BW125,3)="Dil",LEFT(ListAndConversion!BW125,3)="Poo"),ListAndConversion!BU125,IF(LEFT(ListAndConversion!BW125,3)="Sou",INDEX(ListAndConversion!$AT$4:$AV$387,MATCH(ListAndConversion!BV125,ListAndConversion!$AV$4:$AV$387,0),2),"-"))</f>
        <v>-</v>
      </c>
      <c r="CH125" s="378"/>
      <c r="CI125" s="487" t="str">
        <f t="shared" ca="1" si="62"/>
        <v>-</v>
      </c>
      <c r="CJ125" s="378" t="str">
        <f t="shared" ca="1" si="78"/>
        <v>-</v>
      </c>
      <c r="CK125" s="378" t="str">
        <f t="shared" ca="1" si="78"/>
        <v>-</v>
      </c>
      <c r="CL125" s="378" t="str">
        <f t="shared" ca="1" si="78"/>
        <v>-</v>
      </c>
      <c r="CM125" s="378" t="str">
        <f t="shared" ca="1" si="78"/>
        <v>-</v>
      </c>
      <c r="CN125" s="378" t="str">
        <f t="shared" ca="1" si="78"/>
        <v>-</v>
      </c>
      <c r="CO125" s="378" t="str">
        <f t="shared" ca="1" si="78"/>
        <v>-</v>
      </c>
      <c r="CP125" s="378" t="str">
        <f t="shared" ca="1" si="78"/>
        <v>-</v>
      </c>
      <c r="CQ125" s="378" t="str">
        <f t="shared" ca="1" si="78"/>
        <v>-</v>
      </c>
      <c r="CR125" s="510" t="str">
        <f ca="1">IFERROR(IF(LEFT(BW125,3)="Poo",INDEX($BE$4:$BJ$99,MATCH(CI125,$BG$4:$BG$99,0),6)*((15/50))*Calculation!$AK$6,INDEX(Calculation_Tab,MATCH(BV125,Identifier,0),10)/(IF(LEN(INDEX(Calculation_Tab,MATCH(BV125,Identifier,0),9))&gt;8,LEN(INDEX(Calculation_Tab,MATCH(BV125,Identifier,0),9))-8,1))*((15/50)*Calculation!$AK$6)),"-")</f>
        <v>-</v>
      </c>
      <c r="CS125" s="498" t="str">
        <f ca="1">IF(CI125="-","-",IF(COUNTIF($CI$3:CI125,CI125)&gt;1,0,IFERROR((35/50)*Calculation!$AK$6,"-")))</f>
        <v>-</v>
      </c>
    </row>
    <row r="126" spans="4:97" x14ac:dyDescent="0.5">
      <c r="D126" s="487" t="e">
        <f t="shared" si="44"/>
        <v>#DIV/0!</v>
      </c>
      <c r="E126" s="496" t="e">
        <f t="array" ref="E126">IF(IF((ROW(E126)-3)&lt;(ListAndConversion!$A$15),INDEX(Flow_Cell_Lane,MIN(IF(COUNTIF($E$2:E125,Flow_Cell_Lane)=0,ROW(Flow_Cell_Lane)-9))),"-")="","-",IF((ROW(E126)-3)&lt;(ListAndConversion!$A$15),INDEX(Flow_Cell_Lane,MIN(IF(COUNTIF($E$2:E125,Flow_Cell_Lane)=0,ROW(Flow_Cell_Lane)-9))),"-"))</f>
        <v>#DIV/0!</v>
      </c>
      <c r="F126" s="378" t="e">
        <f t="shared" si="45"/>
        <v>#DIV/0!</v>
      </c>
      <c r="G126" s="378" t="e">
        <f t="shared" si="77"/>
        <v>#DIV/0!</v>
      </c>
      <c r="H126" s="378" t="e">
        <f t="shared" si="77"/>
        <v>#DIV/0!</v>
      </c>
      <c r="I126" s="378" t="e">
        <f t="shared" si="77"/>
        <v>#DIV/0!</v>
      </c>
      <c r="J126" s="378" t="e">
        <f t="shared" si="77"/>
        <v>#DIV/0!</v>
      </c>
      <c r="K126" s="378" t="e">
        <f t="shared" si="77"/>
        <v>#DIV/0!</v>
      </c>
      <c r="L126" s="378" t="e">
        <f t="shared" si="77"/>
        <v>#DIV/0!</v>
      </c>
      <c r="M126" s="378" t="e">
        <f t="shared" si="77"/>
        <v>#DIV/0!</v>
      </c>
      <c r="N126" s="497" t="e">
        <f t="shared" si="46"/>
        <v>#DIV/0!</v>
      </c>
      <c r="O126" s="497" t="str">
        <f t="array" ref="O126">IFERROR(INDEX(Calculation!I:AN,MATCH(ListAndConversion!E126,Calculation!I:I,0),31),"-")</f>
        <v>-</v>
      </c>
      <c r="P126" s="498">
        <f>IF(COUNTIFS(Calculation!$I$10:$I$393,E126,Direct_Denaturation,"-")&lt;&gt;1,COUNTIFS(Calculation!$I$10:$I$393,E126,Direct_Denaturation,"-"),0)</f>
        <v>0</v>
      </c>
      <c r="V126" s="542" t="s">
        <v>82</v>
      </c>
      <c r="W126" s="542" t="s">
        <v>82</v>
      </c>
      <c r="X126" s="542" t="s">
        <v>82</v>
      </c>
      <c r="Y126" s="542" t="s">
        <v>82</v>
      </c>
      <c r="Z126" s="542" t="s">
        <v>82</v>
      </c>
      <c r="AA126" s="542" t="s">
        <v>82</v>
      </c>
      <c r="AB126" s="542" t="s">
        <v>82</v>
      </c>
      <c r="AC126" s="542" t="s">
        <v>82</v>
      </c>
      <c r="AD126" s="542" t="s">
        <v>82</v>
      </c>
      <c r="AE126" s="542" t="s">
        <v>82</v>
      </c>
      <c r="AF126" s="542" t="s">
        <v>82</v>
      </c>
      <c r="AG126" s="542" t="s">
        <v>82</v>
      </c>
      <c r="AH126" s="9"/>
      <c r="AI126" s="487">
        <v>123</v>
      </c>
      <c r="AJ126" s="497" t="s">
        <v>161</v>
      </c>
      <c r="AK126" s="378">
        <v>27</v>
      </c>
      <c r="AL126" s="378" t="str">
        <f t="shared" ca="1" si="49"/>
        <v>-</v>
      </c>
      <c r="AM126" s="378" t="str">
        <f t="array" aca="1" ref="AM126" ca="1">IFERROR(IF(AI126&lt;=$AB$2,"-",INDEX(Calculation_Tab,SMALL(ROW(Main_Dil)*(Main_Dil&lt;&gt;"-"),COUNTIF(Main_Dil,"-")+ROW()-3-$AB$2)-9,5)),"-")</f>
        <v>-</v>
      </c>
      <c r="AN126" s="378" t="str">
        <f t="array" aca="1" ref="AN126" ca="1">IFERROR(IF(AI126&lt;=$AB$2,"-",INDEX($A$3:$B$12,MATCH(INDEX(Calculation_Tab,SMALL(ROW(Main_Dil)*(Main_Dil&lt;&gt;"-"),COUNTIF(Main_Dil,"-")+ROW()-3-$AB$2)-9,5),$A$3:$A$12,0),2)),"-")</f>
        <v>-</v>
      </c>
      <c r="AO126" s="378" t="str">
        <f t="array" aca="1" ref="AO126" ca="1">IFERROR(IF(AI126&lt;=$AB$2,"-",INDEX(Coordinate,MATCH(INDEX(Calculation_Tab,SMALL(ROW(Main_Dil)*(Main_Dil&lt;&gt;"-"),COUNTIF(Main_Dil,"-")+ROW()-3-$AB$2)-9,6),$X$4:$X$99,0),2)),"-")</f>
        <v>-</v>
      </c>
      <c r="AP126" s="510" t="str">
        <f t="array" aca="1" ref="AP126" ca="1">IFERROR(IF(AI126&lt;=$AB$2,"-",INDEX(Calculation_Tab,SMALL(ROW(Main_Dil)*(Main_Dil&lt;&gt;"-"),COUNTIF(Main_Dil,"-")+ROW()-3-$AB$2)-9,21)),"-")</f>
        <v>-</v>
      </c>
      <c r="AQ126" s="511" t="str">
        <f t="array" aca="1" ref="AQ126" ca="1">IFERROR(IF(AI126&lt;=$AB$2,"-",INDEX(Calculation_Tab,SMALL(ROW(Main_Dil)*(Main_Dil&lt;&gt;"-"),COUNTIF(Main_Dil,"-")+ROW()-3-$AB$2)-9,22)),"-")</f>
        <v>-</v>
      </c>
      <c r="AR126" s="487" t="str">
        <f t="shared" ca="1" si="50"/>
        <v>-</v>
      </c>
      <c r="AS126" s="378">
        <v>123</v>
      </c>
      <c r="AT126" s="497" t="s">
        <v>161</v>
      </c>
      <c r="AU126" s="498">
        <v>27</v>
      </c>
      <c r="AV126" s="378" t="str">
        <f t="shared" ca="1" si="51"/>
        <v>-</v>
      </c>
      <c r="AW126" s="378" t="str">
        <f t="array" aca="1" ref="AW126" ca="1">IFERROR(IF(AS126&lt;=$AB$2+$AN$2,"-",INDEX(Calculation_Tab,SMALL(ROW(Direct_Denaturation)*(Direct_Denaturation&lt;&gt;"-"),COUNTIF(Direct_Denaturation,"-")+ROW()-3-$AB$2-$AN$2)-9,5)),"-")</f>
        <v>-</v>
      </c>
      <c r="AX126" s="378" t="str">
        <f t="array" aca="1" ref="AX126" ca="1">IFERROR(IF(AS126&lt;=$AB$2+$AN$2,"-",INDEX($A$3:$B$12,MATCH(INDEX(Calculation_Tab,SMALL(ROW(Direct_Denaturation)*(Direct_Denaturation&lt;&gt;"-"),COUNTIF(Direct_Denaturation,"-")+ROW()-3-$AB$2-$AN$2)-9,5),$A$3:$A$12,0),2)),"-")</f>
        <v>-</v>
      </c>
      <c r="AY126" s="378" t="str">
        <f t="array" aca="1" ref="AY126" ca="1">IFERROR(IF(AS126&lt;=$AB$2+$AN$2,"-",INDEX(Coordinate,MATCH(INDEX(Calculation_Tab,SMALL(ROW(Direct_Denaturation)*(Direct_Denaturation&lt;&gt;"-"),COUNTIF(Direct_Denaturation,"-")+ROW()-3-$AB$2-$AN$2)-9,6),$X$4:$X$99,0),2)),"-")</f>
        <v>-</v>
      </c>
      <c r="AZ126" s="510" t="str">
        <f t="array" aca="1" ref="AZ126" ca="1">IFERROR(IF(AS126&lt;=$AB$2+$AN$2,"-",INDEX(Calculation_Tab,SMALL(ROW(Direct_Denaturation)*(Direct_Denaturation&lt;&gt;"-"),COUNTIF(Direct_Denaturation,"-")+ROW()-3-$AB$2-$AN$2)-9,32)),"-")</f>
        <v>-</v>
      </c>
      <c r="BA126" s="510" t="str">
        <f t="array" aca="1" ref="BA126" ca="1">IFERROR(IF(AS126&lt;=$AB$2+$AN$2,"-",INDEX(Calculation_Tab,SMALL(ROW(Direct_Denaturation)*(Direct_Denaturation&lt;&gt;"-"),COUNTIF(Direct_Denaturation,"-")+ROW()-3-$AB$2-$AN$2)-9,34)),"-")</f>
        <v>-</v>
      </c>
      <c r="BB126" s="510" t="str">
        <f t="array" aca="1" ref="BB126" ca="1">IFERROR(IF(AS126&lt;=$AB$2+$AN$2,"-",INDEX(Calculation_Tab,SMALL(ROW(Direct_Denaturation)*(Direct_Denaturation&lt;&gt;"-"),COUNTIF(Direct_Denaturation,"-")+ROW()-3-$AB$2-$AN$2)-9,33)),"-")</f>
        <v>-</v>
      </c>
      <c r="BC126" s="510" t="str">
        <f t="array" aca="1" ref="BC126" ca="1">IFERROR(IF(AS126&lt;=$AB$2+$AN$2,"-",INDEX(Calculation_Tab,SMALL(ROW(Direct_Denaturation)*(Direct_Denaturation&lt;&gt;"-"),COUNTIF(Direct_Denaturation,"-")+ROW()-3-$AB$2-$AN$2)-9,35)),"-")</f>
        <v>-</v>
      </c>
      <c r="BD126" s="511" t="str">
        <f t="shared" ca="1" si="52"/>
        <v>-</v>
      </c>
      <c r="BK126" s="542" t="s">
        <v>82</v>
      </c>
      <c r="BL126" s="542" t="s">
        <v>82</v>
      </c>
      <c r="BM126" s="487" t="str">
        <f t="array" aca="1" ref="BM126" ca="1">IFERROR(INDEX(Calculation_Tab,SMALL(ROW(ToPool)*(ToPool&lt;&gt;"-"),COUNTIF(ToPool,"-")+ROW()-3)-9,3),"-")</f>
        <v>-</v>
      </c>
      <c r="BN126" s="378" t="str">
        <f t="shared" ca="1" si="55"/>
        <v>-</v>
      </c>
      <c r="BO126" s="378" t="str">
        <f t="shared" ca="1" si="56"/>
        <v>-</v>
      </c>
      <c r="BP126" s="523" t="str">
        <f t="shared" ca="1" si="57"/>
        <v>-</v>
      </c>
      <c r="BQ126" s="378" t="str">
        <f t="array" aca="1" ref="BQ126" ca="1">IFERROR(INDEX(BE:BG,MATCH(INDEX(Calculation_Tab,SMALL(ROW(ToPool)*(ToPool&lt;&gt;"-"),COUNTIF(ToPool,"-")+ROW()-3)-9,9),BG:BG,0),2),"-")</f>
        <v>-</v>
      </c>
      <c r="BR126" s="510" t="str">
        <f t="shared" ca="1" si="58"/>
        <v>-</v>
      </c>
      <c r="BS126" s="511" t="str">
        <f t="shared" ca="1" si="59"/>
        <v>-</v>
      </c>
      <c r="BT126" s="543" t="s">
        <v>82</v>
      </c>
      <c r="BU126" s="487" t="str">
        <f t="shared" ca="1" si="63"/>
        <v>-</v>
      </c>
      <c r="BV126" s="487" t="str">
        <f t="array" aca="1" ref="BV12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26" s="378" t="str">
        <f t="shared" ca="1" si="60"/>
        <v>-</v>
      </c>
      <c r="BX126" s="378" t="str">
        <f t="shared" ca="1" si="61"/>
        <v>-</v>
      </c>
      <c r="BY126" s="510" t="str">
        <f ca="1">IFERROR(ROUND(INDEX(Cluster,MATCH(IF(LEFT(BV126,4)="Pool",INDEX(Cluster,MATCH(INDEX(Calculation_Tab,MATCH(INDEX($BE$4:$BJ$99,MATCH(BV126,$BE$4:$BE$99,0),3),Flow_Cell_Lane,0),3),Cluster!$F$29:$F$412,0),6),BV126),Identifier_Cluster,0),19)*IF(LEFT(BV126,4)="pool",IF(LEN(INDEX($BE$4:$BJ$99,MATCH(BV126,$BE$4:$BE$99,0),3))=10,2,IF(LEN(INDEX($BE$4:$BJ$99,MATCH(BV126,$BE$4:$BE$99,0),3))&gt;10,LEN(INDEX($BE$4:$BJ$99,MATCH(BV126,$BE$4:$BE$99,0),3))-8,1)),1)*IF(LEFT(BV126,4)="pool",IF(INDEX($BE$4:$BJ$99,MATCH(BV126,$BE$4:$BE$99,0),6)&lt;1,1,INDEX($BE$4:$BJ$99,MATCH(BV126,$BE$4:$BE$99,0),6)),INDEX(Calculation_Tab,MATCH(BV126,Identifier,0),10)),1)*(1+Calculation!$Q$6),"-")</f>
        <v>-</v>
      </c>
      <c r="BZ126" s="378" t="str">
        <f ca="1">IFERROR((0.5/50)*CE126/Calculation!$AG$6*(IF(LEFT(BV126,4)="Pool",IF(LEN(INDEX($BE$4:$BJ$99,MATCH(BV126,$BE$4:$BE$99,0),3))=10,2,IF(LEN(INDEX($BE$4:$BJ$99,MATCH(BV126,$BE$4:$BE$99,0),3))&gt;10,LEN(INDEX($BE$4:$BJ$99,MATCH(BV126,$BE$4:$BE$99,0),3))-8,1)),IF(INDEX(Calculation_Tab,MATCH(BV126,Identifier,0),10)&gt;1,INDEX(Calculation_Tab,MATCH(BV126,Identifier,0),10),1)))*(1+Calculation!$Q$6),"-")</f>
        <v>-</v>
      </c>
      <c r="CA126" s="510" t="str">
        <f ca="1">IFERROR(IF((BZ126*Calculation!$AG$6/0.05)-SUM(BY126:BZ126,CC126)&gt;0,(BZ126*Calculation!$AG$6/0.05)-SUM(BY126:BZ126,CC126),0),"-")</f>
        <v>-</v>
      </c>
      <c r="CB126" s="510" t="str">
        <f ca="1">IFERROR(5/50*CE126*(IF(LEFT(BV126,4)="Pool",IF(LEN(INDEX($BE$4:$BJ$99,MATCH(BV126,$BE$4:$BE$99,0),3))=10,2,IF(LEN(INDEX($BE$4:$BJ$99,MATCH(BV126,$BE$4:$BE$99,0),3))&gt;10,LEN(INDEX($BE$4:$BJ$99,MATCH(BV126,$BE$4:$BE$99,0),3))-8,1)),IF(INDEX(Calculation_Tab,MATCH(BV126,Identifier,0),10)&gt;1,INDEX(Calculation_Tab,MATCH(BV126,Identifier,0),10),1)))*(1+Calculation!$Q$6),"-")</f>
        <v>-</v>
      </c>
      <c r="CC126" s="508" t="str">
        <f ca="1">IFERROR(ROUND(INDEX(Cluster,MATCH(IF(LEFT(BV126,4)="Pool",INDEX(Cluster,MATCH(INDEX(Calculation_Tab,MATCH(INDEX($BE$4:$BJ$99,MATCH(BV126,$BE$4:$BE$99,0),3),Flow_Cell_Lane,0),3),Cluster!$F$29:$F$412,0),6),BV126),Identifier_Cluster,0),20)*IF(LEFT(BV126,4)="pool",IF(LEN(INDEX($BE$4:$BJ$99,MATCH(BV126,$BE$4:$BE$99,0),3))=10,2,IF(LEN(INDEX($BE$4:$BJ$99,MATCH(BV126,$BE$4:$BE$99,0),3))&gt;10,LEN(INDEX($BE$4:$BJ$99,MATCH(BV126,$BE$4:$BE$99,0),3))-8,1)),1)*IF(LEFT(BV126,4)="pool",IF(INDEX($BE$4:$BJ$99,MATCH(BV126,$BE$4:$BE$99,0),6)&lt;1,1,INDEX($BE$4:$BJ$99,MATCH(BV126,$BE$4:$BE$99,0),6)),INDEX(Calculation_Tab,MATCH(BV126,Identifier,0),10)),1)*(1+Calculation!$Q$6),"-")</f>
        <v>-</v>
      </c>
      <c r="CD126" s="509" t="str">
        <f ca="1">IFERROR(INDEX(Cluster!AC:AD,MATCH(IF(LEFT(BV126,4)="Pool",INDEX(Cluster!$D$29:$AA$412,MATCH(INDEX(Calculation_Tab,MATCH(INDEX($BE$4:$BJ$99,MATCH(BV126,$BE$4:$BE$99,0),3),Flow_Cell_Lane,0),3),Cluster!$F$29:$F$412,0),24),INDEX(Cluster!$D$29:$AA$412,MATCH(BV126,Cluster!$F$29:$F$412,0),24)),Cluster!AC:AC,0),2),"-")</f>
        <v>-</v>
      </c>
      <c r="CE126" s="378" t="str">
        <f ca="1">IFERROR(IF(BV126&lt;&gt;"-",Calculation!$AK$6,"-"),"-")</f>
        <v>-</v>
      </c>
      <c r="CF126" s="378" t="str">
        <f ca="1">IF(OR(LEFT(ListAndConversion!BW126,3)="Dil",LEFT(ListAndConversion!BW126,3)="Poo"),ListAndConversion!$BT$4,IF(LEFT(ListAndConversion!BW126,3)="Sou",INDEX(ListAndConversion!$AT$3:$AV$387,MATCH(ListAndConversion!BV126,ListAndConversion!$AV$3:$AV$387,0),1),"-"))</f>
        <v>-</v>
      </c>
      <c r="CG126" s="498" t="str">
        <f ca="1">IF(OR(LEFT(ListAndConversion!BW126,3)="Dil",LEFT(ListAndConversion!BW126,3)="Poo"),ListAndConversion!BU126,IF(LEFT(ListAndConversion!BW126,3)="Sou",INDEX(ListAndConversion!$AT$4:$AV$387,MATCH(ListAndConversion!BV126,ListAndConversion!$AV$4:$AV$387,0),2),"-"))</f>
        <v>-</v>
      </c>
      <c r="CH126" s="378"/>
      <c r="CI126" s="487" t="str">
        <f t="shared" ca="1" si="62"/>
        <v>-</v>
      </c>
      <c r="CJ126" s="378" t="str">
        <f t="shared" ca="1" si="78"/>
        <v>-</v>
      </c>
      <c r="CK126" s="378" t="str">
        <f t="shared" ca="1" si="78"/>
        <v>-</v>
      </c>
      <c r="CL126" s="378" t="str">
        <f t="shared" ca="1" si="78"/>
        <v>-</v>
      </c>
      <c r="CM126" s="378" t="str">
        <f t="shared" ca="1" si="78"/>
        <v>-</v>
      </c>
      <c r="CN126" s="378" t="str">
        <f t="shared" ca="1" si="78"/>
        <v>-</v>
      </c>
      <c r="CO126" s="378" t="str">
        <f t="shared" ca="1" si="78"/>
        <v>-</v>
      </c>
      <c r="CP126" s="378" t="str">
        <f t="shared" ca="1" si="78"/>
        <v>-</v>
      </c>
      <c r="CQ126" s="378" t="str">
        <f t="shared" ca="1" si="78"/>
        <v>-</v>
      </c>
      <c r="CR126" s="510" t="str">
        <f ca="1">IFERROR(IF(LEFT(BW126,3)="Poo",INDEX($BE$4:$BJ$99,MATCH(CI126,$BG$4:$BG$99,0),6)*((15/50))*Calculation!$AK$6,INDEX(Calculation_Tab,MATCH(BV126,Identifier,0),10)/(IF(LEN(INDEX(Calculation_Tab,MATCH(BV126,Identifier,0),9))&gt;8,LEN(INDEX(Calculation_Tab,MATCH(BV126,Identifier,0),9))-8,1))*((15/50)*Calculation!$AK$6)),"-")</f>
        <v>-</v>
      </c>
      <c r="CS126" s="498" t="str">
        <f ca="1">IF(CI126="-","-",IF(COUNTIF($CI$3:CI126,CI126)&gt;1,0,IFERROR((35/50)*Calculation!$AK$6,"-")))</f>
        <v>-</v>
      </c>
    </row>
    <row r="127" spans="4:97" x14ac:dyDescent="0.5">
      <c r="D127" s="487" t="e">
        <f t="shared" si="44"/>
        <v>#DIV/0!</v>
      </c>
      <c r="E127" s="496" t="e">
        <f t="array" ref="E127">IF(IF((ROW(E127)-3)&lt;(ListAndConversion!$A$15),INDEX(Flow_Cell_Lane,MIN(IF(COUNTIF($E$2:E126,Flow_Cell_Lane)=0,ROW(Flow_Cell_Lane)-9))),"-")="","-",IF((ROW(E127)-3)&lt;(ListAndConversion!$A$15),INDEX(Flow_Cell_Lane,MIN(IF(COUNTIF($E$2:E126,Flow_Cell_Lane)=0,ROW(Flow_Cell_Lane)-9))),"-"))</f>
        <v>#DIV/0!</v>
      </c>
      <c r="F127" s="378" t="e">
        <f t="shared" si="45"/>
        <v>#DIV/0!</v>
      </c>
      <c r="G127" s="378" t="e">
        <f t="shared" si="77"/>
        <v>#DIV/0!</v>
      </c>
      <c r="H127" s="378" t="e">
        <f t="shared" si="77"/>
        <v>#DIV/0!</v>
      </c>
      <c r="I127" s="378" t="e">
        <f t="shared" si="77"/>
        <v>#DIV/0!</v>
      </c>
      <c r="J127" s="378" t="e">
        <f t="shared" si="77"/>
        <v>#DIV/0!</v>
      </c>
      <c r="K127" s="378" t="e">
        <f t="shared" si="77"/>
        <v>#DIV/0!</v>
      </c>
      <c r="L127" s="378" t="e">
        <f t="shared" si="77"/>
        <v>#DIV/0!</v>
      </c>
      <c r="M127" s="378" t="e">
        <f t="shared" si="77"/>
        <v>#DIV/0!</v>
      </c>
      <c r="N127" s="497" t="e">
        <f t="shared" si="46"/>
        <v>#DIV/0!</v>
      </c>
      <c r="O127" s="497" t="str">
        <f t="array" ref="O127">IFERROR(INDEX(Calculation!I:AN,MATCH(ListAndConversion!E127,Calculation!I:I,0),31),"-")</f>
        <v>-</v>
      </c>
      <c r="P127" s="498">
        <f>IF(COUNTIFS(Calculation!$I$10:$I$393,E127,Direct_Denaturation,"-")&lt;&gt;1,COUNTIFS(Calculation!$I$10:$I$393,E127,Direct_Denaturation,"-"),0)</f>
        <v>0</v>
      </c>
      <c r="V127" s="542" t="s">
        <v>82</v>
      </c>
      <c r="W127" s="542" t="s">
        <v>82</v>
      </c>
      <c r="X127" s="542" t="s">
        <v>82</v>
      </c>
      <c r="Y127" s="542" t="s">
        <v>82</v>
      </c>
      <c r="Z127" s="542" t="s">
        <v>82</v>
      </c>
      <c r="AA127" s="542" t="s">
        <v>82</v>
      </c>
      <c r="AB127" s="542" t="s">
        <v>82</v>
      </c>
      <c r="AC127" s="542" t="s">
        <v>82</v>
      </c>
      <c r="AD127" s="542" t="s">
        <v>82</v>
      </c>
      <c r="AE127" s="542" t="s">
        <v>82</v>
      </c>
      <c r="AF127" s="542" t="s">
        <v>82</v>
      </c>
      <c r="AG127" s="542" t="s">
        <v>82</v>
      </c>
      <c r="AH127" s="9"/>
      <c r="AI127" s="487">
        <v>124</v>
      </c>
      <c r="AJ127" s="497" t="s">
        <v>161</v>
      </c>
      <c r="AK127" s="378">
        <v>28</v>
      </c>
      <c r="AL127" s="378" t="str">
        <f t="shared" ca="1" si="49"/>
        <v>-</v>
      </c>
      <c r="AM127" s="378" t="str">
        <f t="array" aca="1" ref="AM127" ca="1">IFERROR(IF(AI127&lt;=$AB$2,"-",INDEX(Calculation_Tab,SMALL(ROW(Main_Dil)*(Main_Dil&lt;&gt;"-"),COUNTIF(Main_Dil,"-")+ROW()-3-$AB$2)-9,5)),"-")</f>
        <v>-</v>
      </c>
      <c r="AN127" s="378" t="str">
        <f t="array" aca="1" ref="AN127" ca="1">IFERROR(IF(AI127&lt;=$AB$2,"-",INDEX($A$3:$B$12,MATCH(INDEX(Calculation_Tab,SMALL(ROW(Main_Dil)*(Main_Dil&lt;&gt;"-"),COUNTIF(Main_Dil,"-")+ROW()-3-$AB$2)-9,5),$A$3:$A$12,0),2)),"-")</f>
        <v>-</v>
      </c>
      <c r="AO127" s="378" t="str">
        <f t="array" aca="1" ref="AO127" ca="1">IFERROR(IF(AI127&lt;=$AB$2,"-",INDEX(Coordinate,MATCH(INDEX(Calculation_Tab,SMALL(ROW(Main_Dil)*(Main_Dil&lt;&gt;"-"),COUNTIF(Main_Dil,"-")+ROW()-3-$AB$2)-9,6),$X$4:$X$99,0),2)),"-")</f>
        <v>-</v>
      </c>
      <c r="AP127" s="510" t="str">
        <f t="array" aca="1" ref="AP127" ca="1">IFERROR(IF(AI127&lt;=$AB$2,"-",INDEX(Calculation_Tab,SMALL(ROW(Main_Dil)*(Main_Dil&lt;&gt;"-"),COUNTIF(Main_Dil,"-")+ROW()-3-$AB$2)-9,21)),"-")</f>
        <v>-</v>
      </c>
      <c r="AQ127" s="511" t="str">
        <f t="array" aca="1" ref="AQ127" ca="1">IFERROR(IF(AI127&lt;=$AB$2,"-",INDEX(Calculation_Tab,SMALL(ROW(Main_Dil)*(Main_Dil&lt;&gt;"-"),COUNTIF(Main_Dil,"-")+ROW()-3-$AB$2)-9,22)),"-")</f>
        <v>-</v>
      </c>
      <c r="AR127" s="487" t="str">
        <f t="shared" ca="1" si="50"/>
        <v>-</v>
      </c>
      <c r="AS127" s="378">
        <v>124</v>
      </c>
      <c r="AT127" s="497" t="s">
        <v>161</v>
      </c>
      <c r="AU127" s="498">
        <v>28</v>
      </c>
      <c r="AV127" s="378" t="str">
        <f t="shared" ca="1" si="51"/>
        <v>-</v>
      </c>
      <c r="AW127" s="378" t="str">
        <f t="array" aca="1" ref="AW127" ca="1">IFERROR(IF(AS127&lt;=$AB$2+$AN$2,"-",INDEX(Calculation_Tab,SMALL(ROW(Direct_Denaturation)*(Direct_Denaturation&lt;&gt;"-"),COUNTIF(Direct_Denaturation,"-")+ROW()-3-$AB$2-$AN$2)-9,5)),"-")</f>
        <v>-</v>
      </c>
      <c r="AX127" s="378" t="str">
        <f t="array" aca="1" ref="AX127" ca="1">IFERROR(IF(AS127&lt;=$AB$2+$AN$2,"-",INDEX($A$3:$B$12,MATCH(INDEX(Calculation_Tab,SMALL(ROW(Direct_Denaturation)*(Direct_Denaturation&lt;&gt;"-"),COUNTIF(Direct_Denaturation,"-")+ROW()-3-$AB$2-$AN$2)-9,5),$A$3:$A$12,0),2)),"-")</f>
        <v>-</v>
      </c>
      <c r="AY127" s="378" t="str">
        <f t="array" aca="1" ref="AY127" ca="1">IFERROR(IF(AS127&lt;=$AB$2+$AN$2,"-",INDEX(Coordinate,MATCH(INDEX(Calculation_Tab,SMALL(ROW(Direct_Denaturation)*(Direct_Denaturation&lt;&gt;"-"),COUNTIF(Direct_Denaturation,"-")+ROW()-3-$AB$2-$AN$2)-9,6),$X$4:$X$99,0),2)),"-")</f>
        <v>-</v>
      </c>
      <c r="AZ127" s="510" t="str">
        <f t="array" aca="1" ref="AZ127" ca="1">IFERROR(IF(AS127&lt;=$AB$2+$AN$2,"-",INDEX(Calculation_Tab,SMALL(ROW(Direct_Denaturation)*(Direct_Denaturation&lt;&gt;"-"),COUNTIF(Direct_Denaturation,"-")+ROW()-3-$AB$2-$AN$2)-9,32)),"-")</f>
        <v>-</v>
      </c>
      <c r="BA127" s="510" t="str">
        <f t="array" aca="1" ref="BA127" ca="1">IFERROR(IF(AS127&lt;=$AB$2+$AN$2,"-",INDEX(Calculation_Tab,SMALL(ROW(Direct_Denaturation)*(Direct_Denaturation&lt;&gt;"-"),COUNTIF(Direct_Denaturation,"-")+ROW()-3-$AB$2-$AN$2)-9,34)),"-")</f>
        <v>-</v>
      </c>
      <c r="BB127" s="510" t="str">
        <f t="array" aca="1" ref="BB127" ca="1">IFERROR(IF(AS127&lt;=$AB$2+$AN$2,"-",INDEX(Calculation_Tab,SMALL(ROW(Direct_Denaturation)*(Direct_Denaturation&lt;&gt;"-"),COUNTIF(Direct_Denaturation,"-")+ROW()-3-$AB$2-$AN$2)-9,33)),"-")</f>
        <v>-</v>
      </c>
      <c r="BC127" s="510" t="str">
        <f t="array" aca="1" ref="BC127" ca="1">IFERROR(IF(AS127&lt;=$AB$2+$AN$2,"-",INDEX(Calculation_Tab,SMALL(ROW(Direct_Denaturation)*(Direct_Denaturation&lt;&gt;"-"),COUNTIF(Direct_Denaturation,"-")+ROW()-3-$AB$2-$AN$2)-9,35)),"-")</f>
        <v>-</v>
      </c>
      <c r="BD127" s="511" t="str">
        <f t="shared" ca="1" si="52"/>
        <v>-</v>
      </c>
      <c r="BK127" s="542" t="s">
        <v>82</v>
      </c>
      <c r="BL127" s="542" t="s">
        <v>82</v>
      </c>
      <c r="BM127" s="487" t="str">
        <f t="array" aca="1" ref="BM127" ca="1">IFERROR(INDEX(Calculation_Tab,SMALL(ROW(ToPool)*(ToPool&lt;&gt;"-"),COUNTIF(ToPool,"-")+ROW()-3)-9,3),"-")</f>
        <v>-</v>
      </c>
      <c r="BN127" s="378" t="str">
        <f t="shared" ca="1" si="55"/>
        <v>-</v>
      </c>
      <c r="BO127" s="378" t="str">
        <f t="shared" ca="1" si="56"/>
        <v>-</v>
      </c>
      <c r="BP127" s="523" t="str">
        <f t="shared" ca="1" si="57"/>
        <v>-</v>
      </c>
      <c r="BQ127" s="378" t="str">
        <f t="array" aca="1" ref="BQ127" ca="1">IFERROR(INDEX(BE:BG,MATCH(INDEX(Calculation_Tab,SMALL(ROW(ToPool)*(ToPool&lt;&gt;"-"),COUNTIF(ToPool,"-")+ROW()-3)-9,9),BG:BG,0),2),"-")</f>
        <v>-</v>
      </c>
      <c r="BR127" s="510" t="str">
        <f t="shared" ca="1" si="58"/>
        <v>-</v>
      </c>
      <c r="BS127" s="511" t="str">
        <f t="shared" ca="1" si="59"/>
        <v>-</v>
      </c>
      <c r="BT127" s="543" t="s">
        <v>82</v>
      </c>
      <c r="BU127" s="487" t="str">
        <f t="shared" ca="1" si="63"/>
        <v>-</v>
      </c>
      <c r="BV127" s="487" t="str">
        <f t="array" aca="1" ref="BV12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27" s="378" t="str">
        <f t="shared" ca="1" si="60"/>
        <v>-</v>
      </c>
      <c r="BX127" s="378" t="str">
        <f t="shared" ca="1" si="61"/>
        <v>-</v>
      </c>
      <c r="BY127" s="510" t="str">
        <f ca="1">IFERROR(ROUND(INDEX(Cluster,MATCH(IF(LEFT(BV127,4)="Pool",INDEX(Cluster,MATCH(INDEX(Calculation_Tab,MATCH(INDEX($BE$4:$BJ$99,MATCH(BV127,$BE$4:$BE$99,0),3),Flow_Cell_Lane,0),3),Cluster!$F$29:$F$412,0),6),BV127),Identifier_Cluster,0),19)*IF(LEFT(BV127,4)="pool",IF(LEN(INDEX($BE$4:$BJ$99,MATCH(BV127,$BE$4:$BE$99,0),3))=10,2,IF(LEN(INDEX($BE$4:$BJ$99,MATCH(BV127,$BE$4:$BE$99,0),3))&gt;10,LEN(INDEX($BE$4:$BJ$99,MATCH(BV127,$BE$4:$BE$99,0),3))-8,1)),1)*IF(LEFT(BV127,4)="pool",IF(INDEX($BE$4:$BJ$99,MATCH(BV127,$BE$4:$BE$99,0),6)&lt;1,1,INDEX($BE$4:$BJ$99,MATCH(BV127,$BE$4:$BE$99,0),6)),INDEX(Calculation_Tab,MATCH(BV127,Identifier,0),10)),1)*(1+Calculation!$Q$6),"-")</f>
        <v>-</v>
      </c>
      <c r="BZ127" s="378" t="str">
        <f ca="1">IFERROR((0.5/50)*CE127/Calculation!$AG$6*(IF(LEFT(BV127,4)="Pool",IF(LEN(INDEX($BE$4:$BJ$99,MATCH(BV127,$BE$4:$BE$99,0),3))=10,2,IF(LEN(INDEX($BE$4:$BJ$99,MATCH(BV127,$BE$4:$BE$99,0),3))&gt;10,LEN(INDEX($BE$4:$BJ$99,MATCH(BV127,$BE$4:$BE$99,0),3))-8,1)),IF(INDEX(Calculation_Tab,MATCH(BV127,Identifier,0),10)&gt;1,INDEX(Calculation_Tab,MATCH(BV127,Identifier,0),10),1)))*(1+Calculation!$Q$6),"-")</f>
        <v>-</v>
      </c>
      <c r="CA127" s="510" t="str">
        <f ca="1">IFERROR(IF((BZ127*Calculation!$AG$6/0.05)-SUM(BY127:BZ127,CC127)&gt;0,(BZ127*Calculation!$AG$6/0.05)-SUM(BY127:BZ127,CC127),0),"-")</f>
        <v>-</v>
      </c>
      <c r="CB127" s="510" t="str">
        <f ca="1">IFERROR(5/50*CE127*(IF(LEFT(BV127,4)="Pool",IF(LEN(INDEX($BE$4:$BJ$99,MATCH(BV127,$BE$4:$BE$99,0),3))=10,2,IF(LEN(INDEX($BE$4:$BJ$99,MATCH(BV127,$BE$4:$BE$99,0),3))&gt;10,LEN(INDEX($BE$4:$BJ$99,MATCH(BV127,$BE$4:$BE$99,0),3))-8,1)),IF(INDEX(Calculation_Tab,MATCH(BV127,Identifier,0),10)&gt;1,INDEX(Calculation_Tab,MATCH(BV127,Identifier,0),10),1)))*(1+Calculation!$Q$6),"-")</f>
        <v>-</v>
      </c>
      <c r="CC127" s="508" t="str">
        <f ca="1">IFERROR(ROUND(INDEX(Cluster,MATCH(IF(LEFT(BV127,4)="Pool",INDEX(Cluster,MATCH(INDEX(Calculation_Tab,MATCH(INDEX($BE$4:$BJ$99,MATCH(BV127,$BE$4:$BE$99,0),3),Flow_Cell_Lane,0),3),Cluster!$F$29:$F$412,0),6),BV127),Identifier_Cluster,0),20)*IF(LEFT(BV127,4)="pool",IF(LEN(INDEX($BE$4:$BJ$99,MATCH(BV127,$BE$4:$BE$99,0),3))=10,2,IF(LEN(INDEX($BE$4:$BJ$99,MATCH(BV127,$BE$4:$BE$99,0),3))&gt;10,LEN(INDEX($BE$4:$BJ$99,MATCH(BV127,$BE$4:$BE$99,0),3))-8,1)),1)*IF(LEFT(BV127,4)="pool",IF(INDEX($BE$4:$BJ$99,MATCH(BV127,$BE$4:$BE$99,0),6)&lt;1,1,INDEX($BE$4:$BJ$99,MATCH(BV127,$BE$4:$BE$99,0),6)),INDEX(Calculation_Tab,MATCH(BV127,Identifier,0),10)),1)*(1+Calculation!$Q$6),"-")</f>
        <v>-</v>
      </c>
      <c r="CD127" s="509" t="str">
        <f ca="1">IFERROR(INDEX(Cluster!AC:AD,MATCH(IF(LEFT(BV127,4)="Pool",INDEX(Cluster!$D$29:$AA$412,MATCH(INDEX(Calculation_Tab,MATCH(INDEX($BE$4:$BJ$99,MATCH(BV127,$BE$4:$BE$99,0),3),Flow_Cell_Lane,0),3),Cluster!$F$29:$F$412,0),24),INDEX(Cluster!$D$29:$AA$412,MATCH(BV127,Cluster!$F$29:$F$412,0),24)),Cluster!AC:AC,0),2),"-")</f>
        <v>-</v>
      </c>
      <c r="CE127" s="378" t="str">
        <f ca="1">IFERROR(IF(BV127&lt;&gt;"-",Calculation!$AK$6,"-"),"-")</f>
        <v>-</v>
      </c>
      <c r="CF127" s="378" t="str">
        <f ca="1">IF(OR(LEFT(ListAndConversion!BW127,3)="Dil",LEFT(ListAndConversion!BW127,3)="Poo"),ListAndConversion!$BT$4,IF(LEFT(ListAndConversion!BW127,3)="Sou",INDEX(ListAndConversion!$AT$3:$AV$387,MATCH(ListAndConversion!BV127,ListAndConversion!$AV$3:$AV$387,0),1),"-"))</f>
        <v>-</v>
      </c>
      <c r="CG127" s="498" t="str">
        <f ca="1">IF(OR(LEFT(ListAndConversion!BW127,3)="Dil",LEFT(ListAndConversion!BW127,3)="Poo"),ListAndConversion!BU127,IF(LEFT(ListAndConversion!BW127,3)="Sou",INDEX(ListAndConversion!$AT$4:$AV$387,MATCH(ListAndConversion!BV127,ListAndConversion!$AV$4:$AV$387,0),2),"-"))</f>
        <v>-</v>
      </c>
      <c r="CH127" s="378"/>
      <c r="CI127" s="487" t="str">
        <f t="shared" ca="1" si="62"/>
        <v>-</v>
      </c>
      <c r="CJ127" s="378" t="str">
        <f t="shared" ca="1" si="78"/>
        <v>-</v>
      </c>
      <c r="CK127" s="378" t="str">
        <f t="shared" ca="1" si="78"/>
        <v>-</v>
      </c>
      <c r="CL127" s="378" t="str">
        <f t="shared" ca="1" si="78"/>
        <v>-</v>
      </c>
      <c r="CM127" s="378" t="str">
        <f t="shared" ca="1" si="78"/>
        <v>-</v>
      </c>
      <c r="CN127" s="378" t="str">
        <f t="shared" ca="1" si="78"/>
        <v>-</v>
      </c>
      <c r="CO127" s="378" t="str">
        <f t="shared" ca="1" si="78"/>
        <v>-</v>
      </c>
      <c r="CP127" s="378" t="str">
        <f t="shared" ca="1" si="78"/>
        <v>-</v>
      </c>
      <c r="CQ127" s="378" t="str">
        <f t="shared" ca="1" si="78"/>
        <v>-</v>
      </c>
      <c r="CR127" s="510" t="str">
        <f ca="1">IFERROR(IF(LEFT(BW127,3)="Poo",INDEX($BE$4:$BJ$99,MATCH(CI127,$BG$4:$BG$99,0),6)*((15/50))*Calculation!$AK$6,INDEX(Calculation_Tab,MATCH(BV127,Identifier,0),10)/(IF(LEN(INDEX(Calculation_Tab,MATCH(BV127,Identifier,0),9))&gt;8,LEN(INDEX(Calculation_Tab,MATCH(BV127,Identifier,0),9))-8,1))*((15/50)*Calculation!$AK$6)),"-")</f>
        <v>-</v>
      </c>
      <c r="CS127" s="498" t="str">
        <f ca="1">IF(CI127="-","-",IF(COUNTIF($CI$3:CI127,CI127)&gt;1,0,IFERROR((35/50)*Calculation!$AK$6,"-")))</f>
        <v>-</v>
      </c>
    </row>
    <row r="128" spans="4:97" x14ac:dyDescent="0.5">
      <c r="D128" s="487" t="e">
        <f t="shared" si="44"/>
        <v>#DIV/0!</v>
      </c>
      <c r="E128" s="496" t="e">
        <f t="array" ref="E128">IF(IF((ROW(E128)-3)&lt;(ListAndConversion!$A$15),INDEX(Flow_Cell_Lane,MIN(IF(COUNTIF($E$2:E127,Flow_Cell_Lane)=0,ROW(Flow_Cell_Lane)-9))),"-")="","-",IF((ROW(E128)-3)&lt;(ListAndConversion!$A$15),INDEX(Flow_Cell_Lane,MIN(IF(COUNTIF($E$2:E127,Flow_Cell_Lane)=0,ROW(Flow_Cell_Lane)-9))),"-"))</f>
        <v>#DIV/0!</v>
      </c>
      <c r="F128" s="378" t="e">
        <f t="shared" si="45"/>
        <v>#DIV/0!</v>
      </c>
      <c r="G128" s="378" t="e">
        <f t="shared" si="77"/>
        <v>#DIV/0!</v>
      </c>
      <c r="H128" s="378" t="e">
        <f t="shared" si="77"/>
        <v>#DIV/0!</v>
      </c>
      <c r="I128" s="378" t="e">
        <f t="shared" si="77"/>
        <v>#DIV/0!</v>
      </c>
      <c r="J128" s="378" t="e">
        <f t="shared" si="77"/>
        <v>#DIV/0!</v>
      </c>
      <c r="K128" s="378" t="e">
        <f t="shared" si="77"/>
        <v>#DIV/0!</v>
      </c>
      <c r="L128" s="378" t="e">
        <f t="shared" si="77"/>
        <v>#DIV/0!</v>
      </c>
      <c r="M128" s="378" t="e">
        <f t="shared" si="77"/>
        <v>#DIV/0!</v>
      </c>
      <c r="N128" s="497" t="e">
        <f t="shared" si="46"/>
        <v>#DIV/0!</v>
      </c>
      <c r="O128" s="497" t="str">
        <f t="array" ref="O128">IFERROR(INDEX(Calculation!I:AN,MATCH(ListAndConversion!E128,Calculation!I:I,0),31),"-")</f>
        <v>-</v>
      </c>
      <c r="P128" s="498">
        <f>IF(COUNTIFS(Calculation!$I$10:$I$393,E128,Direct_Denaturation,"-")&lt;&gt;1,COUNTIFS(Calculation!$I$10:$I$393,E128,Direct_Denaturation,"-"),0)</f>
        <v>0</v>
      </c>
      <c r="V128" s="542" t="s">
        <v>82</v>
      </c>
      <c r="W128" s="542" t="s">
        <v>82</v>
      </c>
      <c r="X128" s="542" t="s">
        <v>82</v>
      </c>
      <c r="Y128" s="542" t="s">
        <v>82</v>
      </c>
      <c r="Z128" s="542" t="s">
        <v>82</v>
      </c>
      <c r="AA128" s="542" t="s">
        <v>82</v>
      </c>
      <c r="AB128" s="542" t="s">
        <v>82</v>
      </c>
      <c r="AC128" s="542" t="s">
        <v>82</v>
      </c>
      <c r="AD128" s="542" t="s">
        <v>82</v>
      </c>
      <c r="AE128" s="542" t="s">
        <v>82</v>
      </c>
      <c r="AF128" s="542" t="s">
        <v>82</v>
      </c>
      <c r="AG128" s="542" t="s">
        <v>82</v>
      </c>
      <c r="AH128" s="9"/>
      <c r="AI128" s="487">
        <v>125</v>
      </c>
      <c r="AJ128" s="497" t="s">
        <v>161</v>
      </c>
      <c r="AK128" s="378">
        <v>29</v>
      </c>
      <c r="AL128" s="378" t="str">
        <f t="shared" ca="1" si="49"/>
        <v>-</v>
      </c>
      <c r="AM128" s="378" t="str">
        <f t="array" aca="1" ref="AM128" ca="1">IFERROR(IF(AI128&lt;=$AB$2,"-",INDEX(Calculation_Tab,SMALL(ROW(Main_Dil)*(Main_Dil&lt;&gt;"-"),COUNTIF(Main_Dil,"-")+ROW()-3-$AB$2)-9,5)),"-")</f>
        <v>-</v>
      </c>
      <c r="AN128" s="378" t="str">
        <f t="array" aca="1" ref="AN128" ca="1">IFERROR(IF(AI128&lt;=$AB$2,"-",INDEX($A$3:$B$12,MATCH(INDEX(Calculation_Tab,SMALL(ROW(Main_Dil)*(Main_Dil&lt;&gt;"-"),COUNTIF(Main_Dil,"-")+ROW()-3-$AB$2)-9,5),$A$3:$A$12,0),2)),"-")</f>
        <v>-</v>
      </c>
      <c r="AO128" s="378" t="str">
        <f t="array" aca="1" ref="AO128" ca="1">IFERROR(IF(AI128&lt;=$AB$2,"-",INDEX(Coordinate,MATCH(INDEX(Calculation_Tab,SMALL(ROW(Main_Dil)*(Main_Dil&lt;&gt;"-"),COUNTIF(Main_Dil,"-")+ROW()-3-$AB$2)-9,6),$X$4:$X$99,0),2)),"-")</f>
        <v>-</v>
      </c>
      <c r="AP128" s="510" t="str">
        <f t="array" aca="1" ref="AP128" ca="1">IFERROR(IF(AI128&lt;=$AB$2,"-",INDEX(Calculation_Tab,SMALL(ROW(Main_Dil)*(Main_Dil&lt;&gt;"-"),COUNTIF(Main_Dil,"-")+ROW()-3-$AB$2)-9,21)),"-")</f>
        <v>-</v>
      </c>
      <c r="AQ128" s="511" t="str">
        <f t="array" aca="1" ref="AQ128" ca="1">IFERROR(IF(AI128&lt;=$AB$2,"-",INDEX(Calculation_Tab,SMALL(ROW(Main_Dil)*(Main_Dil&lt;&gt;"-"),COUNTIF(Main_Dil,"-")+ROW()-3-$AB$2)-9,22)),"-")</f>
        <v>-</v>
      </c>
      <c r="AR128" s="487" t="str">
        <f t="shared" ca="1" si="50"/>
        <v>-</v>
      </c>
      <c r="AS128" s="378">
        <v>125</v>
      </c>
      <c r="AT128" s="497" t="s">
        <v>161</v>
      </c>
      <c r="AU128" s="498">
        <v>29</v>
      </c>
      <c r="AV128" s="378" t="str">
        <f t="shared" ca="1" si="51"/>
        <v>-</v>
      </c>
      <c r="AW128" s="378" t="str">
        <f t="array" aca="1" ref="AW128" ca="1">IFERROR(IF(AS128&lt;=$AB$2+$AN$2,"-",INDEX(Calculation_Tab,SMALL(ROW(Direct_Denaturation)*(Direct_Denaturation&lt;&gt;"-"),COUNTIF(Direct_Denaturation,"-")+ROW()-3-$AB$2-$AN$2)-9,5)),"-")</f>
        <v>-</v>
      </c>
      <c r="AX128" s="378" t="str">
        <f t="array" aca="1" ref="AX128" ca="1">IFERROR(IF(AS128&lt;=$AB$2+$AN$2,"-",INDEX($A$3:$B$12,MATCH(INDEX(Calculation_Tab,SMALL(ROW(Direct_Denaturation)*(Direct_Denaturation&lt;&gt;"-"),COUNTIF(Direct_Denaturation,"-")+ROW()-3-$AB$2-$AN$2)-9,5),$A$3:$A$12,0),2)),"-")</f>
        <v>-</v>
      </c>
      <c r="AY128" s="378" t="str">
        <f t="array" aca="1" ref="AY128" ca="1">IFERROR(IF(AS128&lt;=$AB$2+$AN$2,"-",INDEX(Coordinate,MATCH(INDEX(Calculation_Tab,SMALL(ROW(Direct_Denaturation)*(Direct_Denaturation&lt;&gt;"-"),COUNTIF(Direct_Denaturation,"-")+ROW()-3-$AB$2-$AN$2)-9,6),$X$4:$X$99,0),2)),"-")</f>
        <v>-</v>
      </c>
      <c r="AZ128" s="510" t="str">
        <f t="array" aca="1" ref="AZ128" ca="1">IFERROR(IF(AS128&lt;=$AB$2+$AN$2,"-",INDEX(Calculation_Tab,SMALL(ROW(Direct_Denaturation)*(Direct_Denaturation&lt;&gt;"-"),COUNTIF(Direct_Denaturation,"-")+ROW()-3-$AB$2-$AN$2)-9,32)),"-")</f>
        <v>-</v>
      </c>
      <c r="BA128" s="510" t="str">
        <f t="array" aca="1" ref="BA128" ca="1">IFERROR(IF(AS128&lt;=$AB$2+$AN$2,"-",INDEX(Calculation_Tab,SMALL(ROW(Direct_Denaturation)*(Direct_Denaturation&lt;&gt;"-"),COUNTIF(Direct_Denaturation,"-")+ROW()-3-$AB$2-$AN$2)-9,34)),"-")</f>
        <v>-</v>
      </c>
      <c r="BB128" s="510" t="str">
        <f t="array" aca="1" ref="BB128" ca="1">IFERROR(IF(AS128&lt;=$AB$2+$AN$2,"-",INDEX(Calculation_Tab,SMALL(ROW(Direct_Denaturation)*(Direct_Denaturation&lt;&gt;"-"),COUNTIF(Direct_Denaturation,"-")+ROW()-3-$AB$2-$AN$2)-9,33)),"-")</f>
        <v>-</v>
      </c>
      <c r="BC128" s="510" t="str">
        <f t="array" aca="1" ref="BC128" ca="1">IFERROR(IF(AS128&lt;=$AB$2+$AN$2,"-",INDEX(Calculation_Tab,SMALL(ROW(Direct_Denaturation)*(Direct_Denaturation&lt;&gt;"-"),COUNTIF(Direct_Denaturation,"-")+ROW()-3-$AB$2-$AN$2)-9,35)),"-")</f>
        <v>-</v>
      </c>
      <c r="BD128" s="511" t="str">
        <f t="shared" ca="1" si="52"/>
        <v>-</v>
      </c>
      <c r="BK128" s="542" t="s">
        <v>82</v>
      </c>
      <c r="BL128" s="542" t="s">
        <v>82</v>
      </c>
      <c r="BM128" s="487" t="str">
        <f t="array" aca="1" ref="BM128" ca="1">IFERROR(INDEX(Calculation_Tab,SMALL(ROW(ToPool)*(ToPool&lt;&gt;"-"),COUNTIF(ToPool,"-")+ROW()-3)-9,3),"-")</f>
        <v>-</v>
      </c>
      <c r="BN128" s="378" t="str">
        <f t="shared" ca="1" si="55"/>
        <v>-</v>
      </c>
      <c r="BO128" s="378" t="str">
        <f t="shared" ca="1" si="56"/>
        <v>-</v>
      </c>
      <c r="BP128" s="523" t="str">
        <f t="shared" ca="1" si="57"/>
        <v>-</v>
      </c>
      <c r="BQ128" s="378" t="str">
        <f t="array" aca="1" ref="BQ128" ca="1">IFERROR(INDEX(BE:BG,MATCH(INDEX(Calculation_Tab,SMALL(ROW(ToPool)*(ToPool&lt;&gt;"-"),COUNTIF(ToPool,"-")+ROW()-3)-9,9),BG:BG,0),2),"-")</f>
        <v>-</v>
      </c>
      <c r="BR128" s="510" t="str">
        <f t="shared" ca="1" si="58"/>
        <v>-</v>
      </c>
      <c r="BS128" s="511" t="str">
        <f t="shared" ca="1" si="59"/>
        <v>-</v>
      </c>
      <c r="BT128" s="543" t="s">
        <v>82</v>
      </c>
      <c r="BU128" s="487" t="str">
        <f t="shared" ca="1" si="63"/>
        <v>-</v>
      </c>
      <c r="BV128" s="487" t="str">
        <f t="array" aca="1" ref="BV12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28" s="378" t="str">
        <f t="shared" ca="1" si="60"/>
        <v>-</v>
      </c>
      <c r="BX128" s="378" t="str">
        <f t="shared" ca="1" si="61"/>
        <v>-</v>
      </c>
      <c r="BY128" s="510" t="str">
        <f ca="1">IFERROR(ROUND(INDEX(Cluster,MATCH(IF(LEFT(BV128,4)="Pool",INDEX(Cluster,MATCH(INDEX(Calculation_Tab,MATCH(INDEX($BE$4:$BJ$99,MATCH(BV128,$BE$4:$BE$99,0),3),Flow_Cell_Lane,0),3),Cluster!$F$29:$F$412,0),6),BV128),Identifier_Cluster,0),19)*IF(LEFT(BV128,4)="pool",IF(LEN(INDEX($BE$4:$BJ$99,MATCH(BV128,$BE$4:$BE$99,0),3))=10,2,IF(LEN(INDEX($BE$4:$BJ$99,MATCH(BV128,$BE$4:$BE$99,0),3))&gt;10,LEN(INDEX($BE$4:$BJ$99,MATCH(BV128,$BE$4:$BE$99,0),3))-8,1)),1)*IF(LEFT(BV128,4)="pool",IF(INDEX($BE$4:$BJ$99,MATCH(BV128,$BE$4:$BE$99,0),6)&lt;1,1,INDEX($BE$4:$BJ$99,MATCH(BV128,$BE$4:$BE$99,0),6)),INDEX(Calculation_Tab,MATCH(BV128,Identifier,0),10)),1)*(1+Calculation!$Q$6),"-")</f>
        <v>-</v>
      </c>
      <c r="BZ128" s="378" t="str">
        <f ca="1">IFERROR((0.5/50)*CE128/Calculation!$AG$6*(IF(LEFT(BV128,4)="Pool",IF(LEN(INDEX($BE$4:$BJ$99,MATCH(BV128,$BE$4:$BE$99,0),3))=10,2,IF(LEN(INDEX($BE$4:$BJ$99,MATCH(BV128,$BE$4:$BE$99,0),3))&gt;10,LEN(INDEX($BE$4:$BJ$99,MATCH(BV128,$BE$4:$BE$99,0),3))-8,1)),IF(INDEX(Calculation_Tab,MATCH(BV128,Identifier,0),10)&gt;1,INDEX(Calculation_Tab,MATCH(BV128,Identifier,0),10),1)))*(1+Calculation!$Q$6),"-")</f>
        <v>-</v>
      </c>
      <c r="CA128" s="510" t="str">
        <f ca="1">IFERROR(IF((BZ128*Calculation!$AG$6/0.05)-SUM(BY128:BZ128,CC128)&gt;0,(BZ128*Calculation!$AG$6/0.05)-SUM(BY128:BZ128,CC128),0),"-")</f>
        <v>-</v>
      </c>
      <c r="CB128" s="510" t="str">
        <f ca="1">IFERROR(5/50*CE128*(IF(LEFT(BV128,4)="Pool",IF(LEN(INDEX($BE$4:$BJ$99,MATCH(BV128,$BE$4:$BE$99,0),3))=10,2,IF(LEN(INDEX($BE$4:$BJ$99,MATCH(BV128,$BE$4:$BE$99,0),3))&gt;10,LEN(INDEX($BE$4:$BJ$99,MATCH(BV128,$BE$4:$BE$99,0),3))-8,1)),IF(INDEX(Calculation_Tab,MATCH(BV128,Identifier,0),10)&gt;1,INDEX(Calculation_Tab,MATCH(BV128,Identifier,0),10),1)))*(1+Calculation!$Q$6),"-")</f>
        <v>-</v>
      </c>
      <c r="CC128" s="508" t="str">
        <f ca="1">IFERROR(ROUND(INDEX(Cluster,MATCH(IF(LEFT(BV128,4)="Pool",INDEX(Cluster,MATCH(INDEX(Calculation_Tab,MATCH(INDEX($BE$4:$BJ$99,MATCH(BV128,$BE$4:$BE$99,0),3),Flow_Cell_Lane,0),3),Cluster!$F$29:$F$412,0),6),BV128),Identifier_Cluster,0),20)*IF(LEFT(BV128,4)="pool",IF(LEN(INDEX($BE$4:$BJ$99,MATCH(BV128,$BE$4:$BE$99,0),3))=10,2,IF(LEN(INDEX($BE$4:$BJ$99,MATCH(BV128,$BE$4:$BE$99,0),3))&gt;10,LEN(INDEX($BE$4:$BJ$99,MATCH(BV128,$BE$4:$BE$99,0),3))-8,1)),1)*IF(LEFT(BV128,4)="pool",IF(INDEX($BE$4:$BJ$99,MATCH(BV128,$BE$4:$BE$99,0),6)&lt;1,1,INDEX($BE$4:$BJ$99,MATCH(BV128,$BE$4:$BE$99,0),6)),INDEX(Calculation_Tab,MATCH(BV128,Identifier,0),10)),1)*(1+Calculation!$Q$6),"-")</f>
        <v>-</v>
      </c>
      <c r="CD128" s="509" t="str">
        <f ca="1">IFERROR(INDEX(Cluster!AC:AD,MATCH(IF(LEFT(BV128,4)="Pool",INDEX(Cluster!$D$29:$AA$412,MATCH(INDEX(Calculation_Tab,MATCH(INDEX($BE$4:$BJ$99,MATCH(BV128,$BE$4:$BE$99,0),3),Flow_Cell_Lane,0),3),Cluster!$F$29:$F$412,0),24),INDEX(Cluster!$D$29:$AA$412,MATCH(BV128,Cluster!$F$29:$F$412,0),24)),Cluster!AC:AC,0),2),"-")</f>
        <v>-</v>
      </c>
      <c r="CE128" s="378" t="str">
        <f ca="1">IFERROR(IF(BV128&lt;&gt;"-",Calculation!$AK$6,"-"),"-")</f>
        <v>-</v>
      </c>
      <c r="CF128" s="378" t="str">
        <f ca="1">IF(OR(LEFT(ListAndConversion!BW128,3)="Dil",LEFT(ListAndConversion!BW128,3)="Poo"),ListAndConversion!$BT$4,IF(LEFT(ListAndConversion!BW128,3)="Sou",INDEX(ListAndConversion!$AT$3:$AV$387,MATCH(ListAndConversion!BV128,ListAndConversion!$AV$3:$AV$387,0),1),"-"))</f>
        <v>-</v>
      </c>
      <c r="CG128" s="498" t="str">
        <f ca="1">IF(OR(LEFT(ListAndConversion!BW128,3)="Dil",LEFT(ListAndConversion!BW128,3)="Poo"),ListAndConversion!BU128,IF(LEFT(ListAndConversion!BW128,3)="Sou",INDEX(ListAndConversion!$AT$4:$AV$387,MATCH(ListAndConversion!BV128,ListAndConversion!$AV$4:$AV$387,0),2),"-"))</f>
        <v>-</v>
      </c>
      <c r="CH128" s="378"/>
      <c r="CI128" s="487" t="str">
        <f t="shared" ca="1" si="62"/>
        <v>-</v>
      </c>
      <c r="CJ128" s="378" t="str">
        <f t="shared" ca="1" si="78"/>
        <v>-</v>
      </c>
      <c r="CK128" s="378" t="str">
        <f t="shared" ca="1" si="78"/>
        <v>-</v>
      </c>
      <c r="CL128" s="378" t="str">
        <f t="shared" ca="1" si="78"/>
        <v>-</v>
      </c>
      <c r="CM128" s="378" t="str">
        <f t="shared" ca="1" si="78"/>
        <v>-</v>
      </c>
      <c r="CN128" s="378" t="str">
        <f t="shared" ca="1" si="78"/>
        <v>-</v>
      </c>
      <c r="CO128" s="378" t="str">
        <f t="shared" ca="1" si="78"/>
        <v>-</v>
      </c>
      <c r="CP128" s="378" t="str">
        <f t="shared" ca="1" si="78"/>
        <v>-</v>
      </c>
      <c r="CQ128" s="378" t="str">
        <f t="shared" ca="1" si="78"/>
        <v>-</v>
      </c>
      <c r="CR128" s="510" t="str">
        <f ca="1">IFERROR(IF(LEFT(BW128,3)="Poo",INDEX($BE$4:$BJ$99,MATCH(CI128,$BG$4:$BG$99,0),6)*((15/50))*Calculation!$AK$6,INDEX(Calculation_Tab,MATCH(BV128,Identifier,0),10)/(IF(LEN(INDEX(Calculation_Tab,MATCH(BV128,Identifier,0),9))&gt;8,LEN(INDEX(Calculation_Tab,MATCH(BV128,Identifier,0),9))-8,1))*((15/50)*Calculation!$AK$6)),"-")</f>
        <v>-</v>
      </c>
      <c r="CS128" s="498" t="str">
        <f ca="1">IF(CI128="-","-",IF(COUNTIF($CI$3:CI128,CI128)&gt;1,0,IFERROR((35/50)*Calculation!$AK$6,"-")))</f>
        <v>-</v>
      </c>
    </row>
    <row r="129" spans="4:97" x14ac:dyDescent="0.5">
      <c r="D129" s="487" t="e">
        <f t="shared" si="44"/>
        <v>#DIV/0!</v>
      </c>
      <c r="E129" s="496" t="e">
        <f t="array" ref="E129">IF(IF((ROW(E129)-3)&lt;(ListAndConversion!$A$15),INDEX(Flow_Cell_Lane,MIN(IF(COUNTIF($E$2:E128,Flow_Cell_Lane)=0,ROW(Flow_Cell_Lane)-9))),"-")="","-",IF((ROW(E129)-3)&lt;(ListAndConversion!$A$15),INDEX(Flow_Cell_Lane,MIN(IF(COUNTIF($E$2:E128,Flow_Cell_Lane)=0,ROW(Flow_Cell_Lane)-9))),"-"))</f>
        <v>#DIV/0!</v>
      </c>
      <c r="F129" s="378" t="e">
        <f t="shared" si="45"/>
        <v>#DIV/0!</v>
      </c>
      <c r="G129" s="378" t="e">
        <f t="shared" si="77"/>
        <v>#DIV/0!</v>
      </c>
      <c r="H129" s="378" t="e">
        <f t="shared" si="77"/>
        <v>#DIV/0!</v>
      </c>
      <c r="I129" s="378" t="e">
        <f t="shared" si="77"/>
        <v>#DIV/0!</v>
      </c>
      <c r="J129" s="378" t="e">
        <f t="shared" si="77"/>
        <v>#DIV/0!</v>
      </c>
      <c r="K129" s="378" t="e">
        <f t="shared" si="77"/>
        <v>#DIV/0!</v>
      </c>
      <c r="L129" s="378" t="e">
        <f t="shared" si="77"/>
        <v>#DIV/0!</v>
      </c>
      <c r="M129" s="378" t="e">
        <f t="shared" si="77"/>
        <v>#DIV/0!</v>
      </c>
      <c r="N129" s="497" t="e">
        <f t="shared" si="46"/>
        <v>#DIV/0!</v>
      </c>
      <c r="O129" s="497" t="str">
        <f t="array" ref="O129">IFERROR(INDEX(Calculation!I:AN,MATCH(ListAndConversion!E129,Calculation!I:I,0),31),"-")</f>
        <v>-</v>
      </c>
      <c r="P129" s="498">
        <f>IF(COUNTIFS(Calculation!$I$10:$I$393,E129,Direct_Denaturation,"-")&lt;&gt;1,COUNTIFS(Calculation!$I$10:$I$393,E129,Direct_Denaturation,"-"),0)</f>
        <v>0</v>
      </c>
      <c r="V129" s="542" t="s">
        <v>82</v>
      </c>
      <c r="W129" s="542" t="s">
        <v>82</v>
      </c>
      <c r="X129" s="542" t="s">
        <v>82</v>
      </c>
      <c r="Y129" s="542" t="s">
        <v>82</v>
      </c>
      <c r="Z129" s="542" t="s">
        <v>82</v>
      </c>
      <c r="AA129" s="542" t="s">
        <v>82</v>
      </c>
      <c r="AB129" s="542" t="s">
        <v>82</v>
      </c>
      <c r="AC129" s="542" t="s">
        <v>82</v>
      </c>
      <c r="AD129" s="542" t="s">
        <v>82</v>
      </c>
      <c r="AE129" s="542" t="s">
        <v>82</v>
      </c>
      <c r="AF129" s="542" t="s">
        <v>82</v>
      </c>
      <c r="AG129" s="542" t="s">
        <v>82</v>
      </c>
      <c r="AH129" s="9"/>
      <c r="AI129" s="487">
        <v>126</v>
      </c>
      <c r="AJ129" s="497" t="s">
        <v>161</v>
      </c>
      <c r="AK129" s="378">
        <v>30</v>
      </c>
      <c r="AL129" s="378" t="str">
        <f t="shared" ca="1" si="49"/>
        <v>-</v>
      </c>
      <c r="AM129" s="378" t="str">
        <f t="array" aca="1" ref="AM129" ca="1">IFERROR(IF(AI129&lt;=$AB$2,"-",INDEX(Calculation_Tab,SMALL(ROW(Main_Dil)*(Main_Dil&lt;&gt;"-"),COUNTIF(Main_Dil,"-")+ROW()-3-$AB$2)-9,5)),"-")</f>
        <v>-</v>
      </c>
      <c r="AN129" s="378" t="str">
        <f t="array" aca="1" ref="AN129" ca="1">IFERROR(IF(AI129&lt;=$AB$2,"-",INDEX($A$3:$B$12,MATCH(INDEX(Calculation_Tab,SMALL(ROW(Main_Dil)*(Main_Dil&lt;&gt;"-"),COUNTIF(Main_Dil,"-")+ROW()-3-$AB$2)-9,5),$A$3:$A$12,0),2)),"-")</f>
        <v>-</v>
      </c>
      <c r="AO129" s="378" t="str">
        <f t="array" aca="1" ref="AO129" ca="1">IFERROR(IF(AI129&lt;=$AB$2,"-",INDEX(Coordinate,MATCH(INDEX(Calculation_Tab,SMALL(ROW(Main_Dil)*(Main_Dil&lt;&gt;"-"),COUNTIF(Main_Dil,"-")+ROW()-3-$AB$2)-9,6),$X$4:$X$99,0),2)),"-")</f>
        <v>-</v>
      </c>
      <c r="AP129" s="510" t="str">
        <f t="array" aca="1" ref="AP129" ca="1">IFERROR(IF(AI129&lt;=$AB$2,"-",INDEX(Calculation_Tab,SMALL(ROW(Main_Dil)*(Main_Dil&lt;&gt;"-"),COUNTIF(Main_Dil,"-")+ROW()-3-$AB$2)-9,21)),"-")</f>
        <v>-</v>
      </c>
      <c r="AQ129" s="511" t="str">
        <f t="array" aca="1" ref="AQ129" ca="1">IFERROR(IF(AI129&lt;=$AB$2,"-",INDEX(Calculation_Tab,SMALL(ROW(Main_Dil)*(Main_Dil&lt;&gt;"-"),COUNTIF(Main_Dil,"-")+ROW()-3-$AB$2)-9,22)),"-")</f>
        <v>-</v>
      </c>
      <c r="AR129" s="487" t="str">
        <f t="shared" ca="1" si="50"/>
        <v>-</v>
      </c>
      <c r="AS129" s="378">
        <v>126</v>
      </c>
      <c r="AT129" s="497" t="s">
        <v>161</v>
      </c>
      <c r="AU129" s="498">
        <v>30</v>
      </c>
      <c r="AV129" s="378" t="str">
        <f t="shared" ca="1" si="51"/>
        <v>-</v>
      </c>
      <c r="AW129" s="378" t="str">
        <f t="array" aca="1" ref="AW129" ca="1">IFERROR(IF(AS129&lt;=$AB$2+$AN$2,"-",INDEX(Calculation_Tab,SMALL(ROW(Direct_Denaturation)*(Direct_Denaturation&lt;&gt;"-"),COUNTIF(Direct_Denaturation,"-")+ROW()-3-$AB$2-$AN$2)-9,5)),"-")</f>
        <v>-</v>
      </c>
      <c r="AX129" s="378" t="str">
        <f t="array" aca="1" ref="AX129" ca="1">IFERROR(IF(AS129&lt;=$AB$2+$AN$2,"-",INDEX($A$3:$B$12,MATCH(INDEX(Calculation_Tab,SMALL(ROW(Direct_Denaturation)*(Direct_Denaturation&lt;&gt;"-"),COUNTIF(Direct_Denaturation,"-")+ROW()-3-$AB$2-$AN$2)-9,5),$A$3:$A$12,0),2)),"-")</f>
        <v>-</v>
      </c>
      <c r="AY129" s="378" t="str">
        <f t="array" aca="1" ref="AY129" ca="1">IFERROR(IF(AS129&lt;=$AB$2+$AN$2,"-",INDEX(Coordinate,MATCH(INDEX(Calculation_Tab,SMALL(ROW(Direct_Denaturation)*(Direct_Denaturation&lt;&gt;"-"),COUNTIF(Direct_Denaturation,"-")+ROW()-3-$AB$2-$AN$2)-9,6),$X$4:$X$99,0),2)),"-")</f>
        <v>-</v>
      </c>
      <c r="AZ129" s="510" t="str">
        <f t="array" aca="1" ref="AZ129" ca="1">IFERROR(IF(AS129&lt;=$AB$2+$AN$2,"-",INDEX(Calculation_Tab,SMALL(ROW(Direct_Denaturation)*(Direct_Denaturation&lt;&gt;"-"),COUNTIF(Direct_Denaturation,"-")+ROW()-3-$AB$2-$AN$2)-9,32)),"-")</f>
        <v>-</v>
      </c>
      <c r="BA129" s="510" t="str">
        <f t="array" aca="1" ref="BA129" ca="1">IFERROR(IF(AS129&lt;=$AB$2+$AN$2,"-",INDEX(Calculation_Tab,SMALL(ROW(Direct_Denaturation)*(Direct_Denaturation&lt;&gt;"-"),COUNTIF(Direct_Denaturation,"-")+ROW()-3-$AB$2-$AN$2)-9,34)),"-")</f>
        <v>-</v>
      </c>
      <c r="BB129" s="510" t="str">
        <f t="array" aca="1" ref="BB129" ca="1">IFERROR(IF(AS129&lt;=$AB$2+$AN$2,"-",INDEX(Calculation_Tab,SMALL(ROW(Direct_Denaturation)*(Direct_Denaturation&lt;&gt;"-"),COUNTIF(Direct_Denaturation,"-")+ROW()-3-$AB$2-$AN$2)-9,33)),"-")</f>
        <v>-</v>
      </c>
      <c r="BC129" s="510" t="str">
        <f t="array" aca="1" ref="BC129" ca="1">IFERROR(IF(AS129&lt;=$AB$2+$AN$2,"-",INDEX(Calculation_Tab,SMALL(ROW(Direct_Denaturation)*(Direct_Denaturation&lt;&gt;"-"),COUNTIF(Direct_Denaturation,"-")+ROW()-3-$AB$2-$AN$2)-9,35)),"-")</f>
        <v>-</v>
      </c>
      <c r="BD129" s="511" t="str">
        <f t="shared" ca="1" si="52"/>
        <v>-</v>
      </c>
      <c r="BK129" s="542" t="s">
        <v>82</v>
      </c>
      <c r="BL129" s="542" t="s">
        <v>82</v>
      </c>
      <c r="BM129" s="487" t="str">
        <f t="array" aca="1" ref="BM129" ca="1">IFERROR(INDEX(Calculation_Tab,SMALL(ROW(ToPool)*(ToPool&lt;&gt;"-"),COUNTIF(ToPool,"-")+ROW()-3)-9,3),"-")</f>
        <v>-</v>
      </c>
      <c r="BN129" s="378" t="str">
        <f t="shared" ca="1" si="55"/>
        <v>-</v>
      </c>
      <c r="BO129" s="378" t="str">
        <f t="shared" ca="1" si="56"/>
        <v>-</v>
      </c>
      <c r="BP129" s="523" t="str">
        <f t="shared" ca="1" si="57"/>
        <v>-</v>
      </c>
      <c r="BQ129" s="378" t="str">
        <f t="array" aca="1" ref="BQ129" ca="1">IFERROR(INDEX(BE:BG,MATCH(INDEX(Calculation_Tab,SMALL(ROW(ToPool)*(ToPool&lt;&gt;"-"),COUNTIF(ToPool,"-")+ROW()-3)-9,9),BG:BG,0),2),"-")</f>
        <v>-</v>
      </c>
      <c r="BR129" s="510" t="str">
        <f t="shared" ca="1" si="58"/>
        <v>-</v>
      </c>
      <c r="BS129" s="511" t="str">
        <f t="shared" ca="1" si="59"/>
        <v>-</v>
      </c>
      <c r="BT129" s="543" t="s">
        <v>82</v>
      </c>
      <c r="BU129" s="487" t="str">
        <f t="shared" ca="1" si="63"/>
        <v>-</v>
      </c>
      <c r="BV129" s="487" t="str">
        <f t="array" aca="1" ref="BV12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29" s="378" t="str">
        <f t="shared" ca="1" si="60"/>
        <v>-</v>
      </c>
      <c r="BX129" s="378" t="str">
        <f t="shared" ca="1" si="61"/>
        <v>-</v>
      </c>
      <c r="BY129" s="510" t="str">
        <f ca="1">IFERROR(ROUND(INDEX(Cluster,MATCH(IF(LEFT(BV129,4)="Pool",INDEX(Cluster,MATCH(INDEX(Calculation_Tab,MATCH(INDEX($BE$4:$BJ$99,MATCH(BV129,$BE$4:$BE$99,0),3),Flow_Cell_Lane,0),3),Cluster!$F$29:$F$412,0),6),BV129),Identifier_Cluster,0),19)*IF(LEFT(BV129,4)="pool",IF(LEN(INDEX($BE$4:$BJ$99,MATCH(BV129,$BE$4:$BE$99,0),3))=10,2,IF(LEN(INDEX($BE$4:$BJ$99,MATCH(BV129,$BE$4:$BE$99,0),3))&gt;10,LEN(INDEX($BE$4:$BJ$99,MATCH(BV129,$BE$4:$BE$99,0),3))-8,1)),1)*IF(LEFT(BV129,4)="pool",IF(INDEX($BE$4:$BJ$99,MATCH(BV129,$BE$4:$BE$99,0),6)&lt;1,1,INDEX($BE$4:$BJ$99,MATCH(BV129,$BE$4:$BE$99,0),6)),INDEX(Calculation_Tab,MATCH(BV129,Identifier,0),10)),1)*(1+Calculation!$Q$6),"-")</f>
        <v>-</v>
      </c>
      <c r="BZ129" s="378" t="str">
        <f ca="1">IFERROR((0.5/50)*CE129/Calculation!$AG$6*(IF(LEFT(BV129,4)="Pool",IF(LEN(INDEX($BE$4:$BJ$99,MATCH(BV129,$BE$4:$BE$99,0),3))=10,2,IF(LEN(INDEX($BE$4:$BJ$99,MATCH(BV129,$BE$4:$BE$99,0),3))&gt;10,LEN(INDEX($BE$4:$BJ$99,MATCH(BV129,$BE$4:$BE$99,0),3))-8,1)),IF(INDEX(Calculation_Tab,MATCH(BV129,Identifier,0),10)&gt;1,INDEX(Calculation_Tab,MATCH(BV129,Identifier,0),10),1)))*(1+Calculation!$Q$6),"-")</f>
        <v>-</v>
      </c>
      <c r="CA129" s="510" t="str">
        <f ca="1">IFERROR(IF((BZ129*Calculation!$AG$6/0.05)-SUM(BY129:BZ129,CC129)&gt;0,(BZ129*Calculation!$AG$6/0.05)-SUM(BY129:BZ129,CC129),0),"-")</f>
        <v>-</v>
      </c>
      <c r="CB129" s="510" t="str">
        <f ca="1">IFERROR(5/50*CE129*(IF(LEFT(BV129,4)="Pool",IF(LEN(INDEX($BE$4:$BJ$99,MATCH(BV129,$BE$4:$BE$99,0),3))=10,2,IF(LEN(INDEX($BE$4:$BJ$99,MATCH(BV129,$BE$4:$BE$99,0),3))&gt;10,LEN(INDEX($BE$4:$BJ$99,MATCH(BV129,$BE$4:$BE$99,0),3))-8,1)),IF(INDEX(Calculation_Tab,MATCH(BV129,Identifier,0),10)&gt;1,INDEX(Calculation_Tab,MATCH(BV129,Identifier,0),10),1)))*(1+Calculation!$Q$6),"-")</f>
        <v>-</v>
      </c>
      <c r="CC129" s="508" t="str">
        <f ca="1">IFERROR(ROUND(INDEX(Cluster,MATCH(IF(LEFT(BV129,4)="Pool",INDEX(Cluster,MATCH(INDEX(Calculation_Tab,MATCH(INDEX($BE$4:$BJ$99,MATCH(BV129,$BE$4:$BE$99,0),3),Flow_Cell_Lane,0),3),Cluster!$F$29:$F$412,0),6),BV129),Identifier_Cluster,0),20)*IF(LEFT(BV129,4)="pool",IF(LEN(INDEX($BE$4:$BJ$99,MATCH(BV129,$BE$4:$BE$99,0),3))=10,2,IF(LEN(INDEX($BE$4:$BJ$99,MATCH(BV129,$BE$4:$BE$99,0),3))&gt;10,LEN(INDEX($BE$4:$BJ$99,MATCH(BV129,$BE$4:$BE$99,0),3))-8,1)),1)*IF(LEFT(BV129,4)="pool",IF(INDEX($BE$4:$BJ$99,MATCH(BV129,$BE$4:$BE$99,0),6)&lt;1,1,INDEX($BE$4:$BJ$99,MATCH(BV129,$BE$4:$BE$99,0),6)),INDEX(Calculation_Tab,MATCH(BV129,Identifier,0),10)),1)*(1+Calculation!$Q$6),"-")</f>
        <v>-</v>
      </c>
      <c r="CD129" s="509" t="str">
        <f ca="1">IFERROR(INDEX(Cluster!AC:AD,MATCH(IF(LEFT(BV129,4)="Pool",INDEX(Cluster!$D$29:$AA$412,MATCH(INDEX(Calculation_Tab,MATCH(INDEX($BE$4:$BJ$99,MATCH(BV129,$BE$4:$BE$99,0),3),Flow_Cell_Lane,0),3),Cluster!$F$29:$F$412,0),24),INDEX(Cluster!$D$29:$AA$412,MATCH(BV129,Cluster!$F$29:$F$412,0),24)),Cluster!AC:AC,0),2),"-")</f>
        <v>-</v>
      </c>
      <c r="CE129" s="378" t="str">
        <f ca="1">IFERROR(IF(BV129&lt;&gt;"-",Calculation!$AK$6,"-"),"-")</f>
        <v>-</v>
      </c>
      <c r="CF129" s="378" t="str">
        <f ca="1">IF(OR(LEFT(ListAndConversion!BW129,3)="Dil",LEFT(ListAndConversion!BW129,3)="Poo"),ListAndConversion!$BT$4,IF(LEFT(ListAndConversion!BW129,3)="Sou",INDEX(ListAndConversion!$AT$3:$AV$387,MATCH(ListAndConversion!BV129,ListAndConversion!$AV$3:$AV$387,0),1),"-"))</f>
        <v>-</v>
      </c>
      <c r="CG129" s="498" t="str">
        <f ca="1">IF(OR(LEFT(ListAndConversion!BW129,3)="Dil",LEFT(ListAndConversion!BW129,3)="Poo"),ListAndConversion!BU129,IF(LEFT(ListAndConversion!BW129,3)="Sou",INDEX(ListAndConversion!$AT$4:$AV$387,MATCH(ListAndConversion!BV129,ListAndConversion!$AV$4:$AV$387,0),2),"-"))</f>
        <v>-</v>
      </c>
      <c r="CH129" s="378"/>
      <c r="CI129" s="487" t="str">
        <f t="shared" ca="1" si="62"/>
        <v>-</v>
      </c>
      <c r="CJ129" s="378" t="str">
        <f t="shared" ca="1" si="78"/>
        <v>-</v>
      </c>
      <c r="CK129" s="378" t="str">
        <f t="shared" ca="1" si="78"/>
        <v>-</v>
      </c>
      <c r="CL129" s="378" t="str">
        <f t="shared" ca="1" si="78"/>
        <v>-</v>
      </c>
      <c r="CM129" s="378" t="str">
        <f t="shared" ca="1" si="78"/>
        <v>-</v>
      </c>
      <c r="CN129" s="378" t="str">
        <f t="shared" ca="1" si="78"/>
        <v>-</v>
      </c>
      <c r="CO129" s="378" t="str">
        <f t="shared" ca="1" si="78"/>
        <v>-</v>
      </c>
      <c r="CP129" s="378" t="str">
        <f t="shared" ca="1" si="78"/>
        <v>-</v>
      </c>
      <c r="CQ129" s="378" t="str">
        <f t="shared" ca="1" si="78"/>
        <v>-</v>
      </c>
      <c r="CR129" s="510" t="str">
        <f ca="1">IFERROR(IF(LEFT(BW129,3)="Poo",INDEX($BE$4:$BJ$99,MATCH(CI129,$BG$4:$BG$99,0),6)*((15/50))*Calculation!$AK$6,INDEX(Calculation_Tab,MATCH(BV129,Identifier,0),10)/(IF(LEN(INDEX(Calculation_Tab,MATCH(BV129,Identifier,0),9))&gt;8,LEN(INDEX(Calculation_Tab,MATCH(BV129,Identifier,0),9))-8,1))*((15/50)*Calculation!$AK$6)),"-")</f>
        <v>-</v>
      </c>
      <c r="CS129" s="498" t="str">
        <f ca="1">IF(CI129="-","-",IF(COUNTIF($CI$3:CI129,CI129)&gt;1,0,IFERROR((35/50)*Calculation!$AK$6,"-")))</f>
        <v>-</v>
      </c>
    </row>
    <row r="130" spans="4:97" x14ac:dyDescent="0.5">
      <c r="D130" s="487" t="e">
        <f t="shared" si="44"/>
        <v>#DIV/0!</v>
      </c>
      <c r="E130" s="496" t="e">
        <f t="array" ref="E130">IF(IF((ROW(E130)-3)&lt;(ListAndConversion!$A$15),INDEX(Flow_Cell_Lane,MIN(IF(COUNTIF($E$2:E129,Flow_Cell_Lane)=0,ROW(Flow_Cell_Lane)-9))),"-")="","-",IF((ROW(E130)-3)&lt;(ListAndConversion!$A$15),INDEX(Flow_Cell_Lane,MIN(IF(COUNTIF($E$2:E129,Flow_Cell_Lane)=0,ROW(Flow_Cell_Lane)-9))),"-"))</f>
        <v>#DIV/0!</v>
      </c>
      <c r="F130" s="378" t="e">
        <f t="shared" si="45"/>
        <v>#DIV/0!</v>
      </c>
      <c r="G130" s="378" t="e">
        <f t="shared" si="77"/>
        <v>#DIV/0!</v>
      </c>
      <c r="H130" s="378" t="e">
        <f t="shared" si="77"/>
        <v>#DIV/0!</v>
      </c>
      <c r="I130" s="378" t="e">
        <f t="shared" si="77"/>
        <v>#DIV/0!</v>
      </c>
      <c r="J130" s="378" t="e">
        <f t="shared" si="77"/>
        <v>#DIV/0!</v>
      </c>
      <c r="K130" s="378" t="e">
        <f t="shared" si="77"/>
        <v>#DIV/0!</v>
      </c>
      <c r="L130" s="378" t="e">
        <f t="shared" si="77"/>
        <v>#DIV/0!</v>
      </c>
      <c r="M130" s="378" t="e">
        <f t="shared" si="77"/>
        <v>#DIV/0!</v>
      </c>
      <c r="N130" s="497" t="e">
        <f t="shared" si="46"/>
        <v>#DIV/0!</v>
      </c>
      <c r="O130" s="497" t="str">
        <f t="array" ref="O130">IFERROR(INDEX(Calculation!I:AN,MATCH(ListAndConversion!E130,Calculation!I:I,0),31),"-")</f>
        <v>-</v>
      </c>
      <c r="P130" s="498">
        <f>IF(COUNTIFS(Calculation!$I$10:$I$393,E130,Direct_Denaturation,"-")&lt;&gt;1,COUNTIFS(Calculation!$I$10:$I$393,E130,Direct_Denaturation,"-"),0)</f>
        <v>0</v>
      </c>
      <c r="V130" s="542" t="s">
        <v>82</v>
      </c>
      <c r="W130" s="542" t="s">
        <v>82</v>
      </c>
      <c r="X130" s="542" t="s">
        <v>82</v>
      </c>
      <c r="Y130" s="542" t="s">
        <v>82</v>
      </c>
      <c r="Z130" s="542" t="s">
        <v>82</v>
      </c>
      <c r="AA130" s="542" t="s">
        <v>82</v>
      </c>
      <c r="AB130" s="542" t="s">
        <v>82</v>
      </c>
      <c r="AC130" s="542" t="s">
        <v>82</v>
      </c>
      <c r="AD130" s="542" t="s">
        <v>82</v>
      </c>
      <c r="AE130" s="542" t="s">
        <v>82</v>
      </c>
      <c r="AF130" s="542" t="s">
        <v>82</v>
      </c>
      <c r="AG130" s="542" t="s">
        <v>82</v>
      </c>
      <c r="AH130" s="9"/>
      <c r="AI130" s="487">
        <v>127</v>
      </c>
      <c r="AJ130" s="497" t="s">
        <v>161</v>
      </c>
      <c r="AK130" s="378">
        <v>31</v>
      </c>
      <c r="AL130" s="378" t="str">
        <f t="shared" ca="1" si="49"/>
        <v>-</v>
      </c>
      <c r="AM130" s="378" t="str">
        <f t="array" aca="1" ref="AM130" ca="1">IFERROR(IF(AI130&lt;=$AB$2,"-",INDEX(Calculation_Tab,SMALL(ROW(Main_Dil)*(Main_Dil&lt;&gt;"-"),COUNTIF(Main_Dil,"-")+ROW()-3-$AB$2)-9,5)),"-")</f>
        <v>-</v>
      </c>
      <c r="AN130" s="378" t="str">
        <f t="array" aca="1" ref="AN130" ca="1">IFERROR(IF(AI130&lt;=$AB$2,"-",INDEX($A$3:$B$12,MATCH(INDEX(Calculation_Tab,SMALL(ROW(Main_Dil)*(Main_Dil&lt;&gt;"-"),COUNTIF(Main_Dil,"-")+ROW()-3-$AB$2)-9,5),$A$3:$A$12,0),2)),"-")</f>
        <v>-</v>
      </c>
      <c r="AO130" s="378" t="str">
        <f t="array" aca="1" ref="AO130" ca="1">IFERROR(IF(AI130&lt;=$AB$2,"-",INDEX(Coordinate,MATCH(INDEX(Calculation_Tab,SMALL(ROW(Main_Dil)*(Main_Dil&lt;&gt;"-"),COUNTIF(Main_Dil,"-")+ROW()-3-$AB$2)-9,6),$X$4:$X$99,0),2)),"-")</f>
        <v>-</v>
      </c>
      <c r="AP130" s="510" t="str">
        <f t="array" aca="1" ref="AP130" ca="1">IFERROR(IF(AI130&lt;=$AB$2,"-",INDEX(Calculation_Tab,SMALL(ROW(Main_Dil)*(Main_Dil&lt;&gt;"-"),COUNTIF(Main_Dil,"-")+ROW()-3-$AB$2)-9,21)),"-")</f>
        <v>-</v>
      </c>
      <c r="AQ130" s="511" t="str">
        <f t="array" aca="1" ref="AQ130" ca="1">IFERROR(IF(AI130&lt;=$AB$2,"-",INDEX(Calculation_Tab,SMALL(ROW(Main_Dil)*(Main_Dil&lt;&gt;"-"),COUNTIF(Main_Dil,"-")+ROW()-3-$AB$2)-9,22)),"-")</f>
        <v>-</v>
      </c>
      <c r="AR130" s="487" t="str">
        <f t="shared" ca="1" si="50"/>
        <v>-</v>
      </c>
      <c r="AS130" s="378">
        <v>127</v>
      </c>
      <c r="AT130" s="497" t="s">
        <v>161</v>
      </c>
      <c r="AU130" s="498">
        <v>31</v>
      </c>
      <c r="AV130" s="378" t="str">
        <f t="shared" ca="1" si="51"/>
        <v>-</v>
      </c>
      <c r="AW130" s="378" t="str">
        <f t="array" aca="1" ref="AW130" ca="1">IFERROR(IF(AS130&lt;=$AB$2+$AN$2,"-",INDEX(Calculation_Tab,SMALL(ROW(Direct_Denaturation)*(Direct_Denaturation&lt;&gt;"-"),COUNTIF(Direct_Denaturation,"-")+ROW()-3-$AB$2-$AN$2)-9,5)),"-")</f>
        <v>-</v>
      </c>
      <c r="AX130" s="378" t="str">
        <f t="array" aca="1" ref="AX130" ca="1">IFERROR(IF(AS130&lt;=$AB$2+$AN$2,"-",INDEX($A$3:$B$12,MATCH(INDEX(Calculation_Tab,SMALL(ROW(Direct_Denaturation)*(Direct_Denaturation&lt;&gt;"-"),COUNTIF(Direct_Denaturation,"-")+ROW()-3-$AB$2-$AN$2)-9,5),$A$3:$A$12,0),2)),"-")</f>
        <v>-</v>
      </c>
      <c r="AY130" s="378" t="str">
        <f t="array" aca="1" ref="AY130" ca="1">IFERROR(IF(AS130&lt;=$AB$2+$AN$2,"-",INDEX(Coordinate,MATCH(INDEX(Calculation_Tab,SMALL(ROW(Direct_Denaturation)*(Direct_Denaturation&lt;&gt;"-"),COUNTIF(Direct_Denaturation,"-")+ROW()-3-$AB$2-$AN$2)-9,6),$X$4:$X$99,0),2)),"-")</f>
        <v>-</v>
      </c>
      <c r="AZ130" s="510" t="str">
        <f t="array" aca="1" ref="AZ130" ca="1">IFERROR(IF(AS130&lt;=$AB$2+$AN$2,"-",INDEX(Calculation_Tab,SMALL(ROW(Direct_Denaturation)*(Direct_Denaturation&lt;&gt;"-"),COUNTIF(Direct_Denaturation,"-")+ROW()-3-$AB$2-$AN$2)-9,32)),"-")</f>
        <v>-</v>
      </c>
      <c r="BA130" s="510" t="str">
        <f t="array" aca="1" ref="BA130" ca="1">IFERROR(IF(AS130&lt;=$AB$2+$AN$2,"-",INDEX(Calculation_Tab,SMALL(ROW(Direct_Denaturation)*(Direct_Denaturation&lt;&gt;"-"),COUNTIF(Direct_Denaturation,"-")+ROW()-3-$AB$2-$AN$2)-9,34)),"-")</f>
        <v>-</v>
      </c>
      <c r="BB130" s="510" t="str">
        <f t="array" aca="1" ref="BB130" ca="1">IFERROR(IF(AS130&lt;=$AB$2+$AN$2,"-",INDEX(Calculation_Tab,SMALL(ROW(Direct_Denaturation)*(Direct_Denaturation&lt;&gt;"-"),COUNTIF(Direct_Denaturation,"-")+ROW()-3-$AB$2-$AN$2)-9,33)),"-")</f>
        <v>-</v>
      </c>
      <c r="BC130" s="510" t="str">
        <f t="array" aca="1" ref="BC130" ca="1">IFERROR(IF(AS130&lt;=$AB$2+$AN$2,"-",INDEX(Calculation_Tab,SMALL(ROW(Direct_Denaturation)*(Direct_Denaturation&lt;&gt;"-"),COUNTIF(Direct_Denaturation,"-")+ROW()-3-$AB$2-$AN$2)-9,35)),"-")</f>
        <v>-</v>
      </c>
      <c r="BD130" s="511" t="str">
        <f t="shared" ca="1" si="52"/>
        <v>-</v>
      </c>
      <c r="BK130" s="542" t="s">
        <v>82</v>
      </c>
      <c r="BL130" s="542" t="s">
        <v>82</v>
      </c>
      <c r="BM130" s="487" t="str">
        <f t="array" aca="1" ref="BM130" ca="1">IFERROR(INDEX(Calculation_Tab,SMALL(ROW(ToPool)*(ToPool&lt;&gt;"-"),COUNTIF(ToPool,"-")+ROW()-3)-9,3),"-")</f>
        <v>-</v>
      </c>
      <c r="BN130" s="378" t="str">
        <f t="shared" ca="1" si="55"/>
        <v>-</v>
      </c>
      <c r="BO130" s="378" t="str">
        <f t="shared" ca="1" si="56"/>
        <v>-</v>
      </c>
      <c r="BP130" s="523" t="str">
        <f t="shared" ca="1" si="57"/>
        <v>-</v>
      </c>
      <c r="BQ130" s="378" t="str">
        <f t="array" aca="1" ref="BQ130" ca="1">IFERROR(INDEX(BE:BG,MATCH(INDEX(Calculation_Tab,SMALL(ROW(ToPool)*(ToPool&lt;&gt;"-"),COUNTIF(ToPool,"-")+ROW()-3)-9,9),BG:BG,0),2),"-")</f>
        <v>-</v>
      </c>
      <c r="BR130" s="510" t="str">
        <f t="shared" ca="1" si="58"/>
        <v>-</v>
      </c>
      <c r="BS130" s="511" t="str">
        <f t="shared" ca="1" si="59"/>
        <v>-</v>
      </c>
      <c r="BT130" s="543" t="s">
        <v>82</v>
      </c>
      <c r="BU130" s="487" t="str">
        <f t="shared" ca="1" si="63"/>
        <v>-</v>
      </c>
      <c r="BV130" s="487" t="str">
        <f t="array" aca="1" ref="BV13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30" s="378" t="str">
        <f t="shared" ca="1" si="60"/>
        <v>-</v>
      </c>
      <c r="BX130" s="378" t="str">
        <f t="shared" ca="1" si="61"/>
        <v>-</v>
      </c>
      <c r="BY130" s="510" t="str">
        <f ca="1">IFERROR(ROUND(INDEX(Cluster,MATCH(IF(LEFT(BV130,4)="Pool",INDEX(Cluster,MATCH(INDEX(Calculation_Tab,MATCH(INDEX($BE$4:$BJ$99,MATCH(BV130,$BE$4:$BE$99,0),3),Flow_Cell_Lane,0),3),Cluster!$F$29:$F$412,0),6),BV130),Identifier_Cluster,0),19)*IF(LEFT(BV130,4)="pool",IF(LEN(INDEX($BE$4:$BJ$99,MATCH(BV130,$BE$4:$BE$99,0),3))=10,2,IF(LEN(INDEX($BE$4:$BJ$99,MATCH(BV130,$BE$4:$BE$99,0),3))&gt;10,LEN(INDEX($BE$4:$BJ$99,MATCH(BV130,$BE$4:$BE$99,0),3))-8,1)),1)*IF(LEFT(BV130,4)="pool",IF(INDEX($BE$4:$BJ$99,MATCH(BV130,$BE$4:$BE$99,0),6)&lt;1,1,INDEX($BE$4:$BJ$99,MATCH(BV130,$BE$4:$BE$99,0),6)),INDEX(Calculation_Tab,MATCH(BV130,Identifier,0),10)),1)*(1+Calculation!$Q$6),"-")</f>
        <v>-</v>
      </c>
      <c r="BZ130" s="378" t="str">
        <f ca="1">IFERROR((0.5/50)*CE130/Calculation!$AG$6*(IF(LEFT(BV130,4)="Pool",IF(LEN(INDEX($BE$4:$BJ$99,MATCH(BV130,$BE$4:$BE$99,0),3))=10,2,IF(LEN(INDEX($BE$4:$BJ$99,MATCH(BV130,$BE$4:$BE$99,0),3))&gt;10,LEN(INDEX($BE$4:$BJ$99,MATCH(BV130,$BE$4:$BE$99,0),3))-8,1)),IF(INDEX(Calculation_Tab,MATCH(BV130,Identifier,0),10)&gt;1,INDEX(Calculation_Tab,MATCH(BV130,Identifier,0),10),1)))*(1+Calculation!$Q$6),"-")</f>
        <v>-</v>
      </c>
      <c r="CA130" s="510" t="str">
        <f ca="1">IFERROR(IF((BZ130*Calculation!$AG$6/0.05)-SUM(BY130:BZ130,CC130)&gt;0,(BZ130*Calculation!$AG$6/0.05)-SUM(BY130:BZ130,CC130),0),"-")</f>
        <v>-</v>
      </c>
      <c r="CB130" s="510" t="str">
        <f ca="1">IFERROR(5/50*CE130*(IF(LEFT(BV130,4)="Pool",IF(LEN(INDEX($BE$4:$BJ$99,MATCH(BV130,$BE$4:$BE$99,0),3))=10,2,IF(LEN(INDEX($BE$4:$BJ$99,MATCH(BV130,$BE$4:$BE$99,0),3))&gt;10,LEN(INDEX($BE$4:$BJ$99,MATCH(BV130,$BE$4:$BE$99,0),3))-8,1)),IF(INDEX(Calculation_Tab,MATCH(BV130,Identifier,0),10)&gt;1,INDEX(Calculation_Tab,MATCH(BV130,Identifier,0),10),1)))*(1+Calculation!$Q$6),"-")</f>
        <v>-</v>
      </c>
      <c r="CC130" s="508" t="str">
        <f ca="1">IFERROR(ROUND(INDEX(Cluster,MATCH(IF(LEFT(BV130,4)="Pool",INDEX(Cluster,MATCH(INDEX(Calculation_Tab,MATCH(INDEX($BE$4:$BJ$99,MATCH(BV130,$BE$4:$BE$99,0),3),Flow_Cell_Lane,0),3),Cluster!$F$29:$F$412,0),6),BV130),Identifier_Cluster,0),20)*IF(LEFT(BV130,4)="pool",IF(LEN(INDEX($BE$4:$BJ$99,MATCH(BV130,$BE$4:$BE$99,0),3))=10,2,IF(LEN(INDEX($BE$4:$BJ$99,MATCH(BV130,$BE$4:$BE$99,0),3))&gt;10,LEN(INDEX($BE$4:$BJ$99,MATCH(BV130,$BE$4:$BE$99,0),3))-8,1)),1)*IF(LEFT(BV130,4)="pool",IF(INDEX($BE$4:$BJ$99,MATCH(BV130,$BE$4:$BE$99,0),6)&lt;1,1,INDEX($BE$4:$BJ$99,MATCH(BV130,$BE$4:$BE$99,0),6)),INDEX(Calculation_Tab,MATCH(BV130,Identifier,0),10)),1)*(1+Calculation!$Q$6),"-")</f>
        <v>-</v>
      </c>
      <c r="CD130" s="509" t="str">
        <f ca="1">IFERROR(INDEX(Cluster!AC:AD,MATCH(IF(LEFT(BV130,4)="Pool",INDEX(Cluster!$D$29:$AA$412,MATCH(INDEX(Calculation_Tab,MATCH(INDEX($BE$4:$BJ$99,MATCH(BV130,$BE$4:$BE$99,0),3),Flow_Cell_Lane,0),3),Cluster!$F$29:$F$412,0),24),INDEX(Cluster!$D$29:$AA$412,MATCH(BV130,Cluster!$F$29:$F$412,0),24)),Cluster!AC:AC,0),2),"-")</f>
        <v>-</v>
      </c>
      <c r="CE130" s="378" t="str">
        <f ca="1">IFERROR(IF(BV130&lt;&gt;"-",Calculation!$AK$6,"-"),"-")</f>
        <v>-</v>
      </c>
      <c r="CF130" s="378" t="str">
        <f ca="1">IF(OR(LEFT(ListAndConversion!BW130,3)="Dil",LEFT(ListAndConversion!BW130,3)="Poo"),ListAndConversion!$BT$4,IF(LEFT(ListAndConversion!BW130,3)="Sou",INDEX(ListAndConversion!$AT$3:$AV$387,MATCH(ListAndConversion!BV130,ListAndConversion!$AV$3:$AV$387,0),1),"-"))</f>
        <v>-</v>
      </c>
      <c r="CG130" s="498" t="str">
        <f ca="1">IF(OR(LEFT(ListAndConversion!BW130,3)="Dil",LEFT(ListAndConversion!BW130,3)="Poo"),ListAndConversion!BU130,IF(LEFT(ListAndConversion!BW130,3)="Sou",INDEX(ListAndConversion!$AT$4:$AV$387,MATCH(ListAndConversion!BV130,ListAndConversion!$AV$4:$AV$387,0),2),"-"))</f>
        <v>-</v>
      </c>
      <c r="CH130" s="378"/>
      <c r="CI130" s="487" t="str">
        <f t="shared" ca="1" si="62"/>
        <v>-</v>
      </c>
      <c r="CJ130" s="378" t="str">
        <f t="shared" ca="1" si="78"/>
        <v>-</v>
      </c>
      <c r="CK130" s="378" t="str">
        <f t="shared" ca="1" si="78"/>
        <v>-</v>
      </c>
      <c r="CL130" s="378" t="str">
        <f t="shared" ca="1" si="78"/>
        <v>-</v>
      </c>
      <c r="CM130" s="378" t="str">
        <f t="shared" ca="1" si="78"/>
        <v>-</v>
      </c>
      <c r="CN130" s="378" t="str">
        <f t="shared" ca="1" si="78"/>
        <v>-</v>
      </c>
      <c r="CO130" s="378" t="str">
        <f t="shared" ca="1" si="78"/>
        <v>-</v>
      </c>
      <c r="CP130" s="378" t="str">
        <f t="shared" ca="1" si="78"/>
        <v>-</v>
      </c>
      <c r="CQ130" s="378" t="str">
        <f t="shared" ca="1" si="78"/>
        <v>-</v>
      </c>
      <c r="CR130" s="510" t="str">
        <f ca="1">IFERROR(IF(LEFT(BW130,3)="Poo",INDEX($BE$4:$BJ$99,MATCH(CI130,$BG$4:$BG$99,0),6)*((15/50))*Calculation!$AK$6,INDEX(Calculation_Tab,MATCH(BV130,Identifier,0),10)/(IF(LEN(INDEX(Calculation_Tab,MATCH(BV130,Identifier,0),9))&gt;8,LEN(INDEX(Calculation_Tab,MATCH(BV130,Identifier,0),9))-8,1))*((15/50)*Calculation!$AK$6)),"-")</f>
        <v>-</v>
      </c>
      <c r="CS130" s="498" t="str">
        <f ca="1">IF(CI130="-","-",IF(COUNTIF($CI$3:CI130,CI130)&gt;1,0,IFERROR((35/50)*Calculation!$AK$6,"-")))</f>
        <v>-</v>
      </c>
    </row>
    <row r="131" spans="4:97" x14ac:dyDescent="0.5">
      <c r="D131" s="487" t="e">
        <f t="shared" ref="D131:D194" si="79">LEN(E131)</f>
        <v>#DIV/0!</v>
      </c>
      <c r="E131" s="496" t="e">
        <f t="array" ref="E131">IF(IF((ROW(E131)-3)&lt;(ListAndConversion!$A$15),INDEX(Flow_Cell_Lane,MIN(IF(COUNTIF($E$2:E130,Flow_Cell_Lane)=0,ROW(Flow_Cell_Lane)-9))),"-")="","-",IF((ROW(E131)-3)&lt;(ListAndConversion!$A$15),INDEX(Flow_Cell_Lane,MIN(IF(COUNTIF($E$2:E130,Flow_Cell_Lane)=0,ROW(Flow_Cell_Lane)-9))),"-"))</f>
        <v>#DIV/0!</v>
      </c>
      <c r="F131" s="378" t="e">
        <f t="shared" ref="F131:F194" si="80">IF(D131&gt;=8,LEFT(E131,8),"")</f>
        <v>#DIV/0!</v>
      </c>
      <c r="G131" s="378" t="e">
        <f t="shared" si="77"/>
        <v>#DIV/0!</v>
      </c>
      <c r="H131" s="378" t="e">
        <f t="shared" si="77"/>
        <v>#DIV/0!</v>
      </c>
      <c r="I131" s="378" t="e">
        <f t="shared" si="77"/>
        <v>#DIV/0!</v>
      </c>
      <c r="J131" s="378" t="e">
        <f t="shared" si="77"/>
        <v>#DIV/0!</v>
      </c>
      <c r="K131" s="378" t="e">
        <f t="shared" si="77"/>
        <v>#DIV/0!</v>
      </c>
      <c r="L131" s="378" t="e">
        <f t="shared" si="77"/>
        <v>#DIV/0!</v>
      </c>
      <c r="M131" s="378" t="e">
        <f t="shared" si="77"/>
        <v>#DIV/0!</v>
      </c>
      <c r="N131" s="497" t="e">
        <f t="shared" ref="N131:N194" si="81">IF(E131="-","-",RIGHT(E131,D131-7))</f>
        <v>#DIV/0!</v>
      </c>
      <c r="O131" s="497" t="str">
        <f t="array" ref="O131">IFERROR(INDEX(Calculation!I:AN,MATCH(ListAndConversion!E131,Calculation!I:I,0),31),"-")</f>
        <v>-</v>
      </c>
      <c r="P131" s="498">
        <f>IF(COUNTIFS(Calculation!$I$10:$I$393,E131,Direct_Denaturation,"-")&lt;&gt;1,COUNTIFS(Calculation!$I$10:$I$393,E131,Direct_Denaturation,"-"),0)</f>
        <v>0</v>
      </c>
      <c r="V131" s="542" t="s">
        <v>82</v>
      </c>
      <c r="W131" s="542" t="s">
        <v>82</v>
      </c>
      <c r="X131" s="542" t="s">
        <v>82</v>
      </c>
      <c r="Y131" s="542" t="s">
        <v>82</v>
      </c>
      <c r="Z131" s="542" t="s">
        <v>82</v>
      </c>
      <c r="AA131" s="542" t="s">
        <v>82</v>
      </c>
      <c r="AB131" s="542" t="s">
        <v>82</v>
      </c>
      <c r="AC131" s="542" t="s">
        <v>82</v>
      </c>
      <c r="AD131" s="542" t="s">
        <v>82</v>
      </c>
      <c r="AE131" s="542" t="s">
        <v>82</v>
      </c>
      <c r="AF131" s="542" t="s">
        <v>82</v>
      </c>
      <c r="AG131" s="542" t="s">
        <v>82</v>
      </c>
      <c r="AH131" s="9"/>
      <c r="AI131" s="487">
        <v>128</v>
      </c>
      <c r="AJ131" s="497" t="s">
        <v>161</v>
      </c>
      <c r="AK131" s="378">
        <v>32</v>
      </c>
      <c r="AL131" s="378" t="str">
        <f t="shared" ca="1" si="49"/>
        <v>-</v>
      </c>
      <c r="AM131" s="378" t="str">
        <f t="array" aca="1" ref="AM131" ca="1">IFERROR(IF(AI131&lt;=$AB$2,"-",INDEX(Calculation_Tab,SMALL(ROW(Main_Dil)*(Main_Dil&lt;&gt;"-"),COUNTIF(Main_Dil,"-")+ROW()-3-$AB$2)-9,5)),"-")</f>
        <v>-</v>
      </c>
      <c r="AN131" s="378" t="str">
        <f t="array" aca="1" ref="AN131" ca="1">IFERROR(IF(AI131&lt;=$AB$2,"-",INDEX($A$3:$B$12,MATCH(INDEX(Calculation_Tab,SMALL(ROW(Main_Dil)*(Main_Dil&lt;&gt;"-"),COUNTIF(Main_Dil,"-")+ROW()-3-$AB$2)-9,5),$A$3:$A$12,0),2)),"-")</f>
        <v>-</v>
      </c>
      <c r="AO131" s="378" t="str">
        <f t="array" aca="1" ref="AO131" ca="1">IFERROR(IF(AI131&lt;=$AB$2,"-",INDEX(Coordinate,MATCH(INDEX(Calculation_Tab,SMALL(ROW(Main_Dil)*(Main_Dil&lt;&gt;"-"),COUNTIF(Main_Dil,"-")+ROW()-3-$AB$2)-9,6),$X$4:$X$99,0),2)),"-")</f>
        <v>-</v>
      </c>
      <c r="AP131" s="510" t="str">
        <f t="array" aca="1" ref="AP131" ca="1">IFERROR(IF(AI131&lt;=$AB$2,"-",INDEX(Calculation_Tab,SMALL(ROW(Main_Dil)*(Main_Dil&lt;&gt;"-"),COUNTIF(Main_Dil,"-")+ROW()-3-$AB$2)-9,21)),"-")</f>
        <v>-</v>
      </c>
      <c r="AQ131" s="511" t="str">
        <f t="array" aca="1" ref="AQ131" ca="1">IFERROR(IF(AI131&lt;=$AB$2,"-",INDEX(Calculation_Tab,SMALL(ROW(Main_Dil)*(Main_Dil&lt;&gt;"-"),COUNTIF(Main_Dil,"-")+ROW()-3-$AB$2)-9,22)),"-")</f>
        <v>-</v>
      </c>
      <c r="AR131" s="487" t="str">
        <f t="shared" ca="1" si="50"/>
        <v>-</v>
      </c>
      <c r="AS131" s="378">
        <v>128</v>
      </c>
      <c r="AT131" s="497" t="s">
        <v>161</v>
      </c>
      <c r="AU131" s="498">
        <v>32</v>
      </c>
      <c r="AV131" s="378" t="str">
        <f t="shared" ca="1" si="51"/>
        <v>-</v>
      </c>
      <c r="AW131" s="378" t="str">
        <f t="array" aca="1" ref="AW131" ca="1">IFERROR(IF(AS131&lt;=$AB$2+$AN$2,"-",INDEX(Calculation_Tab,SMALL(ROW(Direct_Denaturation)*(Direct_Denaturation&lt;&gt;"-"),COUNTIF(Direct_Denaturation,"-")+ROW()-3-$AB$2-$AN$2)-9,5)),"-")</f>
        <v>-</v>
      </c>
      <c r="AX131" s="378" t="str">
        <f t="array" aca="1" ref="AX131" ca="1">IFERROR(IF(AS131&lt;=$AB$2+$AN$2,"-",INDEX($A$3:$B$12,MATCH(INDEX(Calculation_Tab,SMALL(ROW(Direct_Denaturation)*(Direct_Denaturation&lt;&gt;"-"),COUNTIF(Direct_Denaturation,"-")+ROW()-3-$AB$2-$AN$2)-9,5),$A$3:$A$12,0),2)),"-")</f>
        <v>-</v>
      </c>
      <c r="AY131" s="378" t="str">
        <f t="array" aca="1" ref="AY131" ca="1">IFERROR(IF(AS131&lt;=$AB$2+$AN$2,"-",INDEX(Coordinate,MATCH(INDEX(Calculation_Tab,SMALL(ROW(Direct_Denaturation)*(Direct_Denaturation&lt;&gt;"-"),COUNTIF(Direct_Denaturation,"-")+ROW()-3-$AB$2-$AN$2)-9,6),$X$4:$X$99,0),2)),"-")</f>
        <v>-</v>
      </c>
      <c r="AZ131" s="510" t="str">
        <f t="array" aca="1" ref="AZ131" ca="1">IFERROR(IF(AS131&lt;=$AB$2+$AN$2,"-",INDEX(Calculation_Tab,SMALL(ROW(Direct_Denaturation)*(Direct_Denaturation&lt;&gt;"-"),COUNTIF(Direct_Denaturation,"-")+ROW()-3-$AB$2-$AN$2)-9,32)),"-")</f>
        <v>-</v>
      </c>
      <c r="BA131" s="510" t="str">
        <f t="array" aca="1" ref="BA131" ca="1">IFERROR(IF(AS131&lt;=$AB$2+$AN$2,"-",INDEX(Calculation_Tab,SMALL(ROW(Direct_Denaturation)*(Direct_Denaturation&lt;&gt;"-"),COUNTIF(Direct_Denaturation,"-")+ROW()-3-$AB$2-$AN$2)-9,34)),"-")</f>
        <v>-</v>
      </c>
      <c r="BB131" s="510" t="str">
        <f t="array" aca="1" ref="BB131" ca="1">IFERROR(IF(AS131&lt;=$AB$2+$AN$2,"-",INDEX(Calculation_Tab,SMALL(ROW(Direct_Denaturation)*(Direct_Denaturation&lt;&gt;"-"),COUNTIF(Direct_Denaturation,"-")+ROW()-3-$AB$2-$AN$2)-9,33)),"-")</f>
        <v>-</v>
      </c>
      <c r="BC131" s="510" t="str">
        <f t="array" aca="1" ref="BC131" ca="1">IFERROR(IF(AS131&lt;=$AB$2+$AN$2,"-",INDEX(Calculation_Tab,SMALL(ROW(Direct_Denaturation)*(Direct_Denaturation&lt;&gt;"-"),COUNTIF(Direct_Denaturation,"-")+ROW()-3-$AB$2-$AN$2)-9,35)),"-")</f>
        <v>-</v>
      </c>
      <c r="BD131" s="511" t="str">
        <f t="shared" ca="1" si="52"/>
        <v>-</v>
      </c>
      <c r="BK131" s="542" t="s">
        <v>82</v>
      </c>
      <c r="BL131" s="542" t="s">
        <v>82</v>
      </c>
      <c r="BM131" s="487" t="str">
        <f t="array" aca="1" ref="BM131" ca="1">IFERROR(INDEX(Calculation_Tab,SMALL(ROW(ToPool)*(ToPool&lt;&gt;"-"),COUNTIF(ToPool,"-")+ROW()-3)-9,3),"-")</f>
        <v>-</v>
      </c>
      <c r="BN131" s="378" t="str">
        <f t="shared" ca="1" si="55"/>
        <v>-</v>
      </c>
      <c r="BO131" s="378" t="str">
        <f t="shared" ca="1" si="56"/>
        <v>-</v>
      </c>
      <c r="BP131" s="523" t="str">
        <f t="shared" ca="1" si="57"/>
        <v>-</v>
      </c>
      <c r="BQ131" s="378" t="str">
        <f t="array" aca="1" ref="BQ131" ca="1">IFERROR(INDEX(BE:BG,MATCH(INDEX(Calculation_Tab,SMALL(ROW(ToPool)*(ToPool&lt;&gt;"-"),COUNTIF(ToPool,"-")+ROW()-3)-9,9),BG:BG,0),2),"-")</f>
        <v>-</v>
      </c>
      <c r="BR131" s="510" t="str">
        <f t="shared" ca="1" si="58"/>
        <v>-</v>
      </c>
      <c r="BS131" s="511" t="str">
        <f t="shared" ca="1" si="59"/>
        <v>-</v>
      </c>
      <c r="BT131" s="543" t="s">
        <v>82</v>
      </c>
      <c r="BU131" s="487" t="str">
        <f t="shared" ca="1" si="63"/>
        <v>-</v>
      </c>
      <c r="BV131" s="487" t="str">
        <f t="array" aca="1" ref="BV13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31" s="378" t="str">
        <f t="shared" ca="1" si="60"/>
        <v>-</v>
      </c>
      <c r="BX131" s="378" t="str">
        <f t="shared" ca="1" si="61"/>
        <v>-</v>
      </c>
      <c r="BY131" s="510" t="str">
        <f ca="1">IFERROR(ROUND(INDEX(Cluster,MATCH(IF(LEFT(BV131,4)="Pool",INDEX(Cluster,MATCH(INDEX(Calculation_Tab,MATCH(INDEX($BE$4:$BJ$99,MATCH(BV131,$BE$4:$BE$99,0),3),Flow_Cell_Lane,0),3),Cluster!$F$29:$F$412,0),6),BV131),Identifier_Cluster,0),19)*IF(LEFT(BV131,4)="pool",IF(LEN(INDEX($BE$4:$BJ$99,MATCH(BV131,$BE$4:$BE$99,0),3))=10,2,IF(LEN(INDEX($BE$4:$BJ$99,MATCH(BV131,$BE$4:$BE$99,0),3))&gt;10,LEN(INDEX($BE$4:$BJ$99,MATCH(BV131,$BE$4:$BE$99,0),3))-8,1)),1)*IF(LEFT(BV131,4)="pool",IF(INDEX($BE$4:$BJ$99,MATCH(BV131,$BE$4:$BE$99,0),6)&lt;1,1,INDEX($BE$4:$BJ$99,MATCH(BV131,$BE$4:$BE$99,0),6)),INDEX(Calculation_Tab,MATCH(BV131,Identifier,0),10)),1)*(1+Calculation!$Q$6),"-")</f>
        <v>-</v>
      </c>
      <c r="BZ131" s="378" t="str">
        <f ca="1">IFERROR((0.5/50)*CE131/Calculation!$AG$6*(IF(LEFT(BV131,4)="Pool",IF(LEN(INDEX($BE$4:$BJ$99,MATCH(BV131,$BE$4:$BE$99,0),3))=10,2,IF(LEN(INDEX($BE$4:$BJ$99,MATCH(BV131,$BE$4:$BE$99,0),3))&gt;10,LEN(INDEX($BE$4:$BJ$99,MATCH(BV131,$BE$4:$BE$99,0),3))-8,1)),IF(INDEX(Calculation_Tab,MATCH(BV131,Identifier,0),10)&gt;1,INDEX(Calculation_Tab,MATCH(BV131,Identifier,0),10),1)))*(1+Calculation!$Q$6),"-")</f>
        <v>-</v>
      </c>
      <c r="CA131" s="510" t="str">
        <f ca="1">IFERROR(IF((BZ131*Calculation!$AG$6/0.05)-SUM(BY131:BZ131,CC131)&gt;0,(BZ131*Calculation!$AG$6/0.05)-SUM(BY131:BZ131,CC131),0),"-")</f>
        <v>-</v>
      </c>
      <c r="CB131" s="510" t="str">
        <f ca="1">IFERROR(5/50*CE131*(IF(LEFT(BV131,4)="Pool",IF(LEN(INDEX($BE$4:$BJ$99,MATCH(BV131,$BE$4:$BE$99,0),3))=10,2,IF(LEN(INDEX($BE$4:$BJ$99,MATCH(BV131,$BE$4:$BE$99,0),3))&gt;10,LEN(INDEX($BE$4:$BJ$99,MATCH(BV131,$BE$4:$BE$99,0),3))-8,1)),IF(INDEX(Calculation_Tab,MATCH(BV131,Identifier,0),10)&gt;1,INDEX(Calculation_Tab,MATCH(BV131,Identifier,0),10),1)))*(1+Calculation!$Q$6),"-")</f>
        <v>-</v>
      </c>
      <c r="CC131" s="508" t="str">
        <f ca="1">IFERROR(ROUND(INDEX(Cluster,MATCH(IF(LEFT(BV131,4)="Pool",INDEX(Cluster,MATCH(INDEX(Calculation_Tab,MATCH(INDEX($BE$4:$BJ$99,MATCH(BV131,$BE$4:$BE$99,0),3),Flow_Cell_Lane,0),3),Cluster!$F$29:$F$412,0),6),BV131),Identifier_Cluster,0),20)*IF(LEFT(BV131,4)="pool",IF(LEN(INDEX($BE$4:$BJ$99,MATCH(BV131,$BE$4:$BE$99,0),3))=10,2,IF(LEN(INDEX($BE$4:$BJ$99,MATCH(BV131,$BE$4:$BE$99,0),3))&gt;10,LEN(INDEX($BE$4:$BJ$99,MATCH(BV131,$BE$4:$BE$99,0),3))-8,1)),1)*IF(LEFT(BV131,4)="pool",IF(INDEX($BE$4:$BJ$99,MATCH(BV131,$BE$4:$BE$99,0),6)&lt;1,1,INDEX($BE$4:$BJ$99,MATCH(BV131,$BE$4:$BE$99,0),6)),INDEX(Calculation_Tab,MATCH(BV131,Identifier,0),10)),1)*(1+Calculation!$Q$6),"-")</f>
        <v>-</v>
      </c>
      <c r="CD131" s="509" t="str">
        <f ca="1">IFERROR(INDEX(Cluster!AC:AD,MATCH(IF(LEFT(BV131,4)="Pool",INDEX(Cluster!$D$29:$AA$412,MATCH(INDEX(Calculation_Tab,MATCH(INDEX($BE$4:$BJ$99,MATCH(BV131,$BE$4:$BE$99,0),3),Flow_Cell_Lane,0),3),Cluster!$F$29:$F$412,0),24),INDEX(Cluster!$D$29:$AA$412,MATCH(BV131,Cluster!$F$29:$F$412,0),24)),Cluster!AC:AC,0),2),"-")</f>
        <v>-</v>
      </c>
      <c r="CE131" s="378" t="str">
        <f ca="1">IFERROR(IF(BV131&lt;&gt;"-",Calculation!$AK$6,"-"),"-")</f>
        <v>-</v>
      </c>
      <c r="CF131" s="378" t="str">
        <f ca="1">IF(OR(LEFT(ListAndConversion!BW131,3)="Dil",LEFT(ListAndConversion!BW131,3)="Poo"),ListAndConversion!$BT$4,IF(LEFT(ListAndConversion!BW131,3)="Sou",INDEX(ListAndConversion!$AT$3:$AV$387,MATCH(ListAndConversion!BV131,ListAndConversion!$AV$3:$AV$387,0),1),"-"))</f>
        <v>-</v>
      </c>
      <c r="CG131" s="498" t="str">
        <f ca="1">IF(OR(LEFT(ListAndConversion!BW131,3)="Dil",LEFT(ListAndConversion!BW131,3)="Poo"),ListAndConversion!BU131,IF(LEFT(ListAndConversion!BW131,3)="Sou",INDEX(ListAndConversion!$AT$4:$AV$387,MATCH(ListAndConversion!BV131,ListAndConversion!$AV$4:$AV$387,0),2),"-"))</f>
        <v>-</v>
      </c>
      <c r="CH131" s="378"/>
      <c r="CI131" s="487" t="str">
        <f t="shared" ca="1" si="62"/>
        <v>-</v>
      </c>
      <c r="CJ131" s="378" t="str">
        <f t="shared" ca="1" si="78"/>
        <v>-</v>
      </c>
      <c r="CK131" s="378" t="str">
        <f t="shared" ca="1" si="78"/>
        <v>-</v>
      </c>
      <c r="CL131" s="378" t="str">
        <f t="shared" ca="1" si="78"/>
        <v>-</v>
      </c>
      <c r="CM131" s="378" t="str">
        <f t="shared" ca="1" si="78"/>
        <v>-</v>
      </c>
      <c r="CN131" s="378" t="str">
        <f t="shared" ca="1" si="78"/>
        <v>-</v>
      </c>
      <c r="CO131" s="378" t="str">
        <f t="shared" ca="1" si="78"/>
        <v>-</v>
      </c>
      <c r="CP131" s="378" t="str">
        <f t="shared" ca="1" si="78"/>
        <v>-</v>
      </c>
      <c r="CQ131" s="378" t="str">
        <f t="shared" ca="1" si="78"/>
        <v>-</v>
      </c>
      <c r="CR131" s="510" t="str">
        <f ca="1">IFERROR(IF(LEFT(BW131,3)="Poo",INDEX($BE$4:$BJ$99,MATCH(CI131,$BG$4:$BG$99,0),6)*((15/50))*Calculation!$AK$6,INDEX(Calculation_Tab,MATCH(BV131,Identifier,0),10)/(IF(LEN(INDEX(Calculation_Tab,MATCH(BV131,Identifier,0),9))&gt;8,LEN(INDEX(Calculation_Tab,MATCH(BV131,Identifier,0),9))-8,1))*((15/50)*Calculation!$AK$6)),"-")</f>
        <v>-</v>
      </c>
      <c r="CS131" s="498" t="str">
        <f ca="1">IF(CI131="-","-",IF(COUNTIF($CI$3:CI131,CI131)&gt;1,0,IFERROR((35/50)*Calculation!$AK$6,"-")))</f>
        <v>-</v>
      </c>
    </row>
    <row r="132" spans="4:97" x14ac:dyDescent="0.5">
      <c r="D132" s="487" t="e">
        <f t="shared" si="79"/>
        <v>#DIV/0!</v>
      </c>
      <c r="E132" s="496" t="e">
        <f t="array" ref="E132">IF(IF((ROW(E132)-3)&lt;(ListAndConversion!$A$15),INDEX(Flow_Cell_Lane,MIN(IF(COUNTIF($E$2:E131,Flow_Cell_Lane)=0,ROW(Flow_Cell_Lane)-9))),"-")="","-",IF((ROW(E132)-3)&lt;(ListAndConversion!$A$15),INDEX(Flow_Cell_Lane,MIN(IF(COUNTIF($E$2:E131,Flow_Cell_Lane)=0,ROW(Flow_Cell_Lane)-9))),"-"))</f>
        <v>#DIV/0!</v>
      </c>
      <c r="F132" s="378" t="e">
        <f t="shared" si="80"/>
        <v>#DIV/0!</v>
      </c>
      <c r="G132" s="378" t="e">
        <f t="shared" si="77"/>
        <v>#DIV/0!</v>
      </c>
      <c r="H132" s="378" t="e">
        <f t="shared" si="77"/>
        <v>#DIV/0!</v>
      </c>
      <c r="I132" s="378" t="e">
        <f t="shared" si="77"/>
        <v>#DIV/0!</v>
      </c>
      <c r="J132" s="378" t="e">
        <f t="shared" si="77"/>
        <v>#DIV/0!</v>
      </c>
      <c r="K132" s="378" t="e">
        <f t="shared" si="77"/>
        <v>#DIV/0!</v>
      </c>
      <c r="L132" s="378" t="e">
        <f t="shared" si="77"/>
        <v>#DIV/0!</v>
      </c>
      <c r="M132" s="378" t="e">
        <f t="shared" si="77"/>
        <v>#DIV/0!</v>
      </c>
      <c r="N132" s="497" t="e">
        <f t="shared" si="81"/>
        <v>#DIV/0!</v>
      </c>
      <c r="O132" s="497" t="str">
        <f t="array" ref="O132">IFERROR(INDEX(Calculation!I:AN,MATCH(ListAndConversion!E132,Calculation!I:I,0),31),"-")</f>
        <v>-</v>
      </c>
      <c r="P132" s="498">
        <f>IF(COUNTIFS(Calculation!$I$10:$I$393,E132,Direct_Denaturation,"-")&lt;&gt;1,COUNTIFS(Calculation!$I$10:$I$393,E132,Direct_Denaturation,"-"),0)</f>
        <v>0</v>
      </c>
      <c r="V132" s="542" t="s">
        <v>82</v>
      </c>
      <c r="W132" s="542" t="s">
        <v>82</v>
      </c>
      <c r="X132" s="542" t="s">
        <v>82</v>
      </c>
      <c r="Y132" s="542" t="s">
        <v>82</v>
      </c>
      <c r="Z132" s="542" t="s">
        <v>82</v>
      </c>
      <c r="AA132" s="542" t="s">
        <v>82</v>
      </c>
      <c r="AB132" s="542" t="s">
        <v>82</v>
      </c>
      <c r="AC132" s="542" t="s">
        <v>82</v>
      </c>
      <c r="AD132" s="542" t="s">
        <v>82</v>
      </c>
      <c r="AE132" s="542" t="s">
        <v>82</v>
      </c>
      <c r="AF132" s="542" t="s">
        <v>82</v>
      </c>
      <c r="AG132" s="542" t="s">
        <v>82</v>
      </c>
      <c r="AH132" s="9"/>
      <c r="AI132" s="487">
        <v>129</v>
      </c>
      <c r="AJ132" s="497" t="s">
        <v>161</v>
      </c>
      <c r="AK132" s="378">
        <v>33</v>
      </c>
      <c r="AL132" s="378" t="str">
        <f t="shared" ref="AL132:AL195" ca="1" si="82">IF(AM132&lt;&gt;"-",CONCATENATE(AM132,"-",AO132),"-")</f>
        <v>-</v>
      </c>
      <c r="AM132" s="378" t="str">
        <f t="array" aca="1" ref="AM132" ca="1">IFERROR(IF(AI132&lt;=$AB$2,"-",INDEX(Calculation_Tab,SMALL(ROW(Main_Dil)*(Main_Dil&lt;&gt;"-"),COUNTIF(Main_Dil,"-")+ROW()-3-$AB$2)-9,5)),"-")</f>
        <v>-</v>
      </c>
      <c r="AN132" s="378" t="str">
        <f t="array" aca="1" ref="AN132" ca="1">IFERROR(IF(AI132&lt;=$AB$2,"-",INDEX($A$3:$B$12,MATCH(INDEX(Calculation_Tab,SMALL(ROW(Main_Dil)*(Main_Dil&lt;&gt;"-"),COUNTIF(Main_Dil,"-")+ROW()-3-$AB$2)-9,5),$A$3:$A$12,0),2)),"-")</f>
        <v>-</v>
      </c>
      <c r="AO132" s="378" t="str">
        <f t="array" aca="1" ref="AO132" ca="1">IFERROR(IF(AI132&lt;=$AB$2,"-",INDEX(Coordinate,MATCH(INDEX(Calculation_Tab,SMALL(ROW(Main_Dil)*(Main_Dil&lt;&gt;"-"),COUNTIF(Main_Dil,"-")+ROW()-3-$AB$2)-9,6),$X$4:$X$99,0),2)),"-")</f>
        <v>-</v>
      </c>
      <c r="AP132" s="510" t="str">
        <f t="array" aca="1" ref="AP132" ca="1">IFERROR(IF(AI132&lt;=$AB$2,"-",INDEX(Calculation_Tab,SMALL(ROW(Main_Dil)*(Main_Dil&lt;&gt;"-"),COUNTIF(Main_Dil,"-")+ROW()-3-$AB$2)-9,21)),"-")</f>
        <v>-</v>
      </c>
      <c r="AQ132" s="511" t="str">
        <f t="array" aca="1" ref="AQ132" ca="1">IFERROR(IF(AI132&lt;=$AB$2,"-",INDEX(Calculation_Tab,SMALL(ROW(Main_Dil)*(Main_Dil&lt;&gt;"-"),COUNTIF(Main_Dil,"-")+ROW()-3-$AB$2)-9,22)),"-")</f>
        <v>-</v>
      </c>
      <c r="AR132" s="487" t="str">
        <f t="shared" ref="AR132:AR195" ca="1" si="83">IFERROR(INDEX(Calculation_Tab,MATCH(AV132,Identifier,0),9),"-")</f>
        <v>-</v>
      </c>
      <c r="AS132" s="378">
        <v>129</v>
      </c>
      <c r="AT132" s="497" t="s">
        <v>161</v>
      </c>
      <c r="AU132" s="498">
        <v>33</v>
      </c>
      <c r="AV132" s="378" t="str">
        <f t="shared" ref="AV132:AV195" ca="1" si="84">IF(AW132&lt;&gt;"-",CONCATENATE(AW132,"-",AY132),"-")</f>
        <v>-</v>
      </c>
      <c r="AW132" s="378" t="str">
        <f t="array" aca="1" ref="AW132" ca="1">IFERROR(IF(AS132&lt;=$AB$2+$AN$2,"-",INDEX(Calculation_Tab,SMALL(ROW(Direct_Denaturation)*(Direct_Denaturation&lt;&gt;"-"),COUNTIF(Direct_Denaturation,"-")+ROW()-3-$AB$2-$AN$2)-9,5)),"-")</f>
        <v>-</v>
      </c>
      <c r="AX132" s="378" t="str">
        <f t="array" aca="1" ref="AX132" ca="1">IFERROR(IF(AS132&lt;=$AB$2+$AN$2,"-",INDEX($A$3:$B$12,MATCH(INDEX(Calculation_Tab,SMALL(ROW(Direct_Denaturation)*(Direct_Denaturation&lt;&gt;"-"),COUNTIF(Direct_Denaturation,"-")+ROW()-3-$AB$2-$AN$2)-9,5),$A$3:$A$12,0),2)),"-")</f>
        <v>-</v>
      </c>
      <c r="AY132" s="378" t="str">
        <f t="array" aca="1" ref="AY132" ca="1">IFERROR(IF(AS132&lt;=$AB$2+$AN$2,"-",INDEX(Coordinate,MATCH(INDEX(Calculation_Tab,SMALL(ROW(Direct_Denaturation)*(Direct_Denaturation&lt;&gt;"-"),COUNTIF(Direct_Denaturation,"-")+ROW()-3-$AB$2-$AN$2)-9,6),$X$4:$X$99,0),2)),"-")</f>
        <v>-</v>
      </c>
      <c r="AZ132" s="510" t="str">
        <f t="array" aca="1" ref="AZ132" ca="1">IFERROR(IF(AS132&lt;=$AB$2+$AN$2,"-",INDEX(Calculation_Tab,SMALL(ROW(Direct_Denaturation)*(Direct_Denaturation&lt;&gt;"-"),COUNTIF(Direct_Denaturation,"-")+ROW()-3-$AB$2-$AN$2)-9,32)),"-")</f>
        <v>-</v>
      </c>
      <c r="BA132" s="510" t="str">
        <f t="array" aca="1" ref="BA132" ca="1">IFERROR(IF(AS132&lt;=$AB$2+$AN$2,"-",INDEX(Calculation_Tab,SMALL(ROW(Direct_Denaturation)*(Direct_Denaturation&lt;&gt;"-"),COUNTIF(Direct_Denaturation,"-")+ROW()-3-$AB$2-$AN$2)-9,34)),"-")</f>
        <v>-</v>
      </c>
      <c r="BB132" s="510" t="str">
        <f t="array" aca="1" ref="BB132" ca="1">IFERROR(IF(AS132&lt;=$AB$2+$AN$2,"-",INDEX(Calculation_Tab,SMALL(ROW(Direct_Denaturation)*(Direct_Denaturation&lt;&gt;"-"),COUNTIF(Direct_Denaturation,"-")+ROW()-3-$AB$2-$AN$2)-9,33)),"-")</f>
        <v>-</v>
      </c>
      <c r="BC132" s="510" t="str">
        <f t="array" aca="1" ref="BC132" ca="1">IFERROR(IF(AS132&lt;=$AB$2+$AN$2,"-",INDEX(Calculation_Tab,SMALL(ROW(Direct_Denaturation)*(Direct_Denaturation&lt;&gt;"-"),COUNTIF(Direct_Denaturation,"-")+ROW()-3-$AB$2-$AN$2)-9,35)),"-")</f>
        <v>-</v>
      </c>
      <c r="BD132" s="511" t="str">
        <f t="shared" ref="BD132:BD195" ca="1" si="85">IFERROR((INDEX(Calculation_Tab,MATCH($AV132,Identifier,0),10))/(IF(LEN(INDEX(Calculation_Tab,MATCH($AV132,Identifier,0),9))&gt;8,LEN(INDEX(Calculation_Tab,MATCH($AV132,Identifier,0),9))-8,1))*INDEX(Calculation_Tab,MATCH($AV132,Identifier,0),30),"-")</f>
        <v>-</v>
      </c>
      <c r="BK132" s="542" t="s">
        <v>82</v>
      </c>
      <c r="BL132" s="542" t="s">
        <v>82</v>
      </c>
      <c r="BM132" s="487" t="str">
        <f t="array" aca="1" ref="BM132" ca="1">IFERROR(INDEX(Calculation_Tab,SMALL(ROW(ToPool)*(ToPool&lt;&gt;"-"),COUNTIF(ToPool,"-")+ROW()-3)-9,3),"-")</f>
        <v>-</v>
      </c>
      <c r="BN132" s="378" t="str">
        <f t="shared" ref="BN132:BN195" ca="1" si="86">IF(BM132="-","-",IFERROR(IFERROR(INDEX(AI:AQ,MATCH(BM132,AL:AL,0),2),INDEX(V:AQ,MATCH(BM132,Z:Z,0),15)),"-"))</f>
        <v>-</v>
      </c>
      <c r="BO132" s="378" t="str">
        <f t="shared" ref="BO132:BO195" ca="1" si="87">IF(BM132="-","-",IFERROR(IFERROR(INDEX(AI:AQ,MATCH(BM132,AL:AL,0),3),INDEX(V:AQ,MATCH(BM132,Z:Z,0),16)),"-"))</f>
        <v>-</v>
      </c>
      <c r="BP132" s="523" t="str">
        <f t="shared" ref="BP132:BP195" ca="1" si="88">IFERROR((INDEX(Calculation_Tab,MATCH($BM132,Identifier,0),10))/(IF(LEN(INDEX(Calculation_Tab,MATCH($BM132,Identifier,0),9))&gt;8,LEN(INDEX(Calculation_Tab,MATCH($BM132,Identifier,0),9))-8,1)),"-")</f>
        <v>-</v>
      </c>
      <c r="BQ132" s="378" t="str">
        <f t="array" aca="1" ref="BQ132" ca="1">IFERROR(INDEX(BE:BG,MATCH(INDEX(Calculation_Tab,SMALL(ROW(ToPool)*(ToPool&lt;&gt;"-"),COUNTIF(ToPool,"-")+ROW()-3)-9,9),BG:BG,0),2),"-")</f>
        <v>-</v>
      </c>
      <c r="BR132" s="510" t="str">
        <f t="shared" ref="BR132:BR195" ca="1" si="89">IFERROR(BS132/SUMIF($BQ$4:$BQ$387,BQ132,$BS$4:$BS$387)*(INDEX($BE$1:$BH$99,MATCH(INDEX(Calculation_Tab,MATCH(BM132,Identifier,0),9),BG:BG,0),4)),"-")</f>
        <v>-</v>
      </c>
      <c r="BS132" s="511" t="str">
        <f t="shared" ref="BS132:BS195" ca="1" si="90">IFERROR((INDEX(Calculation_Tab,MATCH($BM132,Identifier,0),10))/(IF(LEN(INDEX(Calculation_Tab,MATCH($BM132,Identifier,0),9))&gt;8,LEN(INDEX(Calculation_Tab,MATCH($BM132,Identifier,0),9))-8,1))*INDEX(Calculation_Tab,MATCH($BM132,Identifier,0),30),"-")</f>
        <v>-</v>
      </c>
      <c r="BT132" s="543" t="s">
        <v>82</v>
      </c>
      <c r="BU132" s="487" t="str">
        <f t="shared" ca="1" si="63"/>
        <v>-</v>
      </c>
      <c r="BV132" s="487" t="str">
        <f t="array" aca="1" ref="BV13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32" s="378" t="str">
        <f t="shared" ref="BW132:BW195" ca="1" si="91">IF($BV132="-","-",IFERROR(INDEX($AJ$4:$AL$387,MATCH($BV132,$AL$4:$AL$387,0),1),IFERROR(INDEX($Y$4:$AJ$99,MATCH($BV132,$Z$4:$Z$99,0),12),IFERROR(INDEX($AV$4:$AY$387,MATCH($BV132,$AV$4:$AV$387,0),3),IFERROR(INDEX($BE$4:$BK$99,MATCH($BV132,$BE$4:$BE$99,0),7),"-")))))</f>
        <v>-</v>
      </c>
      <c r="BX132" s="378" t="str">
        <f t="shared" ref="BX132:BX195" ca="1" si="92">IF($BV132="-","-",IFERROR(INDEX($AJ$4:$AL$387,MATCH($BV132,$AL$4:$AL$387,0),2),IFERROR(INDEX($Y$4:$AJ$99,MATCH($BV132,$Z$4:$Z$99,0),1),IFERROR(INDEX($AV$4:$AY$387,MATCH($BV132,$AV$4:$AV$387,0),4),IFERROR(INDEX($BE$4:$BK$99,MATCH($BV132,$BE$4:$BE$99,0),2),"-")))))</f>
        <v>-</v>
      </c>
      <c r="BY132" s="510" t="str">
        <f ca="1">IFERROR(ROUND(INDEX(Cluster,MATCH(IF(LEFT(BV132,4)="Pool",INDEX(Cluster,MATCH(INDEX(Calculation_Tab,MATCH(INDEX($BE$4:$BJ$99,MATCH(BV132,$BE$4:$BE$99,0),3),Flow_Cell_Lane,0),3),Cluster!$F$29:$F$412,0),6),BV132),Identifier_Cluster,0),19)*IF(LEFT(BV132,4)="pool",IF(LEN(INDEX($BE$4:$BJ$99,MATCH(BV132,$BE$4:$BE$99,0),3))=10,2,IF(LEN(INDEX($BE$4:$BJ$99,MATCH(BV132,$BE$4:$BE$99,0),3))&gt;10,LEN(INDEX($BE$4:$BJ$99,MATCH(BV132,$BE$4:$BE$99,0),3))-8,1)),1)*IF(LEFT(BV132,4)="pool",IF(INDEX($BE$4:$BJ$99,MATCH(BV132,$BE$4:$BE$99,0),6)&lt;1,1,INDEX($BE$4:$BJ$99,MATCH(BV132,$BE$4:$BE$99,0),6)),INDEX(Calculation_Tab,MATCH(BV132,Identifier,0),10)),1)*(1+Calculation!$Q$6),"-")</f>
        <v>-</v>
      </c>
      <c r="BZ132" s="378" t="str">
        <f ca="1">IFERROR((0.5/50)*CE132/Calculation!$AG$6*(IF(LEFT(BV132,4)="Pool",IF(LEN(INDEX($BE$4:$BJ$99,MATCH(BV132,$BE$4:$BE$99,0),3))=10,2,IF(LEN(INDEX($BE$4:$BJ$99,MATCH(BV132,$BE$4:$BE$99,0),3))&gt;10,LEN(INDEX($BE$4:$BJ$99,MATCH(BV132,$BE$4:$BE$99,0),3))-8,1)),IF(INDEX(Calculation_Tab,MATCH(BV132,Identifier,0),10)&gt;1,INDEX(Calculation_Tab,MATCH(BV132,Identifier,0),10),1)))*(1+Calculation!$Q$6),"-")</f>
        <v>-</v>
      </c>
      <c r="CA132" s="510" t="str">
        <f ca="1">IFERROR(IF((BZ132*Calculation!$AG$6/0.05)-SUM(BY132:BZ132,CC132)&gt;0,(BZ132*Calculation!$AG$6/0.05)-SUM(BY132:BZ132,CC132),0),"-")</f>
        <v>-</v>
      </c>
      <c r="CB132" s="510" t="str">
        <f ca="1">IFERROR(5/50*CE132*(IF(LEFT(BV132,4)="Pool",IF(LEN(INDEX($BE$4:$BJ$99,MATCH(BV132,$BE$4:$BE$99,0),3))=10,2,IF(LEN(INDEX($BE$4:$BJ$99,MATCH(BV132,$BE$4:$BE$99,0),3))&gt;10,LEN(INDEX($BE$4:$BJ$99,MATCH(BV132,$BE$4:$BE$99,0),3))-8,1)),IF(INDEX(Calculation_Tab,MATCH(BV132,Identifier,0),10)&gt;1,INDEX(Calculation_Tab,MATCH(BV132,Identifier,0),10),1)))*(1+Calculation!$Q$6),"-")</f>
        <v>-</v>
      </c>
      <c r="CC132" s="508" t="str">
        <f ca="1">IFERROR(ROUND(INDEX(Cluster,MATCH(IF(LEFT(BV132,4)="Pool",INDEX(Cluster,MATCH(INDEX(Calculation_Tab,MATCH(INDEX($BE$4:$BJ$99,MATCH(BV132,$BE$4:$BE$99,0),3),Flow_Cell_Lane,0),3),Cluster!$F$29:$F$412,0),6),BV132),Identifier_Cluster,0),20)*IF(LEFT(BV132,4)="pool",IF(LEN(INDEX($BE$4:$BJ$99,MATCH(BV132,$BE$4:$BE$99,0),3))=10,2,IF(LEN(INDEX($BE$4:$BJ$99,MATCH(BV132,$BE$4:$BE$99,0),3))&gt;10,LEN(INDEX($BE$4:$BJ$99,MATCH(BV132,$BE$4:$BE$99,0),3))-8,1)),1)*IF(LEFT(BV132,4)="pool",IF(INDEX($BE$4:$BJ$99,MATCH(BV132,$BE$4:$BE$99,0),6)&lt;1,1,INDEX($BE$4:$BJ$99,MATCH(BV132,$BE$4:$BE$99,0),6)),INDEX(Calculation_Tab,MATCH(BV132,Identifier,0),10)),1)*(1+Calculation!$Q$6),"-")</f>
        <v>-</v>
      </c>
      <c r="CD132" s="509" t="str">
        <f ca="1">IFERROR(INDEX(Cluster!AC:AD,MATCH(IF(LEFT(BV132,4)="Pool",INDEX(Cluster!$D$29:$AA$412,MATCH(INDEX(Calculation_Tab,MATCH(INDEX($BE$4:$BJ$99,MATCH(BV132,$BE$4:$BE$99,0),3),Flow_Cell_Lane,0),3),Cluster!$F$29:$F$412,0),24),INDEX(Cluster!$D$29:$AA$412,MATCH(BV132,Cluster!$F$29:$F$412,0),24)),Cluster!AC:AC,0),2),"-")</f>
        <v>-</v>
      </c>
      <c r="CE132" s="378" t="str">
        <f ca="1">IFERROR(IF(BV132&lt;&gt;"-",Calculation!$AK$6,"-"),"-")</f>
        <v>-</v>
      </c>
      <c r="CF132" s="378" t="str">
        <f ca="1">IF(OR(LEFT(ListAndConversion!BW132,3)="Dil",LEFT(ListAndConversion!BW132,3)="Poo"),ListAndConversion!$BT$4,IF(LEFT(ListAndConversion!BW132,3)="Sou",INDEX(ListAndConversion!$AT$3:$AV$387,MATCH(ListAndConversion!BV132,ListAndConversion!$AV$3:$AV$387,0),1),"-"))</f>
        <v>-</v>
      </c>
      <c r="CG132" s="498" t="str">
        <f ca="1">IF(OR(LEFT(ListAndConversion!BW132,3)="Dil",LEFT(ListAndConversion!BW132,3)="Poo"),ListAndConversion!BU132,IF(LEFT(ListAndConversion!BW132,3)="Sou",INDEX(ListAndConversion!$AT$4:$AV$387,MATCH(ListAndConversion!BV132,ListAndConversion!$AV$4:$AV$387,0),2),"-"))</f>
        <v>-</v>
      </c>
      <c r="CH132" s="378"/>
      <c r="CI132" s="487" t="str">
        <f t="shared" ref="CI132:CI195" ca="1" si="93">IFERROR(IF(LEFT(BV132,3)="poo",INDEX($BE$4:$BI$99,MATCH(BV132,$BE$4:$BE$99,0),3),INDEX(Calculation_Tab,MATCH(BV132,Identifier,0),9)),"-")</f>
        <v>-</v>
      </c>
      <c r="CJ132" s="378" t="str">
        <f t="shared" ca="1" si="78"/>
        <v>-</v>
      </c>
      <c r="CK132" s="378" t="str">
        <f t="shared" ca="1" si="78"/>
        <v>-</v>
      </c>
      <c r="CL132" s="378" t="str">
        <f t="shared" ca="1" si="78"/>
        <v>-</v>
      </c>
      <c r="CM132" s="378" t="str">
        <f t="shared" ca="1" si="78"/>
        <v>-</v>
      </c>
      <c r="CN132" s="378" t="str">
        <f t="shared" ca="1" si="78"/>
        <v>-</v>
      </c>
      <c r="CO132" s="378" t="str">
        <f t="shared" ca="1" si="78"/>
        <v>-</v>
      </c>
      <c r="CP132" s="378" t="str">
        <f t="shared" ca="1" si="78"/>
        <v>-</v>
      </c>
      <c r="CQ132" s="378" t="str">
        <f t="shared" ca="1" si="78"/>
        <v>-</v>
      </c>
      <c r="CR132" s="510" t="str">
        <f ca="1">IFERROR(IF(LEFT(BW132,3)="Poo",INDEX($BE$4:$BJ$99,MATCH(CI132,$BG$4:$BG$99,0),6)*((15/50))*Calculation!$AK$6,INDEX(Calculation_Tab,MATCH(BV132,Identifier,0),10)/(IF(LEN(INDEX(Calculation_Tab,MATCH(BV132,Identifier,0),9))&gt;8,LEN(INDEX(Calculation_Tab,MATCH(BV132,Identifier,0),9))-8,1))*((15/50)*Calculation!$AK$6)),"-")</f>
        <v>-</v>
      </c>
      <c r="CS132" s="498" t="str">
        <f ca="1">IF(CI132="-","-",IF(COUNTIF($CI$3:CI132,CI132)&gt;1,0,IFERROR((35/50)*Calculation!$AK$6,"-")))</f>
        <v>-</v>
      </c>
    </row>
    <row r="133" spans="4:97" x14ac:dyDescent="0.5">
      <c r="D133" s="487" t="e">
        <f t="shared" si="79"/>
        <v>#DIV/0!</v>
      </c>
      <c r="E133" s="496" t="e">
        <f t="array" ref="E133">IF(IF((ROW(E133)-3)&lt;(ListAndConversion!$A$15),INDEX(Flow_Cell_Lane,MIN(IF(COUNTIF($E$2:E132,Flow_Cell_Lane)=0,ROW(Flow_Cell_Lane)-9))),"-")="","-",IF((ROW(E133)-3)&lt;(ListAndConversion!$A$15),INDEX(Flow_Cell_Lane,MIN(IF(COUNTIF($E$2:E132,Flow_Cell_Lane)=0,ROW(Flow_Cell_Lane)-9))),"-"))</f>
        <v>#DIV/0!</v>
      </c>
      <c r="F133" s="378" t="e">
        <f t="shared" si="80"/>
        <v>#DIV/0!</v>
      </c>
      <c r="G133" s="378" t="e">
        <f t="shared" ref="G133:M142" si="94">IF($D133&gt;8,IF($D133&gt;=(8+G$2),CONCATENATE(LEFT($E133,7),RIGHT(LEFT($E133,8+G$2),1)),""),"")</f>
        <v>#DIV/0!</v>
      </c>
      <c r="H133" s="378" t="e">
        <f t="shared" si="94"/>
        <v>#DIV/0!</v>
      </c>
      <c r="I133" s="378" t="e">
        <f t="shared" si="94"/>
        <v>#DIV/0!</v>
      </c>
      <c r="J133" s="378" t="e">
        <f t="shared" si="94"/>
        <v>#DIV/0!</v>
      </c>
      <c r="K133" s="378" t="e">
        <f t="shared" si="94"/>
        <v>#DIV/0!</v>
      </c>
      <c r="L133" s="378" t="e">
        <f t="shared" si="94"/>
        <v>#DIV/0!</v>
      </c>
      <c r="M133" s="378" t="e">
        <f t="shared" si="94"/>
        <v>#DIV/0!</v>
      </c>
      <c r="N133" s="497" t="e">
        <f t="shared" si="81"/>
        <v>#DIV/0!</v>
      </c>
      <c r="O133" s="497" t="str">
        <f t="array" ref="O133">IFERROR(INDEX(Calculation!I:AN,MATCH(ListAndConversion!E133,Calculation!I:I,0),31),"-")</f>
        <v>-</v>
      </c>
      <c r="P133" s="498">
        <f>IF(COUNTIFS(Calculation!$I$10:$I$393,E133,Direct_Denaturation,"-")&lt;&gt;1,COUNTIFS(Calculation!$I$10:$I$393,E133,Direct_Denaturation,"-"),0)</f>
        <v>0</v>
      </c>
      <c r="V133" s="542" t="s">
        <v>82</v>
      </c>
      <c r="W133" s="542" t="s">
        <v>82</v>
      </c>
      <c r="X133" s="542" t="s">
        <v>82</v>
      </c>
      <c r="Y133" s="542" t="s">
        <v>82</v>
      </c>
      <c r="Z133" s="542" t="s">
        <v>82</v>
      </c>
      <c r="AA133" s="542" t="s">
        <v>82</v>
      </c>
      <c r="AB133" s="542" t="s">
        <v>82</v>
      </c>
      <c r="AC133" s="542" t="s">
        <v>82</v>
      </c>
      <c r="AD133" s="542" t="s">
        <v>82</v>
      </c>
      <c r="AE133" s="542" t="s">
        <v>82</v>
      </c>
      <c r="AF133" s="542" t="s">
        <v>82</v>
      </c>
      <c r="AG133" s="542" t="s">
        <v>82</v>
      </c>
      <c r="AH133" s="9"/>
      <c r="AI133" s="487">
        <v>130</v>
      </c>
      <c r="AJ133" s="497" t="s">
        <v>161</v>
      </c>
      <c r="AK133" s="378">
        <v>34</v>
      </c>
      <c r="AL133" s="378" t="str">
        <f t="shared" ca="1" si="82"/>
        <v>-</v>
      </c>
      <c r="AM133" s="378" t="str">
        <f t="array" aca="1" ref="AM133" ca="1">IFERROR(IF(AI133&lt;=$AB$2,"-",INDEX(Calculation_Tab,SMALL(ROW(Main_Dil)*(Main_Dil&lt;&gt;"-"),COUNTIF(Main_Dil,"-")+ROW()-3-$AB$2)-9,5)),"-")</f>
        <v>-</v>
      </c>
      <c r="AN133" s="378" t="str">
        <f t="array" aca="1" ref="AN133" ca="1">IFERROR(IF(AI133&lt;=$AB$2,"-",INDEX($A$3:$B$12,MATCH(INDEX(Calculation_Tab,SMALL(ROW(Main_Dil)*(Main_Dil&lt;&gt;"-"),COUNTIF(Main_Dil,"-")+ROW()-3-$AB$2)-9,5),$A$3:$A$12,0),2)),"-")</f>
        <v>-</v>
      </c>
      <c r="AO133" s="378" t="str">
        <f t="array" aca="1" ref="AO133" ca="1">IFERROR(IF(AI133&lt;=$AB$2,"-",INDEX(Coordinate,MATCH(INDEX(Calculation_Tab,SMALL(ROW(Main_Dil)*(Main_Dil&lt;&gt;"-"),COUNTIF(Main_Dil,"-")+ROW()-3-$AB$2)-9,6),$X$4:$X$99,0),2)),"-")</f>
        <v>-</v>
      </c>
      <c r="AP133" s="510" t="str">
        <f t="array" aca="1" ref="AP133" ca="1">IFERROR(IF(AI133&lt;=$AB$2,"-",INDEX(Calculation_Tab,SMALL(ROW(Main_Dil)*(Main_Dil&lt;&gt;"-"),COUNTIF(Main_Dil,"-")+ROW()-3-$AB$2)-9,21)),"-")</f>
        <v>-</v>
      </c>
      <c r="AQ133" s="511" t="str">
        <f t="array" aca="1" ref="AQ133" ca="1">IFERROR(IF(AI133&lt;=$AB$2,"-",INDEX(Calculation_Tab,SMALL(ROW(Main_Dil)*(Main_Dil&lt;&gt;"-"),COUNTIF(Main_Dil,"-")+ROW()-3-$AB$2)-9,22)),"-")</f>
        <v>-</v>
      </c>
      <c r="AR133" s="487" t="str">
        <f t="shared" ca="1" si="83"/>
        <v>-</v>
      </c>
      <c r="AS133" s="378">
        <v>130</v>
      </c>
      <c r="AT133" s="497" t="s">
        <v>161</v>
      </c>
      <c r="AU133" s="498">
        <v>34</v>
      </c>
      <c r="AV133" s="378" t="str">
        <f t="shared" ca="1" si="84"/>
        <v>-</v>
      </c>
      <c r="AW133" s="378" t="str">
        <f t="array" aca="1" ref="AW133" ca="1">IFERROR(IF(AS133&lt;=$AB$2+$AN$2,"-",INDEX(Calculation_Tab,SMALL(ROW(Direct_Denaturation)*(Direct_Denaturation&lt;&gt;"-"),COUNTIF(Direct_Denaturation,"-")+ROW()-3-$AB$2-$AN$2)-9,5)),"-")</f>
        <v>-</v>
      </c>
      <c r="AX133" s="378" t="str">
        <f t="array" aca="1" ref="AX133" ca="1">IFERROR(IF(AS133&lt;=$AB$2+$AN$2,"-",INDEX($A$3:$B$12,MATCH(INDEX(Calculation_Tab,SMALL(ROW(Direct_Denaturation)*(Direct_Denaturation&lt;&gt;"-"),COUNTIF(Direct_Denaturation,"-")+ROW()-3-$AB$2-$AN$2)-9,5),$A$3:$A$12,0),2)),"-")</f>
        <v>-</v>
      </c>
      <c r="AY133" s="378" t="str">
        <f t="array" aca="1" ref="AY133" ca="1">IFERROR(IF(AS133&lt;=$AB$2+$AN$2,"-",INDEX(Coordinate,MATCH(INDEX(Calculation_Tab,SMALL(ROW(Direct_Denaturation)*(Direct_Denaturation&lt;&gt;"-"),COUNTIF(Direct_Denaturation,"-")+ROW()-3-$AB$2-$AN$2)-9,6),$X$4:$X$99,0),2)),"-")</f>
        <v>-</v>
      </c>
      <c r="AZ133" s="510" t="str">
        <f t="array" aca="1" ref="AZ133" ca="1">IFERROR(IF(AS133&lt;=$AB$2+$AN$2,"-",INDEX(Calculation_Tab,SMALL(ROW(Direct_Denaturation)*(Direct_Denaturation&lt;&gt;"-"),COUNTIF(Direct_Denaturation,"-")+ROW()-3-$AB$2-$AN$2)-9,32)),"-")</f>
        <v>-</v>
      </c>
      <c r="BA133" s="510" t="str">
        <f t="array" aca="1" ref="BA133" ca="1">IFERROR(IF(AS133&lt;=$AB$2+$AN$2,"-",INDEX(Calculation_Tab,SMALL(ROW(Direct_Denaturation)*(Direct_Denaturation&lt;&gt;"-"),COUNTIF(Direct_Denaturation,"-")+ROW()-3-$AB$2-$AN$2)-9,34)),"-")</f>
        <v>-</v>
      </c>
      <c r="BB133" s="510" t="str">
        <f t="array" aca="1" ref="BB133" ca="1">IFERROR(IF(AS133&lt;=$AB$2+$AN$2,"-",INDEX(Calculation_Tab,SMALL(ROW(Direct_Denaturation)*(Direct_Denaturation&lt;&gt;"-"),COUNTIF(Direct_Denaturation,"-")+ROW()-3-$AB$2-$AN$2)-9,33)),"-")</f>
        <v>-</v>
      </c>
      <c r="BC133" s="510" t="str">
        <f t="array" aca="1" ref="BC133" ca="1">IFERROR(IF(AS133&lt;=$AB$2+$AN$2,"-",INDEX(Calculation_Tab,SMALL(ROW(Direct_Denaturation)*(Direct_Denaturation&lt;&gt;"-"),COUNTIF(Direct_Denaturation,"-")+ROW()-3-$AB$2-$AN$2)-9,35)),"-")</f>
        <v>-</v>
      </c>
      <c r="BD133" s="511" t="str">
        <f t="shared" ca="1" si="85"/>
        <v>-</v>
      </c>
      <c r="BK133" s="542" t="s">
        <v>82</v>
      </c>
      <c r="BL133" s="542" t="s">
        <v>82</v>
      </c>
      <c r="BM133" s="487" t="str">
        <f t="array" aca="1" ref="BM133" ca="1">IFERROR(INDEX(Calculation_Tab,SMALL(ROW(ToPool)*(ToPool&lt;&gt;"-"),COUNTIF(ToPool,"-")+ROW()-3)-9,3),"-")</f>
        <v>-</v>
      </c>
      <c r="BN133" s="378" t="str">
        <f t="shared" ca="1" si="86"/>
        <v>-</v>
      </c>
      <c r="BO133" s="378" t="str">
        <f t="shared" ca="1" si="87"/>
        <v>-</v>
      </c>
      <c r="BP133" s="523" t="str">
        <f t="shared" ca="1" si="88"/>
        <v>-</v>
      </c>
      <c r="BQ133" s="378" t="str">
        <f t="array" aca="1" ref="BQ133" ca="1">IFERROR(INDEX(BE:BG,MATCH(INDEX(Calculation_Tab,SMALL(ROW(ToPool)*(ToPool&lt;&gt;"-"),COUNTIF(ToPool,"-")+ROW()-3)-9,9),BG:BG,0),2),"-")</f>
        <v>-</v>
      </c>
      <c r="BR133" s="510" t="str">
        <f t="shared" ca="1" si="89"/>
        <v>-</v>
      </c>
      <c r="BS133" s="511" t="str">
        <f t="shared" ca="1" si="90"/>
        <v>-</v>
      </c>
      <c r="BT133" s="543" t="s">
        <v>82</v>
      </c>
      <c r="BU133" s="487" t="str">
        <f t="shared" ref="BU133:BU196" ca="1" si="95">IF(BW133="-","-",IF(OR(LEFT(BW133,3)="Dil",LEFT(BW133,3)="Poo"),BU132+1,BU132))</f>
        <v>-</v>
      </c>
      <c r="BV133" s="487" t="str">
        <f t="array" aca="1" ref="BV13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33" s="378" t="str">
        <f t="shared" ca="1" si="91"/>
        <v>-</v>
      </c>
      <c r="BX133" s="378" t="str">
        <f t="shared" ca="1" si="92"/>
        <v>-</v>
      </c>
      <c r="BY133" s="510" t="str">
        <f ca="1">IFERROR(ROUND(INDEX(Cluster,MATCH(IF(LEFT(BV133,4)="Pool",INDEX(Cluster,MATCH(INDEX(Calculation_Tab,MATCH(INDEX($BE$4:$BJ$99,MATCH(BV133,$BE$4:$BE$99,0),3),Flow_Cell_Lane,0),3),Cluster!$F$29:$F$412,0),6),BV133),Identifier_Cluster,0),19)*IF(LEFT(BV133,4)="pool",IF(LEN(INDEX($BE$4:$BJ$99,MATCH(BV133,$BE$4:$BE$99,0),3))=10,2,IF(LEN(INDEX($BE$4:$BJ$99,MATCH(BV133,$BE$4:$BE$99,0),3))&gt;10,LEN(INDEX($BE$4:$BJ$99,MATCH(BV133,$BE$4:$BE$99,0),3))-8,1)),1)*IF(LEFT(BV133,4)="pool",IF(INDEX($BE$4:$BJ$99,MATCH(BV133,$BE$4:$BE$99,0),6)&lt;1,1,INDEX($BE$4:$BJ$99,MATCH(BV133,$BE$4:$BE$99,0),6)),INDEX(Calculation_Tab,MATCH(BV133,Identifier,0),10)),1)*(1+Calculation!$Q$6),"-")</f>
        <v>-</v>
      </c>
      <c r="BZ133" s="378" t="str">
        <f ca="1">IFERROR((0.5/50)*CE133/Calculation!$AG$6*(IF(LEFT(BV133,4)="Pool",IF(LEN(INDEX($BE$4:$BJ$99,MATCH(BV133,$BE$4:$BE$99,0),3))=10,2,IF(LEN(INDEX($BE$4:$BJ$99,MATCH(BV133,$BE$4:$BE$99,0),3))&gt;10,LEN(INDEX($BE$4:$BJ$99,MATCH(BV133,$BE$4:$BE$99,0),3))-8,1)),IF(INDEX(Calculation_Tab,MATCH(BV133,Identifier,0),10)&gt;1,INDEX(Calculation_Tab,MATCH(BV133,Identifier,0),10),1)))*(1+Calculation!$Q$6),"-")</f>
        <v>-</v>
      </c>
      <c r="CA133" s="510" t="str">
        <f ca="1">IFERROR(IF((BZ133*Calculation!$AG$6/0.05)-SUM(BY133:BZ133,CC133)&gt;0,(BZ133*Calculation!$AG$6/0.05)-SUM(BY133:BZ133,CC133),0),"-")</f>
        <v>-</v>
      </c>
      <c r="CB133" s="510" t="str">
        <f ca="1">IFERROR(5/50*CE133*(IF(LEFT(BV133,4)="Pool",IF(LEN(INDEX($BE$4:$BJ$99,MATCH(BV133,$BE$4:$BE$99,0),3))=10,2,IF(LEN(INDEX($BE$4:$BJ$99,MATCH(BV133,$BE$4:$BE$99,0),3))&gt;10,LEN(INDEX($BE$4:$BJ$99,MATCH(BV133,$BE$4:$BE$99,0),3))-8,1)),IF(INDEX(Calculation_Tab,MATCH(BV133,Identifier,0),10)&gt;1,INDEX(Calculation_Tab,MATCH(BV133,Identifier,0),10),1)))*(1+Calculation!$Q$6),"-")</f>
        <v>-</v>
      </c>
      <c r="CC133" s="508" t="str">
        <f ca="1">IFERROR(ROUND(INDEX(Cluster,MATCH(IF(LEFT(BV133,4)="Pool",INDEX(Cluster,MATCH(INDEX(Calculation_Tab,MATCH(INDEX($BE$4:$BJ$99,MATCH(BV133,$BE$4:$BE$99,0),3),Flow_Cell_Lane,0),3),Cluster!$F$29:$F$412,0),6),BV133),Identifier_Cluster,0),20)*IF(LEFT(BV133,4)="pool",IF(LEN(INDEX($BE$4:$BJ$99,MATCH(BV133,$BE$4:$BE$99,0),3))=10,2,IF(LEN(INDEX($BE$4:$BJ$99,MATCH(BV133,$BE$4:$BE$99,0),3))&gt;10,LEN(INDEX($BE$4:$BJ$99,MATCH(BV133,$BE$4:$BE$99,0),3))-8,1)),1)*IF(LEFT(BV133,4)="pool",IF(INDEX($BE$4:$BJ$99,MATCH(BV133,$BE$4:$BE$99,0),6)&lt;1,1,INDEX($BE$4:$BJ$99,MATCH(BV133,$BE$4:$BE$99,0),6)),INDEX(Calculation_Tab,MATCH(BV133,Identifier,0),10)),1)*(1+Calculation!$Q$6),"-")</f>
        <v>-</v>
      </c>
      <c r="CD133" s="509" t="str">
        <f ca="1">IFERROR(INDEX(Cluster!AC:AD,MATCH(IF(LEFT(BV133,4)="Pool",INDEX(Cluster!$D$29:$AA$412,MATCH(INDEX(Calculation_Tab,MATCH(INDEX($BE$4:$BJ$99,MATCH(BV133,$BE$4:$BE$99,0),3),Flow_Cell_Lane,0),3),Cluster!$F$29:$F$412,0),24),INDEX(Cluster!$D$29:$AA$412,MATCH(BV133,Cluster!$F$29:$F$412,0),24)),Cluster!AC:AC,0),2),"-")</f>
        <v>-</v>
      </c>
      <c r="CE133" s="378" t="str">
        <f ca="1">IFERROR(IF(BV133&lt;&gt;"-",Calculation!$AK$6,"-"),"-")</f>
        <v>-</v>
      </c>
      <c r="CF133" s="378" t="str">
        <f ca="1">IF(OR(LEFT(ListAndConversion!BW133,3)="Dil",LEFT(ListAndConversion!BW133,3)="Poo"),ListAndConversion!$BT$4,IF(LEFT(ListAndConversion!BW133,3)="Sou",INDEX(ListAndConversion!$AT$3:$AV$387,MATCH(ListAndConversion!BV133,ListAndConversion!$AV$3:$AV$387,0),1),"-"))</f>
        <v>-</v>
      </c>
      <c r="CG133" s="498" t="str">
        <f ca="1">IF(OR(LEFT(ListAndConversion!BW133,3)="Dil",LEFT(ListAndConversion!BW133,3)="Poo"),ListAndConversion!BU133,IF(LEFT(ListAndConversion!BW133,3)="Sou",INDEX(ListAndConversion!$AT$4:$AV$387,MATCH(ListAndConversion!BV133,ListAndConversion!$AV$4:$AV$387,0),2),"-"))</f>
        <v>-</v>
      </c>
      <c r="CH133" s="378"/>
      <c r="CI133" s="487" t="str">
        <f t="shared" ca="1" si="93"/>
        <v>-</v>
      </c>
      <c r="CJ133" s="378" t="str">
        <f t="shared" ca="1" si="78"/>
        <v>-</v>
      </c>
      <c r="CK133" s="378" t="str">
        <f t="shared" ca="1" si="78"/>
        <v>-</v>
      </c>
      <c r="CL133" s="378" t="str">
        <f t="shared" ca="1" si="78"/>
        <v>-</v>
      </c>
      <c r="CM133" s="378" t="str">
        <f t="shared" ca="1" si="78"/>
        <v>-</v>
      </c>
      <c r="CN133" s="378" t="str">
        <f t="shared" ca="1" si="78"/>
        <v>-</v>
      </c>
      <c r="CO133" s="378" t="str">
        <f t="shared" ca="1" si="78"/>
        <v>-</v>
      </c>
      <c r="CP133" s="378" t="str">
        <f t="shared" ca="1" si="78"/>
        <v>-</v>
      </c>
      <c r="CQ133" s="378" t="str">
        <f t="shared" ca="1" si="78"/>
        <v>-</v>
      </c>
      <c r="CR133" s="510" t="str">
        <f ca="1">IFERROR(IF(LEFT(BW133,3)="Poo",INDEX($BE$4:$BJ$99,MATCH(CI133,$BG$4:$BG$99,0),6)*((15/50))*Calculation!$AK$6,INDEX(Calculation_Tab,MATCH(BV133,Identifier,0),10)/(IF(LEN(INDEX(Calculation_Tab,MATCH(BV133,Identifier,0),9))&gt;8,LEN(INDEX(Calculation_Tab,MATCH(BV133,Identifier,0),9))-8,1))*((15/50)*Calculation!$AK$6)),"-")</f>
        <v>-</v>
      </c>
      <c r="CS133" s="498" t="str">
        <f ca="1">IF(CI133="-","-",IF(COUNTIF($CI$3:CI133,CI133)&gt;1,0,IFERROR((35/50)*Calculation!$AK$6,"-")))</f>
        <v>-</v>
      </c>
    </row>
    <row r="134" spans="4:97" x14ac:dyDescent="0.5">
      <c r="D134" s="487" t="e">
        <f t="shared" si="79"/>
        <v>#DIV/0!</v>
      </c>
      <c r="E134" s="496" t="e">
        <f t="array" ref="E134">IF(IF((ROW(E134)-3)&lt;(ListAndConversion!$A$15),INDEX(Flow_Cell_Lane,MIN(IF(COUNTIF($E$2:E133,Flow_Cell_Lane)=0,ROW(Flow_Cell_Lane)-9))),"-")="","-",IF((ROW(E134)-3)&lt;(ListAndConversion!$A$15),INDEX(Flow_Cell_Lane,MIN(IF(COUNTIF($E$2:E133,Flow_Cell_Lane)=0,ROW(Flow_Cell_Lane)-9))),"-"))</f>
        <v>#DIV/0!</v>
      </c>
      <c r="F134" s="378" t="e">
        <f t="shared" si="80"/>
        <v>#DIV/0!</v>
      </c>
      <c r="G134" s="378" t="e">
        <f t="shared" si="94"/>
        <v>#DIV/0!</v>
      </c>
      <c r="H134" s="378" t="e">
        <f t="shared" si="94"/>
        <v>#DIV/0!</v>
      </c>
      <c r="I134" s="378" t="e">
        <f t="shared" si="94"/>
        <v>#DIV/0!</v>
      </c>
      <c r="J134" s="378" t="e">
        <f t="shared" si="94"/>
        <v>#DIV/0!</v>
      </c>
      <c r="K134" s="378" t="e">
        <f t="shared" si="94"/>
        <v>#DIV/0!</v>
      </c>
      <c r="L134" s="378" t="e">
        <f t="shared" si="94"/>
        <v>#DIV/0!</v>
      </c>
      <c r="M134" s="378" t="e">
        <f t="shared" si="94"/>
        <v>#DIV/0!</v>
      </c>
      <c r="N134" s="497" t="e">
        <f t="shared" si="81"/>
        <v>#DIV/0!</v>
      </c>
      <c r="O134" s="497" t="str">
        <f t="array" ref="O134">IFERROR(INDEX(Calculation!I:AN,MATCH(ListAndConversion!E134,Calculation!I:I,0),31),"-")</f>
        <v>-</v>
      </c>
      <c r="P134" s="498">
        <f>IF(COUNTIFS(Calculation!$I$10:$I$393,E134,Direct_Denaturation,"-")&lt;&gt;1,COUNTIFS(Calculation!$I$10:$I$393,E134,Direct_Denaturation,"-"),0)</f>
        <v>0</v>
      </c>
      <c r="V134" s="542" t="s">
        <v>82</v>
      </c>
      <c r="W134" s="542" t="s">
        <v>82</v>
      </c>
      <c r="X134" s="542" t="s">
        <v>82</v>
      </c>
      <c r="Y134" s="542" t="s">
        <v>82</v>
      </c>
      <c r="Z134" s="542" t="s">
        <v>82</v>
      </c>
      <c r="AA134" s="542" t="s">
        <v>82</v>
      </c>
      <c r="AB134" s="542" t="s">
        <v>82</v>
      </c>
      <c r="AC134" s="542" t="s">
        <v>82</v>
      </c>
      <c r="AD134" s="542" t="s">
        <v>82</v>
      </c>
      <c r="AE134" s="542" t="s">
        <v>82</v>
      </c>
      <c r="AF134" s="542" t="s">
        <v>82</v>
      </c>
      <c r="AG134" s="542" t="s">
        <v>82</v>
      </c>
      <c r="AH134" s="9"/>
      <c r="AI134" s="487">
        <v>131</v>
      </c>
      <c r="AJ134" s="497" t="s">
        <v>161</v>
      </c>
      <c r="AK134" s="378">
        <v>35</v>
      </c>
      <c r="AL134" s="378" t="str">
        <f t="shared" ca="1" si="82"/>
        <v>-</v>
      </c>
      <c r="AM134" s="378" t="str">
        <f t="array" aca="1" ref="AM134" ca="1">IFERROR(IF(AI134&lt;=$AB$2,"-",INDEX(Calculation_Tab,SMALL(ROW(Main_Dil)*(Main_Dil&lt;&gt;"-"),COUNTIF(Main_Dil,"-")+ROW()-3-$AB$2)-9,5)),"-")</f>
        <v>-</v>
      </c>
      <c r="AN134" s="378" t="str">
        <f t="array" aca="1" ref="AN134" ca="1">IFERROR(IF(AI134&lt;=$AB$2,"-",INDEX($A$3:$B$12,MATCH(INDEX(Calculation_Tab,SMALL(ROW(Main_Dil)*(Main_Dil&lt;&gt;"-"),COUNTIF(Main_Dil,"-")+ROW()-3-$AB$2)-9,5),$A$3:$A$12,0),2)),"-")</f>
        <v>-</v>
      </c>
      <c r="AO134" s="378" t="str">
        <f t="array" aca="1" ref="AO134" ca="1">IFERROR(IF(AI134&lt;=$AB$2,"-",INDEX(Coordinate,MATCH(INDEX(Calculation_Tab,SMALL(ROW(Main_Dil)*(Main_Dil&lt;&gt;"-"),COUNTIF(Main_Dil,"-")+ROW()-3-$AB$2)-9,6),$X$4:$X$99,0),2)),"-")</f>
        <v>-</v>
      </c>
      <c r="AP134" s="510" t="str">
        <f t="array" aca="1" ref="AP134" ca="1">IFERROR(IF(AI134&lt;=$AB$2,"-",INDEX(Calculation_Tab,SMALL(ROW(Main_Dil)*(Main_Dil&lt;&gt;"-"),COUNTIF(Main_Dil,"-")+ROW()-3-$AB$2)-9,21)),"-")</f>
        <v>-</v>
      </c>
      <c r="AQ134" s="511" t="str">
        <f t="array" aca="1" ref="AQ134" ca="1">IFERROR(IF(AI134&lt;=$AB$2,"-",INDEX(Calculation_Tab,SMALL(ROW(Main_Dil)*(Main_Dil&lt;&gt;"-"),COUNTIF(Main_Dil,"-")+ROW()-3-$AB$2)-9,22)),"-")</f>
        <v>-</v>
      </c>
      <c r="AR134" s="487" t="str">
        <f t="shared" ca="1" si="83"/>
        <v>-</v>
      </c>
      <c r="AS134" s="378">
        <v>131</v>
      </c>
      <c r="AT134" s="497" t="s">
        <v>161</v>
      </c>
      <c r="AU134" s="498">
        <v>35</v>
      </c>
      <c r="AV134" s="378" t="str">
        <f t="shared" ca="1" si="84"/>
        <v>-</v>
      </c>
      <c r="AW134" s="378" t="str">
        <f t="array" aca="1" ref="AW134" ca="1">IFERROR(IF(AS134&lt;=$AB$2+$AN$2,"-",INDEX(Calculation_Tab,SMALL(ROW(Direct_Denaturation)*(Direct_Denaturation&lt;&gt;"-"),COUNTIF(Direct_Denaturation,"-")+ROW()-3-$AB$2-$AN$2)-9,5)),"-")</f>
        <v>-</v>
      </c>
      <c r="AX134" s="378" t="str">
        <f t="array" aca="1" ref="AX134" ca="1">IFERROR(IF(AS134&lt;=$AB$2+$AN$2,"-",INDEX($A$3:$B$12,MATCH(INDEX(Calculation_Tab,SMALL(ROW(Direct_Denaturation)*(Direct_Denaturation&lt;&gt;"-"),COUNTIF(Direct_Denaturation,"-")+ROW()-3-$AB$2-$AN$2)-9,5),$A$3:$A$12,0),2)),"-")</f>
        <v>-</v>
      </c>
      <c r="AY134" s="378" t="str">
        <f t="array" aca="1" ref="AY134" ca="1">IFERROR(IF(AS134&lt;=$AB$2+$AN$2,"-",INDEX(Coordinate,MATCH(INDEX(Calculation_Tab,SMALL(ROW(Direct_Denaturation)*(Direct_Denaturation&lt;&gt;"-"),COUNTIF(Direct_Denaturation,"-")+ROW()-3-$AB$2-$AN$2)-9,6),$X$4:$X$99,0),2)),"-")</f>
        <v>-</v>
      </c>
      <c r="AZ134" s="510" t="str">
        <f t="array" aca="1" ref="AZ134" ca="1">IFERROR(IF(AS134&lt;=$AB$2+$AN$2,"-",INDEX(Calculation_Tab,SMALL(ROW(Direct_Denaturation)*(Direct_Denaturation&lt;&gt;"-"),COUNTIF(Direct_Denaturation,"-")+ROW()-3-$AB$2-$AN$2)-9,32)),"-")</f>
        <v>-</v>
      </c>
      <c r="BA134" s="510" t="str">
        <f t="array" aca="1" ref="BA134" ca="1">IFERROR(IF(AS134&lt;=$AB$2+$AN$2,"-",INDEX(Calculation_Tab,SMALL(ROW(Direct_Denaturation)*(Direct_Denaturation&lt;&gt;"-"),COUNTIF(Direct_Denaturation,"-")+ROW()-3-$AB$2-$AN$2)-9,34)),"-")</f>
        <v>-</v>
      </c>
      <c r="BB134" s="510" t="str">
        <f t="array" aca="1" ref="BB134" ca="1">IFERROR(IF(AS134&lt;=$AB$2+$AN$2,"-",INDEX(Calculation_Tab,SMALL(ROW(Direct_Denaturation)*(Direct_Denaturation&lt;&gt;"-"),COUNTIF(Direct_Denaturation,"-")+ROW()-3-$AB$2-$AN$2)-9,33)),"-")</f>
        <v>-</v>
      </c>
      <c r="BC134" s="510" t="str">
        <f t="array" aca="1" ref="BC134" ca="1">IFERROR(IF(AS134&lt;=$AB$2+$AN$2,"-",INDEX(Calculation_Tab,SMALL(ROW(Direct_Denaturation)*(Direct_Denaturation&lt;&gt;"-"),COUNTIF(Direct_Denaturation,"-")+ROW()-3-$AB$2-$AN$2)-9,35)),"-")</f>
        <v>-</v>
      </c>
      <c r="BD134" s="511" t="str">
        <f t="shared" ca="1" si="85"/>
        <v>-</v>
      </c>
      <c r="BK134" s="542" t="s">
        <v>82</v>
      </c>
      <c r="BL134" s="542" t="s">
        <v>82</v>
      </c>
      <c r="BM134" s="487" t="str">
        <f t="array" aca="1" ref="BM134" ca="1">IFERROR(INDEX(Calculation_Tab,SMALL(ROW(ToPool)*(ToPool&lt;&gt;"-"),COUNTIF(ToPool,"-")+ROW()-3)-9,3),"-")</f>
        <v>-</v>
      </c>
      <c r="BN134" s="378" t="str">
        <f t="shared" ca="1" si="86"/>
        <v>-</v>
      </c>
      <c r="BO134" s="378" t="str">
        <f t="shared" ca="1" si="87"/>
        <v>-</v>
      </c>
      <c r="BP134" s="523" t="str">
        <f t="shared" ca="1" si="88"/>
        <v>-</v>
      </c>
      <c r="BQ134" s="378" t="str">
        <f t="array" aca="1" ref="BQ134" ca="1">IFERROR(INDEX(BE:BG,MATCH(INDEX(Calculation_Tab,SMALL(ROW(ToPool)*(ToPool&lt;&gt;"-"),COUNTIF(ToPool,"-")+ROW()-3)-9,9),BG:BG,0),2),"-")</f>
        <v>-</v>
      </c>
      <c r="BR134" s="510" t="str">
        <f t="shared" ca="1" si="89"/>
        <v>-</v>
      </c>
      <c r="BS134" s="511" t="str">
        <f t="shared" ca="1" si="90"/>
        <v>-</v>
      </c>
      <c r="BT134" s="543" t="s">
        <v>82</v>
      </c>
      <c r="BU134" s="487" t="str">
        <f t="shared" ca="1" si="95"/>
        <v>-</v>
      </c>
      <c r="BV134" s="487" t="str">
        <f t="array" aca="1" ref="BV13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34" s="378" t="str">
        <f t="shared" ca="1" si="91"/>
        <v>-</v>
      </c>
      <c r="BX134" s="378" t="str">
        <f t="shared" ca="1" si="92"/>
        <v>-</v>
      </c>
      <c r="BY134" s="510" t="str">
        <f ca="1">IFERROR(ROUND(INDEX(Cluster,MATCH(IF(LEFT(BV134,4)="Pool",INDEX(Cluster,MATCH(INDEX(Calculation_Tab,MATCH(INDEX($BE$4:$BJ$99,MATCH(BV134,$BE$4:$BE$99,0),3),Flow_Cell_Lane,0),3),Cluster!$F$29:$F$412,0),6),BV134),Identifier_Cluster,0),19)*IF(LEFT(BV134,4)="pool",IF(LEN(INDEX($BE$4:$BJ$99,MATCH(BV134,$BE$4:$BE$99,0),3))=10,2,IF(LEN(INDEX($BE$4:$BJ$99,MATCH(BV134,$BE$4:$BE$99,0),3))&gt;10,LEN(INDEX($BE$4:$BJ$99,MATCH(BV134,$BE$4:$BE$99,0),3))-8,1)),1)*IF(LEFT(BV134,4)="pool",IF(INDEX($BE$4:$BJ$99,MATCH(BV134,$BE$4:$BE$99,0),6)&lt;1,1,INDEX($BE$4:$BJ$99,MATCH(BV134,$BE$4:$BE$99,0),6)),INDEX(Calculation_Tab,MATCH(BV134,Identifier,0),10)),1)*(1+Calculation!$Q$6),"-")</f>
        <v>-</v>
      </c>
      <c r="BZ134" s="378" t="str">
        <f ca="1">IFERROR((0.5/50)*CE134/Calculation!$AG$6*(IF(LEFT(BV134,4)="Pool",IF(LEN(INDEX($BE$4:$BJ$99,MATCH(BV134,$BE$4:$BE$99,0),3))=10,2,IF(LEN(INDEX($BE$4:$BJ$99,MATCH(BV134,$BE$4:$BE$99,0),3))&gt;10,LEN(INDEX($BE$4:$BJ$99,MATCH(BV134,$BE$4:$BE$99,0),3))-8,1)),IF(INDEX(Calculation_Tab,MATCH(BV134,Identifier,0),10)&gt;1,INDEX(Calculation_Tab,MATCH(BV134,Identifier,0),10),1)))*(1+Calculation!$Q$6),"-")</f>
        <v>-</v>
      </c>
      <c r="CA134" s="510" t="str">
        <f ca="1">IFERROR(IF((BZ134*Calculation!$AG$6/0.05)-SUM(BY134:BZ134,CC134)&gt;0,(BZ134*Calculation!$AG$6/0.05)-SUM(BY134:BZ134,CC134),0),"-")</f>
        <v>-</v>
      </c>
      <c r="CB134" s="510" t="str">
        <f ca="1">IFERROR(5/50*CE134*(IF(LEFT(BV134,4)="Pool",IF(LEN(INDEX($BE$4:$BJ$99,MATCH(BV134,$BE$4:$BE$99,0),3))=10,2,IF(LEN(INDEX($BE$4:$BJ$99,MATCH(BV134,$BE$4:$BE$99,0),3))&gt;10,LEN(INDEX($BE$4:$BJ$99,MATCH(BV134,$BE$4:$BE$99,0),3))-8,1)),IF(INDEX(Calculation_Tab,MATCH(BV134,Identifier,0),10)&gt;1,INDEX(Calculation_Tab,MATCH(BV134,Identifier,0),10),1)))*(1+Calculation!$Q$6),"-")</f>
        <v>-</v>
      </c>
      <c r="CC134" s="508" t="str">
        <f ca="1">IFERROR(ROUND(INDEX(Cluster,MATCH(IF(LEFT(BV134,4)="Pool",INDEX(Cluster,MATCH(INDEX(Calculation_Tab,MATCH(INDEX($BE$4:$BJ$99,MATCH(BV134,$BE$4:$BE$99,0),3),Flow_Cell_Lane,0),3),Cluster!$F$29:$F$412,0),6),BV134),Identifier_Cluster,0),20)*IF(LEFT(BV134,4)="pool",IF(LEN(INDEX($BE$4:$BJ$99,MATCH(BV134,$BE$4:$BE$99,0),3))=10,2,IF(LEN(INDEX($BE$4:$BJ$99,MATCH(BV134,$BE$4:$BE$99,0),3))&gt;10,LEN(INDEX($BE$4:$BJ$99,MATCH(BV134,$BE$4:$BE$99,0),3))-8,1)),1)*IF(LEFT(BV134,4)="pool",IF(INDEX($BE$4:$BJ$99,MATCH(BV134,$BE$4:$BE$99,0),6)&lt;1,1,INDEX($BE$4:$BJ$99,MATCH(BV134,$BE$4:$BE$99,0),6)),INDEX(Calculation_Tab,MATCH(BV134,Identifier,0),10)),1)*(1+Calculation!$Q$6),"-")</f>
        <v>-</v>
      </c>
      <c r="CD134" s="509" t="str">
        <f ca="1">IFERROR(INDEX(Cluster!AC:AD,MATCH(IF(LEFT(BV134,4)="Pool",INDEX(Cluster!$D$29:$AA$412,MATCH(INDEX(Calculation_Tab,MATCH(INDEX($BE$4:$BJ$99,MATCH(BV134,$BE$4:$BE$99,0),3),Flow_Cell_Lane,0),3),Cluster!$F$29:$F$412,0),24),INDEX(Cluster!$D$29:$AA$412,MATCH(BV134,Cluster!$F$29:$F$412,0),24)),Cluster!AC:AC,0),2),"-")</f>
        <v>-</v>
      </c>
      <c r="CE134" s="378" t="str">
        <f ca="1">IFERROR(IF(BV134&lt;&gt;"-",Calculation!$AK$6,"-"),"-")</f>
        <v>-</v>
      </c>
      <c r="CF134" s="378" t="str">
        <f ca="1">IF(OR(LEFT(ListAndConversion!BW134,3)="Dil",LEFT(ListAndConversion!BW134,3)="Poo"),ListAndConversion!$BT$4,IF(LEFT(ListAndConversion!BW134,3)="Sou",INDEX(ListAndConversion!$AT$3:$AV$387,MATCH(ListAndConversion!BV134,ListAndConversion!$AV$3:$AV$387,0),1),"-"))</f>
        <v>-</v>
      </c>
      <c r="CG134" s="498" t="str">
        <f ca="1">IF(OR(LEFT(ListAndConversion!BW134,3)="Dil",LEFT(ListAndConversion!BW134,3)="Poo"),ListAndConversion!BU134,IF(LEFT(ListAndConversion!BW134,3)="Sou",INDEX(ListAndConversion!$AT$4:$AV$387,MATCH(ListAndConversion!BV134,ListAndConversion!$AV$4:$AV$387,0),2),"-"))</f>
        <v>-</v>
      </c>
      <c r="CH134" s="378"/>
      <c r="CI134" s="487" t="str">
        <f t="shared" ca="1" si="93"/>
        <v>-</v>
      </c>
      <c r="CJ134" s="378" t="str">
        <f t="shared" ref="CJ134:CQ143" ca="1" si="96">IFERROR(INDEX($R$3:$U$98,MATCH(INDEX($F$3:$M$387,MATCH($CI134,$E$3:$E$386,0),CJ$3),$S$3:$S$98,0),4),"-")</f>
        <v>-</v>
      </c>
      <c r="CK134" s="378" t="str">
        <f t="shared" ca="1" si="96"/>
        <v>-</v>
      </c>
      <c r="CL134" s="378" t="str">
        <f t="shared" ca="1" si="96"/>
        <v>-</v>
      </c>
      <c r="CM134" s="378" t="str">
        <f t="shared" ca="1" si="96"/>
        <v>-</v>
      </c>
      <c r="CN134" s="378" t="str">
        <f t="shared" ca="1" si="96"/>
        <v>-</v>
      </c>
      <c r="CO134" s="378" t="str">
        <f t="shared" ca="1" si="96"/>
        <v>-</v>
      </c>
      <c r="CP134" s="378" t="str">
        <f t="shared" ca="1" si="96"/>
        <v>-</v>
      </c>
      <c r="CQ134" s="378" t="str">
        <f t="shared" ca="1" si="96"/>
        <v>-</v>
      </c>
      <c r="CR134" s="510" t="str">
        <f ca="1">IFERROR(IF(LEFT(BW134,3)="Poo",INDEX($BE$4:$BJ$99,MATCH(CI134,$BG$4:$BG$99,0),6)*((15/50))*Calculation!$AK$6,INDEX(Calculation_Tab,MATCH(BV134,Identifier,0),10)/(IF(LEN(INDEX(Calculation_Tab,MATCH(BV134,Identifier,0),9))&gt;8,LEN(INDEX(Calculation_Tab,MATCH(BV134,Identifier,0),9))-8,1))*((15/50)*Calculation!$AK$6)),"-")</f>
        <v>-</v>
      </c>
      <c r="CS134" s="498" t="str">
        <f ca="1">IF(CI134="-","-",IF(COUNTIF($CI$3:CI134,CI134)&gt;1,0,IFERROR((35/50)*Calculation!$AK$6,"-")))</f>
        <v>-</v>
      </c>
    </row>
    <row r="135" spans="4:97" x14ac:dyDescent="0.5">
      <c r="D135" s="487" t="e">
        <f t="shared" si="79"/>
        <v>#DIV/0!</v>
      </c>
      <c r="E135" s="496" t="e">
        <f t="array" ref="E135">IF(IF((ROW(E135)-3)&lt;(ListAndConversion!$A$15),INDEX(Flow_Cell_Lane,MIN(IF(COUNTIF($E$2:E134,Flow_Cell_Lane)=0,ROW(Flow_Cell_Lane)-9))),"-")="","-",IF((ROW(E135)-3)&lt;(ListAndConversion!$A$15),INDEX(Flow_Cell_Lane,MIN(IF(COUNTIF($E$2:E134,Flow_Cell_Lane)=0,ROW(Flow_Cell_Lane)-9))),"-"))</f>
        <v>#DIV/0!</v>
      </c>
      <c r="F135" s="378" t="e">
        <f t="shared" si="80"/>
        <v>#DIV/0!</v>
      </c>
      <c r="G135" s="378" t="e">
        <f t="shared" si="94"/>
        <v>#DIV/0!</v>
      </c>
      <c r="H135" s="378" t="e">
        <f t="shared" si="94"/>
        <v>#DIV/0!</v>
      </c>
      <c r="I135" s="378" t="e">
        <f t="shared" si="94"/>
        <v>#DIV/0!</v>
      </c>
      <c r="J135" s="378" t="e">
        <f t="shared" si="94"/>
        <v>#DIV/0!</v>
      </c>
      <c r="K135" s="378" t="e">
        <f t="shared" si="94"/>
        <v>#DIV/0!</v>
      </c>
      <c r="L135" s="378" t="e">
        <f t="shared" si="94"/>
        <v>#DIV/0!</v>
      </c>
      <c r="M135" s="378" t="e">
        <f t="shared" si="94"/>
        <v>#DIV/0!</v>
      </c>
      <c r="N135" s="497" t="e">
        <f t="shared" si="81"/>
        <v>#DIV/0!</v>
      </c>
      <c r="O135" s="497" t="str">
        <f t="array" ref="O135">IFERROR(INDEX(Calculation!I:AN,MATCH(ListAndConversion!E135,Calculation!I:I,0),31),"-")</f>
        <v>-</v>
      </c>
      <c r="P135" s="498">
        <f>IF(COUNTIFS(Calculation!$I$10:$I$393,E135,Direct_Denaturation,"-")&lt;&gt;1,COUNTIFS(Calculation!$I$10:$I$393,E135,Direct_Denaturation,"-"),0)</f>
        <v>0</v>
      </c>
      <c r="V135" s="542" t="s">
        <v>82</v>
      </c>
      <c r="W135" s="542" t="s">
        <v>82</v>
      </c>
      <c r="X135" s="542" t="s">
        <v>82</v>
      </c>
      <c r="Y135" s="542" t="s">
        <v>82</v>
      </c>
      <c r="Z135" s="542" t="s">
        <v>82</v>
      </c>
      <c r="AA135" s="542" t="s">
        <v>82</v>
      </c>
      <c r="AB135" s="542" t="s">
        <v>82</v>
      </c>
      <c r="AC135" s="542" t="s">
        <v>82</v>
      </c>
      <c r="AD135" s="542" t="s">
        <v>82</v>
      </c>
      <c r="AE135" s="542" t="s">
        <v>82</v>
      </c>
      <c r="AF135" s="542" t="s">
        <v>82</v>
      </c>
      <c r="AG135" s="542" t="s">
        <v>82</v>
      </c>
      <c r="AH135" s="9"/>
      <c r="AI135" s="487">
        <v>132</v>
      </c>
      <c r="AJ135" s="497" t="s">
        <v>161</v>
      </c>
      <c r="AK135" s="378">
        <v>36</v>
      </c>
      <c r="AL135" s="378" t="str">
        <f t="shared" ca="1" si="82"/>
        <v>-</v>
      </c>
      <c r="AM135" s="378" t="str">
        <f t="array" aca="1" ref="AM135" ca="1">IFERROR(IF(AI135&lt;=$AB$2,"-",INDEX(Calculation_Tab,SMALL(ROW(Main_Dil)*(Main_Dil&lt;&gt;"-"),COUNTIF(Main_Dil,"-")+ROW()-3-$AB$2)-9,5)),"-")</f>
        <v>-</v>
      </c>
      <c r="AN135" s="378" t="str">
        <f t="array" aca="1" ref="AN135" ca="1">IFERROR(IF(AI135&lt;=$AB$2,"-",INDEX($A$3:$B$12,MATCH(INDEX(Calculation_Tab,SMALL(ROW(Main_Dil)*(Main_Dil&lt;&gt;"-"),COUNTIF(Main_Dil,"-")+ROW()-3-$AB$2)-9,5),$A$3:$A$12,0),2)),"-")</f>
        <v>-</v>
      </c>
      <c r="AO135" s="378" t="str">
        <f t="array" aca="1" ref="AO135" ca="1">IFERROR(IF(AI135&lt;=$AB$2,"-",INDEX(Coordinate,MATCH(INDEX(Calculation_Tab,SMALL(ROW(Main_Dil)*(Main_Dil&lt;&gt;"-"),COUNTIF(Main_Dil,"-")+ROW()-3-$AB$2)-9,6),$X$4:$X$99,0),2)),"-")</f>
        <v>-</v>
      </c>
      <c r="AP135" s="510" t="str">
        <f t="array" aca="1" ref="AP135" ca="1">IFERROR(IF(AI135&lt;=$AB$2,"-",INDEX(Calculation_Tab,SMALL(ROW(Main_Dil)*(Main_Dil&lt;&gt;"-"),COUNTIF(Main_Dil,"-")+ROW()-3-$AB$2)-9,21)),"-")</f>
        <v>-</v>
      </c>
      <c r="AQ135" s="511" t="str">
        <f t="array" aca="1" ref="AQ135" ca="1">IFERROR(IF(AI135&lt;=$AB$2,"-",INDEX(Calculation_Tab,SMALL(ROW(Main_Dil)*(Main_Dil&lt;&gt;"-"),COUNTIF(Main_Dil,"-")+ROW()-3-$AB$2)-9,22)),"-")</f>
        <v>-</v>
      </c>
      <c r="AR135" s="487" t="str">
        <f t="shared" ca="1" si="83"/>
        <v>-</v>
      </c>
      <c r="AS135" s="378">
        <v>132</v>
      </c>
      <c r="AT135" s="497" t="s">
        <v>161</v>
      </c>
      <c r="AU135" s="498">
        <v>36</v>
      </c>
      <c r="AV135" s="378" t="str">
        <f t="shared" ca="1" si="84"/>
        <v>-</v>
      </c>
      <c r="AW135" s="378" t="str">
        <f t="array" aca="1" ref="AW135" ca="1">IFERROR(IF(AS135&lt;=$AB$2+$AN$2,"-",INDEX(Calculation_Tab,SMALL(ROW(Direct_Denaturation)*(Direct_Denaturation&lt;&gt;"-"),COUNTIF(Direct_Denaturation,"-")+ROW()-3-$AB$2-$AN$2)-9,5)),"-")</f>
        <v>-</v>
      </c>
      <c r="AX135" s="378" t="str">
        <f t="array" aca="1" ref="AX135" ca="1">IFERROR(IF(AS135&lt;=$AB$2+$AN$2,"-",INDEX($A$3:$B$12,MATCH(INDEX(Calculation_Tab,SMALL(ROW(Direct_Denaturation)*(Direct_Denaturation&lt;&gt;"-"),COUNTIF(Direct_Denaturation,"-")+ROW()-3-$AB$2-$AN$2)-9,5),$A$3:$A$12,0),2)),"-")</f>
        <v>-</v>
      </c>
      <c r="AY135" s="378" t="str">
        <f t="array" aca="1" ref="AY135" ca="1">IFERROR(IF(AS135&lt;=$AB$2+$AN$2,"-",INDEX(Coordinate,MATCH(INDEX(Calculation_Tab,SMALL(ROW(Direct_Denaturation)*(Direct_Denaturation&lt;&gt;"-"),COUNTIF(Direct_Denaturation,"-")+ROW()-3-$AB$2-$AN$2)-9,6),$X$4:$X$99,0),2)),"-")</f>
        <v>-</v>
      </c>
      <c r="AZ135" s="510" t="str">
        <f t="array" aca="1" ref="AZ135" ca="1">IFERROR(IF(AS135&lt;=$AB$2+$AN$2,"-",INDEX(Calculation_Tab,SMALL(ROW(Direct_Denaturation)*(Direct_Denaturation&lt;&gt;"-"),COUNTIF(Direct_Denaturation,"-")+ROW()-3-$AB$2-$AN$2)-9,32)),"-")</f>
        <v>-</v>
      </c>
      <c r="BA135" s="510" t="str">
        <f t="array" aca="1" ref="BA135" ca="1">IFERROR(IF(AS135&lt;=$AB$2+$AN$2,"-",INDEX(Calculation_Tab,SMALL(ROW(Direct_Denaturation)*(Direct_Denaturation&lt;&gt;"-"),COUNTIF(Direct_Denaturation,"-")+ROW()-3-$AB$2-$AN$2)-9,34)),"-")</f>
        <v>-</v>
      </c>
      <c r="BB135" s="510" t="str">
        <f t="array" aca="1" ref="BB135" ca="1">IFERROR(IF(AS135&lt;=$AB$2+$AN$2,"-",INDEX(Calculation_Tab,SMALL(ROW(Direct_Denaturation)*(Direct_Denaturation&lt;&gt;"-"),COUNTIF(Direct_Denaturation,"-")+ROW()-3-$AB$2-$AN$2)-9,33)),"-")</f>
        <v>-</v>
      </c>
      <c r="BC135" s="510" t="str">
        <f t="array" aca="1" ref="BC135" ca="1">IFERROR(IF(AS135&lt;=$AB$2+$AN$2,"-",INDEX(Calculation_Tab,SMALL(ROW(Direct_Denaturation)*(Direct_Denaturation&lt;&gt;"-"),COUNTIF(Direct_Denaturation,"-")+ROW()-3-$AB$2-$AN$2)-9,35)),"-")</f>
        <v>-</v>
      </c>
      <c r="BD135" s="511" t="str">
        <f t="shared" ca="1" si="85"/>
        <v>-</v>
      </c>
      <c r="BK135" s="542" t="s">
        <v>82</v>
      </c>
      <c r="BL135" s="542" t="s">
        <v>82</v>
      </c>
      <c r="BM135" s="487" t="str">
        <f t="array" aca="1" ref="BM135" ca="1">IFERROR(INDEX(Calculation_Tab,SMALL(ROW(ToPool)*(ToPool&lt;&gt;"-"),COUNTIF(ToPool,"-")+ROW()-3)-9,3),"-")</f>
        <v>-</v>
      </c>
      <c r="BN135" s="378" t="str">
        <f t="shared" ca="1" si="86"/>
        <v>-</v>
      </c>
      <c r="BO135" s="378" t="str">
        <f t="shared" ca="1" si="87"/>
        <v>-</v>
      </c>
      <c r="BP135" s="523" t="str">
        <f t="shared" ca="1" si="88"/>
        <v>-</v>
      </c>
      <c r="BQ135" s="378" t="str">
        <f t="array" aca="1" ref="BQ135" ca="1">IFERROR(INDEX(BE:BG,MATCH(INDEX(Calculation_Tab,SMALL(ROW(ToPool)*(ToPool&lt;&gt;"-"),COUNTIF(ToPool,"-")+ROW()-3)-9,9),BG:BG,0),2),"-")</f>
        <v>-</v>
      </c>
      <c r="BR135" s="510" t="str">
        <f t="shared" ca="1" si="89"/>
        <v>-</v>
      </c>
      <c r="BS135" s="511" t="str">
        <f t="shared" ca="1" si="90"/>
        <v>-</v>
      </c>
      <c r="BT135" s="543" t="s">
        <v>82</v>
      </c>
      <c r="BU135" s="487" t="str">
        <f t="shared" ca="1" si="95"/>
        <v>-</v>
      </c>
      <c r="BV135" s="487" t="str">
        <f t="array" aca="1" ref="BV13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35" s="378" t="str">
        <f t="shared" ca="1" si="91"/>
        <v>-</v>
      </c>
      <c r="BX135" s="378" t="str">
        <f t="shared" ca="1" si="92"/>
        <v>-</v>
      </c>
      <c r="BY135" s="510" t="str">
        <f ca="1">IFERROR(ROUND(INDEX(Cluster,MATCH(IF(LEFT(BV135,4)="Pool",INDEX(Cluster,MATCH(INDEX(Calculation_Tab,MATCH(INDEX($BE$4:$BJ$99,MATCH(BV135,$BE$4:$BE$99,0),3),Flow_Cell_Lane,0),3),Cluster!$F$29:$F$412,0),6),BV135),Identifier_Cluster,0),19)*IF(LEFT(BV135,4)="pool",IF(LEN(INDEX($BE$4:$BJ$99,MATCH(BV135,$BE$4:$BE$99,0),3))=10,2,IF(LEN(INDEX($BE$4:$BJ$99,MATCH(BV135,$BE$4:$BE$99,0),3))&gt;10,LEN(INDEX($BE$4:$BJ$99,MATCH(BV135,$BE$4:$BE$99,0),3))-8,1)),1)*IF(LEFT(BV135,4)="pool",IF(INDEX($BE$4:$BJ$99,MATCH(BV135,$BE$4:$BE$99,0),6)&lt;1,1,INDEX($BE$4:$BJ$99,MATCH(BV135,$BE$4:$BE$99,0),6)),INDEX(Calculation_Tab,MATCH(BV135,Identifier,0),10)),1)*(1+Calculation!$Q$6),"-")</f>
        <v>-</v>
      </c>
      <c r="BZ135" s="378" t="str">
        <f ca="1">IFERROR((0.5/50)*CE135/Calculation!$AG$6*(IF(LEFT(BV135,4)="Pool",IF(LEN(INDEX($BE$4:$BJ$99,MATCH(BV135,$BE$4:$BE$99,0),3))=10,2,IF(LEN(INDEX($BE$4:$BJ$99,MATCH(BV135,$BE$4:$BE$99,0),3))&gt;10,LEN(INDEX($BE$4:$BJ$99,MATCH(BV135,$BE$4:$BE$99,0),3))-8,1)),IF(INDEX(Calculation_Tab,MATCH(BV135,Identifier,0),10)&gt;1,INDEX(Calculation_Tab,MATCH(BV135,Identifier,0),10),1)))*(1+Calculation!$Q$6),"-")</f>
        <v>-</v>
      </c>
      <c r="CA135" s="510" t="str">
        <f ca="1">IFERROR(IF((BZ135*Calculation!$AG$6/0.05)-SUM(BY135:BZ135,CC135)&gt;0,(BZ135*Calculation!$AG$6/0.05)-SUM(BY135:BZ135,CC135),0),"-")</f>
        <v>-</v>
      </c>
      <c r="CB135" s="510" t="str">
        <f ca="1">IFERROR(5/50*CE135*(IF(LEFT(BV135,4)="Pool",IF(LEN(INDEX($BE$4:$BJ$99,MATCH(BV135,$BE$4:$BE$99,0),3))=10,2,IF(LEN(INDEX($BE$4:$BJ$99,MATCH(BV135,$BE$4:$BE$99,0),3))&gt;10,LEN(INDEX($BE$4:$BJ$99,MATCH(BV135,$BE$4:$BE$99,0),3))-8,1)),IF(INDEX(Calculation_Tab,MATCH(BV135,Identifier,0),10)&gt;1,INDEX(Calculation_Tab,MATCH(BV135,Identifier,0),10),1)))*(1+Calculation!$Q$6),"-")</f>
        <v>-</v>
      </c>
      <c r="CC135" s="508" t="str">
        <f ca="1">IFERROR(ROUND(INDEX(Cluster,MATCH(IF(LEFT(BV135,4)="Pool",INDEX(Cluster,MATCH(INDEX(Calculation_Tab,MATCH(INDEX($BE$4:$BJ$99,MATCH(BV135,$BE$4:$BE$99,0),3),Flow_Cell_Lane,0),3),Cluster!$F$29:$F$412,0),6),BV135),Identifier_Cluster,0),20)*IF(LEFT(BV135,4)="pool",IF(LEN(INDEX($BE$4:$BJ$99,MATCH(BV135,$BE$4:$BE$99,0),3))=10,2,IF(LEN(INDEX($BE$4:$BJ$99,MATCH(BV135,$BE$4:$BE$99,0),3))&gt;10,LEN(INDEX($BE$4:$BJ$99,MATCH(BV135,$BE$4:$BE$99,0),3))-8,1)),1)*IF(LEFT(BV135,4)="pool",IF(INDEX($BE$4:$BJ$99,MATCH(BV135,$BE$4:$BE$99,0),6)&lt;1,1,INDEX($BE$4:$BJ$99,MATCH(BV135,$BE$4:$BE$99,0),6)),INDEX(Calculation_Tab,MATCH(BV135,Identifier,0),10)),1)*(1+Calculation!$Q$6),"-")</f>
        <v>-</v>
      </c>
      <c r="CD135" s="509" t="str">
        <f ca="1">IFERROR(INDEX(Cluster!AC:AD,MATCH(IF(LEFT(BV135,4)="Pool",INDEX(Cluster!$D$29:$AA$412,MATCH(INDEX(Calculation_Tab,MATCH(INDEX($BE$4:$BJ$99,MATCH(BV135,$BE$4:$BE$99,0),3),Flow_Cell_Lane,0),3),Cluster!$F$29:$F$412,0),24),INDEX(Cluster!$D$29:$AA$412,MATCH(BV135,Cluster!$F$29:$F$412,0),24)),Cluster!AC:AC,0),2),"-")</f>
        <v>-</v>
      </c>
      <c r="CE135" s="378" t="str">
        <f ca="1">IFERROR(IF(BV135&lt;&gt;"-",Calculation!$AK$6,"-"),"-")</f>
        <v>-</v>
      </c>
      <c r="CF135" s="378" t="str">
        <f ca="1">IF(OR(LEFT(ListAndConversion!BW135,3)="Dil",LEFT(ListAndConversion!BW135,3)="Poo"),ListAndConversion!$BT$4,IF(LEFT(ListAndConversion!BW135,3)="Sou",INDEX(ListAndConversion!$AT$3:$AV$387,MATCH(ListAndConversion!BV135,ListAndConversion!$AV$3:$AV$387,0),1),"-"))</f>
        <v>-</v>
      </c>
      <c r="CG135" s="498" t="str">
        <f ca="1">IF(OR(LEFT(ListAndConversion!BW135,3)="Dil",LEFT(ListAndConversion!BW135,3)="Poo"),ListAndConversion!BU135,IF(LEFT(ListAndConversion!BW135,3)="Sou",INDEX(ListAndConversion!$AT$4:$AV$387,MATCH(ListAndConversion!BV135,ListAndConversion!$AV$4:$AV$387,0),2),"-"))</f>
        <v>-</v>
      </c>
      <c r="CH135" s="378"/>
      <c r="CI135" s="487" t="str">
        <f t="shared" ca="1" si="93"/>
        <v>-</v>
      </c>
      <c r="CJ135" s="378" t="str">
        <f t="shared" ca="1" si="96"/>
        <v>-</v>
      </c>
      <c r="CK135" s="378" t="str">
        <f t="shared" ca="1" si="96"/>
        <v>-</v>
      </c>
      <c r="CL135" s="378" t="str">
        <f t="shared" ca="1" si="96"/>
        <v>-</v>
      </c>
      <c r="CM135" s="378" t="str">
        <f t="shared" ca="1" si="96"/>
        <v>-</v>
      </c>
      <c r="CN135" s="378" t="str">
        <f t="shared" ca="1" si="96"/>
        <v>-</v>
      </c>
      <c r="CO135" s="378" t="str">
        <f t="shared" ca="1" si="96"/>
        <v>-</v>
      </c>
      <c r="CP135" s="378" t="str">
        <f t="shared" ca="1" si="96"/>
        <v>-</v>
      </c>
      <c r="CQ135" s="378" t="str">
        <f t="shared" ca="1" si="96"/>
        <v>-</v>
      </c>
      <c r="CR135" s="510" t="str">
        <f ca="1">IFERROR(IF(LEFT(BW135,3)="Poo",INDEX($BE$4:$BJ$99,MATCH(CI135,$BG$4:$BG$99,0),6)*((15/50))*Calculation!$AK$6,INDEX(Calculation_Tab,MATCH(BV135,Identifier,0),10)/(IF(LEN(INDEX(Calculation_Tab,MATCH(BV135,Identifier,0),9))&gt;8,LEN(INDEX(Calculation_Tab,MATCH(BV135,Identifier,0),9))-8,1))*((15/50)*Calculation!$AK$6)),"-")</f>
        <v>-</v>
      </c>
      <c r="CS135" s="498" t="str">
        <f ca="1">IF(CI135="-","-",IF(COUNTIF($CI$3:CI135,CI135)&gt;1,0,IFERROR((35/50)*Calculation!$AK$6,"-")))</f>
        <v>-</v>
      </c>
    </row>
    <row r="136" spans="4:97" x14ac:dyDescent="0.5">
      <c r="D136" s="487" t="e">
        <f t="shared" si="79"/>
        <v>#DIV/0!</v>
      </c>
      <c r="E136" s="496" t="e">
        <f t="array" ref="E136">IF(IF((ROW(E136)-3)&lt;(ListAndConversion!$A$15),INDEX(Flow_Cell_Lane,MIN(IF(COUNTIF($E$2:E135,Flow_Cell_Lane)=0,ROW(Flow_Cell_Lane)-9))),"-")="","-",IF((ROW(E136)-3)&lt;(ListAndConversion!$A$15),INDEX(Flow_Cell_Lane,MIN(IF(COUNTIF($E$2:E135,Flow_Cell_Lane)=0,ROW(Flow_Cell_Lane)-9))),"-"))</f>
        <v>#DIV/0!</v>
      </c>
      <c r="F136" s="378" t="e">
        <f t="shared" si="80"/>
        <v>#DIV/0!</v>
      </c>
      <c r="G136" s="378" t="e">
        <f t="shared" si="94"/>
        <v>#DIV/0!</v>
      </c>
      <c r="H136" s="378" t="e">
        <f t="shared" si="94"/>
        <v>#DIV/0!</v>
      </c>
      <c r="I136" s="378" t="e">
        <f t="shared" si="94"/>
        <v>#DIV/0!</v>
      </c>
      <c r="J136" s="378" t="e">
        <f t="shared" si="94"/>
        <v>#DIV/0!</v>
      </c>
      <c r="K136" s="378" t="e">
        <f t="shared" si="94"/>
        <v>#DIV/0!</v>
      </c>
      <c r="L136" s="378" t="e">
        <f t="shared" si="94"/>
        <v>#DIV/0!</v>
      </c>
      <c r="M136" s="378" t="e">
        <f t="shared" si="94"/>
        <v>#DIV/0!</v>
      </c>
      <c r="N136" s="497" t="e">
        <f t="shared" si="81"/>
        <v>#DIV/0!</v>
      </c>
      <c r="O136" s="497" t="str">
        <f t="array" ref="O136">IFERROR(INDEX(Calculation!I:AN,MATCH(ListAndConversion!E136,Calculation!I:I,0),31),"-")</f>
        <v>-</v>
      </c>
      <c r="P136" s="498">
        <f>IF(COUNTIFS(Calculation!$I$10:$I$393,E136,Direct_Denaturation,"-")&lt;&gt;1,COUNTIFS(Calculation!$I$10:$I$393,E136,Direct_Denaturation,"-"),0)</f>
        <v>0</v>
      </c>
      <c r="V136" s="542" t="s">
        <v>82</v>
      </c>
      <c r="W136" s="542" t="s">
        <v>82</v>
      </c>
      <c r="X136" s="542" t="s">
        <v>82</v>
      </c>
      <c r="Y136" s="542" t="s">
        <v>82</v>
      </c>
      <c r="Z136" s="542" t="s">
        <v>82</v>
      </c>
      <c r="AA136" s="542" t="s">
        <v>82</v>
      </c>
      <c r="AB136" s="542" t="s">
        <v>82</v>
      </c>
      <c r="AC136" s="542" t="s">
        <v>82</v>
      </c>
      <c r="AD136" s="542" t="s">
        <v>82</v>
      </c>
      <c r="AE136" s="542" t="s">
        <v>82</v>
      </c>
      <c r="AF136" s="542" t="s">
        <v>82</v>
      </c>
      <c r="AG136" s="542" t="s">
        <v>82</v>
      </c>
      <c r="AH136" s="9"/>
      <c r="AI136" s="487">
        <v>133</v>
      </c>
      <c r="AJ136" s="497" t="s">
        <v>161</v>
      </c>
      <c r="AK136" s="378">
        <v>37</v>
      </c>
      <c r="AL136" s="378" t="str">
        <f t="shared" ca="1" si="82"/>
        <v>-</v>
      </c>
      <c r="AM136" s="378" t="str">
        <f t="array" aca="1" ref="AM136" ca="1">IFERROR(IF(AI136&lt;=$AB$2,"-",INDEX(Calculation_Tab,SMALL(ROW(Main_Dil)*(Main_Dil&lt;&gt;"-"),COUNTIF(Main_Dil,"-")+ROW()-3-$AB$2)-9,5)),"-")</f>
        <v>-</v>
      </c>
      <c r="AN136" s="378" t="str">
        <f t="array" aca="1" ref="AN136" ca="1">IFERROR(IF(AI136&lt;=$AB$2,"-",INDEX($A$3:$B$12,MATCH(INDEX(Calculation_Tab,SMALL(ROW(Main_Dil)*(Main_Dil&lt;&gt;"-"),COUNTIF(Main_Dil,"-")+ROW()-3-$AB$2)-9,5),$A$3:$A$12,0),2)),"-")</f>
        <v>-</v>
      </c>
      <c r="AO136" s="378" t="str">
        <f t="array" aca="1" ref="AO136" ca="1">IFERROR(IF(AI136&lt;=$AB$2,"-",INDEX(Coordinate,MATCH(INDEX(Calculation_Tab,SMALL(ROW(Main_Dil)*(Main_Dil&lt;&gt;"-"),COUNTIF(Main_Dil,"-")+ROW()-3-$AB$2)-9,6),$X$4:$X$99,0),2)),"-")</f>
        <v>-</v>
      </c>
      <c r="AP136" s="510" t="str">
        <f t="array" aca="1" ref="AP136" ca="1">IFERROR(IF(AI136&lt;=$AB$2,"-",INDEX(Calculation_Tab,SMALL(ROW(Main_Dil)*(Main_Dil&lt;&gt;"-"),COUNTIF(Main_Dil,"-")+ROW()-3-$AB$2)-9,21)),"-")</f>
        <v>-</v>
      </c>
      <c r="AQ136" s="511" t="str">
        <f t="array" aca="1" ref="AQ136" ca="1">IFERROR(IF(AI136&lt;=$AB$2,"-",INDEX(Calculation_Tab,SMALL(ROW(Main_Dil)*(Main_Dil&lt;&gt;"-"),COUNTIF(Main_Dil,"-")+ROW()-3-$AB$2)-9,22)),"-")</f>
        <v>-</v>
      </c>
      <c r="AR136" s="487" t="str">
        <f t="shared" ca="1" si="83"/>
        <v>-</v>
      </c>
      <c r="AS136" s="378">
        <v>133</v>
      </c>
      <c r="AT136" s="497" t="s">
        <v>161</v>
      </c>
      <c r="AU136" s="498">
        <v>37</v>
      </c>
      <c r="AV136" s="378" t="str">
        <f t="shared" ca="1" si="84"/>
        <v>-</v>
      </c>
      <c r="AW136" s="378" t="str">
        <f t="array" aca="1" ref="AW136" ca="1">IFERROR(IF(AS136&lt;=$AB$2+$AN$2,"-",INDEX(Calculation_Tab,SMALL(ROW(Direct_Denaturation)*(Direct_Denaturation&lt;&gt;"-"),COUNTIF(Direct_Denaturation,"-")+ROW()-3-$AB$2-$AN$2)-9,5)),"-")</f>
        <v>-</v>
      </c>
      <c r="AX136" s="378" t="str">
        <f t="array" aca="1" ref="AX136" ca="1">IFERROR(IF(AS136&lt;=$AB$2+$AN$2,"-",INDEX($A$3:$B$12,MATCH(INDEX(Calculation_Tab,SMALL(ROW(Direct_Denaturation)*(Direct_Denaturation&lt;&gt;"-"),COUNTIF(Direct_Denaturation,"-")+ROW()-3-$AB$2-$AN$2)-9,5),$A$3:$A$12,0),2)),"-")</f>
        <v>-</v>
      </c>
      <c r="AY136" s="378" t="str">
        <f t="array" aca="1" ref="AY136" ca="1">IFERROR(IF(AS136&lt;=$AB$2+$AN$2,"-",INDEX(Coordinate,MATCH(INDEX(Calculation_Tab,SMALL(ROW(Direct_Denaturation)*(Direct_Denaturation&lt;&gt;"-"),COUNTIF(Direct_Denaturation,"-")+ROW()-3-$AB$2-$AN$2)-9,6),$X$4:$X$99,0),2)),"-")</f>
        <v>-</v>
      </c>
      <c r="AZ136" s="510" t="str">
        <f t="array" aca="1" ref="AZ136" ca="1">IFERROR(IF(AS136&lt;=$AB$2+$AN$2,"-",INDEX(Calculation_Tab,SMALL(ROW(Direct_Denaturation)*(Direct_Denaturation&lt;&gt;"-"),COUNTIF(Direct_Denaturation,"-")+ROW()-3-$AB$2-$AN$2)-9,32)),"-")</f>
        <v>-</v>
      </c>
      <c r="BA136" s="510" t="str">
        <f t="array" aca="1" ref="BA136" ca="1">IFERROR(IF(AS136&lt;=$AB$2+$AN$2,"-",INDEX(Calculation_Tab,SMALL(ROW(Direct_Denaturation)*(Direct_Denaturation&lt;&gt;"-"),COUNTIF(Direct_Denaturation,"-")+ROW()-3-$AB$2-$AN$2)-9,34)),"-")</f>
        <v>-</v>
      </c>
      <c r="BB136" s="510" t="str">
        <f t="array" aca="1" ref="BB136" ca="1">IFERROR(IF(AS136&lt;=$AB$2+$AN$2,"-",INDEX(Calculation_Tab,SMALL(ROW(Direct_Denaturation)*(Direct_Denaturation&lt;&gt;"-"),COUNTIF(Direct_Denaturation,"-")+ROW()-3-$AB$2-$AN$2)-9,33)),"-")</f>
        <v>-</v>
      </c>
      <c r="BC136" s="510" t="str">
        <f t="array" aca="1" ref="BC136" ca="1">IFERROR(IF(AS136&lt;=$AB$2+$AN$2,"-",INDEX(Calculation_Tab,SMALL(ROW(Direct_Denaturation)*(Direct_Denaturation&lt;&gt;"-"),COUNTIF(Direct_Denaturation,"-")+ROW()-3-$AB$2-$AN$2)-9,35)),"-")</f>
        <v>-</v>
      </c>
      <c r="BD136" s="511" t="str">
        <f t="shared" ca="1" si="85"/>
        <v>-</v>
      </c>
      <c r="BK136" s="542" t="s">
        <v>82</v>
      </c>
      <c r="BL136" s="542" t="s">
        <v>82</v>
      </c>
      <c r="BM136" s="487" t="str">
        <f t="array" aca="1" ref="BM136" ca="1">IFERROR(INDEX(Calculation_Tab,SMALL(ROW(ToPool)*(ToPool&lt;&gt;"-"),COUNTIF(ToPool,"-")+ROW()-3)-9,3),"-")</f>
        <v>-</v>
      </c>
      <c r="BN136" s="378" t="str">
        <f t="shared" ca="1" si="86"/>
        <v>-</v>
      </c>
      <c r="BO136" s="378" t="str">
        <f t="shared" ca="1" si="87"/>
        <v>-</v>
      </c>
      <c r="BP136" s="523" t="str">
        <f t="shared" ca="1" si="88"/>
        <v>-</v>
      </c>
      <c r="BQ136" s="378" t="str">
        <f t="array" aca="1" ref="BQ136" ca="1">IFERROR(INDEX(BE:BG,MATCH(INDEX(Calculation_Tab,SMALL(ROW(ToPool)*(ToPool&lt;&gt;"-"),COUNTIF(ToPool,"-")+ROW()-3)-9,9),BG:BG,0),2),"-")</f>
        <v>-</v>
      </c>
      <c r="BR136" s="510" t="str">
        <f t="shared" ca="1" si="89"/>
        <v>-</v>
      </c>
      <c r="BS136" s="511" t="str">
        <f t="shared" ca="1" si="90"/>
        <v>-</v>
      </c>
      <c r="BT136" s="543" t="s">
        <v>82</v>
      </c>
      <c r="BU136" s="487" t="str">
        <f t="shared" ca="1" si="95"/>
        <v>-</v>
      </c>
      <c r="BV136" s="487" t="str">
        <f t="array" aca="1" ref="BV13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36" s="378" t="str">
        <f t="shared" ca="1" si="91"/>
        <v>-</v>
      </c>
      <c r="BX136" s="378" t="str">
        <f t="shared" ca="1" si="92"/>
        <v>-</v>
      </c>
      <c r="BY136" s="510" t="str">
        <f ca="1">IFERROR(ROUND(INDEX(Cluster,MATCH(IF(LEFT(BV136,4)="Pool",INDEX(Cluster,MATCH(INDEX(Calculation_Tab,MATCH(INDEX($BE$4:$BJ$99,MATCH(BV136,$BE$4:$BE$99,0),3),Flow_Cell_Lane,0),3),Cluster!$F$29:$F$412,0),6),BV136),Identifier_Cluster,0),19)*IF(LEFT(BV136,4)="pool",IF(LEN(INDEX($BE$4:$BJ$99,MATCH(BV136,$BE$4:$BE$99,0),3))=10,2,IF(LEN(INDEX($BE$4:$BJ$99,MATCH(BV136,$BE$4:$BE$99,0),3))&gt;10,LEN(INDEX($BE$4:$BJ$99,MATCH(BV136,$BE$4:$BE$99,0),3))-8,1)),1)*IF(LEFT(BV136,4)="pool",IF(INDEX($BE$4:$BJ$99,MATCH(BV136,$BE$4:$BE$99,0),6)&lt;1,1,INDEX($BE$4:$BJ$99,MATCH(BV136,$BE$4:$BE$99,0),6)),INDEX(Calculation_Tab,MATCH(BV136,Identifier,0),10)),1)*(1+Calculation!$Q$6),"-")</f>
        <v>-</v>
      </c>
      <c r="BZ136" s="378" t="str">
        <f ca="1">IFERROR((0.5/50)*CE136/Calculation!$AG$6*(IF(LEFT(BV136,4)="Pool",IF(LEN(INDEX($BE$4:$BJ$99,MATCH(BV136,$BE$4:$BE$99,0),3))=10,2,IF(LEN(INDEX($BE$4:$BJ$99,MATCH(BV136,$BE$4:$BE$99,0),3))&gt;10,LEN(INDEX($BE$4:$BJ$99,MATCH(BV136,$BE$4:$BE$99,0),3))-8,1)),IF(INDEX(Calculation_Tab,MATCH(BV136,Identifier,0),10)&gt;1,INDEX(Calculation_Tab,MATCH(BV136,Identifier,0),10),1)))*(1+Calculation!$Q$6),"-")</f>
        <v>-</v>
      </c>
      <c r="CA136" s="510" t="str">
        <f ca="1">IFERROR(IF((BZ136*Calculation!$AG$6/0.05)-SUM(BY136:BZ136,CC136)&gt;0,(BZ136*Calculation!$AG$6/0.05)-SUM(BY136:BZ136,CC136),0),"-")</f>
        <v>-</v>
      </c>
      <c r="CB136" s="510" t="str">
        <f ca="1">IFERROR(5/50*CE136*(IF(LEFT(BV136,4)="Pool",IF(LEN(INDEX($BE$4:$BJ$99,MATCH(BV136,$BE$4:$BE$99,0),3))=10,2,IF(LEN(INDEX($BE$4:$BJ$99,MATCH(BV136,$BE$4:$BE$99,0),3))&gt;10,LEN(INDEX($BE$4:$BJ$99,MATCH(BV136,$BE$4:$BE$99,0),3))-8,1)),IF(INDEX(Calculation_Tab,MATCH(BV136,Identifier,0),10)&gt;1,INDEX(Calculation_Tab,MATCH(BV136,Identifier,0),10),1)))*(1+Calculation!$Q$6),"-")</f>
        <v>-</v>
      </c>
      <c r="CC136" s="508" t="str">
        <f ca="1">IFERROR(ROUND(INDEX(Cluster,MATCH(IF(LEFT(BV136,4)="Pool",INDEX(Cluster,MATCH(INDEX(Calculation_Tab,MATCH(INDEX($BE$4:$BJ$99,MATCH(BV136,$BE$4:$BE$99,0),3),Flow_Cell_Lane,0),3),Cluster!$F$29:$F$412,0),6),BV136),Identifier_Cluster,0),20)*IF(LEFT(BV136,4)="pool",IF(LEN(INDEX($BE$4:$BJ$99,MATCH(BV136,$BE$4:$BE$99,0),3))=10,2,IF(LEN(INDEX($BE$4:$BJ$99,MATCH(BV136,$BE$4:$BE$99,0),3))&gt;10,LEN(INDEX($BE$4:$BJ$99,MATCH(BV136,$BE$4:$BE$99,0),3))-8,1)),1)*IF(LEFT(BV136,4)="pool",IF(INDEX($BE$4:$BJ$99,MATCH(BV136,$BE$4:$BE$99,0),6)&lt;1,1,INDEX($BE$4:$BJ$99,MATCH(BV136,$BE$4:$BE$99,0),6)),INDEX(Calculation_Tab,MATCH(BV136,Identifier,0),10)),1)*(1+Calculation!$Q$6),"-")</f>
        <v>-</v>
      </c>
      <c r="CD136" s="509" t="str">
        <f ca="1">IFERROR(INDEX(Cluster!AC:AD,MATCH(IF(LEFT(BV136,4)="Pool",INDEX(Cluster!$D$29:$AA$412,MATCH(INDEX(Calculation_Tab,MATCH(INDEX($BE$4:$BJ$99,MATCH(BV136,$BE$4:$BE$99,0),3),Flow_Cell_Lane,0),3),Cluster!$F$29:$F$412,0),24),INDEX(Cluster!$D$29:$AA$412,MATCH(BV136,Cluster!$F$29:$F$412,0),24)),Cluster!AC:AC,0),2),"-")</f>
        <v>-</v>
      </c>
      <c r="CE136" s="378" t="str">
        <f ca="1">IFERROR(IF(BV136&lt;&gt;"-",Calculation!$AK$6,"-"),"-")</f>
        <v>-</v>
      </c>
      <c r="CF136" s="378" t="str">
        <f ca="1">IF(OR(LEFT(ListAndConversion!BW136,3)="Dil",LEFT(ListAndConversion!BW136,3)="Poo"),ListAndConversion!$BT$4,IF(LEFT(ListAndConversion!BW136,3)="Sou",INDEX(ListAndConversion!$AT$3:$AV$387,MATCH(ListAndConversion!BV136,ListAndConversion!$AV$3:$AV$387,0),1),"-"))</f>
        <v>-</v>
      </c>
      <c r="CG136" s="498" t="str">
        <f ca="1">IF(OR(LEFT(ListAndConversion!BW136,3)="Dil",LEFT(ListAndConversion!BW136,3)="Poo"),ListAndConversion!BU136,IF(LEFT(ListAndConversion!BW136,3)="Sou",INDEX(ListAndConversion!$AT$4:$AV$387,MATCH(ListAndConversion!BV136,ListAndConversion!$AV$4:$AV$387,0),2),"-"))</f>
        <v>-</v>
      </c>
      <c r="CH136" s="378"/>
      <c r="CI136" s="487" t="str">
        <f t="shared" ca="1" si="93"/>
        <v>-</v>
      </c>
      <c r="CJ136" s="378" t="str">
        <f t="shared" ca="1" si="96"/>
        <v>-</v>
      </c>
      <c r="CK136" s="378" t="str">
        <f t="shared" ca="1" si="96"/>
        <v>-</v>
      </c>
      <c r="CL136" s="378" t="str">
        <f t="shared" ca="1" si="96"/>
        <v>-</v>
      </c>
      <c r="CM136" s="378" t="str">
        <f t="shared" ca="1" si="96"/>
        <v>-</v>
      </c>
      <c r="CN136" s="378" t="str">
        <f t="shared" ca="1" si="96"/>
        <v>-</v>
      </c>
      <c r="CO136" s="378" t="str">
        <f t="shared" ca="1" si="96"/>
        <v>-</v>
      </c>
      <c r="CP136" s="378" t="str">
        <f t="shared" ca="1" si="96"/>
        <v>-</v>
      </c>
      <c r="CQ136" s="378" t="str">
        <f t="shared" ca="1" si="96"/>
        <v>-</v>
      </c>
      <c r="CR136" s="510" t="str">
        <f ca="1">IFERROR(IF(LEFT(BW136,3)="Poo",INDEX($BE$4:$BJ$99,MATCH(CI136,$BG$4:$BG$99,0),6)*((15/50))*Calculation!$AK$6,INDEX(Calculation_Tab,MATCH(BV136,Identifier,0),10)/(IF(LEN(INDEX(Calculation_Tab,MATCH(BV136,Identifier,0),9))&gt;8,LEN(INDEX(Calculation_Tab,MATCH(BV136,Identifier,0),9))-8,1))*((15/50)*Calculation!$AK$6)),"-")</f>
        <v>-</v>
      </c>
      <c r="CS136" s="498" t="str">
        <f ca="1">IF(CI136="-","-",IF(COUNTIF($CI$3:CI136,CI136)&gt;1,0,IFERROR((35/50)*Calculation!$AK$6,"-")))</f>
        <v>-</v>
      </c>
    </row>
    <row r="137" spans="4:97" x14ac:dyDescent="0.5">
      <c r="D137" s="487" t="e">
        <f t="shared" si="79"/>
        <v>#DIV/0!</v>
      </c>
      <c r="E137" s="496" t="e">
        <f t="array" ref="E137">IF(IF((ROW(E137)-3)&lt;(ListAndConversion!$A$15),INDEX(Flow_Cell_Lane,MIN(IF(COUNTIF($E$2:E136,Flow_Cell_Lane)=0,ROW(Flow_Cell_Lane)-9))),"-")="","-",IF((ROW(E137)-3)&lt;(ListAndConversion!$A$15),INDEX(Flow_Cell_Lane,MIN(IF(COUNTIF($E$2:E136,Flow_Cell_Lane)=0,ROW(Flow_Cell_Lane)-9))),"-"))</f>
        <v>#DIV/0!</v>
      </c>
      <c r="F137" s="378" t="e">
        <f t="shared" si="80"/>
        <v>#DIV/0!</v>
      </c>
      <c r="G137" s="378" t="e">
        <f t="shared" si="94"/>
        <v>#DIV/0!</v>
      </c>
      <c r="H137" s="378" t="e">
        <f t="shared" si="94"/>
        <v>#DIV/0!</v>
      </c>
      <c r="I137" s="378" t="e">
        <f t="shared" si="94"/>
        <v>#DIV/0!</v>
      </c>
      <c r="J137" s="378" t="e">
        <f t="shared" si="94"/>
        <v>#DIV/0!</v>
      </c>
      <c r="K137" s="378" t="e">
        <f t="shared" si="94"/>
        <v>#DIV/0!</v>
      </c>
      <c r="L137" s="378" t="e">
        <f t="shared" si="94"/>
        <v>#DIV/0!</v>
      </c>
      <c r="M137" s="378" t="e">
        <f t="shared" si="94"/>
        <v>#DIV/0!</v>
      </c>
      <c r="N137" s="497" t="e">
        <f t="shared" si="81"/>
        <v>#DIV/0!</v>
      </c>
      <c r="O137" s="497" t="str">
        <f t="array" ref="O137">IFERROR(INDEX(Calculation!I:AN,MATCH(ListAndConversion!E137,Calculation!I:I,0),31),"-")</f>
        <v>-</v>
      </c>
      <c r="P137" s="498">
        <f>IF(COUNTIFS(Calculation!$I$10:$I$393,E137,Direct_Denaturation,"-")&lt;&gt;1,COUNTIFS(Calculation!$I$10:$I$393,E137,Direct_Denaturation,"-"),0)</f>
        <v>0</v>
      </c>
      <c r="V137" s="542" t="s">
        <v>82</v>
      </c>
      <c r="W137" s="542" t="s">
        <v>82</v>
      </c>
      <c r="X137" s="542" t="s">
        <v>82</v>
      </c>
      <c r="Y137" s="542" t="s">
        <v>82</v>
      </c>
      <c r="Z137" s="542" t="s">
        <v>82</v>
      </c>
      <c r="AA137" s="542" t="s">
        <v>82</v>
      </c>
      <c r="AB137" s="542" t="s">
        <v>82</v>
      </c>
      <c r="AC137" s="542" t="s">
        <v>82</v>
      </c>
      <c r="AD137" s="542" t="s">
        <v>82</v>
      </c>
      <c r="AE137" s="542" t="s">
        <v>82</v>
      </c>
      <c r="AF137" s="542" t="s">
        <v>82</v>
      </c>
      <c r="AG137" s="542" t="s">
        <v>82</v>
      </c>
      <c r="AH137" s="9"/>
      <c r="AI137" s="487">
        <v>134</v>
      </c>
      <c r="AJ137" s="497" t="s">
        <v>161</v>
      </c>
      <c r="AK137" s="378">
        <v>38</v>
      </c>
      <c r="AL137" s="378" t="str">
        <f t="shared" ca="1" si="82"/>
        <v>-</v>
      </c>
      <c r="AM137" s="378" t="str">
        <f t="array" aca="1" ref="AM137" ca="1">IFERROR(IF(AI137&lt;=$AB$2,"-",INDEX(Calculation_Tab,SMALL(ROW(Main_Dil)*(Main_Dil&lt;&gt;"-"),COUNTIF(Main_Dil,"-")+ROW()-3-$AB$2)-9,5)),"-")</f>
        <v>-</v>
      </c>
      <c r="AN137" s="378" t="str">
        <f t="array" aca="1" ref="AN137" ca="1">IFERROR(IF(AI137&lt;=$AB$2,"-",INDEX($A$3:$B$12,MATCH(INDEX(Calculation_Tab,SMALL(ROW(Main_Dil)*(Main_Dil&lt;&gt;"-"),COUNTIF(Main_Dil,"-")+ROW()-3-$AB$2)-9,5),$A$3:$A$12,0),2)),"-")</f>
        <v>-</v>
      </c>
      <c r="AO137" s="378" t="str">
        <f t="array" aca="1" ref="AO137" ca="1">IFERROR(IF(AI137&lt;=$AB$2,"-",INDEX(Coordinate,MATCH(INDEX(Calculation_Tab,SMALL(ROW(Main_Dil)*(Main_Dil&lt;&gt;"-"),COUNTIF(Main_Dil,"-")+ROW()-3-$AB$2)-9,6),$X$4:$X$99,0),2)),"-")</f>
        <v>-</v>
      </c>
      <c r="AP137" s="510" t="str">
        <f t="array" aca="1" ref="AP137" ca="1">IFERROR(IF(AI137&lt;=$AB$2,"-",INDEX(Calculation_Tab,SMALL(ROW(Main_Dil)*(Main_Dil&lt;&gt;"-"),COUNTIF(Main_Dil,"-")+ROW()-3-$AB$2)-9,21)),"-")</f>
        <v>-</v>
      </c>
      <c r="AQ137" s="511" t="str">
        <f t="array" aca="1" ref="AQ137" ca="1">IFERROR(IF(AI137&lt;=$AB$2,"-",INDEX(Calculation_Tab,SMALL(ROW(Main_Dil)*(Main_Dil&lt;&gt;"-"),COUNTIF(Main_Dil,"-")+ROW()-3-$AB$2)-9,22)),"-")</f>
        <v>-</v>
      </c>
      <c r="AR137" s="487" t="str">
        <f t="shared" ca="1" si="83"/>
        <v>-</v>
      </c>
      <c r="AS137" s="378">
        <v>134</v>
      </c>
      <c r="AT137" s="497" t="s">
        <v>161</v>
      </c>
      <c r="AU137" s="498">
        <v>38</v>
      </c>
      <c r="AV137" s="378" t="str">
        <f t="shared" ca="1" si="84"/>
        <v>-</v>
      </c>
      <c r="AW137" s="378" t="str">
        <f t="array" aca="1" ref="AW137" ca="1">IFERROR(IF(AS137&lt;=$AB$2+$AN$2,"-",INDEX(Calculation_Tab,SMALL(ROW(Direct_Denaturation)*(Direct_Denaturation&lt;&gt;"-"),COUNTIF(Direct_Denaturation,"-")+ROW()-3-$AB$2-$AN$2)-9,5)),"-")</f>
        <v>-</v>
      </c>
      <c r="AX137" s="378" t="str">
        <f t="array" aca="1" ref="AX137" ca="1">IFERROR(IF(AS137&lt;=$AB$2+$AN$2,"-",INDEX($A$3:$B$12,MATCH(INDEX(Calculation_Tab,SMALL(ROW(Direct_Denaturation)*(Direct_Denaturation&lt;&gt;"-"),COUNTIF(Direct_Denaturation,"-")+ROW()-3-$AB$2-$AN$2)-9,5),$A$3:$A$12,0),2)),"-")</f>
        <v>-</v>
      </c>
      <c r="AY137" s="378" t="str">
        <f t="array" aca="1" ref="AY137" ca="1">IFERROR(IF(AS137&lt;=$AB$2+$AN$2,"-",INDEX(Coordinate,MATCH(INDEX(Calculation_Tab,SMALL(ROW(Direct_Denaturation)*(Direct_Denaturation&lt;&gt;"-"),COUNTIF(Direct_Denaturation,"-")+ROW()-3-$AB$2-$AN$2)-9,6),$X$4:$X$99,0),2)),"-")</f>
        <v>-</v>
      </c>
      <c r="AZ137" s="510" t="str">
        <f t="array" aca="1" ref="AZ137" ca="1">IFERROR(IF(AS137&lt;=$AB$2+$AN$2,"-",INDEX(Calculation_Tab,SMALL(ROW(Direct_Denaturation)*(Direct_Denaturation&lt;&gt;"-"),COUNTIF(Direct_Denaturation,"-")+ROW()-3-$AB$2-$AN$2)-9,32)),"-")</f>
        <v>-</v>
      </c>
      <c r="BA137" s="510" t="str">
        <f t="array" aca="1" ref="BA137" ca="1">IFERROR(IF(AS137&lt;=$AB$2+$AN$2,"-",INDEX(Calculation_Tab,SMALL(ROW(Direct_Denaturation)*(Direct_Denaturation&lt;&gt;"-"),COUNTIF(Direct_Denaturation,"-")+ROW()-3-$AB$2-$AN$2)-9,34)),"-")</f>
        <v>-</v>
      </c>
      <c r="BB137" s="510" t="str">
        <f t="array" aca="1" ref="BB137" ca="1">IFERROR(IF(AS137&lt;=$AB$2+$AN$2,"-",INDEX(Calculation_Tab,SMALL(ROW(Direct_Denaturation)*(Direct_Denaturation&lt;&gt;"-"),COUNTIF(Direct_Denaturation,"-")+ROW()-3-$AB$2-$AN$2)-9,33)),"-")</f>
        <v>-</v>
      </c>
      <c r="BC137" s="510" t="str">
        <f t="array" aca="1" ref="BC137" ca="1">IFERROR(IF(AS137&lt;=$AB$2+$AN$2,"-",INDEX(Calculation_Tab,SMALL(ROW(Direct_Denaturation)*(Direct_Denaturation&lt;&gt;"-"),COUNTIF(Direct_Denaturation,"-")+ROW()-3-$AB$2-$AN$2)-9,35)),"-")</f>
        <v>-</v>
      </c>
      <c r="BD137" s="511" t="str">
        <f t="shared" ca="1" si="85"/>
        <v>-</v>
      </c>
      <c r="BK137" s="542" t="s">
        <v>82</v>
      </c>
      <c r="BL137" s="542" t="s">
        <v>82</v>
      </c>
      <c r="BM137" s="487" t="str">
        <f t="array" aca="1" ref="BM137" ca="1">IFERROR(INDEX(Calculation_Tab,SMALL(ROW(ToPool)*(ToPool&lt;&gt;"-"),COUNTIF(ToPool,"-")+ROW()-3)-9,3),"-")</f>
        <v>-</v>
      </c>
      <c r="BN137" s="378" t="str">
        <f t="shared" ca="1" si="86"/>
        <v>-</v>
      </c>
      <c r="BO137" s="378" t="str">
        <f t="shared" ca="1" si="87"/>
        <v>-</v>
      </c>
      <c r="BP137" s="523" t="str">
        <f t="shared" ca="1" si="88"/>
        <v>-</v>
      </c>
      <c r="BQ137" s="378" t="str">
        <f t="array" aca="1" ref="BQ137" ca="1">IFERROR(INDEX(BE:BG,MATCH(INDEX(Calculation_Tab,SMALL(ROW(ToPool)*(ToPool&lt;&gt;"-"),COUNTIF(ToPool,"-")+ROW()-3)-9,9),BG:BG,0),2),"-")</f>
        <v>-</v>
      </c>
      <c r="BR137" s="510" t="str">
        <f t="shared" ca="1" si="89"/>
        <v>-</v>
      </c>
      <c r="BS137" s="511" t="str">
        <f t="shared" ca="1" si="90"/>
        <v>-</v>
      </c>
      <c r="BT137" s="543" t="s">
        <v>82</v>
      </c>
      <c r="BU137" s="487" t="str">
        <f t="shared" ca="1" si="95"/>
        <v>-</v>
      </c>
      <c r="BV137" s="487" t="str">
        <f t="array" aca="1" ref="BV13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37" s="378" t="str">
        <f t="shared" ca="1" si="91"/>
        <v>-</v>
      </c>
      <c r="BX137" s="378" t="str">
        <f t="shared" ca="1" si="92"/>
        <v>-</v>
      </c>
      <c r="BY137" s="510" t="str">
        <f ca="1">IFERROR(ROUND(INDEX(Cluster,MATCH(IF(LEFT(BV137,4)="Pool",INDEX(Cluster,MATCH(INDEX(Calculation_Tab,MATCH(INDEX($BE$4:$BJ$99,MATCH(BV137,$BE$4:$BE$99,0),3),Flow_Cell_Lane,0),3),Cluster!$F$29:$F$412,0),6),BV137),Identifier_Cluster,0),19)*IF(LEFT(BV137,4)="pool",IF(LEN(INDEX($BE$4:$BJ$99,MATCH(BV137,$BE$4:$BE$99,0),3))=10,2,IF(LEN(INDEX($BE$4:$BJ$99,MATCH(BV137,$BE$4:$BE$99,0),3))&gt;10,LEN(INDEX($BE$4:$BJ$99,MATCH(BV137,$BE$4:$BE$99,0),3))-8,1)),1)*IF(LEFT(BV137,4)="pool",IF(INDEX($BE$4:$BJ$99,MATCH(BV137,$BE$4:$BE$99,0),6)&lt;1,1,INDEX($BE$4:$BJ$99,MATCH(BV137,$BE$4:$BE$99,0),6)),INDEX(Calculation_Tab,MATCH(BV137,Identifier,0),10)),1)*(1+Calculation!$Q$6),"-")</f>
        <v>-</v>
      </c>
      <c r="BZ137" s="378" t="str">
        <f ca="1">IFERROR((0.5/50)*CE137/Calculation!$AG$6*(IF(LEFT(BV137,4)="Pool",IF(LEN(INDEX($BE$4:$BJ$99,MATCH(BV137,$BE$4:$BE$99,0),3))=10,2,IF(LEN(INDEX($BE$4:$BJ$99,MATCH(BV137,$BE$4:$BE$99,0),3))&gt;10,LEN(INDEX($BE$4:$BJ$99,MATCH(BV137,$BE$4:$BE$99,0),3))-8,1)),IF(INDEX(Calculation_Tab,MATCH(BV137,Identifier,0),10)&gt;1,INDEX(Calculation_Tab,MATCH(BV137,Identifier,0),10),1)))*(1+Calculation!$Q$6),"-")</f>
        <v>-</v>
      </c>
      <c r="CA137" s="510" t="str">
        <f ca="1">IFERROR(IF((BZ137*Calculation!$AG$6/0.05)-SUM(BY137:BZ137,CC137)&gt;0,(BZ137*Calculation!$AG$6/0.05)-SUM(BY137:BZ137,CC137),0),"-")</f>
        <v>-</v>
      </c>
      <c r="CB137" s="510" t="str">
        <f ca="1">IFERROR(5/50*CE137*(IF(LEFT(BV137,4)="Pool",IF(LEN(INDEX($BE$4:$BJ$99,MATCH(BV137,$BE$4:$BE$99,0),3))=10,2,IF(LEN(INDEX($BE$4:$BJ$99,MATCH(BV137,$BE$4:$BE$99,0),3))&gt;10,LEN(INDEX($BE$4:$BJ$99,MATCH(BV137,$BE$4:$BE$99,0),3))-8,1)),IF(INDEX(Calculation_Tab,MATCH(BV137,Identifier,0),10)&gt;1,INDEX(Calculation_Tab,MATCH(BV137,Identifier,0),10),1)))*(1+Calculation!$Q$6),"-")</f>
        <v>-</v>
      </c>
      <c r="CC137" s="508" t="str">
        <f ca="1">IFERROR(ROUND(INDEX(Cluster,MATCH(IF(LEFT(BV137,4)="Pool",INDEX(Cluster,MATCH(INDEX(Calculation_Tab,MATCH(INDEX($BE$4:$BJ$99,MATCH(BV137,$BE$4:$BE$99,0),3),Flow_Cell_Lane,0),3),Cluster!$F$29:$F$412,0),6),BV137),Identifier_Cluster,0),20)*IF(LEFT(BV137,4)="pool",IF(LEN(INDEX($BE$4:$BJ$99,MATCH(BV137,$BE$4:$BE$99,0),3))=10,2,IF(LEN(INDEX($BE$4:$BJ$99,MATCH(BV137,$BE$4:$BE$99,0),3))&gt;10,LEN(INDEX($BE$4:$BJ$99,MATCH(BV137,$BE$4:$BE$99,0),3))-8,1)),1)*IF(LEFT(BV137,4)="pool",IF(INDEX($BE$4:$BJ$99,MATCH(BV137,$BE$4:$BE$99,0),6)&lt;1,1,INDEX($BE$4:$BJ$99,MATCH(BV137,$BE$4:$BE$99,0),6)),INDEX(Calculation_Tab,MATCH(BV137,Identifier,0),10)),1)*(1+Calculation!$Q$6),"-")</f>
        <v>-</v>
      </c>
      <c r="CD137" s="509" t="str">
        <f ca="1">IFERROR(INDEX(Cluster!AC:AD,MATCH(IF(LEFT(BV137,4)="Pool",INDEX(Cluster!$D$29:$AA$412,MATCH(INDEX(Calculation_Tab,MATCH(INDEX($BE$4:$BJ$99,MATCH(BV137,$BE$4:$BE$99,0),3),Flow_Cell_Lane,0),3),Cluster!$F$29:$F$412,0),24),INDEX(Cluster!$D$29:$AA$412,MATCH(BV137,Cluster!$F$29:$F$412,0),24)),Cluster!AC:AC,0),2),"-")</f>
        <v>-</v>
      </c>
      <c r="CE137" s="378" t="str">
        <f ca="1">IFERROR(IF(BV137&lt;&gt;"-",Calculation!$AK$6,"-"),"-")</f>
        <v>-</v>
      </c>
      <c r="CF137" s="378" t="str">
        <f ca="1">IF(OR(LEFT(ListAndConversion!BW137,3)="Dil",LEFT(ListAndConversion!BW137,3)="Poo"),ListAndConversion!$BT$4,IF(LEFT(ListAndConversion!BW137,3)="Sou",INDEX(ListAndConversion!$AT$3:$AV$387,MATCH(ListAndConversion!BV137,ListAndConversion!$AV$3:$AV$387,0),1),"-"))</f>
        <v>-</v>
      </c>
      <c r="CG137" s="498" t="str">
        <f ca="1">IF(OR(LEFT(ListAndConversion!BW137,3)="Dil",LEFT(ListAndConversion!BW137,3)="Poo"),ListAndConversion!BU137,IF(LEFT(ListAndConversion!BW137,3)="Sou",INDEX(ListAndConversion!$AT$4:$AV$387,MATCH(ListAndConversion!BV137,ListAndConversion!$AV$4:$AV$387,0),2),"-"))</f>
        <v>-</v>
      </c>
      <c r="CH137" s="378"/>
      <c r="CI137" s="487" t="str">
        <f t="shared" ca="1" si="93"/>
        <v>-</v>
      </c>
      <c r="CJ137" s="378" t="str">
        <f t="shared" ca="1" si="96"/>
        <v>-</v>
      </c>
      <c r="CK137" s="378" t="str">
        <f t="shared" ca="1" si="96"/>
        <v>-</v>
      </c>
      <c r="CL137" s="378" t="str">
        <f t="shared" ca="1" si="96"/>
        <v>-</v>
      </c>
      <c r="CM137" s="378" t="str">
        <f t="shared" ca="1" si="96"/>
        <v>-</v>
      </c>
      <c r="CN137" s="378" t="str">
        <f t="shared" ca="1" si="96"/>
        <v>-</v>
      </c>
      <c r="CO137" s="378" t="str">
        <f t="shared" ca="1" si="96"/>
        <v>-</v>
      </c>
      <c r="CP137" s="378" t="str">
        <f t="shared" ca="1" si="96"/>
        <v>-</v>
      </c>
      <c r="CQ137" s="378" t="str">
        <f t="shared" ca="1" si="96"/>
        <v>-</v>
      </c>
      <c r="CR137" s="510" t="str">
        <f ca="1">IFERROR(IF(LEFT(BW137,3)="Poo",INDEX($BE$4:$BJ$99,MATCH(CI137,$BG$4:$BG$99,0),6)*((15/50))*Calculation!$AK$6,INDEX(Calculation_Tab,MATCH(BV137,Identifier,0),10)/(IF(LEN(INDEX(Calculation_Tab,MATCH(BV137,Identifier,0),9))&gt;8,LEN(INDEX(Calculation_Tab,MATCH(BV137,Identifier,0),9))-8,1))*((15/50)*Calculation!$AK$6)),"-")</f>
        <v>-</v>
      </c>
      <c r="CS137" s="498" t="str">
        <f ca="1">IF(CI137="-","-",IF(COUNTIF($CI$3:CI137,CI137)&gt;1,0,IFERROR((35/50)*Calculation!$AK$6,"-")))</f>
        <v>-</v>
      </c>
    </row>
    <row r="138" spans="4:97" x14ac:dyDescent="0.5">
      <c r="D138" s="487" t="e">
        <f t="shared" si="79"/>
        <v>#DIV/0!</v>
      </c>
      <c r="E138" s="496" t="e">
        <f t="array" ref="E138">IF(IF((ROW(E138)-3)&lt;(ListAndConversion!$A$15),INDEX(Flow_Cell_Lane,MIN(IF(COUNTIF($E$2:E137,Flow_Cell_Lane)=0,ROW(Flow_Cell_Lane)-9))),"-")="","-",IF((ROW(E138)-3)&lt;(ListAndConversion!$A$15),INDEX(Flow_Cell_Lane,MIN(IF(COUNTIF($E$2:E137,Flow_Cell_Lane)=0,ROW(Flow_Cell_Lane)-9))),"-"))</f>
        <v>#DIV/0!</v>
      </c>
      <c r="F138" s="378" t="e">
        <f t="shared" si="80"/>
        <v>#DIV/0!</v>
      </c>
      <c r="G138" s="378" t="e">
        <f t="shared" si="94"/>
        <v>#DIV/0!</v>
      </c>
      <c r="H138" s="378" t="e">
        <f t="shared" si="94"/>
        <v>#DIV/0!</v>
      </c>
      <c r="I138" s="378" t="e">
        <f t="shared" si="94"/>
        <v>#DIV/0!</v>
      </c>
      <c r="J138" s="378" t="e">
        <f t="shared" si="94"/>
        <v>#DIV/0!</v>
      </c>
      <c r="K138" s="378" t="e">
        <f t="shared" si="94"/>
        <v>#DIV/0!</v>
      </c>
      <c r="L138" s="378" t="e">
        <f t="shared" si="94"/>
        <v>#DIV/0!</v>
      </c>
      <c r="M138" s="378" t="e">
        <f t="shared" si="94"/>
        <v>#DIV/0!</v>
      </c>
      <c r="N138" s="497" t="e">
        <f t="shared" si="81"/>
        <v>#DIV/0!</v>
      </c>
      <c r="O138" s="497" t="str">
        <f t="array" ref="O138">IFERROR(INDEX(Calculation!I:AN,MATCH(ListAndConversion!E138,Calculation!I:I,0),31),"-")</f>
        <v>-</v>
      </c>
      <c r="P138" s="498">
        <f>IF(COUNTIFS(Calculation!$I$10:$I$393,E138,Direct_Denaturation,"-")&lt;&gt;1,COUNTIFS(Calculation!$I$10:$I$393,E138,Direct_Denaturation,"-"),0)</f>
        <v>0</v>
      </c>
      <c r="V138" s="542" t="s">
        <v>82</v>
      </c>
      <c r="W138" s="542" t="s">
        <v>82</v>
      </c>
      <c r="X138" s="542" t="s">
        <v>82</v>
      </c>
      <c r="Y138" s="542" t="s">
        <v>82</v>
      </c>
      <c r="Z138" s="542" t="s">
        <v>82</v>
      </c>
      <c r="AA138" s="542" t="s">
        <v>82</v>
      </c>
      <c r="AB138" s="542" t="s">
        <v>82</v>
      </c>
      <c r="AC138" s="542" t="s">
        <v>82</v>
      </c>
      <c r="AD138" s="542" t="s">
        <v>82</v>
      </c>
      <c r="AE138" s="542" t="s">
        <v>82</v>
      </c>
      <c r="AF138" s="542" t="s">
        <v>82</v>
      </c>
      <c r="AG138" s="542" t="s">
        <v>82</v>
      </c>
      <c r="AH138" s="9"/>
      <c r="AI138" s="487">
        <v>135</v>
      </c>
      <c r="AJ138" s="497" t="s">
        <v>161</v>
      </c>
      <c r="AK138" s="378">
        <v>39</v>
      </c>
      <c r="AL138" s="378" t="str">
        <f t="shared" ca="1" si="82"/>
        <v>-</v>
      </c>
      <c r="AM138" s="378" t="str">
        <f t="array" aca="1" ref="AM138" ca="1">IFERROR(IF(AI138&lt;=$AB$2,"-",INDEX(Calculation_Tab,SMALL(ROW(Main_Dil)*(Main_Dil&lt;&gt;"-"),COUNTIF(Main_Dil,"-")+ROW()-3-$AB$2)-9,5)),"-")</f>
        <v>-</v>
      </c>
      <c r="AN138" s="378" t="str">
        <f t="array" aca="1" ref="AN138" ca="1">IFERROR(IF(AI138&lt;=$AB$2,"-",INDEX($A$3:$B$12,MATCH(INDEX(Calculation_Tab,SMALL(ROW(Main_Dil)*(Main_Dil&lt;&gt;"-"),COUNTIF(Main_Dil,"-")+ROW()-3-$AB$2)-9,5),$A$3:$A$12,0),2)),"-")</f>
        <v>-</v>
      </c>
      <c r="AO138" s="378" t="str">
        <f t="array" aca="1" ref="AO138" ca="1">IFERROR(IF(AI138&lt;=$AB$2,"-",INDEX(Coordinate,MATCH(INDEX(Calculation_Tab,SMALL(ROW(Main_Dil)*(Main_Dil&lt;&gt;"-"),COUNTIF(Main_Dil,"-")+ROW()-3-$AB$2)-9,6),$X$4:$X$99,0),2)),"-")</f>
        <v>-</v>
      </c>
      <c r="AP138" s="510" t="str">
        <f t="array" aca="1" ref="AP138" ca="1">IFERROR(IF(AI138&lt;=$AB$2,"-",INDEX(Calculation_Tab,SMALL(ROW(Main_Dil)*(Main_Dil&lt;&gt;"-"),COUNTIF(Main_Dil,"-")+ROW()-3-$AB$2)-9,21)),"-")</f>
        <v>-</v>
      </c>
      <c r="AQ138" s="511" t="str">
        <f t="array" aca="1" ref="AQ138" ca="1">IFERROR(IF(AI138&lt;=$AB$2,"-",INDEX(Calculation_Tab,SMALL(ROW(Main_Dil)*(Main_Dil&lt;&gt;"-"),COUNTIF(Main_Dil,"-")+ROW()-3-$AB$2)-9,22)),"-")</f>
        <v>-</v>
      </c>
      <c r="AR138" s="487" t="str">
        <f t="shared" ca="1" si="83"/>
        <v>-</v>
      </c>
      <c r="AS138" s="378">
        <v>135</v>
      </c>
      <c r="AT138" s="497" t="s">
        <v>161</v>
      </c>
      <c r="AU138" s="498">
        <v>39</v>
      </c>
      <c r="AV138" s="378" t="str">
        <f t="shared" ca="1" si="84"/>
        <v>-</v>
      </c>
      <c r="AW138" s="378" t="str">
        <f t="array" aca="1" ref="AW138" ca="1">IFERROR(IF(AS138&lt;=$AB$2+$AN$2,"-",INDEX(Calculation_Tab,SMALL(ROW(Direct_Denaturation)*(Direct_Denaturation&lt;&gt;"-"),COUNTIF(Direct_Denaturation,"-")+ROW()-3-$AB$2-$AN$2)-9,5)),"-")</f>
        <v>-</v>
      </c>
      <c r="AX138" s="378" t="str">
        <f t="array" aca="1" ref="AX138" ca="1">IFERROR(IF(AS138&lt;=$AB$2+$AN$2,"-",INDEX($A$3:$B$12,MATCH(INDEX(Calculation_Tab,SMALL(ROW(Direct_Denaturation)*(Direct_Denaturation&lt;&gt;"-"),COUNTIF(Direct_Denaturation,"-")+ROW()-3-$AB$2-$AN$2)-9,5),$A$3:$A$12,0),2)),"-")</f>
        <v>-</v>
      </c>
      <c r="AY138" s="378" t="str">
        <f t="array" aca="1" ref="AY138" ca="1">IFERROR(IF(AS138&lt;=$AB$2+$AN$2,"-",INDEX(Coordinate,MATCH(INDEX(Calculation_Tab,SMALL(ROW(Direct_Denaturation)*(Direct_Denaturation&lt;&gt;"-"),COUNTIF(Direct_Denaturation,"-")+ROW()-3-$AB$2-$AN$2)-9,6),$X$4:$X$99,0),2)),"-")</f>
        <v>-</v>
      </c>
      <c r="AZ138" s="510" t="str">
        <f t="array" aca="1" ref="AZ138" ca="1">IFERROR(IF(AS138&lt;=$AB$2+$AN$2,"-",INDEX(Calculation_Tab,SMALL(ROW(Direct_Denaturation)*(Direct_Denaturation&lt;&gt;"-"),COUNTIF(Direct_Denaturation,"-")+ROW()-3-$AB$2-$AN$2)-9,32)),"-")</f>
        <v>-</v>
      </c>
      <c r="BA138" s="510" t="str">
        <f t="array" aca="1" ref="BA138" ca="1">IFERROR(IF(AS138&lt;=$AB$2+$AN$2,"-",INDEX(Calculation_Tab,SMALL(ROW(Direct_Denaturation)*(Direct_Denaturation&lt;&gt;"-"),COUNTIF(Direct_Denaturation,"-")+ROW()-3-$AB$2-$AN$2)-9,34)),"-")</f>
        <v>-</v>
      </c>
      <c r="BB138" s="510" t="str">
        <f t="array" aca="1" ref="BB138" ca="1">IFERROR(IF(AS138&lt;=$AB$2+$AN$2,"-",INDEX(Calculation_Tab,SMALL(ROW(Direct_Denaturation)*(Direct_Denaturation&lt;&gt;"-"),COUNTIF(Direct_Denaturation,"-")+ROW()-3-$AB$2-$AN$2)-9,33)),"-")</f>
        <v>-</v>
      </c>
      <c r="BC138" s="510" t="str">
        <f t="array" aca="1" ref="BC138" ca="1">IFERROR(IF(AS138&lt;=$AB$2+$AN$2,"-",INDEX(Calculation_Tab,SMALL(ROW(Direct_Denaturation)*(Direct_Denaturation&lt;&gt;"-"),COUNTIF(Direct_Denaturation,"-")+ROW()-3-$AB$2-$AN$2)-9,35)),"-")</f>
        <v>-</v>
      </c>
      <c r="BD138" s="511" t="str">
        <f t="shared" ca="1" si="85"/>
        <v>-</v>
      </c>
      <c r="BK138" s="542" t="s">
        <v>82</v>
      </c>
      <c r="BL138" s="542" t="s">
        <v>82</v>
      </c>
      <c r="BM138" s="487" t="str">
        <f t="array" aca="1" ref="BM138" ca="1">IFERROR(INDEX(Calculation_Tab,SMALL(ROW(ToPool)*(ToPool&lt;&gt;"-"),COUNTIF(ToPool,"-")+ROW()-3)-9,3),"-")</f>
        <v>-</v>
      </c>
      <c r="BN138" s="378" t="str">
        <f t="shared" ca="1" si="86"/>
        <v>-</v>
      </c>
      <c r="BO138" s="378" t="str">
        <f t="shared" ca="1" si="87"/>
        <v>-</v>
      </c>
      <c r="BP138" s="523" t="str">
        <f t="shared" ca="1" si="88"/>
        <v>-</v>
      </c>
      <c r="BQ138" s="378" t="str">
        <f t="array" aca="1" ref="BQ138" ca="1">IFERROR(INDEX(BE:BG,MATCH(INDEX(Calculation_Tab,SMALL(ROW(ToPool)*(ToPool&lt;&gt;"-"),COUNTIF(ToPool,"-")+ROW()-3)-9,9),BG:BG,0),2),"-")</f>
        <v>-</v>
      </c>
      <c r="BR138" s="510" t="str">
        <f t="shared" ca="1" si="89"/>
        <v>-</v>
      </c>
      <c r="BS138" s="511" t="str">
        <f t="shared" ca="1" si="90"/>
        <v>-</v>
      </c>
      <c r="BT138" s="543" t="s">
        <v>82</v>
      </c>
      <c r="BU138" s="487" t="str">
        <f t="shared" ca="1" si="95"/>
        <v>-</v>
      </c>
      <c r="BV138" s="487" t="str">
        <f t="array" aca="1" ref="BV13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38" s="378" t="str">
        <f t="shared" ca="1" si="91"/>
        <v>-</v>
      </c>
      <c r="BX138" s="378" t="str">
        <f t="shared" ca="1" si="92"/>
        <v>-</v>
      </c>
      <c r="BY138" s="510" t="str">
        <f ca="1">IFERROR(ROUND(INDEX(Cluster,MATCH(IF(LEFT(BV138,4)="Pool",INDEX(Cluster,MATCH(INDEX(Calculation_Tab,MATCH(INDEX($BE$4:$BJ$99,MATCH(BV138,$BE$4:$BE$99,0),3),Flow_Cell_Lane,0),3),Cluster!$F$29:$F$412,0),6),BV138),Identifier_Cluster,0),19)*IF(LEFT(BV138,4)="pool",IF(LEN(INDEX($BE$4:$BJ$99,MATCH(BV138,$BE$4:$BE$99,0),3))=10,2,IF(LEN(INDEX($BE$4:$BJ$99,MATCH(BV138,$BE$4:$BE$99,0),3))&gt;10,LEN(INDEX($BE$4:$BJ$99,MATCH(BV138,$BE$4:$BE$99,0),3))-8,1)),1)*IF(LEFT(BV138,4)="pool",IF(INDEX($BE$4:$BJ$99,MATCH(BV138,$BE$4:$BE$99,0),6)&lt;1,1,INDEX($BE$4:$BJ$99,MATCH(BV138,$BE$4:$BE$99,0),6)),INDEX(Calculation_Tab,MATCH(BV138,Identifier,0),10)),1)*(1+Calculation!$Q$6),"-")</f>
        <v>-</v>
      </c>
      <c r="BZ138" s="378" t="str">
        <f ca="1">IFERROR((0.5/50)*CE138/Calculation!$AG$6*(IF(LEFT(BV138,4)="Pool",IF(LEN(INDEX($BE$4:$BJ$99,MATCH(BV138,$BE$4:$BE$99,0),3))=10,2,IF(LEN(INDEX($BE$4:$BJ$99,MATCH(BV138,$BE$4:$BE$99,0),3))&gt;10,LEN(INDEX($BE$4:$BJ$99,MATCH(BV138,$BE$4:$BE$99,0),3))-8,1)),IF(INDEX(Calculation_Tab,MATCH(BV138,Identifier,0),10)&gt;1,INDEX(Calculation_Tab,MATCH(BV138,Identifier,0),10),1)))*(1+Calculation!$Q$6),"-")</f>
        <v>-</v>
      </c>
      <c r="CA138" s="510" t="str">
        <f ca="1">IFERROR(IF((BZ138*Calculation!$AG$6/0.05)-SUM(BY138:BZ138,CC138)&gt;0,(BZ138*Calculation!$AG$6/0.05)-SUM(BY138:BZ138,CC138),0),"-")</f>
        <v>-</v>
      </c>
      <c r="CB138" s="510" t="str">
        <f ca="1">IFERROR(5/50*CE138*(IF(LEFT(BV138,4)="Pool",IF(LEN(INDEX($BE$4:$BJ$99,MATCH(BV138,$BE$4:$BE$99,0),3))=10,2,IF(LEN(INDEX($BE$4:$BJ$99,MATCH(BV138,$BE$4:$BE$99,0),3))&gt;10,LEN(INDEX($BE$4:$BJ$99,MATCH(BV138,$BE$4:$BE$99,0),3))-8,1)),IF(INDEX(Calculation_Tab,MATCH(BV138,Identifier,0),10)&gt;1,INDEX(Calculation_Tab,MATCH(BV138,Identifier,0),10),1)))*(1+Calculation!$Q$6),"-")</f>
        <v>-</v>
      </c>
      <c r="CC138" s="508" t="str">
        <f ca="1">IFERROR(ROUND(INDEX(Cluster,MATCH(IF(LEFT(BV138,4)="Pool",INDEX(Cluster,MATCH(INDEX(Calculation_Tab,MATCH(INDEX($BE$4:$BJ$99,MATCH(BV138,$BE$4:$BE$99,0),3),Flow_Cell_Lane,0),3),Cluster!$F$29:$F$412,0),6),BV138),Identifier_Cluster,0),20)*IF(LEFT(BV138,4)="pool",IF(LEN(INDEX($BE$4:$BJ$99,MATCH(BV138,$BE$4:$BE$99,0),3))=10,2,IF(LEN(INDEX($BE$4:$BJ$99,MATCH(BV138,$BE$4:$BE$99,0),3))&gt;10,LEN(INDEX($BE$4:$BJ$99,MATCH(BV138,$BE$4:$BE$99,0),3))-8,1)),1)*IF(LEFT(BV138,4)="pool",IF(INDEX($BE$4:$BJ$99,MATCH(BV138,$BE$4:$BE$99,0),6)&lt;1,1,INDEX($BE$4:$BJ$99,MATCH(BV138,$BE$4:$BE$99,0),6)),INDEX(Calculation_Tab,MATCH(BV138,Identifier,0),10)),1)*(1+Calculation!$Q$6),"-")</f>
        <v>-</v>
      </c>
      <c r="CD138" s="509" t="str">
        <f ca="1">IFERROR(INDEX(Cluster!AC:AD,MATCH(IF(LEFT(BV138,4)="Pool",INDEX(Cluster!$D$29:$AA$412,MATCH(INDEX(Calculation_Tab,MATCH(INDEX($BE$4:$BJ$99,MATCH(BV138,$BE$4:$BE$99,0),3),Flow_Cell_Lane,0),3),Cluster!$F$29:$F$412,0),24),INDEX(Cluster!$D$29:$AA$412,MATCH(BV138,Cluster!$F$29:$F$412,0),24)),Cluster!AC:AC,0),2),"-")</f>
        <v>-</v>
      </c>
      <c r="CE138" s="378" t="str">
        <f ca="1">IFERROR(IF(BV138&lt;&gt;"-",Calculation!$AK$6,"-"),"-")</f>
        <v>-</v>
      </c>
      <c r="CF138" s="378" t="str">
        <f ca="1">IF(OR(LEFT(ListAndConversion!BW138,3)="Dil",LEFT(ListAndConversion!BW138,3)="Poo"),ListAndConversion!$BT$4,IF(LEFT(ListAndConversion!BW138,3)="Sou",INDEX(ListAndConversion!$AT$3:$AV$387,MATCH(ListAndConversion!BV138,ListAndConversion!$AV$3:$AV$387,0),1),"-"))</f>
        <v>-</v>
      </c>
      <c r="CG138" s="498" t="str">
        <f ca="1">IF(OR(LEFT(ListAndConversion!BW138,3)="Dil",LEFT(ListAndConversion!BW138,3)="Poo"),ListAndConversion!BU138,IF(LEFT(ListAndConversion!BW138,3)="Sou",INDEX(ListAndConversion!$AT$4:$AV$387,MATCH(ListAndConversion!BV138,ListAndConversion!$AV$4:$AV$387,0),2),"-"))</f>
        <v>-</v>
      </c>
      <c r="CH138" s="378"/>
      <c r="CI138" s="487" t="str">
        <f t="shared" ca="1" si="93"/>
        <v>-</v>
      </c>
      <c r="CJ138" s="378" t="str">
        <f t="shared" ca="1" si="96"/>
        <v>-</v>
      </c>
      <c r="CK138" s="378" t="str">
        <f t="shared" ca="1" si="96"/>
        <v>-</v>
      </c>
      <c r="CL138" s="378" t="str">
        <f t="shared" ca="1" si="96"/>
        <v>-</v>
      </c>
      <c r="CM138" s="378" t="str">
        <f t="shared" ca="1" si="96"/>
        <v>-</v>
      </c>
      <c r="CN138" s="378" t="str">
        <f t="shared" ca="1" si="96"/>
        <v>-</v>
      </c>
      <c r="CO138" s="378" t="str">
        <f t="shared" ca="1" si="96"/>
        <v>-</v>
      </c>
      <c r="CP138" s="378" t="str">
        <f t="shared" ca="1" si="96"/>
        <v>-</v>
      </c>
      <c r="CQ138" s="378" t="str">
        <f t="shared" ca="1" si="96"/>
        <v>-</v>
      </c>
      <c r="CR138" s="510" t="str">
        <f ca="1">IFERROR(IF(LEFT(BW138,3)="Poo",INDEX($BE$4:$BJ$99,MATCH(CI138,$BG$4:$BG$99,0),6)*((15/50))*Calculation!$AK$6,INDEX(Calculation_Tab,MATCH(BV138,Identifier,0),10)/(IF(LEN(INDEX(Calculation_Tab,MATCH(BV138,Identifier,0),9))&gt;8,LEN(INDEX(Calculation_Tab,MATCH(BV138,Identifier,0),9))-8,1))*((15/50)*Calculation!$AK$6)),"-")</f>
        <v>-</v>
      </c>
      <c r="CS138" s="498" t="str">
        <f ca="1">IF(CI138="-","-",IF(COUNTIF($CI$3:CI138,CI138)&gt;1,0,IFERROR((35/50)*Calculation!$AK$6,"-")))</f>
        <v>-</v>
      </c>
    </row>
    <row r="139" spans="4:97" x14ac:dyDescent="0.5">
      <c r="D139" s="487" t="e">
        <f t="shared" si="79"/>
        <v>#DIV/0!</v>
      </c>
      <c r="E139" s="496" t="e">
        <f t="array" ref="E139">IF(IF((ROW(E139)-3)&lt;(ListAndConversion!$A$15),INDEX(Flow_Cell_Lane,MIN(IF(COUNTIF($E$2:E138,Flow_Cell_Lane)=0,ROW(Flow_Cell_Lane)-9))),"-")="","-",IF((ROW(E139)-3)&lt;(ListAndConversion!$A$15),INDEX(Flow_Cell_Lane,MIN(IF(COUNTIF($E$2:E138,Flow_Cell_Lane)=0,ROW(Flow_Cell_Lane)-9))),"-"))</f>
        <v>#DIV/0!</v>
      </c>
      <c r="F139" s="378" t="e">
        <f t="shared" si="80"/>
        <v>#DIV/0!</v>
      </c>
      <c r="G139" s="378" t="e">
        <f t="shared" si="94"/>
        <v>#DIV/0!</v>
      </c>
      <c r="H139" s="378" t="e">
        <f t="shared" si="94"/>
        <v>#DIV/0!</v>
      </c>
      <c r="I139" s="378" t="e">
        <f t="shared" si="94"/>
        <v>#DIV/0!</v>
      </c>
      <c r="J139" s="378" t="e">
        <f t="shared" si="94"/>
        <v>#DIV/0!</v>
      </c>
      <c r="K139" s="378" t="e">
        <f t="shared" si="94"/>
        <v>#DIV/0!</v>
      </c>
      <c r="L139" s="378" t="e">
        <f t="shared" si="94"/>
        <v>#DIV/0!</v>
      </c>
      <c r="M139" s="378" t="e">
        <f t="shared" si="94"/>
        <v>#DIV/0!</v>
      </c>
      <c r="N139" s="497" t="e">
        <f t="shared" si="81"/>
        <v>#DIV/0!</v>
      </c>
      <c r="O139" s="497" t="str">
        <f t="array" ref="O139">IFERROR(INDEX(Calculation!I:AN,MATCH(ListAndConversion!E139,Calculation!I:I,0),31),"-")</f>
        <v>-</v>
      </c>
      <c r="P139" s="498">
        <f>IF(COUNTIFS(Calculation!$I$10:$I$393,E139,Direct_Denaturation,"-")&lt;&gt;1,COUNTIFS(Calculation!$I$10:$I$393,E139,Direct_Denaturation,"-"),0)</f>
        <v>0</v>
      </c>
      <c r="V139" s="542" t="s">
        <v>82</v>
      </c>
      <c r="W139" s="542" t="s">
        <v>82</v>
      </c>
      <c r="X139" s="542" t="s">
        <v>82</v>
      </c>
      <c r="Y139" s="542" t="s">
        <v>82</v>
      </c>
      <c r="Z139" s="542" t="s">
        <v>82</v>
      </c>
      <c r="AA139" s="542" t="s">
        <v>82</v>
      </c>
      <c r="AB139" s="542" t="s">
        <v>82</v>
      </c>
      <c r="AC139" s="542" t="s">
        <v>82</v>
      </c>
      <c r="AD139" s="542" t="s">
        <v>82</v>
      </c>
      <c r="AE139" s="542" t="s">
        <v>82</v>
      </c>
      <c r="AF139" s="542" t="s">
        <v>82</v>
      </c>
      <c r="AG139" s="542" t="s">
        <v>82</v>
      </c>
      <c r="AH139" s="9"/>
      <c r="AI139" s="487">
        <v>136</v>
      </c>
      <c r="AJ139" s="497" t="s">
        <v>161</v>
      </c>
      <c r="AK139" s="378">
        <v>40</v>
      </c>
      <c r="AL139" s="378" t="str">
        <f t="shared" ca="1" si="82"/>
        <v>-</v>
      </c>
      <c r="AM139" s="378" t="str">
        <f t="array" aca="1" ref="AM139" ca="1">IFERROR(IF(AI139&lt;=$AB$2,"-",INDEX(Calculation_Tab,SMALL(ROW(Main_Dil)*(Main_Dil&lt;&gt;"-"),COUNTIF(Main_Dil,"-")+ROW()-3-$AB$2)-9,5)),"-")</f>
        <v>-</v>
      </c>
      <c r="AN139" s="378" t="str">
        <f t="array" aca="1" ref="AN139" ca="1">IFERROR(IF(AI139&lt;=$AB$2,"-",INDEX($A$3:$B$12,MATCH(INDEX(Calculation_Tab,SMALL(ROW(Main_Dil)*(Main_Dil&lt;&gt;"-"),COUNTIF(Main_Dil,"-")+ROW()-3-$AB$2)-9,5),$A$3:$A$12,0),2)),"-")</f>
        <v>-</v>
      </c>
      <c r="AO139" s="378" t="str">
        <f t="array" aca="1" ref="AO139" ca="1">IFERROR(IF(AI139&lt;=$AB$2,"-",INDEX(Coordinate,MATCH(INDEX(Calculation_Tab,SMALL(ROW(Main_Dil)*(Main_Dil&lt;&gt;"-"),COUNTIF(Main_Dil,"-")+ROW()-3-$AB$2)-9,6),$X$4:$X$99,0),2)),"-")</f>
        <v>-</v>
      </c>
      <c r="AP139" s="510" t="str">
        <f t="array" aca="1" ref="AP139" ca="1">IFERROR(IF(AI139&lt;=$AB$2,"-",INDEX(Calculation_Tab,SMALL(ROW(Main_Dil)*(Main_Dil&lt;&gt;"-"),COUNTIF(Main_Dil,"-")+ROW()-3-$AB$2)-9,21)),"-")</f>
        <v>-</v>
      </c>
      <c r="AQ139" s="511" t="str">
        <f t="array" aca="1" ref="AQ139" ca="1">IFERROR(IF(AI139&lt;=$AB$2,"-",INDEX(Calculation_Tab,SMALL(ROW(Main_Dil)*(Main_Dil&lt;&gt;"-"),COUNTIF(Main_Dil,"-")+ROW()-3-$AB$2)-9,22)),"-")</f>
        <v>-</v>
      </c>
      <c r="AR139" s="487" t="str">
        <f t="shared" ca="1" si="83"/>
        <v>-</v>
      </c>
      <c r="AS139" s="378">
        <v>136</v>
      </c>
      <c r="AT139" s="497" t="s">
        <v>161</v>
      </c>
      <c r="AU139" s="498">
        <v>40</v>
      </c>
      <c r="AV139" s="378" t="str">
        <f t="shared" ca="1" si="84"/>
        <v>-</v>
      </c>
      <c r="AW139" s="378" t="str">
        <f t="array" aca="1" ref="AW139" ca="1">IFERROR(IF(AS139&lt;=$AB$2+$AN$2,"-",INDEX(Calculation_Tab,SMALL(ROW(Direct_Denaturation)*(Direct_Denaturation&lt;&gt;"-"),COUNTIF(Direct_Denaturation,"-")+ROW()-3-$AB$2-$AN$2)-9,5)),"-")</f>
        <v>-</v>
      </c>
      <c r="AX139" s="378" t="str">
        <f t="array" aca="1" ref="AX139" ca="1">IFERROR(IF(AS139&lt;=$AB$2+$AN$2,"-",INDEX($A$3:$B$12,MATCH(INDEX(Calculation_Tab,SMALL(ROW(Direct_Denaturation)*(Direct_Denaturation&lt;&gt;"-"),COUNTIF(Direct_Denaturation,"-")+ROW()-3-$AB$2-$AN$2)-9,5),$A$3:$A$12,0),2)),"-")</f>
        <v>-</v>
      </c>
      <c r="AY139" s="378" t="str">
        <f t="array" aca="1" ref="AY139" ca="1">IFERROR(IF(AS139&lt;=$AB$2+$AN$2,"-",INDEX(Coordinate,MATCH(INDEX(Calculation_Tab,SMALL(ROW(Direct_Denaturation)*(Direct_Denaturation&lt;&gt;"-"),COUNTIF(Direct_Denaturation,"-")+ROW()-3-$AB$2-$AN$2)-9,6),$X$4:$X$99,0),2)),"-")</f>
        <v>-</v>
      </c>
      <c r="AZ139" s="510" t="str">
        <f t="array" aca="1" ref="AZ139" ca="1">IFERROR(IF(AS139&lt;=$AB$2+$AN$2,"-",INDEX(Calculation_Tab,SMALL(ROW(Direct_Denaturation)*(Direct_Denaturation&lt;&gt;"-"),COUNTIF(Direct_Denaturation,"-")+ROW()-3-$AB$2-$AN$2)-9,32)),"-")</f>
        <v>-</v>
      </c>
      <c r="BA139" s="510" t="str">
        <f t="array" aca="1" ref="BA139" ca="1">IFERROR(IF(AS139&lt;=$AB$2+$AN$2,"-",INDEX(Calculation_Tab,SMALL(ROW(Direct_Denaturation)*(Direct_Denaturation&lt;&gt;"-"),COUNTIF(Direct_Denaturation,"-")+ROW()-3-$AB$2-$AN$2)-9,34)),"-")</f>
        <v>-</v>
      </c>
      <c r="BB139" s="510" t="str">
        <f t="array" aca="1" ref="BB139" ca="1">IFERROR(IF(AS139&lt;=$AB$2+$AN$2,"-",INDEX(Calculation_Tab,SMALL(ROW(Direct_Denaturation)*(Direct_Denaturation&lt;&gt;"-"),COUNTIF(Direct_Denaturation,"-")+ROW()-3-$AB$2-$AN$2)-9,33)),"-")</f>
        <v>-</v>
      </c>
      <c r="BC139" s="510" t="str">
        <f t="array" aca="1" ref="BC139" ca="1">IFERROR(IF(AS139&lt;=$AB$2+$AN$2,"-",INDEX(Calculation_Tab,SMALL(ROW(Direct_Denaturation)*(Direct_Denaturation&lt;&gt;"-"),COUNTIF(Direct_Denaturation,"-")+ROW()-3-$AB$2-$AN$2)-9,35)),"-")</f>
        <v>-</v>
      </c>
      <c r="BD139" s="511" t="str">
        <f t="shared" ca="1" si="85"/>
        <v>-</v>
      </c>
      <c r="BK139" s="542" t="s">
        <v>82</v>
      </c>
      <c r="BL139" s="542" t="s">
        <v>82</v>
      </c>
      <c r="BM139" s="487" t="str">
        <f t="array" aca="1" ref="BM139" ca="1">IFERROR(INDEX(Calculation_Tab,SMALL(ROW(ToPool)*(ToPool&lt;&gt;"-"),COUNTIF(ToPool,"-")+ROW()-3)-9,3),"-")</f>
        <v>-</v>
      </c>
      <c r="BN139" s="378" t="str">
        <f t="shared" ca="1" si="86"/>
        <v>-</v>
      </c>
      <c r="BO139" s="378" t="str">
        <f t="shared" ca="1" si="87"/>
        <v>-</v>
      </c>
      <c r="BP139" s="523" t="str">
        <f t="shared" ca="1" si="88"/>
        <v>-</v>
      </c>
      <c r="BQ139" s="378" t="str">
        <f t="array" aca="1" ref="BQ139" ca="1">IFERROR(INDEX(BE:BG,MATCH(INDEX(Calculation_Tab,SMALL(ROW(ToPool)*(ToPool&lt;&gt;"-"),COUNTIF(ToPool,"-")+ROW()-3)-9,9),BG:BG,0),2),"-")</f>
        <v>-</v>
      </c>
      <c r="BR139" s="510" t="str">
        <f t="shared" ca="1" si="89"/>
        <v>-</v>
      </c>
      <c r="BS139" s="511" t="str">
        <f t="shared" ca="1" si="90"/>
        <v>-</v>
      </c>
      <c r="BT139" s="543" t="s">
        <v>82</v>
      </c>
      <c r="BU139" s="487" t="str">
        <f t="shared" ca="1" si="95"/>
        <v>-</v>
      </c>
      <c r="BV139" s="487" t="str">
        <f t="array" aca="1" ref="BV13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39" s="378" t="str">
        <f t="shared" ca="1" si="91"/>
        <v>-</v>
      </c>
      <c r="BX139" s="378" t="str">
        <f t="shared" ca="1" si="92"/>
        <v>-</v>
      </c>
      <c r="BY139" s="510" t="str">
        <f ca="1">IFERROR(ROUND(INDEX(Cluster,MATCH(IF(LEFT(BV139,4)="Pool",INDEX(Cluster,MATCH(INDEX(Calculation_Tab,MATCH(INDEX($BE$4:$BJ$99,MATCH(BV139,$BE$4:$BE$99,0),3),Flow_Cell_Lane,0),3),Cluster!$F$29:$F$412,0),6),BV139),Identifier_Cluster,0),19)*IF(LEFT(BV139,4)="pool",IF(LEN(INDEX($BE$4:$BJ$99,MATCH(BV139,$BE$4:$BE$99,0),3))=10,2,IF(LEN(INDEX($BE$4:$BJ$99,MATCH(BV139,$BE$4:$BE$99,0),3))&gt;10,LEN(INDEX($BE$4:$BJ$99,MATCH(BV139,$BE$4:$BE$99,0),3))-8,1)),1)*IF(LEFT(BV139,4)="pool",IF(INDEX($BE$4:$BJ$99,MATCH(BV139,$BE$4:$BE$99,0),6)&lt;1,1,INDEX($BE$4:$BJ$99,MATCH(BV139,$BE$4:$BE$99,0),6)),INDEX(Calculation_Tab,MATCH(BV139,Identifier,0),10)),1)*(1+Calculation!$Q$6),"-")</f>
        <v>-</v>
      </c>
      <c r="BZ139" s="378" t="str">
        <f ca="1">IFERROR((0.5/50)*CE139/Calculation!$AG$6*(IF(LEFT(BV139,4)="Pool",IF(LEN(INDEX($BE$4:$BJ$99,MATCH(BV139,$BE$4:$BE$99,0),3))=10,2,IF(LEN(INDEX($BE$4:$BJ$99,MATCH(BV139,$BE$4:$BE$99,0),3))&gt;10,LEN(INDEX($BE$4:$BJ$99,MATCH(BV139,$BE$4:$BE$99,0),3))-8,1)),IF(INDEX(Calculation_Tab,MATCH(BV139,Identifier,0),10)&gt;1,INDEX(Calculation_Tab,MATCH(BV139,Identifier,0),10),1)))*(1+Calculation!$Q$6),"-")</f>
        <v>-</v>
      </c>
      <c r="CA139" s="510" t="str">
        <f ca="1">IFERROR(IF((BZ139*Calculation!$AG$6/0.05)-SUM(BY139:BZ139,CC139)&gt;0,(BZ139*Calculation!$AG$6/0.05)-SUM(BY139:BZ139,CC139),0),"-")</f>
        <v>-</v>
      </c>
      <c r="CB139" s="510" t="str">
        <f ca="1">IFERROR(5/50*CE139*(IF(LEFT(BV139,4)="Pool",IF(LEN(INDEX($BE$4:$BJ$99,MATCH(BV139,$BE$4:$BE$99,0),3))=10,2,IF(LEN(INDEX($BE$4:$BJ$99,MATCH(BV139,$BE$4:$BE$99,0),3))&gt;10,LEN(INDEX($BE$4:$BJ$99,MATCH(BV139,$BE$4:$BE$99,0),3))-8,1)),IF(INDEX(Calculation_Tab,MATCH(BV139,Identifier,0),10)&gt;1,INDEX(Calculation_Tab,MATCH(BV139,Identifier,0),10),1)))*(1+Calculation!$Q$6),"-")</f>
        <v>-</v>
      </c>
      <c r="CC139" s="508" t="str">
        <f ca="1">IFERROR(ROUND(INDEX(Cluster,MATCH(IF(LEFT(BV139,4)="Pool",INDEX(Cluster,MATCH(INDEX(Calculation_Tab,MATCH(INDEX($BE$4:$BJ$99,MATCH(BV139,$BE$4:$BE$99,0),3),Flow_Cell_Lane,0),3),Cluster!$F$29:$F$412,0),6),BV139),Identifier_Cluster,0),20)*IF(LEFT(BV139,4)="pool",IF(LEN(INDEX($BE$4:$BJ$99,MATCH(BV139,$BE$4:$BE$99,0),3))=10,2,IF(LEN(INDEX($BE$4:$BJ$99,MATCH(BV139,$BE$4:$BE$99,0),3))&gt;10,LEN(INDEX($BE$4:$BJ$99,MATCH(BV139,$BE$4:$BE$99,0),3))-8,1)),1)*IF(LEFT(BV139,4)="pool",IF(INDEX($BE$4:$BJ$99,MATCH(BV139,$BE$4:$BE$99,0),6)&lt;1,1,INDEX($BE$4:$BJ$99,MATCH(BV139,$BE$4:$BE$99,0),6)),INDEX(Calculation_Tab,MATCH(BV139,Identifier,0),10)),1)*(1+Calculation!$Q$6),"-")</f>
        <v>-</v>
      </c>
      <c r="CD139" s="509" t="str">
        <f ca="1">IFERROR(INDEX(Cluster!AC:AD,MATCH(IF(LEFT(BV139,4)="Pool",INDEX(Cluster!$D$29:$AA$412,MATCH(INDEX(Calculation_Tab,MATCH(INDEX($BE$4:$BJ$99,MATCH(BV139,$BE$4:$BE$99,0),3),Flow_Cell_Lane,0),3),Cluster!$F$29:$F$412,0),24),INDEX(Cluster!$D$29:$AA$412,MATCH(BV139,Cluster!$F$29:$F$412,0),24)),Cluster!AC:AC,0),2),"-")</f>
        <v>-</v>
      </c>
      <c r="CE139" s="378" t="str">
        <f ca="1">IFERROR(IF(BV139&lt;&gt;"-",Calculation!$AK$6,"-"),"-")</f>
        <v>-</v>
      </c>
      <c r="CF139" s="378" t="str">
        <f ca="1">IF(OR(LEFT(ListAndConversion!BW139,3)="Dil",LEFT(ListAndConversion!BW139,3)="Poo"),ListAndConversion!$BT$4,IF(LEFT(ListAndConversion!BW139,3)="Sou",INDEX(ListAndConversion!$AT$3:$AV$387,MATCH(ListAndConversion!BV139,ListAndConversion!$AV$3:$AV$387,0),1),"-"))</f>
        <v>-</v>
      </c>
      <c r="CG139" s="498" t="str">
        <f ca="1">IF(OR(LEFT(ListAndConversion!BW139,3)="Dil",LEFT(ListAndConversion!BW139,3)="Poo"),ListAndConversion!BU139,IF(LEFT(ListAndConversion!BW139,3)="Sou",INDEX(ListAndConversion!$AT$4:$AV$387,MATCH(ListAndConversion!BV139,ListAndConversion!$AV$4:$AV$387,0),2),"-"))</f>
        <v>-</v>
      </c>
      <c r="CH139" s="378"/>
      <c r="CI139" s="487" t="str">
        <f t="shared" ca="1" si="93"/>
        <v>-</v>
      </c>
      <c r="CJ139" s="378" t="str">
        <f t="shared" ca="1" si="96"/>
        <v>-</v>
      </c>
      <c r="CK139" s="378" t="str">
        <f t="shared" ca="1" si="96"/>
        <v>-</v>
      </c>
      <c r="CL139" s="378" t="str">
        <f t="shared" ca="1" si="96"/>
        <v>-</v>
      </c>
      <c r="CM139" s="378" t="str">
        <f t="shared" ca="1" si="96"/>
        <v>-</v>
      </c>
      <c r="CN139" s="378" t="str">
        <f t="shared" ca="1" si="96"/>
        <v>-</v>
      </c>
      <c r="CO139" s="378" t="str">
        <f t="shared" ca="1" si="96"/>
        <v>-</v>
      </c>
      <c r="CP139" s="378" t="str">
        <f t="shared" ca="1" si="96"/>
        <v>-</v>
      </c>
      <c r="CQ139" s="378" t="str">
        <f t="shared" ca="1" si="96"/>
        <v>-</v>
      </c>
      <c r="CR139" s="510" t="str">
        <f ca="1">IFERROR(IF(LEFT(BW139,3)="Poo",INDEX($BE$4:$BJ$99,MATCH(CI139,$BG$4:$BG$99,0),6)*((15/50))*Calculation!$AK$6,INDEX(Calculation_Tab,MATCH(BV139,Identifier,0),10)/(IF(LEN(INDEX(Calculation_Tab,MATCH(BV139,Identifier,0),9))&gt;8,LEN(INDEX(Calculation_Tab,MATCH(BV139,Identifier,0),9))-8,1))*((15/50)*Calculation!$AK$6)),"-")</f>
        <v>-</v>
      </c>
      <c r="CS139" s="498" t="str">
        <f ca="1">IF(CI139="-","-",IF(COUNTIF($CI$3:CI139,CI139)&gt;1,0,IFERROR((35/50)*Calculation!$AK$6,"-")))</f>
        <v>-</v>
      </c>
    </row>
    <row r="140" spans="4:97" x14ac:dyDescent="0.5">
      <c r="D140" s="487" t="e">
        <f t="shared" si="79"/>
        <v>#DIV/0!</v>
      </c>
      <c r="E140" s="496" t="e">
        <f t="array" ref="E140">IF(IF((ROW(E140)-3)&lt;(ListAndConversion!$A$15),INDEX(Flow_Cell_Lane,MIN(IF(COUNTIF($E$2:E139,Flow_Cell_Lane)=0,ROW(Flow_Cell_Lane)-9))),"-")="","-",IF((ROW(E140)-3)&lt;(ListAndConversion!$A$15),INDEX(Flow_Cell_Lane,MIN(IF(COUNTIF($E$2:E139,Flow_Cell_Lane)=0,ROW(Flow_Cell_Lane)-9))),"-"))</f>
        <v>#DIV/0!</v>
      </c>
      <c r="F140" s="378" t="e">
        <f t="shared" si="80"/>
        <v>#DIV/0!</v>
      </c>
      <c r="G140" s="378" t="e">
        <f t="shared" si="94"/>
        <v>#DIV/0!</v>
      </c>
      <c r="H140" s="378" t="e">
        <f t="shared" si="94"/>
        <v>#DIV/0!</v>
      </c>
      <c r="I140" s="378" t="e">
        <f t="shared" si="94"/>
        <v>#DIV/0!</v>
      </c>
      <c r="J140" s="378" t="e">
        <f t="shared" si="94"/>
        <v>#DIV/0!</v>
      </c>
      <c r="K140" s="378" t="e">
        <f t="shared" si="94"/>
        <v>#DIV/0!</v>
      </c>
      <c r="L140" s="378" t="e">
        <f t="shared" si="94"/>
        <v>#DIV/0!</v>
      </c>
      <c r="M140" s="378" t="e">
        <f t="shared" si="94"/>
        <v>#DIV/0!</v>
      </c>
      <c r="N140" s="497" t="e">
        <f t="shared" si="81"/>
        <v>#DIV/0!</v>
      </c>
      <c r="O140" s="497" t="str">
        <f t="array" ref="O140">IFERROR(INDEX(Calculation!I:AN,MATCH(ListAndConversion!E140,Calculation!I:I,0),31),"-")</f>
        <v>-</v>
      </c>
      <c r="P140" s="498">
        <f>IF(COUNTIFS(Calculation!$I$10:$I$393,E140,Direct_Denaturation,"-")&lt;&gt;1,COUNTIFS(Calculation!$I$10:$I$393,E140,Direct_Denaturation,"-"),0)</f>
        <v>0</v>
      </c>
      <c r="V140" s="542" t="s">
        <v>82</v>
      </c>
      <c r="W140" s="542" t="s">
        <v>82</v>
      </c>
      <c r="X140" s="542" t="s">
        <v>82</v>
      </c>
      <c r="Y140" s="542" t="s">
        <v>82</v>
      </c>
      <c r="Z140" s="542" t="s">
        <v>82</v>
      </c>
      <c r="AA140" s="542" t="s">
        <v>82</v>
      </c>
      <c r="AB140" s="542" t="s">
        <v>82</v>
      </c>
      <c r="AC140" s="542" t="s">
        <v>82</v>
      </c>
      <c r="AD140" s="542" t="s">
        <v>82</v>
      </c>
      <c r="AE140" s="542" t="s">
        <v>82</v>
      </c>
      <c r="AF140" s="542" t="s">
        <v>82</v>
      </c>
      <c r="AG140" s="542" t="s">
        <v>82</v>
      </c>
      <c r="AH140" s="9"/>
      <c r="AI140" s="487">
        <v>137</v>
      </c>
      <c r="AJ140" s="497" t="s">
        <v>161</v>
      </c>
      <c r="AK140" s="378">
        <v>41</v>
      </c>
      <c r="AL140" s="378" t="str">
        <f t="shared" ca="1" si="82"/>
        <v>-</v>
      </c>
      <c r="AM140" s="378" t="str">
        <f t="array" aca="1" ref="AM140" ca="1">IFERROR(IF(AI140&lt;=$AB$2,"-",INDEX(Calculation_Tab,SMALL(ROW(Main_Dil)*(Main_Dil&lt;&gt;"-"),COUNTIF(Main_Dil,"-")+ROW()-3-$AB$2)-9,5)),"-")</f>
        <v>-</v>
      </c>
      <c r="AN140" s="378" t="str">
        <f t="array" aca="1" ref="AN140" ca="1">IFERROR(IF(AI140&lt;=$AB$2,"-",INDEX($A$3:$B$12,MATCH(INDEX(Calculation_Tab,SMALL(ROW(Main_Dil)*(Main_Dil&lt;&gt;"-"),COUNTIF(Main_Dil,"-")+ROW()-3-$AB$2)-9,5),$A$3:$A$12,0),2)),"-")</f>
        <v>-</v>
      </c>
      <c r="AO140" s="378" t="str">
        <f t="array" aca="1" ref="AO140" ca="1">IFERROR(IF(AI140&lt;=$AB$2,"-",INDEX(Coordinate,MATCH(INDEX(Calculation_Tab,SMALL(ROW(Main_Dil)*(Main_Dil&lt;&gt;"-"),COUNTIF(Main_Dil,"-")+ROW()-3-$AB$2)-9,6),$X$4:$X$99,0),2)),"-")</f>
        <v>-</v>
      </c>
      <c r="AP140" s="510" t="str">
        <f t="array" aca="1" ref="AP140" ca="1">IFERROR(IF(AI140&lt;=$AB$2,"-",INDEX(Calculation_Tab,SMALL(ROW(Main_Dil)*(Main_Dil&lt;&gt;"-"),COUNTIF(Main_Dil,"-")+ROW()-3-$AB$2)-9,21)),"-")</f>
        <v>-</v>
      </c>
      <c r="AQ140" s="511" t="str">
        <f t="array" aca="1" ref="AQ140" ca="1">IFERROR(IF(AI140&lt;=$AB$2,"-",INDEX(Calculation_Tab,SMALL(ROW(Main_Dil)*(Main_Dil&lt;&gt;"-"),COUNTIF(Main_Dil,"-")+ROW()-3-$AB$2)-9,22)),"-")</f>
        <v>-</v>
      </c>
      <c r="AR140" s="487" t="str">
        <f t="shared" ca="1" si="83"/>
        <v>-</v>
      </c>
      <c r="AS140" s="378">
        <v>137</v>
      </c>
      <c r="AT140" s="497" t="s">
        <v>161</v>
      </c>
      <c r="AU140" s="498">
        <v>41</v>
      </c>
      <c r="AV140" s="378" t="str">
        <f t="shared" ca="1" si="84"/>
        <v>-</v>
      </c>
      <c r="AW140" s="378" t="str">
        <f t="array" aca="1" ref="AW140" ca="1">IFERROR(IF(AS140&lt;=$AB$2+$AN$2,"-",INDEX(Calculation_Tab,SMALL(ROW(Direct_Denaturation)*(Direct_Denaturation&lt;&gt;"-"),COUNTIF(Direct_Denaturation,"-")+ROW()-3-$AB$2-$AN$2)-9,5)),"-")</f>
        <v>-</v>
      </c>
      <c r="AX140" s="378" t="str">
        <f t="array" aca="1" ref="AX140" ca="1">IFERROR(IF(AS140&lt;=$AB$2+$AN$2,"-",INDEX($A$3:$B$12,MATCH(INDEX(Calculation_Tab,SMALL(ROW(Direct_Denaturation)*(Direct_Denaturation&lt;&gt;"-"),COUNTIF(Direct_Denaturation,"-")+ROW()-3-$AB$2-$AN$2)-9,5),$A$3:$A$12,0),2)),"-")</f>
        <v>-</v>
      </c>
      <c r="AY140" s="378" t="str">
        <f t="array" aca="1" ref="AY140" ca="1">IFERROR(IF(AS140&lt;=$AB$2+$AN$2,"-",INDEX(Coordinate,MATCH(INDEX(Calculation_Tab,SMALL(ROW(Direct_Denaturation)*(Direct_Denaturation&lt;&gt;"-"),COUNTIF(Direct_Denaturation,"-")+ROW()-3-$AB$2-$AN$2)-9,6),$X$4:$X$99,0),2)),"-")</f>
        <v>-</v>
      </c>
      <c r="AZ140" s="510" t="str">
        <f t="array" aca="1" ref="AZ140" ca="1">IFERROR(IF(AS140&lt;=$AB$2+$AN$2,"-",INDEX(Calculation_Tab,SMALL(ROW(Direct_Denaturation)*(Direct_Denaturation&lt;&gt;"-"),COUNTIF(Direct_Denaturation,"-")+ROW()-3-$AB$2-$AN$2)-9,32)),"-")</f>
        <v>-</v>
      </c>
      <c r="BA140" s="510" t="str">
        <f t="array" aca="1" ref="BA140" ca="1">IFERROR(IF(AS140&lt;=$AB$2+$AN$2,"-",INDEX(Calculation_Tab,SMALL(ROW(Direct_Denaturation)*(Direct_Denaturation&lt;&gt;"-"),COUNTIF(Direct_Denaturation,"-")+ROW()-3-$AB$2-$AN$2)-9,34)),"-")</f>
        <v>-</v>
      </c>
      <c r="BB140" s="510" t="str">
        <f t="array" aca="1" ref="BB140" ca="1">IFERROR(IF(AS140&lt;=$AB$2+$AN$2,"-",INDEX(Calculation_Tab,SMALL(ROW(Direct_Denaturation)*(Direct_Denaturation&lt;&gt;"-"),COUNTIF(Direct_Denaturation,"-")+ROW()-3-$AB$2-$AN$2)-9,33)),"-")</f>
        <v>-</v>
      </c>
      <c r="BC140" s="510" t="str">
        <f t="array" aca="1" ref="BC140" ca="1">IFERROR(IF(AS140&lt;=$AB$2+$AN$2,"-",INDEX(Calculation_Tab,SMALL(ROW(Direct_Denaturation)*(Direct_Denaturation&lt;&gt;"-"),COUNTIF(Direct_Denaturation,"-")+ROW()-3-$AB$2-$AN$2)-9,35)),"-")</f>
        <v>-</v>
      </c>
      <c r="BD140" s="511" t="str">
        <f t="shared" ca="1" si="85"/>
        <v>-</v>
      </c>
      <c r="BK140" s="542" t="s">
        <v>82</v>
      </c>
      <c r="BL140" s="542" t="s">
        <v>82</v>
      </c>
      <c r="BM140" s="487" t="str">
        <f t="array" aca="1" ref="BM140" ca="1">IFERROR(INDEX(Calculation_Tab,SMALL(ROW(ToPool)*(ToPool&lt;&gt;"-"),COUNTIF(ToPool,"-")+ROW()-3)-9,3),"-")</f>
        <v>-</v>
      </c>
      <c r="BN140" s="378" t="str">
        <f t="shared" ca="1" si="86"/>
        <v>-</v>
      </c>
      <c r="BO140" s="378" t="str">
        <f t="shared" ca="1" si="87"/>
        <v>-</v>
      </c>
      <c r="BP140" s="523" t="str">
        <f t="shared" ca="1" si="88"/>
        <v>-</v>
      </c>
      <c r="BQ140" s="378" t="str">
        <f t="array" aca="1" ref="BQ140" ca="1">IFERROR(INDEX(BE:BG,MATCH(INDEX(Calculation_Tab,SMALL(ROW(ToPool)*(ToPool&lt;&gt;"-"),COUNTIF(ToPool,"-")+ROW()-3)-9,9),BG:BG,0),2),"-")</f>
        <v>-</v>
      </c>
      <c r="BR140" s="510" t="str">
        <f t="shared" ca="1" si="89"/>
        <v>-</v>
      </c>
      <c r="BS140" s="511" t="str">
        <f t="shared" ca="1" si="90"/>
        <v>-</v>
      </c>
      <c r="BT140" s="543" t="s">
        <v>82</v>
      </c>
      <c r="BU140" s="487" t="str">
        <f t="shared" ca="1" si="95"/>
        <v>-</v>
      </c>
      <c r="BV140" s="487" t="str">
        <f t="array" aca="1" ref="BV14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40" s="378" t="str">
        <f t="shared" ca="1" si="91"/>
        <v>-</v>
      </c>
      <c r="BX140" s="378" t="str">
        <f t="shared" ca="1" si="92"/>
        <v>-</v>
      </c>
      <c r="BY140" s="510" t="str">
        <f ca="1">IFERROR(ROUND(INDEX(Cluster,MATCH(IF(LEFT(BV140,4)="Pool",INDEX(Cluster,MATCH(INDEX(Calculation_Tab,MATCH(INDEX($BE$4:$BJ$99,MATCH(BV140,$BE$4:$BE$99,0),3),Flow_Cell_Lane,0),3),Cluster!$F$29:$F$412,0),6),BV140),Identifier_Cluster,0),19)*IF(LEFT(BV140,4)="pool",IF(LEN(INDEX($BE$4:$BJ$99,MATCH(BV140,$BE$4:$BE$99,0),3))=10,2,IF(LEN(INDEX($BE$4:$BJ$99,MATCH(BV140,$BE$4:$BE$99,0),3))&gt;10,LEN(INDEX($BE$4:$BJ$99,MATCH(BV140,$BE$4:$BE$99,0),3))-8,1)),1)*IF(LEFT(BV140,4)="pool",IF(INDEX($BE$4:$BJ$99,MATCH(BV140,$BE$4:$BE$99,0),6)&lt;1,1,INDEX($BE$4:$BJ$99,MATCH(BV140,$BE$4:$BE$99,0),6)),INDEX(Calculation_Tab,MATCH(BV140,Identifier,0),10)),1)*(1+Calculation!$Q$6),"-")</f>
        <v>-</v>
      </c>
      <c r="BZ140" s="378" t="str">
        <f ca="1">IFERROR((0.5/50)*CE140/Calculation!$AG$6*(IF(LEFT(BV140,4)="Pool",IF(LEN(INDEX($BE$4:$BJ$99,MATCH(BV140,$BE$4:$BE$99,0),3))=10,2,IF(LEN(INDEX($BE$4:$BJ$99,MATCH(BV140,$BE$4:$BE$99,0),3))&gt;10,LEN(INDEX($BE$4:$BJ$99,MATCH(BV140,$BE$4:$BE$99,0),3))-8,1)),IF(INDEX(Calculation_Tab,MATCH(BV140,Identifier,0),10)&gt;1,INDEX(Calculation_Tab,MATCH(BV140,Identifier,0),10),1)))*(1+Calculation!$Q$6),"-")</f>
        <v>-</v>
      </c>
      <c r="CA140" s="510" t="str">
        <f ca="1">IFERROR(IF((BZ140*Calculation!$AG$6/0.05)-SUM(BY140:BZ140,CC140)&gt;0,(BZ140*Calculation!$AG$6/0.05)-SUM(BY140:BZ140,CC140),0),"-")</f>
        <v>-</v>
      </c>
      <c r="CB140" s="510" t="str">
        <f ca="1">IFERROR(5/50*CE140*(IF(LEFT(BV140,4)="Pool",IF(LEN(INDEX($BE$4:$BJ$99,MATCH(BV140,$BE$4:$BE$99,0),3))=10,2,IF(LEN(INDEX($BE$4:$BJ$99,MATCH(BV140,$BE$4:$BE$99,0),3))&gt;10,LEN(INDEX($BE$4:$BJ$99,MATCH(BV140,$BE$4:$BE$99,0),3))-8,1)),IF(INDEX(Calculation_Tab,MATCH(BV140,Identifier,0),10)&gt;1,INDEX(Calculation_Tab,MATCH(BV140,Identifier,0),10),1)))*(1+Calculation!$Q$6),"-")</f>
        <v>-</v>
      </c>
      <c r="CC140" s="508" t="str">
        <f ca="1">IFERROR(ROUND(INDEX(Cluster,MATCH(IF(LEFT(BV140,4)="Pool",INDEX(Cluster,MATCH(INDEX(Calculation_Tab,MATCH(INDEX($BE$4:$BJ$99,MATCH(BV140,$BE$4:$BE$99,0),3),Flow_Cell_Lane,0),3),Cluster!$F$29:$F$412,0),6),BV140),Identifier_Cluster,0),20)*IF(LEFT(BV140,4)="pool",IF(LEN(INDEX($BE$4:$BJ$99,MATCH(BV140,$BE$4:$BE$99,0),3))=10,2,IF(LEN(INDEX($BE$4:$BJ$99,MATCH(BV140,$BE$4:$BE$99,0),3))&gt;10,LEN(INDEX($BE$4:$BJ$99,MATCH(BV140,$BE$4:$BE$99,0),3))-8,1)),1)*IF(LEFT(BV140,4)="pool",IF(INDEX($BE$4:$BJ$99,MATCH(BV140,$BE$4:$BE$99,0),6)&lt;1,1,INDEX($BE$4:$BJ$99,MATCH(BV140,$BE$4:$BE$99,0),6)),INDEX(Calculation_Tab,MATCH(BV140,Identifier,0),10)),1)*(1+Calculation!$Q$6),"-")</f>
        <v>-</v>
      </c>
      <c r="CD140" s="509" t="str">
        <f ca="1">IFERROR(INDEX(Cluster!AC:AD,MATCH(IF(LEFT(BV140,4)="Pool",INDEX(Cluster!$D$29:$AA$412,MATCH(INDEX(Calculation_Tab,MATCH(INDEX($BE$4:$BJ$99,MATCH(BV140,$BE$4:$BE$99,0),3),Flow_Cell_Lane,0),3),Cluster!$F$29:$F$412,0),24),INDEX(Cluster!$D$29:$AA$412,MATCH(BV140,Cluster!$F$29:$F$412,0),24)),Cluster!AC:AC,0),2),"-")</f>
        <v>-</v>
      </c>
      <c r="CE140" s="378" t="str">
        <f ca="1">IFERROR(IF(BV140&lt;&gt;"-",Calculation!$AK$6,"-"),"-")</f>
        <v>-</v>
      </c>
      <c r="CF140" s="378" t="str">
        <f ca="1">IF(OR(LEFT(ListAndConversion!BW140,3)="Dil",LEFT(ListAndConversion!BW140,3)="Poo"),ListAndConversion!$BT$4,IF(LEFT(ListAndConversion!BW140,3)="Sou",INDEX(ListAndConversion!$AT$3:$AV$387,MATCH(ListAndConversion!BV140,ListAndConversion!$AV$3:$AV$387,0),1),"-"))</f>
        <v>-</v>
      </c>
      <c r="CG140" s="498" t="str">
        <f ca="1">IF(OR(LEFT(ListAndConversion!BW140,3)="Dil",LEFT(ListAndConversion!BW140,3)="Poo"),ListAndConversion!BU140,IF(LEFT(ListAndConversion!BW140,3)="Sou",INDEX(ListAndConversion!$AT$4:$AV$387,MATCH(ListAndConversion!BV140,ListAndConversion!$AV$4:$AV$387,0),2),"-"))</f>
        <v>-</v>
      </c>
      <c r="CH140" s="378"/>
      <c r="CI140" s="487" t="str">
        <f t="shared" ca="1" si="93"/>
        <v>-</v>
      </c>
      <c r="CJ140" s="378" t="str">
        <f t="shared" ca="1" si="96"/>
        <v>-</v>
      </c>
      <c r="CK140" s="378" t="str">
        <f t="shared" ca="1" si="96"/>
        <v>-</v>
      </c>
      <c r="CL140" s="378" t="str">
        <f t="shared" ca="1" si="96"/>
        <v>-</v>
      </c>
      <c r="CM140" s="378" t="str">
        <f t="shared" ca="1" si="96"/>
        <v>-</v>
      </c>
      <c r="CN140" s="378" t="str">
        <f t="shared" ca="1" si="96"/>
        <v>-</v>
      </c>
      <c r="CO140" s="378" t="str">
        <f t="shared" ca="1" si="96"/>
        <v>-</v>
      </c>
      <c r="CP140" s="378" t="str">
        <f t="shared" ca="1" si="96"/>
        <v>-</v>
      </c>
      <c r="CQ140" s="378" t="str">
        <f t="shared" ca="1" si="96"/>
        <v>-</v>
      </c>
      <c r="CR140" s="510" t="str">
        <f ca="1">IFERROR(IF(LEFT(BW140,3)="Poo",INDEX($BE$4:$BJ$99,MATCH(CI140,$BG$4:$BG$99,0),6)*((15/50))*Calculation!$AK$6,INDEX(Calculation_Tab,MATCH(BV140,Identifier,0),10)/(IF(LEN(INDEX(Calculation_Tab,MATCH(BV140,Identifier,0),9))&gt;8,LEN(INDEX(Calculation_Tab,MATCH(BV140,Identifier,0),9))-8,1))*((15/50)*Calculation!$AK$6)),"-")</f>
        <v>-</v>
      </c>
      <c r="CS140" s="498" t="str">
        <f ca="1">IF(CI140="-","-",IF(COUNTIF($CI$3:CI140,CI140)&gt;1,0,IFERROR((35/50)*Calculation!$AK$6,"-")))</f>
        <v>-</v>
      </c>
    </row>
    <row r="141" spans="4:97" x14ac:dyDescent="0.5">
      <c r="D141" s="487" t="e">
        <f t="shared" si="79"/>
        <v>#DIV/0!</v>
      </c>
      <c r="E141" s="496" t="e">
        <f t="array" ref="E141">IF(IF((ROW(E141)-3)&lt;(ListAndConversion!$A$15),INDEX(Flow_Cell_Lane,MIN(IF(COUNTIF($E$2:E140,Flow_Cell_Lane)=0,ROW(Flow_Cell_Lane)-9))),"-")="","-",IF((ROW(E141)-3)&lt;(ListAndConversion!$A$15),INDEX(Flow_Cell_Lane,MIN(IF(COUNTIF($E$2:E140,Flow_Cell_Lane)=0,ROW(Flow_Cell_Lane)-9))),"-"))</f>
        <v>#DIV/0!</v>
      </c>
      <c r="F141" s="378" t="e">
        <f t="shared" si="80"/>
        <v>#DIV/0!</v>
      </c>
      <c r="G141" s="378" t="e">
        <f t="shared" si="94"/>
        <v>#DIV/0!</v>
      </c>
      <c r="H141" s="378" t="e">
        <f t="shared" si="94"/>
        <v>#DIV/0!</v>
      </c>
      <c r="I141" s="378" t="e">
        <f t="shared" si="94"/>
        <v>#DIV/0!</v>
      </c>
      <c r="J141" s="378" t="e">
        <f t="shared" si="94"/>
        <v>#DIV/0!</v>
      </c>
      <c r="K141" s="378" t="e">
        <f t="shared" si="94"/>
        <v>#DIV/0!</v>
      </c>
      <c r="L141" s="378" t="e">
        <f t="shared" si="94"/>
        <v>#DIV/0!</v>
      </c>
      <c r="M141" s="378" t="e">
        <f t="shared" si="94"/>
        <v>#DIV/0!</v>
      </c>
      <c r="N141" s="497" t="e">
        <f t="shared" si="81"/>
        <v>#DIV/0!</v>
      </c>
      <c r="O141" s="497" t="str">
        <f t="array" ref="O141">IFERROR(INDEX(Calculation!I:AN,MATCH(ListAndConversion!E141,Calculation!I:I,0),31),"-")</f>
        <v>-</v>
      </c>
      <c r="P141" s="498">
        <f>IF(COUNTIFS(Calculation!$I$10:$I$393,E141,Direct_Denaturation,"-")&lt;&gt;1,COUNTIFS(Calculation!$I$10:$I$393,E141,Direct_Denaturation,"-"),0)</f>
        <v>0</v>
      </c>
      <c r="V141" s="542" t="s">
        <v>82</v>
      </c>
      <c r="W141" s="542" t="s">
        <v>82</v>
      </c>
      <c r="X141" s="542" t="s">
        <v>82</v>
      </c>
      <c r="Y141" s="542" t="s">
        <v>82</v>
      </c>
      <c r="Z141" s="542" t="s">
        <v>82</v>
      </c>
      <c r="AA141" s="542" t="s">
        <v>82</v>
      </c>
      <c r="AB141" s="542" t="s">
        <v>82</v>
      </c>
      <c r="AC141" s="542" t="s">
        <v>82</v>
      </c>
      <c r="AD141" s="542" t="s">
        <v>82</v>
      </c>
      <c r="AE141" s="542" t="s">
        <v>82</v>
      </c>
      <c r="AF141" s="542" t="s">
        <v>82</v>
      </c>
      <c r="AG141" s="542" t="s">
        <v>82</v>
      </c>
      <c r="AH141" s="9"/>
      <c r="AI141" s="487">
        <v>138</v>
      </c>
      <c r="AJ141" s="497" t="s">
        <v>161</v>
      </c>
      <c r="AK141" s="378">
        <v>42</v>
      </c>
      <c r="AL141" s="378" t="str">
        <f t="shared" ca="1" si="82"/>
        <v>-</v>
      </c>
      <c r="AM141" s="378" t="str">
        <f t="array" aca="1" ref="AM141" ca="1">IFERROR(IF(AI141&lt;=$AB$2,"-",INDEX(Calculation_Tab,SMALL(ROW(Main_Dil)*(Main_Dil&lt;&gt;"-"),COUNTIF(Main_Dil,"-")+ROW()-3-$AB$2)-9,5)),"-")</f>
        <v>-</v>
      </c>
      <c r="AN141" s="378" t="str">
        <f t="array" aca="1" ref="AN141" ca="1">IFERROR(IF(AI141&lt;=$AB$2,"-",INDEX($A$3:$B$12,MATCH(INDEX(Calculation_Tab,SMALL(ROW(Main_Dil)*(Main_Dil&lt;&gt;"-"),COUNTIF(Main_Dil,"-")+ROW()-3-$AB$2)-9,5),$A$3:$A$12,0),2)),"-")</f>
        <v>-</v>
      </c>
      <c r="AO141" s="378" t="str">
        <f t="array" aca="1" ref="AO141" ca="1">IFERROR(IF(AI141&lt;=$AB$2,"-",INDEX(Coordinate,MATCH(INDEX(Calculation_Tab,SMALL(ROW(Main_Dil)*(Main_Dil&lt;&gt;"-"),COUNTIF(Main_Dil,"-")+ROW()-3-$AB$2)-9,6),$X$4:$X$99,0),2)),"-")</f>
        <v>-</v>
      </c>
      <c r="AP141" s="510" t="str">
        <f t="array" aca="1" ref="AP141" ca="1">IFERROR(IF(AI141&lt;=$AB$2,"-",INDEX(Calculation_Tab,SMALL(ROW(Main_Dil)*(Main_Dil&lt;&gt;"-"),COUNTIF(Main_Dil,"-")+ROW()-3-$AB$2)-9,21)),"-")</f>
        <v>-</v>
      </c>
      <c r="AQ141" s="511" t="str">
        <f t="array" aca="1" ref="AQ141" ca="1">IFERROR(IF(AI141&lt;=$AB$2,"-",INDEX(Calculation_Tab,SMALL(ROW(Main_Dil)*(Main_Dil&lt;&gt;"-"),COUNTIF(Main_Dil,"-")+ROW()-3-$AB$2)-9,22)),"-")</f>
        <v>-</v>
      </c>
      <c r="AR141" s="487" t="str">
        <f t="shared" ca="1" si="83"/>
        <v>-</v>
      </c>
      <c r="AS141" s="378">
        <v>138</v>
      </c>
      <c r="AT141" s="497" t="s">
        <v>161</v>
      </c>
      <c r="AU141" s="498">
        <v>42</v>
      </c>
      <c r="AV141" s="378" t="str">
        <f t="shared" ca="1" si="84"/>
        <v>-</v>
      </c>
      <c r="AW141" s="378" t="str">
        <f t="array" aca="1" ref="AW141" ca="1">IFERROR(IF(AS141&lt;=$AB$2+$AN$2,"-",INDEX(Calculation_Tab,SMALL(ROW(Direct_Denaturation)*(Direct_Denaturation&lt;&gt;"-"),COUNTIF(Direct_Denaturation,"-")+ROW()-3-$AB$2-$AN$2)-9,5)),"-")</f>
        <v>-</v>
      </c>
      <c r="AX141" s="378" t="str">
        <f t="array" aca="1" ref="AX141" ca="1">IFERROR(IF(AS141&lt;=$AB$2+$AN$2,"-",INDEX($A$3:$B$12,MATCH(INDEX(Calculation_Tab,SMALL(ROW(Direct_Denaturation)*(Direct_Denaturation&lt;&gt;"-"),COUNTIF(Direct_Denaturation,"-")+ROW()-3-$AB$2-$AN$2)-9,5),$A$3:$A$12,0),2)),"-")</f>
        <v>-</v>
      </c>
      <c r="AY141" s="378" t="str">
        <f t="array" aca="1" ref="AY141" ca="1">IFERROR(IF(AS141&lt;=$AB$2+$AN$2,"-",INDEX(Coordinate,MATCH(INDEX(Calculation_Tab,SMALL(ROW(Direct_Denaturation)*(Direct_Denaturation&lt;&gt;"-"),COUNTIF(Direct_Denaturation,"-")+ROW()-3-$AB$2-$AN$2)-9,6),$X$4:$X$99,0),2)),"-")</f>
        <v>-</v>
      </c>
      <c r="AZ141" s="510" t="str">
        <f t="array" aca="1" ref="AZ141" ca="1">IFERROR(IF(AS141&lt;=$AB$2+$AN$2,"-",INDEX(Calculation_Tab,SMALL(ROW(Direct_Denaturation)*(Direct_Denaturation&lt;&gt;"-"),COUNTIF(Direct_Denaturation,"-")+ROW()-3-$AB$2-$AN$2)-9,32)),"-")</f>
        <v>-</v>
      </c>
      <c r="BA141" s="510" t="str">
        <f t="array" aca="1" ref="BA141" ca="1">IFERROR(IF(AS141&lt;=$AB$2+$AN$2,"-",INDEX(Calculation_Tab,SMALL(ROW(Direct_Denaturation)*(Direct_Denaturation&lt;&gt;"-"),COUNTIF(Direct_Denaturation,"-")+ROW()-3-$AB$2-$AN$2)-9,34)),"-")</f>
        <v>-</v>
      </c>
      <c r="BB141" s="510" t="str">
        <f t="array" aca="1" ref="BB141" ca="1">IFERROR(IF(AS141&lt;=$AB$2+$AN$2,"-",INDEX(Calculation_Tab,SMALL(ROW(Direct_Denaturation)*(Direct_Denaturation&lt;&gt;"-"),COUNTIF(Direct_Denaturation,"-")+ROW()-3-$AB$2-$AN$2)-9,33)),"-")</f>
        <v>-</v>
      </c>
      <c r="BC141" s="510" t="str">
        <f t="array" aca="1" ref="BC141" ca="1">IFERROR(IF(AS141&lt;=$AB$2+$AN$2,"-",INDEX(Calculation_Tab,SMALL(ROW(Direct_Denaturation)*(Direct_Denaturation&lt;&gt;"-"),COUNTIF(Direct_Denaturation,"-")+ROW()-3-$AB$2-$AN$2)-9,35)),"-")</f>
        <v>-</v>
      </c>
      <c r="BD141" s="511" t="str">
        <f t="shared" ca="1" si="85"/>
        <v>-</v>
      </c>
      <c r="BK141" s="542" t="s">
        <v>82</v>
      </c>
      <c r="BL141" s="542" t="s">
        <v>82</v>
      </c>
      <c r="BM141" s="487" t="str">
        <f t="array" aca="1" ref="BM141" ca="1">IFERROR(INDEX(Calculation_Tab,SMALL(ROW(ToPool)*(ToPool&lt;&gt;"-"),COUNTIF(ToPool,"-")+ROW()-3)-9,3),"-")</f>
        <v>-</v>
      </c>
      <c r="BN141" s="378" t="str">
        <f t="shared" ca="1" si="86"/>
        <v>-</v>
      </c>
      <c r="BO141" s="378" t="str">
        <f t="shared" ca="1" si="87"/>
        <v>-</v>
      </c>
      <c r="BP141" s="523" t="str">
        <f t="shared" ca="1" si="88"/>
        <v>-</v>
      </c>
      <c r="BQ141" s="378" t="str">
        <f t="array" aca="1" ref="BQ141" ca="1">IFERROR(INDEX(BE:BG,MATCH(INDEX(Calculation_Tab,SMALL(ROW(ToPool)*(ToPool&lt;&gt;"-"),COUNTIF(ToPool,"-")+ROW()-3)-9,9),BG:BG,0),2),"-")</f>
        <v>-</v>
      </c>
      <c r="BR141" s="510" t="str">
        <f t="shared" ca="1" si="89"/>
        <v>-</v>
      </c>
      <c r="BS141" s="511" t="str">
        <f t="shared" ca="1" si="90"/>
        <v>-</v>
      </c>
      <c r="BT141" s="543" t="s">
        <v>82</v>
      </c>
      <c r="BU141" s="487" t="str">
        <f t="shared" ca="1" si="95"/>
        <v>-</v>
      </c>
      <c r="BV141" s="487" t="str">
        <f t="array" aca="1" ref="BV14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41" s="378" t="str">
        <f t="shared" ca="1" si="91"/>
        <v>-</v>
      </c>
      <c r="BX141" s="378" t="str">
        <f t="shared" ca="1" si="92"/>
        <v>-</v>
      </c>
      <c r="BY141" s="510" t="str">
        <f ca="1">IFERROR(ROUND(INDEX(Cluster,MATCH(IF(LEFT(BV141,4)="Pool",INDEX(Cluster,MATCH(INDEX(Calculation_Tab,MATCH(INDEX($BE$4:$BJ$99,MATCH(BV141,$BE$4:$BE$99,0),3),Flow_Cell_Lane,0),3),Cluster!$F$29:$F$412,0),6),BV141),Identifier_Cluster,0),19)*IF(LEFT(BV141,4)="pool",IF(LEN(INDEX($BE$4:$BJ$99,MATCH(BV141,$BE$4:$BE$99,0),3))=10,2,IF(LEN(INDEX($BE$4:$BJ$99,MATCH(BV141,$BE$4:$BE$99,0),3))&gt;10,LEN(INDEX($BE$4:$BJ$99,MATCH(BV141,$BE$4:$BE$99,0),3))-8,1)),1)*IF(LEFT(BV141,4)="pool",IF(INDEX($BE$4:$BJ$99,MATCH(BV141,$BE$4:$BE$99,0),6)&lt;1,1,INDEX($BE$4:$BJ$99,MATCH(BV141,$BE$4:$BE$99,0),6)),INDEX(Calculation_Tab,MATCH(BV141,Identifier,0),10)),1)*(1+Calculation!$Q$6),"-")</f>
        <v>-</v>
      </c>
      <c r="BZ141" s="378" t="str">
        <f ca="1">IFERROR((0.5/50)*CE141/Calculation!$AG$6*(IF(LEFT(BV141,4)="Pool",IF(LEN(INDEX($BE$4:$BJ$99,MATCH(BV141,$BE$4:$BE$99,0),3))=10,2,IF(LEN(INDEX($BE$4:$BJ$99,MATCH(BV141,$BE$4:$BE$99,0),3))&gt;10,LEN(INDEX($BE$4:$BJ$99,MATCH(BV141,$BE$4:$BE$99,0),3))-8,1)),IF(INDEX(Calculation_Tab,MATCH(BV141,Identifier,0),10)&gt;1,INDEX(Calculation_Tab,MATCH(BV141,Identifier,0),10),1)))*(1+Calculation!$Q$6),"-")</f>
        <v>-</v>
      </c>
      <c r="CA141" s="510" t="str">
        <f ca="1">IFERROR(IF((BZ141*Calculation!$AG$6/0.05)-SUM(BY141:BZ141,CC141)&gt;0,(BZ141*Calculation!$AG$6/0.05)-SUM(BY141:BZ141,CC141),0),"-")</f>
        <v>-</v>
      </c>
      <c r="CB141" s="510" t="str">
        <f ca="1">IFERROR(5/50*CE141*(IF(LEFT(BV141,4)="Pool",IF(LEN(INDEX($BE$4:$BJ$99,MATCH(BV141,$BE$4:$BE$99,0),3))=10,2,IF(LEN(INDEX($BE$4:$BJ$99,MATCH(BV141,$BE$4:$BE$99,0),3))&gt;10,LEN(INDEX($BE$4:$BJ$99,MATCH(BV141,$BE$4:$BE$99,0),3))-8,1)),IF(INDEX(Calculation_Tab,MATCH(BV141,Identifier,0),10)&gt;1,INDEX(Calculation_Tab,MATCH(BV141,Identifier,0),10),1)))*(1+Calculation!$Q$6),"-")</f>
        <v>-</v>
      </c>
      <c r="CC141" s="508" t="str">
        <f ca="1">IFERROR(ROUND(INDEX(Cluster,MATCH(IF(LEFT(BV141,4)="Pool",INDEX(Cluster,MATCH(INDEX(Calculation_Tab,MATCH(INDEX($BE$4:$BJ$99,MATCH(BV141,$BE$4:$BE$99,0),3),Flow_Cell_Lane,0),3),Cluster!$F$29:$F$412,0),6),BV141),Identifier_Cluster,0),20)*IF(LEFT(BV141,4)="pool",IF(LEN(INDEX($BE$4:$BJ$99,MATCH(BV141,$BE$4:$BE$99,0),3))=10,2,IF(LEN(INDEX($BE$4:$BJ$99,MATCH(BV141,$BE$4:$BE$99,0),3))&gt;10,LEN(INDEX($BE$4:$BJ$99,MATCH(BV141,$BE$4:$BE$99,0),3))-8,1)),1)*IF(LEFT(BV141,4)="pool",IF(INDEX($BE$4:$BJ$99,MATCH(BV141,$BE$4:$BE$99,0),6)&lt;1,1,INDEX($BE$4:$BJ$99,MATCH(BV141,$BE$4:$BE$99,0),6)),INDEX(Calculation_Tab,MATCH(BV141,Identifier,0),10)),1)*(1+Calculation!$Q$6),"-")</f>
        <v>-</v>
      </c>
      <c r="CD141" s="509" t="str">
        <f ca="1">IFERROR(INDEX(Cluster!AC:AD,MATCH(IF(LEFT(BV141,4)="Pool",INDEX(Cluster!$D$29:$AA$412,MATCH(INDEX(Calculation_Tab,MATCH(INDEX($BE$4:$BJ$99,MATCH(BV141,$BE$4:$BE$99,0),3),Flow_Cell_Lane,0),3),Cluster!$F$29:$F$412,0),24),INDEX(Cluster!$D$29:$AA$412,MATCH(BV141,Cluster!$F$29:$F$412,0),24)),Cluster!AC:AC,0),2),"-")</f>
        <v>-</v>
      </c>
      <c r="CE141" s="378" t="str">
        <f ca="1">IFERROR(IF(BV141&lt;&gt;"-",Calculation!$AK$6,"-"),"-")</f>
        <v>-</v>
      </c>
      <c r="CF141" s="378" t="str">
        <f ca="1">IF(OR(LEFT(ListAndConversion!BW141,3)="Dil",LEFT(ListAndConversion!BW141,3)="Poo"),ListAndConversion!$BT$4,IF(LEFT(ListAndConversion!BW141,3)="Sou",INDEX(ListAndConversion!$AT$3:$AV$387,MATCH(ListAndConversion!BV141,ListAndConversion!$AV$3:$AV$387,0),1),"-"))</f>
        <v>-</v>
      </c>
      <c r="CG141" s="498" t="str">
        <f ca="1">IF(OR(LEFT(ListAndConversion!BW141,3)="Dil",LEFT(ListAndConversion!BW141,3)="Poo"),ListAndConversion!BU141,IF(LEFT(ListAndConversion!BW141,3)="Sou",INDEX(ListAndConversion!$AT$4:$AV$387,MATCH(ListAndConversion!BV141,ListAndConversion!$AV$4:$AV$387,0),2),"-"))</f>
        <v>-</v>
      </c>
      <c r="CH141" s="378"/>
      <c r="CI141" s="487" t="str">
        <f t="shared" ca="1" si="93"/>
        <v>-</v>
      </c>
      <c r="CJ141" s="378" t="str">
        <f t="shared" ca="1" si="96"/>
        <v>-</v>
      </c>
      <c r="CK141" s="378" t="str">
        <f t="shared" ca="1" si="96"/>
        <v>-</v>
      </c>
      <c r="CL141" s="378" t="str">
        <f t="shared" ca="1" si="96"/>
        <v>-</v>
      </c>
      <c r="CM141" s="378" t="str">
        <f t="shared" ca="1" si="96"/>
        <v>-</v>
      </c>
      <c r="CN141" s="378" t="str">
        <f t="shared" ca="1" si="96"/>
        <v>-</v>
      </c>
      <c r="CO141" s="378" t="str">
        <f t="shared" ca="1" si="96"/>
        <v>-</v>
      </c>
      <c r="CP141" s="378" t="str">
        <f t="shared" ca="1" si="96"/>
        <v>-</v>
      </c>
      <c r="CQ141" s="378" t="str">
        <f t="shared" ca="1" si="96"/>
        <v>-</v>
      </c>
      <c r="CR141" s="510" t="str">
        <f ca="1">IFERROR(IF(LEFT(BW141,3)="Poo",INDEX($BE$4:$BJ$99,MATCH(CI141,$BG$4:$BG$99,0),6)*((15/50))*Calculation!$AK$6,INDEX(Calculation_Tab,MATCH(BV141,Identifier,0),10)/(IF(LEN(INDEX(Calculation_Tab,MATCH(BV141,Identifier,0),9))&gt;8,LEN(INDEX(Calculation_Tab,MATCH(BV141,Identifier,0),9))-8,1))*((15/50)*Calculation!$AK$6)),"-")</f>
        <v>-</v>
      </c>
      <c r="CS141" s="498" t="str">
        <f ca="1">IF(CI141="-","-",IF(COUNTIF($CI$3:CI141,CI141)&gt;1,0,IFERROR((35/50)*Calculation!$AK$6,"-")))</f>
        <v>-</v>
      </c>
    </row>
    <row r="142" spans="4:97" x14ac:dyDescent="0.5">
      <c r="D142" s="487" t="e">
        <f t="shared" si="79"/>
        <v>#DIV/0!</v>
      </c>
      <c r="E142" s="496" t="e">
        <f t="array" ref="E142">IF(IF((ROW(E142)-3)&lt;(ListAndConversion!$A$15),INDEX(Flow_Cell_Lane,MIN(IF(COUNTIF($E$2:E141,Flow_Cell_Lane)=0,ROW(Flow_Cell_Lane)-9))),"-")="","-",IF((ROW(E142)-3)&lt;(ListAndConversion!$A$15),INDEX(Flow_Cell_Lane,MIN(IF(COUNTIF($E$2:E141,Flow_Cell_Lane)=0,ROW(Flow_Cell_Lane)-9))),"-"))</f>
        <v>#DIV/0!</v>
      </c>
      <c r="F142" s="378" t="e">
        <f t="shared" si="80"/>
        <v>#DIV/0!</v>
      </c>
      <c r="G142" s="378" t="e">
        <f t="shared" si="94"/>
        <v>#DIV/0!</v>
      </c>
      <c r="H142" s="378" t="e">
        <f t="shared" si="94"/>
        <v>#DIV/0!</v>
      </c>
      <c r="I142" s="378" t="e">
        <f t="shared" si="94"/>
        <v>#DIV/0!</v>
      </c>
      <c r="J142" s="378" t="e">
        <f t="shared" si="94"/>
        <v>#DIV/0!</v>
      </c>
      <c r="K142" s="378" t="e">
        <f t="shared" si="94"/>
        <v>#DIV/0!</v>
      </c>
      <c r="L142" s="378" t="e">
        <f t="shared" si="94"/>
        <v>#DIV/0!</v>
      </c>
      <c r="M142" s="378" t="e">
        <f t="shared" si="94"/>
        <v>#DIV/0!</v>
      </c>
      <c r="N142" s="497" t="e">
        <f t="shared" si="81"/>
        <v>#DIV/0!</v>
      </c>
      <c r="O142" s="497" t="str">
        <f t="array" ref="O142">IFERROR(INDEX(Calculation!I:AN,MATCH(ListAndConversion!E142,Calculation!I:I,0),31),"-")</f>
        <v>-</v>
      </c>
      <c r="P142" s="498">
        <f>IF(COUNTIFS(Calculation!$I$10:$I$393,E142,Direct_Denaturation,"-")&lt;&gt;1,COUNTIFS(Calculation!$I$10:$I$393,E142,Direct_Denaturation,"-"),0)</f>
        <v>0</v>
      </c>
      <c r="V142" s="542" t="s">
        <v>82</v>
      </c>
      <c r="W142" s="542" t="s">
        <v>82</v>
      </c>
      <c r="X142" s="542" t="s">
        <v>82</v>
      </c>
      <c r="Y142" s="542" t="s">
        <v>82</v>
      </c>
      <c r="Z142" s="542" t="s">
        <v>82</v>
      </c>
      <c r="AA142" s="542" t="s">
        <v>82</v>
      </c>
      <c r="AB142" s="542" t="s">
        <v>82</v>
      </c>
      <c r="AC142" s="542" t="s">
        <v>82</v>
      </c>
      <c r="AD142" s="542" t="s">
        <v>82</v>
      </c>
      <c r="AE142" s="542" t="s">
        <v>82</v>
      </c>
      <c r="AF142" s="542" t="s">
        <v>82</v>
      </c>
      <c r="AG142" s="542" t="s">
        <v>82</v>
      </c>
      <c r="AH142" s="9"/>
      <c r="AI142" s="487">
        <v>139</v>
      </c>
      <c r="AJ142" s="497" t="s">
        <v>161</v>
      </c>
      <c r="AK142" s="378">
        <v>43</v>
      </c>
      <c r="AL142" s="378" t="str">
        <f t="shared" ca="1" si="82"/>
        <v>-</v>
      </c>
      <c r="AM142" s="378" t="str">
        <f t="array" aca="1" ref="AM142" ca="1">IFERROR(IF(AI142&lt;=$AB$2,"-",INDEX(Calculation_Tab,SMALL(ROW(Main_Dil)*(Main_Dil&lt;&gt;"-"),COUNTIF(Main_Dil,"-")+ROW()-3-$AB$2)-9,5)),"-")</f>
        <v>-</v>
      </c>
      <c r="AN142" s="378" t="str">
        <f t="array" aca="1" ref="AN142" ca="1">IFERROR(IF(AI142&lt;=$AB$2,"-",INDEX($A$3:$B$12,MATCH(INDEX(Calculation_Tab,SMALL(ROW(Main_Dil)*(Main_Dil&lt;&gt;"-"),COUNTIF(Main_Dil,"-")+ROW()-3-$AB$2)-9,5),$A$3:$A$12,0),2)),"-")</f>
        <v>-</v>
      </c>
      <c r="AO142" s="378" t="str">
        <f t="array" aca="1" ref="AO142" ca="1">IFERROR(IF(AI142&lt;=$AB$2,"-",INDEX(Coordinate,MATCH(INDEX(Calculation_Tab,SMALL(ROW(Main_Dil)*(Main_Dil&lt;&gt;"-"),COUNTIF(Main_Dil,"-")+ROW()-3-$AB$2)-9,6),$X$4:$X$99,0),2)),"-")</f>
        <v>-</v>
      </c>
      <c r="AP142" s="510" t="str">
        <f t="array" aca="1" ref="AP142" ca="1">IFERROR(IF(AI142&lt;=$AB$2,"-",INDEX(Calculation_Tab,SMALL(ROW(Main_Dil)*(Main_Dil&lt;&gt;"-"),COUNTIF(Main_Dil,"-")+ROW()-3-$AB$2)-9,21)),"-")</f>
        <v>-</v>
      </c>
      <c r="AQ142" s="511" t="str">
        <f t="array" aca="1" ref="AQ142" ca="1">IFERROR(IF(AI142&lt;=$AB$2,"-",INDEX(Calculation_Tab,SMALL(ROW(Main_Dil)*(Main_Dil&lt;&gt;"-"),COUNTIF(Main_Dil,"-")+ROW()-3-$AB$2)-9,22)),"-")</f>
        <v>-</v>
      </c>
      <c r="AR142" s="487" t="str">
        <f t="shared" ca="1" si="83"/>
        <v>-</v>
      </c>
      <c r="AS142" s="378">
        <v>139</v>
      </c>
      <c r="AT142" s="497" t="s">
        <v>161</v>
      </c>
      <c r="AU142" s="498">
        <v>43</v>
      </c>
      <c r="AV142" s="378" t="str">
        <f t="shared" ca="1" si="84"/>
        <v>-</v>
      </c>
      <c r="AW142" s="378" t="str">
        <f t="array" aca="1" ref="AW142" ca="1">IFERROR(IF(AS142&lt;=$AB$2+$AN$2,"-",INDEX(Calculation_Tab,SMALL(ROW(Direct_Denaturation)*(Direct_Denaturation&lt;&gt;"-"),COUNTIF(Direct_Denaturation,"-")+ROW()-3-$AB$2-$AN$2)-9,5)),"-")</f>
        <v>-</v>
      </c>
      <c r="AX142" s="378" t="str">
        <f t="array" aca="1" ref="AX142" ca="1">IFERROR(IF(AS142&lt;=$AB$2+$AN$2,"-",INDEX($A$3:$B$12,MATCH(INDEX(Calculation_Tab,SMALL(ROW(Direct_Denaturation)*(Direct_Denaturation&lt;&gt;"-"),COUNTIF(Direct_Denaturation,"-")+ROW()-3-$AB$2-$AN$2)-9,5),$A$3:$A$12,0),2)),"-")</f>
        <v>-</v>
      </c>
      <c r="AY142" s="378" t="str">
        <f t="array" aca="1" ref="AY142" ca="1">IFERROR(IF(AS142&lt;=$AB$2+$AN$2,"-",INDEX(Coordinate,MATCH(INDEX(Calculation_Tab,SMALL(ROW(Direct_Denaturation)*(Direct_Denaturation&lt;&gt;"-"),COUNTIF(Direct_Denaturation,"-")+ROW()-3-$AB$2-$AN$2)-9,6),$X$4:$X$99,0),2)),"-")</f>
        <v>-</v>
      </c>
      <c r="AZ142" s="510" t="str">
        <f t="array" aca="1" ref="AZ142" ca="1">IFERROR(IF(AS142&lt;=$AB$2+$AN$2,"-",INDEX(Calculation_Tab,SMALL(ROW(Direct_Denaturation)*(Direct_Denaturation&lt;&gt;"-"),COUNTIF(Direct_Denaturation,"-")+ROW()-3-$AB$2-$AN$2)-9,32)),"-")</f>
        <v>-</v>
      </c>
      <c r="BA142" s="510" t="str">
        <f t="array" aca="1" ref="BA142" ca="1">IFERROR(IF(AS142&lt;=$AB$2+$AN$2,"-",INDEX(Calculation_Tab,SMALL(ROW(Direct_Denaturation)*(Direct_Denaturation&lt;&gt;"-"),COUNTIF(Direct_Denaturation,"-")+ROW()-3-$AB$2-$AN$2)-9,34)),"-")</f>
        <v>-</v>
      </c>
      <c r="BB142" s="510" t="str">
        <f t="array" aca="1" ref="BB142" ca="1">IFERROR(IF(AS142&lt;=$AB$2+$AN$2,"-",INDEX(Calculation_Tab,SMALL(ROW(Direct_Denaturation)*(Direct_Denaturation&lt;&gt;"-"),COUNTIF(Direct_Denaturation,"-")+ROW()-3-$AB$2-$AN$2)-9,33)),"-")</f>
        <v>-</v>
      </c>
      <c r="BC142" s="510" t="str">
        <f t="array" aca="1" ref="BC142" ca="1">IFERROR(IF(AS142&lt;=$AB$2+$AN$2,"-",INDEX(Calculation_Tab,SMALL(ROW(Direct_Denaturation)*(Direct_Denaturation&lt;&gt;"-"),COUNTIF(Direct_Denaturation,"-")+ROW()-3-$AB$2-$AN$2)-9,35)),"-")</f>
        <v>-</v>
      </c>
      <c r="BD142" s="511" t="str">
        <f t="shared" ca="1" si="85"/>
        <v>-</v>
      </c>
      <c r="BK142" s="542" t="s">
        <v>82</v>
      </c>
      <c r="BL142" s="542" t="s">
        <v>82</v>
      </c>
      <c r="BM142" s="487" t="str">
        <f t="array" aca="1" ref="BM142" ca="1">IFERROR(INDEX(Calculation_Tab,SMALL(ROW(ToPool)*(ToPool&lt;&gt;"-"),COUNTIF(ToPool,"-")+ROW()-3)-9,3),"-")</f>
        <v>-</v>
      </c>
      <c r="BN142" s="378" t="str">
        <f t="shared" ca="1" si="86"/>
        <v>-</v>
      </c>
      <c r="BO142" s="378" t="str">
        <f t="shared" ca="1" si="87"/>
        <v>-</v>
      </c>
      <c r="BP142" s="523" t="str">
        <f t="shared" ca="1" si="88"/>
        <v>-</v>
      </c>
      <c r="BQ142" s="378" t="str">
        <f t="array" aca="1" ref="BQ142" ca="1">IFERROR(INDEX(BE:BG,MATCH(INDEX(Calculation_Tab,SMALL(ROW(ToPool)*(ToPool&lt;&gt;"-"),COUNTIF(ToPool,"-")+ROW()-3)-9,9),BG:BG,0),2),"-")</f>
        <v>-</v>
      </c>
      <c r="BR142" s="510" t="str">
        <f t="shared" ca="1" si="89"/>
        <v>-</v>
      </c>
      <c r="BS142" s="511" t="str">
        <f t="shared" ca="1" si="90"/>
        <v>-</v>
      </c>
      <c r="BT142" s="543" t="s">
        <v>82</v>
      </c>
      <c r="BU142" s="487" t="str">
        <f t="shared" ca="1" si="95"/>
        <v>-</v>
      </c>
      <c r="BV142" s="487" t="str">
        <f t="array" aca="1" ref="BV14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42" s="378" t="str">
        <f t="shared" ca="1" si="91"/>
        <v>-</v>
      </c>
      <c r="BX142" s="378" t="str">
        <f t="shared" ca="1" si="92"/>
        <v>-</v>
      </c>
      <c r="BY142" s="510" t="str">
        <f ca="1">IFERROR(ROUND(INDEX(Cluster,MATCH(IF(LEFT(BV142,4)="Pool",INDEX(Cluster,MATCH(INDEX(Calculation_Tab,MATCH(INDEX($BE$4:$BJ$99,MATCH(BV142,$BE$4:$BE$99,0),3),Flow_Cell_Lane,0),3),Cluster!$F$29:$F$412,0),6),BV142),Identifier_Cluster,0),19)*IF(LEFT(BV142,4)="pool",IF(LEN(INDEX($BE$4:$BJ$99,MATCH(BV142,$BE$4:$BE$99,0),3))=10,2,IF(LEN(INDEX($BE$4:$BJ$99,MATCH(BV142,$BE$4:$BE$99,0),3))&gt;10,LEN(INDEX($BE$4:$BJ$99,MATCH(BV142,$BE$4:$BE$99,0),3))-8,1)),1)*IF(LEFT(BV142,4)="pool",IF(INDEX($BE$4:$BJ$99,MATCH(BV142,$BE$4:$BE$99,0),6)&lt;1,1,INDEX($BE$4:$BJ$99,MATCH(BV142,$BE$4:$BE$99,0),6)),INDEX(Calculation_Tab,MATCH(BV142,Identifier,0),10)),1)*(1+Calculation!$Q$6),"-")</f>
        <v>-</v>
      </c>
      <c r="BZ142" s="378" t="str">
        <f ca="1">IFERROR((0.5/50)*CE142/Calculation!$AG$6*(IF(LEFT(BV142,4)="Pool",IF(LEN(INDEX($BE$4:$BJ$99,MATCH(BV142,$BE$4:$BE$99,0),3))=10,2,IF(LEN(INDEX($BE$4:$BJ$99,MATCH(BV142,$BE$4:$BE$99,0),3))&gt;10,LEN(INDEX($BE$4:$BJ$99,MATCH(BV142,$BE$4:$BE$99,0),3))-8,1)),IF(INDEX(Calculation_Tab,MATCH(BV142,Identifier,0),10)&gt;1,INDEX(Calculation_Tab,MATCH(BV142,Identifier,0),10),1)))*(1+Calculation!$Q$6),"-")</f>
        <v>-</v>
      </c>
      <c r="CA142" s="510" t="str">
        <f ca="1">IFERROR(IF((BZ142*Calculation!$AG$6/0.05)-SUM(BY142:BZ142,CC142)&gt;0,(BZ142*Calculation!$AG$6/0.05)-SUM(BY142:BZ142,CC142),0),"-")</f>
        <v>-</v>
      </c>
      <c r="CB142" s="510" t="str">
        <f ca="1">IFERROR(5/50*CE142*(IF(LEFT(BV142,4)="Pool",IF(LEN(INDEX($BE$4:$BJ$99,MATCH(BV142,$BE$4:$BE$99,0),3))=10,2,IF(LEN(INDEX($BE$4:$BJ$99,MATCH(BV142,$BE$4:$BE$99,0),3))&gt;10,LEN(INDEX($BE$4:$BJ$99,MATCH(BV142,$BE$4:$BE$99,0),3))-8,1)),IF(INDEX(Calculation_Tab,MATCH(BV142,Identifier,0),10)&gt;1,INDEX(Calculation_Tab,MATCH(BV142,Identifier,0),10),1)))*(1+Calculation!$Q$6),"-")</f>
        <v>-</v>
      </c>
      <c r="CC142" s="508" t="str">
        <f ca="1">IFERROR(ROUND(INDEX(Cluster,MATCH(IF(LEFT(BV142,4)="Pool",INDEX(Cluster,MATCH(INDEX(Calculation_Tab,MATCH(INDEX($BE$4:$BJ$99,MATCH(BV142,$BE$4:$BE$99,0),3),Flow_Cell_Lane,0),3),Cluster!$F$29:$F$412,0),6),BV142),Identifier_Cluster,0),20)*IF(LEFT(BV142,4)="pool",IF(LEN(INDEX($BE$4:$BJ$99,MATCH(BV142,$BE$4:$BE$99,0),3))=10,2,IF(LEN(INDEX($BE$4:$BJ$99,MATCH(BV142,$BE$4:$BE$99,0),3))&gt;10,LEN(INDEX($BE$4:$BJ$99,MATCH(BV142,$BE$4:$BE$99,0),3))-8,1)),1)*IF(LEFT(BV142,4)="pool",IF(INDEX($BE$4:$BJ$99,MATCH(BV142,$BE$4:$BE$99,0),6)&lt;1,1,INDEX($BE$4:$BJ$99,MATCH(BV142,$BE$4:$BE$99,0),6)),INDEX(Calculation_Tab,MATCH(BV142,Identifier,0),10)),1)*(1+Calculation!$Q$6),"-")</f>
        <v>-</v>
      </c>
      <c r="CD142" s="509" t="str">
        <f ca="1">IFERROR(INDEX(Cluster!AC:AD,MATCH(IF(LEFT(BV142,4)="Pool",INDEX(Cluster!$D$29:$AA$412,MATCH(INDEX(Calculation_Tab,MATCH(INDEX($BE$4:$BJ$99,MATCH(BV142,$BE$4:$BE$99,0),3),Flow_Cell_Lane,0),3),Cluster!$F$29:$F$412,0),24),INDEX(Cluster!$D$29:$AA$412,MATCH(BV142,Cluster!$F$29:$F$412,0),24)),Cluster!AC:AC,0),2),"-")</f>
        <v>-</v>
      </c>
      <c r="CE142" s="378" t="str">
        <f ca="1">IFERROR(IF(BV142&lt;&gt;"-",Calculation!$AK$6,"-"),"-")</f>
        <v>-</v>
      </c>
      <c r="CF142" s="378" t="str">
        <f ca="1">IF(OR(LEFT(ListAndConversion!BW142,3)="Dil",LEFT(ListAndConversion!BW142,3)="Poo"),ListAndConversion!$BT$4,IF(LEFT(ListAndConversion!BW142,3)="Sou",INDEX(ListAndConversion!$AT$3:$AV$387,MATCH(ListAndConversion!BV142,ListAndConversion!$AV$3:$AV$387,0),1),"-"))</f>
        <v>-</v>
      </c>
      <c r="CG142" s="498" t="str">
        <f ca="1">IF(OR(LEFT(ListAndConversion!BW142,3)="Dil",LEFT(ListAndConversion!BW142,3)="Poo"),ListAndConversion!BU142,IF(LEFT(ListAndConversion!BW142,3)="Sou",INDEX(ListAndConversion!$AT$4:$AV$387,MATCH(ListAndConversion!BV142,ListAndConversion!$AV$4:$AV$387,0),2),"-"))</f>
        <v>-</v>
      </c>
      <c r="CH142" s="378"/>
      <c r="CI142" s="487" t="str">
        <f t="shared" ca="1" si="93"/>
        <v>-</v>
      </c>
      <c r="CJ142" s="378" t="str">
        <f t="shared" ca="1" si="96"/>
        <v>-</v>
      </c>
      <c r="CK142" s="378" t="str">
        <f t="shared" ca="1" si="96"/>
        <v>-</v>
      </c>
      <c r="CL142" s="378" t="str">
        <f t="shared" ca="1" si="96"/>
        <v>-</v>
      </c>
      <c r="CM142" s="378" t="str">
        <f t="shared" ca="1" si="96"/>
        <v>-</v>
      </c>
      <c r="CN142" s="378" t="str">
        <f t="shared" ca="1" si="96"/>
        <v>-</v>
      </c>
      <c r="CO142" s="378" t="str">
        <f t="shared" ca="1" si="96"/>
        <v>-</v>
      </c>
      <c r="CP142" s="378" t="str">
        <f t="shared" ca="1" si="96"/>
        <v>-</v>
      </c>
      <c r="CQ142" s="378" t="str">
        <f t="shared" ca="1" si="96"/>
        <v>-</v>
      </c>
      <c r="CR142" s="510" t="str">
        <f ca="1">IFERROR(IF(LEFT(BW142,3)="Poo",INDEX($BE$4:$BJ$99,MATCH(CI142,$BG$4:$BG$99,0),6)*((15/50))*Calculation!$AK$6,INDEX(Calculation_Tab,MATCH(BV142,Identifier,0),10)/(IF(LEN(INDEX(Calculation_Tab,MATCH(BV142,Identifier,0),9))&gt;8,LEN(INDEX(Calculation_Tab,MATCH(BV142,Identifier,0),9))-8,1))*((15/50)*Calculation!$AK$6)),"-")</f>
        <v>-</v>
      </c>
      <c r="CS142" s="498" t="str">
        <f ca="1">IF(CI142="-","-",IF(COUNTIF($CI$3:CI142,CI142)&gt;1,0,IFERROR((35/50)*Calculation!$AK$6,"-")))</f>
        <v>-</v>
      </c>
    </row>
    <row r="143" spans="4:97" x14ac:dyDescent="0.5">
      <c r="D143" s="487" t="e">
        <f t="shared" si="79"/>
        <v>#DIV/0!</v>
      </c>
      <c r="E143" s="496" t="e">
        <f t="array" ref="E143">IF(IF((ROW(E143)-3)&lt;(ListAndConversion!$A$15),INDEX(Flow_Cell_Lane,MIN(IF(COUNTIF($E$2:E142,Flow_Cell_Lane)=0,ROW(Flow_Cell_Lane)-9))),"-")="","-",IF((ROW(E143)-3)&lt;(ListAndConversion!$A$15),INDEX(Flow_Cell_Lane,MIN(IF(COUNTIF($E$2:E142,Flow_Cell_Lane)=0,ROW(Flow_Cell_Lane)-9))),"-"))</f>
        <v>#DIV/0!</v>
      </c>
      <c r="F143" s="378" t="e">
        <f t="shared" si="80"/>
        <v>#DIV/0!</v>
      </c>
      <c r="G143" s="378" t="e">
        <f t="shared" ref="G143:M152" si="97">IF($D143&gt;8,IF($D143&gt;=(8+G$2),CONCATENATE(LEFT($E143,7),RIGHT(LEFT($E143,8+G$2),1)),""),"")</f>
        <v>#DIV/0!</v>
      </c>
      <c r="H143" s="378" t="e">
        <f t="shared" si="97"/>
        <v>#DIV/0!</v>
      </c>
      <c r="I143" s="378" t="e">
        <f t="shared" si="97"/>
        <v>#DIV/0!</v>
      </c>
      <c r="J143" s="378" t="e">
        <f t="shared" si="97"/>
        <v>#DIV/0!</v>
      </c>
      <c r="K143" s="378" t="e">
        <f t="shared" si="97"/>
        <v>#DIV/0!</v>
      </c>
      <c r="L143" s="378" t="e">
        <f t="shared" si="97"/>
        <v>#DIV/0!</v>
      </c>
      <c r="M143" s="378" t="e">
        <f t="shared" si="97"/>
        <v>#DIV/0!</v>
      </c>
      <c r="N143" s="497" t="e">
        <f t="shared" si="81"/>
        <v>#DIV/0!</v>
      </c>
      <c r="O143" s="497" t="str">
        <f t="array" ref="O143">IFERROR(INDEX(Calculation!I:AN,MATCH(ListAndConversion!E143,Calculation!I:I,0),31),"-")</f>
        <v>-</v>
      </c>
      <c r="P143" s="498">
        <f>IF(COUNTIFS(Calculation!$I$10:$I$393,E143,Direct_Denaturation,"-")&lt;&gt;1,COUNTIFS(Calculation!$I$10:$I$393,E143,Direct_Denaturation,"-"),0)</f>
        <v>0</v>
      </c>
      <c r="V143" s="542" t="s">
        <v>82</v>
      </c>
      <c r="W143" s="542" t="s">
        <v>82</v>
      </c>
      <c r="X143" s="542" t="s">
        <v>82</v>
      </c>
      <c r="Y143" s="542" t="s">
        <v>82</v>
      </c>
      <c r="Z143" s="542" t="s">
        <v>82</v>
      </c>
      <c r="AA143" s="542" t="s">
        <v>82</v>
      </c>
      <c r="AB143" s="542" t="s">
        <v>82</v>
      </c>
      <c r="AC143" s="542" t="s">
        <v>82</v>
      </c>
      <c r="AD143" s="542" t="s">
        <v>82</v>
      </c>
      <c r="AE143" s="542" t="s">
        <v>82</v>
      </c>
      <c r="AF143" s="542" t="s">
        <v>82</v>
      </c>
      <c r="AG143" s="542" t="s">
        <v>82</v>
      </c>
      <c r="AH143" s="9"/>
      <c r="AI143" s="487">
        <v>140</v>
      </c>
      <c r="AJ143" s="497" t="s">
        <v>161</v>
      </c>
      <c r="AK143" s="378">
        <v>44</v>
      </c>
      <c r="AL143" s="378" t="str">
        <f t="shared" ca="1" si="82"/>
        <v>-</v>
      </c>
      <c r="AM143" s="378" t="str">
        <f t="array" aca="1" ref="AM143" ca="1">IFERROR(IF(AI143&lt;=$AB$2,"-",INDEX(Calculation_Tab,SMALL(ROW(Main_Dil)*(Main_Dil&lt;&gt;"-"),COUNTIF(Main_Dil,"-")+ROW()-3-$AB$2)-9,5)),"-")</f>
        <v>-</v>
      </c>
      <c r="AN143" s="378" t="str">
        <f t="array" aca="1" ref="AN143" ca="1">IFERROR(IF(AI143&lt;=$AB$2,"-",INDEX($A$3:$B$12,MATCH(INDEX(Calculation_Tab,SMALL(ROW(Main_Dil)*(Main_Dil&lt;&gt;"-"),COUNTIF(Main_Dil,"-")+ROW()-3-$AB$2)-9,5),$A$3:$A$12,0),2)),"-")</f>
        <v>-</v>
      </c>
      <c r="AO143" s="378" t="str">
        <f t="array" aca="1" ref="AO143" ca="1">IFERROR(IF(AI143&lt;=$AB$2,"-",INDEX(Coordinate,MATCH(INDEX(Calculation_Tab,SMALL(ROW(Main_Dil)*(Main_Dil&lt;&gt;"-"),COUNTIF(Main_Dil,"-")+ROW()-3-$AB$2)-9,6),$X$4:$X$99,0),2)),"-")</f>
        <v>-</v>
      </c>
      <c r="AP143" s="510" t="str">
        <f t="array" aca="1" ref="AP143" ca="1">IFERROR(IF(AI143&lt;=$AB$2,"-",INDEX(Calculation_Tab,SMALL(ROW(Main_Dil)*(Main_Dil&lt;&gt;"-"),COUNTIF(Main_Dil,"-")+ROW()-3-$AB$2)-9,21)),"-")</f>
        <v>-</v>
      </c>
      <c r="AQ143" s="511" t="str">
        <f t="array" aca="1" ref="AQ143" ca="1">IFERROR(IF(AI143&lt;=$AB$2,"-",INDEX(Calculation_Tab,SMALL(ROW(Main_Dil)*(Main_Dil&lt;&gt;"-"),COUNTIF(Main_Dil,"-")+ROW()-3-$AB$2)-9,22)),"-")</f>
        <v>-</v>
      </c>
      <c r="AR143" s="487" t="str">
        <f t="shared" ca="1" si="83"/>
        <v>-</v>
      </c>
      <c r="AS143" s="378">
        <v>140</v>
      </c>
      <c r="AT143" s="497" t="s">
        <v>161</v>
      </c>
      <c r="AU143" s="498">
        <v>44</v>
      </c>
      <c r="AV143" s="378" t="str">
        <f t="shared" ca="1" si="84"/>
        <v>-</v>
      </c>
      <c r="AW143" s="378" t="str">
        <f t="array" aca="1" ref="AW143" ca="1">IFERROR(IF(AS143&lt;=$AB$2+$AN$2,"-",INDEX(Calculation_Tab,SMALL(ROW(Direct_Denaturation)*(Direct_Denaturation&lt;&gt;"-"),COUNTIF(Direct_Denaturation,"-")+ROW()-3-$AB$2-$AN$2)-9,5)),"-")</f>
        <v>-</v>
      </c>
      <c r="AX143" s="378" t="str">
        <f t="array" aca="1" ref="AX143" ca="1">IFERROR(IF(AS143&lt;=$AB$2+$AN$2,"-",INDEX($A$3:$B$12,MATCH(INDEX(Calculation_Tab,SMALL(ROW(Direct_Denaturation)*(Direct_Denaturation&lt;&gt;"-"),COUNTIF(Direct_Denaturation,"-")+ROW()-3-$AB$2-$AN$2)-9,5),$A$3:$A$12,0),2)),"-")</f>
        <v>-</v>
      </c>
      <c r="AY143" s="378" t="str">
        <f t="array" aca="1" ref="AY143" ca="1">IFERROR(IF(AS143&lt;=$AB$2+$AN$2,"-",INDEX(Coordinate,MATCH(INDEX(Calculation_Tab,SMALL(ROW(Direct_Denaturation)*(Direct_Denaturation&lt;&gt;"-"),COUNTIF(Direct_Denaturation,"-")+ROW()-3-$AB$2-$AN$2)-9,6),$X$4:$X$99,0),2)),"-")</f>
        <v>-</v>
      </c>
      <c r="AZ143" s="510" t="str">
        <f t="array" aca="1" ref="AZ143" ca="1">IFERROR(IF(AS143&lt;=$AB$2+$AN$2,"-",INDEX(Calculation_Tab,SMALL(ROW(Direct_Denaturation)*(Direct_Denaturation&lt;&gt;"-"),COUNTIF(Direct_Denaturation,"-")+ROW()-3-$AB$2-$AN$2)-9,32)),"-")</f>
        <v>-</v>
      </c>
      <c r="BA143" s="510" t="str">
        <f t="array" aca="1" ref="BA143" ca="1">IFERROR(IF(AS143&lt;=$AB$2+$AN$2,"-",INDEX(Calculation_Tab,SMALL(ROW(Direct_Denaturation)*(Direct_Denaturation&lt;&gt;"-"),COUNTIF(Direct_Denaturation,"-")+ROW()-3-$AB$2-$AN$2)-9,34)),"-")</f>
        <v>-</v>
      </c>
      <c r="BB143" s="510" t="str">
        <f t="array" aca="1" ref="BB143" ca="1">IFERROR(IF(AS143&lt;=$AB$2+$AN$2,"-",INDEX(Calculation_Tab,SMALL(ROW(Direct_Denaturation)*(Direct_Denaturation&lt;&gt;"-"),COUNTIF(Direct_Denaturation,"-")+ROW()-3-$AB$2-$AN$2)-9,33)),"-")</f>
        <v>-</v>
      </c>
      <c r="BC143" s="510" t="str">
        <f t="array" aca="1" ref="BC143" ca="1">IFERROR(IF(AS143&lt;=$AB$2+$AN$2,"-",INDEX(Calculation_Tab,SMALL(ROW(Direct_Denaturation)*(Direct_Denaturation&lt;&gt;"-"),COUNTIF(Direct_Denaturation,"-")+ROW()-3-$AB$2-$AN$2)-9,35)),"-")</f>
        <v>-</v>
      </c>
      <c r="BD143" s="511" t="str">
        <f t="shared" ca="1" si="85"/>
        <v>-</v>
      </c>
      <c r="BK143" s="542" t="s">
        <v>82</v>
      </c>
      <c r="BL143" s="542" t="s">
        <v>82</v>
      </c>
      <c r="BM143" s="487" t="str">
        <f t="array" aca="1" ref="BM143" ca="1">IFERROR(INDEX(Calculation_Tab,SMALL(ROW(ToPool)*(ToPool&lt;&gt;"-"),COUNTIF(ToPool,"-")+ROW()-3)-9,3),"-")</f>
        <v>-</v>
      </c>
      <c r="BN143" s="378" t="str">
        <f t="shared" ca="1" si="86"/>
        <v>-</v>
      </c>
      <c r="BO143" s="378" t="str">
        <f t="shared" ca="1" si="87"/>
        <v>-</v>
      </c>
      <c r="BP143" s="523" t="str">
        <f t="shared" ca="1" si="88"/>
        <v>-</v>
      </c>
      <c r="BQ143" s="378" t="str">
        <f t="array" aca="1" ref="BQ143" ca="1">IFERROR(INDEX(BE:BG,MATCH(INDEX(Calculation_Tab,SMALL(ROW(ToPool)*(ToPool&lt;&gt;"-"),COUNTIF(ToPool,"-")+ROW()-3)-9,9),BG:BG,0),2),"-")</f>
        <v>-</v>
      </c>
      <c r="BR143" s="510" t="str">
        <f t="shared" ca="1" si="89"/>
        <v>-</v>
      </c>
      <c r="BS143" s="511" t="str">
        <f t="shared" ca="1" si="90"/>
        <v>-</v>
      </c>
      <c r="BT143" s="543" t="s">
        <v>82</v>
      </c>
      <c r="BU143" s="487" t="str">
        <f t="shared" ca="1" si="95"/>
        <v>-</v>
      </c>
      <c r="BV143" s="487" t="str">
        <f t="array" aca="1" ref="BV14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43" s="378" t="str">
        <f t="shared" ca="1" si="91"/>
        <v>-</v>
      </c>
      <c r="BX143" s="378" t="str">
        <f t="shared" ca="1" si="92"/>
        <v>-</v>
      </c>
      <c r="BY143" s="510" t="str">
        <f ca="1">IFERROR(ROUND(INDEX(Cluster,MATCH(IF(LEFT(BV143,4)="Pool",INDEX(Cluster,MATCH(INDEX(Calculation_Tab,MATCH(INDEX($BE$4:$BJ$99,MATCH(BV143,$BE$4:$BE$99,0),3),Flow_Cell_Lane,0),3),Cluster!$F$29:$F$412,0),6),BV143),Identifier_Cluster,0),19)*IF(LEFT(BV143,4)="pool",IF(LEN(INDEX($BE$4:$BJ$99,MATCH(BV143,$BE$4:$BE$99,0),3))=10,2,IF(LEN(INDEX($BE$4:$BJ$99,MATCH(BV143,$BE$4:$BE$99,0),3))&gt;10,LEN(INDEX($BE$4:$BJ$99,MATCH(BV143,$BE$4:$BE$99,0),3))-8,1)),1)*IF(LEFT(BV143,4)="pool",IF(INDEX($BE$4:$BJ$99,MATCH(BV143,$BE$4:$BE$99,0),6)&lt;1,1,INDEX($BE$4:$BJ$99,MATCH(BV143,$BE$4:$BE$99,0),6)),INDEX(Calculation_Tab,MATCH(BV143,Identifier,0),10)),1)*(1+Calculation!$Q$6),"-")</f>
        <v>-</v>
      </c>
      <c r="BZ143" s="378" t="str">
        <f ca="1">IFERROR((0.5/50)*CE143/Calculation!$AG$6*(IF(LEFT(BV143,4)="Pool",IF(LEN(INDEX($BE$4:$BJ$99,MATCH(BV143,$BE$4:$BE$99,0),3))=10,2,IF(LEN(INDEX($BE$4:$BJ$99,MATCH(BV143,$BE$4:$BE$99,0),3))&gt;10,LEN(INDEX($BE$4:$BJ$99,MATCH(BV143,$BE$4:$BE$99,0),3))-8,1)),IF(INDEX(Calculation_Tab,MATCH(BV143,Identifier,0),10)&gt;1,INDEX(Calculation_Tab,MATCH(BV143,Identifier,0),10),1)))*(1+Calculation!$Q$6),"-")</f>
        <v>-</v>
      </c>
      <c r="CA143" s="510" t="str">
        <f ca="1">IFERROR(IF((BZ143*Calculation!$AG$6/0.05)-SUM(BY143:BZ143,CC143)&gt;0,(BZ143*Calculation!$AG$6/0.05)-SUM(BY143:BZ143,CC143),0),"-")</f>
        <v>-</v>
      </c>
      <c r="CB143" s="510" t="str">
        <f ca="1">IFERROR(5/50*CE143*(IF(LEFT(BV143,4)="Pool",IF(LEN(INDEX($BE$4:$BJ$99,MATCH(BV143,$BE$4:$BE$99,0),3))=10,2,IF(LEN(INDEX($BE$4:$BJ$99,MATCH(BV143,$BE$4:$BE$99,0),3))&gt;10,LEN(INDEX($BE$4:$BJ$99,MATCH(BV143,$BE$4:$BE$99,0),3))-8,1)),IF(INDEX(Calculation_Tab,MATCH(BV143,Identifier,0),10)&gt;1,INDEX(Calculation_Tab,MATCH(BV143,Identifier,0),10),1)))*(1+Calculation!$Q$6),"-")</f>
        <v>-</v>
      </c>
      <c r="CC143" s="508" t="str">
        <f ca="1">IFERROR(ROUND(INDEX(Cluster,MATCH(IF(LEFT(BV143,4)="Pool",INDEX(Cluster,MATCH(INDEX(Calculation_Tab,MATCH(INDEX($BE$4:$BJ$99,MATCH(BV143,$BE$4:$BE$99,0),3),Flow_Cell_Lane,0),3),Cluster!$F$29:$F$412,0),6),BV143),Identifier_Cluster,0),20)*IF(LEFT(BV143,4)="pool",IF(LEN(INDEX($BE$4:$BJ$99,MATCH(BV143,$BE$4:$BE$99,0),3))=10,2,IF(LEN(INDEX($BE$4:$BJ$99,MATCH(BV143,$BE$4:$BE$99,0),3))&gt;10,LEN(INDEX($BE$4:$BJ$99,MATCH(BV143,$BE$4:$BE$99,0),3))-8,1)),1)*IF(LEFT(BV143,4)="pool",IF(INDEX($BE$4:$BJ$99,MATCH(BV143,$BE$4:$BE$99,0),6)&lt;1,1,INDEX($BE$4:$BJ$99,MATCH(BV143,$BE$4:$BE$99,0),6)),INDEX(Calculation_Tab,MATCH(BV143,Identifier,0),10)),1)*(1+Calculation!$Q$6),"-")</f>
        <v>-</v>
      </c>
      <c r="CD143" s="509" t="str">
        <f ca="1">IFERROR(INDEX(Cluster!AC:AD,MATCH(IF(LEFT(BV143,4)="Pool",INDEX(Cluster!$D$29:$AA$412,MATCH(INDEX(Calculation_Tab,MATCH(INDEX($BE$4:$BJ$99,MATCH(BV143,$BE$4:$BE$99,0),3),Flow_Cell_Lane,0),3),Cluster!$F$29:$F$412,0),24),INDEX(Cluster!$D$29:$AA$412,MATCH(BV143,Cluster!$F$29:$F$412,0),24)),Cluster!AC:AC,0),2),"-")</f>
        <v>-</v>
      </c>
      <c r="CE143" s="378" t="str">
        <f ca="1">IFERROR(IF(BV143&lt;&gt;"-",Calculation!$AK$6,"-"),"-")</f>
        <v>-</v>
      </c>
      <c r="CF143" s="378" t="str">
        <f ca="1">IF(OR(LEFT(ListAndConversion!BW143,3)="Dil",LEFT(ListAndConversion!BW143,3)="Poo"),ListAndConversion!$BT$4,IF(LEFT(ListAndConversion!BW143,3)="Sou",INDEX(ListAndConversion!$AT$3:$AV$387,MATCH(ListAndConversion!BV143,ListAndConversion!$AV$3:$AV$387,0),1),"-"))</f>
        <v>-</v>
      </c>
      <c r="CG143" s="498" t="str">
        <f ca="1">IF(OR(LEFT(ListAndConversion!BW143,3)="Dil",LEFT(ListAndConversion!BW143,3)="Poo"),ListAndConversion!BU143,IF(LEFT(ListAndConversion!BW143,3)="Sou",INDEX(ListAndConversion!$AT$4:$AV$387,MATCH(ListAndConversion!BV143,ListAndConversion!$AV$4:$AV$387,0),2),"-"))</f>
        <v>-</v>
      </c>
      <c r="CH143" s="378"/>
      <c r="CI143" s="487" t="str">
        <f t="shared" ca="1" si="93"/>
        <v>-</v>
      </c>
      <c r="CJ143" s="378" t="str">
        <f t="shared" ca="1" si="96"/>
        <v>-</v>
      </c>
      <c r="CK143" s="378" t="str">
        <f t="shared" ca="1" si="96"/>
        <v>-</v>
      </c>
      <c r="CL143" s="378" t="str">
        <f t="shared" ca="1" si="96"/>
        <v>-</v>
      </c>
      <c r="CM143" s="378" t="str">
        <f t="shared" ca="1" si="96"/>
        <v>-</v>
      </c>
      <c r="CN143" s="378" t="str">
        <f t="shared" ca="1" si="96"/>
        <v>-</v>
      </c>
      <c r="CO143" s="378" t="str">
        <f t="shared" ca="1" si="96"/>
        <v>-</v>
      </c>
      <c r="CP143" s="378" t="str">
        <f t="shared" ca="1" si="96"/>
        <v>-</v>
      </c>
      <c r="CQ143" s="378" t="str">
        <f t="shared" ca="1" si="96"/>
        <v>-</v>
      </c>
      <c r="CR143" s="510" t="str">
        <f ca="1">IFERROR(IF(LEFT(BW143,3)="Poo",INDEX($BE$4:$BJ$99,MATCH(CI143,$BG$4:$BG$99,0),6)*((15/50))*Calculation!$AK$6,INDEX(Calculation_Tab,MATCH(BV143,Identifier,0),10)/(IF(LEN(INDEX(Calculation_Tab,MATCH(BV143,Identifier,0),9))&gt;8,LEN(INDEX(Calculation_Tab,MATCH(BV143,Identifier,0),9))-8,1))*((15/50)*Calculation!$AK$6)),"-")</f>
        <v>-</v>
      </c>
      <c r="CS143" s="498" t="str">
        <f ca="1">IF(CI143="-","-",IF(COUNTIF($CI$3:CI143,CI143)&gt;1,0,IFERROR((35/50)*Calculation!$AK$6,"-")))</f>
        <v>-</v>
      </c>
    </row>
    <row r="144" spans="4:97" x14ac:dyDescent="0.5">
      <c r="D144" s="487" t="e">
        <f t="shared" si="79"/>
        <v>#DIV/0!</v>
      </c>
      <c r="E144" s="496" t="e">
        <f t="array" ref="E144">IF(IF((ROW(E144)-3)&lt;(ListAndConversion!$A$15),INDEX(Flow_Cell_Lane,MIN(IF(COUNTIF($E$2:E143,Flow_Cell_Lane)=0,ROW(Flow_Cell_Lane)-9))),"-")="","-",IF((ROW(E144)-3)&lt;(ListAndConversion!$A$15),INDEX(Flow_Cell_Lane,MIN(IF(COUNTIF($E$2:E143,Flow_Cell_Lane)=0,ROW(Flow_Cell_Lane)-9))),"-"))</f>
        <v>#DIV/0!</v>
      </c>
      <c r="F144" s="378" t="e">
        <f t="shared" si="80"/>
        <v>#DIV/0!</v>
      </c>
      <c r="G144" s="378" t="e">
        <f t="shared" si="97"/>
        <v>#DIV/0!</v>
      </c>
      <c r="H144" s="378" t="e">
        <f t="shared" si="97"/>
        <v>#DIV/0!</v>
      </c>
      <c r="I144" s="378" t="e">
        <f t="shared" si="97"/>
        <v>#DIV/0!</v>
      </c>
      <c r="J144" s="378" t="e">
        <f t="shared" si="97"/>
        <v>#DIV/0!</v>
      </c>
      <c r="K144" s="378" t="e">
        <f t="shared" si="97"/>
        <v>#DIV/0!</v>
      </c>
      <c r="L144" s="378" t="e">
        <f t="shared" si="97"/>
        <v>#DIV/0!</v>
      </c>
      <c r="M144" s="378" t="e">
        <f t="shared" si="97"/>
        <v>#DIV/0!</v>
      </c>
      <c r="N144" s="497" t="e">
        <f t="shared" si="81"/>
        <v>#DIV/0!</v>
      </c>
      <c r="O144" s="497" t="str">
        <f t="array" ref="O144">IFERROR(INDEX(Calculation!I:AN,MATCH(ListAndConversion!E144,Calculation!I:I,0),31),"-")</f>
        <v>-</v>
      </c>
      <c r="P144" s="498">
        <f>IF(COUNTIFS(Calculation!$I$10:$I$393,E144,Direct_Denaturation,"-")&lt;&gt;1,COUNTIFS(Calculation!$I$10:$I$393,E144,Direct_Denaturation,"-"),0)</f>
        <v>0</v>
      </c>
      <c r="V144" s="542" t="s">
        <v>82</v>
      </c>
      <c r="W144" s="542" t="s">
        <v>82</v>
      </c>
      <c r="X144" s="542" t="s">
        <v>82</v>
      </c>
      <c r="Y144" s="542" t="s">
        <v>82</v>
      </c>
      <c r="Z144" s="542" t="s">
        <v>82</v>
      </c>
      <c r="AA144" s="542" t="s">
        <v>82</v>
      </c>
      <c r="AB144" s="542" t="s">
        <v>82</v>
      </c>
      <c r="AC144" s="542" t="s">
        <v>82</v>
      </c>
      <c r="AD144" s="542" t="s">
        <v>82</v>
      </c>
      <c r="AE144" s="542" t="s">
        <v>82</v>
      </c>
      <c r="AF144" s="542" t="s">
        <v>82</v>
      </c>
      <c r="AG144" s="542" t="s">
        <v>82</v>
      </c>
      <c r="AH144" s="9"/>
      <c r="AI144" s="487">
        <v>141</v>
      </c>
      <c r="AJ144" s="497" t="s">
        <v>161</v>
      </c>
      <c r="AK144" s="378">
        <v>45</v>
      </c>
      <c r="AL144" s="378" t="str">
        <f t="shared" ca="1" si="82"/>
        <v>-</v>
      </c>
      <c r="AM144" s="378" t="str">
        <f t="array" aca="1" ref="AM144" ca="1">IFERROR(IF(AI144&lt;=$AB$2,"-",INDEX(Calculation_Tab,SMALL(ROW(Main_Dil)*(Main_Dil&lt;&gt;"-"),COUNTIF(Main_Dil,"-")+ROW()-3-$AB$2)-9,5)),"-")</f>
        <v>-</v>
      </c>
      <c r="AN144" s="378" t="str">
        <f t="array" aca="1" ref="AN144" ca="1">IFERROR(IF(AI144&lt;=$AB$2,"-",INDEX($A$3:$B$12,MATCH(INDEX(Calculation_Tab,SMALL(ROW(Main_Dil)*(Main_Dil&lt;&gt;"-"),COUNTIF(Main_Dil,"-")+ROW()-3-$AB$2)-9,5),$A$3:$A$12,0),2)),"-")</f>
        <v>-</v>
      </c>
      <c r="AO144" s="378" t="str">
        <f t="array" aca="1" ref="AO144" ca="1">IFERROR(IF(AI144&lt;=$AB$2,"-",INDEX(Coordinate,MATCH(INDEX(Calculation_Tab,SMALL(ROW(Main_Dil)*(Main_Dil&lt;&gt;"-"),COUNTIF(Main_Dil,"-")+ROW()-3-$AB$2)-9,6),$X$4:$X$99,0),2)),"-")</f>
        <v>-</v>
      </c>
      <c r="AP144" s="510" t="str">
        <f t="array" aca="1" ref="AP144" ca="1">IFERROR(IF(AI144&lt;=$AB$2,"-",INDEX(Calculation_Tab,SMALL(ROW(Main_Dil)*(Main_Dil&lt;&gt;"-"),COUNTIF(Main_Dil,"-")+ROW()-3-$AB$2)-9,21)),"-")</f>
        <v>-</v>
      </c>
      <c r="AQ144" s="511" t="str">
        <f t="array" aca="1" ref="AQ144" ca="1">IFERROR(IF(AI144&lt;=$AB$2,"-",INDEX(Calculation_Tab,SMALL(ROW(Main_Dil)*(Main_Dil&lt;&gt;"-"),COUNTIF(Main_Dil,"-")+ROW()-3-$AB$2)-9,22)),"-")</f>
        <v>-</v>
      </c>
      <c r="AR144" s="487" t="str">
        <f t="shared" ca="1" si="83"/>
        <v>-</v>
      </c>
      <c r="AS144" s="378">
        <v>141</v>
      </c>
      <c r="AT144" s="497" t="s">
        <v>161</v>
      </c>
      <c r="AU144" s="498">
        <v>45</v>
      </c>
      <c r="AV144" s="378" t="str">
        <f t="shared" ca="1" si="84"/>
        <v>-</v>
      </c>
      <c r="AW144" s="378" t="str">
        <f t="array" aca="1" ref="AW144" ca="1">IFERROR(IF(AS144&lt;=$AB$2+$AN$2,"-",INDEX(Calculation_Tab,SMALL(ROW(Direct_Denaturation)*(Direct_Denaturation&lt;&gt;"-"),COUNTIF(Direct_Denaturation,"-")+ROW()-3-$AB$2-$AN$2)-9,5)),"-")</f>
        <v>-</v>
      </c>
      <c r="AX144" s="378" t="str">
        <f t="array" aca="1" ref="AX144" ca="1">IFERROR(IF(AS144&lt;=$AB$2+$AN$2,"-",INDEX($A$3:$B$12,MATCH(INDEX(Calculation_Tab,SMALL(ROW(Direct_Denaturation)*(Direct_Denaturation&lt;&gt;"-"),COUNTIF(Direct_Denaturation,"-")+ROW()-3-$AB$2-$AN$2)-9,5),$A$3:$A$12,0),2)),"-")</f>
        <v>-</v>
      </c>
      <c r="AY144" s="378" t="str">
        <f t="array" aca="1" ref="AY144" ca="1">IFERROR(IF(AS144&lt;=$AB$2+$AN$2,"-",INDEX(Coordinate,MATCH(INDEX(Calculation_Tab,SMALL(ROW(Direct_Denaturation)*(Direct_Denaturation&lt;&gt;"-"),COUNTIF(Direct_Denaturation,"-")+ROW()-3-$AB$2-$AN$2)-9,6),$X$4:$X$99,0),2)),"-")</f>
        <v>-</v>
      </c>
      <c r="AZ144" s="510" t="str">
        <f t="array" aca="1" ref="AZ144" ca="1">IFERROR(IF(AS144&lt;=$AB$2+$AN$2,"-",INDEX(Calculation_Tab,SMALL(ROW(Direct_Denaturation)*(Direct_Denaturation&lt;&gt;"-"),COUNTIF(Direct_Denaturation,"-")+ROW()-3-$AB$2-$AN$2)-9,32)),"-")</f>
        <v>-</v>
      </c>
      <c r="BA144" s="510" t="str">
        <f t="array" aca="1" ref="BA144" ca="1">IFERROR(IF(AS144&lt;=$AB$2+$AN$2,"-",INDEX(Calculation_Tab,SMALL(ROW(Direct_Denaturation)*(Direct_Denaturation&lt;&gt;"-"),COUNTIF(Direct_Denaturation,"-")+ROW()-3-$AB$2-$AN$2)-9,34)),"-")</f>
        <v>-</v>
      </c>
      <c r="BB144" s="510" t="str">
        <f t="array" aca="1" ref="BB144" ca="1">IFERROR(IF(AS144&lt;=$AB$2+$AN$2,"-",INDEX(Calculation_Tab,SMALL(ROW(Direct_Denaturation)*(Direct_Denaturation&lt;&gt;"-"),COUNTIF(Direct_Denaturation,"-")+ROW()-3-$AB$2-$AN$2)-9,33)),"-")</f>
        <v>-</v>
      </c>
      <c r="BC144" s="510" t="str">
        <f t="array" aca="1" ref="BC144" ca="1">IFERROR(IF(AS144&lt;=$AB$2+$AN$2,"-",INDEX(Calculation_Tab,SMALL(ROW(Direct_Denaturation)*(Direct_Denaturation&lt;&gt;"-"),COUNTIF(Direct_Denaturation,"-")+ROW()-3-$AB$2-$AN$2)-9,35)),"-")</f>
        <v>-</v>
      </c>
      <c r="BD144" s="511" t="str">
        <f t="shared" ca="1" si="85"/>
        <v>-</v>
      </c>
      <c r="BK144" s="542" t="s">
        <v>82</v>
      </c>
      <c r="BL144" s="542" t="s">
        <v>82</v>
      </c>
      <c r="BM144" s="487" t="str">
        <f t="array" aca="1" ref="BM144" ca="1">IFERROR(INDEX(Calculation_Tab,SMALL(ROW(ToPool)*(ToPool&lt;&gt;"-"),COUNTIF(ToPool,"-")+ROW()-3)-9,3),"-")</f>
        <v>-</v>
      </c>
      <c r="BN144" s="378" t="str">
        <f t="shared" ca="1" si="86"/>
        <v>-</v>
      </c>
      <c r="BO144" s="378" t="str">
        <f t="shared" ca="1" si="87"/>
        <v>-</v>
      </c>
      <c r="BP144" s="523" t="str">
        <f t="shared" ca="1" si="88"/>
        <v>-</v>
      </c>
      <c r="BQ144" s="378" t="str">
        <f t="array" aca="1" ref="BQ144" ca="1">IFERROR(INDEX(BE:BG,MATCH(INDEX(Calculation_Tab,SMALL(ROW(ToPool)*(ToPool&lt;&gt;"-"),COUNTIF(ToPool,"-")+ROW()-3)-9,9),BG:BG,0),2),"-")</f>
        <v>-</v>
      </c>
      <c r="BR144" s="510" t="str">
        <f t="shared" ca="1" si="89"/>
        <v>-</v>
      </c>
      <c r="BS144" s="511" t="str">
        <f t="shared" ca="1" si="90"/>
        <v>-</v>
      </c>
      <c r="BT144" s="543" t="s">
        <v>82</v>
      </c>
      <c r="BU144" s="487" t="str">
        <f t="shared" ca="1" si="95"/>
        <v>-</v>
      </c>
      <c r="BV144" s="487" t="str">
        <f t="array" aca="1" ref="BV14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44" s="378" t="str">
        <f t="shared" ca="1" si="91"/>
        <v>-</v>
      </c>
      <c r="BX144" s="378" t="str">
        <f t="shared" ca="1" si="92"/>
        <v>-</v>
      </c>
      <c r="BY144" s="510" t="str">
        <f ca="1">IFERROR(ROUND(INDEX(Cluster,MATCH(IF(LEFT(BV144,4)="Pool",INDEX(Cluster,MATCH(INDEX(Calculation_Tab,MATCH(INDEX($BE$4:$BJ$99,MATCH(BV144,$BE$4:$BE$99,0),3),Flow_Cell_Lane,0),3),Cluster!$F$29:$F$412,0),6),BV144),Identifier_Cluster,0),19)*IF(LEFT(BV144,4)="pool",IF(LEN(INDEX($BE$4:$BJ$99,MATCH(BV144,$BE$4:$BE$99,0),3))=10,2,IF(LEN(INDEX($BE$4:$BJ$99,MATCH(BV144,$BE$4:$BE$99,0),3))&gt;10,LEN(INDEX($BE$4:$BJ$99,MATCH(BV144,$BE$4:$BE$99,0),3))-8,1)),1)*IF(LEFT(BV144,4)="pool",IF(INDEX($BE$4:$BJ$99,MATCH(BV144,$BE$4:$BE$99,0),6)&lt;1,1,INDEX($BE$4:$BJ$99,MATCH(BV144,$BE$4:$BE$99,0),6)),INDEX(Calculation_Tab,MATCH(BV144,Identifier,0),10)),1)*(1+Calculation!$Q$6),"-")</f>
        <v>-</v>
      </c>
      <c r="BZ144" s="378" t="str">
        <f ca="1">IFERROR((0.5/50)*CE144/Calculation!$AG$6*(IF(LEFT(BV144,4)="Pool",IF(LEN(INDEX($BE$4:$BJ$99,MATCH(BV144,$BE$4:$BE$99,0),3))=10,2,IF(LEN(INDEX($BE$4:$BJ$99,MATCH(BV144,$BE$4:$BE$99,0),3))&gt;10,LEN(INDEX($BE$4:$BJ$99,MATCH(BV144,$BE$4:$BE$99,0),3))-8,1)),IF(INDEX(Calculation_Tab,MATCH(BV144,Identifier,0),10)&gt;1,INDEX(Calculation_Tab,MATCH(BV144,Identifier,0),10),1)))*(1+Calculation!$Q$6),"-")</f>
        <v>-</v>
      </c>
      <c r="CA144" s="510" t="str">
        <f ca="1">IFERROR(IF((BZ144*Calculation!$AG$6/0.05)-SUM(BY144:BZ144,CC144)&gt;0,(BZ144*Calculation!$AG$6/0.05)-SUM(BY144:BZ144,CC144),0),"-")</f>
        <v>-</v>
      </c>
      <c r="CB144" s="510" t="str">
        <f ca="1">IFERROR(5/50*CE144*(IF(LEFT(BV144,4)="Pool",IF(LEN(INDEX($BE$4:$BJ$99,MATCH(BV144,$BE$4:$BE$99,0),3))=10,2,IF(LEN(INDEX($BE$4:$BJ$99,MATCH(BV144,$BE$4:$BE$99,0),3))&gt;10,LEN(INDEX($BE$4:$BJ$99,MATCH(BV144,$BE$4:$BE$99,0),3))-8,1)),IF(INDEX(Calculation_Tab,MATCH(BV144,Identifier,0),10)&gt;1,INDEX(Calculation_Tab,MATCH(BV144,Identifier,0),10),1)))*(1+Calculation!$Q$6),"-")</f>
        <v>-</v>
      </c>
      <c r="CC144" s="508" t="str">
        <f ca="1">IFERROR(ROUND(INDEX(Cluster,MATCH(IF(LEFT(BV144,4)="Pool",INDEX(Cluster,MATCH(INDEX(Calculation_Tab,MATCH(INDEX($BE$4:$BJ$99,MATCH(BV144,$BE$4:$BE$99,0),3),Flow_Cell_Lane,0),3),Cluster!$F$29:$F$412,0),6),BV144),Identifier_Cluster,0),20)*IF(LEFT(BV144,4)="pool",IF(LEN(INDEX($BE$4:$BJ$99,MATCH(BV144,$BE$4:$BE$99,0),3))=10,2,IF(LEN(INDEX($BE$4:$BJ$99,MATCH(BV144,$BE$4:$BE$99,0),3))&gt;10,LEN(INDEX($BE$4:$BJ$99,MATCH(BV144,$BE$4:$BE$99,0),3))-8,1)),1)*IF(LEFT(BV144,4)="pool",IF(INDEX($BE$4:$BJ$99,MATCH(BV144,$BE$4:$BE$99,0),6)&lt;1,1,INDEX($BE$4:$BJ$99,MATCH(BV144,$BE$4:$BE$99,0),6)),INDEX(Calculation_Tab,MATCH(BV144,Identifier,0),10)),1)*(1+Calculation!$Q$6),"-")</f>
        <v>-</v>
      </c>
      <c r="CD144" s="509" t="str">
        <f ca="1">IFERROR(INDEX(Cluster!AC:AD,MATCH(IF(LEFT(BV144,4)="Pool",INDEX(Cluster!$D$29:$AA$412,MATCH(INDEX(Calculation_Tab,MATCH(INDEX($BE$4:$BJ$99,MATCH(BV144,$BE$4:$BE$99,0),3),Flow_Cell_Lane,0),3),Cluster!$F$29:$F$412,0),24),INDEX(Cluster!$D$29:$AA$412,MATCH(BV144,Cluster!$F$29:$F$412,0),24)),Cluster!AC:AC,0),2),"-")</f>
        <v>-</v>
      </c>
      <c r="CE144" s="378" t="str">
        <f ca="1">IFERROR(IF(BV144&lt;&gt;"-",Calculation!$AK$6,"-"),"-")</f>
        <v>-</v>
      </c>
      <c r="CF144" s="378" t="str">
        <f ca="1">IF(OR(LEFT(ListAndConversion!BW144,3)="Dil",LEFT(ListAndConversion!BW144,3)="Poo"),ListAndConversion!$BT$4,IF(LEFT(ListAndConversion!BW144,3)="Sou",INDEX(ListAndConversion!$AT$3:$AV$387,MATCH(ListAndConversion!BV144,ListAndConversion!$AV$3:$AV$387,0),1),"-"))</f>
        <v>-</v>
      </c>
      <c r="CG144" s="498" t="str">
        <f ca="1">IF(OR(LEFT(ListAndConversion!BW144,3)="Dil",LEFT(ListAndConversion!BW144,3)="Poo"),ListAndConversion!BU144,IF(LEFT(ListAndConversion!BW144,3)="Sou",INDEX(ListAndConversion!$AT$4:$AV$387,MATCH(ListAndConversion!BV144,ListAndConversion!$AV$4:$AV$387,0),2),"-"))</f>
        <v>-</v>
      </c>
      <c r="CH144" s="378"/>
      <c r="CI144" s="487" t="str">
        <f t="shared" ca="1" si="93"/>
        <v>-</v>
      </c>
      <c r="CJ144" s="378" t="str">
        <f t="shared" ref="CJ144:CQ153" ca="1" si="98">IFERROR(INDEX($R$3:$U$98,MATCH(INDEX($F$3:$M$387,MATCH($CI144,$E$3:$E$386,0),CJ$3),$S$3:$S$98,0),4),"-")</f>
        <v>-</v>
      </c>
      <c r="CK144" s="378" t="str">
        <f t="shared" ca="1" si="98"/>
        <v>-</v>
      </c>
      <c r="CL144" s="378" t="str">
        <f t="shared" ca="1" si="98"/>
        <v>-</v>
      </c>
      <c r="CM144" s="378" t="str">
        <f t="shared" ca="1" si="98"/>
        <v>-</v>
      </c>
      <c r="CN144" s="378" t="str">
        <f t="shared" ca="1" si="98"/>
        <v>-</v>
      </c>
      <c r="CO144" s="378" t="str">
        <f t="shared" ca="1" si="98"/>
        <v>-</v>
      </c>
      <c r="CP144" s="378" t="str">
        <f t="shared" ca="1" si="98"/>
        <v>-</v>
      </c>
      <c r="CQ144" s="378" t="str">
        <f t="shared" ca="1" si="98"/>
        <v>-</v>
      </c>
      <c r="CR144" s="510" t="str">
        <f ca="1">IFERROR(IF(LEFT(BW144,3)="Poo",INDEX($BE$4:$BJ$99,MATCH(CI144,$BG$4:$BG$99,0),6)*((15/50))*Calculation!$AK$6,INDEX(Calculation_Tab,MATCH(BV144,Identifier,0),10)/(IF(LEN(INDEX(Calculation_Tab,MATCH(BV144,Identifier,0),9))&gt;8,LEN(INDEX(Calculation_Tab,MATCH(BV144,Identifier,0),9))-8,1))*((15/50)*Calculation!$AK$6)),"-")</f>
        <v>-</v>
      </c>
      <c r="CS144" s="498" t="str">
        <f ca="1">IF(CI144="-","-",IF(COUNTIF($CI$3:CI144,CI144)&gt;1,0,IFERROR((35/50)*Calculation!$AK$6,"-")))</f>
        <v>-</v>
      </c>
    </row>
    <row r="145" spans="4:97" x14ac:dyDescent="0.5">
      <c r="D145" s="487" t="e">
        <f t="shared" si="79"/>
        <v>#DIV/0!</v>
      </c>
      <c r="E145" s="496" t="e">
        <f t="array" ref="E145">IF(IF((ROW(E145)-3)&lt;(ListAndConversion!$A$15),INDEX(Flow_Cell_Lane,MIN(IF(COUNTIF($E$2:E144,Flow_Cell_Lane)=0,ROW(Flow_Cell_Lane)-9))),"-")="","-",IF((ROW(E145)-3)&lt;(ListAndConversion!$A$15),INDEX(Flow_Cell_Lane,MIN(IF(COUNTIF($E$2:E144,Flow_Cell_Lane)=0,ROW(Flow_Cell_Lane)-9))),"-"))</f>
        <v>#DIV/0!</v>
      </c>
      <c r="F145" s="378" t="e">
        <f t="shared" si="80"/>
        <v>#DIV/0!</v>
      </c>
      <c r="G145" s="378" t="e">
        <f t="shared" si="97"/>
        <v>#DIV/0!</v>
      </c>
      <c r="H145" s="378" t="e">
        <f t="shared" si="97"/>
        <v>#DIV/0!</v>
      </c>
      <c r="I145" s="378" t="e">
        <f t="shared" si="97"/>
        <v>#DIV/0!</v>
      </c>
      <c r="J145" s="378" t="e">
        <f t="shared" si="97"/>
        <v>#DIV/0!</v>
      </c>
      <c r="K145" s="378" t="e">
        <f t="shared" si="97"/>
        <v>#DIV/0!</v>
      </c>
      <c r="L145" s="378" t="e">
        <f t="shared" si="97"/>
        <v>#DIV/0!</v>
      </c>
      <c r="M145" s="378" t="e">
        <f t="shared" si="97"/>
        <v>#DIV/0!</v>
      </c>
      <c r="N145" s="497" t="e">
        <f t="shared" si="81"/>
        <v>#DIV/0!</v>
      </c>
      <c r="O145" s="497" t="str">
        <f t="array" ref="O145">IFERROR(INDEX(Calculation!I:AN,MATCH(ListAndConversion!E145,Calculation!I:I,0),31),"-")</f>
        <v>-</v>
      </c>
      <c r="P145" s="498">
        <f>IF(COUNTIFS(Calculation!$I$10:$I$393,E145,Direct_Denaturation,"-")&lt;&gt;1,COUNTIFS(Calculation!$I$10:$I$393,E145,Direct_Denaturation,"-"),0)</f>
        <v>0</v>
      </c>
      <c r="V145" s="542" t="s">
        <v>82</v>
      </c>
      <c r="W145" s="542" t="s">
        <v>82</v>
      </c>
      <c r="X145" s="542" t="s">
        <v>82</v>
      </c>
      <c r="Y145" s="542" t="s">
        <v>82</v>
      </c>
      <c r="Z145" s="542" t="s">
        <v>82</v>
      </c>
      <c r="AA145" s="542" t="s">
        <v>82</v>
      </c>
      <c r="AB145" s="542" t="s">
        <v>82</v>
      </c>
      <c r="AC145" s="542" t="s">
        <v>82</v>
      </c>
      <c r="AD145" s="542" t="s">
        <v>82</v>
      </c>
      <c r="AE145" s="542" t="s">
        <v>82</v>
      </c>
      <c r="AF145" s="542" t="s">
        <v>82</v>
      </c>
      <c r="AG145" s="542" t="s">
        <v>82</v>
      </c>
      <c r="AH145" s="9"/>
      <c r="AI145" s="487">
        <v>142</v>
      </c>
      <c r="AJ145" s="497" t="s">
        <v>161</v>
      </c>
      <c r="AK145" s="378">
        <v>46</v>
      </c>
      <c r="AL145" s="378" t="str">
        <f t="shared" ca="1" si="82"/>
        <v>-</v>
      </c>
      <c r="AM145" s="378" t="str">
        <f t="array" aca="1" ref="AM145" ca="1">IFERROR(IF(AI145&lt;=$AB$2,"-",INDEX(Calculation_Tab,SMALL(ROW(Main_Dil)*(Main_Dil&lt;&gt;"-"),COUNTIF(Main_Dil,"-")+ROW()-3-$AB$2)-9,5)),"-")</f>
        <v>-</v>
      </c>
      <c r="AN145" s="378" t="str">
        <f t="array" aca="1" ref="AN145" ca="1">IFERROR(IF(AI145&lt;=$AB$2,"-",INDEX($A$3:$B$12,MATCH(INDEX(Calculation_Tab,SMALL(ROW(Main_Dil)*(Main_Dil&lt;&gt;"-"),COUNTIF(Main_Dil,"-")+ROW()-3-$AB$2)-9,5),$A$3:$A$12,0),2)),"-")</f>
        <v>-</v>
      </c>
      <c r="AO145" s="378" t="str">
        <f t="array" aca="1" ref="AO145" ca="1">IFERROR(IF(AI145&lt;=$AB$2,"-",INDEX(Coordinate,MATCH(INDEX(Calculation_Tab,SMALL(ROW(Main_Dil)*(Main_Dil&lt;&gt;"-"),COUNTIF(Main_Dil,"-")+ROW()-3-$AB$2)-9,6),$X$4:$X$99,0),2)),"-")</f>
        <v>-</v>
      </c>
      <c r="AP145" s="510" t="str">
        <f t="array" aca="1" ref="AP145" ca="1">IFERROR(IF(AI145&lt;=$AB$2,"-",INDEX(Calculation_Tab,SMALL(ROW(Main_Dil)*(Main_Dil&lt;&gt;"-"),COUNTIF(Main_Dil,"-")+ROW()-3-$AB$2)-9,21)),"-")</f>
        <v>-</v>
      </c>
      <c r="AQ145" s="511" t="str">
        <f t="array" aca="1" ref="AQ145" ca="1">IFERROR(IF(AI145&lt;=$AB$2,"-",INDEX(Calculation_Tab,SMALL(ROW(Main_Dil)*(Main_Dil&lt;&gt;"-"),COUNTIF(Main_Dil,"-")+ROW()-3-$AB$2)-9,22)),"-")</f>
        <v>-</v>
      </c>
      <c r="AR145" s="487" t="str">
        <f t="shared" ca="1" si="83"/>
        <v>-</v>
      </c>
      <c r="AS145" s="378">
        <v>142</v>
      </c>
      <c r="AT145" s="497" t="s">
        <v>161</v>
      </c>
      <c r="AU145" s="498">
        <v>46</v>
      </c>
      <c r="AV145" s="378" t="str">
        <f t="shared" ca="1" si="84"/>
        <v>-</v>
      </c>
      <c r="AW145" s="378" t="str">
        <f t="array" aca="1" ref="AW145" ca="1">IFERROR(IF(AS145&lt;=$AB$2+$AN$2,"-",INDEX(Calculation_Tab,SMALL(ROW(Direct_Denaturation)*(Direct_Denaturation&lt;&gt;"-"),COUNTIF(Direct_Denaturation,"-")+ROW()-3-$AB$2-$AN$2)-9,5)),"-")</f>
        <v>-</v>
      </c>
      <c r="AX145" s="378" t="str">
        <f t="array" aca="1" ref="AX145" ca="1">IFERROR(IF(AS145&lt;=$AB$2+$AN$2,"-",INDEX($A$3:$B$12,MATCH(INDEX(Calculation_Tab,SMALL(ROW(Direct_Denaturation)*(Direct_Denaturation&lt;&gt;"-"),COUNTIF(Direct_Denaturation,"-")+ROW()-3-$AB$2-$AN$2)-9,5),$A$3:$A$12,0),2)),"-")</f>
        <v>-</v>
      </c>
      <c r="AY145" s="378" t="str">
        <f t="array" aca="1" ref="AY145" ca="1">IFERROR(IF(AS145&lt;=$AB$2+$AN$2,"-",INDEX(Coordinate,MATCH(INDEX(Calculation_Tab,SMALL(ROW(Direct_Denaturation)*(Direct_Denaturation&lt;&gt;"-"),COUNTIF(Direct_Denaturation,"-")+ROW()-3-$AB$2-$AN$2)-9,6),$X$4:$X$99,0),2)),"-")</f>
        <v>-</v>
      </c>
      <c r="AZ145" s="510" t="str">
        <f t="array" aca="1" ref="AZ145" ca="1">IFERROR(IF(AS145&lt;=$AB$2+$AN$2,"-",INDEX(Calculation_Tab,SMALL(ROW(Direct_Denaturation)*(Direct_Denaturation&lt;&gt;"-"),COUNTIF(Direct_Denaturation,"-")+ROW()-3-$AB$2-$AN$2)-9,32)),"-")</f>
        <v>-</v>
      </c>
      <c r="BA145" s="510" t="str">
        <f t="array" aca="1" ref="BA145" ca="1">IFERROR(IF(AS145&lt;=$AB$2+$AN$2,"-",INDEX(Calculation_Tab,SMALL(ROW(Direct_Denaturation)*(Direct_Denaturation&lt;&gt;"-"),COUNTIF(Direct_Denaturation,"-")+ROW()-3-$AB$2-$AN$2)-9,34)),"-")</f>
        <v>-</v>
      </c>
      <c r="BB145" s="510" t="str">
        <f t="array" aca="1" ref="BB145" ca="1">IFERROR(IF(AS145&lt;=$AB$2+$AN$2,"-",INDEX(Calculation_Tab,SMALL(ROW(Direct_Denaturation)*(Direct_Denaturation&lt;&gt;"-"),COUNTIF(Direct_Denaturation,"-")+ROW()-3-$AB$2-$AN$2)-9,33)),"-")</f>
        <v>-</v>
      </c>
      <c r="BC145" s="510" t="str">
        <f t="array" aca="1" ref="BC145" ca="1">IFERROR(IF(AS145&lt;=$AB$2+$AN$2,"-",INDEX(Calculation_Tab,SMALL(ROW(Direct_Denaturation)*(Direct_Denaturation&lt;&gt;"-"),COUNTIF(Direct_Denaturation,"-")+ROW()-3-$AB$2-$AN$2)-9,35)),"-")</f>
        <v>-</v>
      </c>
      <c r="BD145" s="511" t="str">
        <f t="shared" ca="1" si="85"/>
        <v>-</v>
      </c>
      <c r="BK145" s="542" t="s">
        <v>82</v>
      </c>
      <c r="BL145" s="542" t="s">
        <v>82</v>
      </c>
      <c r="BM145" s="487" t="str">
        <f t="array" aca="1" ref="BM145" ca="1">IFERROR(INDEX(Calculation_Tab,SMALL(ROW(ToPool)*(ToPool&lt;&gt;"-"),COUNTIF(ToPool,"-")+ROW()-3)-9,3),"-")</f>
        <v>-</v>
      </c>
      <c r="BN145" s="378" t="str">
        <f t="shared" ca="1" si="86"/>
        <v>-</v>
      </c>
      <c r="BO145" s="378" t="str">
        <f t="shared" ca="1" si="87"/>
        <v>-</v>
      </c>
      <c r="BP145" s="523" t="str">
        <f t="shared" ca="1" si="88"/>
        <v>-</v>
      </c>
      <c r="BQ145" s="378" t="str">
        <f t="array" aca="1" ref="BQ145" ca="1">IFERROR(INDEX(BE:BG,MATCH(INDEX(Calculation_Tab,SMALL(ROW(ToPool)*(ToPool&lt;&gt;"-"),COUNTIF(ToPool,"-")+ROW()-3)-9,9),BG:BG,0),2),"-")</f>
        <v>-</v>
      </c>
      <c r="BR145" s="510" t="str">
        <f t="shared" ca="1" si="89"/>
        <v>-</v>
      </c>
      <c r="BS145" s="511" t="str">
        <f t="shared" ca="1" si="90"/>
        <v>-</v>
      </c>
      <c r="BT145" s="543" t="s">
        <v>82</v>
      </c>
      <c r="BU145" s="487" t="str">
        <f t="shared" ca="1" si="95"/>
        <v>-</v>
      </c>
      <c r="BV145" s="487" t="str">
        <f t="array" aca="1" ref="BV14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45" s="378" t="str">
        <f t="shared" ca="1" si="91"/>
        <v>-</v>
      </c>
      <c r="BX145" s="378" t="str">
        <f t="shared" ca="1" si="92"/>
        <v>-</v>
      </c>
      <c r="BY145" s="510" t="str">
        <f ca="1">IFERROR(ROUND(INDEX(Cluster,MATCH(IF(LEFT(BV145,4)="Pool",INDEX(Cluster,MATCH(INDEX(Calculation_Tab,MATCH(INDEX($BE$4:$BJ$99,MATCH(BV145,$BE$4:$BE$99,0),3),Flow_Cell_Lane,0),3),Cluster!$F$29:$F$412,0),6),BV145),Identifier_Cluster,0),19)*IF(LEFT(BV145,4)="pool",IF(LEN(INDEX($BE$4:$BJ$99,MATCH(BV145,$BE$4:$BE$99,0),3))=10,2,IF(LEN(INDEX($BE$4:$BJ$99,MATCH(BV145,$BE$4:$BE$99,0),3))&gt;10,LEN(INDEX($BE$4:$BJ$99,MATCH(BV145,$BE$4:$BE$99,0),3))-8,1)),1)*IF(LEFT(BV145,4)="pool",IF(INDEX($BE$4:$BJ$99,MATCH(BV145,$BE$4:$BE$99,0),6)&lt;1,1,INDEX($BE$4:$BJ$99,MATCH(BV145,$BE$4:$BE$99,0),6)),INDEX(Calculation_Tab,MATCH(BV145,Identifier,0),10)),1)*(1+Calculation!$Q$6),"-")</f>
        <v>-</v>
      </c>
      <c r="BZ145" s="378" t="str">
        <f ca="1">IFERROR((0.5/50)*CE145/Calculation!$AG$6*(IF(LEFT(BV145,4)="Pool",IF(LEN(INDEX($BE$4:$BJ$99,MATCH(BV145,$BE$4:$BE$99,0),3))=10,2,IF(LEN(INDEX($BE$4:$BJ$99,MATCH(BV145,$BE$4:$BE$99,0),3))&gt;10,LEN(INDEX($BE$4:$BJ$99,MATCH(BV145,$BE$4:$BE$99,0),3))-8,1)),IF(INDEX(Calculation_Tab,MATCH(BV145,Identifier,0),10)&gt;1,INDEX(Calculation_Tab,MATCH(BV145,Identifier,0),10),1)))*(1+Calculation!$Q$6),"-")</f>
        <v>-</v>
      </c>
      <c r="CA145" s="510" t="str">
        <f ca="1">IFERROR(IF((BZ145*Calculation!$AG$6/0.05)-SUM(BY145:BZ145,CC145)&gt;0,(BZ145*Calculation!$AG$6/0.05)-SUM(BY145:BZ145,CC145),0),"-")</f>
        <v>-</v>
      </c>
      <c r="CB145" s="510" t="str">
        <f ca="1">IFERROR(5/50*CE145*(IF(LEFT(BV145,4)="Pool",IF(LEN(INDEX($BE$4:$BJ$99,MATCH(BV145,$BE$4:$BE$99,0),3))=10,2,IF(LEN(INDEX($BE$4:$BJ$99,MATCH(BV145,$BE$4:$BE$99,0),3))&gt;10,LEN(INDEX($BE$4:$BJ$99,MATCH(BV145,$BE$4:$BE$99,0),3))-8,1)),IF(INDEX(Calculation_Tab,MATCH(BV145,Identifier,0),10)&gt;1,INDEX(Calculation_Tab,MATCH(BV145,Identifier,0),10),1)))*(1+Calculation!$Q$6),"-")</f>
        <v>-</v>
      </c>
      <c r="CC145" s="508" t="str">
        <f ca="1">IFERROR(ROUND(INDEX(Cluster,MATCH(IF(LEFT(BV145,4)="Pool",INDEX(Cluster,MATCH(INDEX(Calculation_Tab,MATCH(INDEX($BE$4:$BJ$99,MATCH(BV145,$BE$4:$BE$99,0),3),Flow_Cell_Lane,0),3),Cluster!$F$29:$F$412,0),6),BV145),Identifier_Cluster,0),20)*IF(LEFT(BV145,4)="pool",IF(LEN(INDEX($BE$4:$BJ$99,MATCH(BV145,$BE$4:$BE$99,0),3))=10,2,IF(LEN(INDEX($BE$4:$BJ$99,MATCH(BV145,$BE$4:$BE$99,0),3))&gt;10,LEN(INDEX($BE$4:$BJ$99,MATCH(BV145,$BE$4:$BE$99,0),3))-8,1)),1)*IF(LEFT(BV145,4)="pool",IF(INDEX($BE$4:$BJ$99,MATCH(BV145,$BE$4:$BE$99,0),6)&lt;1,1,INDEX($BE$4:$BJ$99,MATCH(BV145,$BE$4:$BE$99,0),6)),INDEX(Calculation_Tab,MATCH(BV145,Identifier,0),10)),1)*(1+Calculation!$Q$6),"-")</f>
        <v>-</v>
      </c>
      <c r="CD145" s="509" t="str">
        <f ca="1">IFERROR(INDEX(Cluster!AC:AD,MATCH(IF(LEFT(BV145,4)="Pool",INDEX(Cluster!$D$29:$AA$412,MATCH(INDEX(Calculation_Tab,MATCH(INDEX($BE$4:$BJ$99,MATCH(BV145,$BE$4:$BE$99,0),3),Flow_Cell_Lane,0),3),Cluster!$F$29:$F$412,0),24),INDEX(Cluster!$D$29:$AA$412,MATCH(BV145,Cluster!$F$29:$F$412,0),24)),Cluster!AC:AC,0),2),"-")</f>
        <v>-</v>
      </c>
      <c r="CE145" s="378" t="str">
        <f ca="1">IFERROR(IF(BV145&lt;&gt;"-",Calculation!$AK$6,"-"),"-")</f>
        <v>-</v>
      </c>
      <c r="CF145" s="378" t="str">
        <f ca="1">IF(OR(LEFT(ListAndConversion!BW145,3)="Dil",LEFT(ListAndConversion!BW145,3)="Poo"),ListAndConversion!$BT$4,IF(LEFT(ListAndConversion!BW145,3)="Sou",INDEX(ListAndConversion!$AT$3:$AV$387,MATCH(ListAndConversion!BV145,ListAndConversion!$AV$3:$AV$387,0),1),"-"))</f>
        <v>-</v>
      </c>
      <c r="CG145" s="498" t="str">
        <f ca="1">IF(OR(LEFT(ListAndConversion!BW145,3)="Dil",LEFT(ListAndConversion!BW145,3)="Poo"),ListAndConversion!BU145,IF(LEFT(ListAndConversion!BW145,3)="Sou",INDEX(ListAndConversion!$AT$4:$AV$387,MATCH(ListAndConversion!BV145,ListAndConversion!$AV$4:$AV$387,0),2),"-"))</f>
        <v>-</v>
      </c>
      <c r="CH145" s="378"/>
      <c r="CI145" s="487" t="str">
        <f t="shared" ca="1" si="93"/>
        <v>-</v>
      </c>
      <c r="CJ145" s="378" t="str">
        <f t="shared" ca="1" si="98"/>
        <v>-</v>
      </c>
      <c r="CK145" s="378" t="str">
        <f t="shared" ca="1" si="98"/>
        <v>-</v>
      </c>
      <c r="CL145" s="378" t="str">
        <f t="shared" ca="1" si="98"/>
        <v>-</v>
      </c>
      <c r="CM145" s="378" t="str">
        <f t="shared" ca="1" si="98"/>
        <v>-</v>
      </c>
      <c r="CN145" s="378" t="str">
        <f t="shared" ca="1" si="98"/>
        <v>-</v>
      </c>
      <c r="CO145" s="378" t="str">
        <f t="shared" ca="1" si="98"/>
        <v>-</v>
      </c>
      <c r="CP145" s="378" t="str">
        <f t="shared" ca="1" si="98"/>
        <v>-</v>
      </c>
      <c r="CQ145" s="378" t="str">
        <f t="shared" ca="1" si="98"/>
        <v>-</v>
      </c>
      <c r="CR145" s="510" t="str">
        <f ca="1">IFERROR(IF(LEFT(BW145,3)="Poo",INDEX($BE$4:$BJ$99,MATCH(CI145,$BG$4:$BG$99,0),6)*((15/50))*Calculation!$AK$6,INDEX(Calculation_Tab,MATCH(BV145,Identifier,0),10)/(IF(LEN(INDEX(Calculation_Tab,MATCH(BV145,Identifier,0),9))&gt;8,LEN(INDEX(Calculation_Tab,MATCH(BV145,Identifier,0),9))-8,1))*((15/50)*Calculation!$AK$6)),"-")</f>
        <v>-</v>
      </c>
      <c r="CS145" s="498" t="str">
        <f ca="1">IF(CI145="-","-",IF(COUNTIF($CI$3:CI145,CI145)&gt;1,0,IFERROR((35/50)*Calculation!$AK$6,"-")))</f>
        <v>-</v>
      </c>
    </row>
    <row r="146" spans="4:97" x14ac:dyDescent="0.5">
      <c r="D146" s="487" t="e">
        <f t="shared" si="79"/>
        <v>#DIV/0!</v>
      </c>
      <c r="E146" s="496" t="e">
        <f t="array" ref="E146">IF(IF((ROW(E146)-3)&lt;(ListAndConversion!$A$15),INDEX(Flow_Cell_Lane,MIN(IF(COUNTIF($E$2:E145,Flow_Cell_Lane)=0,ROW(Flow_Cell_Lane)-9))),"-")="","-",IF((ROW(E146)-3)&lt;(ListAndConversion!$A$15),INDEX(Flow_Cell_Lane,MIN(IF(COUNTIF($E$2:E145,Flow_Cell_Lane)=0,ROW(Flow_Cell_Lane)-9))),"-"))</f>
        <v>#DIV/0!</v>
      </c>
      <c r="F146" s="378" t="e">
        <f t="shared" si="80"/>
        <v>#DIV/0!</v>
      </c>
      <c r="G146" s="378" t="e">
        <f t="shared" si="97"/>
        <v>#DIV/0!</v>
      </c>
      <c r="H146" s="378" t="e">
        <f t="shared" si="97"/>
        <v>#DIV/0!</v>
      </c>
      <c r="I146" s="378" t="e">
        <f t="shared" si="97"/>
        <v>#DIV/0!</v>
      </c>
      <c r="J146" s="378" t="e">
        <f t="shared" si="97"/>
        <v>#DIV/0!</v>
      </c>
      <c r="K146" s="378" t="e">
        <f t="shared" si="97"/>
        <v>#DIV/0!</v>
      </c>
      <c r="L146" s="378" t="e">
        <f t="shared" si="97"/>
        <v>#DIV/0!</v>
      </c>
      <c r="M146" s="378" t="e">
        <f t="shared" si="97"/>
        <v>#DIV/0!</v>
      </c>
      <c r="N146" s="497" t="e">
        <f t="shared" si="81"/>
        <v>#DIV/0!</v>
      </c>
      <c r="O146" s="497" t="str">
        <f t="array" ref="O146">IFERROR(INDEX(Calculation!I:AN,MATCH(ListAndConversion!E146,Calculation!I:I,0),31),"-")</f>
        <v>-</v>
      </c>
      <c r="P146" s="498">
        <f>IF(COUNTIFS(Calculation!$I$10:$I$393,E146,Direct_Denaturation,"-")&lt;&gt;1,COUNTIFS(Calculation!$I$10:$I$393,E146,Direct_Denaturation,"-"),0)</f>
        <v>0</v>
      </c>
      <c r="V146" s="542" t="s">
        <v>82</v>
      </c>
      <c r="W146" s="542" t="s">
        <v>82</v>
      </c>
      <c r="X146" s="542" t="s">
        <v>82</v>
      </c>
      <c r="Y146" s="542" t="s">
        <v>82</v>
      </c>
      <c r="Z146" s="542" t="s">
        <v>82</v>
      </c>
      <c r="AA146" s="542" t="s">
        <v>82</v>
      </c>
      <c r="AB146" s="542" t="s">
        <v>82</v>
      </c>
      <c r="AC146" s="542" t="s">
        <v>82</v>
      </c>
      <c r="AD146" s="542" t="s">
        <v>82</v>
      </c>
      <c r="AE146" s="542" t="s">
        <v>82</v>
      </c>
      <c r="AF146" s="542" t="s">
        <v>82</v>
      </c>
      <c r="AG146" s="542" t="s">
        <v>82</v>
      </c>
      <c r="AH146" s="9"/>
      <c r="AI146" s="487">
        <v>143</v>
      </c>
      <c r="AJ146" s="497" t="s">
        <v>161</v>
      </c>
      <c r="AK146" s="378">
        <v>47</v>
      </c>
      <c r="AL146" s="378" t="str">
        <f t="shared" ca="1" si="82"/>
        <v>-</v>
      </c>
      <c r="AM146" s="378" t="str">
        <f t="array" aca="1" ref="AM146" ca="1">IFERROR(IF(AI146&lt;=$AB$2,"-",INDEX(Calculation_Tab,SMALL(ROW(Main_Dil)*(Main_Dil&lt;&gt;"-"),COUNTIF(Main_Dil,"-")+ROW()-3-$AB$2)-9,5)),"-")</f>
        <v>-</v>
      </c>
      <c r="AN146" s="378" t="str">
        <f t="array" aca="1" ref="AN146" ca="1">IFERROR(IF(AI146&lt;=$AB$2,"-",INDEX($A$3:$B$12,MATCH(INDEX(Calculation_Tab,SMALL(ROW(Main_Dil)*(Main_Dil&lt;&gt;"-"),COUNTIF(Main_Dil,"-")+ROW()-3-$AB$2)-9,5),$A$3:$A$12,0),2)),"-")</f>
        <v>-</v>
      </c>
      <c r="AO146" s="378" t="str">
        <f t="array" aca="1" ref="AO146" ca="1">IFERROR(IF(AI146&lt;=$AB$2,"-",INDEX(Coordinate,MATCH(INDEX(Calculation_Tab,SMALL(ROW(Main_Dil)*(Main_Dil&lt;&gt;"-"),COUNTIF(Main_Dil,"-")+ROW()-3-$AB$2)-9,6),$X$4:$X$99,0),2)),"-")</f>
        <v>-</v>
      </c>
      <c r="AP146" s="510" t="str">
        <f t="array" aca="1" ref="AP146" ca="1">IFERROR(IF(AI146&lt;=$AB$2,"-",INDEX(Calculation_Tab,SMALL(ROW(Main_Dil)*(Main_Dil&lt;&gt;"-"),COUNTIF(Main_Dil,"-")+ROW()-3-$AB$2)-9,21)),"-")</f>
        <v>-</v>
      </c>
      <c r="AQ146" s="511" t="str">
        <f t="array" aca="1" ref="AQ146" ca="1">IFERROR(IF(AI146&lt;=$AB$2,"-",INDEX(Calculation_Tab,SMALL(ROW(Main_Dil)*(Main_Dil&lt;&gt;"-"),COUNTIF(Main_Dil,"-")+ROW()-3-$AB$2)-9,22)),"-")</f>
        <v>-</v>
      </c>
      <c r="AR146" s="487" t="str">
        <f t="shared" ca="1" si="83"/>
        <v>-</v>
      </c>
      <c r="AS146" s="378">
        <v>143</v>
      </c>
      <c r="AT146" s="497" t="s">
        <v>161</v>
      </c>
      <c r="AU146" s="498">
        <v>47</v>
      </c>
      <c r="AV146" s="378" t="str">
        <f t="shared" ca="1" si="84"/>
        <v>-</v>
      </c>
      <c r="AW146" s="378" t="str">
        <f t="array" aca="1" ref="AW146" ca="1">IFERROR(IF(AS146&lt;=$AB$2+$AN$2,"-",INDEX(Calculation_Tab,SMALL(ROW(Direct_Denaturation)*(Direct_Denaturation&lt;&gt;"-"),COUNTIF(Direct_Denaturation,"-")+ROW()-3-$AB$2-$AN$2)-9,5)),"-")</f>
        <v>-</v>
      </c>
      <c r="AX146" s="378" t="str">
        <f t="array" aca="1" ref="AX146" ca="1">IFERROR(IF(AS146&lt;=$AB$2+$AN$2,"-",INDEX($A$3:$B$12,MATCH(INDEX(Calculation_Tab,SMALL(ROW(Direct_Denaturation)*(Direct_Denaturation&lt;&gt;"-"),COUNTIF(Direct_Denaturation,"-")+ROW()-3-$AB$2-$AN$2)-9,5),$A$3:$A$12,0),2)),"-")</f>
        <v>-</v>
      </c>
      <c r="AY146" s="378" t="str">
        <f t="array" aca="1" ref="AY146" ca="1">IFERROR(IF(AS146&lt;=$AB$2+$AN$2,"-",INDEX(Coordinate,MATCH(INDEX(Calculation_Tab,SMALL(ROW(Direct_Denaturation)*(Direct_Denaturation&lt;&gt;"-"),COUNTIF(Direct_Denaturation,"-")+ROW()-3-$AB$2-$AN$2)-9,6),$X$4:$X$99,0),2)),"-")</f>
        <v>-</v>
      </c>
      <c r="AZ146" s="510" t="str">
        <f t="array" aca="1" ref="AZ146" ca="1">IFERROR(IF(AS146&lt;=$AB$2+$AN$2,"-",INDEX(Calculation_Tab,SMALL(ROW(Direct_Denaturation)*(Direct_Denaturation&lt;&gt;"-"),COUNTIF(Direct_Denaturation,"-")+ROW()-3-$AB$2-$AN$2)-9,32)),"-")</f>
        <v>-</v>
      </c>
      <c r="BA146" s="510" t="str">
        <f t="array" aca="1" ref="BA146" ca="1">IFERROR(IF(AS146&lt;=$AB$2+$AN$2,"-",INDEX(Calculation_Tab,SMALL(ROW(Direct_Denaturation)*(Direct_Denaturation&lt;&gt;"-"),COUNTIF(Direct_Denaturation,"-")+ROW()-3-$AB$2-$AN$2)-9,34)),"-")</f>
        <v>-</v>
      </c>
      <c r="BB146" s="510" t="str">
        <f t="array" aca="1" ref="BB146" ca="1">IFERROR(IF(AS146&lt;=$AB$2+$AN$2,"-",INDEX(Calculation_Tab,SMALL(ROW(Direct_Denaturation)*(Direct_Denaturation&lt;&gt;"-"),COUNTIF(Direct_Denaturation,"-")+ROW()-3-$AB$2-$AN$2)-9,33)),"-")</f>
        <v>-</v>
      </c>
      <c r="BC146" s="510" t="str">
        <f t="array" aca="1" ref="BC146" ca="1">IFERROR(IF(AS146&lt;=$AB$2+$AN$2,"-",INDEX(Calculation_Tab,SMALL(ROW(Direct_Denaturation)*(Direct_Denaturation&lt;&gt;"-"),COUNTIF(Direct_Denaturation,"-")+ROW()-3-$AB$2-$AN$2)-9,35)),"-")</f>
        <v>-</v>
      </c>
      <c r="BD146" s="511" t="str">
        <f t="shared" ca="1" si="85"/>
        <v>-</v>
      </c>
      <c r="BK146" s="542" t="s">
        <v>82</v>
      </c>
      <c r="BL146" s="542" t="s">
        <v>82</v>
      </c>
      <c r="BM146" s="487" t="str">
        <f t="array" aca="1" ref="BM146" ca="1">IFERROR(INDEX(Calculation_Tab,SMALL(ROW(ToPool)*(ToPool&lt;&gt;"-"),COUNTIF(ToPool,"-")+ROW()-3)-9,3),"-")</f>
        <v>-</v>
      </c>
      <c r="BN146" s="378" t="str">
        <f t="shared" ca="1" si="86"/>
        <v>-</v>
      </c>
      <c r="BO146" s="378" t="str">
        <f t="shared" ca="1" si="87"/>
        <v>-</v>
      </c>
      <c r="BP146" s="523" t="str">
        <f t="shared" ca="1" si="88"/>
        <v>-</v>
      </c>
      <c r="BQ146" s="378" t="str">
        <f t="array" aca="1" ref="BQ146" ca="1">IFERROR(INDEX(BE:BG,MATCH(INDEX(Calculation_Tab,SMALL(ROW(ToPool)*(ToPool&lt;&gt;"-"),COUNTIF(ToPool,"-")+ROW()-3)-9,9),BG:BG,0),2),"-")</f>
        <v>-</v>
      </c>
      <c r="BR146" s="510" t="str">
        <f t="shared" ca="1" si="89"/>
        <v>-</v>
      </c>
      <c r="BS146" s="511" t="str">
        <f t="shared" ca="1" si="90"/>
        <v>-</v>
      </c>
      <c r="BT146" s="543" t="s">
        <v>82</v>
      </c>
      <c r="BU146" s="487" t="str">
        <f t="shared" ca="1" si="95"/>
        <v>-</v>
      </c>
      <c r="BV146" s="487" t="str">
        <f t="array" aca="1" ref="BV14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46" s="378" t="str">
        <f t="shared" ca="1" si="91"/>
        <v>-</v>
      </c>
      <c r="BX146" s="378" t="str">
        <f t="shared" ca="1" si="92"/>
        <v>-</v>
      </c>
      <c r="BY146" s="510" t="str">
        <f ca="1">IFERROR(ROUND(INDEX(Cluster,MATCH(IF(LEFT(BV146,4)="Pool",INDEX(Cluster,MATCH(INDEX(Calculation_Tab,MATCH(INDEX($BE$4:$BJ$99,MATCH(BV146,$BE$4:$BE$99,0),3),Flow_Cell_Lane,0),3),Cluster!$F$29:$F$412,0),6),BV146),Identifier_Cluster,0),19)*IF(LEFT(BV146,4)="pool",IF(LEN(INDEX($BE$4:$BJ$99,MATCH(BV146,$BE$4:$BE$99,0),3))=10,2,IF(LEN(INDEX($BE$4:$BJ$99,MATCH(BV146,$BE$4:$BE$99,0),3))&gt;10,LEN(INDEX($BE$4:$BJ$99,MATCH(BV146,$BE$4:$BE$99,0),3))-8,1)),1)*IF(LEFT(BV146,4)="pool",IF(INDEX($BE$4:$BJ$99,MATCH(BV146,$BE$4:$BE$99,0),6)&lt;1,1,INDEX($BE$4:$BJ$99,MATCH(BV146,$BE$4:$BE$99,0),6)),INDEX(Calculation_Tab,MATCH(BV146,Identifier,0),10)),1)*(1+Calculation!$Q$6),"-")</f>
        <v>-</v>
      </c>
      <c r="BZ146" s="378" t="str">
        <f ca="1">IFERROR((0.5/50)*CE146/Calculation!$AG$6*(IF(LEFT(BV146,4)="Pool",IF(LEN(INDEX($BE$4:$BJ$99,MATCH(BV146,$BE$4:$BE$99,0),3))=10,2,IF(LEN(INDEX($BE$4:$BJ$99,MATCH(BV146,$BE$4:$BE$99,0),3))&gt;10,LEN(INDEX($BE$4:$BJ$99,MATCH(BV146,$BE$4:$BE$99,0),3))-8,1)),IF(INDEX(Calculation_Tab,MATCH(BV146,Identifier,0),10)&gt;1,INDEX(Calculation_Tab,MATCH(BV146,Identifier,0),10),1)))*(1+Calculation!$Q$6),"-")</f>
        <v>-</v>
      </c>
      <c r="CA146" s="510" t="str">
        <f ca="1">IFERROR(IF((BZ146*Calculation!$AG$6/0.05)-SUM(BY146:BZ146,CC146)&gt;0,(BZ146*Calculation!$AG$6/0.05)-SUM(BY146:BZ146,CC146),0),"-")</f>
        <v>-</v>
      </c>
      <c r="CB146" s="510" t="str">
        <f ca="1">IFERROR(5/50*CE146*(IF(LEFT(BV146,4)="Pool",IF(LEN(INDEX($BE$4:$BJ$99,MATCH(BV146,$BE$4:$BE$99,0),3))=10,2,IF(LEN(INDEX($BE$4:$BJ$99,MATCH(BV146,$BE$4:$BE$99,0),3))&gt;10,LEN(INDEX($BE$4:$BJ$99,MATCH(BV146,$BE$4:$BE$99,0),3))-8,1)),IF(INDEX(Calculation_Tab,MATCH(BV146,Identifier,0),10)&gt;1,INDEX(Calculation_Tab,MATCH(BV146,Identifier,0),10),1)))*(1+Calculation!$Q$6),"-")</f>
        <v>-</v>
      </c>
      <c r="CC146" s="508" t="str">
        <f ca="1">IFERROR(ROUND(INDEX(Cluster,MATCH(IF(LEFT(BV146,4)="Pool",INDEX(Cluster,MATCH(INDEX(Calculation_Tab,MATCH(INDEX($BE$4:$BJ$99,MATCH(BV146,$BE$4:$BE$99,0),3),Flow_Cell_Lane,0),3),Cluster!$F$29:$F$412,0),6),BV146),Identifier_Cluster,0),20)*IF(LEFT(BV146,4)="pool",IF(LEN(INDEX($BE$4:$BJ$99,MATCH(BV146,$BE$4:$BE$99,0),3))=10,2,IF(LEN(INDEX($BE$4:$BJ$99,MATCH(BV146,$BE$4:$BE$99,0),3))&gt;10,LEN(INDEX($BE$4:$BJ$99,MATCH(BV146,$BE$4:$BE$99,0),3))-8,1)),1)*IF(LEFT(BV146,4)="pool",IF(INDEX($BE$4:$BJ$99,MATCH(BV146,$BE$4:$BE$99,0),6)&lt;1,1,INDEX($BE$4:$BJ$99,MATCH(BV146,$BE$4:$BE$99,0),6)),INDEX(Calculation_Tab,MATCH(BV146,Identifier,0),10)),1)*(1+Calculation!$Q$6),"-")</f>
        <v>-</v>
      </c>
      <c r="CD146" s="509" t="str">
        <f ca="1">IFERROR(INDEX(Cluster!AC:AD,MATCH(IF(LEFT(BV146,4)="Pool",INDEX(Cluster!$D$29:$AA$412,MATCH(INDEX(Calculation_Tab,MATCH(INDEX($BE$4:$BJ$99,MATCH(BV146,$BE$4:$BE$99,0),3),Flow_Cell_Lane,0),3),Cluster!$F$29:$F$412,0),24),INDEX(Cluster!$D$29:$AA$412,MATCH(BV146,Cluster!$F$29:$F$412,0),24)),Cluster!AC:AC,0),2),"-")</f>
        <v>-</v>
      </c>
      <c r="CE146" s="378" t="str">
        <f ca="1">IFERROR(IF(BV146&lt;&gt;"-",Calculation!$AK$6,"-"),"-")</f>
        <v>-</v>
      </c>
      <c r="CF146" s="378" t="str">
        <f ca="1">IF(OR(LEFT(ListAndConversion!BW146,3)="Dil",LEFT(ListAndConversion!BW146,3)="Poo"),ListAndConversion!$BT$4,IF(LEFT(ListAndConversion!BW146,3)="Sou",INDEX(ListAndConversion!$AT$3:$AV$387,MATCH(ListAndConversion!BV146,ListAndConversion!$AV$3:$AV$387,0),1),"-"))</f>
        <v>-</v>
      </c>
      <c r="CG146" s="498" t="str">
        <f ca="1">IF(OR(LEFT(ListAndConversion!BW146,3)="Dil",LEFT(ListAndConversion!BW146,3)="Poo"),ListAndConversion!BU146,IF(LEFT(ListAndConversion!BW146,3)="Sou",INDEX(ListAndConversion!$AT$4:$AV$387,MATCH(ListAndConversion!BV146,ListAndConversion!$AV$4:$AV$387,0),2),"-"))</f>
        <v>-</v>
      </c>
      <c r="CH146" s="378"/>
      <c r="CI146" s="487" t="str">
        <f t="shared" ca="1" si="93"/>
        <v>-</v>
      </c>
      <c r="CJ146" s="378" t="str">
        <f t="shared" ca="1" si="98"/>
        <v>-</v>
      </c>
      <c r="CK146" s="378" t="str">
        <f t="shared" ca="1" si="98"/>
        <v>-</v>
      </c>
      <c r="CL146" s="378" t="str">
        <f t="shared" ca="1" si="98"/>
        <v>-</v>
      </c>
      <c r="CM146" s="378" t="str">
        <f t="shared" ca="1" si="98"/>
        <v>-</v>
      </c>
      <c r="CN146" s="378" t="str">
        <f t="shared" ca="1" si="98"/>
        <v>-</v>
      </c>
      <c r="CO146" s="378" t="str">
        <f t="shared" ca="1" si="98"/>
        <v>-</v>
      </c>
      <c r="CP146" s="378" t="str">
        <f t="shared" ca="1" si="98"/>
        <v>-</v>
      </c>
      <c r="CQ146" s="378" t="str">
        <f t="shared" ca="1" si="98"/>
        <v>-</v>
      </c>
      <c r="CR146" s="510" t="str">
        <f ca="1">IFERROR(IF(LEFT(BW146,3)="Poo",INDEX($BE$4:$BJ$99,MATCH(CI146,$BG$4:$BG$99,0),6)*((15/50))*Calculation!$AK$6,INDEX(Calculation_Tab,MATCH(BV146,Identifier,0),10)/(IF(LEN(INDEX(Calculation_Tab,MATCH(BV146,Identifier,0),9))&gt;8,LEN(INDEX(Calculation_Tab,MATCH(BV146,Identifier,0),9))-8,1))*((15/50)*Calculation!$AK$6)),"-")</f>
        <v>-</v>
      </c>
      <c r="CS146" s="498" t="str">
        <f ca="1">IF(CI146="-","-",IF(COUNTIF($CI$3:CI146,CI146)&gt;1,0,IFERROR((35/50)*Calculation!$AK$6,"-")))</f>
        <v>-</v>
      </c>
    </row>
    <row r="147" spans="4:97" x14ac:dyDescent="0.5">
      <c r="D147" s="487" t="e">
        <f t="shared" si="79"/>
        <v>#DIV/0!</v>
      </c>
      <c r="E147" s="496" t="e">
        <f t="array" ref="E147">IF(IF((ROW(E147)-3)&lt;(ListAndConversion!$A$15),INDEX(Flow_Cell_Lane,MIN(IF(COUNTIF($E$2:E146,Flow_Cell_Lane)=0,ROW(Flow_Cell_Lane)-9))),"-")="","-",IF((ROW(E147)-3)&lt;(ListAndConversion!$A$15),INDEX(Flow_Cell_Lane,MIN(IF(COUNTIF($E$2:E146,Flow_Cell_Lane)=0,ROW(Flow_Cell_Lane)-9))),"-"))</f>
        <v>#DIV/0!</v>
      </c>
      <c r="F147" s="378" t="e">
        <f t="shared" si="80"/>
        <v>#DIV/0!</v>
      </c>
      <c r="G147" s="378" t="e">
        <f t="shared" si="97"/>
        <v>#DIV/0!</v>
      </c>
      <c r="H147" s="378" t="e">
        <f t="shared" si="97"/>
        <v>#DIV/0!</v>
      </c>
      <c r="I147" s="378" t="e">
        <f t="shared" si="97"/>
        <v>#DIV/0!</v>
      </c>
      <c r="J147" s="378" t="e">
        <f t="shared" si="97"/>
        <v>#DIV/0!</v>
      </c>
      <c r="K147" s="378" t="e">
        <f t="shared" si="97"/>
        <v>#DIV/0!</v>
      </c>
      <c r="L147" s="378" t="e">
        <f t="shared" si="97"/>
        <v>#DIV/0!</v>
      </c>
      <c r="M147" s="378" t="e">
        <f t="shared" si="97"/>
        <v>#DIV/0!</v>
      </c>
      <c r="N147" s="497" t="e">
        <f t="shared" si="81"/>
        <v>#DIV/0!</v>
      </c>
      <c r="O147" s="497" t="str">
        <f t="array" ref="O147">IFERROR(INDEX(Calculation!I:AN,MATCH(ListAndConversion!E147,Calculation!I:I,0),31),"-")</f>
        <v>-</v>
      </c>
      <c r="P147" s="498">
        <f>IF(COUNTIFS(Calculation!$I$10:$I$393,E147,Direct_Denaturation,"-")&lt;&gt;1,COUNTIFS(Calculation!$I$10:$I$393,E147,Direct_Denaturation,"-"),0)</f>
        <v>0</v>
      </c>
      <c r="V147" s="542" t="s">
        <v>82</v>
      </c>
      <c r="W147" s="542" t="s">
        <v>82</v>
      </c>
      <c r="X147" s="542" t="s">
        <v>82</v>
      </c>
      <c r="Y147" s="542" t="s">
        <v>82</v>
      </c>
      <c r="Z147" s="542" t="s">
        <v>82</v>
      </c>
      <c r="AA147" s="542" t="s">
        <v>82</v>
      </c>
      <c r="AB147" s="542" t="s">
        <v>82</v>
      </c>
      <c r="AC147" s="542" t="s">
        <v>82</v>
      </c>
      <c r="AD147" s="542" t="s">
        <v>82</v>
      </c>
      <c r="AE147" s="542" t="s">
        <v>82</v>
      </c>
      <c r="AF147" s="542" t="s">
        <v>82</v>
      </c>
      <c r="AG147" s="542" t="s">
        <v>82</v>
      </c>
      <c r="AH147" s="9"/>
      <c r="AI147" s="487">
        <v>144</v>
      </c>
      <c r="AJ147" s="497" t="s">
        <v>161</v>
      </c>
      <c r="AK147" s="378">
        <v>48</v>
      </c>
      <c r="AL147" s="378" t="str">
        <f t="shared" ca="1" si="82"/>
        <v>-</v>
      </c>
      <c r="AM147" s="378" t="str">
        <f t="array" aca="1" ref="AM147" ca="1">IFERROR(IF(AI147&lt;=$AB$2,"-",INDEX(Calculation_Tab,SMALL(ROW(Main_Dil)*(Main_Dil&lt;&gt;"-"),COUNTIF(Main_Dil,"-")+ROW()-3-$AB$2)-9,5)),"-")</f>
        <v>-</v>
      </c>
      <c r="AN147" s="378" t="str">
        <f t="array" aca="1" ref="AN147" ca="1">IFERROR(IF(AI147&lt;=$AB$2,"-",INDEX($A$3:$B$12,MATCH(INDEX(Calculation_Tab,SMALL(ROW(Main_Dil)*(Main_Dil&lt;&gt;"-"),COUNTIF(Main_Dil,"-")+ROW()-3-$AB$2)-9,5),$A$3:$A$12,0),2)),"-")</f>
        <v>-</v>
      </c>
      <c r="AO147" s="378" t="str">
        <f t="array" aca="1" ref="AO147" ca="1">IFERROR(IF(AI147&lt;=$AB$2,"-",INDEX(Coordinate,MATCH(INDEX(Calculation_Tab,SMALL(ROW(Main_Dil)*(Main_Dil&lt;&gt;"-"),COUNTIF(Main_Dil,"-")+ROW()-3-$AB$2)-9,6),$X$4:$X$99,0),2)),"-")</f>
        <v>-</v>
      </c>
      <c r="AP147" s="510" t="str">
        <f t="array" aca="1" ref="AP147" ca="1">IFERROR(IF(AI147&lt;=$AB$2,"-",INDEX(Calculation_Tab,SMALL(ROW(Main_Dil)*(Main_Dil&lt;&gt;"-"),COUNTIF(Main_Dil,"-")+ROW()-3-$AB$2)-9,21)),"-")</f>
        <v>-</v>
      </c>
      <c r="AQ147" s="511" t="str">
        <f t="array" aca="1" ref="AQ147" ca="1">IFERROR(IF(AI147&lt;=$AB$2,"-",INDEX(Calculation_Tab,SMALL(ROW(Main_Dil)*(Main_Dil&lt;&gt;"-"),COUNTIF(Main_Dil,"-")+ROW()-3-$AB$2)-9,22)),"-")</f>
        <v>-</v>
      </c>
      <c r="AR147" s="487" t="str">
        <f t="shared" ca="1" si="83"/>
        <v>-</v>
      </c>
      <c r="AS147" s="378">
        <v>144</v>
      </c>
      <c r="AT147" s="497" t="s">
        <v>161</v>
      </c>
      <c r="AU147" s="498">
        <v>48</v>
      </c>
      <c r="AV147" s="378" t="str">
        <f t="shared" ca="1" si="84"/>
        <v>-</v>
      </c>
      <c r="AW147" s="378" t="str">
        <f t="array" aca="1" ref="AW147" ca="1">IFERROR(IF(AS147&lt;=$AB$2+$AN$2,"-",INDEX(Calculation_Tab,SMALL(ROW(Direct_Denaturation)*(Direct_Denaturation&lt;&gt;"-"),COUNTIF(Direct_Denaturation,"-")+ROW()-3-$AB$2-$AN$2)-9,5)),"-")</f>
        <v>-</v>
      </c>
      <c r="AX147" s="378" t="str">
        <f t="array" aca="1" ref="AX147" ca="1">IFERROR(IF(AS147&lt;=$AB$2+$AN$2,"-",INDEX($A$3:$B$12,MATCH(INDEX(Calculation_Tab,SMALL(ROW(Direct_Denaturation)*(Direct_Denaturation&lt;&gt;"-"),COUNTIF(Direct_Denaturation,"-")+ROW()-3-$AB$2-$AN$2)-9,5),$A$3:$A$12,0),2)),"-")</f>
        <v>-</v>
      </c>
      <c r="AY147" s="378" t="str">
        <f t="array" aca="1" ref="AY147" ca="1">IFERROR(IF(AS147&lt;=$AB$2+$AN$2,"-",INDEX(Coordinate,MATCH(INDEX(Calculation_Tab,SMALL(ROW(Direct_Denaturation)*(Direct_Denaturation&lt;&gt;"-"),COUNTIF(Direct_Denaturation,"-")+ROW()-3-$AB$2-$AN$2)-9,6),$X$4:$X$99,0),2)),"-")</f>
        <v>-</v>
      </c>
      <c r="AZ147" s="510" t="str">
        <f t="array" aca="1" ref="AZ147" ca="1">IFERROR(IF(AS147&lt;=$AB$2+$AN$2,"-",INDEX(Calculation_Tab,SMALL(ROW(Direct_Denaturation)*(Direct_Denaturation&lt;&gt;"-"),COUNTIF(Direct_Denaturation,"-")+ROW()-3-$AB$2-$AN$2)-9,32)),"-")</f>
        <v>-</v>
      </c>
      <c r="BA147" s="510" t="str">
        <f t="array" aca="1" ref="BA147" ca="1">IFERROR(IF(AS147&lt;=$AB$2+$AN$2,"-",INDEX(Calculation_Tab,SMALL(ROW(Direct_Denaturation)*(Direct_Denaturation&lt;&gt;"-"),COUNTIF(Direct_Denaturation,"-")+ROW()-3-$AB$2-$AN$2)-9,34)),"-")</f>
        <v>-</v>
      </c>
      <c r="BB147" s="510" t="str">
        <f t="array" aca="1" ref="BB147" ca="1">IFERROR(IF(AS147&lt;=$AB$2+$AN$2,"-",INDEX(Calculation_Tab,SMALL(ROW(Direct_Denaturation)*(Direct_Denaturation&lt;&gt;"-"),COUNTIF(Direct_Denaturation,"-")+ROW()-3-$AB$2-$AN$2)-9,33)),"-")</f>
        <v>-</v>
      </c>
      <c r="BC147" s="510" t="str">
        <f t="array" aca="1" ref="BC147" ca="1">IFERROR(IF(AS147&lt;=$AB$2+$AN$2,"-",INDEX(Calculation_Tab,SMALL(ROW(Direct_Denaturation)*(Direct_Denaturation&lt;&gt;"-"),COUNTIF(Direct_Denaturation,"-")+ROW()-3-$AB$2-$AN$2)-9,35)),"-")</f>
        <v>-</v>
      </c>
      <c r="BD147" s="511" t="str">
        <f t="shared" ca="1" si="85"/>
        <v>-</v>
      </c>
      <c r="BK147" s="542" t="s">
        <v>82</v>
      </c>
      <c r="BL147" s="542" t="s">
        <v>82</v>
      </c>
      <c r="BM147" s="487" t="str">
        <f t="array" aca="1" ref="BM147" ca="1">IFERROR(INDEX(Calculation_Tab,SMALL(ROW(ToPool)*(ToPool&lt;&gt;"-"),COUNTIF(ToPool,"-")+ROW()-3)-9,3),"-")</f>
        <v>-</v>
      </c>
      <c r="BN147" s="378" t="str">
        <f t="shared" ca="1" si="86"/>
        <v>-</v>
      </c>
      <c r="BO147" s="378" t="str">
        <f t="shared" ca="1" si="87"/>
        <v>-</v>
      </c>
      <c r="BP147" s="523" t="str">
        <f t="shared" ca="1" si="88"/>
        <v>-</v>
      </c>
      <c r="BQ147" s="378" t="str">
        <f t="array" aca="1" ref="BQ147" ca="1">IFERROR(INDEX(BE:BG,MATCH(INDEX(Calculation_Tab,SMALL(ROW(ToPool)*(ToPool&lt;&gt;"-"),COUNTIF(ToPool,"-")+ROW()-3)-9,9),BG:BG,0),2),"-")</f>
        <v>-</v>
      </c>
      <c r="BR147" s="510" t="str">
        <f t="shared" ca="1" si="89"/>
        <v>-</v>
      </c>
      <c r="BS147" s="511" t="str">
        <f t="shared" ca="1" si="90"/>
        <v>-</v>
      </c>
      <c r="BT147" s="543" t="s">
        <v>82</v>
      </c>
      <c r="BU147" s="487" t="str">
        <f t="shared" ca="1" si="95"/>
        <v>-</v>
      </c>
      <c r="BV147" s="487" t="str">
        <f t="array" aca="1" ref="BV14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47" s="378" t="str">
        <f t="shared" ca="1" si="91"/>
        <v>-</v>
      </c>
      <c r="BX147" s="378" t="str">
        <f t="shared" ca="1" si="92"/>
        <v>-</v>
      </c>
      <c r="BY147" s="510" t="str">
        <f ca="1">IFERROR(ROUND(INDEX(Cluster,MATCH(IF(LEFT(BV147,4)="Pool",INDEX(Cluster,MATCH(INDEX(Calculation_Tab,MATCH(INDEX($BE$4:$BJ$99,MATCH(BV147,$BE$4:$BE$99,0),3),Flow_Cell_Lane,0),3),Cluster!$F$29:$F$412,0),6),BV147),Identifier_Cluster,0),19)*IF(LEFT(BV147,4)="pool",IF(LEN(INDEX($BE$4:$BJ$99,MATCH(BV147,$BE$4:$BE$99,0),3))=10,2,IF(LEN(INDEX($BE$4:$BJ$99,MATCH(BV147,$BE$4:$BE$99,0),3))&gt;10,LEN(INDEX($BE$4:$BJ$99,MATCH(BV147,$BE$4:$BE$99,0),3))-8,1)),1)*IF(LEFT(BV147,4)="pool",IF(INDEX($BE$4:$BJ$99,MATCH(BV147,$BE$4:$BE$99,0),6)&lt;1,1,INDEX($BE$4:$BJ$99,MATCH(BV147,$BE$4:$BE$99,0),6)),INDEX(Calculation_Tab,MATCH(BV147,Identifier,0),10)),1)*(1+Calculation!$Q$6),"-")</f>
        <v>-</v>
      </c>
      <c r="BZ147" s="378" t="str">
        <f ca="1">IFERROR((0.5/50)*CE147/Calculation!$AG$6*(IF(LEFT(BV147,4)="Pool",IF(LEN(INDEX($BE$4:$BJ$99,MATCH(BV147,$BE$4:$BE$99,0),3))=10,2,IF(LEN(INDEX($BE$4:$BJ$99,MATCH(BV147,$BE$4:$BE$99,0),3))&gt;10,LEN(INDEX($BE$4:$BJ$99,MATCH(BV147,$BE$4:$BE$99,0),3))-8,1)),IF(INDEX(Calculation_Tab,MATCH(BV147,Identifier,0),10)&gt;1,INDEX(Calculation_Tab,MATCH(BV147,Identifier,0),10),1)))*(1+Calculation!$Q$6),"-")</f>
        <v>-</v>
      </c>
      <c r="CA147" s="510" t="str">
        <f ca="1">IFERROR(IF((BZ147*Calculation!$AG$6/0.05)-SUM(BY147:BZ147,CC147)&gt;0,(BZ147*Calculation!$AG$6/0.05)-SUM(BY147:BZ147,CC147),0),"-")</f>
        <v>-</v>
      </c>
      <c r="CB147" s="510" t="str">
        <f ca="1">IFERROR(5/50*CE147*(IF(LEFT(BV147,4)="Pool",IF(LEN(INDEX($BE$4:$BJ$99,MATCH(BV147,$BE$4:$BE$99,0),3))=10,2,IF(LEN(INDEX($BE$4:$BJ$99,MATCH(BV147,$BE$4:$BE$99,0),3))&gt;10,LEN(INDEX($BE$4:$BJ$99,MATCH(BV147,$BE$4:$BE$99,0),3))-8,1)),IF(INDEX(Calculation_Tab,MATCH(BV147,Identifier,0),10)&gt;1,INDEX(Calculation_Tab,MATCH(BV147,Identifier,0),10),1)))*(1+Calculation!$Q$6),"-")</f>
        <v>-</v>
      </c>
      <c r="CC147" s="508" t="str">
        <f ca="1">IFERROR(ROUND(INDEX(Cluster,MATCH(IF(LEFT(BV147,4)="Pool",INDEX(Cluster,MATCH(INDEX(Calculation_Tab,MATCH(INDEX($BE$4:$BJ$99,MATCH(BV147,$BE$4:$BE$99,0),3),Flow_Cell_Lane,0),3),Cluster!$F$29:$F$412,0),6),BV147),Identifier_Cluster,0),20)*IF(LEFT(BV147,4)="pool",IF(LEN(INDEX($BE$4:$BJ$99,MATCH(BV147,$BE$4:$BE$99,0),3))=10,2,IF(LEN(INDEX($BE$4:$BJ$99,MATCH(BV147,$BE$4:$BE$99,0),3))&gt;10,LEN(INDEX($BE$4:$BJ$99,MATCH(BV147,$BE$4:$BE$99,0),3))-8,1)),1)*IF(LEFT(BV147,4)="pool",IF(INDEX($BE$4:$BJ$99,MATCH(BV147,$BE$4:$BE$99,0),6)&lt;1,1,INDEX($BE$4:$BJ$99,MATCH(BV147,$BE$4:$BE$99,0),6)),INDEX(Calculation_Tab,MATCH(BV147,Identifier,0),10)),1)*(1+Calculation!$Q$6),"-")</f>
        <v>-</v>
      </c>
      <c r="CD147" s="509" t="str">
        <f ca="1">IFERROR(INDEX(Cluster!AC:AD,MATCH(IF(LEFT(BV147,4)="Pool",INDEX(Cluster!$D$29:$AA$412,MATCH(INDEX(Calculation_Tab,MATCH(INDEX($BE$4:$BJ$99,MATCH(BV147,$BE$4:$BE$99,0),3),Flow_Cell_Lane,0),3),Cluster!$F$29:$F$412,0),24),INDEX(Cluster!$D$29:$AA$412,MATCH(BV147,Cluster!$F$29:$F$412,0),24)),Cluster!AC:AC,0),2),"-")</f>
        <v>-</v>
      </c>
      <c r="CE147" s="378" t="str">
        <f ca="1">IFERROR(IF(BV147&lt;&gt;"-",Calculation!$AK$6,"-"),"-")</f>
        <v>-</v>
      </c>
      <c r="CF147" s="378" t="str">
        <f ca="1">IF(OR(LEFT(ListAndConversion!BW147,3)="Dil",LEFT(ListAndConversion!BW147,3)="Poo"),ListAndConversion!$BT$4,IF(LEFT(ListAndConversion!BW147,3)="Sou",INDEX(ListAndConversion!$AT$3:$AV$387,MATCH(ListAndConversion!BV147,ListAndConversion!$AV$3:$AV$387,0),1),"-"))</f>
        <v>-</v>
      </c>
      <c r="CG147" s="498" t="str">
        <f ca="1">IF(OR(LEFT(ListAndConversion!BW147,3)="Dil",LEFT(ListAndConversion!BW147,3)="Poo"),ListAndConversion!BU147,IF(LEFT(ListAndConversion!BW147,3)="Sou",INDEX(ListAndConversion!$AT$4:$AV$387,MATCH(ListAndConversion!BV147,ListAndConversion!$AV$4:$AV$387,0),2),"-"))</f>
        <v>-</v>
      </c>
      <c r="CH147" s="378"/>
      <c r="CI147" s="487" t="str">
        <f t="shared" ca="1" si="93"/>
        <v>-</v>
      </c>
      <c r="CJ147" s="378" t="str">
        <f t="shared" ca="1" si="98"/>
        <v>-</v>
      </c>
      <c r="CK147" s="378" t="str">
        <f t="shared" ca="1" si="98"/>
        <v>-</v>
      </c>
      <c r="CL147" s="378" t="str">
        <f t="shared" ca="1" si="98"/>
        <v>-</v>
      </c>
      <c r="CM147" s="378" t="str">
        <f t="shared" ca="1" si="98"/>
        <v>-</v>
      </c>
      <c r="CN147" s="378" t="str">
        <f t="shared" ca="1" si="98"/>
        <v>-</v>
      </c>
      <c r="CO147" s="378" t="str">
        <f t="shared" ca="1" si="98"/>
        <v>-</v>
      </c>
      <c r="CP147" s="378" t="str">
        <f t="shared" ca="1" si="98"/>
        <v>-</v>
      </c>
      <c r="CQ147" s="378" t="str">
        <f t="shared" ca="1" si="98"/>
        <v>-</v>
      </c>
      <c r="CR147" s="510" t="str">
        <f ca="1">IFERROR(IF(LEFT(BW147,3)="Poo",INDEX($BE$4:$BJ$99,MATCH(CI147,$BG$4:$BG$99,0),6)*((15/50))*Calculation!$AK$6,INDEX(Calculation_Tab,MATCH(BV147,Identifier,0),10)/(IF(LEN(INDEX(Calculation_Tab,MATCH(BV147,Identifier,0),9))&gt;8,LEN(INDEX(Calculation_Tab,MATCH(BV147,Identifier,0),9))-8,1))*((15/50)*Calculation!$AK$6)),"-")</f>
        <v>-</v>
      </c>
      <c r="CS147" s="498" t="str">
        <f ca="1">IF(CI147="-","-",IF(COUNTIF($CI$3:CI147,CI147)&gt;1,0,IFERROR((35/50)*Calculation!$AK$6,"-")))</f>
        <v>-</v>
      </c>
    </row>
    <row r="148" spans="4:97" x14ac:dyDescent="0.5">
      <c r="D148" s="487" t="e">
        <f t="shared" si="79"/>
        <v>#DIV/0!</v>
      </c>
      <c r="E148" s="496" t="e">
        <f t="array" ref="E148">IF(IF((ROW(E148)-3)&lt;(ListAndConversion!$A$15),INDEX(Flow_Cell_Lane,MIN(IF(COUNTIF($E$2:E147,Flow_Cell_Lane)=0,ROW(Flow_Cell_Lane)-9))),"-")="","-",IF((ROW(E148)-3)&lt;(ListAndConversion!$A$15),INDEX(Flow_Cell_Lane,MIN(IF(COUNTIF($E$2:E147,Flow_Cell_Lane)=0,ROW(Flow_Cell_Lane)-9))),"-"))</f>
        <v>#DIV/0!</v>
      </c>
      <c r="F148" s="378" t="e">
        <f t="shared" si="80"/>
        <v>#DIV/0!</v>
      </c>
      <c r="G148" s="378" t="e">
        <f t="shared" si="97"/>
        <v>#DIV/0!</v>
      </c>
      <c r="H148" s="378" t="e">
        <f t="shared" si="97"/>
        <v>#DIV/0!</v>
      </c>
      <c r="I148" s="378" t="e">
        <f t="shared" si="97"/>
        <v>#DIV/0!</v>
      </c>
      <c r="J148" s="378" t="e">
        <f t="shared" si="97"/>
        <v>#DIV/0!</v>
      </c>
      <c r="K148" s="378" t="e">
        <f t="shared" si="97"/>
        <v>#DIV/0!</v>
      </c>
      <c r="L148" s="378" t="e">
        <f t="shared" si="97"/>
        <v>#DIV/0!</v>
      </c>
      <c r="M148" s="378" t="e">
        <f t="shared" si="97"/>
        <v>#DIV/0!</v>
      </c>
      <c r="N148" s="497" t="e">
        <f t="shared" si="81"/>
        <v>#DIV/0!</v>
      </c>
      <c r="O148" s="497" t="str">
        <f t="array" ref="O148">IFERROR(INDEX(Calculation!I:AN,MATCH(ListAndConversion!E148,Calculation!I:I,0),31),"-")</f>
        <v>-</v>
      </c>
      <c r="P148" s="498">
        <f>IF(COUNTIFS(Calculation!$I$10:$I$393,E148,Direct_Denaturation,"-")&lt;&gt;1,COUNTIFS(Calculation!$I$10:$I$393,E148,Direct_Denaturation,"-"),0)</f>
        <v>0</v>
      </c>
      <c r="V148" s="542" t="s">
        <v>82</v>
      </c>
      <c r="W148" s="542" t="s">
        <v>82</v>
      </c>
      <c r="X148" s="542" t="s">
        <v>82</v>
      </c>
      <c r="Y148" s="542" t="s">
        <v>82</v>
      </c>
      <c r="Z148" s="542" t="s">
        <v>82</v>
      </c>
      <c r="AA148" s="542" t="s">
        <v>82</v>
      </c>
      <c r="AB148" s="542" t="s">
        <v>82</v>
      </c>
      <c r="AC148" s="542" t="s">
        <v>82</v>
      </c>
      <c r="AD148" s="542" t="s">
        <v>82</v>
      </c>
      <c r="AE148" s="542" t="s">
        <v>82</v>
      </c>
      <c r="AF148" s="542" t="s">
        <v>82</v>
      </c>
      <c r="AG148" s="542" t="s">
        <v>82</v>
      </c>
      <c r="AH148" s="9"/>
      <c r="AI148" s="487">
        <v>145</v>
      </c>
      <c r="AJ148" s="497" t="s">
        <v>161</v>
      </c>
      <c r="AK148" s="378">
        <v>49</v>
      </c>
      <c r="AL148" s="378" t="str">
        <f t="shared" ca="1" si="82"/>
        <v>-</v>
      </c>
      <c r="AM148" s="378" t="str">
        <f t="array" aca="1" ref="AM148" ca="1">IFERROR(IF(AI148&lt;=$AB$2,"-",INDEX(Calculation_Tab,SMALL(ROW(Main_Dil)*(Main_Dil&lt;&gt;"-"),COUNTIF(Main_Dil,"-")+ROW()-3-$AB$2)-9,5)),"-")</f>
        <v>-</v>
      </c>
      <c r="AN148" s="378" t="str">
        <f t="array" aca="1" ref="AN148" ca="1">IFERROR(IF(AI148&lt;=$AB$2,"-",INDEX($A$3:$B$12,MATCH(INDEX(Calculation_Tab,SMALL(ROW(Main_Dil)*(Main_Dil&lt;&gt;"-"),COUNTIF(Main_Dil,"-")+ROW()-3-$AB$2)-9,5),$A$3:$A$12,0),2)),"-")</f>
        <v>-</v>
      </c>
      <c r="AO148" s="378" t="str">
        <f t="array" aca="1" ref="AO148" ca="1">IFERROR(IF(AI148&lt;=$AB$2,"-",INDEX(Coordinate,MATCH(INDEX(Calculation_Tab,SMALL(ROW(Main_Dil)*(Main_Dil&lt;&gt;"-"),COUNTIF(Main_Dil,"-")+ROW()-3-$AB$2)-9,6),$X$4:$X$99,0),2)),"-")</f>
        <v>-</v>
      </c>
      <c r="AP148" s="510" t="str">
        <f t="array" aca="1" ref="AP148" ca="1">IFERROR(IF(AI148&lt;=$AB$2,"-",INDEX(Calculation_Tab,SMALL(ROW(Main_Dil)*(Main_Dil&lt;&gt;"-"),COUNTIF(Main_Dil,"-")+ROW()-3-$AB$2)-9,21)),"-")</f>
        <v>-</v>
      </c>
      <c r="AQ148" s="511" t="str">
        <f t="array" aca="1" ref="AQ148" ca="1">IFERROR(IF(AI148&lt;=$AB$2,"-",INDEX(Calculation_Tab,SMALL(ROW(Main_Dil)*(Main_Dil&lt;&gt;"-"),COUNTIF(Main_Dil,"-")+ROW()-3-$AB$2)-9,22)),"-")</f>
        <v>-</v>
      </c>
      <c r="AR148" s="487" t="str">
        <f t="shared" ca="1" si="83"/>
        <v>-</v>
      </c>
      <c r="AS148" s="378">
        <v>145</v>
      </c>
      <c r="AT148" s="497" t="s">
        <v>161</v>
      </c>
      <c r="AU148" s="498">
        <v>49</v>
      </c>
      <c r="AV148" s="378" t="str">
        <f t="shared" ca="1" si="84"/>
        <v>-</v>
      </c>
      <c r="AW148" s="378" t="str">
        <f t="array" aca="1" ref="AW148" ca="1">IFERROR(IF(AS148&lt;=$AB$2+$AN$2,"-",INDEX(Calculation_Tab,SMALL(ROW(Direct_Denaturation)*(Direct_Denaturation&lt;&gt;"-"),COUNTIF(Direct_Denaturation,"-")+ROW()-3-$AB$2-$AN$2)-9,5)),"-")</f>
        <v>-</v>
      </c>
      <c r="AX148" s="378" t="str">
        <f t="array" aca="1" ref="AX148" ca="1">IFERROR(IF(AS148&lt;=$AB$2+$AN$2,"-",INDEX($A$3:$B$12,MATCH(INDEX(Calculation_Tab,SMALL(ROW(Direct_Denaturation)*(Direct_Denaturation&lt;&gt;"-"),COUNTIF(Direct_Denaturation,"-")+ROW()-3-$AB$2-$AN$2)-9,5),$A$3:$A$12,0),2)),"-")</f>
        <v>-</v>
      </c>
      <c r="AY148" s="378" t="str">
        <f t="array" aca="1" ref="AY148" ca="1">IFERROR(IF(AS148&lt;=$AB$2+$AN$2,"-",INDEX(Coordinate,MATCH(INDEX(Calculation_Tab,SMALL(ROW(Direct_Denaturation)*(Direct_Denaturation&lt;&gt;"-"),COUNTIF(Direct_Denaturation,"-")+ROW()-3-$AB$2-$AN$2)-9,6),$X$4:$X$99,0),2)),"-")</f>
        <v>-</v>
      </c>
      <c r="AZ148" s="510" t="str">
        <f t="array" aca="1" ref="AZ148" ca="1">IFERROR(IF(AS148&lt;=$AB$2+$AN$2,"-",INDEX(Calculation_Tab,SMALL(ROW(Direct_Denaturation)*(Direct_Denaturation&lt;&gt;"-"),COUNTIF(Direct_Denaturation,"-")+ROW()-3-$AB$2-$AN$2)-9,32)),"-")</f>
        <v>-</v>
      </c>
      <c r="BA148" s="510" t="str">
        <f t="array" aca="1" ref="BA148" ca="1">IFERROR(IF(AS148&lt;=$AB$2+$AN$2,"-",INDEX(Calculation_Tab,SMALL(ROW(Direct_Denaturation)*(Direct_Denaturation&lt;&gt;"-"),COUNTIF(Direct_Denaturation,"-")+ROW()-3-$AB$2-$AN$2)-9,34)),"-")</f>
        <v>-</v>
      </c>
      <c r="BB148" s="510" t="str">
        <f t="array" aca="1" ref="BB148" ca="1">IFERROR(IF(AS148&lt;=$AB$2+$AN$2,"-",INDEX(Calculation_Tab,SMALL(ROW(Direct_Denaturation)*(Direct_Denaturation&lt;&gt;"-"),COUNTIF(Direct_Denaturation,"-")+ROW()-3-$AB$2-$AN$2)-9,33)),"-")</f>
        <v>-</v>
      </c>
      <c r="BC148" s="510" t="str">
        <f t="array" aca="1" ref="BC148" ca="1">IFERROR(IF(AS148&lt;=$AB$2+$AN$2,"-",INDEX(Calculation_Tab,SMALL(ROW(Direct_Denaturation)*(Direct_Denaturation&lt;&gt;"-"),COUNTIF(Direct_Denaturation,"-")+ROW()-3-$AB$2-$AN$2)-9,35)),"-")</f>
        <v>-</v>
      </c>
      <c r="BD148" s="511" t="str">
        <f t="shared" ca="1" si="85"/>
        <v>-</v>
      </c>
      <c r="BK148" s="542" t="s">
        <v>82</v>
      </c>
      <c r="BL148" s="542" t="s">
        <v>82</v>
      </c>
      <c r="BM148" s="487" t="str">
        <f t="array" aca="1" ref="BM148" ca="1">IFERROR(INDEX(Calculation_Tab,SMALL(ROW(ToPool)*(ToPool&lt;&gt;"-"),COUNTIF(ToPool,"-")+ROW()-3)-9,3),"-")</f>
        <v>-</v>
      </c>
      <c r="BN148" s="378" t="str">
        <f t="shared" ca="1" si="86"/>
        <v>-</v>
      </c>
      <c r="BO148" s="378" t="str">
        <f t="shared" ca="1" si="87"/>
        <v>-</v>
      </c>
      <c r="BP148" s="523" t="str">
        <f t="shared" ca="1" si="88"/>
        <v>-</v>
      </c>
      <c r="BQ148" s="378" t="str">
        <f t="array" aca="1" ref="BQ148" ca="1">IFERROR(INDEX(BE:BG,MATCH(INDEX(Calculation_Tab,SMALL(ROW(ToPool)*(ToPool&lt;&gt;"-"),COUNTIF(ToPool,"-")+ROW()-3)-9,9),BG:BG,0),2),"-")</f>
        <v>-</v>
      </c>
      <c r="BR148" s="510" t="str">
        <f t="shared" ca="1" si="89"/>
        <v>-</v>
      </c>
      <c r="BS148" s="511" t="str">
        <f t="shared" ca="1" si="90"/>
        <v>-</v>
      </c>
      <c r="BT148" s="543" t="s">
        <v>82</v>
      </c>
      <c r="BU148" s="487" t="str">
        <f t="shared" ca="1" si="95"/>
        <v>-</v>
      </c>
      <c r="BV148" s="487" t="str">
        <f t="array" aca="1" ref="BV14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48" s="378" t="str">
        <f t="shared" ca="1" si="91"/>
        <v>-</v>
      </c>
      <c r="BX148" s="378" t="str">
        <f t="shared" ca="1" si="92"/>
        <v>-</v>
      </c>
      <c r="BY148" s="510" t="str">
        <f ca="1">IFERROR(ROUND(INDEX(Cluster,MATCH(IF(LEFT(BV148,4)="Pool",INDEX(Cluster,MATCH(INDEX(Calculation_Tab,MATCH(INDEX($BE$4:$BJ$99,MATCH(BV148,$BE$4:$BE$99,0),3),Flow_Cell_Lane,0),3),Cluster!$F$29:$F$412,0),6),BV148),Identifier_Cluster,0),19)*IF(LEFT(BV148,4)="pool",IF(LEN(INDEX($BE$4:$BJ$99,MATCH(BV148,$BE$4:$BE$99,0),3))=10,2,IF(LEN(INDEX($BE$4:$BJ$99,MATCH(BV148,$BE$4:$BE$99,0),3))&gt;10,LEN(INDEX($BE$4:$BJ$99,MATCH(BV148,$BE$4:$BE$99,0),3))-8,1)),1)*IF(LEFT(BV148,4)="pool",IF(INDEX($BE$4:$BJ$99,MATCH(BV148,$BE$4:$BE$99,0),6)&lt;1,1,INDEX($BE$4:$BJ$99,MATCH(BV148,$BE$4:$BE$99,0),6)),INDEX(Calculation_Tab,MATCH(BV148,Identifier,0),10)),1)*(1+Calculation!$Q$6),"-")</f>
        <v>-</v>
      </c>
      <c r="BZ148" s="378" t="str">
        <f ca="1">IFERROR((0.5/50)*CE148/Calculation!$AG$6*(IF(LEFT(BV148,4)="Pool",IF(LEN(INDEX($BE$4:$BJ$99,MATCH(BV148,$BE$4:$BE$99,0),3))=10,2,IF(LEN(INDEX($BE$4:$BJ$99,MATCH(BV148,$BE$4:$BE$99,0),3))&gt;10,LEN(INDEX($BE$4:$BJ$99,MATCH(BV148,$BE$4:$BE$99,0),3))-8,1)),IF(INDEX(Calculation_Tab,MATCH(BV148,Identifier,0),10)&gt;1,INDEX(Calculation_Tab,MATCH(BV148,Identifier,0),10),1)))*(1+Calculation!$Q$6),"-")</f>
        <v>-</v>
      </c>
      <c r="CA148" s="510" t="str">
        <f ca="1">IFERROR(IF((BZ148*Calculation!$AG$6/0.05)-SUM(BY148:BZ148,CC148)&gt;0,(BZ148*Calculation!$AG$6/0.05)-SUM(BY148:BZ148,CC148),0),"-")</f>
        <v>-</v>
      </c>
      <c r="CB148" s="510" t="str">
        <f ca="1">IFERROR(5/50*CE148*(IF(LEFT(BV148,4)="Pool",IF(LEN(INDEX($BE$4:$BJ$99,MATCH(BV148,$BE$4:$BE$99,0),3))=10,2,IF(LEN(INDEX($BE$4:$BJ$99,MATCH(BV148,$BE$4:$BE$99,0),3))&gt;10,LEN(INDEX($BE$4:$BJ$99,MATCH(BV148,$BE$4:$BE$99,0),3))-8,1)),IF(INDEX(Calculation_Tab,MATCH(BV148,Identifier,0),10)&gt;1,INDEX(Calculation_Tab,MATCH(BV148,Identifier,0),10),1)))*(1+Calculation!$Q$6),"-")</f>
        <v>-</v>
      </c>
      <c r="CC148" s="508" t="str">
        <f ca="1">IFERROR(ROUND(INDEX(Cluster,MATCH(IF(LEFT(BV148,4)="Pool",INDEX(Cluster,MATCH(INDEX(Calculation_Tab,MATCH(INDEX($BE$4:$BJ$99,MATCH(BV148,$BE$4:$BE$99,0),3),Flow_Cell_Lane,0),3),Cluster!$F$29:$F$412,0),6),BV148),Identifier_Cluster,0),20)*IF(LEFT(BV148,4)="pool",IF(LEN(INDEX($BE$4:$BJ$99,MATCH(BV148,$BE$4:$BE$99,0),3))=10,2,IF(LEN(INDEX($BE$4:$BJ$99,MATCH(BV148,$BE$4:$BE$99,0),3))&gt;10,LEN(INDEX($BE$4:$BJ$99,MATCH(BV148,$BE$4:$BE$99,0),3))-8,1)),1)*IF(LEFT(BV148,4)="pool",IF(INDEX($BE$4:$BJ$99,MATCH(BV148,$BE$4:$BE$99,0),6)&lt;1,1,INDEX($BE$4:$BJ$99,MATCH(BV148,$BE$4:$BE$99,0),6)),INDEX(Calculation_Tab,MATCH(BV148,Identifier,0),10)),1)*(1+Calculation!$Q$6),"-")</f>
        <v>-</v>
      </c>
      <c r="CD148" s="509" t="str">
        <f ca="1">IFERROR(INDEX(Cluster!AC:AD,MATCH(IF(LEFT(BV148,4)="Pool",INDEX(Cluster!$D$29:$AA$412,MATCH(INDEX(Calculation_Tab,MATCH(INDEX($BE$4:$BJ$99,MATCH(BV148,$BE$4:$BE$99,0),3),Flow_Cell_Lane,0),3),Cluster!$F$29:$F$412,0),24),INDEX(Cluster!$D$29:$AA$412,MATCH(BV148,Cluster!$F$29:$F$412,0),24)),Cluster!AC:AC,0),2),"-")</f>
        <v>-</v>
      </c>
      <c r="CE148" s="378" t="str">
        <f ca="1">IFERROR(IF(BV148&lt;&gt;"-",Calculation!$AK$6,"-"),"-")</f>
        <v>-</v>
      </c>
      <c r="CF148" s="378" t="str">
        <f ca="1">IF(OR(LEFT(ListAndConversion!BW148,3)="Dil",LEFT(ListAndConversion!BW148,3)="Poo"),ListAndConversion!$BT$4,IF(LEFT(ListAndConversion!BW148,3)="Sou",INDEX(ListAndConversion!$AT$3:$AV$387,MATCH(ListAndConversion!BV148,ListAndConversion!$AV$3:$AV$387,0),1),"-"))</f>
        <v>-</v>
      </c>
      <c r="CG148" s="498" t="str">
        <f ca="1">IF(OR(LEFT(ListAndConversion!BW148,3)="Dil",LEFT(ListAndConversion!BW148,3)="Poo"),ListAndConversion!BU148,IF(LEFT(ListAndConversion!BW148,3)="Sou",INDEX(ListAndConversion!$AT$4:$AV$387,MATCH(ListAndConversion!BV148,ListAndConversion!$AV$4:$AV$387,0),2),"-"))</f>
        <v>-</v>
      </c>
      <c r="CH148" s="378"/>
      <c r="CI148" s="487" t="str">
        <f t="shared" ca="1" si="93"/>
        <v>-</v>
      </c>
      <c r="CJ148" s="378" t="str">
        <f t="shared" ca="1" si="98"/>
        <v>-</v>
      </c>
      <c r="CK148" s="378" t="str">
        <f t="shared" ca="1" si="98"/>
        <v>-</v>
      </c>
      <c r="CL148" s="378" t="str">
        <f t="shared" ca="1" si="98"/>
        <v>-</v>
      </c>
      <c r="CM148" s="378" t="str">
        <f t="shared" ca="1" si="98"/>
        <v>-</v>
      </c>
      <c r="CN148" s="378" t="str">
        <f t="shared" ca="1" si="98"/>
        <v>-</v>
      </c>
      <c r="CO148" s="378" t="str">
        <f t="shared" ca="1" si="98"/>
        <v>-</v>
      </c>
      <c r="CP148" s="378" t="str">
        <f t="shared" ca="1" si="98"/>
        <v>-</v>
      </c>
      <c r="CQ148" s="378" t="str">
        <f t="shared" ca="1" si="98"/>
        <v>-</v>
      </c>
      <c r="CR148" s="510" t="str">
        <f ca="1">IFERROR(IF(LEFT(BW148,3)="Poo",INDEX($BE$4:$BJ$99,MATCH(CI148,$BG$4:$BG$99,0),6)*((15/50))*Calculation!$AK$6,INDEX(Calculation_Tab,MATCH(BV148,Identifier,0),10)/(IF(LEN(INDEX(Calculation_Tab,MATCH(BV148,Identifier,0),9))&gt;8,LEN(INDEX(Calculation_Tab,MATCH(BV148,Identifier,0),9))-8,1))*((15/50)*Calculation!$AK$6)),"-")</f>
        <v>-</v>
      </c>
      <c r="CS148" s="498" t="str">
        <f ca="1">IF(CI148="-","-",IF(COUNTIF($CI$3:CI148,CI148)&gt;1,0,IFERROR((35/50)*Calculation!$AK$6,"-")))</f>
        <v>-</v>
      </c>
    </row>
    <row r="149" spans="4:97" x14ac:dyDescent="0.5">
      <c r="D149" s="487" t="e">
        <f t="shared" si="79"/>
        <v>#DIV/0!</v>
      </c>
      <c r="E149" s="496" t="e">
        <f t="array" ref="E149">IF(IF((ROW(E149)-3)&lt;(ListAndConversion!$A$15),INDEX(Flow_Cell_Lane,MIN(IF(COUNTIF($E$2:E148,Flow_Cell_Lane)=0,ROW(Flow_Cell_Lane)-9))),"-")="","-",IF((ROW(E149)-3)&lt;(ListAndConversion!$A$15),INDEX(Flow_Cell_Lane,MIN(IF(COUNTIF($E$2:E148,Flow_Cell_Lane)=0,ROW(Flow_Cell_Lane)-9))),"-"))</f>
        <v>#DIV/0!</v>
      </c>
      <c r="F149" s="378" t="e">
        <f t="shared" si="80"/>
        <v>#DIV/0!</v>
      </c>
      <c r="G149" s="378" t="e">
        <f t="shared" si="97"/>
        <v>#DIV/0!</v>
      </c>
      <c r="H149" s="378" t="e">
        <f t="shared" si="97"/>
        <v>#DIV/0!</v>
      </c>
      <c r="I149" s="378" t="e">
        <f t="shared" si="97"/>
        <v>#DIV/0!</v>
      </c>
      <c r="J149" s="378" t="e">
        <f t="shared" si="97"/>
        <v>#DIV/0!</v>
      </c>
      <c r="K149" s="378" t="e">
        <f t="shared" si="97"/>
        <v>#DIV/0!</v>
      </c>
      <c r="L149" s="378" t="e">
        <f t="shared" si="97"/>
        <v>#DIV/0!</v>
      </c>
      <c r="M149" s="378" t="e">
        <f t="shared" si="97"/>
        <v>#DIV/0!</v>
      </c>
      <c r="N149" s="497" t="e">
        <f t="shared" si="81"/>
        <v>#DIV/0!</v>
      </c>
      <c r="O149" s="497" t="str">
        <f t="array" ref="O149">IFERROR(INDEX(Calculation!I:AN,MATCH(ListAndConversion!E149,Calculation!I:I,0),31),"-")</f>
        <v>-</v>
      </c>
      <c r="P149" s="498">
        <f>IF(COUNTIFS(Calculation!$I$10:$I$393,E149,Direct_Denaturation,"-")&lt;&gt;1,COUNTIFS(Calculation!$I$10:$I$393,E149,Direct_Denaturation,"-"),0)</f>
        <v>0</v>
      </c>
      <c r="V149" s="542" t="s">
        <v>82</v>
      </c>
      <c r="W149" s="542" t="s">
        <v>82</v>
      </c>
      <c r="X149" s="542" t="s">
        <v>82</v>
      </c>
      <c r="Y149" s="542" t="s">
        <v>82</v>
      </c>
      <c r="Z149" s="542" t="s">
        <v>82</v>
      </c>
      <c r="AA149" s="542" t="s">
        <v>82</v>
      </c>
      <c r="AB149" s="542" t="s">
        <v>82</v>
      </c>
      <c r="AC149" s="542" t="s">
        <v>82</v>
      </c>
      <c r="AD149" s="542" t="s">
        <v>82</v>
      </c>
      <c r="AE149" s="542" t="s">
        <v>82</v>
      </c>
      <c r="AF149" s="542" t="s">
        <v>82</v>
      </c>
      <c r="AG149" s="542" t="s">
        <v>82</v>
      </c>
      <c r="AH149" s="9"/>
      <c r="AI149" s="487">
        <v>146</v>
      </c>
      <c r="AJ149" s="497" t="s">
        <v>161</v>
      </c>
      <c r="AK149" s="378">
        <v>50</v>
      </c>
      <c r="AL149" s="378" t="str">
        <f t="shared" ca="1" si="82"/>
        <v>-</v>
      </c>
      <c r="AM149" s="378" t="str">
        <f t="array" aca="1" ref="AM149" ca="1">IFERROR(IF(AI149&lt;=$AB$2,"-",INDEX(Calculation_Tab,SMALL(ROW(Main_Dil)*(Main_Dil&lt;&gt;"-"),COUNTIF(Main_Dil,"-")+ROW()-3-$AB$2)-9,5)),"-")</f>
        <v>-</v>
      </c>
      <c r="AN149" s="378" t="str">
        <f t="array" aca="1" ref="AN149" ca="1">IFERROR(IF(AI149&lt;=$AB$2,"-",INDEX($A$3:$B$12,MATCH(INDEX(Calculation_Tab,SMALL(ROW(Main_Dil)*(Main_Dil&lt;&gt;"-"),COUNTIF(Main_Dil,"-")+ROW()-3-$AB$2)-9,5),$A$3:$A$12,0),2)),"-")</f>
        <v>-</v>
      </c>
      <c r="AO149" s="378" t="str">
        <f t="array" aca="1" ref="AO149" ca="1">IFERROR(IF(AI149&lt;=$AB$2,"-",INDEX(Coordinate,MATCH(INDEX(Calculation_Tab,SMALL(ROW(Main_Dil)*(Main_Dil&lt;&gt;"-"),COUNTIF(Main_Dil,"-")+ROW()-3-$AB$2)-9,6),$X$4:$X$99,0),2)),"-")</f>
        <v>-</v>
      </c>
      <c r="AP149" s="510" t="str">
        <f t="array" aca="1" ref="AP149" ca="1">IFERROR(IF(AI149&lt;=$AB$2,"-",INDEX(Calculation_Tab,SMALL(ROW(Main_Dil)*(Main_Dil&lt;&gt;"-"),COUNTIF(Main_Dil,"-")+ROW()-3-$AB$2)-9,21)),"-")</f>
        <v>-</v>
      </c>
      <c r="AQ149" s="511" t="str">
        <f t="array" aca="1" ref="AQ149" ca="1">IFERROR(IF(AI149&lt;=$AB$2,"-",INDEX(Calculation_Tab,SMALL(ROW(Main_Dil)*(Main_Dil&lt;&gt;"-"),COUNTIF(Main_Dil,"-")+ROW()-3-$AB$2)-9,22)),"-")</f>
        <v>-</v>
      </c>
      <c r="AR149" s="487" t="str">
        <f t="shared" ca="1" si="83"/>
        <v>-</v>
      </c>
      <c r="AS149" s="378">
        <v>146</v>
      </c>
      <c r="AT149" s="497" t="s">
        <v>161</v>
      </c>
      <c r="AU149" s="498">
        <v>50</v>
      </c>
      <c r="AV149" s="378" t="str">
        <f t="shared" ca="1" si="84"/>
        <v>-</v>
      </c>
      <c r="AW149" s="378" t="str">
        <f t="array" aca="1" ref="AW149" ca="1">IFERROR(IF(AS149&lt;=$AB$2+$AN$2,"-",INDEX(Calculation_Tab,SMALL(ROW(Direct_Denaturation)*(Direct_Denaturation&lt;&gt;"-"),COUNTIF(Direct_Denaturation,"-")+ROW()-3-$AB$2-$AN$2)-9,5)),"-")</f>
        <v>-</v>
      </c>
      <c r="AX149" s="378" t="str">
        <f t="array" aca="1" ref="AX149" ca="1">IFERROR(IF(AS149&lt;=$AB$2+$AN$2,"-",INDEX($A$3:$B$12,MATCH(INDEX(Calculation_Tab,SMALL(ROW(Direct_Denaturation)*(Direct_Denaturation&lt;&gt;"-"),COUNTIF(Direct_Denaturation,"-")+ROW()-3-$AB$2-$AN$2)-9,5),$A$3:$A$12,0),2)),"-")</f>
        <v>-</v>
      </c>
      <c r="AY149" s="378" t="str">
        <f t="array" aca="1" ref="AY149" ca="1">IFERROR(IF(AS149&lt;=$AB$2+$AN$2,"-",INDEX(Coordinate,MATCH(INDEX(Calculation_Tab,SMALL(ROW(Direct_Denaturation)*(Direct_Denaturation&lt;&gt;"-"),COUNTIF(Direct_Denaturation,"-")+ROW()-3-$AB$2-$AN$2)-9,6),$X$4:$X$99,0),2)),"-")</f>
        <v>-</v>
      </c>
      <c r="AZ149" s="510" t="str">
        <f t="array" aca="1" ref="AZ149" ca="1">IFERROR(IF(AS149&lt;=$AB$2+$AN$2,"-",INDEX(Calculation_Tab,SMALL(ROW(Direct_Denaturation)*(Direct_Denaturation&lt;&gt;"-"),COUNTIF(Direct_Denaturation,"-")+ROW()-3-$AB$2-$AN$2)-9,32)),"-")</f>
        <v>-</v>
      </c>
      <c r="BA149" s="510" t="str">
        <f t="array" aca="1" ref="BA149" ca="1">IFERROR(IF(AS149&lt;=$AB$2+$AN$2,"-",INDEX(Calculation_Tab,SMALL(ROW(Direct_Denaturation)*(Direct_Denaturation&lt;&gt;"-"),COUNTIF(Direct_Denaturation,"-")+ROW()-3-$AB$2-$AN$2)-9,34)),"-")</f>
        <v>-</v>
      </c>
      <c r="BB149" s="510" t="str">
        <f t="array" aca="1" ref="BB149" ca="1">IFERROR(IF(AS149&lt;=$AB$2+$AN$2,"-",INDEX(Calculation_Tab,SMALL(ROW(Direct_Denaturation)*(Direct_Denaturation&lt;&gt;"-"),COUNTIF(Direct_Denaturation,"-")+ROW()-3-$AB$2-$AN$2)-9,33)),"-")</f>
        <v>-</v>
      </c>
      <c r="BC149" s="510" t="str">
        <f t="array" aca="1" ref="BC149" ca="1">IFERROR(IF(AS149&lt;=$AB$2+$AN$2,"-",INDEX(Calculation_Tab,SMALL(ROW(Direct_Denaturation)*(Direct_Denaturation&lt;&gt;"-"),COUNTIF(Direct_Denaturation,"-")+ROW()-3-$AB$2-$AN$2)-9,35)),"-")</f>
        <v>-</v>
      </c>
      <c r="BD149" s="511" t="str">
        <f t="shared" ca="1" si="85"/>
        <v>-</v>
      </c>
      <c r="BK149" s="542" t="s">
        <v>82</v>
      </c>
      <c r="BL149" s="542" t="s">
        <v>82</v>
      </c>
      <c r="BM149" s="487" t="str">
        <f t="array" aca="1" ref="BM149" ca="1">IFERROR(INDEX(Calculation_Tab,SMALL(ROW(ToPool)*(ToPool&lt;&gt;"-"),COUNTIF(ToPool,"-")+ROW()-3)-9,3),"-")</f>
        <v>-</v>
      </c>
      <c r="BN149" s="378" t="str">
        <f t="shared" ca="1" si="86"/>
        <v>-</v>
      </c>
      <c r="BO149" s="378" t="str">
        <f t="shared" ca="1" si="87"/>
        <v>-</v>
      </c>
      <c r="BP149" s="523" t="str">
        <f t="shared" ca="1" si="88"/>
        <v>-</v>
      </c>
      <c r="BQ149" s="378" t="str">
        <f t="array" aca="1" ref="BQ149" ca="1">IFERROR(INDEX(BE:BG,MATCH(INDEX(Calculation_Tab,SMALL(ROW(ToPool)*(ToPool&lt;&gt;"-"),COUNTIF(ToPool,"-")+ROW()-3)-9,9),BG:BG,0),2),"-")</f>
        <v>-</v>
      </c>
      <c r="BR149" s="510" t="str">
        <f t="shared" ca="1" si="89"/>
        <v>-</v>
      </c>
      <c r="BS149" s="511" t="str">
        <f t="shared" ca="1" si="90"/>
        <v>-</v>
      </c>
      <c r="BT149" s="543" t="s">
        <v>82</v>
      </c>
      <c r="BU149" s="487" t="str">
        <f t="shared" ca="1" si="95"/>
        <v>-</v>
      </c>
      <c r="BV149" s="487" t="str">
        <f t="array" aca="1" ref="BV14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49" s="378" t="str">
        <f t="shared" ca="1" si="91"/>
        <v>-</v>
      </c>
      <c r="BX149" s="378" t="str">
        <f t="shared" ca="1" si="92"/>
        <v>-</v>
      </c>
      <c r="BY149" s="510" t="str">
        <f ca="1">IFERROR(ROUND(INDEX(Cluster,MATCH(IF(LEFT(BV149,4)="Pool",INDEX(Cluster,MATCH(INDEX(Calculation_Tab,MATCH(INDEX($BE$4:$BJ$99,MATCH(BV149,$BE$4:$BE$99,0),3),Flow_Cell_Lane,0),3),Cluster!$F$29:$F$412,0),6),BV149),Identifier_Cluster,0),19)*IF(LEFT(BV149,4)="pool",IF(LEN(INDEX($BE$4:$BJ$99,MATCH(BV149,$BE$4:$BE$99,0),3))=10,2,IF(LEN(INDEX($BE$4:$BJ$99,MATCH(BV149,$BE$4:$BE$99,0),3))&gt;10,LEN(INDEX($BE$4:$BJ$99,MATCH(BV149,$BE$4:$BE$99,0),3))-8,1)),1)*IF(LEFT(BV149,4)="pool",IF(INDEX($BE$4:$BJ$99,MATCH(BV149,$BE$4:$BE$99,0),6)&lt;1,1,INDEX($BE$4:$BJ$99,MATCH(BV149,$BE$4:$BE$99,0),6)),INDEX(Calculation_Tab,MATCH(BV149,Identifier,0),10)),1)*(1+Calculation!$Q$6),"-")</f>
        <v>-</v>
      </c>
      <c r="BZ149" s="378" t="str">
        <f ca="1">IFERROR((0.5/50)*CE149/Calculation!$AG$6*(IF(LEFT(BV149,4)="Pool",IF(LEN(INDEX($BE$4:$BJ$99,MATCH(BV149,$BE$4:$BE$99,0),3))=10,2,IF(LEN(INDEX($BE$4:$BJ$99,MATCH(BV149,$BE$4:$BE$99,0),3))&gt;10,LEN(INDEX($BE$4:$BJ$99,MATCH(BV149,$BE$4:$BE$99,0),3))-8,1)),IF(INDEX(Calculation_Tab,MATCH(BV149,Identifier,0),10)&gt;1,INDEX(Calculation_Tab,MATCH(BV149,Identifier,0),10),1)))*(1+Calculation!$Q$6),"-")</f>
        <v>-</v>
      </c>
      <c r="CA149" s="510" t="str">
        <f ca="1">IFERROR(IF((BZ149*Calculation!$AG$6/0.05)-SUM(BY149:BZ149,CC149)&gt;0,(BZ149*Calculation!$AG$6/0.05)-SUM(BY149:BZ149,CC149),0),"-")</f>
        <v>-</v>
      </c>
      <c r="CB149" s="510" t="str">
        <f ca="1">IFERROR(5/50*CE149*(IF(LEFT(BV149,4)="Pool",IF(LEN(INDEX($BE$4:$BJ$99,MATCH(BV149,$BE$4:$BE$99,0),3))=10,2,IF(LEN(INDEX($BE$4:$BJ$99,MATCH(BV149,$BE$4:$BE$99,0),3))&gt;10,LEN(INDEX($BE$4:$BJ$99,MATCH(BV149,$BE$4:$BE$99,0),3))-8,1)),IF(INDEX(Calculation_Tab,MATCH(BV149,Identifier,0),10)&gt;1,INDEX(Calculation_Tab,MATCH(BV149,Identifier,0),10),1)))*(1+Calculation!$Q$6),"-")</f>
        <v>-</v>
      </c>
      <c r="CC149" s="508" t="str">
        <f ca="1">IFERROR(ROUND(INDEX(Cluster,MATCH(IF(LEFT(BV149,4)="Pool",INDEX(Cluster,MATCH(INDEX(Calculation_Tab,MATCH(INDEX($BE$4:$BJ$99,MATCH(BV149,$BE$4:$BE$99,0),3),Flow_Cell_Lane,0),3),Cluster!$F$29:$F$412,0),6),BV149),Identifier_Cluster,0),20)*IF(LEFT(BV149,4)="pool",IF(LEN(INDEX($BE$4:$BJ$99,MATCH(BV149,$BE$4:$BE$99,0),3))=10,2,IF(LEN(INDEX($BE$4:$BJ$99,MATCH(BV149,$BE$4:$BE$99,0),3))&gt;10,LEN(INDEX($BE$4:$BJ$99,MATCH(BV149,$BE$4:$BE$99,0),3))-8,1)),1)*IF(LEFT(BV149,4)="pool",IF(INDEX($BE$4:$BJ$99,MATCH(BV149,$BE$4:$BE$99,0),6)&lt;1,1,INDEX($BE$4:$BJ$99,MATCH(BV149,$BE$4:$BE$99,0),6)),INDEX(Calculation_Tab,MATCH(BV149,Identifier,0),10)),1)*(1+Calculation!$Q$6),"-")</f>
        <v>-</v>
      </c>
      <c r="CD149" s="509" t="str">
        <f ca="1">IFERROR(INDEX(Cluster!AC:AD,MATCH(IF(LEFT(BV149,4)="Pool",INDEX(Cluster!$D$29:$AA$412,MATCH(INDEX(Calculation_Tab,MATCH(INDEX($BE$4:$BJ$99,MATCH(BV149,$BE$4:$BE$99,0),3),Flow_Cell_Lane,0),3),Cluster!$F$29:$F$412,0),24),INDEX(Cluster!$D$29:$AA$412,MATCH(BV149,Cluster!$F$29:$F$412,0),24)),Cluster!AC:AC,0),2),"-")</f>
        <v>-</v>
      </c>
      <c r="CE149" s="378" t="str">
        <f ca="1">IFERROR(IF(BV149&lt;&gt;"-",Calculation!$AK$6,"-"),"-")</f>
        <v>-</v>
      </c>
      <c r="CF149" s="378" t="str">
        <f ca="1">IF(OR(LEFT(ListAndConversion!BW149,3)="Dil",LEFT(ListAndConversion!BW149,3)="Poo"),ListAndConversion!$BT$4,IF(LEFT(ListAndConversion!BW149,3)="Sou",INDEX(ListAndConversion!$AT$3:$AV$387,MATCH(ListAndConversion!BV149,ListAndConversion!$AV$3:$AV$387,0),1),"-"))</f>
        <v>-</v>
      </c>
      <c r="CG149" s="498" t="str">
        <f ca="1">IF(OR(LEFT(ListAndConversion!BW149,3)="Dil",LEFT(ListAndConversion!BW149,3)="Poo"),ListAndConversion!BU149,IF(LEFT(ListAndConversion!BW149,3)="Sou",INDEX(ListAndConversion!$AT$4:$AV$387,MATCH(ListAndConversion!BV149,ListAndConversion!$AV$4:$AV$387,0),2),"-"))</f>
        <v>-</v>
      </c>
      <c r="CH149" s="378"/>
      <c r="CI149" s="487" t="str">
        <f t="shared" ca="1" si="93"/>
        <v>-</v>
      </c>
      <c r="CJ149" s="378" t="str">
        <f t="shared" ca="1" si="98"/>
        <v>-</v>
      </c>
      <c r="CK149" s="378" t="str">
        <f t="shared" ca="1" si="98"/>
        <v>-</v>
      </c>
      <c r="CL149" s="378" t="str">
        <f t="shared" ca="1" si="98"/>
        <v>-</v>
      </c>
      <c r="CM149" s="378" t="str">
        <f t="shared" ca="1" si="98"/>
        <v>-</v>
      </c>
      <c r="CN149" s="378" t="str">
        <f t="shared" ca="1" si="98"/>
        <v>-</v>
      </c>
      <c r="CO149" s="378" t="str">
        <f t="shared" ca="1" si="98"/>
        <v>-</v>
      </c>
      <c r="CP149" s="378" t="str">
        <f t="shared" ca="1" si="98"/>
        <v>-</v>
      </c>
      <c r="CQ149" s="378" t="str">
        <f t="shared" ca="1" si="98"/>
        <v>-</v>
      </c>
      <c r="CR149" s="510" t="str">
        <f ca="1">IFERROR(IF(LEFT(BW149,3)="Poo",INDEX($BE$4:$BJ$99,MATCH(CI149,$BG$4:$BG$99,0),6)*((15/50))*Calculation!$AK$6,INDEX(Calculation_Tab,MATCH(BV149,Identifier,0),10)/(IF(LEN(INDEX(Calculation_Tab,MATCH(BV149,Identifier,0),9))&gt;8,LEN(INDEX(Calculation_Tab,MATCH(BV149,Identifier,0),9))-8,1))*((15/50)*Calculation!$AK$6)),"-")</f>
        <v>-</v>
      </c>
      <c r="CS149" s="498" t="str">
        <f ca="1">IF(CI149="-","-",IF(COUNTIF($CI$3:CI149,CI149)&gt;1,0,IFERROR((35/50)*Calculation!$AK$6,"-")))</f>
        <v>-</v>
      </c>
    </row>
    <row r="150" spans="4:97" x14ac:dyDescent="0.5">
      <c r="D150" s="487" t="e">
        <f t="shared" si="79"/>
        <v>#DIV/0!</v>
      </c>
      <c r="E150" s="496" t="e">
        <f t="array" ref="E150">IF(IF((ROW(E150)-3)&lt;(ListAndConversion!$A$15),INDEX(Flow_Cell_Lane,MIN(IF(COUNTIF($E$2:E149,Flow_Cell_Lane)=0,ROW(Flow_Cell_Lane)-9))),"-")="","-",IF((ROW(E150)-3)&lt;(ListAndConversion!$A$15),INDEX(Flow_Cell_Lane,MIN(IF(COUNTIF($E$2:E149,Flow_Cell_Lane)=0,ROW(Flow_Cell_Lane)-9))),"-"))</f>
        <v>#DIV/0!</v>
      </c>
      <c r="F150" s="378" t="e">
        <f t="shared" si="80"/>
        <v>#DIV/0!</v>
      </c>
      <c r="G150" s="378" t="e">
        <f t="shared" si="97"/>
        <v>#DIV/0!</v>
      </c>
      <c r="H150" s="378" t="e">
        <f t="shared" si="97"/>
        <v>#DIV/0!</v>
      </c>
      <c r="I150" s="378" t="e">
        <f t="shared" si="97"/>
        <v>#DIV/0!</v>
      </c>
      <c r="J150" s="378" t="e">
        <f t="shared" si="97"/>
        <v>#DIV/0!</v>
      </c>
      <c r="K150" s="378" t="e">
        <f t="shared" si="97"/>
        <v>#DIV/0!</v>
      </c>
      <c r="L150" s="378" t="e">
        <f t="shared" si="97"/>
        <v>#DIV/0!</v>
      </c>
      <c r="M150" s="378" t="e">
        <f t="shared" si="97"/>
        <v>#DIV/0!</v>
      </c>
      <c r="N150" s="497" t="e">
        <f t="shared" si="81"/>
        <v>#DIV/0!</v>
      </c>
      <c r="O150" s="497" t="str">
        <f t="array" ref="O150">IFERROR(INDEX(Calculation!I:AN,MATCH(ListAndConversion!E150,Calculation!I:I,0),31),"-")</f>
        <v>-</v>
      </c>
      <c r="P150" s="498">
        <f>IF(COUNTIFS(Calculation!$I$10:$I$393,E150,Direct_Denaturation,"-")&lt;&gt;1,COUNTIFS(Calculation!$I$10:$I$393,E150,Direct_Denaturation,"-"),0)</f>
        <v>0</v>
      </c>
      <c r="V150" s="542" t="s">
        <v>82</v>
      </c>
      <c r="W150" s="542" t="s">
        <v>82</v>
      </c>
      <c r="X150" s="542" t="s">
        <v>82</v>
      </c>
      <c r="Y150" s="542" t="s">
        <v>82</v>
      </c>
      <c r="Z150" s="542" t="s">
        <v>82</v>
      </c>
      <c r="AA150" s="542" t="s">
        <v>82</v>
      </c>
      <c r="AB150" s="542" t="s">
        <v>82</v>
      </c>
      <c r="AC150" s="542" t="s">
        <v>82</v>
      </c>
      <c r="AD150" s="542" t="s">
        <v>82</v>
      </c>
      <c r="AE150" s="542" t="s">
        <v>82</v>
      </c>
      <c r="AF150" s="542" t="s">
        <v>82</v>
      </c>
      <c r="AG150" s="542" t="s">
        <v>82</v>
      </c>
      <c r="AH150" s="9"/>
      <c r="AI150" s="487">
        <v>147</v>
      </c>
      <c r="AJ150" s="497" t="s">
        <v>161</v>
      </c>
      <c r="AK150" s="378">
        <v>51</v>
      </c>
      <c r="AL150" s="378" t="str">
        <f t="shared" ca="1" si="82"/>
        <v>-</v>
      </c>
      <c r="AM150" s="378" t="str">
        <f t="array" aca="1" ref="AM150" ca="1">IFERROR(IF(AI150&lt;=$AB$2,"-",INDEX(Calculation_Tab,SMALL(ROW(Main_Dil)*(Main_Dil&lt;&gt;"-"),COUNTIF(Main_Dil,"-")+ROW()-3-$AB$2)-9,5)),"-")</f>
        <v>-</v>
      </c>
      <c r="AN150" s="378" t="str">
        <f t="array" aca="1" ref="AN150" ca="1">IFERROR(IF(AI150&lt;=$AB$2,"-",INDEX($A$3:$B$12,MATCH(INDEX(Calculation_Tab,SMALL(ROW(Main_Dil)*(Main_Dil&lt;&gt;"-"),COUNTIF(Main_Dil,"-")+ROW()-3-$AB$2)-9,5),$A$3:$A$12,0),2)),"-")</f>
        <v>-</v>
      </c>
      <c r="AO150" s="378" t="str">
        <f t="array" aca="1" ref="AO150" ca="1">IFERROR(IF(AI150&lt;=$AB$2,"-",INDEX(Coordinate,MATCH(INDEX(Calculation_Tab,SMALL(ROW(Main_Dil)*(Main_Dil&lt;&gt;"-"),COUNTIF(Main_Dil,"-")+ROW()-3-$AB$2)-9,6),$X$4:$X$99,0),2)),"-")</f>
        <v>-</v>
      </c>
      <c r="AP150" s="510" t="str">
        <f t="array" aca="1" ref="AP150" ca="1">IFERROR(IF(AI150&lt;=$AB$2,"-",INDEX(Calculation_Tab,SMALL(ROW(Main_Dil)*(Main_Dil&lt;&gt;"-"),COUNTIF(Main_Dil,"-")+ROW()-3-$AB$2)-9,21)),"-")</f>
        <v>-</v>
      </c>
      <c r="AQ150" s="511" t="str">
        <f t="array" aca="1" ref="AQ150" ca="1">IFERROR(IF(AI150&lt;=$AB$2,"-",INDEX(Calculation_Tab,SMALL(ROW(Main_Dil)*(Main_Dil&lt;&gt;"-"),COUNTIF(Main_Dil,"-")+ROW()-3-$AB$2)-9,22)),"-")</f>
        <v>-</v>
      </c>
      <c r="AR150" s="487" t="str">
        <f t="shared" ca="1" si="83"/>
        <v>-</v>
      </c>
      <c r="AS150" s="378">
        <v>147</v>
      </c>
      <c r="AT150" s="497" t="s">
        <v>161</v>
      </c>
      <c r="AU150" s="498">
        <v>51</v>
      </c>
      <c r="AV150" s="378" t="str">
        <f t="shared" ca="1" si="84"/>
        <v>-</v>
      </c>
      <c r="AW150" s="378" t="str">
        <f t="array" aca="1" ref="AW150" ca="1">IFERROR(IF(AS150&lt;=$AB$2+$AN$2,"-",INDEX(Calculation_Tab,SMALL(ROW(Direct_Denaturation)*(Direct_Denaturation&lt;&gt;"-"),COUNTIF(Direct_Denaturation,"-")+ROW()-3-$AB$2-$AN$2)-9,5)),"-")</f>
        <v>-</v>
      </c>
      <c r="AX150" s="378" t="str">
        <f t="array" aca="1" ref="AX150" ca="1">IFERROR(IF(AS150&lt;=$AB$2+$AN$2,"-",INDEX($A$3:$B$12,MATCH(INDEX(Calculation_Tab,SMALL(ROW(Direct_Denaturation)*(Direct_Denaturation&lt;&gt;"-"),COUNTIF(Direct_Denaturation,"-")+ROW()-3-$AB$2-$AN$2)-9,5),$A$3:$A$12,0),2)),"-")</f>
        <v>-</v>
      </c>
      <c r="AY150" s="378" t="str">
        <f t="array" aca="1" ref="AY150" ca="1">IFERROR(IF(AS150&lt;=$AB$2+$AN$2,"-",INDEX(Coordinate,MATCH(INDEX(Calculation_Tab,SMALL(ROW(Direct_Denaturation)*(Direct_Denaturation&lt;&gt;"-"),COUNTIF(Direct_Denaturation,"-")+ROW()-3-$AB$2-$AN$2)-9,6),$X$4:$X$99,0),2)),"-")</f>
        <v>-</v>
      </c>
      <c r="AZ150" s="510" t="str">
        <f t="array" aca="1" ref="AZ150" ca="1">IFERROR(IF(AS150&lt;=$AB$2+$AN$2,"-",INDEX(Calculation_Tab,SMALL(ROW(Direct_Denaturation)*(Direct_Denaturation&lt;&gt;"-"),COUNTIF(Direct_Denaturation,"-")+ROW()-3-$AB$2-$AN$2)-9,32)),"-")</f>
        <v>-</v>
      </c>
      <c r="BA150" s="510" t="str">
        <f t="array" aca="1" ref="BA150" ca="1">IFERROR(IF(AS150&lt;=$AB$2+$AN$2,"-",INDEX(Calculation_Tab,SMALL(ROW(Direct_Denaturation)*(Direct_Denaturation&lt;&gt;"-"),COUNTIF(Direct_Denaturation,"-")+ROW()-3-$AB$2-$AN$2)-9,34)),"-")</f>
        <v>-</v>
      </c>
      <c r="BB150" s="510" t="str">
        <f t="array" aca="1" ref="BB150" ca="1">IFERROR(IF(AS150&lt;=$AB$2+$AN$2,"-",INDEX(Calculation_Tab,SMALL(ROW(Direct_Denaturation)*(Direct_Denaturation&lt;&gt;"-"),COUNTIF(Direct_Denaturation,"-")+ROW()-3-$AB$2-$AN$2)-9,33)),"-")</f>
        <v>-</v>
      </c>
      <c r="BC150" s="510" t="str">
        <f t="array" aca="1" ref="BC150" ca="1">IFERROR(IF(AS150&lt;=$AB$2+$AN$2,"-",INDEX(Calculation_Tab,SMALL(ROW(Direct_Denaturation)*(Direct_Denaturation&lt;&gt;"-"),COUNTIF(Direct_Denaturation,"-")+ROW()-3-$AB$2-$AN$2)-9,35)),"-")</f>
        <v>-</v>
      </c>
      <c r="BD150" s="511" t="str">
        <f t="shared" ca="1" si="85"/>
        <v>-</v>
      </c>
      <c r="BK150" s="542" t="s">
        <v>82</v>
      </c>
      <c r="BL150" s="542" t="s">
        <v>82</v>
      </c>
      <c r="BM150" s="487" t="str">
        <f t="array" aca="1" ref="BM150" ca="1">IFERROR(INDEX(Calculation_Tab,SMALL(ROW(ToPool)*(ToPool&lt;&gt;"-"),COUNTIF(ToPool,"-")+ROW()-3)-9,3),"-")</f>
        <v>-</v>
      </c>
      <c r="BN150" s="378" t="str">
        <f t="shared" ca="1" si="86"/>
        <v>-</v>
      </c>
      <c r="BO150" s="378" t="str">
        <f t="shared" ca="1" si="87"/>
        <v>-</v>
      </c>
      <c r="BP150" s="523" t="str">
        <f t="shared" ca="1" si="88"/>
        <v>-</v>
      </c>
      <c r="BQ150" s="378" t="str">
        <f t="array" aca="1" ref="BQ150" ca="1">IFERROR(INDEX(BE:BG,MATCH(INDEX(Calculation_Tab,SMALL(ROW(ToPool)*(ToPool&lt;&gt;"-"),COUNTIF(ToPool,"-")+ROW()-3)-9,9),BG:BG,0),2),"-")</f>
        <v>-</v>
      </c>
      <c r="BR150" s="510" t="str">
        <f t="shared" ca="1" si="89"/>
        <v>-</v>
      </c>
      <c r="BS150" s="511" t="str">
        <f t="shared" ca="1" si="90"/>
        <v>-</v>
      </c>
      <c r="BT150" s="543" t="s">
        <v>82</v>
      </c>
      <c r="BU150" s="487" t="str">
        <f t="shared" ca="1" si="95"/>
        <v>-</v>
      </c>
      <c r="BV150" s="487" t="str">
        <f t="array" aca="1" ref="BV15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50" s="378" t="str">
        <f t="shared" ca="1" si="91"/>
        <v>-</v>
      </c>
      <c r="BX150" s="378" t="str">
        <f t="shared" ca="1" si="92"/>
        <v>-</v>
      </c>
      <c r="BY150" s="510" t="str">
        <f ca="1">IFERROR(ROUND(INDEX(Cluster,MATCH(IF(LEFT(BV150,4)="Pool",INDEX(Cluster,MATCH(INDEX(Calculation_Tab,MATCH(INDEX($BE$4:$BJ$99,MATCH(BV150,$BE$4:$BE$99,0),3),Flow_Cell_Lane,0),3),Cluster!$F$29:$F$412,0),6),BV150),Identifier_Cluster,0),19)*IF(LEFT(BV150,4)="pool",IF(LEN(INDEX($BE$4:$BJ$99,MATCH(BV150,$BE$4:$BE$99,0),3))=10,2,IF(LEN(INDEX($BE$4:$BJ$99,MATCH(BV150,$BE$4:$BE$99,0),3))&gt;10,LEN(INDEX($BE$4:$BJ$99,MATCH(BV150,$BE$4:$BE$99,0),3))-8,1)),1)*IF(LEFT(BV150,4)="pool",IF(INDEX($BE$4:$BJ$99,MATCH(BV150,$BE$4:$BE$99,0),6)&lt;1,1,INDEX($BE$4:$BJ$99,MATCH(BV150,$BE$4:$BE$99,0),6)),INDEX(Calculation_Tab,MATCH(BV150,Identifier,0),10)),1)*(1+Calculation!$Q$6),"-")</f>
        <v>-</v>
      </c>
      <c r="BZ150" s="378" t="str">
        <f ca="1">IFERROR((0.5/50)*CE150/Calculation!$AG$6*(IF(LEFT(BV150,4)="Pool",IF(LEN(INDEX($BE$4:$BJ$99,MATCH(BV150,$BE$4:$BE$99,0),3))=10,2,IF(LEN(INDEX($BE$4:$BJ$99,MATCH(BV150,$BE$4:$BE$99,0),3))&gt;10,LEN(INDEX($BE$4:$BJ$99,MATCH(BV150,$BE$4:$BE$99,0),3))-8,1)),IF(INDEX(Calculation_Tab,MATCH(BV150,Identifier,0),10)&gt;1,INDEX(Calculation_Tab,MATCH(BV150,Identifier,0),10),1)))*(1+Calculation!$Q$6),"-")</f>
        <v>-</v>
      </c>
      <c r="CA150" s="510" t="str">
        <f ca="1">IFERROR(IF((BZ150*Calculation!$AG$6/0.05)-SUM(BY150:BZ150,CC150)&gt;0,(BZ150*Calculation!$AG$6/0.05)-SUM(BY150:BZ150,CC150),0),"-")</f>
        <v>-</v>
      </c>
      <c r="CB150" s="510" t="str">
        <f ca="1">IFERROR(5/50*CE150*(IF(LEFT(BV150,4)="Pool",IF(LEN(INDEX($BE$4:$BJ$99,MATCH(BV150,$BE$4:$BE$99,0),3))=10,2,IF(LEN(INDEX($BE$4:$BJ$99,MATCH(BV150,$BE$4:$BE$99,0),3))&gt;10,LEN(INDEX($BE$4:$BJ$99,MATCH(BV150,$BE$4:$BE$99,0),3))-8,1)),IF(INDEX(Calculation_Tab,MATCH(BV150,Identifier,0),10)&gt;1,INDEX(Calculation_Tab,MATCH(BV150,Identifier,0),10),1)))*(1+Calculation!$Q$6),"-")</f>
        <v>-</v>
      </c>
      <c r="CC150" s="508" t="str">
        <f ca="1">IFERROR(ROUND(INDEX(Cluster,MATCH(IF(LEFT(BV150,4)="Pool",INDEX(Cluster,MATCH(INDEX(Calculation_Tab,MATCH(INDEX($BE$4:$BJ$99,MATCH(BV150,$BE$4:$BE$99,0),3),Flow_Cell_Lane,0),3),Cluster!$F$29:$F$412,0),6),BV150),Identifier_Cluster,0),20)*IF(LEFT(BV150,4)="pool",IF(LEN(INDEX($BE$4:$BJ$99,MATCH(BV150,$BE$4:$BE$99,0),3))=10,2,IF(LEN(INDEX($BE$4:$BJ$99,MATCH(BV150,$BE$4:$BE$99,0),3))&gt;10,LEN(INDEX($BE$4:$BJ$99,MATCH(BV150,$BE$4:$BE$99,0),3))-8,1)),1)*IF(LEFT(BV150,4)="pool",IF(INDEX($BE$4:$BJ$99,MATCH(BV150,$BE$4:$BE$99,0),6)&lt;1,1,INDEX($BE$4:$BJ$99,MATCH(BV150,$BE$4:$BE$99,0),6)),INDEX(Calculation_Tab,MATCH(BV150,Identifier,0),10)),1)*(1+Calculation!$Q$6),"-")</f>
        <v>-</v>
      </c>
      <c r="CD150" s="509" t="str">
        <f ca="1">IFERROR(INDEX(Cluster!AC:AD,MATCH(IF(LEFT(BV150,4)="Pool",INDEX(Cluster!$D$29:$AA$412,MATCH(INDEX(Calculation_Tab,MATCH(INDEX($BE$4:$BJ$99,MATCH(BV150,$BE$4:$BE$99,0),3),Flow_Cell_Lane,0),3),Cluster!$F$29:$F$412,0),24),INDEX(Cluster!$D$29:$AA$412,MATCH(BV150,Cluster!$F$29:$F$412,0),24)),Cluster!AC:AC,0),2),"-")</f>
        <v>-</v>
      </c>
      <c r="CE150" s="378" t="str">
        <f ca="1">IFERROR(IF(BV150&lt;&gt;"-",Calculation!$AK$6,"-"),"-")</f>
        <v>-</v>
      </c>
      <c r="CF150" s="378" t="str">
        <f ca="1">IF(OR(LEFT(ListAndConversion!BW150,3)="Dil",LEFT(ListAndConversion!BW150,3)="Poo"),ListAndConversion!$BT$4,IF(LEFT(ListAndConversion!BW150,3)="Sou",INDEX(ListAndConversion!$AT$3:$AV$387,MATCH(ListAndConversion!BV150,ListAndConversion!$AV$3:$AV$387,0),1),"-"))</f>
        <v>-</v>
      </c>
      <c r="CG150" s="498" t="str">
        <f ca="1">IF(OR(LEFT(ListAndConversion!BW150,3)="Dil",LEFT(ListAndConversion!BW150,3)="Poo"),ListAndConversion!BU150,IF(LEFT(ListAndConversion!BW150,3)="Sou",INDEX(ListAndConversion!$AT$4:$AV$387,MATCH(ListAndConversion!BV150,ListAndConversion!$AV$4:$AV$387,0),2),"-"))</f>
        <v>-</v>
      </c>
      <c r="CH150" s="378"/>
      <c r="CI150" s="487" t="str">
        <f t="shared" ca="1" si="93"/>
        <v>-</v>
      </c>
      <c r="CJ150" s="378" t="str">
        <f t="shared" ca="1" si="98"/>
        <v>-</v>
      </c>
      <c r="CK150" s="378" t="str">
        <f t="shared" ca="1" si="98"/>
        <v>-</v>
      </c>
      <c r="CL150" s="378" t="str">
        <f t="shared" ca="1" si="98"/>
        <v>-</v>
      </c>
      <c r="CM150" s="378" t="str">
        <f t="shared" ca="1" si="98"/>
        <v>-</v>
      </c>
      <c r="CN150" s="378" t="str">
        <f t="shared" ca="1" si="98"/>
        <v>-</v>
      </c>
      <c r="CO150" s="378" t="str">
        <f t="shared" ca="1" si="98"/>
        <v>-</v>
      </c>
      <c r="CP150" s="378" t="str">
        <f t="shared" ca="1" si="98"/>
        <v>-</v>
      </c>
      <c r="CQ150" s="378" t="str">
        <f t="shared" ca="1" si="98"/>
        <v>-</v>
      </c>
      <c r="CR150" s="510" t="str">
        <f ca="1">IFERROR(IF(LEFT(BW150,3)="Poo",INDEX($BE$4:$BJ$99,MATCH(CI150,$BG$4:$BG$99,0),6)*((15/50))*Calculation!$AK$6,INDEX(Calculation_Tab,MATCH(BV150,Identifier,0),10)/(IF(LEN(INDEX(Calculation_Tab,MATCH(BV150,Identifier,0),9))&gt;8,LEN(INDEX(Calculation_Tab,MATCH(BV150,Identifier,0),9))-8,1))*((15/50)*Calculation!$AK$6)),"-")</f>
        <v>-</v>
      </c>
      <c r="CS150" s="498" t="str">
        <f ca="1">IF(CI150="-","-",IF(COUNTIF($CI$3:CI150,CI150)&gt;1,0,IFERROR((35/50)*Calculation!$AK$6,"-")))</f>
        <v>-</v>
      </c>
    </row>
    <row r="151" spans="4:97" x14ac:dyDescent="0.5">
      <c r="D151" s="487" t="e">
        <f t="shared" si="79"/>
        <v>#DIV/0!</v>
      </c>
      <c r="E151" s="496" t="e">
        <f t="array" ref="E151">IF(IF((ROW(E151)-3)&lt;(ListAndConversion!$A$15),INDEX(Flow_Cell_Lane,MIN(IF(COUNTIF($E$2:E150,Flow_Cell_Lane)=0,ROW(Flow_Cell_Lane)-9))),"-")="","-",IF((ROW(E151)-3)&lt;(ListAndConversion!$A$15),INDEX(Flow_Cell_Lane,MIN(IF(COUNTIF($E$2:E150,Flow_Cell_Lane)=0,ROW(Flow_Cell_Lane)-9))),"-"))</f>
        <v>#DIV/0!</v>
      </c>
      <c r="F151" s="378" t="e">
        <f t="shared" si="80"/>
        <v>#DIV/0!</v>
      </c>
      <c r="G151" s="378" t="e">
        <f t="shared" si="97"/>
        <v>#DIV/0!</v>
      </c>
      <c r="H151" s="378" t="e">
        <f t="shared" si="97"/>
        <v>#DIV/0!</v>
      </c>
      <c r="I151" s="378" t="e">
        <f t="shared" si="97"/>
        <v>#DIV/0!</v>
      </c>
      <c r="J151" s="378" t="e">
        <f t="shared" si="97"/>
        <v>#DIV/0!</v>
      </c>
      <c r="K151" s="378" t="e">
        <f t="shared" si="97"/>
        <v>#DIV/0!</v>
      </c>
      <c r="L151" s="378" t="e">
        <f t="shared" si="97"/>
        <v>#DIV/0!</v>
      </c>
      <c r="M151" s="378" t="e">
        <f t="shared" si="97"/>
        <v>#DIV/0!</v>
      </c>
      <c r="N151" s="497" t="e">
        <f t="shared" si="81"/>
        <v>#DIV/0!</v>
      </c>
      <c r="O151" s="497" t="str">
        <f t="array" ref="O151">IFERROR(INDEX(Calculation!I:AN,MATCH(ListAndConversion!E151,Calculation!I:I,0),31),"-")</f>
        <v>-</v>
      </c>
      <c r="P151" s="498">
        <f>IF(COUNTIFS(Calculation!$I$10:$I$393,E151,Direct_Denaturation,"-")&lt;&gt;1,COUNTIFS(Calculation!$I$10:$I$393,E151,Direct_Denaturation,"-"),0)</f>
        <v>0</v>
      </c>
      <c r="V151" s="542" t="s">
        <v>82</v>
      </c>
      <c r="W151" s="542" t="s">
        <v>82</v>
      </c>
      <c r="X151" s="542" t="s">
        <v>82</v>
      </c>
      <c r="Y151" s="542" t="s">
        <v>82</v>
      </c>
      <c r="Z151" s="542" t="s">
        <v>82</v>
      </c>
      <c r="AA151" s="542" t="s">
        <v>82</v>
      </c>
      <c r="AB151" s="542" t="s">
        <v>82</v>
      </c>
      <c r="AC151" s="542" t="s">
        <v>82</v>
      </c>
      <c r="AD151" s="542" t="s">
        <v>82</v>
      </c>
      <c r="AE151" s="542" t="s">
        <v>82</v>
      </c>
      <c r="AF151" s="542" t="s">
        <v>82</v>
      </c>
      <c r="AG151" s="542" t="s">
        <v>82</v>
      </c>
      <c r="AH151" s="9"/>
      <c r="AI151" s="487">
        <v>148</v>
      </c>
      <c r="AJ151" s="497" t="s">
        <v>161</v>
      </c>
      <c r="AK151" s="378">
        <v>52</v>
      </c>
      <c r="AL151" s="378" t="str">
        <f t="shared" ca="1" si="82"/>
        <v>-</v>
      </c>
      <c r="AM151" s="378" t="str">
        <f t="array" aca="1" ref="AM151" ca="1">IFERROR(IF(AI151&lt;=$AB$2,"-",INDEX(Calculation_Tab,SMALL(ROW(Main_Dil)*(Main_Dil&lt;&gt;"-"),COUNTIF(Main_Dil,"-")+ROW()-3-$AB$2)-9,5)),"-")</f>
        <v>-</v>
      </c>
      <c r="AN151" s="378" t="str">
        <f t="array" aca="1" ref="AN151" ca="1">IFERROR(IF(AI151&lt;=$AB$2,"-",INDEX($A$3:$B$12,MATCH(INDEX(Calculation_Tab,SMALL(ROW(Main_Dil)*(Main_Dil&lt;&gt;"-"),COUNTIF(Main_Dil,"-")+ROW()-3-$AB$2)-9,5),$A$3:$A$12,0),2)),"-")</f>
        <v>-</v>
      </c>
      <c r="AO151" s="378" t="str">
        <f t="array" aca="1" ref="AO151" ca="1">IFERROR(IF(AI151&lt;=$AB$2,"-",INDEX(Coordinate,MATCH(INDEX(Calculation_Tab,SMALL(ROW(Main_Dil)*(Main_Dil&lt;&gt;"-"),COUNTIF(Main_Dil,"-")+ROW()-3-$AB$2)-9,6),$X$4:$X$99,0),2)),"-")</f>
        <v>-</v>
      </c>
      <c r="AP151" s="510" t="str">
        <f t="array" aca="1" ref="AP151" ca="1">IFERROR(IF(AI151&lt;=$AB$2,"-",INDEX(Calculation_Tab,SMALL(ROW(Main_Dil)*(Main_Dil&lt;&gt;"-"),COUNTIF(Main_Dil,"-")+ROW()-3-$AB$2)-9,21)),"-")</f>
        <v>-</v>
      </c>
      <c r="AQ151" s="511" t="str">
        <f t="array" aca="1" ref="AQ151" ca="1">IFERROR(IF(AI151&lt;=$AB$2,"-",INDEX(Calculation_Tab,SMALL(ROW(Main_Dil)*(Main_Dil&lt;&gt;"-"),COUNTIF(Main_Dil,"-")+ROW()-3-$AB$2)-9,22)),"-")</f>
        <v>-</v>
      </c>
      <c r="AR151" s="487" t="str">
        <f t="shared" ca="1" si="83"/>
        <v>-</v>
      </c>
      <c r="AS151" s="378">
        <v>148</v>
      </c>
      <c r="AT151" s="497" t="s">
        <v>161</v>
      </c>
      <c r="AU151" s="498">
        <v>52</v>
      </c>
      <c r="AV151" s="378" t="str">
        <f t="shared" ca="1" si="84"/>
        <v>-</v>
      </c>
      <c r="AW151" s="378" t="str">
        <f t="array" aca="1" ref="AW151" ca="1">IFERROR(IF(AS151&lt;=$AB$2+$AN$2,"-",INDEX(Calculation_Tab,SMALL(ROW(Direct_Denaturation)*(Direct_Denaturation&lt;&gt;"-"),COUNTIF(Direct_Denaturation,"-")+ROW()-3-$AB$2-$AN$2)-9,5)),"-")</f>
        <v>-</v>
      </c>
      <c r="AX151" s="378" t="str">
        <f t="array" aca="1" ref="AX151" ca="1">IFERROR(IF(AS151&lt;=$AB$2+$AN$2,"-",INDEX($A$3:$B$12,MATCH(INDEX(Calculation_Tab,SMALL(ROW(Direct_Denaturation)*(Direct_Denaturation&lt;&gt;"-"),COUNTIF(Direct_Denaturation,"-")+ROW()-3-$AB$2-$AN$2)-9,5),$A$3:$A$12,0),2)),"-")</f>
        <v>-</v>
      </c>
      <c r="AY151" s="378" t="str">
        <f t="array" aca="1" ref="AY151" ca="1">IFERROR(IF(AS151&lt;=$AB$2+$AN$2,"-",INDEX(Coordinate,MATCH(INDEX(Calculation_Tab,SMALL(ROW(Direct_Denaturation)*(Direct_Denaturation&lt;&gt;"-"),COUNTIF(Direct_Denaturation,"-")+ROW()-3-$AB$2-$AN$2)-9,6),$X$4:$X$99,0),2)),"-")</f>
        <v>-</v>
      </c>
      <c r="AZ151" s="510" t="str">
        <f t="array" aca="1" ref="AZ151" ca="1">IFERROR(IF(AS151&lt;=$AB$2+$AN$2,"-",INDEX(Calculation_Tab,SMALL(ROW(Direct_Denaturation)*(Direct_Denaturation&lt;&gt;"-"),COUNTIF(Direct_Denaturation,"-")+ROW()-3-$AB$2-$AN$2)-9,32)),"-")</f>
        <v>-</v>
      </c>
      <c r="BA151" s="510" t="str">
        <f t="array" aca="1" ref="BA151" ca="1">IFERROR(IF(AS151&lt;=$AB$2+$AN$2,"-",INDEX(Calculation_Tab,SMALL(ROW(Direct_Denaturation)*(Direct_Denaturation&lt;&gt;"-"),COUNTIF(Direct_Denaturation,"-")+ROW()-3-$AB$2-$AN$2)-9,34)),"-")</f>
        <v>-</v>
      </c>
      <c r="BB151" s="510" t="str">
        <f t="array" aca="1" ref="BB151" ca="1">IFERROR(IF(AS151&lt;=$AB$2+$AN$2,"-",INDEX(Calculation_Tab,SMALL(ROW(Direct_Denaturation)*(Direct_Denaturation&lt;&gt;"-"),COUNTIF(Direct_Denaturation,"-")+ROW()-3-$AB$2-$AN$2)-9,33)),"-")</f>
        <v>-</v>
      </c>
      <c r="BC151" s="510" t="str">
        <f t="array" aca="1" ref="BC151" ca="1">IFERROR(IF(AS151&lt;=$AB$2+$AN$2,"-",INDEX(Calculation_Tab,SMALL(ROW(Direct_Denaturation)*(Direct_Denaturation&lt;&gt;"-"),COUNTIF(Direct_Denaturation,"-")+ROW()-3-$AB$2-$AN$2)-9,35)),"-")</f>
        <v>-</v>
      </c>
      <c r="BD151" s="511" t="str">
        <f t="shared" ca="1" si="85"/>
        <v>-</v>
      </c>
      <c r="BK151" s="542" t="s">
        <v>82</v>
      </c>
      <c r="BL151" s="542" t="s">
        <v>82</v>
      </c>
      <c r="BM151" s="487" t="str">
        <f t="array" aca="1" ref="BM151" ca="1">IFERROR(INDEX(Calculation_Tab,SMALL(ROW(ToPool)*(ToPool&lt;&gt;"-"),COUNTIF(ToPool,"-")+ROW()-3)-9,3),"-")</f>
        <v>-</v>
      </c>
      <c r="BN151" s="378" t="str">
        <f t="shared" ca="1" si="86"/>
        <v>-</v>
      </c>
      <c r="BO151" s="378" t="str">
        <f t="shared" ca="1" si="87"/>
        <v>-</v>
      </c>
      <c r="BP151" s="523" t="str">
        <f t="shared" ca="1" si="88"/>
        <v>-</v>
      </c>
      <c r="BQ151" s="378" t="str">
        <f t="array" aca="1" ref="BQ151" ca="1">IFERROR(INDEX(BE:BG,MATCH(INDEX(Calculation_Tab,SMALL(ROW(ToPool)*(ToPool&lt;&gt;"-"),COUNTIF(ToPool,"-")+ROW()-3)-9,9),BG:BG,0),2),"-")</f>
        <v>-</v>
      </c>
      <c r="BR151" s="510" t="str">
        <f t="shared" ca="1" si="89"/>
        <v>-</v>
      </c>
      <c r="BS151" s="511" t="str">
        <f t="shared" ca="1" si="90"/>
        <v>-</v>
      </c>
      <c r="BT151" s="543" t="s">
        <v>82</v>
      </c>
      <c r="BU151" s="487" t="str">
        <f t="shared" ca="1" si="95"/>
        <v>-</v>
      </c>
      <c r="BV151" s="487" t="str">
        <f t="array" aca="1" ref="BV15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51" s="378" t="str">
        <f t="shared" ca="1" si="91"/>
        <v>-</v>
      </c>
      <c r="BX151" s="378" t="str">
        <f t="shared" ca="1" si="92"/>
        <v>-</v>
      </c>
      <c r="BY151" s="510" t="str">
        <f ca="1">IFERROR(ROUND(INDEX(Cluster,MATCH(IF(LEFT(BV151,4)="Pool",INDEX(Cluster,MATCH(INDEX(Calculation_Tab,MATCH(INDEX($BE$4:$BJ$99,MATCH(BV151,$BE$4:$BE$99,0),3),Flow_Cell_Lane,0),3),Cluster!$F$29:$F$412,0),6),BV151),Identifier_Cluster,0),19)*IF(LEFT(BV151,4)="pool",IF(LEN(INDEX($BE$4:$BJ$99,MATCH(BV151,$BE$4:$BE$99,0),3))=10,2,IF(LEN(INDEX($BE$4:$BJ$99,MATCH(BV151,$BE$4:$BE$99,0),3))&gt;10,LEN(INDEX($BE$4:$BJ$99,MATCH(BV151,$BE$4:$BE$99,0),3))-8,1)),1)*IF(LEFT(BV151,4)="pool",IF(INDEX($BE$4:$BJ$99,MATCH(BV151,$BE$4:$BE$99,0),6)&lt;1,1,INDEX($BE$4:$BJ$99,MATCH(BV151,$BE$4:$BE$99,0),6)),INDEX(Calculation_Tab,MATCH(BV151,Identifier,0),10)),1)*(1+Calculation!$Q$6),"-")</f>
        <v>-</v>
      </c>
      <c r="BZ151" s="378" t="str">
        <f ca="1">IFERROR((0.5/50)*CE151/Calculation!$AG$6*(IF(LEFT(BV151,4)="Pool",IF(LEN(INDEX($BE$4:$BJ$99,MATCH(BV151,$BE$4:$BE$99,0),3))=10,2,IF(LEN(INDEX($BE$4:$BJ$99,MATCH(BV151,$BE$4:$BE$99,0),3))&gt;10,LEN(INDEX($BE$4:$BJ$99,MATCH(BV151,$BE$4:$BE$99,0),3))-8,1)),IF(INDEX(Calculation_Tab,MATCH(BV151,Identifier,0),10)&gt;1,INDEX(Calculation_Tab,MATCH(BV151,Identifier,0),10),1)))*(1+Calculation!$Q$6),"-")</f>
        <v>-</v>
      </c>
      <c r="CA151" s="510" t="str">
        <f ca="1">IFERROR(IF((BZ151*Calculation!$AG$6/0.05)-SUM(BY151:BZ151,CC151)&gt;0,(BZ151*Calculation!$AG$6/0.05)-SUM(BY151:BZ151,CC151),0),"-")</f>
        <v>-</v>
      </c>
      <c r="CB151" s="510" t="str">
        <f ca="1">IFERROR(5/50*CE151*(IF(LEFT(BV151,4)="Pool",IF(LEN(INDEX($BE$4:$BJ$99,MATCH(BV151,$BE$4:$BE$99,0),3))=10,2,IF(LEN(INDEX($BE$4:$BJ$99,MATCH(BV151,$BE$4:$BE$99,0),3))&gt;10,LEN(INDEX($BE$4:$BJ$99,MATCH(BV151,$BE$4:$BE$99,0),3))-8,1)),IF(INDEX(Calculation_Tab,MATCH(BV151,Identifier,0),10)&gt;1,INDEX(Calculation_Tab,MATCH(BV151,Identifier,0),10),1)))*(1+Calculation!$Q$6),"-")</f>
        <v>-</v>
      </c>
      <c r="CC151" s="508" t="str">
        <f ca="1">IFERROR(ROUND(INDEX(Cluster,MATCH(IF(LEFT(BV151,4)="Pool",INDEX(Cluster,MATCH(INDEX(Calculation_Tab,MATCH(INDEX($BE$4:$BJ$99,MATCH(BV151,$BE$4:$BE$99,0),3),Flow_Cell_Lane,0),3),Cluster!$F$29:$F$412,0),6),BV151),Identifier_Cluster,0),20)*IF(LEFT(BV151,4)="pool",IF(LEN(INDEX($BE$4:$BJ$99,MATCH(BV151,$BE$4:$BE$99,0),3))=10,2,IF(LEN(INDEX($BE$4:$BJ$99,MATCH(BV151,$BE$4:$BE$99,0),3))&gt;10,LEN(INDEX($BE$4:$BJ$99,MATCH(BV151,$BE$4:$BE$99,0),3))-8,1)),1)*IF(LEFT(BV151,4)="pool",IF(INDEX($BE$4:$BJ$99,MATCH(BV151,$BE$4:$BE$99,0),6)&lt;1,1,INDEX($BE$4:$BJ$99,MATCH(BV151,$BE$4:$BE$99,0),6)),INDEX(Calculation_Tab,MATCH(BV151,Identifier,0),10)),1)*(1+Calculation!$Q$6),"-")</f>
        <v>-</v>
      </c>
      <c r="CD151" s="509" t="str">
        <f ca="1">IFERROR(INDEX(Cluster!AC:AD,MATCH(IF(LEFT(BV151,4)="Pool",INDEX(Cluster!$D$29:$AA$412,MATCH(INDEX(Calculation_Tab,MATCH(INDEX($BE$4:$BJ$99,MATCH(BV151,$BE$4:$BE$99,0),3),Flow_Cell_Lane,0),3),Cluster!$F$29:$F$412,0),24),INDEX(Cluster!$D$29:$AA$412,MATCH(BV151,Cluster!$F$29:$F$412,0),24)),Cluster!AC:AC,0),2),"-")</f>
        <v>-</v>
      </c>
      <c r="CE151" s="378" t="str">
        <f ca="1">IFERROR(IF(BV151&lt;&gt;"-",Calculation!$AK$6,"-"),"-")</f>
        <v>-</v>
      </c>
      <c r="CF151" s="378" t="str">
        <f ca="1">IF(OR(LEFT(ListAndConversion!BW151,3)="Dil",LEFT(ListAndConversion!BW151,3)="Poo"),ListAndConversion!$BT$4,IF(LEFT(ListAndConversion!BW151,3)="Sou",INDEX(ListAndConversion!$AT$3:$AV$387,MATCH(ListAndConversion!BV151,ListAndConversion!$AV$3:$AV$387,0),1),"-"))</f>
        <v>-</v>
      </c>
      <c r="CG151" s="498" t="str">
        <f ca="1">IF(OR(LEFT(ListAndConversion!BW151,3)="Dil",LEFT(ListAndConversion!BW151,3)="Poo"),ListAndConversion!BU151,IF(LEFT(ListAndConversion!BW151,3)="Sou",INDEX(ListAndConversion!$AT$4:$AV$387,MATCH(ListAndConversion!BV151,ListAndConversion!$AV$4:$AV$387,0),2),"-"))</f>
        <v>-</v>
      </c>
      <c r="CH151" s="378"/>
      <c r="CI151" s="487" t="str">
        <f t="shared" ca="1" si="93"/>
        <v>-</v>
      </c>
      <c r="CJ151" s="378" t="str">
        <f t="shared" ca="1" si="98"/>
        <v>-</v>
      </c>
      <c r="CK151" s="378" t="str">
        <f t="shared" ca="1" si="98"/>
        <v>-</v>
      </c>
      <c r="CL151" s="378" t="str">
        <f t="shared" ca="1" si="98"/>
        <v>-</v>
      </c>
      <c r="CM151" s="378" t="str">
        <f t="shared" ca="1" si="98"/>
        <v>-</v>
      </c>
      <c r="CN151" s="378" t="str">
        <f t="shared" ca="1" si="98"/>
        <v>-</v>
      </c>
      <c r="CO151" s="378" t="str">
        <f t="shared" ca="1" si="98"/>
        <v>-</v>
      </c>
      <c r="CP151" s="378" t="str">
        <f t="shared" ca="1" si="98"/>
        <v>-</v>
      </c>
      <c r="CQ151" s="378" t="str">
        <f t="shared" ca="1" si="98"/>
        <v>-</v>
      </c>
      <c r="CR151" s="510" t="str">
        <f ca="1">IFERROR(IF(LEFT(BW151,3)="Poo",INDEX($BE$4:$BJ$99,MATCH(CI151,$BG$4:$BG$99,0),6)*((15/50))*Calculation!$AK$6,INDEX(Calculation_Tab,MATCH(BV151,Identifier,0),10)/(IF(LEN(INDEX(Calculation_Tab,MATCH(BV151,Identifier,0),9))&gt;8,LEN(INDEX(Calculation_Tab,MATCH(BV151,Identifier,0),9))-8,1))*((15/50)*Calculation!$AK$6)),"-")</f>
        <v>-</v>
      </c>
      <c r="CS151" s="498" t="str">
        <f ca="1">IF(CI151="-","-",IF(COUNTIF($CI$3:CI151,CI151)&gt;1,0,IFERROR((35/50)*Calculation!$AK$6,"-")))</f>
        <v>-</v>
      </c>
    </row>
    <row r="152" spans="4:97" x14ac:dyDescent="0.5">
      <c r="D152" s="487" t="e">
        <f t="shared" si="79"/>
        <v>#DIV/0!</v>
      </c>
      <c r="E152" s="496" t="e">
        <f t="array" ref="E152">IF(IF((ROW(E152)-3)&lt;(ListAndConversion!$A$15),INDEX(Flow_Cell_Lane,MIN(IF(COUNTIF($E$2:E151,Flow_Cell_Lane)=0,ROW(Flow_Cell_Lane)-9))),"-")="","-",IF((ROW(E152)-3)&lt;(ListAndConversion!$A$15),INDEX(Flow_Cell_Lane,MIN(IF(COUNTIF($E$2:E151,Flow_Cell_Lane)=0,ROW(Flow_Cell_Lane)-9))),"-"))</f>
        <v>#DIV/0!</v>
      </c>
      <c r="F152" s="378" t="e">
        <f t="shared" si="80"/>
        <v>#DIV/0!</v>
      </c>
      <c r="G152" s="378" t="e">
        <f t="shared" si="97"/>
        <v>#DIV/0!</v>
      </c>
      <c r="H152" s="378" t="e">
        <f t="shared" si="97"/>
        <v>#DIV/0!</v>
      </c>
      <c r="I152" s="378" t="e">
        <f t="shared" si="97"/>
        <v>#DIV/0!</v>
      </c>
      <c r="J152" s="378" t="e">
        <f t="shared" si="97"/>
        <v>#DIV/0!</v>
      </c>
      <c r="K152" s="378" t="e">
        <f t="shared" si="97"/>
        <v>#DIV/0!</v>
      </c>
      <c r="L152" s="378" t="e">
        <f t="shared" si="97"/>
        <v>#DIV/0!</v>
      </c>
      <c r="M152" s="378" t="e">
        <f t="shared" si="97"/>
        <v>#DIV/0!</v>
      </c>
      <c r="N152" s="497" t="e">
        <f t="shared" si="81"/>
        <v>#DIV/0!</v>
      </c>
      <c r="O152" s="497" t="str">
        <f t="array" ref="O152">IFERROR(INDEX(Calculation!I:AN,MATCH(ListAndConversion!E152,Calculation!I:I,0),31),"-")</f>
        <v>-</v>
      </c>
      <c r="P152" s="498">
        <f>IF(COUNTIFS(Calculation!$I$10:$I$393,E152,Direct_Denaturation,"-")&lt;&gt;1,COUNTIFS(Calculation!$I$10:$I$393,E152,Direct_Denaturation,"-"),0)</f>
        <v>0</v>
      </c>
      <c r="V152" s="542" t="s">
        <v>82</v>
      </c>
      <c r="W152" s="542" t="s">
        <v>82</v>
      </c>
      <c r="X152" s="542" t="s">
        <v>82</v>
      </c>
      <c r="Y152" s="542" t="s">
        <v>82</v>
      </c>
      <c r="Z152" s="542" t="s">
        <v>82</v>
      </c>
      <c r="AA152" s="542" t="s">
        <v>82</v>
      </c>
      <c r="AB152" s="542" t="s">
        <v>82</v>
      </c>
      <c r="AC152" s="542" t="s">
        <v>82</v>
      </c>
      <c r="AD152" s="542" t="s">
        <v>82</v>
      </c>
      <c r="AE152" s="542" t="s">
        <v>82</v>
      </c>
      <c r="AF152" s="542" t="s">
        <v>82</v>
      </c>
      <c r="AG152" s="542" t="s">
        <v>82</v>
      </c>
      <c r="AH152" s="9"/>
      <c r="AI152" s="487">
        <v>149</v>
      </c>
      <c r="AJ152" s="497" t="s">
        <v>161</v>
      </c>
      <c r="AK152" s="378">
        <v>53</v>
      </c>
      <c r="AL152" s="378" t="str">
        <f t="shared" ca="1" si="82"/>
        <v>-</v>
      </c>
      <c r="AM152" s="378" t="str">
        <f t="array" aca="1" ref="AM152" ca="1">IFERROR(IF(AI152&lt;=$AB$2,"-",INDEX(Calculation_Tab,SMALL(ROW(Main_Dil)*(Main_Dil&lt;&gt;"-"),COUNTIF(Main_Dil,"-")+ROW()-3-$AB$2)-9,5)),"-")</f>
        <v>-</v>
      </c>
      <c r="AN152" s="378" t="str">
        <f t="array" aca="1" ref="AN152" ca="1">IFERROR(IF(AI152&lt;=$AB$2,"-",INDEX($A$3:$B$12,MATCH(INDEX(Calculation_Tab,SMALL(ROW(Main_Dil)*(Main_Dil&lt;&gt;"-"),COUNTIF(Main_Dil,"-")+ROW()-3-$AB$2)-9,5),$A$3:$A$12,0),2)),"-")</f>
        <v>-</v>
      </c>
      <c r="AO152" s="378" t="str">
        <f t="array" aca="1" ref="AO152" ca="1">IFERROR(IF(AI152&lt;=$AB$2,"-",INDEX(Coordinate,MATCH(INDEX(Calculation_Tab,SMALL(ROW(Main_Dil)*(Main_Dil&lt;&gt;"-"),COUNTIF(Main_Dil,"-")+ROW()-3-$AB$2)-9,6),$X$4:$X$99,0),2)),"-")</f>
        <v>-</v>
      </c>
      <c r="AP152" s="510" t="str">
        <f t="array" aca="1" ref="AP152" ca="1">IFERROR(IF(AI152&lt;=$AB$2,"-",INDEX(Calculation_Tab,SMALL(ROW(Main_Dil)*(Main_Dil&lt;&gt;"-"),COUNTIF(Main_Dil,"-")+ROW()-3-$AB$2)-9,21)),"-")</f>
        <v>-</v>
      </c>
      <c r="AQ152" s="511" t="str">
        <f t="array" aca="1" ref="AQ152" ca="1">IFERROR(IF(AI152&lt;=$AB$2,"-",INDEX(Calculation_Tab,SMALL(ROW(Main_Dil)*(Main_Dil&lt;&gt;"-"),COUNTIF(Main_Dil,"-")+ROW()-3-$AB$2)-9,22)),"-")</f>
        <v>-</v>
      </c>
      <c r="AR152" s="487" t="str">
        <f t="shared" ca="1" si="83"/>
        <v>-</v>
      </c>
      <c r="AS152" s="378">
        <v>149</v>
      </c>
      <c r="AT152" s="497" t="s">
        <v>161</v>
      </c>
      <c r="AU152" s="498">
        <v>53</v>
      </c>
      <c r="AV152" s="378" t="str">
        <f t="shared" ca="1" si="84"/>
        <v>-</v>
      </c>
      <c r="AW152" s="378" t="str">
        <f t="array" aca="1" ref="AW152" ca="1">IFERROR(IF(AS152&lt;=$AB$2+$AN$2,"-",INDEX(Calculation_Tab,SMALL(ROW(Direct_Denaturation)*(Direct_Denaturation&lt;&gt;"-"),COUNTIF(Direct_Denaturation,"-")+ROW()-3-$AB$2-$AN$2)-9,5)),"-")</f>
        <v>-</v>
      </c>
      <c r="AX152" s="378" t="str">
        <f t="array" aca="1" ref="AX152" ca="1">IFERROR(IF(AS152&lt;=$AB$2+$AN$2,"-",INDEX($A$3:$B$12,MATCH(INDEX(Calculation_Tab,SMALL(ROW(Direct_Denaturation)*(Direct_Denaturation&lt;&gt;"-"),COUNTIF(Direct_Denaturation,"-")+ROW()-3-$AB$2-$AN$2)-9,5),$A$3:$A$12,0),2)),"-")</f>
        <v>-</v>
      </c>
      <c r="AY152" s="378" t="str">
        <f t="array" aca="1" ref="AY152" ca="1">IFERROR(IF(AS152&lt;=$AB$2+$AN$2,"-",INDEX(Coordinate,MATCH(INDEX(Calculation_Tab,SMALL(ROW(Direct_Denaturation)*(Direct_Denaturation&lt;&gt;"-"),COUNTIF(Direct_Denaturation,"-")+ROW()-3-$AB$2-$AN$2)-9,6),$X$4:$X$99,0),2)),"-")</f>
        <v>-</v>
      </c>
      <c r="AZ152" s="510" t="str">
        <f t="array" aca="1" ref="AZ152" ca="1">IFERROR(IF(AS152&lt;=$AB$2+$AN$2,"-",INDEX(Calculation_Tab,SMALL(ROW(Direct_Denaturation)*(Direct_Denaturation&lt;&gt;"-"),COUNTIF(Direct_Denaturation,"-")+ROW()-3-$AB$2-$AN$2)-9,32)),"-")</f>
        <v>-</v>
      </c>
      <c r="BA152" s="510" t="str">
        <f t="array" aca="1" ref="BA152" ca="1">IFERROR(IF(AS152&lt;=$AB$2+$AN$2,"-",INDEX(Calculation_Tab,SMALL(ROW(Direct_Denaturation)*(Direct_Denaturation&lt;&gt;"-"),COUNTIF(Direct_Denaturation,"-")+ROW()-3-$AB$2-$AN$2)-9,34)),"-")</f>
        <v>-</v>
      </c>
      <c r="BB152" s="510" t="str">
        <f t="array" aca="1" ref="BB152" ca="1">IFERROR(IF(AS152&lt;=$AB$2+$AN$2,"-",INDEX(Calculation_Tab,SMALL(ROW(Direct_Denaturation)*(Direct_Denaturation&lt;&gt;"-"),COUNTIF(Direct_Denaturation,"-")+ROW()-3-$AB$2-$AN$2)-9,33)),"-")</f>
        <v>-</v>
      </c>
      <c r="BC152" s="510" t="str">
        <f t="array" aca="1" ref="BC152" ca="1">IFERROR(IF(AS152&lt;=$AB$2+$AN$2,"-",INDEX(Calculation_Tab,SMALL(ROW(Direct_Denaturation)*(Direct_Denaturation&lt;&gt;"-"),COUNTIF(Direct_Denaturation,"-")+ROW()-3-$AB$2-$AN$2)-9,35)),"-")</f>
        <v>-</v>
      </c>
      <c r="BD152" s="511" t="str">
        <f t="shared" ca="1" si="85"/>
        <v>-</v>
      </c>
      <c r="BK152" s="542" t="s">
        <v>82</v>
      </c>
      <c r="BL152" s="542" t="s">
        <v>82</v>
      </c>
      <c r="BM152" s="487" t="str">
        <f t="array" aca="1" ref="BM152" ca="1">IFERROR(INDEX(Calculation_Tab,SMALL(ROW(ToPool)*(ToPool&lt;&gt;"-"),COUNTIF(ToPool,"-")+ROW()-3)-9,3),"-")</f>
        <v>-</v>
      </c>
      <c r="BN152" s="378" t="str">
        <f t="shared" ca="1" si="86"/>
        <v>-</v>
      </c>
      <c r="BO152" s="378" t="str">
        <f t="shared" ca="1" si="87"/>
        <v>-</v>
      </c>
      <c r="BP152" s="523" t="str">
        <f t="shared" ca="1" si="88"/>
        <v>-</v>
      </c>
      <c r="BQ152" s="378" t="str">
        <f t="array" aca="1" ref="BQ152" ca="1">IFERROR(INDEX(BE:BG,MATCH(INDEX(Calculation_Tab,SMALL(ROW(ToPool)*(ToPool&lt;&gt;"-"),COUNTIF(ToPool,"-")+ROW()-3)-9,9),BG:BG,0),2),"-")</f>
        <v>-</v>
      </c>
      <c r="BR152" s="510" t="str">
        <f t="shared" ca="1" si="89"/>
        <v>-</v>
      </c>
      <c r="BS152" s="511" t="str">
        <f t="shared" ca="1" si="90"/>
        <v>-</v>
      </c>
      <c r="BT152" s="543" t="s">
        <v>82</v>
      </c>
      <c r="BU152" s="487" t="str">
        <f t="shared" ca="1" si="95"/>
        <v>-</v>
      </c>
      <c r="BV152" s="487" t="str">
        <f t="array" aca="1" ref="BV15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52" s="378" t="str">
        <f t="shared" ca="1" si="91"/>
        <v>-</v>
      </c>
      <c r="BX152" s="378" t="str">
        <f t="shared" ca="1" si="92"/>
        <v>-</v>
      </c>
      <c r="BY152" s="510" t="str">
        <f ca="1">IFERROR(ROUND(INDEX(Cluster,MATCH(IF(LEFT(BV152,4)="Pool",INDEX(Cluster,MATCH(INDEX(Calculation_Tab,MATCH(INDEX($BE$4:$BJ$99,MATCH(BV152,$BE$4:$BE$99,0),3),Flow_Cell_Lane,0),3),Cluster!$F$29:$F$412,0),6),BV152),Identifier_Cluster,0),19)*IF(LEFT(BV152,4)="pool",IF(LEN(INDEX($BE$4:$BJ$99,MATCH(BV152,$BE$4:$BE$99,0),3))=10,2,IF(LEN(INDEX($BE$4:$BJ$99,MATCH(BV152,$BE$4:$BE$99,0),3))&gt;10,LEN(INDEX($BE$4:$BJ$99,MATCH(BV152,$BE$4:$BE$99,0),3))-8,1)),1)*IF(LEFT(BV152,4)="pool",IF(INDEX($BE$4:$BJ$99,MATCH(BV152,$BE$4:$BE$99,0),6)&lt;1,1,INDEX($BE$4:$BJ$99,MATCH(BV152,$BE$4:$BE$99,0),6)),INDEX(Calculation_Tab,MATCH(BV152,Identifier,0),10)),1)*(1+Calculation!$Q$6),"-")</f>
        <v>-</v>
      </c>
      <c r="BZ152" s="378" t="str">
        <f ca="1">IFERROR((0.5/50)*CE152/Calculation!$AG$6*(IF(LEFT(BV152,4)="Pool",IF(LEN(INDEX($BE$4:$BJ$99,MATCH(BV152,$BE$4:$BE$99,0),3))=10,2,IF(LEN(INDEX($BE$4:$BJ$99,MATCH(BV152,$BE$4:$BE$99,0),3))&gt;10,LEN(INDEX($BE$4:$BJ$99,MATCH(BV152,$BE$4:$BE$99,0),3))-8,1)),IF(INDEX(Calculation_Tab,MATCH(BV152,Identifier,0),10)&gt;1,INDEX(Calculation_Tab,MATCH(BV152,Identifier,0),10),1)))*(1+Calculation!$Q$6),"-")</f>
        <v>-</v>
      </c>
      <c r="CA152" s="510" t="str">
        <f ca="1">IFERROR(IF((BZ152*Calculation!$AG$6/0.05)-SUM(BY152:BZ152,CC152)&gt;0,(BZ152*Calculation!$AG$6/0.05)-SUM(BY152:BZ152,CC152),0),"-")</f>
        <v>-</v>
      </c>
      <c r="CB152" s="510" t="str">
        <f ca="1">IFERROR(5/50*CE152*(IF(LEFT(BV152,4)="Pool",IF(LEN(INDEX($BE$4:$BJ$99,MATCH(BV152,$BE$4:$BE$99,0),3))=10,2,IF(LEN(INDEX($BE$4:$BJ$99,MATCH(BV152,$BE$4:$BE$99,0),3))&gt;10,LEN(INDEX($BE$4:$BJ$99,MATCH(BV152,$BE$4:$BE$99,0),3))-8,1)),IF(INDEX(Calculation_Tab,MATCH(BV152,Identifier,0),10)&gt;1,INDEX(Calculation_Tab,MATCH(BV152,Identifier,0),10),1)))*(1+Calculation!$Q$6),"-")</f>
        <v>-</v>
      </c>
      <c r="CC152" s="508" t="str">
        <f ca="1">IFERROR(ROUND(INDEX(Cluster,MATCH(IF(LEFT(BV152,4)="Pool",INDEX(Cluster,MATCH(INDEX(Calculation_Tab,MATCH(INDEX($BE$4:$BJ$99,MATCH(BV152,$BE$4:$BE$99,0),3),Flow_Cell_Lane,0),3),Cluster!$F$29:$F$412,0),6),BV152),Identifier_Cluster,0),20)*IF(LEFT(BV152,4)="pool",IF(LEN(INDEX($BE$4:$BJ$99,MATCH(BV152,$BE$4:$BE$99,0),3))=10,2,IF(LEN(INDEX($BE$4:$BJ$99,MATCH(BV152,$BE$4:$BE$99,0),3))&gt;10,LEN(INDEX($BE$4:$BJ$99,MATCH(BV152,$BE$4:$BE$99,0),3))-8,1)),1)*IF(LEFT(BV152,4)="pool",IF(INDEX($BE$4:$BJ$99,MATCH(BV152,$BE$4:$BE$99,0),6)&lt;1,1,INDEX($BE$4:$BJ$99,MATCH(BV152,$BE$4:$BE$99,0),6)),INDEX(Calculation_Tab,MATCH(BV152,Identifier,0),10)),1)*(1+Calculation!$Q$6),"-")</f>
        <v>-</v>
      </c>
      <c r="CD152" s="509" t="str">
        <f ca="1">IFERROR(INDEX(Cluster!AC:AD,MATCH(IF(LEFT(BV152,4)="Pool",INDEX(Cluster!$D$29:$AA$412,MATCH(INDEX(Calculation_Tab,MATCH(INDEX($BE$4:$BJ$99,MATCH(BV152,$BE$4:$BE$99,0),3),Flow_Cell_Lane,0),3),Cluster!$F$29:$F$412,0),24),INDEX(Cluster!$D$29:$AA$412,MATCH(BV152,Cluster!$F$29:$F$412,0),24)),Cluster!AC:AC,0),2),"-")</f>
        <v>-</v>
      </c>
      <c r="CE152" s="378" t="str">
        <f ca="1">IFERROR(IF(BV152&lt;&gt;"-",Calculation!$AK$6,"-"),"-")</f>
        <v>-</v>
      </c>
      <c r="CF152" s="378" t="str">
        <f ca="1">IF(OR(LEFT(ListAndConversion!BW152,3)="Dil",LEFT(ListAndConversion!BW152,3)="Poo"),ListAndConversion!$BT$4,IF(LEFT(ListAndConversion!BW152,3)="Sou",INDEX(ListAndConversion!$AT$3:$AV$387,MATCH(ListAndConversion!BV152,ListAndConversion!$AV$3:$AV$387,0),1),"-"))</f>
        <v>-</v>
      </c>
      <c r="CG152" s="498" t="str">
        <f ca="1">IF(OR(LEFT(ListAndConversion!BW152,3)="Dil",LEFT(ListAndConversion!BW152,3)="Poo"),ListAndConversion!BU152,IF(LEFT(ListAndConversion!BW152,3)="Sou",INDEX(ListAndConversion!$AT$4:$AV$387,MATCH(ListAndConversion!BV152,ListAndConversion!$AV$4:$AV$387,0),2),"-"))</f>
        <v>-</v>
      </c>
      <c r="CH152" s="378"/>
      <c r="CI152" s="487" t="str">
        <f t="shared" ca="1" si="93"/>
        <v>-</v>
      </c>
      <c r="CJ152" s="378" t="str">
        <f t="shared" ca="1" si="98"/>
        <v>-</v>
      </c>
      <c r="CK152" s="378" t="str">
        <f t="shared" ca="1" si="98"/>
        <v>-</v>
      </c>
      <c r="CL152" s="378" t="str">
        <f t="shared" ca="1" si="98"/>
        <v>-</v>
      </c>
      <c r="CM152" s="378" t="str">
        <f t="shared" ca="1" si="98"/>
        <v>-</v>
      </c>
      <c r="CN152" s="378" t="str">
        <f t="shared" ca="1" si="98"/>
        <v>-</v>
      </c>
      <c r="CO152" s="378" t="str">
        <f t="shared" ca="1" si="98"/>
        <v>-</v>
      </c>
      <c r="CP152" s="378" t="str">
        <f t="shared" ca="1" si="98"/>
        <v>-</v>
      </c>
      <c r="CQ152" s="378" t="str">
        <f t="shared" ca="1" si="98"/>
        <v>-</v>
      </c>
      <c r="CR152" s="510" t="str">
        <f ca="1">IFERROR(IF(LEFT(BW152,3)="Poo",INDEX($BE$4:$BJ$99,MATCH(CI152,$BG$4:$BG$99,0),6)*((15/50))*Calculation!$AK$6,INDEX(Calculation_Tab,MATCH(BV152,Identifier,0),10)/(IF(LEN(INDEX(Calculation_Tab,MATCH(BV152,Identifier,0),9))&gt;8,LEN(INDEX(Calculation_Tab,MATCH(BV152,Identifier,0),9))-8,1))*((15/50)*Calculation!$AK$6)),"-")</f>
        <v>-</v>
      </c>
      <c r="CS152" s="498" t="str">
        <f ca="1">IF(CI152="-","-",IF(COUNTIF($CI$3:CI152,CI152)&gt;1,0,IFERROR((35/50)*Calculation!$AK$6,"-")))</f>
        <v>-</v>
      </c>
    </row>
    <row r="153" spans="4:97" x14ac:dyDescent="0.5">
      <c r="D153" s="487" t="e">
        <f t="shared" si="79"/>
        <v>#DIV/0!</v>
      </c>
      <c r="E153" s="496" t="e">
        <f t="array" ref="E153">IF(IF((ROW(E153)-3)&lt;(ListAndConversion!$A$15),INDEX(Flow_Cell_Lane,MIN(IF(COUNTIF($E$2:E152,Flow_Cell_Lane)=0,ROW(Flow_Cell_Lane)-9))),"-")="","-",IF((ROW(E153)-3)&lt;(ListAndConversion!$A$15),INDEX(Flow_Cell_Lane,MIN(IF(COUNTIF($E$2:E152,Flow_Cell_Lane)=0,ROW(Flow_Cell_Lane)-9))),"-"))</f>
        <v>#DIV/0!</v>
      </c>
      <c r="F153" s="378" t="e">
        <f t="shared" si="80"/>
        <v>#DIV/0!</v>
      </c>
      <c r="G153" s="378" t="e">
        <f t="shared" ref="G153:M162" si="99">IF($D153&gt;8,IF($D153&gt;=(8+G$2),CONCATENATE(LEFT($E153,7),RIGHT(LEFT($E153,8+G$2),1)),""),"")</f>
        <v>#DIV/0!</v>
      </c>
      <c r="H153" s="378" t="e">
        <f t="shared" si="99"/>
        <v>#DIV/0!</v>
      </c>
      <c r="I153" s="378" t="e">
        <f t="shared" si="99"/>
        <v>#DIV/0!</v>
      </c>
      <c r="J153" s="378" t="e">
        <f t="shared" si="99"/>
        <v>#DIV/0!</v>
      </c>
      <c r="K153" s="378" t="e">
        <f t="shared" si="99"/>
        <v>#DIV/0!</v>
      </c>
      <c r="L153" s="378" t="e">
        <f t="shared" si="99"/>
        <v>#DIV/0!</v>
      </c>
      <c r="M153" s="378" t="e">
        <f t="shared" si="99"/>
        <v>#DIV/0!</v>
      </c>
      <c r="N153" s="497" t="e">
        <f t="shared" si="81"/>
        <v>#DIV/0!</v>
      </c>
      <c r="O153" s="497" t="str">
        <f t="array" ref="O153">IFERROR(INDEX(Calculation!I:AN,MATCH(ListAndConversion!E153,Calculation!I:I,0),31),"-")</f>
        <v>-</v>
      </c>
      <c r="P153" s="498">
        <f>IF(COUNTIFS(Calculation!$I$10:$I$393,E153,Direct_Denaturation,"-")&lt;&gt;1,COUNTIFS(Calculation!$I$10:$I$393,E153,Direct_Denaturation,"-"),0)</f>
        <v>0</v>
      </c>
      <c r="V153" s="542" t="s">
        <v>82</v>
      </c>
      <c r="W153" s="542" t="s">
        <v>82</v>
      </c>
      <c r="X153" s="542" t="s">
        <v>82</v>
      </c>
      <c r="Y153" s="542" t="s">
        <v>82</v>
      </c>
      <c r="Z153" s="542" t="s">
        <v>82</v>
      </c>
      <c r="AA153" s="542" t="s">
        <v>82</v>
      </c>
      <c r="AB153" s="542" t="s">
        <v>82</v>
      </c>
      <c r="AC153" s="542" t="s">
        <v>82</v>
      </c>
      <c r="AD153" s="542" t="s">
        <v>82</v>
      </c>
      <c r="AE153" s="542" t="s">
        <v>82</v>
      </c>
      <c r="AF153" s="542" t="s">
        <v>82</v>
      </c>
      <c r="AG153" s="542" t="s">
        <v>82</v>
      </c>
      <c r="AH153" s="9"/>
      <c r="AI153" s="487">
        <v>150</v>
      </c>
      <c r="AJ153" s="497" t="s">
        <v>161</v>
      </c>
      <c r="AK153" s="378">
        <v>54</v>
      </c>
      <c r="AL153" s="378" t="str">
        <f t="shared" ca="1" si="82"/>
        <v>-</v>
      </c>
      <c r="AM153" s="378" t="str">
        <f t="array" aca="1" ref="AM153" ca="1">IFERROR(IF(AI153&lt;=$AB$2,"-",INDEX(Calculation_Tab,SMALL(ROW(Main_Dil)*(Main_Dil&lt;&gt;"-"),COUNTIF(Main_Dil,"-")+ROW()-3-$AB$2)-9,5)),"-")</f>
        <v>-</v>
      </c>
      <c r="AN153" s="378" t="str">
        <f t="array" aca="1" ref="AN153" ca="1">IFERROR(IF(AI153&lt;=$AB$2,"-",INDEX($A$3:$B$12,MATCH(INDEX(Calculation_Tab,SMALL(ROW(Main_Dil)*(Main_Dil&lt;&gt;"-"),COUNTIF(Main_Dil,"-")+ROW()-3-$AB$2)-9,5),$A$3:$A$12,0),2)),"-")</f>
        <v>-</v>
      </c>
      <c r="AO153" s="378" t="str">
        <f t="array" aca="1" ref="AO153" ca="1">IFERROR(IF(AI153&lt;=$AB$2,"-",INDEX(Coordinate,MATCH(INDEX(Calculation_Tab,SMALL(ROW(Main_Dil)*(Main_Dil&lt;&gt;"-"),COUNTIF(Main_Dil,"-")+ROW()-3-$AB$2)-9,6),$X$4:$X$99,0),2)),"-")</f>
        <v>-</v>
      </c>
      <c r="AP153" s="510" t="str">
        <f t="array" aca="1" ref="AP153" ca="1">IFERROR(IF(AI153&lt;=$AB$2,"-",INDEX(Calculation_Tab,SMALL(ROW(Main_Dil)*(Main_Dil&lt;&gt;"-"),COUNTIF(Main_Dil,"-")+ROW()-3-$AB$2)-9,21)),"-")</f>
        <v>-</v>
      </c>
      <c r="AQ153" s="511" t="str">
        <f t="array" aca="1" ref="AQ153" ca="1">IFERROR(IF(AI153&lt;=$AB$2,"-",INDEX(Calculation_Tab,SMALL(ROW(Main_Dil)*(Main_Dil&lt;&gt;"-"),COUNTIF(Main_Dil,"-")+ROW()-3-$AB$2)-9,22)),"-")</f>
        <v>-</v>
      </c>
      <c r="AR153" s="487" t="str">
        <f t="shared" ca="1" si="83"/>
        <v>-</v>
      </c>
      <c r="AS153" s="378">
        <v>150</v>
      </c>
      <c r="AT153" s="497" t="s">
        <v>161</v>
      </c>
      <c r="AU153" s="498">
        <v>54</v>
      </c>
      <c r="AV153" s="378" t="str">
        <f t="shared" ca="1" si="84"/>
        <v>-</v>
      </c>
      <c r="AW153" s="378" t="str">
        <f t="array" aca="1" ref="AW153" ca="1">IFERROR(IF(AS153&lt;=$AB$2+$AN$2,"-",INDEX(Calculation_Tab,SMALL(ROW(Direct_Denaturation)*(Direct_Denaturation&lt;&gt;"-"),COUNTIF(Direct_Denaturation,"-")+ROW()-3-$AB$2-$AN$2)-9,5)),"-")</f>
        <v>-</v>
      </c>
      <c r="AX153" s="378" t="str">
        <f t="array" aca="1" ref="AX153" ca="1">IFERROR(IF(AS153&lt;=$AB$2+$AN$2,"-",INDEX($A$3:$B$12,MATCH(INDEX(Calculation_Tab,SMALL(ROW(Direct_Denaturation)*(Direct_Denaturation&lt;&gt;"-"),COUNTIF(Direct_Denaturation,"-")+ROW()-3-$AB$2-$AN$2)-9,5),$A$3:$A$12,0),2)),"-")</f>
        <v>-</v>
      </c>
      <c r="AY153" s="378" t="str">
        <f t="array" aca="1" ref="AY153" ca="1">IFERROR(IF(AS153&lt;=$AB$2+$AN$2,"-",INDEX(Coordinate,MATCH(INDEX(Calculation_Tab,SMALL(ROW(Direct_Denaturation)*(Direct_Denaturation&lt;&gt;"-"),COUNTIF(Direct_Denaturation,"-")+ROW()-3-$AB$2-$AN$2)-9,6),$X$4:$X$99,0),2)),"-")</f>
        <v>-</v>
      </c>
      <c r="AZ153" s="510" t="str">
        <f t="array" aca="1" ref="AZ153" ca="1">IFERROR(IF(AS153&lt;=$AB$2+$AN$2,"-",INDEX(Calculation_Tab,SMALL(ROW(Direct_Denaturation)*(Direct_Denaturation&lt;&gt;"-"),COUNTIF(Direct_Denaturation,"-")+ROW()-3-$AB$2-$AN$2)-9,32)),"-")</f>
        <v>-</v>
      </c>
      <c r="BA153" s="510" t="str">
        <f t="array" aca="1" ref="BA153" ca="1">IFERROR(IF(AS153&lt;=$AB$2+$AN$2,"-",INDEX(Calculation_Tab,SMALL(ROW(Direct_Denaturation)*(Direct_Denaturation&lt;&gt;"-"),COUNTIF(Direct_Denaturation,"-")+ROW()-3-$AB$2-$AN$2)-9,34)),"-")</f>
        <v>-</v>
      </c>
      <c r="BB153" s="510" t="str">
        <f t="array" aca="1" ref="BB153" ca="1">IFERROR(IF(AS153&lt;=$AB$2+$AN$2,"-",INDEX(Calculation_Tab,SMALL(ROW(Direct_Denaturation)*(Direct_Denaturation&lt;&gt;"-"),COUNTIF(Direct_Denaturation,"-")+ROW()-3-$AB$2-$AN$2)-9,33)),"-")</f>
        <v>-</v>
      </c>
      <c r="BC153" s="510" t="str">
        <f t="array" aca="1" ref="BC153" ca="1">IFERROR(IF(AS153&lt;=$AB$2+$AN$2,"-",INDEX(Calculation_Tab,SMALL(ROW(Direct_Denaturation)*(Direct_Denaturation&lt;&gt;"-"),COUNTIF(Direct_Denaturation,"-")+ROW()-3-$AB$2-$AN$2)-9,35)),"-")</f>
        <v>-</v>
      </c>
      <c r="BD153" s="511" t="str">
        <f t="shared" ca="1" si="85"/>
        <v>-</v>
      </c>
      <c r="BK153" s="542" t="s">
        <v>82</v>
      </c>
      <c r="BL153" s="542" t="s">
        <v>82</v>
      </c>
      <c r="BM153" s="487" t="str">
        <f t="array" aca="1" ref="BM153" ca="1">IFERROR(INDEX(Calculation_Tab,SMALL(ROW(ToPool)*(ToPool&lt;&gt;"-"),COUNTIF(ToPool,"-")+ROW()-3)-9,3),"-")</f>
        <v>-</v>
      </c>
      <c r="BN153" s="378" t="str">
        <f t="shared" ca="1" si="86"/>
        <v>-</v>
      </c>
      <c r="BO153" s="378" t="str">
        <f t="shared" ca="1" si="87"/>
        <v>-</v>
      </c>
      <c r="BP153" s="523" t="str">
        <f t="shared" ca="1" si="88"/>
        <v>-</v>
      </c>
      <c r="BQ153" s="378" t="str">
        <f t="array" aca="1" ref="BQ153" ca="1">IFERROR(INDEX(BE:BG,MATCH(INDEX(Calculation_Tab,SMALL(ROW(ToPool)*(ToPool&lt;&gt;"-"),COUNTIF(ToPool,"-")+ROW()-3)-9,9),BG:BG,0),2),"-")</f>
        <v>-</v>
      </c>
      <c r="BR153" s="510" t="str">
        <f t="shared" ca="1" si="89"/>
        <v>-</v>
      </c>
      <c r="BS153" s="511" t="str">
        <f t="shared" ca="1" si="90"/>
        <v>-</v>
      </c>
      <c r="BT153" s="543" t="s">
        <v>82</v>
      </c>
      <c r="BU153" s="487" t="str">
        <f t="shared" ca="1" si="95"/>
        <v>-</v>
      </c>
      <c r="BV153" s="487" t="str">
        <f t="array" aca="1" ref="BV15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53" s="378" t="str">
        <f t="shared" ca="1" si="91"/>
        <v>-</v>
      </c>
      <c r="BX153" s="378" t="str">
        <f t="shared" ca="1" si="92"/>
        <v>-</v>
      </c>
      <c r="BY153" s="510" t="str">
        <f ca="1">IFERROR(ROUND(INDEX(Cluster,MATCH(IF(LEFT(BV153,4)="Pool",INDEX(Cluster,MATCH(INDEX(Calculation_Tab,MATCH(INDEX($BE$4:$BJ$99,MATCH(BV153,$BE$4:$BE$99,0),3),Flow_Cell_Lane,0),3),Cluster!$F$29:$F$412,0),6),BV153),Identifier_Cluster,0),19)*IF(LEFT(BV153,4)="pool",IF(LEN(INDEX($BE$4:$BJ$99,MATCH(BV153,$BE$4:$BE$99,0),3))=10,2,IF(LEN(INDEX($BE$4:$BJ$99,MATCH(BV153,$BE$4:$BE$99,0),3))&gt;10,LEN(INDEX($BE$4:$BJ$99,MATCH(BV153,$BE$4:$BE$99,0),3))-8,1)),1)*IF(LEFT(BV153,4)="pool",IF(INDEX($BE$4:$BJ$99,MATCH(BV153,$BE$4:$BE$99,0),6)&lt;1,1,INDEX($BE$4:$BJ$99,MATCH(BV153,$BE$4:$BE$99,0),6)),INDEX(Calculation_Tab,MATCH(BV153,Identifier,0),10)),1)*(1+Calculation!$Q$6),"-")</f>
        <v>-</v>
      </c>
      <c r="BZ153" s="378" t="str">
        <f ca="1">IFERROR((0.5/50)*CE153/Calculation!$AG$6*(IF(LEFT(BV153,4)="Pool",IF(LEN(INDEX($BE$4:$BJ$99,MATCH(BV153,$BE$4:$BE$99,0),3))=10,2,IF(LEN(INDEX($BE$4:$BJ$99,MATCH(BV153,$BE$4:$BE$99,0),3))&gt;10,LEN(INDEX($BE$4:$BJ$99,MATCH(BV153,$BE$4:$BE$99,0),3))-8,1)),IF(INDEX(Calculation_Tab,MATCH(BV153,Identifier,0),10)&gt;1,INDEX(Calculation_Tab,MATCH(BV153,Identifier,0),10),1)))*(1+Calculation!$Q$6),"-")</f>
        <v>-</v>
      </c>
      <c r="CA153" s="510" t="str">
        <f ca="1">IFERROR(IF((BZ153*Calculation!$AG$6/0.05)-SUM(BY153:BZ153,CC153)&gt;0,(BZ153*Calculation!$AG$6/0.05)-SUM(BY153:BZ153,CC153),0),"-")</f>
        <v>-</v>
      </c>
      <c r="CB153" s="510" t="str">
        <f ca="1">IFERROR(5/50*CE153*(IF(LEFT(BV153,4)="Pool",IF(LEN(INDEX($BE$4:$BJ$99,MATCH(BV153,$BE$4:$BE$99,0),3))=10,2,IF(LEN(INDEX($BE$4:$BJ$99,MATCH(BV153,$BE$4:$BE$99,0),3))&gt;10,LEN(INDEX($BE$4:$BJ$99,MATCH(BV153,$BE$4:$BE$99,0),3))-8,1)),IF(INDEX(Calculation_Tab,MATCH(BV153,Identifier,0),10)&gt;1,INDEX(Calculation_Tab,MATCH(BV153,Identifier,0),10),1)))*(1+Calculation!$Q$6),"-")</f>
        <v>-</v>
      </c>
      <c r="CC153" s="508" t="str">
        <f ca="1">IFERROR(ROUND(INDEX(Cluster,MATCH(IF(LEFT(BV153,4)="Pool",INDEX(Cluster,MATCH(INDEX(Calculation_Tab,MATCH(INDEX($BE$4:$BJ$99,MATCH(BV153,$BE$4:$BE$99,0),3),Flow_Cell_Lane,0),3),Cluster!$F$29:$F$412,0),6),BV153),Identifier_Cluster,0),20)*IF(LEFT(BV153,4)="pool",IF(LEN(INDEX($BE$4:$BJ$99,MATCH(BV153,$BE$4:$BE$99,0),3))=10,2,IF(LEN(INDEX($BE$4:$BJ$99,MATCH(BV153,$BE$4:$BE$99,0),3))&gt;10,LEN(INDEX($BE$4:$BJ$99,MATCH(BV153,$BE$4:$BE$99,0),3))-8,1)),1)*IF(LEFT(BV153,4)="pool",IF(INDEX($BE$4:$BJ$99,MATCH(BV153,$BE$4:$BE$99,0),6)&lt;1,1,INDEX($BE$4:$BJ$99,MATCH(BV153,$BE$4:$BE$99,0),6)),INDEX(Calculation_Tab,MATCH(BV153,Identifier,0),10)),1)*(1+Calculation!$Q$6),"-")</f>
        <v>-</v>
      </c>
      <c r="CD153" s="509" t="str">
        <f ca="1">IFERROR(INDEX(Cluster!AC:AD,MATCH(IF(LEFT(BV153,4)="Pool",INDEX(Cluster!$D$29:$AA$412,MATCH(INDEX(Calculation_Tab,MATCH(INDEX($BE$4:$BJ$99,MATCH(BV153,$BE$4:$BE$99,0),3),Flow_Cell_Lane,0),3),Cluster!$F$29:$F$412,0),24),INDEX(Cluster!$D$29:$AA$412,MATCH(BV153,Cluster!$F$29:$F$412,0),24)),Cluster!AC:AC,0),2),"-")</f>
        <v>-</v>
      </c>
      <c r="CE153" s="378" t="str">
        <f ca="1">IFERROR(IF(BV153&lt;&gt;"-",Calculation!$AK$6,"-"),"-")</f>
        <v>-</v>
      </c>
      <c r="CF153" s="378" t="str">
        <f ca="1">IF(OR(LEFT(ListAndConversion!BW153,3)="Dil",LEFT(ListAndConversion!BW153,3)="Poo"),ListAndConversion!$BT$4,IF(LEFT(ListAndConversion!BW153,3)="Sou",INDEX(ListAndConversion!$AT$3:$AV$387,MATCH(ListAndConversion!BV153,ListAndConversion!$AV$3:$AV$387,0),1),"-"))</f>
        <v>-</v>
      </c>
      <c r="CG153" s="498" t="str">
        <f ca="1">IF(OR(LEFT(ListAndConversion!BW153,3)="Dil",LEFT(ListAndConversion!BW153,3)="Poo"),ListAndConversion!BU153,IF(LEFT(ListAndConversion!BW153,3)="Sou",INDEX(ListAndConversion!$AT$4:$AV$387,MATCH(ListAndConversion!BV153,ListAndConversion!$AV$4:$AV$387,0),2),"-"))</f>
        <v>-</v>
      </c>
      <c r="CH153" s="378"/>
      <c r="CI153" s="487" t="str">
        <f t="shared" ca="1" si="93"/>
        <v>-</v>
      </c>
      <c r="CJ153" s="378" t="str">
        <f t="shared" ca="1" si="98"/>
        <v>-</v>
      </c>
      <c r="CK153" s="378" t="str">
        <f t="shared" ca="1" si="98"/>
        <v>-</v>
      </c>
      <c r="CL153" s="378" t="str">
        <f t="shared" ca="1" si="98"/>
        <v>-</v>
      </c>
      <c r="CM153" s="378" t="str">
        <f t="shared" ca="1" si="98"/>
        <v>-</v>
      </c>
      <c r="CN153" s="378" t="str">
        <f t="shared" ca="1" si="98"/>
        <v>-</v>
      </c>
      <c r="CO153" s="378" t="str">
        <f t="shared" ca="1" si="98"/>
        <v>-</v>
      </c>
      <c r="CP153" s="378" t="str">
        <f t="shared" ca="1" si="98"/>
        <v>-</v>
      </c>
      <c r="CQ153" s="378" t="str">
        <f t="shared" ca="1" si="98"/>
        <v>-</v>
      </c>
      <c r="CR153" s="510" t="str">
        <f ca="1">IFERROR(IF(LEFT(BW153,3)="Poo",INDEX($BE$4:$BJ$99,MATCH(CI153,$BG$4:$BG$99,0),6)*((15/50))*Calculation!$AK$6,INDEX(Calculation_Tab,MATCH(BV153,Identifier,0),10)/(IF(LEN(INDEX(Calculation_Tab,MATCH(BV153,Identifier,0),9))&gt;8,LEN(INDEX(Calculation_Tab,MATCH(BV153,Identifier,0),9))-8,1))*((15/50)*Calculation!$AK$6)),"-")</f>
        <v>-</v>
      </c>
      <c r="CS153" s="498" t="str">
        <f ca="1">IF(CI153="-","-",IF(COUNTIF($CI$3:CI153,CI153)&gt;1,0,IFERROR((35/50)*Calculation!$AK$6,"-")))</f>
        <v>-</v>
      </c>
    </row>
    <row r="154" spans="4:97" x14ac:dyDescent="0.5">
      <c r="D154" s="487" t="e">
        <f t="shared" si="79"/>
        <v>#DIV/0!</v>
      </c>
      <c r="E154" s="496" t="e">
        <f t="array" ref="E154">IF(IF((ROW(E154)-3)&lt;(ListAndConversion!$A$15),INDEX(Flow_Cell_Lane,MIN(IF(COUNTIF($E$2:E153,Flow_Cell_Lane)=0,ROW(Flow_Cell_Lane)-9))),"-")="","-",IF((ROW(E154)-3)&lt;(ListAndConversion!$A$15),INDEX(Flow_Cell_Lane,MIN(IF(COUNTIF($E$2:E153,Flow_Cell_Lane)=0,ROW(Flow_Cell_Lane)-9))),"-"))</f>
        <v>#DIV/0!</v>
      </c>
      <c r="F154" s="378" t="e">
        <f t="shared" si="80"/>
        <v>#DIV/0!</v>
      </c>
      <c r="G154" s="378" t="e">
        <f t="shared" si="99"/>
        <v>#DIV/0!</v>
      </c>
      <c r="H154" s="378" t="e">
        <f t="shared" si="99"/>
        <v>#DIV/0!</v>
      </c>
      <c r="I154" s="378" t="e">
        <f t="shared" si="99"/>
        <v>#DIV/0!</v>
      </c>
      <c r="J154" s="378" t="e">
        <f t="shared" si="99"/>
        <v>#DIV/0!</v>
      </c>
      <c r="K154" s="378" t="e">
        <f t="shared" si="99"/>
        <v>#DIV/0!</v>
      </c>
      <c r="L154" s="378" t="e">
        <f t="shared" si="99"/>
        <v>#DIV/0!</v>
      </c>
      <c r="M154" s="378" t="e">
        <f t="shared" si="99"/>
        <v>#DIV/0!</v>
      </c>
      <c r="N154" s="497" t="e">
        <f t="shared" si="81"/>
        <v>#DIV/0!</v>
      </c>
      <c r="O154" s="497" t="str">
        <f t="array" ref="O154">IFERROR(INDEX(Calculation!I:AN,MATCH(ListAndConversion!E154,Calculation!I:I,0),31),"-")</f>
        <v>-</v>
      </c>
      <c r="P154" s="498">
        <f>IF(COUNTIFS(Calculation!$I$10:$I$393,E154,Direct_Denaturation,"-")&lt;&gt;1,COUNTIFS(Calculation!$I$10:$I$393,E154,Direct_Denaturation,"-"),0)</f>
        <v>0</v>
      </c>
      <c r="V154" s="542" t="s">
        <v>82</v>
      </c>
      <c r="W154" s="542" t="s">
        <v>82</v>
      </c>
      <c r="X154" s="542" t="s">
        <v>82</v>
      </c>
      <c r="Y154" s="542" t="s">
        <v>82</v>
      </c>
      <c r="Z154" s="542" t="s">
        <v>82</v>
      </c>
      <c r="AA154" s="542" t="s">
        <v>82</v>
      </c>
      <c r="AB154" s="542" t="s">
        <v>82</v>
      </c>
      <c r="AC154" s="542" t="s">
        <v>82</v>
      </c>
      <c r="AD154" s="542" t="s">
        <v>82</v>
      </c>
      <c r="AE154" s="542" t="s">
        <v>82</v>
      </c>
      <c r="AF154" s="542" t="s">
        <v>82</v>
      </c>
      <c r="AG154" s="542" t="s">
        <v>82</v>
      </c>
      <c r="AH154" s="9"/>
      <c r="AI154" s="487">
        <v>151</v>
      </c>
      <c r="AJ154" s="497" t="s">
        <v>161</v>
      </c>
      <c r="AK154" s="378">
        <v>55</v>
      </c>
      <c r="AL154" s="378" t="str">
        <f t="shared" ca="1" si="82"/>
        <v>-</v>
      </c>
      <c r="AM154" s="378" t="str">
        <f t="array" aca="1" ref="AM154" ca="1">IFERROR(IF(AI154&lt;=$AB$2,"-",INDEX(Calculation_Tab,SMALL(ROW(Main_Dil)*(Main_Dil&lt;&gt;"-"),COUNTIF(Main_Dil,"-")+ROW()-3-$AB$2)-9,5)),"-")</f>
        <v>-</v>
      </c>
      <c r="AN154" s="378" t="str">
        <f t="array" aca="1" ref="AN154" ca="1">IFERROR(IF(AI154&lt;=$AB$2,"-",INDEX($A$3:$B$12,MATCH(INDEX(Calculation_Tab,SMALL(ROW(Main_Dil)*(Main_Dil&lt;&gt;"-"),COUNTIF(Main_Dil,"-")+ROW()-3-$AB$2)-9,5),$A$3:$A$12,0),2)),"-")</f>
        <v>-</v>
      </c>
      <c r="AO154" s="378" t="str">
        <f t="array" aca="1" ref="AO154" ca="1">IFERROR(IF(AI154&lt;=$AB$2,"-",INDEX(Coordinate,MATCH(INDEX(Calculation_Tab,SMALL(ROW(Main_Dil)*(Main_Dil&lt;&gt;"-"),COUNTIF(Main_Dil,"-")+ROW()-3-$AB$2)-9,6),$X$4:$X$99,0),2)),"-")</f>
        <v>-</v>
      </c>
      <c r="AP154" s="510" t="str">
        <f t="array" aca="1" ref="AP154" ca="1">IFERROR(IF(AI154&lt;=$AB$2,"-",INDEX(Calculation_Tab,SMALL(ROW(Main_Dil)*(Main_Dil&lt;&gt;"-"),COUNTIF(Main_Dil,"-")+ROW()-3-$AB$2)-9,21)),"-")</f>
        <v>-</v>
      </c>
      <c r="AQ154" s="511" t="str">
        <f t="array" aca="1" ref="AQ154" ca="1">IFERROR(IF(AI154&lt;=$AB$2,"-",INDEX(Calculation_Tab,SMALL(ROW(Main_Dil)*(Main_Dil&lt;&gt;"-"),COUNTIF(Main_Dil,"-")+ROW()-3-$AB$2)-9,22)),"-")</f>
        <v>-</v>
      </c>
      <c r="AR154" s="487" t="str">
        <f t="shared" ca="1" si="83"/>
        <v>-</v>
      </c>
      <c r="AS154" s="378">
        <v>151</v>
      </c>
      <c r="AT154" s="497" t="s">
        <v>161</v>
      </c>
      <c r="AU154" s="498">
        <v>55</v>
      </c>
      <c r="AV154" s="378" t="str">
        <f t="shared" ca="1" si="84"/>
        <v>-</v>
      </c>
      <c r="AW154" s="378" t="str">
        <f t="array" aca="1" ref="AW154" ca="1">IFERROR(IF(AS154&lt;=$AB$2+$AN$2,"-",INDEX(Calculation_Tab,SMALL(ROW(Direct_Denaturation)*(Direct_Denaturation&lt;&gt;"-"),COUNTIF(Direct_Denaturation,"-")+ROW()-3-$AB$2-$AN$2)-9,5)),"-")</f>
        <v>-</v>
      </c>
      <c r="AX154" s="378" t="str">
        <f t="array" aca="1" ref="AX154" ca="1">IFERROR(IF(AS154&lt;=$AB$2+$AN$2,"-",INDEX($A$3:$B$12,MATCH(INDEX(Calculation_Tab,SMALL(ROW(Direct_Denaturation)*(Direct_Denaturation&lt;&gt;"-"),COUNTIF(Direct_Denaturation,"-")+ROW()-3-$AB$2-$AN$2)-9,5),$A$3:$A$12,0),2)),"-")</f>
        <v>-</v>
      </c>
      <c r="AY154" s="378" t="str">
        <f t="array" aca="1" ref="AY154" ca="1">IFERROR(IF(AS154&lt;=$AB$2+$AN$2,"-",INDEX(Coordinate,MATCH(INDEX(Calculation_Tab,SMALL(ROW(Direct_Denaturation)*(Direct_Denaturation&lt;&gt;"-"),COUNTIF(Direct_Denaturation,"-")+ROW()-3-$AB$2-$AN$2)-9,6),$X$4:$X$99,0),2)),"-")</f>
        <v>-</v>
      </c>
      <c r="AZ154" s="510" t="str">
        <f t="array" aca="1" ref="AZ154" ca="1">IFERROR(IF(AS154&lt;=$AB$2+$AN$2,"-",INDEX(Calculation_Tab,SMALL(ROW(Direct_Denaturation)*(Direct_Denaturation&lt;&gt;"-"),COUNTIF(Direct_Denaturation,"-")+ROW()-3-$AB$2-$AN$2)-9,32)),"-")</f>
        <v>-</v>
      </c>
      <c r="BA154" s="510" t="str">
        <f t="array" aca="1" ref="BA154" ca="1">IFERROR(IF(AS154&lt;=$AB$2+$AN$2,"-",INDEX(Calculation_Tab,SMALL(ROW(Direct_Denaturation)*(Direct_Denaturation&lt;&gt;"-"),COUNTIF(Direct_Denaturation,"-")+ROW()-3-$AB$2-$AN$2)-9,34)),"-")</f>
        <v>-</v>
      </c>
      <c r="BB154" s="510" t="str">
        <f t="array" aca="1" ref="BB154" ca="1">IFERROR(IF(AS154&lt;=$AB$2+$AN$2,"-",INDEX(Calculation_Tab,SMALL(ROW(Direct_Denaturation)*(Direct_Denaturation&lt;&gt;"-"),COUNTIF(Direct_Denaturation,"-")+ROW()-3-$AB$2-$AN$2)-9,33)),"-")</f>
        <v>-</v>
      </c>
      <c r="BC154" s="510" t="str">
        <f t="array" aca="1" ref="BC154" ca="1">IFERROR(IF(AS154&lt;=$AB$2+$AN$2,"-",INDEX(Calculation_Tab,SMALL(ROW(Direct_Denaturation)*(Direct_Denaturation&lt;&gt;"-"),COUNTIF(Direct_Denaturation,"-")+ROW()-3-$AB$2-$AN$2)-9,35)),"-")</f>
        <v>-</v>
      </c>
      <c r="BD154" s="511" t="str">
        <f t="shared" ca="1" si="85"/>
        <v>-</v>
      </c>
      <c r="BK154" s="542" t="s">
        <v>82</v>
      </c>
      <c r="BL154" s="542" t="s">
        <v>82</v>
      </c>
      <c r="BM154" s="487" t="str">
        <f t="array" aca="1" ref="BM154" ca="1">IFERROR(INDEX(Calculation_Tab,SMALL(ROW(ToPool)*(ToPool&lt;&gt;"-"),COUNTIF(ToPool,"-")+ROW()-3)-9,3),"-")</f>
        <v>-</v>
      </c>
      <c r="BN154" s="378" t="str">
        <f t="shared" ca="1" si="86"/>
        <v>-</v>
      </c>
      <c r="BO154" s="378" t="str">
        <f t="shared" ca="1" si="87"/>
        <v>-</v>
      </c>
      <c r="BP154" s="523" t="str">
        <f t="shared" ca="1" si="88"/>
        <v>-</v>
      </c>
      <c r="BQ154" s="378" t="str">
        <f t="array" aca="1" ref="BQ154" ca="1">IFERROR(INDEX(BE:BG,MATCH(INDEX(Calculation_Tab,SMALL(ROW(ToPool)*(ToPool&lt;&gt;"-"),COUNTIF(ToPool,"-")+ROW()-3)-9,9),BG:BG,0),2),"-")</f>
        <v>-</v>
      </c>
      <c r="BR154" s="510" t="str">
        <f t="shared" ca="1" si="89"/>
        <v>-</v>
      </c>
      <c r="BS154" s="511" t="str">
        <f t="shared" ca="1" si="90"/>
        <v>-</v>
      </c>
      <c r="BT154" s="543" t="s">
        <v>82</v>
      </c>
      <c r="BU154" s="487" t="str">
        <f t="shared" ca="1" si="95"/>
        <v>-</v>
      </c>
      <c r="BV154" s="487" t="str">
        <f t="array" aca="1" ref="BV15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54" s="378" t="str">
        <f t="shared" ca="1" si="91"/>
        <v>-</v>
      </c>
      <c r="BX154" s="378" t="str">
        <f t="shared" ca="1" si="92"/>
        <v>-</v>
      </c>
      <c r="BY154" s="510" t="str">
        <f ca="1">IFERROR(ROUND(INDEX(Cluster,MATCH(IF(LEFT(BV154,4)="Pool",INDEX(Cluster,MATCH(INDEX(Calculation_Tab,MATCH(INDEX($BE$4:$BJ$99,MATCH(BV154,$BE$4:$BE$99,0),3),Flow_Cell_Lane,0),3),Cluster!$F$29:$F$412,0),6),BV154),Identifier_Cluster,0),19)*IF(LEFT(BV154,4)="pool",IF(LEN(INDEX($BE$4:$BJ$99,MATCH(BV154,$BE$4:$BE$99,0),3))=10,2,IF(LEN(INDEX($BE$4:$BJ$99,MATCH(BV154,$BE$4:$BE$99,0),3))&gt;10,LEN(INDEX($BE$4:$BJ$99,MATCH(BV154,$BE$4:$BE$99,0),3))-8,1)),1)*IF(LEFT(BV154,4)="pool",IF(INDEX($BE$4:$BJ$99,MATCH(BV154,$BE$4:$BE$99,0),6)&lt;1,1,INDEX($BE$4:$BJ$99,MATCH(BV154,$BE$4:$BE$99,0),6)),INDEX(Calculation_Tab,MATCH(BV154,Identifier,0),10)),1)*(1+Calculation!$Q$6),"-")</f>
        <v>-</v>
      </c>
      <c r="BZ154" s="378" t="str">
        <f ca="1">IFERROR((0.5/50)*CE154/Calculation!$AG$6*(IF(LEFT(BV154,4)="Pool",IF(LEN(INDEX($BE$4:$BJ$99,MATCH(BV154,$BE$4:$BE$99,0),3))=10,2,IF(LEN(INDEX($BE$4:$BJ$99,MATCH(BV154,$BE$4:$BE$99,0),3))&gt;10,LEN(INDEX($BE$4:$BJ$99,MATCH(BV154,$BE$4:$BE$99,0),3))-8,1)),IF(INDEX(Calculation_Tab,MATCH(BV154,Identifier,0),10)&gt;1,INDEX(Calculation_Tab,MATCH(BV154,Identifier,0),10),1)))*(1+Calculation!$Q$6),"-")</f>
        <v>-</v>
      </c>
      <c r="CA154" s="510" t="str">
        <f ca="1">IFERROR(IF((BZ154*Calculation!$AG$6/0.05)-SUM(BY154:BZ154,CC154)&gt;0,(BZ154*Calculation!$AG$6/0.05)-SUM(BY154:BZ154,CC154),0),"-")</f>
        <v>-</v>
      </c>
      <c r="CB154" s="510" t="str">
        <f ca="1">IFERROR(5/50*CE154*(IF(LEFT(BV154,4)="Pool",IF(LEN(INDEX($BE$4:$BJ$99,MATCH(BV154,$BE$4:$BE$99,0),3))=10,2,IF(LEN(INDEX($BE$4:$BJ$99,MATCH(BV154,$BE$4:$BE$99,0),3))&gt;10,LEN(INDEX($BE$4:$BJ$99,MATCH(BV154,$BE$4:$BE$99,0),3))-8,1)),IF(INDEX(Calculation_Tab,MATCH(BV154,Identifier,0),10)&gt;1,INDEX(Calculation_Tab,MATCH(BV154,Identifier,0),10),1)))*(1+Calculation!$Q$6),"-")</f>
        <v>-</v>
      </c>
      <c r="CC154" s="508" t="str">
        <f ca="1">IFERROR(ROUND(INDEX(Cluster,MATCH(IF(LEFT(BV154,4)="Pool",INDEX(Cluster,MATCH(INDEX(Calculation_Tab,MATCH(INDEX($BE$4:$BJ$99,MATCH(BV154,$BE$4:$BE$99,0),3),Flow_Cell_Lane,0),3),Cluster!$F$29:$F$412,0),6),BV154),Identifier_Cluster,0),20)*IF(LEFT(BV154,4)="pool",IF(LEN(INDEX($BE$4:$BJ$99,MATCH(BV154,$BE$4:$BE$99,0),3))=10,2,IF(LEN(INDEX($BE$4:$BJ$99,MATCH(BV154,$BE$4:$BE$99,0),3))&gt;10,LEN(INDEX($BE$4:$BJ$99,MATCH(BV154,$BE$4:$BE$99,0),3))-8,1)),1)*IF(LEFT(BV154,4)="pool",IF(INDEX($BE$4:$BJ$99,MATCH(BV154,$BE$4:$BE$99,0),6)&lt;1,1,INDEX($BE$4:$BJ$99,MATCH(BV154,$BE$4:$BE$99,0),6)),INDEX(Calculation_Tab,MATCH(BV154,Identifier,0),10)),1)*(1+Calculation!$Q$6),"-")</f>
        <v>-</v>
      </c>
      <c r="CD154" s="509" t="str">
        <f ca="1">IFERROR(INDEX(Cluster!AC:AD,MATCH(IF(LEFT(BV154,4)="Pool",INDEX(Cluster!$D$29:$AA$412,MATCH(INDEX(Calculation_Tab,MATCH(INDEX($BE$4:$BJ$99,MATCH(BV154,$BE$4:$BE$99,0),3),Flow_Cell_Lane,0),3),Cluster!$F$29:$F$412,0),24),INDEX(Cluster!$D$29:$AA$412,MATCH(BV154,Cluster!$F$29:$F$412,0),24)),Cluster!AC:AC,0),2),"-")</f>
        <v>-</v>
      </c>
      <c r="CE154" s="378" t="str">
        <f ca="1">IFERROR(IF(BV154&lt;&gt;"-",Calculation!$AK$6,"-"),"-")</f>
        <v>-</v>
      </c>
      <c r="CF154" s="378" t="str">
        <f ca="1">IF(OR(LEFT(ListAndConversion!BW154,3)="Dil",LEFT(ListAndConversion!BW154,3)="Poo"),ListAndConversion!$BT$4,IF(LEFT(ListAndConversion!BW154,3)="Sou",INDEX(ListAndConversion!$AT$3:$AV$387,MATCH(ListAndConversion!BV154,ListAndConversion!$AV$3:$AV$387,0),1),"-"))</f>
        <v>-</v>
      </c>
      <c r="CG154" s="498" t="str">
        <f ca="1">IF(OR(LEFT(ListAndConversion!BW154,3)="Dil",LEFT(ListAndConversion!BW154,3)="Poo"),ListAndConversion!BU154,IF(LEFT(ListAndConversion!BW154,3)="Sou",INDEX(ListAndConversion!$AT$4:$AV$387,MATCH(ListAndConversion!BV154,ListAndConversion!$AV$4:$AV$387,0),2),"-"))</f>
        <v>-</v>
      </c>
      <c r="CH154" s="378"/>
      <c r="CI154" s="487" t="str">
        <f t="shared" ca="1" si="93"/>
        <v>-</v>
      </c>
      <c r="CJ154" s="378" t="str">
        <f t="shared" ref="CJ154:CQ163" ca="1" si="100">IFERROR(INDEX($R$3:$U$98,MATCH(INDEX($F$3:$M$387,MATCH($CI154,$E$3:$E$386,0),CJ$3),$S$3:$S$98,0),4),"-")</f>
        <v>-</v>
      </c>
      <c r="CK154" s="378" t="str">
        <f t="shared" ca="1" si="100"/>
        <v>-</v>
      </c>
      <c r="CL154" s="378" t="str">
        <f t="shared" ca="1" si="100"/>
        <v>-</v>
      </c>
      <c r="CM154" s="378" t="str">
        <f t="shared" ca="1" si="100"/>
        <v>-</v>
      </c>
      <c r="CN154" s="378" t="str">
        <f t="shared" ca="1" si="100"/>
        <v>-</v>
      </c>
      <c r="CO154" s="378" t="str">
        <f t="shared" ca="1" si="100"/>
        <v>-</v>
      </c>
      <c r="CP154" s="378" t="str">
        <f t="shared" ca="1" si="100"/>
        <v>-</v>
      </c>
      <c r="CQ154" s="378" t="str">
        <f t="shared" ca="1" si="100"/>
        <v>-</v>
      </c>
      <c r="CR154" s="510" t="str">
        <f ca="1">IFERROR(IF(LEFT(BW154,3)="Poo",INDEX($BE$4:$BJ$99,MATCH(CI154,$BG$4:$BG$99,0),6)*((15/50))*Calculation!$AK$6,INDEX(Calculation_Tab,MATCH(BV154,Identifier,0),10)/(IF(LEN(INDEX(Calculation_Tab,MATCH(BV154,Identifier,0),9))&gt;8,LEN(INDEX(Calculation_Tab,MATCH(BV154,Identifier,0),9))-8,1))*((15/50)*Calculation!$AK$6)),"-")</f>
        <v>-</v>
      </c>
      <c r="CS154" s="498" t="str">
        <f ca="1">IF(CI154="-","-",IF(COUNTIF($CI$3:CI154,CI154)&gt;1,0,IFERROR((35/50)*Calculation!$AK$6,"-")))</f>
        <v>-</v>
      </c>
    </row>
    <row r="155" spans="4:97" x14ac:dyDescent="0.5">
      <c r="D155" s="487" t="e">
        <f t="shared" si="79"/>
        <v>#DIV/0!</v>
      </c>
      <c r="E155" s="496" t="e">
        <f t="array" ref="E155">IF(IF((ROW(E155)-3)&lt;(ListAndConversion!$A$15),INDEX(Flow_Cell_Lane,MIN(IF(COUNTIF($E$2:E154,Flow_Cell_Lane)=0,ROW(Flow_Cell_Lane)-9))),"-")="","-",IF((ROW(E155)-3)&lt;(ListAndConversion!$A$15),INDEX(Flow_Cell_Lane,MIN(IF(COUNTIF($E$2:E154,Flow_Cell_Lane)=0,ROW(Flow_Cell_Lane)-9))),"-"))</f>
        <v>#DIV/0!</v>
      </c>
      <c r="F155" s="378" t="e">
        <f t="shared" si="80"/>
        <v>#DIV/0!</v>
      </c>
      <c r="G155" s="378" t="e">
        <f t="shared" si="99"/>
        <v>#DIV/0!</v>
      </c>
      <c r="H155" s="378" t="e">
        <f t="shared" si="99"/>
        <v>#DIV/0!</v>
      </c>
      <c r="I155" s="378" t="e">
        <f t="shared" si="99"/>
        <v>#DIV/0!</v>
      </c>
      <c r="J155" s="378" t="e">
        <f t="shared" si="99"/>
        <v>#DIV/0!</v>
      </c>
      <c r="K155" s="378" t="e">
        <f t="shared" si="99"/>
        <v>#DIV/0!</v>
      </c>
      <c r="L155" s="378" t="e">
        <f t="shared" si="99"/>
        <v>#DIV/0!</v>
      </c>
      <c r="M155" s="378" t="e">
        <f t="shared" si="99"/>
        <v>#DIV/0!</v>
      </c>
      <c r="N155" s="497" t="e">
        <f t="shared" si="81"/>
        <v>#DIV/0!</v>
      </c>
      <c r="O155" s="497" t="str">
        <f t="array" ref="O155">IFERROR(INDEX(Calculation!I:AN,MATCH(ListAndConversion!E155,Calculation!I:I,0),31),"-")</f>
        <v>-</v>
      </c>
      <c r="P155" s="498">
        <f>IF(COUNTIFS(Calculation!$I$10:$I$393,E155,Direct_Denaturation,"-")&lt;&gt;1,COUNTIFS(Calculation!$I$10:$I$393,E155,Direct_Denaturation,"-"),0)</f>
        <v>0</v>
      </c>
      <c r="V155" s="542" t="s">
        <v>82</v>
      </c>
      <c r="W155" s="542" t="s">
        <v>82</v>
      </c>
      <c r="X155" s="542" t="s">
        <v>82</v>
      </c>
      <c r="Y155" s="542" t="s">
        <v>82</v>
      </c>
      <c r="Z155" s="542" t="s">
        <v>82</v>
      </c>
      <c r="AA155" s="542" t="s">
        <v>82</v>
      </c>
      <c r="AB155" s="542" t="s">
        <v>82</v>
      </c>
      <c r="AC155" s="542" t="s">
        <v>82</v>
      </c>
      <c r="AD155" s="542" t="s">
        <v>82</v>
      </c>
      <c r="AE155" s="542" t="s">
        <v>82</v>
      </c>
      <c r="AF155" s="542" t="s">
        <v>82</v>
      </c>
      <c r="AG155" s="542" t="s">
        <v>82</v>
      </c>
      <c r="AH155" s="9"/>
      <c r="AI155" s="487">
        <v>152</v>
      </c>
      <c r="AJ155" s="497" t="s">
        <v>161</v>
      </c>
      <c r="AK155" s="378">
        <v>56</v>
      </c>
      <c r="AL155" s="378" t="str">
        <f t="shared" ca="1" si="82"/>
        <v>-</v>
      </c>
      <c r="AM155" s="378" t="str">
        <f t="array" aca="1" ref="AM155" ca="1">IFERROR(IF(AI155&lt;=$AB$2,"-",INDEX(Calculation_Tab,SMALL(ROW(Main_Dil)*(Main_Dil&lt;&gt;"-"),COUNTIF(Main_Dil,"-")+ROW()-3-$AB$2)-9,5)),"-")</f>
        <v>-</v>
      </c>
      <c r="AN155" s="378" t="str">
        <f t="array" aca="1" ref="AN155" ca="1">IFERROR(IF(AI155&lt;=$AB$2,"-",INDEX($A$3:$B$12,MATCH(INDEX(Calculation_Tab,SMALL(ROW(Main_Dil)*(Main_Dil&lt;&gt;"-"),COUNTIF(Main_Dil,"-")+ROW()-3-$AB$2)-9,5),$A$3:$A$12,0),2)),"-")</f>
        <v>-</v>
      </c>
      <c r="AO155" s="378" t="str">
        <f t="array" aca="1" ref="AO155" ca="1">IFERROR(IF(AI155&lt;=$AB$2,"-",INDEX(Coordinate,MATCH(INDEX(Calculation_Tab,SMALL(ROW(Main_Dil)*(Main_Dil&lt;&gt;"-"),COUNTIF(Main_Dil,"-")+ROW()-3-$AB$2)-9,6),$X$4:$X$99,0),2)),"-")</f>
        <v>-</v>
      </c>
      <c r="AP155" s="510" t="str">
        <f t="array" aca="1" ref="AP155" ca="1">IFERROR(IF(AI155&lt;=$AB$2,"-",INDEX(Calculation_Tab,SMALL(ROW(Main_Dil)*(Main_Dil&lt;&gt;"-"),COUNTIF(Main_Dil,"-")+ROW()-3-$AB$2)-9,21)),"-")</f>
        <v>-</v>
      </c>
      <c r="AQ155" s="511" t="str">
        <f t="array" aca="1" ref="AQ155" ca="1">IFERROR(IF(AI155&lt;=$AB$2,"-",INDEX(Calculation_Tab,SMALL(ROW(Main_Dil)*(Main_Dil&lt;&gt;"-"),COUNTIF(Main_Dil,"-")+ROW()-3-$AB$2)-9,22)),"-")</f>
        <v>-</v>
      </c>
      <c r="AR155" s="487" t="str">
        <f t="shared" ca="1" si="83"/>
        <v>-</v>
      </c>
      <c r="AS155" s="378">
        <v>152</v>
      </c>
      <c r="AT155" s="497" t="s">
        <v>161</v>
      </c>
      <c r="AU155" s="498">
        <v>56</v>
      </c>
      <c r="AV155" s="378" t="str">
        <f t="shared" ca="1" si="84"/>
        <v>-</v>
      </c>
      <c r="AW155" s="378" t="str">
        <f t="array" aca="1" ref="AW155" ca="1">IFERROR(IF(AS155&lt;=$AB$2+$AN$2,"-",INDEX(Calculation_Tab,SMALL(ROW(Direct_Denaturation)*(Direct_Denaturation&lt;&gt;"-"),COUNTIF(Direct_Denaturation,"-")+ROW()-3-$AB$2-$AN$2)-9,5)),"-")</f>
        <v>-</v>
      </c>
      <c r="AX155" s="378" t="str">
        <f t="array" aca="1" ref="AX155" ca="1">IFERROR(IF(AS155&lt;=$AB$2+$AN$2,"-",INDEX($A$3:$B$12,MATCH(INDEX(Calculation_Tab,SMALL(ROW(Direct_Denaturation)*(Direct_Denaturation&lt;&gt;"-"),COUNTIF(Direct_Denaturation,"-")+ROW()-3-$AB$2-$AN$2)-9,5),$A$3:$A$12,0),2)),"-")</f>
        <v>-</v>
      </c>
      <c r="AY155" s="378" t="str">
        <f t="array" aca="1" ref="AY155" ca="1">IFERROR(IF(AS155&lt;=$AB$2+$AN$2,"-",INDEX(Coordinate,MATCH(INDEX(Calculation_Tab,SMALL(ROW(Direct_Denaturation)*(Direct_Denaturation&lt;&gt;"-"),COUNTIF(Direct_Denaturation,"-")+ROW()-3-$AB$2-$AN$2)-9,6),$X$4:$X$99,0),2)),"-")</f>
        <v>-</v>
      </c>
      <c r="AZ155" s="510" t="str">
        <f t="array" aca="1" ref="AZ155" ca="1">IFERROR(IF(AS155&lt;=$AB$2+$AN$2,"-",INDEX(Calculation_Tab,SMALL(ROW(Direct_Denaturation)*(Direct_Denaturation&lt;&gt;"-"),COUNTIF(Direct_Denaturation,"-")+ROW()-3-$AB$2-$AN$2)-9,32)),"-")</f>
        <v>-</v>
      </c>
      <c r="BA155" s="510" t="str">
        <f t="array" aca="1" ref="BA155" ca="1">IFERROR(IF(AS155&lt;=$AB$2+$AN$2,"-",INDEX(Calculation_Tab,SMALL(ROW(Direct_Denaturation)*(Direct_Denaturation&lt;&gt;"-"),COUNTIF(Direct_Denaturation,"-")+ROW()-3-$AB$2-$AN$2)-9,34)),"-")</f>
        <v>-</v>
      </c>
      <c r="BB155" s="510" t="str">
        <f t="array" aca="1" ref="BB155" ca="1">IFERROR(IF(AS155&lt;=$AB$2+$AN$2,"-",INDEX(Calculation_Tab,SMALL(ROW(Direct_Denaturation)*(Direct_Denaturation&lt;&gt;"-"),COUNTIF(Direct_Denaturation,"-")+ROW()-3-$AB$2-$AN$2)-9,33)),"-")</f>
        <v>-</v>
      </c>
      <c r="BC155" s="510" t="str">
        <f t="array" aca="1" ref="BC155" ca="1">IFERROR(IF(AS155&lt;=$AB$2+$AN$2,"-",INDEX(Calculation_Tab,SMALL(ROW(Direct_Denaturation)*(Direct_Denaturation&lt;&gt;"-"),COUNTIF(Direct_Denaturation,"-")+ROW()-3-$AB$2-$AN$2)-9,35)),"-")</f>
        <v>-</v>
      </c>
      <c r="BD155" s="511" t="str">
        <f t="shared" ca="1" si="85"/>
        <v>-</v>
      </c>
      <c r="BK155" s="542" t="s">
        <v>82</v>
      </c>
      <c r="BL155" s="542" t="s">
        <v>82</v>
      </c>
      <c r="BM155" s="487" t="str">
        <f t="array" aca="1" ref="BM155" ca="1">IFERROR(INDEX(Calculation_Tab,SMALL(ROW(ToPool)*(ToPool&lt;&gt;"-"),COUNTIF(ToPool,"-")+ROW()-3)-9,3),"-")</f>
        <v>-</v>
      </c>
      <c r="BN155" s="378" t="str">
        <f t="shared" ca="1" si="86"/>
        <v>-</v>
      </c>
      <c r="BO155" s="378" t="str">
        <f t="shared" ca="1" si="87"/>
        <v>-</v>
      </c>
      <c r="BP155" s="523" t="str">
        <f t="shared" ca="1" si="88"/>
        <v>-</v>
      </c>
      <c r="BQ155" s="378" t="str">
        <f t="array" aca="1" ref="BQ155" ca="1">IFERROR(INDEX(BE:BG,MATCH(INDEX(Calculation_Tab,SMALL(ROW(ToPool)*(ToPool&lt;&gt;"-"),COUNTIF(ToPool,"-")+ROW()-3)-9,9),BG:BG,0),2),"-")</f>
        <v>-</v>
      </c>
      <c r="BR155" s="510" t="str">
        <f t="shared" ca="1" si="89"/>
        <v>-</v>
      </c>
      <c r="BS155" s="511" t="str">
        <f t="shared" ca="1" si="90"/>
        <v>-</v>
      </c>
      <c r="BT155" s="543" t="s">
        <v>82</v>
      </c>
      <c r="BU155" s="487" t="str">
        <f t="shared" ca="1" si="95"/>
        <v>-</v>
      </c>
      <c r="BV155" s="487" t="str">
        <f t="array" aca="1" ref="BV15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55" s="378" t="str">
        <f t="shared" ca="1" si="91"/>
        <v>-</v>
      </c>
      <c r="BX155" s="378" t="str">
        <f t="shared" ca="1" si="92"/>
        <v>-</v>
      </c>
      <c r="BY155" s="510" t="str">
        <f ca="1">IFERROR(ROUND(INDEX(Cluster,MATCH(IF(LEFT(BV155,4)="Pool",INDEX(Cluster,MATCH(INDEX(Calculation_Tab,MATCH(INDEX($BE$4:$BJ$99,MATCH(BV155,$BE$4:$BE$99,0),3),Flow_Cell_Lane,0),3),Cluster!$F$29:$F$412,0),6),BV155),Identifier_Cluster,0),19)*IF(LEFT(BV155,4)="pool",IF(LEN(INDEX($BE$4:$BJ$99,MATCH(BV155,$BE$4:$BE$99,0),3))=10,2,IF(LEN(INDEX($BE$4:$BJ$99,MATCH(BV155,$BE$4:$BE$99,0),3))&gt;10,LEN(INDEX($BE$4:$BJ$99,MATCH(BV155,$BE$4:$BE$99,0),3))-8,1)),1)*IF(LEFT(BV155,4)="pool",IF(INDEX($BE$4:$BJ$99,MATCH(BV155,$BE$4:$BE$99,0),6)&lt;1,1,INDEX($BE$4:$BJ$99,MATCH(BV155,$BE$4:$BE$99,0),6)),INDEX(Calculation_Tab,MATCH(BV155,Identifier,0),10)),1)*(1+Calculation!$Q$6),"-")</f>
        <v>-</v>
      </c>
      <c r="BZ155" s="378" t="str">
        <f ca="1">IFERROR((0.5/50)*CE155/Calculation!$AG$6*(IF(LEFT(BV155,4)="Pool",IF(LEN(INDEX($BE$4:$BJ$99,MATCH(BV155,$BE$4:$BE$99,0),3))=10,2,IF(LEN(INDEX($BE$4:$BJ$99,MATCH(BV155,$BE$4:$BE$99,0),3))&gt;10,LEN(INDEX($BE$4:$BJ$99,MATCH(BV155,$BE$4:$BE$99,0),3))-8,1)),IF(INDEX(Calculation_Tab,MATCH(BV155,Identifier,0),10)&gt;1,INDEX(Calculation_Tab,MATCH(BV155,Identifier,0),10),1)))*(1+Calculation!$Q$6),"-")</f>
        <v>-</v>
      </c>
      <c r="CA155" s="510" t="str">
        <f ca="1">IFERROR(IF((BZ155*Calculation!$AG$6/0.05)-SUM(BY155:BZ155,CC155)&gt;0,(BZ155*Calculation!$AG$6/0.05)-SUM(BY155:BZ155,CC155),0),"-")</f>
        <v>-</v>
      </c>
      <c r="CB155" s="510" t="str">
        <f ca="1">IFERROR(5/50*CE155*(IF(LEFT(BV155,4)="Pool",IF(LEN(INDEX($BE$4:$BJ$99,MATCH(BV155,$BE$4:$BE$99,0),3))=10,2,IF(LEN(INDEX($BE$4:$BJ$99,MATCH(BV155,$BE$4:$BE$99,0),3))&gt;10,LEN(INDEX($BE$4:$BJ$99,MATCH(BV155,$BE$4:$BE$99,0),3))-8,1)),IF(INDEX(Calculation_Tab,MATCH(BV155,Identifier,0),10)&gt;1,INDEX(Calculation_Tab,MATCH(BV155,Identifier,0),10),1)))*(1+Calculation!$Q$6),"-")</f>
        <v>-</v>
      </c>
      <c r="CC155" s="508" t="str">
        <f ca="1">IFERROR(ROUND(INDEX(Cluster,MATCH(IF(LEFT(BV155,4)="Pool",INDEX(Cluster,MATCH(INDEX(Calculation_Tab,MATCH(INDEX($BE$4:$BJ$99,MATCH(BV155,$BE$4:$BE$99,0),3),Flow_Cell_Lane,0),3),Cluster!$F$29:$F$412,0),6),BV155),Identifier_Cluster,0),20)*IF(LEFT(BV155,4)="pool",IF(LEN(INDEX($BE$4:$BJ$99,MATCH(BV155,$BE$4:$BE$99,0),3))=10,2,IF(LEN(INDEX($BE$4:$BJ$99,MATCH(BV155,$BE$4:$BE$99,0),3))&gt;10,LEN(INDEX($BE$4:$BJ$99,MATCH(BV155,$BE$4:$BE$99,0),3))-8,1)),1)*IF(LEFT(BV155,4)="pool",IF(INDEX($BE$4:$BJ$99,MATCH(BV155,$BE$4:$BE$99,0),6)&lt;1,1,INDEX($BE$4:$BJ$99,MATCH(BV155,$BE$4:$BE$99,0),6)),INDEX(Calculation_Tab,MATCH(BV155,Identifier,0),10)),1)*(1+Calculation!$Q$6),"-")</f>
        <v>-</v>
      </c>
      <c r="CD155" s="509" t="str">
        <f ca="1">IFERROR(INDEX(Cluster!AC:AD,MATCH(IF(LEFT(BV155,4)="Pool",INDEX(Cluster!$D$29:$AA$412,MATCH(INDEX(Calculation_Tab,MATCH(INDEX($BE$4:$BJ$99,MATCH(BV155,$BE$4:$BE$99,0),3),Flow_Cell_Lane,0),3),Cluster!$F$29:$F$412,0),24),INDEX(Cluster!$D$29:$AA$412,MATCH(BV155,Cluster!$F$29:$F$412,0),24)),Cluster!AC:AC,0),2),"-")</f>
        <v>-</v>
      </c>
      <c r="CE155" s="378" t="str">
        <f ca="1">IFERROR(IF(BV155&lt;&gt;"-",Calculation!$AK$6,"-"),"-")</f>
        <v>-</v>
      </c>
      <c r="CF155" s="378" t="str">
        <f ca="1">IF(OR(LEFT(ListAndConversion!BW155,3)="Dil",LEFT(ListAndConversion!BW155,3)="Poo"),ListAndConversion!$BT$4,IF(LEFT(ListAndConversion!BW155,3)="Sou",INDEX(ListAndConversion!$AT$3:$AV$387,MATCH(ListAndConversion!BV155,ListAndConversion!$AV$3:$AV$387,0),1),"-"))</f>
        <v>-</v>
      </c>
      <c r="CG155" s="498" t="str">
        <f ca="1">IF(OR(LEFT(ListAndConversion!BW155,3)="Dil",LEFT(ListAndConversion!BW155,3)="Poo"),ListAndConversion!BU155,IF(LEFT(ListAndConversion!BW155,3)="Sou",INDEX(ListAndConversion!$AT$4:$AV$387,MATCH(ListAndConversion!BV155,ListAndConversion!$AV$4:$AV$387,0),2),"-"))</f>
        <v>-</v>
      </c>
      <c r="CH155" s="378"/>
      <c r="CI155" s="487" t="str">
        <f t="shared" ca="1" si="93"/>
        <v>-</v>
      </c>
      <c r="CJ155" s="378" t="str">
        <f t="shared" ca="1" si="100"/>
        <v>-</v>
      </c>
      <c r="CK155" s="378" t="str">
        <f t="shared" ca="1" si="100"/>
        <v>-</v>
      </c>
      <c r="CL155" s="378" t="str">
        <f t="shared" ca="1" si="100"/>
        <v>-</v>
      </c>
      <c r="CM155" s="378" t="str">
        <f t="shared" ca="1" si="100"/>
        <v>-</v>
      </c>
      <c r="CN155" s="378" t="str">
        <f t="shared" ca="1" si="100"/>
        <v>-</v>
      </c>
      <c r="CO155" s="378" t="str">
        <f t="shared" ca="1" si="100"/>
        <v>-</v>
      </c>
      <c r="CP155" s="378" t="str">
        <f t="shared" ca="1" si="100"/>
        <v>-</v>
      </c>
      <c r="CQ155" s="378" t="str">
        <f t="shared" ca="1" si="100"/>
        <v>-</v>
      </c>
      <c r="CR155" s="510" t="str">
        <f ca="1">IFERROR(IF(LEFT(BW155,3)="Poo",INDEX($BE$4:$BJ$99,MATCH(CI155,$BG$4:$BG$99,0),6)*((15/50))*Calculation!$AK$6,INDEX(Calculation_Tab,MATCH(BV155,Identifier,0),10)/(IF(LEN(INDEX(Calculation_Tab,MATCH(BV155,Identifier,0),9))&gt;8,LEN(INDEX(Calculation_Tab,MATCH(BV155,Identifier,0),9))-8,1))*((15/50)*Calculation!$AK$6)),"-")</f>
        <v>-</v>
      </c>
      <c r="CS155" s="498" t="str">
        <f ca="1">IF(CI155="-","-",IF(COUNTIF($CI$3:CI155,CI155)&gt;1,0,IFERROR((35/50)*Calculation!$AK$6,"-")))</f>
        <v>-</v>
      </c>
    </row>
    <row r="156" spans="4:97" x14ac:dyDescent="0.5">
      <c r="D156" s="487" t="e">
        <f t="shared" si="79"/>
        <v>#DIV/0!</v>
      </c>
      <c r="E156" s="496" t="e">
        <f t="array" ref="E156">IF(IF((ROW(E156)-3)&lt;(ListAndConversion!$A$15),INDEX(Flow_Cell_Lane,MIN(IF(COUNTIF($E$2:E155,Flow_Cell_Lane)=0,ROW(Flow_Cell_Lane)-9))),"-")="","-",IF((ROW(E156)-3)&lt;(ListAndConversion!$A$15),INDEX(Flow_Cell_Lane,MIN(IF(COUNTIF($E$2:E155,Flow_Cell_Lane)=0,ROW(Flow_Cell_Lane)-9))),"-"))</f>
        <v>#DIV/0!</v>
      </c>
      <c r="F156" s="378" t="e">
        <f t="shared" si="80"/>
        <v>#DIV/0!</v>
      </c>
      <c r="G156" s="378" t="e">
        <f t="shared" si="99"/>
        <v>#DIV/0!</v>
      </c>
      <c r="H156" s="378" t="e">
        <f t="shared" si="99"/>
        <v>#DIV/0!</v>
      </c>
      <c r="I156" s="378" t="e">
        <f t="shared" si="99"/>
        <v>#DIV/0!</v>
      </c>
      <c r="J156" s="378" t="e">
        <f t="shared" si="99"/>
        <v>#DIV/0!</v>
      </c>
      <c r="K156" s="378" t="e">
        <f t="shared" si="99"/>
        <v>#DIV/0!</v>
      </c>
      <c r="L156" s="378" t="e">
        <f t="shared" si="99"/>
        <v>#DIV/0!</v>
      </c>
      <c r="M156" s="378" t="e">
        <f t="shared" si="99"/>
        <v>#DIV/0!</v>
      </c>
      <c r="N156" s="497" t="e">
        <f t="shared" si="81"/>
        <v>#DIV/0!</v>
      </c>
      <c r="O156" s="497" t="str">
        <f t="array" ref="O156">IFERROR(INDEX(Calculation!I:AN,MATCH(ListAndConversion!E156,Calculation!I:I,0),31),"-")</f>
        <v>-</v>
      </c>
      <c r="P156" s="498">
        <f>IF(COUNTIFS(Calculation!$I$10:$I$393,E156,Direct_Denaturation,"-")&lt;&gt;1,COUNTIFS(Calculation!$I$10:$I$393,E156,Direct_Denaturation,"-"),0)</f>
        <v>0</v>
      </c>
      <c r="V156" s="542" t="s">
        <v>82</v>
      </c>
      <c r="W156" s="542" t="s">
        <v>82</v>
      </c>
      <c r="X156" s="542" t="s">
        <v>82</v>
      </c>
      <c r="Y156" s="542" t="s">
        <v>82</v>
      </c>
      <c r="Z156" s="542" t="s">
        <v>82</v>
      </c>
      <c r="AA156" s="542" t="s">
        <v>82</v>
      </c>
      <c r="AB156" s="542" t="s">
        <v>82</v>
      </c>
      <c r="AC156" s="542" t="s">
        <v>82</v>
      </c>
      <c r="AD156" s="542" t="s">
        <v>82</v>
      </c>
      <c r="AE156" s="542" t="s">
        <v>82</v>
      </c>
      <c r="AF156" s="542" t="s">
        <v>82</v>
      </c>
      <c r="AG156" s="542" t="s">
        <v>82</v>
      </c>
      <c r="AH156" s="9"/>
      <c r="AI156" s="487">
        <v>153</v>
      </c>
      <c r="AJ156" s="497" t="s">
        <v>161</v>
      </c>
      <c r="AK156" s="378">
        <v>57</v>
      </c>
      <c r="AL156" s="378" t="str">
        <f t="shared" ca="1" si="82"/>
        <v>-</v>
      </c>
      <c r="AM156" s="378" t="str">
        <f t="array" aca="1" ref="AM156" ca="1">IFERROR(IF(AI156&lt;=$AB$2,"-",INDEX(Calculation_Tab,SMALL(ROW(Main_Dil)*(Main_Dil&lt;&gt;"-"),COUNTIF(Main_Dil,"-")+ROW()-3-$AB$2)-9,5)),"-")</f>
        <v>-</v>
      </c>
      <c r="AN156" s="378" t="str">
        <f t="array" aca="1" ref="AN156" ca="1">IFERROR(IF(AI156&lt;=$AB$2,"-",INDEX($A$3:$B$12,MATCH(INDEX(Calculation_Tab,SMALL(ROW(Main_Dil)*(Main_Dil&lt;&gt;"-"),COUNTIF(Main_Dil,"-")+ROW()-3-$AB$2)-9,5),$A$3:$A$12,0),2)),"-")</f>
        <v>-</v>
      </c>
      <c r="AO156" s="378" t="str">
        <f t="array" aca="1" ref="AO156" ca="1">IFERROR(IF(AI156&lt;=$AB$2,"-",INDEX(Coordinate,MATCH(INDEX(Calculation_Tab,SMALL(ROW(Main_Dil)*(Main_Dil&lt;&gt;"-"),COUNTIF(Main_Dil,"-")+ROW()-3-$AB$2)-9,6),$X$4:$X$99,0),2)),"-")</f>
        <v>-</v>
      </c>
      <c r="AP156" s="510" t="str">
        <f t="array" aca="1" ref="AP156" ca="1">IFERROR(IF(AI156&lt;=$AB$2,"-",INDEX(Calculation_Tab,SMALL(ROW(Main_Dil)*(Main_Dil&lt;&gt;"-"),COUNTIF(Main_Dil,"-")+ROW()-3-$AB$2)-9,21)),"-")</f>
        <v>-</v>
      </c>
      <c r="AQ156" s="511" t="str">
        <f t="array" aca="1" ref="AQ156" ca="1">IFERROR(IF(AI156&lt;=$AB$2,"-",INDEX(Calculation_Tab,SMALL(ROW(Main_Dil)*(Main_Dil&lt;&gt;"-"),COUNTIF(Main_Dil,"-")+ROW()-3-$AB$2)-9,22)),"-")</f>
        <v>-</v>
      </c>
      <c r="AR156" s="487" t="str">
        <f t="shared" ca="1" si="83"/>
        <v>-</v>
      </c>
      <c r="AS156" s="378">
        <v>153</v>
      </c>
      <c r="AT156" s="497" t="s">
        <v>161</v>
      </c>
      <c r="AU156" s="498">
        <v>57</v>
      </c>
      <c r="AV156" s="378" t="str">
        <f t="shared" ca="1" si="84"/>
        <v>-</v>
      </c>
      <c r="AW156" s="378" t="str">
        <f t="array" aca="1" ref="AW156" ca="1">IFERROR(IF(AS156&lt;=$AB$2+$AN$2,"-",INDEX(Calculation_Tab,SMALL(ROW(Direct_Denaturation)*(Direct_Denaturation&lt;&gt;"-"),COUNTIF(Direct_Denaturation,"-")+ROW()-3-$AB$2-$AN$2)-9,5)),"-")</f>
        <v>-</v>
      </c>
      <c r="AX156" s="378" t="str">
        <f t="array" aca="1" ref="AX156" ca="1">IFERROR(IF(AS156&lt;=$AB$2+$AN$2,"-",INDEX($A$3:$B$12,MATCH(INDEX(Calculation_Tab,SMALL(ROW(Direct_Denaturation)*(Direct_Denaturation&lt;&gt;"-"),COUNTIF(Direct_Denaturation,"-")+ROW()-3-$AB$2-$AN$2)-9,5),$A$3:$A$12,0),2)),"-")</f>
        <v>-</v>
      </c>
      <c r="AY156" s="378" t="str">
        <f t="array" aca="1" ref="AY156" ca="1">IFERROR(IF(AS156&lt;=$AB$2+$AN$2,"-",INDEX(Coordinate,MATCH(INDEX(Calculation_Tab,SMALL(ROW(Direct_Denaturation)*(Direct_Denaturation&lt;&gt;"-"),COUNTIF(Direct_Denaturation,"-")+ROW()-3-$AB$2-$AN$2)-9,6),$X$4:$X$99,0),2)),"-")</f>
        <v>-</v>
      </c>
      <c r="AZ156" s="510" t="str">
        <f t="array" aca="1" ref="AZ156" ca="1">IFERROR(IF(AS156&lt;=$AB$2+$AN$2,"-",INDEX(Calculation_Tab,SMALL(ROW(Direct_Denaturation)*(Direct_Denaturation&lt;&gt;"-"),COUNTIF(Direct_Denaturation,"-")+ROW()-3-$AB$2-$AN$2)-9,32)),"-")</f>
        <v>-</v>
      </c>
      <c r="BA156" s="510" t="str">
        <f t="array" aca="1" ref="BA156" ca="1">IFERROR(IF(AS156&lt;=$AB$2+$AN$2,"-",INDEX(Calculation_Tab,SMALL(ROW(Direct_Denaturation)*(Direct_Denaturation&lt;&gt;"-"),COUNTIF(Direct_Denaturation,"-")+ROW()-3-$AB$2-$AN$2)-9,34)),"-")</f>
        <v>-</v>
      </c>
      <c r="BB156" s="510" t="str">
        <f t="array" aca="1" ref="BB156" ca="1">IFERROR(IF(AS156&lt;=$AB$2+$AN$2,"-",INDEX(Calculation_Tab,SMALL(ROW(Direct_Denaturation)*(Direct_Denaturation&lt;&gt;"-"),COUNTIF(Direct_Denaturation,"-")+ROW()-3-$AB$2-$AN$2)-9,33)),"-")</f>
        <v>-</v>
      </c>
      <c r="BC156" s="510" t="str">
        <f t="array" aca="1" ref="BC156" ca="1">IFERROR(IF(AS156&lt;=$AB$2+$AN$2,"-",INDEX(Calculation_Tab,SMALL(ROW(Direct_Denaturation)*(Direct_Denaturation&lt;&gt;"-"),COUNTIF(Direct_Denaturation,"-")+ROW()-3-$AB$2-$AN$2)-9,35)),"-")</f>
        <v>-</v>
      </c>
      <c r="BD156" s="511" t="str">
        <f t="shared" ca="1" si="85"/>
        <v>-</v>
      </c>
      <c r="BK156" s="542" t="s">
        <v>82</v>
      </c>
      <c r="BL156" s="542" t="s">
        <v>82</v>
      </c>
      <c r="BM156" s="487" t="str">
        <f t="array" aca="1" ref="BM156" ca="1">IFERROR(INDEX(Calculation_Tab,SMALL(ROW(ToPool)*(ToPool&lt;&gt;"-"),COUNTIF(ToPool,"-")+ROW()-3)-9,3),"-")</f>
        <v>-</v>
      </c>
      <c r="BN156" s="378" t="str">
        <f t="shared" ca="1" si="86"/>
        <v>-</v>
      </c>
      <c r="BO156" s="378" t="str">
        <f t="shared" ca="1" si="87"/>
        <v>-</v>
      </c>
      <c r="BP156" s="523" t="str">
        <f t="shared" ca="1" si="88"/>
        <v>-</v>
      </c>
      <c r="BQ156" s="378" t="str">
        <f t="array" aca="1" ref="BQ156" ca="1">IFERROR(INDEX(BE:BG,MATCH(INDEX(Calculation_Tab,SMALL(ROW(ToPool)*(ToPool&lt;&gt;"-"),COUNTIF(ToPool,"-")+ROW()-3)-9,9),BG:BG,0),2),"-")</f>
        <v>-</v>
      </c>
      <c r="BR156" s="510" t="str">
        <f t="shared" ca="1" si="89"/>
        <v>-</v>
      </c>
      <c r="BS156" s="511" t="str">
        <f t="shared" ca="1" si="90"/>
        <v>-</v>
      </c>
      <c r="BT156" s="543" t="s">
        <v>82</v>
      </c>
      <c r="BU156" s="487" t="str">
        <f t="shared" ca="1" si="95"/>
        <v>-</v>
      </c>
      <c r="BV156" s="487" t="str">
        <f t="array" aca="1" ref="BV15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56" s="378" t="str">
        <f t="shared" ca="1" si="91"/>
        <v>-</v>
      </c>
      <c r="BX156" s="378" t="str">
        <f t="shared" ca="1" si="92"/>
        <v>-</v>
      </c>
      <c r="BY156" s="510" t="str">
        <f ca="1">IFERROR(ROUND(INDEX(Cluster,MATCH(IF(LEFT(BV156,4)="Pool",INDEX(Cluster,MATCH(INDEX(Calculation_Tab,MATCH(INDEX($BE$4:$BJ$99,MATCH(BV156,$BE$4:$BE$99,0),3),Flow_Cell_Lane,0),3),Cluster!$F$29:$F$412,0),6),BV156),Identifier_Cluster,0),19)*IF(LEFT(BV156,4)="pool",IF(LEN(INDEX($BE$4:$BJ$99,MATCH(BV156,$BE$4:$BE$99,0),3))=10,2,IF(LEN(INDEX($BE$4:$BJ$99,MATCH(BV156,$BE$4:$BE$99,0),3))&gt;10,LEN(INDEX($BE$4:$BJ$99,MATCH(BV156,$BE$4:$BE$99,0),3))-8,1)),1)*IF(LEFT(BV156,4)="pool",IF(INDEX($BE$4:$BJ$99,MATCH(BV156,$BE$4:$BE$99,0),6)&lt;1,1,INDEX($BE$4:$BJ$99,MATCH(BV156,$BE$4:$BE$99,0),6)),INDEX(Calculation_Tab,MATCH(BV156,Identifier,0),10)),1)*(1+Calculation!$Q$6),"-")</f>
        <v>-</v>
      </c>
      <c r="BZ156" s="378" t="str">
        <f ca="1">IFERROR((0.5/50)*CE156/Calculation!$AG$6*(IF(LEFT(BV156,4)="Pool",IF(LEN(INDEX($BE$4:$BJ$99,MATCH(BV156,$BE$4:$BE$99,0),3))=10,2,IF(LEN(INDEX($BE$4:$BJ$99,MATCH(BV156,$BE$4:$BE$99,0),3))&gt;10,LEN(INDEX($BE$4:$BJ$99,MATCH(BV156,$BE$4:$BE$99,0),3))-8,1)),IF(INDEX(Calculation_Tab,MATCH(BV156,Identifier,0),10)&gt;1,INDEX(Calculation_Tab,MATCH(BV156,Identifier,0),10),1)))*(1+Calculation!$Q$6),"-")</f>
        <v>-</v>
      </c>
      <c r="CA156" s="510" t="str">
        <f ca="1">IFERROR(IF((BZ156*Calculation!$AG$6/0.05)-SUM(BY156:BZ156,CC156)&gt;0,(BZ156*Calculation!$AG$6/0.05)-SUM(BY156:BZ156,CC156),0),"-")</f>
        <v>-</v>
      </c>
      <c r="CB156" s="510" t="str">
        <f ca="1">IFERROR(5/50*CE156*(IF(LEFT(BV156,4)="Pool",IF(LEN(INDEX($BE$4:$BJ$99,MATCH(BV156,$BE$4:$BE$99,0),3))=10,2,IF(LEN(INDEX($BE$4:$BJ$99,MATCH(BV156,$BE$4:$BE$99,0),3))&gt;10,LEN(INDEX($BE$4:$BJ$99,MATCH(BV156,$BE$4:$BE$99,0),3))-8,1)),IF(INDEX(Calculation_Tab,MATCH(BV156,Identifier,0),10)&gt;1,INDEX(Calculation_Tab,MATCH(BV156,Identifier,0),10),1)))*(1+Calculation!$Q$6),"-")</f>
        <v>-</v>
      </c>
      <c r="CC156" s="508" t="str">
        <f ca="1">IFERROR(ROUND(INDEX(Cluster,MATCH(IF(LEFT(BV156,4)="Pool",INDEX(Cluster,MATCH(INDEX(Calculation_Tab,MATCH(INDEX($BE$4:$BJ$99,MATCH(BV156,$BE$4:$BE$99,0),3),Flow_Cell_Lane,0),3),Cluster!$F$29:$F$412,0),6),BV156),Identifier_Cluster,0),20)*IF(LEFT(BV156,4)="pool",IF(LEN(INDEX($BE$4:$BJ$99,MATCH(BV156,$BE$4:$BE$99,0),3))=10,2,IF(LEN(INDEX($BE$4:$BJ$99,MATCH(BV156,$BE$4:$BE$99,0),3))&gt;10,LEN(INDEX($BE$4:$BJ$99,MATCH(BV156,$BE$4:$BE$99,0),3))-8,1)),1)*IF(LEFT(BV156,4)="pool",IF(INDEX($BE$4:$BJ$99,MATCH(BV156,$BE$4:$BE$99,0),6)&lt;1,1,INDEX($BE$4:$BJ$99,MATCH(BV156,$BE$4:$BE$99,0),6)),INDEX(Calculation_Tab,MATCH(BV156,Identifier,0),10)),1)*(1+Calculation!$Q$6),"-")</f>
        <v>-</v>
      </c>
      <c r="CD156" s="509" t="str">
        <f ca="1">IFERROR(INDEX(Cluster!AC:AD,MATCH(IF(LEFT(BV156,4)="Pool",INDEX(Cluster!$D$29:$AA$412,MATCH(INDEX(Calculation_Tab,MATCH(INDEX($BE$4:$BJ$99,MATCH(BV156,$BE$4:$BE$99,0),3),Flow_Cell_Lane,0),3),Cluster!$F$29:$F$412,0),24),INDEX(Cluster!$D$29:$AA$412,MATCH(BV156,Cluster!$F$29:$F$412,0),24)),Cluster!AC:AC,0),2),"-")</f>
        <v>-</v>
      </c>
      <c r="CE156" s="378" t="str">
        <f ca="1">IFERROR(IF(BV156&lt;&gt;"-",Calculation!$AK$6,"-"),"-")</f>
        <v>-</v>
      </c>
      <c r="CF156" s="378" t="str">
        <f ca="1">IF(OR(LEFT(ListAndConversion!BW156,3)="Dil",LEFT(ListAndConversion!BW156,3)="Poo"),ListAndConversion!$BT$4,IF(LEFT(ListAndConversion!BW156,3)="Sou",INDEX(ListAndConversion!$AT$3:$AV$387,MATCH(ListAndConversion!BV156,ListAndConversion!$AV$3:$AV$387,0),1),"-"))</f>
        <v>-</v>
      </c>
      <c r="CG156" s="498" t="str">
        <f ca="1">IF(OR(LEFT(ListAndConversion!BW156,3)="Dil",LEFT(ListAndConversion!BW156,3)="Poo"),ListAndConversion!BU156,IF(LEFT(ListAndConversion!BW156,3)="Sou",INDEX(ListAndConversion!$AT$4:$AV$387,MATCH(ListAndConversion!BV156,ListAndConversion!$AV$4:$AV$387,0),2),"-"))</f>
        <v>-</v>
      </c>
      <c r="CH156" s="378"/>
      <c r="CI156" s="487" t="str">
        <f t="shared" ca="1" si="93"/>
        <v>-</v>
      </c>
      <c r="CJ156" s="378" t="str">
        <f t="shared" ca="1" si="100"/>
        <v>-</v>
      </c>
      <c r="CK156" s="378" t="str">
        <f t="shared" ca="1" si="100"/>
        <v>-</v>
      </c>
      <c r="CL156" s="378" t="str">
        <f t="shared" ca="1" si="100"/>
        <v>-</v>
      </c>
      <c r="CM156" s="378" t="str">
        <f t="shared" ca="1" si="100"/>
        <v>-</v>
      </c>
      <c r="CN156" s="378" t="str">
        <f t="shared" ca="1" si="100"/>
        <v>-</v>
      </c>
      <c r="CO156" s="378" t="str">
        <f t="shared" ca="1" si="100"/>
        <v>-</v>
      </c>
      <c r="CP156" s="378" t="str">
        <f t="shared" ca="1" si="100"/>
        <v>-</v>
      </c>
      <c r="CQ156" s="378" t="str">
        <f t="shared" ca="1" si="100"/>
        <v>-</v>
      </c>
      <c r="CR156" s="510" t="str">
        <f ca="1">IFERROR(IF(LEFT(BW156,3)="Poo",INDEX($BE$4:$BJ$99,MATCH(CI156,$BG$4:$BG$99,0),6)*((15/50))*Calculation!$AK$6,INDEX(Calculation_Tab,MATCH(BV156,Identifier,0),10)/(IF(LEN(INDEX(Calculation_Tab,MATCH(BV156,Identifier,0),9))&gt;8,LEN(INDEX(Calculation_Tab,MATCH(BV156,Identifier,0),9))-8,1))*((15/50)*Calculation!$AK$6)),"-")</f>
        <v>-</v>
      </c>
      <c r="CS156" s="498" t="str">
        <f ca="1">IF(CI156="-","-",IF(COUNTIF($CI$3:CI156,CI156)&gt;1,0,IFERROR((35/50)*Calculation!$AK$6,"-")))</f>
        <v>-</v>
      </c>
    </row>
    <row r="157" spans="4:97" x14ac:dyDescent="0.5">
      <c r="D157" s="487" t="e">
        <f t="shared" si="79"/>
        <v>#DIV/0!</v>
      </c>
      <c r="E157" s="496" t="e">
        <f t="array" ref="E157">IF(IF((ROW(E157)-3)&lt;(ListAndConversion!$A$15),INDEX(Flow_Cell_Lane,MIN(IF(COUNTIF($E$2:E156,Flow_Cell_Lane)=0,ROW(Flow_Cell_Lane)-9))),"-")="","-",IF((ROW(E157)-3)&lt;(ListAndConversion!$A$15),INDEX(Flow_Cell_Lane,MIN(IF(COUNTIF($E$2:E156,Flow_Cell_Lane)=0,ROW(Flow_Cell_Lane)-9))),"-"))</f>
        <v>#DIV/0!</v>
      </c>
      <c r="F157" s="378" t="e">
        <f t="shared" si="80"/>
        <v>#DIV/0!</v>
      </c>
      <c r="G157" s="378" t="e">
        <f t="shared" si="99"/>
        <v>#DIV/0!</v>
      </c>
      <c r="H157" s="378" t="e">
        <f t="shared" si="99"/>
        <v>#DIV/0!</v>
      </c>
      <c r="I157" s="378" t="e">
        <f t="shared" si="99"/>
        <v>#DIV/0!</v>
      </c>
      <c r="J157" s="378" t="e">
        <f t="shared" si="99"/>
        <v>#DIV/0!</v>
      </c>
      <c r="K157" s="378" t="e">
        <f t="shared" si="99"/>
        <v>#DIV/0!</v>
      </c>
      <c r="L157" s="378" t="e">
        <f t="shared" si="99"/>
        <v>#DIV/0!</v>
      </c>
      <c r="M157" s="378" t="e">
        <f t="shared" si="99"/>
        <v>#DIV/0!</v>
      </c>
      <c r="N157" s="497" t="e">
        <f t="shared" si="81"/>
        <v>#DIV/0!</v>
      </c>
      <c r="O157" s="497" t="str">
        <f t="array" ref="O157">IFERROR(INDEX(Calculation!I:AN,MATCH(ListAndConversion!E157,Calculation!I:I,0),31),"-")</f>
        <v>-</v>
      </c>
      <c r="P157" s="498">
        <f>IF(COUNTIFS(Calculation!$I$10:$I$393,E157,Direct_Denaturation,"-")&lt;&gt;1,COUNTIFS(Calculation!$I$10:$I$393,E157,Direct_Denaturation,"-"),0)</f>
        <v>0</v>
      </c>
      <c r="V157" s="542" t="s">
        <v>82</v>
      </c>
      <c r="W157" s="542" t="s">
        <v>82</v>
      </c>
      <c r="X157" s="542" t="s">
        <v>82</v>
      </c>
      <c r="Y157" s="542" t="s">
        <v>82</v>
      </c>
      <c r="Z157" s="542" t="s">
        <v>82</v>
      </c>
      <c r="AA157" s="542" t="s">
        <v>82</v>
      </c>
      <c r="AB157" s="542" t="s">
        <v>82</v>
      </c>
      <c r="AC157" s="542" t="s">
        <v>82</v>
      </c>
      <c r="AD157" s="542" t="s">
        <v>82</v>
      </c>
      <c r="AE157" s="542" t="s">
        <v>82</v>
      </c>
      <c r="AF157" s="542" t="s">
        <v>82</v>
      </c>
      <c r="AG157" s="542" t="s">
        <v>82</v>
      </c>
      <c r="AH157" s="9"/>
      <c r="AI157" s="487">
        <v>154</v>
      </c>
      <c r="AJ157" s="497" t="s">
        <v>161</v>
      </c>
      <c r="AK157" s="378">
        <v>58</v>
      </c>
      <c r="AL157" s="378" t="str">
        <f t="shared" ca="1" si="82"/>
        <v>-</v>
      </c>
      <c r="AM157" s="378" t="str">
        <f t="array" aca="1" ref="AM157" ca="1">IFERROR(IF(AI157&lt;=$AB$2,"-",INDEX(Calculation_Tab,SMALL(ROW(Main_Dil)*(Main_Dil&lt;&gt;"-"),COUNTIF(Main_Dil,"-")+ROW()-3-$AB$2)-9,5)),"-")</f>
        <v>-</v>
      </c>
      <c r="AN157" s="378" t="str">
        <f t="array" aca="1" ref="AN157" ca="1">IFERROR(IF(AI157&lt;=$AB$2,"-",INDEX($A$3:$B$12,MATCH(INDEX(Calculation_Tab,SMALL(ROW(Main_Dil)*(Main_Dil&lt;&gt;"-"),COUNTIF(Main_Dil,"-")+ROW()-3-$AB$2)-9,5),$A$3:$A$12,0),2)),"-")</f>
        <v>-</v>
      </c>
      <c r="AO157" s="378" t="str">
        <f t="array" aca="1" ref="AO157" ca="1">IFERROR(IF(AI157&lt;=$AB$2,"-",INDEX(Coordinate,MATCH(INDEX(Calculation_Tab,SMALL(ROW(Main_Dil)*(Main_Dil&lt;&gt;"-"),COUNTIF(Main_Dil,"-")+ROW()-3-$AB$2)-9,6),$X$4:$X$99,0),2)),"-")</f>
        <v>-</v>
      </c>
      <c r="AP157" s="510" t="str">
        <f t="array" aca="1" ref="AP157" ca="1">IFERROR(IF(AI157&lt;=$AB$2,"-",INDEX(Calculation_Tab,SMALL(ROW(Main_Dil)*(Main_Dil&lt;&gt;"-"),COUNTIF(Main_Dil,"-")+ROW()-3-$AB$2)-9,21)),"-")</f>
        <v>-</v>
      </c>
      <c r="AQ157" s="511" t="str">
        <f t="array" aca="1" ref="AQ157" ca="1">IFERROR(IF(AI157&lt;=$AB$2,"-",INDEX(Calculation_Tab,SMALL(ROW(Main_Dil)*(Main_Dil&lt;&gt;"-"),COUNTIF(Main_Dil,"-")+ROW()-3-$AB$2)-9,22)),"-")</f>
        <v>-</v>
      </c>
      <c r="AR157" s="487" t="str">
        <f t="shared" ca="1" si="83"/>
        <v>-</v>
      </c>
      <c r="AS157" s="378">
        <v>154</v>
      </c>
      <c r="AT157" s="497" t="s">
        <v>161</v>
      </c>
      <c r="AU157" s="498">
        <v>58</v>
      </c>
      <c r="AV157" s="378" t="str">
        <f t="shared" ca="1" si="84"/>
        <v>-</v>
      </c>
      <c r="AW157" s="378" t="str">
        <f t="array" aca="1" ref="AW157" ca="1">IFERROR(IF(AS157&lt;=$AB$2+$AN$2,"-",INDEX(Calculation_Tab,SMALL(ROW(Direct_Denaturation)*(Direct_Denaturation&lt;&gt;"-"),COUNTIF(Direct_Denaturation,"-")+ROW()-3-$AB$2-$AN$2)-9,5)),"-")</f>
        <v>-</v>
      </c>
      <c r="AX157" s="378" t="str">
        <f t="array" aca="1" ref="AX157" ca="1">IFERROR(IF(AS157&lt;=$AB$2+$AN$2,"-",INDEX($A$3:$B$12,MATCH(INDEX(Calculation_Tab,SMALL(ROW(Direct_Denaturation)*(Direct_Denaturation&lt;&gt;"-"),COUNTIF(Direct_Denaturation,"-")+ROW()-3-$AB$2-$AN$2)-9,5),$A$3:$A$12,0),2)),"-")</f>
        <v>-</v>
      </c>
      <c r="AY157" s="378" t="str">
        <f t="array" aca="1" ref="AY157" ca="1">IFERROR(IF(AS157&lt;=$AB$2+$AN$2,"-",INDEX(Coordinate,MATCH(INDEX(Calculation_Tab,SMALL(ROW(Direct_Denaturation)*(Direct_Denaturation&lt;&gt;"-"),COUNTIF(Direct_Denaturation,"-")+ROW()-3-$AB$2-$AN$2)-9,6),$X$4:$X$99,0),2)),"-")</f>
        <v>-</v>
      </c>
      <c r="AZ157" s="510" t="str">
        <f t="array" aca="1" ref="AZ157" ca="1">IFERROR(IF(AS157&lt;=$AB$2+$AN$2,"-",INDEX(Calculation_Tab,SMALL(ROW(Direct_Denaturation)*(Direct_Denaturation&lt;&gt;"-"),COUNTIF(Direct_Denaturation,"-")+ROW()-3-$AB$2-$AN$2)-9,32)),"-")</f>
        <v>-</v>
      </c>
      <c r="BA157" s="510" t="str">
        <f t="array" aca="1" ref="BA157" ca="1">IFERROR(IF(AS157&lt;=$AB$2+$AN$2,"-",INDEX(Calculation_Tab,SMALL(ROW(Direct_Denaturation)*(Direct_Denaturation&lt;&gt;"-"),COUNTIF(Direct_Denaturation,"-")+ROW()-3-$AB$2-$AN$2)-9,34)),"-")</f>
        <v>-</v>
      </c>
      <c r="BB157" s="510" t="str">
        <f t="array" aca="1" ref="BB157" ca="1">IFERROR(IF(AS157&lt;=$AB$2+$AN$2,"-",INDEX(Calculation_Tab,SMALL(ROW(Direct_Denaturation)*(Direct_Denaturation&lt;&gt;"-"),COUNTIF(Direct_Denaturation,"-")+ROW()-3-$AB$2-$AN$2)-9,33)),"-")</f>
        <v>-</v>
      </c>
      <c r="BC157" s="510" t="str">
        <f t="array" aca="1" ref="BC157" ca="1">IFERROR(IF(AS157&lt;=$AB$2+$AN$2,"-",INDEX(Calculation_Tab,SMALL(ROW(Direct_Denaturation)*(Direct_Denaturation&lt;&gt;"-"),COUNTIF(Direct_Denaturation,"-")+ROW()-3-$AB$2-$AN$2)-9,35)),"-")</f>
        <v>-</v>
      </c>
      <c r="BD157" s="511" t="str">
        <f t="shared" ca="1" si="85"/>
        <v>-</v>
      </c>
      <c r="BK157" s="542" t="s">
        <v>82</v>
      </c>
      <c r="BL157" s="542" t="s">
        <v>82</v>
      </c>
      <c r="BM157" s="487" t="str">
        <f t="array" aca="1" ref="BM157" ca="1">IFERROR(INDEX(Calculation_Tab,SMALL(ROW(ToPool)*(ToPool&lt;&gt;"-"),COUNTIF(ToPool,"-")+ROW()-3)-9,3),"-")</f>
        <v>-</v>
      </c>
      <c r="BN157" s="378" t="str">
        <f t="shared" ca="1" si="86"/>
        <v>-</v>
      </c>
      <c r="BO157" s="378" t="str">
        <f t="shared" ca="1" si="87"/>
        <v>-</v>
      </c>
      <c r="BP157" s="523" t="str">
        <f t="shared" ca="1" si="88"/>
        <v>-</v>
      </c>
      <c r="BQ157" s="378" t="str">
        <f t="array" aca="1" ref="BQ157" ca="1">IFERROR(INDEX(BE:BG,MATCH(INDEX(Calculation_Tab,SMALL(ROW(ToPool)*(ToPool&lt;&gt;"-"),COUNTIF(ToPool,"-")+ROW()-3)-9,9),BG:BG,0),2),"-")</f>
        <v>-</v>
      </c>
      <c r="BR157" s="510" t="str">
        <f t="shared" ca="1" si="89"/>
        <v>-</v>
      </c>
      <c r="BS157" s="511" t="str">
        <f t="shared" ca="1" si="90"/>
        <v>-</v>
      </c>
      <c r="BT157" s="543" t="s">
        <v>82</v>
      </c>
      <c r="BU157" s="487" t="str">
        <f t="shared" ca="1" si="95"/>
        <v>-</v>
      </c>
      <c r="BV157" s="487" t="str">
        <f t="array" aca="1" ref="BV15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57" s="378" t="str">
        <f t="shared" ca="1" si="91"/>
        <v>-</v>
      </c>
      <c r="BX157" s="378" t="str">
        <f t="shared" ca="1" si="92"/>
        <v>-</v>
      </c>
      <c r="BY157" s="510" t="str">
        <f ca="1">IFERROR(ROUND(INDEX(Cluster,MATCH(IF(LEFT(BV157,4)="Pool",INDEX(Cluster,MATCH(INDEX(Calculation_Tab,MATCH(INDEX($BE$4:$BJ$99,MATCH(BV157,$BE$4:$BE$99,0),3),Flow_Cell_Lane,0),3),Cluster!$F$29:$F$412,0),6),BV157),Identifier_Cluster,0),19)*IF(LEFT(BV157,4)="pool",IF(LEN(INDEX($BE$4:$BJ$99,MATCH(BV157,$BE$4:$BE$99,0),3))=10,2,IF(LEN(INDEX($BE$4:$BJ$99,MATCH(BV157,$BE$4:$BE$99,0),3))&gt;10,LEN(INDEX($BE$4:$BJ$99,MATCH(BV157,$BE$4:$BE$99,0),3))-8,1)),1)*IF(LEFT(BV157,4)="pool",IF(INDEX($BE$4:$BJ$99,MATCH(BV157,$BE$4:$BE$99,0),6)&lt;1,1,INDEX($BE$4:$BJ$99,MATCH(BV157,$BE$4:$BE$99,0),6)),INDEX(Calculation_Tab,MATCH(BV157,Identifier,0),10)),1)*(1+Calculation!$Q$6),"-")</f>
        <v>-</v>
      </c>
      <c r="BZ157" s="378" t="str">
        <f ca="1">IFERROR((0.5/50)*CE157/Calculation!$AG$6*(IF(LEFT(BV157,4)="Pool",IF(LEN(INDEX($BE$4:$BJ$99,MATCH(BV157,$BE$4:$BE$99,0),3))=10,2,IF(LEN(INDEX($BE$4:$BJ$99,MATCH(BV157,$BE$4:$BE$99,0),3))&gt;10,LEN(INDEX($BE$4:$BJ$99,MATCH(BV157,$BE$4:$BE$99,0),3))-8,1)),IF(INDEX(Calculation_Tab,MATCH(BV157,Identifier,0),10)&gt;1,INDEX(Calculation_Tab,MATCH(BV157,Identifier,0),10),1)))*(1+Calculation!$Q$6),"-")</f>
        <v>-</v>
      </c>
      <c r="CA157" s="510" t="str">
        <f ca="1">IFERROR(IF((BZ157*Calculation!$AG$6/0.05)-SUM(BY157:BZ157,CC157)&gt;0,(BZ157*Calculation!$AG$6/0.05)-SUM(BY157:BZ157,CC157),0),"-")</f>
        <v>-</v>
      </c>
      <c r="CB157" s="510" t="str">
        <f ca="1">IFERROR(5/50*CE157*(IF(LEFT(BV157,4)="Pool",IF(LEN(INDEX($BE$4:$BJ$99,MATCH(BV157,$BE$4:$BE$99,0),3))=10,2,IF(LEN(INDEX($BE$4:$BJ$99,MATCH(BV157,$BE$4:$BE$99,0),3))&gt;10,LEN(INDEX($BE$4:$BJ$99,MATCH(BV157,$BE$4:$BE$99,0),3))-8,1)),IF(INDEX(Calculation_Tab,MATCH(BV157,Identifier,0),10)&gt;1,INDEX(Calculation_Tab,MATCH(BV157,Identifier,0),10),1)))*(1+Calculation!$Q$6),"-")</f>
        <v>-</v>
      </c>
      <c r="CC157" s="508" t="str">
        <f ca="1">IFERROR(ROUND(INDEX(Cluster,MATCH(IF(LEFT(BV157,4)="Pool",INDEX(Cluster,MATCH(INDEX(Calculation_Tab,MATCH(INDEX($BE$4:$BJ$99,MATCH(BV157,$BE$4:$BE$99,0),3),Flow_Cell_Lane,0),3),Cluster!$F$29:$F$412,0),6),BV157),Identifier_Cluster,0),20)*IF(LEFT(BV157,4)="pool",IF(LEN(INDEX($BE$4:$BJ$99,MATCH(BV157,$BE$4:$BE$99,0),3))=10,2,IF(LEN(INDEX($BE$4:$BJ$99,MATCH(BV157,$BE$4:$BE$99,0),3))&gt;10,LEN(INDEX($BE$4:$BJ$99,MATCH(BV157,$BE$4:$BE$99,0),3))-8,1)),1)*IF(LEFT(BV157,4)="pool",IF(INDEX($BE$4:$BJ$99,MATCH(BV157,$BE$4:$BE$99,0),6)&lt;1,1,INDEX($BE$4:$BJ$99,MATCH(BV157,$BE$4:$BE$99,0),6)),INDEX(Calculation_Tab,MATCH(BV157,Identifier,0),10)),1)*(1+Calculation!$Q$6),"-")</f>
        <v>-</v>
      </c>
      <c r="CD157" s="509" t="str">
        <f ca="1">IFERROR(INDEX(Cluster!AC:AD,MATCH(IF(LEFT(BV157,4)="Pool",INDEX(Cluster!$D$29:$AA$412,MATCH(INDEX(Calculation_Tab,MATCH(INDEX($BE$4:$BJ$99,MATCH(BV157,$BE$4:$BE$99,0),3),Flow_Cell_Lane,0),3),Cluster!$F$29:$F$412,0),24),INDEX(Cluster!$D$29:$AA$412,MATCH(BV157,Cluster!$F$29:$F$412,0),24)),Cluster!AC:AC,0),2),"-")</f>
        <v>-</v>
      </c>
      <c r="CE157" s="378" t="str">
        <f ca="1">IFERROR(IF(BV157&lt;&gt;"-",Calculation!$AK$6,"-"),"-")</f>
        <v>-</v>
      </c>
      <c r="CF157" s="378" t="str">
        <f ca="1">IF(OR(LEFT(ListAndConversion!BW157,3)="Dil",LEFT(ListAndConversion!BW157,3)="Poo"),ListAndConversion!$BT$4,IF(LEFT(ListAndConversion!BW157,3)="Sou",INDEX(ListAndConversion!$AT$3:$AV$387,MATCH(ListAndConversion!BV157,ListAndConversion!$AV$3:$AV$387,0),1),"-"))</f>
        <v>-</v>
      </c>
      <c r="CG157" s="498" t="str">
        <f ca="1">IF(OR(LEFT(ListAndConversion!BW157,3)="Dil",LEFT(ListAndConversion!BW157,3)="Poo"),ListAndConversion!BU157,IF(LEFT(ListAndConversion!BW157,3)="Sou",INDEX(ListAndConversion!$AT$4:$AV$387,MATCH(ListAndConversion!BV157,ListAndConversion!$AV$4:$AV$387,0),2),"-"))</f>
        <v>-</v>
      </c>
      <c r="CH157" s="378"/>
      <c r="CI157" s="487" t="str">
        <f t="shared" ca="1" si="93"/>
        <v>-</v>
      </c>
      <c r="CJ157" s="378" t="str">
        <f t="shared" ca="1" si="100"/>
        <v>-</v>
      </c>
      <c r="CK157" s="378" t="str">
        <f t="shared" ca="1" si="100"/>
        <v>-</v>
      </c>
      <c r="CL157" s="378" t="str">
        <f t="shared" ca="1" si="100"/>
        <v>-</v>
      </c>
      <c r="CM157" s="378" t="str">
        <f t="shared" ca="1" si="100"/>
        <v>-</v>
      </c>
      <c r="CN157" s="378" t="str">
        <f t="shared" ca="1" si="100"/>
        <v>-</v>
      </c>
      <c r="CO157" s="378" t="str">
        <f t="shared" ca="1" si="100"/>
        <v>-</v>
      </c>
      <c r="CP157" s="378" t="str">
        <f t="shared" ca="1" si="100"/>
        <v>-</v>
      </c>
      <c r="CQ157" s="378" t="str">
        <f t="shared" ca="1" si="100"/>
        <v>-</v>
      </c>
      <c r="CR157" s="510" t="str">
        <f ca="1">IFERROR(IF(LEFT(BW157,3)="Poo",INDEX($BE$4:$BJ$99,MATCH(CI157,$BG$4:$BG$99,0),6)*((15/50))*Calculation!$AK$6,INDEX(Calculation_Tab,MATCH(BV157,Identifier,0),10)/(IF(LEN(INDEX(Calculation_Tab,MATCH(BV157,Identifier,0),9))&gt;8,LEN(INDEX(Calculation_Tab,MATCH(BV157,Identifier,0),9))-8,1))*((15/50)*Calculation!$AK$6)),"-")</f>
        <v>-</v>
      </c>
      <c r="CS157" s="498" t="str">
        <f ca="1">IF(CI157="-","-",IF(COUNTIF($CI$3:CI157,CI157)&gt;1,0,IFERROR((35/50)*Calculation!$AK$6,"-")))</f>
        <v>-</v>
      </c>
    </row>
    <row r="158" spans="4:97" x14ac:dyDescent="0.5">
      <c r="D158" s="487" t="e">
        <f t="shared" si="79"/>
        <v>#DIV/0!</v>
      </c>
      <c r="E158" s="496" t="e">
        <f t="array" ref="E158">IF(IF((ROW(E158)-3)&lt;(ListAndConversion!$A$15),INDEX(Flow_Cell_Lane,MIN(IF(COUNTIF($E$2:E157,Flow_Cell_Lane)=0,ROW(Flow_Cell_Lane)-9))),"-")="","-",IF((ROW(E158)-3)&lt;(ListAndConversion!$A$15),INDEX(Flow_Cell_Lane,MIN(IF(COUNTIF($E$2:E157,Flow_Cell_Lane)=0,ROW(Flow_Cell_Lane)-9))),"-"))</f>
        <v>#DIV/0!</v>
      </c>
      <c r="F158" s="378" t="e">
        <f t="shared" si="80"/>
        <v>#DIV/0!</v>
      </c>
      <c r="G158" s="378" t="e">
        <f t="shared" si="99"/>
        <v>#DIV/0!</v>
      </c>
      <c r="H158" s="378" t="e">
        <f t="shared" si="99"/>
        <v>#DIV/0!</v>
      </c>
      <c r="I158" s="378" t="e">
        <f t="shared" si="99"/>
        <v>#DIV/0!</v>
      </c>
      <c r="J158" s="378" t="e">
        <f t="shared" si="99"/>
        <v>#DIV/0!</v>
      </c>
      <c r="K158" s="378" t="e">
        <f t="shared" si="99"/>
        <v>#DIV/0!</v>
      </c>
      <c r="L158" s="378" t="e">
        <f t="shared" si="99"/>
        <v>#DIV/0!</v>
      </c>
      <c r="M158" s="378" t="e">
        <f t="shared" si="99"/>
        <v>#DIV/0!</v>
      </c>
      <c r="N158" s="497" t="e">
        <f t="shared" si="81"/>
        <v>#DIV/0!</v>
      </c>
      <c r="O158" s="497" t="str">
        <f t="array" ref="O158">IFERROR(INDEX(Calculation!I:AN,MATCH(ListAndConversion!E158,Calculation!I:I,0),31),"-")</f>
        <v>-</v>
      </c>
      <c r="P158" s="498">
        <f>IF(COUNTIFS(Calculation!$I$10:$I$393,E158,Direct_Denaturation,"-")&lt;&gt;1,COUNTIFS(Calculation!$I$10:$I$393,E158,Direct_Denaturation,"-"),0)</f>
        <v>0</v>
      </c>
      <c r="V158" s="542" t="s">
        <v>82</v>
      </c>
      <c r="W158" s="542" t="s">
        <v>82</v>
      </c>
      <c r="X158" s="542" t="s">
        <v>82</v>
      </c>
      <c r="Y158" s="542" t="s">
        <v>82</v>
      </c>
      <c r="Z158" s="542" t="s">
        <v>82</v>
      </c>
      <c r="AA158" s="542" t="s">
        <v>82</v>
      </c>
      <c r="AB158" s="542" t="s">
        <v>82</v>
      </c>
      <c r="AC158" s="542" t="s">
        <v>82</v>
      </c>
      <c r="AD158" s="542" t="s">
        <v>82</v>
      </c>
      <c r="AE158" s="542" t="s">
        <v>82</v>
      </c>
      <c r="AF158" s="542" t="s">
        <v>82</v>
      </c>
      <c r="AG158" s="542" t="s">
        <v>82</v>
      </c>
      <c r="AH158" s="9"/>
      <c r="AI158" s="487">
        <v>155</v>
      </c>
      <c r="AJ158" s="497" t="s">
        <v>161</v>
      </c>
      <c r="AK158" s="378">
        <v>59</v>
      </c>
      <c r="AL158" s="378" t="str">
        <f t="shared" ca="1" si="82"/>
        <v>-</v>
      </c>
      <c r="AM158" s="378" t="str">
        <f t="array" aca="1" ref="AM158" ca="1">IFERROR(IF(AI158&lt;=$AB$2,"-",INDEX(Calculation_Tab,SMALL(ROW(Main_Dil)*(Main_Dil&lt;&gt;"-"),COUNTIF(Main_Dil,"-")+ROW()-3-$AB$2)-9,5)),"-")</f>
        <v>-</v>
      </c>
      <c r="AN158" s="378" t="str">
        <f t="array" aca="1" ref="AN158" ca="1">IFERROR(IF(AI158&lt;=$AB$2,"-",INDEX($A$3:$B$12,MATCH(INDEX(Calculation_Tab,SMALL(ROW(Main_Dil)*(Main_Dil&lt;&gt;"-"),COUNTIF(Main_Dil,"-")+ROW()-3-$AB$2)-9,5),$A$3:$A$12,0),2)),"-")</f>
        <v>-</v>
      </c>
      <c r="AO158" s="378" t="str">
        <f t="array" aca="1" ref="AO158" ca="1">IFERROR(IF(AI158&lt;=$AB$2,"-",INDEX(Coordinate,MATCH(INDEX(Calculation_Tab,SMALL(ROW(Main_Dil)*(Main_Dil&lt;&gt;"-"),COUNTIF(Main_Dil,"-")+ROW()-3-$AB$2)-9,6),$X$4:$X$99,0),2)),"-")</f>
        <v>-</v>
      </c>
      <c r="AP158" s="510" t="str">
        <f t="array" aca="1" ref="AP158" ca="1">IFERROR(IF(AI158&lt;=$AB$2,"-",INDEX(Calculation_Tab,SMALL(ROW(Main_Dil)*(Main_Dil&lt;&gt;"-"),COUNTIF(Main_Dil,"-")+ROW()-3-$AB$2)-9,21)),"-")</f>
        <v>-</v>
      </c>
      <c r="AQ158" s="511" t="str">
        <f t="array" aca="1" ref="AQ158" ca="1">IFERROR(IF(AI158&lt;=$AB$2,"-",INDEX(Calculation_Tab,SMALL(ROW(Main_Dil)*(Main_Dil&lt;&gt;"-"),COUNTIF(Main_Dil,"-")+ROW()-3-$AB$2)-9,22)),"-")</f>
        <v>-</v>
      </c>
      <c r="AR158" s="487" t="str">
        <f t="shared" ca="1" si="83"/>
        <v>-</v>
      </c>
      <c r="AS158" s="378">
        <v>155</v>
      </c>
      <c r="AT158" s="497" t="s">
        <v>161</v>
      </c>
      <c r="AU158" s="498">
        <v>59</v>
      </c>
      <c r="AV158" s="378" t="str">
        <f t="shared" ca="1" si="84"/>
        <v>-</v>
      </c>
      <c r="AW158" s="378" t="str">
        <f t="array" aca="1" ref="AW158" ca="1">IFERROR(IF(AS158&lt;=$AB$2+$AN$2,"-",INDEX(Calculation_Tab,SMALL(ROW(Direct_Denaturation)*(Direct_Denaturation&lt;&gt;"-"),COUNTIF(Direct_Denaturation,"-")+ROW()-3-$AB$2-$AN$2)-9,5)),"-")</f>
        <v>-</v>
      </c>
      <c r="AX158" s="378" t="str">
        <f t="array" aca="1" ref="AX158" ca="1">IFERROR(IF(AS158&lt;=$AB$2+$AN$2,"-",INDEX($A$3:$B$12,MATCH(INDEX(Calculation_Tab,SMALL(ROW(Direct_Denaturation)*(Direct_Denaturation&lt;&gt;"-"),COUNTIF(Direct_Denaturation,"-")+ROW()-3-$AB$2-$AN$2)-9,5),$A$3:$A$12,0),2)),"-")</f>
        <v>-</v>
      </c>
      <c r="AY158" s="378" t="str">
        <f t="array" aca="1" ref="AY158" ca="1">IFERROR(IF(AS158&lt;=$AB$2+$AN$2,"-",INDEX(Coordinate,MATCH(INDEX(Calculation_Tab,SMALL(ROW(Direct_Denaturation)*(Direct_Denaturation&lt;&gt;"-"),COUNTIF(Direct_Denaturation,"-")+ROW()-3-$AB$2-$AN$2)-9,6),$X$4:$X$99,0),2)),"-")</f>
        <v>-</v>
      </c>
      <c r="AZ158" s="510" t="str">
        <f t="array" aca="1" ref="AZ158" ca="1">IFERROR(IF(AS158&lt;=$AB$2+$AN$2,"-",INDEX(Calculation_Tab,SMALL(ROW(Direct_Denaturation)*(Direct_Denaturation&lt;&gt;"-"),COUNTIF(Direct_Denaturation,"-")+ROW()-3-$AB$2-$AN$2)-9,32)),"-")</f>
        <v>-</v>
      </c>
      <c r="BA158" s="510" t="str">
        <f t="array" aca="1" ref="BA158" ca="1">IFERROR(IF(AS158&lt;=$AB$2+$AN$2,"-",INDEX(Calculation_Tab,SMALL(ROW(Direct_Denaturation)*(Direct_Denaturation&lt;&gt;"-"),COUNTIF(Direct_Denaturation,"-")+ROW()-3-$AB$2-$AN$2)-9,34)),"-")</f>
        <v>-</v>
      </c>
      <c r="BB158" s="510" t="str">
        <f t="array" aca="1" ref="BB158" ca="1">IFERROR(IF(AS158&lt;=$AB$2+$AN$2,"-",INDEX(Calculation_Tab,SMALL(ROW(Direct_Denaturation)*(Direct_Denaturation&lt;&gt;"-"),COUNTIF(Direct_Denaturation,"-")+ROW()-3-$AB$2-$AN$2)-9,33)),"-")</f>
        <v>-</v>
      </c>
      <c r="BC158" s="510" t="str">
        <f t="array" aca="1" ref="BC158" ca="1">IFERROR(IF(AS158&lt;=$AB$2+$AN$2,"-",INDEX(Calculation_Tab,SMALL(ROW(Direct_Denaturation)*(Direct_Denaturation&lt;&gt;"-"),COUNTIF(Direct_Denaturation,"-")+ROW()-3-$AB$2-$AN$2)-9,35)),"-")</f>
        <v>-</v>
      </c>
      <c r="BD158" s="511" t="str">
        <f t="shared" ca="1" si="85"/>
        <v>-</v>
      </c>
      <c r="BK158" s="542" t="s">
        <v>82</v>
      </c>
      <c r="BL158" s="542" t="s">
        <v>82</v>
      </c>
      <c r="BM158" s="487" t="str">
        <f t="array" aca="1" ref="BM158" ca="1">IFERROR(INDEX(Calculation_Tab,SMALL(ROW(ToPool)*(ToPool&lt;&gt;"-"),COUNTIF(ToPool,"-")+ROW()-3)-9,3),"-")</f>
        <v>-</v>
      </c>
      <c r="BN158" s="378" t="str">
        <f t="shared" ca="1" si="86"/>
        <v>-</v>
      </c>
      <c r="BO158" s="378" t="str">
        <f t="shared" ca="1" si="87"/>
        <v>-</v>
      </c>
      <c r="BP158" s="523" t="str">
        <f t="shared" ca="1" si="88"/>
        <v>-</v>
      </c>
      <c r="BQ158" s="378" t="str">
        <f t="array" aca="1" ref="BQ158" ca="1">IFERROR(INDEX(BE:BG,MATCH(INDEX(Calculation_Tab,SMALL(ROW(ToPool)*(ToPool&lt;&gt;"-"),COUNTIF(ToPool,"-")+ROW()-3)-9,9),BG:BG,0),2),"-")</f>
        <v>-</v>
      </c>
      <c r="BR158" s="510" t="str">
        <f t="shared" ca="1" si="89"/>
        <v>-</v>
      </c>
      <c r="BS158" s="511" t="str">
        <f t="shared" ca="1" si="90"/>
        <v>-</v>
      </c>
      <c r="BT158" s="543" t="s">
        <v>82</v>
      </c>
      <c r="BU158" s="487" t="str">
        <f t="shared" ca="1" si="95"/>
        <v>-</v>
      </c>
      <c r="BV158" s="487" t="str">
        <f t="array" aca="1" ref="BV15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58" s="378" t="str">
        <f t="shared" ca="1" si="91"/>
        <v>-</v>
      </c>
      <c r="BX158" s="378" t="str">
        <f t="shared" ca="1" si="92"/>
        <v>-</v>
      </c>
      <c r="BY158" s="510" t="str">
        <f ca="1">IFERROR(ROUND(INDEX(Cluster,MATCH(IF(LEFT(BV158,4)="Pool",INDEX(Cluster,MATCH(INDEX(Calculation_Tab,MATCH(INDEX($BE$4:$BJ$99,MATCH(BV158,$BE$4:$BE$99,0),3),Flow_Cell_Lane,0),3),Cluster!$F$29:$F$412,0),6),BV158),Identifier_Cluster,0),19)*IF(LEFT(BV158,4)="pool",IF(LEN(INDEX($BE$4:$BJ$99,MATCH(BV158,$BE$4:$BE$99,0),3))=10,2,IF(LEN(INDEX($BE$4:$BJ$99,MATCH(BV158,$BE$4:$BE$99,0),3))&gt;10,LEN(INDEX($BE$4:$BJ$99,MATCH(BV158,$BE$4:$BE$99,0),3))-8,1)),1)*IF(LEFT(BV158,4)="pool",IF(INDEX($BE$4:$BJ$99,MATCH(BV158,$BE$4:$BE$99,0),6)&lt;1,1,INDEX($BE$4:$BJ$99,MATCH(BV158,$BE$4:$BE$99,0),6)),INDEX(Calculation_Tab,MATCH(BV158,Identifier,0),10)),1)*(1+Calculation!$Q$6),"-")</f>
        <v>-</v>
      </c>
      <c r="BZ158" s="378" t="str">
        <f ca="1">IFERROR((0.5/50)*CE158/Calculation!$AG$6*(IF(LEFT(BV158,4)="Pool",IF(LEN(INDEX($BE$4:$BJ$99,MATCH(BV158,$BE$4:$BE$99,0),3))=10,2,IF(LEN(INDEX($BE$4:$BJ$99,MATCH(BV158,$BE$4:$BE$99,0),3))&gt;10,LEN(INDEX($BE$4:$BJ$99,MATCH(BV158,$BE$4:$BE$99,0),3))-8,1)),IF(INDEX(Calculation_Tab,MATCH(BV158,Identifier,0),10)&gt;1,INDEX(Calculation_Tab,MATCH(BV158,Identifier,0),10),1)))*(1+Calculation!$Q$6),"-")</f>
        <v>-</v>
      </c>
      <c r="CA158" s="510" t="str">
        <f ca="1">IFERROR(IF((BZ158*Calculation!$AG$6/0.05)-SUM(BY158:BZ158,CC158)&gt;0,(BZ158*Calculation!$AG$6/0.05)-SUM(BY158:BZ158,CC158),0),"-")</f>
        <v>-</v>
      </c>
      <c r="CB158" s="510" t="str">
        <f ca="1">IFERROR(5/50*CE158*(IF(LEFT(BV158,4)="Pool",IF(LEN(INDEX($BE$4:$BJ$99,MATCH(BV158,$BE$4:$BE$99,0),3))=10,2,IF(LEN(INDEX($BE$4:$BJ$99,MATCH(BV158,$BE$4:$BE$99,0),3))&gt;10,LEN(INDEX($BE$4:$BJ$99,MATCH(BV158,$BE$4:$BE$99,0),3))-8,1)),IF(INDEX(Calculation_Tab,MATCH(BV158,Identifier,0),10)&gt;1,INDEX(Calculation_Tab,MATCH(BV158,Identifier,0),10),1)))*(1+Calculation!$Q$6),"-")</f>
        <v>-</v>
      </c>
      <c r="CC158" s="508" t="str">
        <f ca="1">IFERROR(ROUND(INDEX(Cluster,MATCH(IF(LEFT(BV158,4)="Pool",INDEX(Cluster,MATCH(INDEX(Calculation_Tab,MATCH(INDEX($BE$4:$BJ$99,MATCH(BV158,$BE$4:$BE$99,0),3),Flow_Cell_Lane,0),3),Cluster!$F$29:$F$412,0),6),BV158),Identifier_Cluster,0),20)*IF(LEFT(BV158,4)="pool",IF(LEN(INDEX($BE$4:$BJ$99,MATCH(BV158,$BE$4:$BE$99,0),3))=10,2,IF(LEN(INDEX($BE$4:$BJ$99,MATCH(BV158,$BE$4:$BE$99,0),3))&gt;10,LEN(INDEX($BE$4:$BJ$99,MATCH(BV158,$BE$4:$BE$99,0),3))-8,1)),1)*IF(LEFT(BV158,4)="pool",IF(INDEX($BE$4:$BJ$99,MATCH(BV158,$BE$4:$BE$99,0),6)&lt;1,1,INDEX($BE$4:$BJ$99,MATCH(BV158,$BE$4:$BE$99,0),6)),INDEX(Calculation_Tab,MATCH(BV158,Identifier,0),10)),1)*(1+Calculation!$Q$6),"-")</f>
        <v>-</v>
      </c>
      <c r="CD158" s="509" t="str">
        <f ca="1">IFERROR(INDEX(Cluster!AC:AD,MATCH(IF(LEFT(BV158,4)="Pool",INDEX(Cluster!$D$29:$AA$412,MATCH(INDEX(Calculation_Tab,MATCH(INDEX($BE$4:$BJ$99,MATCH(BV158,$BE$4:$BE$99,0),3),Flow_Cell_Lane,0),3),Cluster!$F$29:$F$412,0),24),INDEX(Cluster!$D$29:$AA$412,MATCH(BV158,Cluster!$F$29:$F$412,0),24)),Cluster!AC:AC,0),2),"-")</f>
        <v>-</v>
      </c>
      <c r="CE158" s="378" t="str">
        <f ca="1">IFERROR(IF(BV158&lt;&gt;"-",Calculation!$AK$6,"-"),"-")</f>
        <v>-</v>
      </c>
      <c r="CF158" s="378" t="str">
        <f ca="1">IF(OR(LEFT(ListAndConversion!BW158,3)="Dil",LEFT(ListAndConversion!BW158,3)="Poo"),ListAndConversion!$BT$4,IF(LEFT(ListAndConversion!BW158,3)="Sou",INDEX(ListAndConversion!$AT$3:$AV$387,MATCH(ListAndConversion!BV158,ListAndConversion!$AV$3:$AV$387,0),1),"-"))</f>
        <v>-</v>
      </c>
      <c r="CG158" s="498" t="str">
        <f ca="1">IF(OR(LEFT(ListAndConversion!BW158,3)="Dil",LEFT(ListAndConversion!BW158,3)="Poo"),ListAndConversion!BU158,IF(LEFT(ListAndConversion!BW158,3)="Sou",INDEX(ListAndConversion!$AT$4:$AV$387,MATCH(ListAndConversion!BV158,ListAndConversion!$AV$4:$AV$387,0),2),"-"))</f>
        <v>-</v>
      </c>
      <c r="CH158" s="378"/>
      <c r="CI158" s="487" t="str">
        <f t="shared" ca="1" si="93"/>
        <v>-</v>
      </c>
      <c r="CJ158" s="378" t="str">
        <f t="shared" ca="1" si="100"/>
        <v>-</v>
      </c>
      <c r="CK158" s="378" t="str">
        <f t="shared" ca="1" si="100"/>
        <v>-</v>
      </c>
      <c r="CL158" s="378" t="str">
        <f t="shared" ca="1" si="100"/>
        <v>-</v>
      </c>
      <c r="CM158" s="378" t="str">
        <f t="shared" ca="1" si="100"/>
        <v>-</v>
      </c>
      <c r="CN158" s="378" t="str">
        <f t="shared" ca="1" si="100"/>
        <v>-</v>
      </c>
      <c r="CO158" s="378" t="str">
        <f t="shared" ca="1" si="100"/>
        <v>-</v>
      </c>
      <c r="CP158" s="378" t="str">
        <f t="shared" ca="1" si="100"/>
        <v>-</v>
      </c>
      <c r="CQ158" s="378" t="str">
        <f t="shared" ca="1" si="100"/>
        <v>-</v>
      </c>
      <c r="CR158" s="510" t="str">
        <f ca="1">IFERROR(IF(LEFT(BW158,3)="Poo",INDEX($BE$4:$BJ$99,MATCH(CI158,$BG$4:$BG$99,0),6)*((15/50))*Calculation!$AK$6,INDEX(Calculation_Tab,MATCH(BV158,Identifier,0),10)/(IF(LEN(INDEX(Calculation_Tab,MATCH(BV158,Identifier,0),9))&gt;8,LEN(INDEX(Calculation_Tab,MATCH(BV158,Identifier,0),9))-8,1))*((15/50)*Calculation!$AK$6)),"-")</f>
        <v>-</v>
      </c>
      <c r="CS158" s="498" t="str">
        <f ca="1">IF(CI158="-","-",IF(COUNTIF($CI$3:CI158,CI158)&gt;1,0,IFERROR((35/50)*Calculation!$AK$6,"-")))</f>
        <v>-</v>
      </c>
    </row>
    <row r="159" spans="4:97" x14ac:dyDescent="0.5">
      <c r="D159" s="487" t="e">
        <f t="shared" si="79"/>
        <v>#DIV/0!</v>
      </c>
      <c r="E159" s="496" t="e">
        <f t="array" ref="E159">IF(IF((ROW(E159)-3)&lt;(ListAndConversion!$A$15),INDEX(Flow_Cell_Lane,MIN(IF(COUNTIF($E$2:E158,Flow_Cell_Lane)=0,ROW(Flow_Cell_Lane)-9))),"-")="","-",IF((ROW(E159)-3)&lt;(ListAndConversion!$A$15),INDEX(Flow_Cell_Lane,MIN(IF(COUNTIF($E$2:E158,Flow_Cell_Lane)=0,ROW(Flow_Cell_Lane)-9))),"-"))</f>
        <v>#DIV/0!</v>
      </c>
      <c r="F159" s="378" t="e">
        <f t="shared" si="80"/>
        <v>#DIV/0!</v>
      </c>
      <c r="G159" s="378" t="e">
        <f t="shared" si="99"/>
        <v>#DIV/0!</v>
      </c>
      <c r="H159" s="378" t="e">
        <f t="shared" si="99"/>
        <v>#DIV/0!</v>
      </c>
      <c r="I159" s="378" t="e">
        <f t="shared" si="99"/>
        <v>#DIV/0!</v>
      </c>
      <c r="J159" s="378" t="e">
        <f t="shared" si="99"/>
        <v>#DIV/0!</v>
      </c>
      <c r="K159" s="378" t="e">
        <f t="shared" si="99"/>
        <v>#DIV/0!</v>
      </c>
      <c r="L159" s="378" t="e">
        <f t="shared" si="99"/>
        <v>#DIV/0!</v>
      </c>
      <c r="M159" s="378" t="e">
        <f t="shared" si="99"/>
        <v>#DIV/0!</v>
      </c>
      <c r="N159" s="497" t="e">
        <f t="shared" si="81"/>
        <v>#DIV/0!</v>
      </c>
      <c r="O159" s="497" t="str">
        <f t="array" ref="O159">IFERROR(INDEX(Calculation!I:AN,MATCH(ListAndConversion!E159,Calculation!I:I,0),31),"-")</f>
        <v>-</v>
      </c>
      <c r="P159" s="498">
        <f>IF(COUNTIFS(Calculation!$I$10:$I$393,E159,Direct_Denaturation,"-")&lt;&gt;1,COUNTIFS(Calculation!$I$10:$I$393,E159,Direct_Denaturation,"-"),0)</f>
        <v>0</v>
      </c>
      <c r="V159" s="542" t="s">
        <v>82</v>
      </c>
      <c r="W159" s="542" t="s">
        <v>82</v>
      </c>
      <c r="X159" s="542" t="s">
        <v>82</v>
      </c>
      <c r="Y159" s="542" t="s">
        <v>82</v>
      </c>
      <c r="Z159" s="542" t="s">
        <v>82</v>
      </c>
      <c r="AA159" s="542" t="s">
        <v>82</v>
      </c>
      <c r="AB159" s="542" t="s">
        <v>82</v>
      </c>
      <c r="AC159" s="542" t="s">
        <v>82</v>
      </c>
      <c r="AD159" s="542" t="s">
        <v>82</v>
      </c>
      <c r="AE159" s="542" t="s">
        <v>82</v>
      </c>
      <c r="AF159" s="542" t="s">
        <v>82</v>
      </c>
      <c r="AG159" s="542" t="s">
        <v>82</v>
      </c>
      <c r="AH159" s="9"/>
      <c r="AI159" s="487">
        <v>156</v>
      </c>
      <c r="AJ159" s="497" t="s">
        <v>161</v>
      </c>
      <c r="AK159" s="378">
        <v>60</v>
      </c>
      <c r="AL159" s="378" t="str">
        <f t="shared" ca="1" si="82"/>
        <v>-</v>
      </c>
      <c r="AM159" s="378" t="str">
        <f t="array" aca="1" ref="AM159" ca="1">IFERROR(IF(AI159&lt;=$AB$2,"-",INDEX(Calculation_Tab,SMALL(ROW(Main_Dil)*(Main_Dil&lt;&gt;"-"),COUNTIF(Main_Dil,"-")+ROW()-3-$AB$2)-9,5)),"-")</f>
        <v>-</v>
      </c>
      <c r="AN159" s="378" t="str">
        <f t="array" aca="1" ref="AN159" ca="1">IFERROR(IF(AI159&lt;=$AB$2,"-",INDEX($A$3:$B$12,MATCH(INDEX(Calculation_Tab,SMALL(ROW(Main_Dil)*(Main_Dil&lt;&gt;"-"),COUNTIF(Main_Dil,"-")+ROW()-3-$AB$2)-9,5),$A$3:$A$12,0),2)),"-")</f>
        <v>-</v>
      </c>
      <c r="AO159" s="378" t="str">
        <f t="array" aca="1" ref="AO159" ca="1">IFERROR(IF(AI159&lt;=$AB$2,"-",INDEX(Coordinate,MATCH(INDEX(Calculation_Tab,SMALL(ROW(Main_Dil)*(Main_Dil&lt;&gt;"-"),COUNTIF(Main_Dil,"-")+ROW()-3-$AB$2)-9,6),$X$4:$X$99,0),2)),"-")</f>
        <v>-</v>
      </c>
      <c r="AP159" s="510" t="str">
        <f t="array" aca="1" ref="AP159" ca="1">IFERROR(IF(AI159&lt;=$AB$2,"-",INDEX(Calculation_Tab,SMALL(ROW(Main_Dil)*(Main_Dil&lt;&gt;"-"),COUNTIF(Main_Dil,"-")+ROW()-3-$AB$2)-9,21)),"-")</f>
        <v>-</v>
      </c>
      <c r="AQ159" s="511" t="str">
        <f t="array" aca="1" ref="AQ159" ca="1">IFERROR(IF(AI159&lt;=$AB$2,"-",INDEX(Calculation_Tab,SMALL(ROW(Main_Dil)*(Main_Dil&lt;&gt;"-"),COUNTIF(Main_Dil,"-")+ROW()-3-$AB$2)-9,22)),"-")</f>
        <v>-</v>
      </c>
      <c r="AR159" s="487" t="str">
        <f t="shared" ca="1" si="83"/>
        <v>-</v>
      </c>
      <c r="AS159" s="378">
        <v>156</v>
      </c>
      <c r="AT159" s="497" t="s">
        <v>161</v>
      </c>
      <c r="AU159" s="498">
        <v>60</v>
      </c>
      <c r="AV159" s="378" t="str">
        <f t="shared" ca="1" si="84"/>
        <v>-</v>
      </c>
      <c r="AW159" s="378" t="str">
        <f t="array" aca="1" ref="AW159" ca="1">IFERROR(IF(AS159&lt;=$AB$2+$AN$2,"-",INDEX(Calculation_Tab,SMALL(ROW(Direct_Denaturation)*(Direct_Denaturation&lt;&gt;"-"),COUNTIF(Direct_Denaturation,"-")+ROW()-3-$AB$2-$AN$2)-9,5)),"-")</f>
        <v>-</v>
      </c>
      <c r="AX159" s="378" t="str">
        <f t="array" aca="1" ref="AX159" ca="1">IFERROR(IF(AS159&lt;=$AB$2+$AN$2,"-",INDEX($A$3:$B$12,MATCH(INDEX(Calculation_Tab,SMALL(ROW(Direct_Denaturation)*(Direct_Denaturation&lt;&gt;"-"),COUNTIF(Direct_Denaturation,"-")+ROW()-3-$AB$2-$AN$2)-9,5),$A$3:$A$12,0),2)),"-")</f>
        <v>-</v>
      </c>
      <c r="AY159" s="378" t="str">
        <f t="array" aca="1" ref="AY159" ca="1">IFERROR(IF(AS159&lt;=$AB$2+$AN$2,"-",INDEX(Coordinate,MATCH(INDEX(Calculation_Tab,SMALL(ROW(Direct_Denaturation)*(Direct_Denaturation&lt;&gt;"-"),COUNTIF(Direct_Denaturation,"-")+ROW()-3-$AB$2-$AN$2)-9,6),$X$4:$X$99,0),2)),"-")</f>
        <v>-</v>
      </c>
      <c r="AZ159" s="510" t="str">
        <f t="array" aca="1" ref="AZ159" ca="1">IFERROR(IF(AS159&lt;=$AB$2+$AN$2,"-",INDEX(Calculation_Tab,SMALL(ROW(Direct_Denaturation)*(Direct_Denaturation&lt;&gt;"-"),COUNTIF(Direct_Denaturation,"-")+ROW()-3-$AB$2-$AN$2)-9,32)),"-")</f>
        <v>-</v>
      </c>
      <c r="BA159" s="510" t="str">
        <f t="array" aca="1" ref="BA159" ca="1">IFERROR(IF(AS159&lt;=$AB$2+$AN$2,"-",INDEX(Calculation_Tab,SMALL(ROW(Direct_Denaturation)*(Direct_Denaturation&lt;&gt;"-"),COUNTIF(Direct_Denaturation,"-")+ROW()-3-$AB$2-$AN$2)-9,34)),"-")</f>
        <v>-</v>
      </c>
      <c r="BB159" s="510" t="str">
        <f t="array" aca="1" ref="BB159" ca="1">IFERROR(IF(AS159&lt;=$AB$2+$AN$2,"-",INDEX(Calculation_Tab,SMALL(ROW(Direct_Denaturation)*(Direct_Denaturation&lt;&gt;"-"),COUNTIF(Direct_Denaturation,"-")+ROW()-3-$AB$2-$AN$2)-9,33)),"-")</f>
        <v>-</v>
      </c>
      <c r="BC159" s="510" t="str">
        <f t="array" aca="1" ref="BC159" ca="1">IFERROR(IF(AS159&lt;=$AB$2+$AN$2,"-",INDEX(Calculation_Tab,SMALL(ROW(Direct_Denaturation)*(Direct_Denaturation&lt;&gt;"-"),COUNTIF(Direct_Denaturation,"-")+ROW()-3-$AB$2-$AN$2)-9,35)),"-")</f>
        <v>-</v>
      </c>
      <c r="BD159" s="511" t="str">
        <f t="shared" ca="1" si="85"/>
        <v>-</v>
      </c>
      <c r="BK159" s="542" t="s">
        <v>82</v>
      </c>
      <c r="BL159" s="542" t="s">
        <v>82</v>
      </c>
      <c r="BM159" s="487" t="str">
        <f t="array" aca="1" ref="BM159" ca="1">IFERROR(INDEX(Calculation_Tab,SMALL(ROW(ToPool)*(ToPool&lt;&gt;"-"),COUNTIF(ToPool,"-")+ROW()-3)-9,3),"-")</f>
        <v>-</v>
      </c>
      <c r="BN159" s="378" t="str">
        <f t="shared" ca="1" si="86"/>
        <v>-</v>
      </c>
      <c r="BO159" s="378" t="str">
        <f t="shared" ca="1" si="87"/>
        <v>-</v>
      </c>
      <c r="BP159" s="523" t="str">
        <f t="shared" ca="1" si="88"/>
        <v>-</v>
      </c>
      <c r="BQ159" s="378" t="str">
        <f t="array" aca="1" ref="BQ159" ca="1">IFERROR(INDEX(BE:BG,MATCH(INDEX(Calculation_Tab,SMALL(ROW(ToPool)*(ToPool&lt;&gt;"-"),COUNTIF(ToPool,"-")+ROW()-3)-9,9),BG:BG,0),2),"-")</f>
        <v>-</v>
      </c>
      <c r="BR159" s="510" t="str">
        <f t="shared" ca="1" si="89"/>
        <v>-</v>
      </c>
      <c r="BS159" s="511" t="str">
        <f t="shared" ca="1" si="90"/>
        <v>-</v>
      </c>
      <c r="BT159" s="543" t="s">
        <v>82</v>
      </c>
      <c r="BU159" s="487" t="str">
        <f t="shared" ca="1" si="95"/>
        <v>-</v>
      </c>
      <c r="BV159" s="487" t="str">
        <f t="array" aca="1" ref="BV15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59" s="378" t="str">
        <f t="shared" ca="1" si="91"/>
        <v>-</v>
      </c>
      <c r="BX159" s="378" t="str">
        <f t="shared" ca="1" si="92"/>
        <v>-</v>
      </c>
      <c r="BY159" s="510" t="str">
        <f ca="1">IFERROR(ROUND(INDEX(Cluster,MATCH(IF(LEFT(BV159,4)="Pool",INDEX(Cluster,MATCH(INDEX(Calculation_Tab,MATCH(INDEX($BE$4:$BJ$99,MATCH(BV159,$BE$4:$BE$99,0),3),Flow_Cell_Lane,0),3),Cluster!$F$29:$F$412,0),6),BV159),Identifier_Cluster,0),19)*IF(LEFT(BV159,4)="pool",IF(LEN(INDEX($BE$4:$BJ$99,MATCH(BV159,$BE$4:$BE$99,0),3))=10,2,IF(LEN(INDEX($BE$4:$BJ$99,MATCH(BV159,$BE$4:$BE$99,0),3))&gt;10,LEN(INDEX($BE$4:$BJ$99,MATCH(BV159,$BE$4:$BE$99,0),3))-8,1)),1)*IF(LEFT(BV159,4)="pool",IF(INDEX($BE$4:$BJ$99,MATCH(BV159,$BE$4:$BE$99,0),6)&lt;1,1,INDEX($BE$4:$BJ$99,MATCH(BV159,$BE$4:$BE$99,0),6)),INDEX(Calculation_Tab,MATCH(BV159,Identifier,0),10)),1)*(1+Calculation!$Q$6),"-")</f>
        <v>-</v>
      </c>
      <c r="BZ159" s="378" t="str">
        <f ca="1">IFERROR((0.5/50)*CE159/Calculation!$AG$6*(IF(LEFT(BV159,4)="Pool",IF(LEN(INDEX($BE$4:$BJ$99,MATCH(BV159,$BE$4:$BE$99,0),3))=10,2,IF(LEN(INDEX($BE$4:$BJ$99,MATCH(BV159,$BE$4:$BE$99,0),3))&gt;10,LEN(INDEX($BE$4:$BJ$99,MATCH(BV159,$BE$4:$BE$99,0),3))-8,1)),IF(INDEX(Calculation_Tab,MATCH(BV159,Identifier,0),10)&gt;1,INDEX(Calculation_Tab,MATCH(BV159,Identifier,0),10),1)))*(1+Calculation!$Q$6),"-")</f>
        <v>-</v>
      </c>
      <c r="CA159" s="510" t="str">
        <f ca="1">IFERROR(IF((BZ159*Calculation!$AG$6/0.05)-SUM(BY159:BZ159,CC159)&gt;0,(BZ159*Calculation!$AG$6/0.05)-SUM(BY159:BZ159,CC159),0),"-")</f>
        <v>-</v>
      </c>
      <c r="CB159" s="510" t="str">
        <f ca="1">IFERROR(5/50*CE159*(IF(LEFT(BV159,4)="Pool",IF(LEN(INDEX($BE$4:$BJ$99,MATCH(BV159,$BE$4:$BE$99,0),3))=10,2,IF(LEN(INDEX($BE$4:$BJ$99,MATCH(BV159,$BE$4:$BE$99,0),3))&gt;10,LEN(INDEX($BE$4:$BJ$99,MATCH(BV159,$BE$4:$BE$99,0),3))-8,1)),IF(INDEX(Calculation_Tab,MATCH(BV159,Identifier,0),10)&gt;1,INDEX(Calculation_Tab,MATCH(BV159,Identifier,0),10),1)))*(1+Calculation!$Q$6),"-")</f>
        <v>-</v>
      </c>
      <c r="CC159" s="508" t="str">
        <f ca="1">IFERROR(ROUND(INDEX(Cluster,MATCH(IF(LEFT(BV159,4)="Pool",INDEX(Cluster,MATCH(INDEX(Calculation_Tab,MATCH(INDEX($BE$4:$BJ$99,MATCH(BV159,$BE$4:$BE$99,0),3),Flow_Cell_Lane,0),3),Cluster!$F$29:$F$412,0),6),BV159),Identifier_Cluster,0),20)*IF(LEFT(BV159,4)="pool",IF(LEN(INDEX($BE$4:$BJ$99,MATCH(BV159,$BE$4:$BE$99,0),3))=10,2,IF(LEN(INDEX($BE$4:$BJ$99,MATCH(BV159,$BE$4:$BE$99,0),3))&gt;10,LEN(INDEX($BE$4:$BJ$99,MATCH(BV159,$BE$4:$BE$99,0),3))-8,1)),1)*IF(LEFT(BV159,4)="pool",IF(INDEX($BE$4:$BJ$99,MATCH(BV159,$BE$4:$BE$99,0),6)&lt;1,1,INDEX($BE$4:$BJ$99,MATCH(BV159,$BE$4:$BE$99,0),6)),INDEX(Calculation_Tab,MATCH(BV159,Identifier,0),10)),1)*(1+Calculation!$Q$6),"-")</f>
        <v>-</v>
      </c>
      <c r="CD159" s="509" t="str">
        <f ca="1">IFERROR(INDEX(Cluster!AC:AD,MATCH(IF(LEFT(BV159,4)="Pool",INDEX(Cluster!$D$29:$AA$412,MATCH(INDEX(Calculation_Tab,MATCH(INDEX($BE$4:$BJ$99,MATCH(BV159,$BE$4:$BE$99,0),3),Flow_Cell_Lane,0),3),Cluster!$F$29:$F$412,0),24),INDEX(Cluster!$D$29:$AA$412,MATCH(BV159,Cluster!$F$29:$F$412,0),24)),Cluster!AC:AC,0),2),"-")</f>
        <v>-</v>
      </c>
      <c r="CE159" s="378" t="str">
        <f ca="1">IFERROR(IF(BV159&lt;&gt;"-",Calculation!$AK$6,"-"),"-")</f>
        <v>-</v>
      </c>
      <c r="CF159" s="378" t="str">
        <f ca="1">IF(OR(LEFT(ListAndConversion!BW159,3)="Dil",LEFT(ListAndConversion!BW159,3)="Poo"),ListAndConversion!$BT$4,IF(LEFT(ListAndConversion!BW159,3)="Sou",INDEX(ListAndConversion!$AT$3:$AV$387,MATCH(ListAndConversion!BV159,ListAndConversion!$AV$3:$AV$387,0),1),"-"))</f>
        <v>-</v>
      </c>
      <c r="CG159" s="498" t="str">
        <f ca="1">IF(OR(LEFT(ListAndConversion!BW159,3)="Dil",LEFT(ListAndConversion!BW159,3)="Poo"),ListAndConversion!BU159,IF(LEFT(ListAndConversion!BW159,3)="Sou",INDEX(ListAndConversion!$AT$4:$AV$387,MATCH(ListAndConversion!BV159,ListAndConversion!$AV$4:$AV$387,0),2),"-"))</f>
        <v>-</v>
      </c>
      <c r="CH159" s="378"/>
      <c r="CI159" s="487" t="str">
        <f t="shared" ca="1" si="93"/>
        <v>-</v>
      </c>
      <c r="CJ159" s="378" t="str">
        <f t="shared" ca="1" si="100"/>
        <v>-</v>
      </c>
      <c r="CK159" s="378" t="str">
        <f t="shared" ca="1" si="100"/>
        <v>-</v>
      </c>
      <c r="CL159" s="378" t="str">
        <f t="shared" ca="1" si="100"/>
        <v>-</v>
      </c>
      <c r="CM159" s="378" t="str">
        <f t="shared" ca="1" si="100"/>
        <v>-</v>
      </c>
      <c r="CN159" s="378" t="str">
        <f t="shared" ca="1" si="100"/>
        <v>-</v>
      </c>
      <c r="CO159" s="378" t="str">
        <f t="shared" ca="1" si="100"/>
        <v>-</v>
      </c>
      <c r="CP159" s="378" t="str">
        <f t="shared" ca="1" si="100"/>
        <v>-</v>
      </c>
      <c r="CQ159" s="378" t="str">
        <f t="shared" ca="1" si="100"/>
        <v>-</v>
      </c>
      <c r="CR159" s="510" t="str">
        <f ca="1">IFERROR(IF(LEFT(BW159,3)="Poo",INDEX($BE$4:$BJ$99,MATCH(CI159,$BG$4:$BG$99,0),6)*((15/50))*Calculation!$AK$6,INDEX(Calculation_Tab,MATCH(BV159,Identifier,0),10)/(IF(LEN(INDEX(Calculation_Tab,MATCH(BV159,Identifier,0),9))&gt;8,LEN(INDEX(Calculation_Tab,MATCH(BV159,Identifier,0),9))-8,1))*((15/50)*Calculation!$AK$6)),"-")</f>
        <v>-</v>
      </c>
      <c r="CS159" s="498" t="str">
        <f ca="1">IF(CI159="-","-",IF(COUNTIF($CI$3:CI159,CI159)&gt;1,0,IFERROR((35/50)*Calculation!$AK$6,"-")))</f>
        <v>-</v>
      </c>
    </row>
    <row r="160" spans="4:97" x14ac:dyDescent="0.5">
      <c r="D160" s="487" t="e">
        <f t="shared" si="79"/>
        <v>#DIV/0!</v>
      </c>
      <c r="E160" s="496" t="e">
        <f t="array" ref="E160">IF(IF((ROW(E160)-3)&lt;(ListAndConversion!$A$15),INDEX(Flow_Cell_Lane,MIN(IF(COUNTIF($E$2:E159,Flow_Cell_Lane)=0,ROW(Flow_Cell_Lane)-9))),"-")="","-",IF((ROW(E160)-3)&lt;(ListAndConversion!$A$15),INDEX(Flow_Cell_Lane,MIN(IF(COUNTIF($E$2:E159,Flow_Cell_Lane)=0,ROW(Flow_Cell_Lane)-9))),"-"))</f>
        <v>#DIV/0!</v>
      </c>
      <c r="F160" s="378" t="e">
        <f t="shared" si="80"/>
        <v>#DIV/0!</v>
      </c>
      <c r="G160" s="378" t="e">
        <f t="shared" si="99"/>
        <v>#DIV/0!</v>
      </c>
      <c r="H160" s="378" t="e">
        <f t="shared" si="99"/>
        <v>#DIV/0!</v>
      </c>
      <c r="I160" s="378" t="e">
        <f t="shared" si="99"/>
        <v>#DIV/0!</v>
      </c>
      <c r="J160" s="378" t="e">
        <f t="shared" si="99"/>
        <v>#DIV/0!</v>
      </c>
      <c r="K160" s="378" t="e">
        <f t="shared" si="99"/>
        <v>#DIV/0!</v>
      </c>
      <c r="L160" s="378" t="e">
        <f t="shared" si="99"/>
        <v>#DIV/0!</v>
      </c>
      <c r="M160" s="378" t="e">
        <f t="shared" si="99"/>
        <v>#DIV/0!</v>
      </c>
      <c r="N160" s="497" t="e">
        <f t="shared" si="81"/>
        <v>#DIV/0!</v>
      </c>
      <c r="O160" s="497" t="str">
        <f t="array" ref="O160">IFERROR(INDEX(Calculation!I:AN,MATCH(ListAndConversion!E160,Calculation!I:I,0),31),"-")</f>
        <v>-</v>
      </c>
      <c r="P160" s="498">
        <f>IF(COUNTIFS(Calculation!$I$10:$I$393,E160,Direct_Denaturation,"-")&lt;&gt;1,COUNTIFS(Calculation!$I$10:$I$393,E160,Direct_Denaturation,"-"),0)</f>
        <v>0</v>
      </c>
      <c r="V160" s="542" t="s">
        <v>82</v>
      </c>
      <c r="W160" s="542" t="s">
        <v>82</v>
      </c>
      <c r="X160" s="542" t="s">
        <v>82</v>
      </c>
      <c r="Y160" s="542" t="s">
        <v>82</v>
      </c>
      <c r="Z160" s="542" t="s">
        <v>82</v>
      </c>
      <c r="AA160" s="542" t="s">
        <v>82</v>
      </c>
      <c r="AB160" s="542" t="s">
        <v>82</v>
      </c>
      <c r="AC160" s="542" t="s">
        <v>82</v>
      </c>
      <c r="AD160" s="542" t="s">
        <v>82</v>
      </c>
      <c r="AE160" s="542" t="s">
        <v>82</v>
      </c>
      <c r="AF160" s="542" t="s">
        <v>82</v>
      </c>
      <c r="AG160" s="542" t="s">
        <v>82</v>
      </c>
      <c r="AH160" s="9"/>
      <c r="AI160" s="487">
        <v>157</v>
      </c>
      <c r="AJ160" s="497" t="s">
        <v>161</v>
      </c>
      <c r="AK160" s="378">
        <v>61</v>
      </c>
      <c r="AL160" s="378" t="str">
        <f t="shared" ca="1" si="82"/>
        <v>-</v>
      </c>
      <c r="AM160" s="378" t="str">
        <f t="array" aca="1" ref="AM160" ca="1">IFERROR(IF(AI160&lt;=$AB$2,"-",INDEX(Calculation_Tab,SMALL(ROW(Main_Dil)*(Main_Dil&lt;&gt;"-"),COUNTIF(Main_Dil,"-")+ROW()-3-$AB$2)-9,5)),"-")</f>
        <v>-</v>
      </c>
      <c r="AN160" s="378" t="str">
        <f t="array" aca="1" ref="AN160" ca="1">IFERROR(IF(AI160&lt;=$AB$2,"-",INDEX($A$3:$B$12,MATCH(INDEX(Calculation_Tab,SMALL(ROW(Main_Dil)*(Main_Dil&lt;&gt;"-"),COUNTIF(Main_Dil,"-")+ROW()-3-$AB$2)-9,5),$A$3:$A$12,0),2)),"-")</f>
        <v>-</v>
      </c>
      <c r="AO160" s="378" t="str">
        <f t="array" aca="1" ref="AO160" ca="1">IFERROR(IF(AI160&lt;=$AB$2,"-",INDEX(Coordinate,MATCH(INDEX(Calculation_Tab,SMALL(ROW(Main_Dil)*(Main_Dil&lt;&gt;"-"),COUNTIF(Main_Dil,"-")+ROW()-3-$AB$2)-9,6),$X$4:$X$99,0),2)),"-")</f>
        <v>-</v>
      </c>
      <c r="AP160" s="510" t="str">
        <f t="array" aca="1" ref="AP160" ca="1">IFERROR(IF(AI160&lt;=$AB$2,"-",INDEX(Calculation_Tab,SMALL(ROW(Main_Dil)*(Main_Dil&lt;&gt;"-"),COUNTIF(Main_Dil,"-")+ROW()-3-$AB$2)-9,21)),"-")</f>
        <v>-</v>
      </c>
      <c r="AQ160" s="511" t="str">
        <f t="array" aca="1" ref="AQ160" ca="1">IFERROR(IF(AI160&lt;=$AB$2,"-",INDEX(Calculation_Tab,SMALL(ROW(Main_Dil)*(Main_Dil&lt;&gt;"-"),COUNTIF(Main_Dil,"-")+ROW()-3-$AB$2)-9,22)),"-")</f>
        <v>-</v>
      </c>
      <c r="AR160" s="487" t="str">
        <f t="shared" ca="1" si="83"/>
        <v>-</v>
      </c>
      <c r="AS160" s="378">
        <v>157</v>
      </c>
      <c r="AT160" s="497" t="s">
        <v>161</v>
      </c>
      <c r="AU160" s="498">
        <v>61</v>
      </c>
      <c r="AV160" s="378" t="str">
        <f t="shared" ca="1" si="84"/>
        <v>-</v>
      </c>
      <c r="AW160" s="378" t="str">
        <f t="array" aca="1" ref="AW160" ca="1">IFERROR(IF(AS160&lt;=$AB$2+$AN$2,"-",INDEX(Calculation_Tab,SMALL(ROW(Direct_Denaturation)*(Direct_Denaturation&lt;&gt;"-"),COUNTIF(Direct_Denaturation,"-")+ROW()-3-$AB$2-$AN$2)-9,5)),"-")</f>
        <v>-</v>
      </c>
      <c r="AX160" s="378" t="str">
        <f t="array" aca="1" ref="AX160" ca="1">IFERROR(IF(AS160&lt;=$AB$2+$AN$2,"-",INDEX($A$3:$B$12,MATCH(INDEX(Calculation_Tab,SMALL(ROW(Direct_Denaturation)*(Direct_Denaturation&lt;&gt;"-"),COUNTIF(Direct_Denaturation,"-")+ROW()-3-$AB$2-$AN$2)-9,5),$A$3:$A$12,0),2)),"-")</f>
        <v>-</v>
      </c>
      <c r="AY160" s="378" t="str">
        <f t="array" aca="1" ref="AY160" ca="1">IFERROR(IF(AS160&lt;=$AB$2+$AN$2,"-",INDEX(Coordinate,MATCH(INDEX(Calculation_Tab,SMALL(ROW(Direct_Denaturation)*(Direct_Denaturation&lt;&gt;"-"),COUNTIF(Direct_Denaturation,"-")+ROW()-3-$AB$2-$AN$2)-9,6),$X$4:$X$99,0),2)),"-")</f>
        <v>-</v>
      </c>
      <c r="AZ160" s="510" t="str">
        <f t="array" aca="1" ref="AZ160" ca="1">IFERROR(IF(AS160&lt;=$AB$2+$AN$2,"-",INDEX(Calculation_Tab,SMALL(ROW(Direct_Denaturation)*(Direct_Denaturation&lt;&gt;"-"),COUNTIF(Direct_Denaturation,"-")+ROW()-3-$AB$2-$AN$2)-9,32)),"-")</f>
        <v>-</v>
      </c>
      <c r="BA160" s="510" t="str">
        <f t="array" aca="1" ref="BA160" ca="1">IFERROR(IF(AS160&lt;=$AB$2+$AN$2,"-",INDEX(Calculation_Tab,SMALL(ROW(Direct_Denaturation)*(Direct_Denaturation&lt;&gt;"-"),COUNTIF(Direct_Denaturation,"-")+ROW()-3-$AB$2-$AN$2)-9,34)),"-")</f>
        <v>-</v>
      </c>
      <c r="BB160" s="510" t="str">
        <f t="array" aca="1" ref="BB160" ca="1">IFERROR(IF(AS160&lt;=$AB$2+$AN$2,"-",INDEX(Calculation_Tab,SMALL(ROW(Direct_Denaturation)*(Direct_Denaturation&lt;&gt;"-"),COUNTIF(Direct_Denaturation,"-")+ROW()-3-$AB$2-$AN$2)-9,33)),"-")</f>
        <v>-</v>
      </c>
      <c r="BC160" s="510" t="str">
        <f t="array" aca="1" ref="BC160" ca="1">IFERROR(IF(AS160&lt;=$AB$2+$AN$2,"-",INDEX(Calculation_Tab,SMALL(ROW(Direct_Denaturation)*(Direct_Denaturation&lt;&gt;"-"),COUNTIF(Direct_Denaturation,"-")+ROW()-3-$AB$2-$AN$2)-9,35)),"-")</f>
        <v>-</v>
      </c>
      <c r="BD160" s="511" t="str">
        <f t="shared" ca="1" si="85"/>
        <v>-</v>
      </c>
      <c r="BK160" s="542" t="s">
        <v>82</v>
      </c>
      <c r="BL160" s="542" t="s">
        <v>82</v>
      </c>
      <c r="BM160" s="487" t="str">
        <f t="array" aca="1" ref="BM160" ca="1">IFERROR(INDEX(Calculation_Tab,SMALL(ROW(ToPool)*(ToPool&lt;&gt;"-"),COUNTIF(ToPool,"-")+ROW()-3)-9,3),"-")</f>
        <v>-</v>
      </c>
      <c r="BN160" s="378" t="str">
        <f t="shared" ca="1" si="86"/>
        <v>-</v>
      </c>
      <c r="BO160" s="378" t="str">
        <f t="shared" ca="1" si="87"/>
        <v>-</v>
      </c>
      <c r="BP160" s="523" t="str">
        <f t="shared" ca="1" si="88"/>
        <v>-</v>
      </c>
      <c r="BQ160" s="378" t="str">
        <f t="array" aca="1" ref="BQ160" ca="1">IFERROR(INDEX(BE:BG,MATCH(INDEX(Calculation_Tab,SMALL(ROW(ToPool)*(ToPool&lt;&gt;"-"),COUNTIF(ToPool,"-")+ROW()-3)-9,9),BG:BG,0),2),"-")</f>
        <v>-</v>
      </c>
      <c r="BR160" s="510" t="str">
        <f t="shared" ca="1" si="89"/>
        <v>-</v>
      </c>
      <c r="BS160" s="511" t="str">
        <f t="shared" ca="1" si="90"/>
        <v>-</v>
      </c>
      <c r="BT160" s="543" t="s">
        <v>82</v>
      </c>
      <c r="BU160" s="487" t="str">
        <f t="shared" ca="1" si="95"/>
        <v>-</v>
      </c>
      <c r="BV160" s="487" t="str">
        <f t="array" aca="1" ref="BV16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60" s="378" t="str">
        <f t="shared" ca="1" si="91"/>
        <v>-</v>
      </c>
      <c r="BX160" s="378" t="str">
        <f t="shared" ca="1" si="92"/>
        <v>-</v>
      </c>
      <c r="BY160" s="510" t="str">
        <f ca="1">IFERROR(ROUND(INDEX(Cluster,MATCH(IF(LEFT(BV160,4)="Pool",INDEX(Cluster,MATCH(INDEX(Calculation_Tab,MATCH(INDEX($BE$4:$BJ$99,MATCH(BV160,$BE$4:$BE$99,0),3),Flow_Cell_Lane,0),3),Cluster!$F$29:$F$412,0),6),BV160),Identifier_Cluster,0),19)*IF(LEFT(BV160,4)="pool",IF(LEN(INDEX($BE$4:$BJ$99,MATCH(BV160,$BE$4:$BE$99,0),3))=10,2,IF(LEN(INDEX($BE$4:$BJ$99,MATCH(BV160,$BE$4:$BE$99,0),3))&gt;10,LEN(INDEX($BE$4:$BJ$99,MATCH(BV160,$BE$4:$BE$99,0),3))-8,1)),1)*IF(LEFT(BV160,4)="pool",IF(INDEX($BE$4:$BJ$99,MATCH(BV160,$BE$4:$BE$99,0),6)&lt;1,1,INDEX($BE$4:$BJ$99,MATCH(BV160,$BE$4:$BE$99,0),6)),INDEX(Calculation_Tab,MATCH(BV160,Identifier,0),10)),1)*(1+Calculation!$Q$6),"-")</f>
        <v>-</v>
      </c>
      <c r="BZ160" s="378" t="str">
        <f ca="1">IFERROR((0.5/50)*CE160/Calculation!$AG$6*(IF(LEFT(BV160,4)="Pool",IF(LEN(INDEX($BE$4:$BJ$99,MATCH(BV160,$BE$4:$BE$99,0),3))=10,2,IF(LEN(INDEX($BE$4:$BJ$99,MATCH(BV160,$BE$4:$BE$99,0),3))&gt;10,LEN(INDEX($BE$4:$BJ$99,MATCH(BV160,$BE$4:$BE$99,0),3))-8,1)),IF(INDEX(Calculation_Tab,MATCH(BV160,Identifier,0),10)&gt;1,INDEX(Calculation_Tab,MATCH(BV160,Identifier,0),10),1)))*(1+Calculation!$Q$6),"-")</f>
        <v>-</v>
      </c>
      <c r="CA160" s="510" t="str">
        <f ca="1">IFERROR(IF((BZ160*Calculation!$AG$6/0.05)-SUM(BY160:BZ160,CC160)&gt;0,(BZ160*Calculation!$AG$6/0.05)-SUM(BY160:BZ160,CC160),0),"-")</f>
        <v>-</v>
      </c>
      <c r="CB160" s="510" t="str">
        <f ca="1">IFERROR(5/50*CE160*(IF(LEFT(BV160,4)="Pool",IF(LEN(INDEX($BE$4:$BJ$99,MATCH(BV160,$BE$4:$BE$99,0),3))=10,2,IF(LEN(INDEX($BE$4:$BJ$99,MATCH(BV160,$BE$4:$BE$99,0),3))&gt;10,LEN(INDEX($BE$4:$BJ$99,MATCH(BV160,$BE$4:$BE$99,0),3))-8,1)),IF(INDEX(Calculation_Tab,MATCH(BV160,Identifier,0),10)&gt;1,INDEX(Calculation_Tab,MATCH(BV160,Identifier,0),10),1)))*(1+Calculation!$Q$6),"-")</f>
        <v>-</v>
      </c>
      <c r="CC160" s="508" t="str">
        <f ca="1">IFERROR(ROUND(INDEX(Cluster,MATCH(IF(LEFT(BV160,4)="Pool",INDEX(Cluster,MATCH(INDEX(Calculation_Tab,MATCH(INDEX($BE$4:$BJ$99,MATCH(BV160,$BE$4:$BE$99,0),3),Flow_Cell_Lane,0),3),Cluster!$F$29:$F$412,0),6),BV160),Identifier_Cluster,0),20)*IF(LEFT(BV160,4)="pool",IF(LEN(INDEX($BE$4:$BJ$99,MATCH(BV160,$BE$4:$BE$99,0),3))=10,2,IF(LEN(INDEX($BE$4:$BJ$99,MATCH(BV160,$BE$4:$BE$99,0),3))&gt;10,LEN(INDEX($BE$4:$BJ$99,MATCH(BV160,$BE$4:$BE$99,0),3))-8,1)),1)*IF(LEFT(BV160,4)="pool",IF(INDEX($BE$4:$BJ$99,MATCH(BV160,$BE$4:$BE$99,0),6)&lt;1,1,INDEX($BE$4:$BJ$99,MATCH(BV160,$BE$4:$BE$99,0),6)),INDEX(Calculation_Tab,MATCH(BV160,Identifier,0),10)),1)*(1+Calculation!$Q$6),"-")</f>
        <v>-</v>
      </c>
      <c r="CD160" s="509" t="str">
        <f ca="1">IFERROR(INDEX(Cluster!AC:AD,MATCH(IF(LEFT(BV160,4)="Pool",INDEX(Cluster!$D$29:$AA$412,MATCH(INDEX(Calculation_Tab,MATCH(INDEX($BE$4:$BJ$99,MATCH(BV160,$BE$4:$BE$99,0),3),Flow_Cell_Lane,0),3),Cluster!$F$29:$F$412,0),24),INDEX(Cluster!$D$29:$AA$412,MATCH(BV160,Cluster!$F$29:$F$412,0),24)),Cluster!AC:AC,0),2),"-")</f>
        <v>-</v>
      </c>
      <c r="CE160" s="378" t="str">
        <f ca="1">IFERROR(IF(BV160&lt;&gt;"-",Calculation!$AK$6,"-"),"-")</f>
        <v>-</v>
      </c>
      <c r="CF160" s="378" t="str">
        <f ca="1">IF(OR(LEFT(ListAndConversion!BW160,3)="Dil",LEFT(ListAndConversion!BW160,3)="Poo"),ListAndConversion!$BT$4,IF(LEFT(ListAndConversion!BW160,3)="Sou",INDEX(ListAndConversion!$AT$3:$AV$387,MATCH(ListAndConversion!BV160,ListAndConversion!$AV$3:$AV$387,0),1),"-"))</f>
        <v>-</v>
      </c>
      <c r="CG160" s="498" t="str">
        <f ca="1">IF(OR(LEFT(ListAndConversion!BW160,3)="Dil",LEFT(ListAndConversion!BW160,3)="Poo"),ListAndConversion!BU160,IF(LEFT(ListAndConversion!BW160,3)="Sou",INDEX(ListAndConversion!$AT$4:$AV$387,MATCH(ListAndConversion!BV160,ListAndConversion!$AV$4:$AV$387,0),2),"-"))</f>
        <v>-</v>
      </c>
      <c r="CH160" s="378"/>
      <c r="CI160" s="487" t="str">
        <f t="shared" ca="1" si="93"/>
        <v>-</v>
      </c>
      <c r="CJ160" s="378" t="str">
        <f t="shared" ca="1" si="100"/>
        <v>-</v>
      </c>
      <c r="CK160" s="378" t="str">
        <f t="shared" ca="1" si="100"/>
        <v>-</v>
      </c>
      <c r="CL160" s="378" t="str">
        <f t="shared" ca="1" si="100"/>
        <v>-</v>
      </c>
      <c r="CM160" s="378" t="str">
        <f t="shared" ca="1" si="100"/>
        <v>-</v>
      </c>
      <c r="CN160" s="378" t="str">
        <f t="shared" ca="1" si="100"/>
        <v>-</v>
      </c>
      <c r="CO160" s="378" t="str">
        <f t="shared" ca="1" si="100"/>
        <v>-</v>
      </c>
      <c r="CP160" s="378" t="str">
        <f t="shared" ca="1" si="100"/>
        <v>-</v>
      </c>
      <c r="CQ160" s="378" t="str">
        <f t="shared" ca="1" si="100"/>
        <v>-</v>
      </c>
      <c r="CR160" s="510" t="str">
        <f ca="1">IFERROR(IF(LEFT(BW160,3)="Poo",INDEX($BE$4:$BJ$99,MATCH(CI160,$BG$4:$BG$99,0),6)*((15/50))*Calculation!$AK$6,INDEX(Calculation_Tab,MATCH(BV160,Identifier,0),10)/(IF(LEN(INDEX(Calculation_Tab,MATCH(BV160,Identifier,0),9))&gt;8,LEN(INDEX(Calculation_Tab,MATCH(BV160,Identifier,0),9))-8,1))*((15/50)*Calculation!$AK$6)),"-")</f>
        <v>-</v>
      </c>
      <c r="CS160" s="498" t="str">
        <f ca="1">IF(CI160="-","-",IF(COUNTIF($CI$3:CI160,CI160)&gt;1,0,IFERROR((35/50)*Calculation!$AK$6,"-")))</f>
        <v>-</v>
      </c>
    </row>
    <row r="161" spans="4:97" x14ac:dyDescent="0.5">
      <c r="D161" s="487" t="e">
        <f t="shared" si="79"/>
        <v>#DIV/0!</v>
      </c>
      <c r="E161" s="496" t="e">
        <f t="array" ref="E161">IF(IF((ROW(E161)-3)&lt;(ListAndConversion!$A$15),INDEX(Flow_Cell_Lane,MIN(IF(COUNTIF($E$2:E160,Flow_Cell_Lane)=0,ROW(Flow_Cell_Lane)-9))),"-")="","-",IF((ROW(E161)-3)&lt;(ListAndConversion!$A$15),INDEX(Flow_Cell_Lane,MIN(IF(COUNTIF($E$2:E160,Flow_Cell_Lane)=0,ROW(Flow_Cell_Lane)-9))),"-"))</f>
        <v>#DIV/0!</v>
      </c>
      <c r="F161" s="378" t="e">
        <f t="shared" si="80"/>
        <v>#DIV/0!</v>
      </c>
      <c r="G161" s="378" t="e">
        <f t="shared" si="99"/>
        <v>#DIV/0!</v>
      </c>
      <c r="H161" s="378" t="e">
        <f t="shared" si="99"/>
        <v>#DIV/0!</v>
      </c>
      <c r="I161" s="378" t="e">
        <f t="shared" si="99"/>
        <v>#DIV/0!</v>
      </c>
      <c r="J161" s="378" t="e">
        <f t="shared" si="99"/>
        <v>#DIV/0!</v>
      </c>
      <c r="K161" s="378" t="e">
        <f t="shared" si="99"/>
        <v>#DIV/0!</v>
      </c>
      <c r="L161" s="378" t="e">
        <f t="shared" si="99"/>
        <v>#DIV/0!</v>
      </c>
      <c r="M161" s="378" t="e">
        <f t="shared" si="99"/>
        <v>#DIV/0!</v>
      </c>
      <c r="N161" s="497" t="e">
        <f t="shared" si="81"/>
        <v>#DIV/0!</v>
      </c>
      <c r="O161" s="497" t="str">
        <f t="array" ref="O161">IFERROR(INDEX(Calculation!I:AN,MATCH(ListAndConversion!E161,Calculation!I:I,0),31),"-")</f>
        <v>-</v>
      </c>
      <c r="P161" s="498">
        <f>IF(COUNTIFS(Calculation!$I$10:$I$393,E161,Direct_Denaturation,"-")&lt;&gt;1,COUNTIFS(Calculation!$I$10:$I$393,E161,Direct_Denaturation,"-"),0)</f>
        <v>0</v>
      </c>
      <c r="V161" s="542" t="s">
        <v>82</v>
      </c>
      <c r="W161" s="542" t="s">
        <v>82</v>
      </c>
      <c r="X161" s="542" t="s">
        <v>82</v>
      </c>
      <c r="Y161" s="542" t="s">
        <v>82</v>
      </c>
      <c r="Z161" s="542" t="s">
        <v>82</v>
      </c>
      <c r="AA161" s="542" t="s">
        <v>82</v>
      </c>
      <c r="AB161" s="542" t="s">
        <v>82</v>
      </c>
      <c r="AC161" s="542" t="s">
        <v>82</v>
      </c>
      <c r="AD161" s="542" t="s">
        <v>82</v>
      </c>
      <c r="AE161" s="542" t="s">
        <v>82</v>
      </c>
      <c r="AF161" s="542" t="s">
        <v>82</v>
      </c>
      <c r="AG161" s="542" t="s">
        <v>82</v>
      </c>
      <c r="AH161" s="9"/>
      <c r="AI161" s="487">
        <v>158</v>
      </c>
      <c r="AJ161" s="497" t="s">
        <v>161</v>
      </c>
      <c r="AK161" s="378">
        <v>62</v>
      </c>
      <c r="AL161" s="378" t="str">
        <f t="shared" ca="1" si="82"/>
        <v>-</v>
      </c>
      <c r="AM161" s="378" t="str">
        <f t="array" aca="1" ref="AM161" ca="1">IFERROR(IF(AI161&lt;=$AB$2,"-",INDEX(Calculation_Tab,SMALL(ROW(Main_Dil)*(Main_Dil&lt;&gt;"-"),COUNTIF(Main_Dil,"-")+ROW()-3-$AB$2)-9,5)),"-")</f>
        <v>-</v>
      </c>
      <c r="AN161" s="378" t="str">
        <f t="array" aca="1" ref="AN161" ca="1">IFERROR(IF(AI161&lt;=$AB$2,"-",INDEX($A$3:$B$12,MATCH(INDEX(Calculation_Tab,SMALL(ROW(Main_Dil)*(Main_Dil&lt;&gt;"-"),COUNTIF(Main_Dil,"-")+ROW()-3-$AB$2)-9,5),$A$3:$A$12,0),2)),"-")</f>
        <v>-</v>
      </c>
      <c r="AO161" s="378" t="str">
        <f t="array" aca="1" ref="AO161" ca="1">IFERROR(IF(AI161&lt;=$AB$2,"-",INDEX(Coordinate,MATCH(INDEX(Calculation_Tab,SMALL(ROW(Main_Dil)*(Main_Dil&lt;&gt;"-"),COUNTIF(Main_Dil,"-")+ROW()-3-$AB$2)-9,6),$X$4:$X$99,0),2)),"-")</f>
        <v>-</v>
      </c>
      <c r="AP161" s="510" t="str">
        <f t="array" aca="1" ref="AP161" ca="1">IFERROR(IF(AI161&lt;=$AB$2,"-",INDEX(Calculation_Tab,SMALL(ROW(Main_Dil)*(Main_Dil&lt;&gt;"-"),COUNTIF(Main_Dil,"-")+ROW()-3-$AB$2)-9,21)),"-")</f>
        <v>-</v>
      </c>
      <c r="AQ161" s="511" t="str">
        <f t="array" aca="1" ref="AQ161" ca="1">IFERROR(IF(AI161&lt;=$AB$2,"-",INDEX(Calculation_Tab,SMALL(ROW(Main_Dil)*(Main_Dil&lt;&gt;"-"),COUNTIF(Main_Dil,"-")+ROW()-3-$AB$2)-9,22)),"-")</f>
        <v>-</v>
      </c>
      <c r="AR161" s="487" t="str">
        <f t="shared" ca="1" si="83"/>
        <v>-</v>
      </c>
      <c r="AS161" s="378">
        <v>158</v>
      </c>
      <c r="AT161" s="497" t="s">
        <v>161</v>
      </c>
      <c r="AU161" s="498">
        <v>62</v>
      </c>
      <c r="AV161" s="378" t="str">
        <f t="shared" ca="1" si="84"/>
        <v>-</v>
      </c>
      <c r="AW161" s="378" t="str">
        <f t="array" aca="1" ref="AW161" ca="1">IFERROR(IF(AS161&lt;=$AB$2+$AN$2,"-",INDEX(Calculation_Tab,SMALL(ROW(Direct_Denaturation)*(Direct_Denaturation&lt;&gt;"-"),COUNTIF(Direct_Denaturation,"-")+ROW()-3-$AB$2-$AN$2)-9,5)),"-")</f>
        <v>-</v>
      </c>
      <c r="AX161" s="378" t="str">
        <f t="array" aca="1" ref="AX161" ca="1">IFERROR(IF(AS161&lt;=$AB$2+$AN$2,"-",INDEX($A$3:$B$12,MATCH(INDEX(Calculation_Tab,SMALL(ROW(Direct_Denaturation)*(Direct_Denaturation&lt;&gt;"-"),COUNTIF(Direct_Denaturation,"-")+ROW()-3-$AB$2-$AN$2)-9,5),$A$3:$A$12,0),2)),"-")</f>
        <v>-</v>
      </c>
      <c r="AY161" s="378" t="str">
        <f t="array" aca="1" ref="AY161" ca="1">IFERROR(IF(AS161&lt;=$AB$2+$AN$2,"-",INDEX(Coordinate,MATCH(INDEX(Calculation_Tab,SMALL(ROW(Direct_Denaturation)*(Direct_Denaturation&lt;&gt;"-"),COUNTIF(Direct_Denaturation,"-")+ROW()-3-$AB$2-$AN$2)-9,6),$X$4:$X$99,0),2)),"-")</f>
        <v>-</v>
      </c>
      <c r="AZ161" s="510" t="str">
        <f t="array" aca="1" ref="AZ161" ca="1">IFERROR(IF(AS161&lt;=$AB$2+$AN$2,"-",INDEX(Calculation_Tab,SMALL(ROW(Direct_Denaturation)*(Direct_Denaturation&lt;&gt;"-"),COUNTIF(Direct_Denaturation,"-")+ROW()-3-$AB$2-$AN$2)-9,32)),"-")</f>
        <v>-</v>
      </c>
      <c r="BA161" s="510" t="str">
        <f t="array" aca="1" ref="BA161" ca="1">IFERROR(IF(AS161&lt;=$AB$2+$AN$2,"-",INDEX(Calculation_Tab,SMALL(ROW(Direct_Denaturation)*(Direct_Denaturation&lt;&gt;"-"),COUNTIF(Direct_Denaturation,"-")+ROW()-3-$AB$2-$AN$2)-9,34)),"-")</f>
        <v>-</v>
      </c>
      <c r="BB161" s="510" t="str">
        <f t="array" aca="1" ref="BB161" ca="1">IFERROR(IF(AS161&lt;=$AB$2+$AN$2,"-",INDEX(Calculation_Tab,SMALL(ROW(Direct_Denaturation)*(Direct_Denaturation&lt;&gt;"-"),COUNTIF(Direct_Denaturation,"-")+ROW()-3-$AB$2-$AN$2)-9,33)),"-")</f>
        <v>-</v>
      </c>
      <c r="BC161" s="510" t="str">
        <f t="array" aca="1" ref="BC161" ca="1">IFERROR(IF(AS161&lt;=$AB$2+$AN$2,"-",INDEX(Calculation_Tab,SMALL(ROW(Direct_Denaturation)*(Direct_Denaturation&lt;&gt;"-"),COUNTIF(Direct_Denaturation,"-")+ROW()-3-$AB$2-$AN$2)-9,35)),"-")</f>
        <v>-</v>
      </c>
      <c r="BD161" s="511" t="str">
        <f t="shared" ca="1" si="85"/>
        <v>-</v>
      </c>
      <c r="BK161" s="542" t="s">
        <v>82</v>
      </c>
      <c r="BL161" s="542" t="s">
        <v>82</v>
      </c>
      <c r="BM161" s="487" t="str">
        <f t="array" aca="1" ref="BM161" ca="1">IFERROR(INDEX(Calculation_Tab,SMALL(ROW(ToPool)*(ToPool&lt;&gt;"-"),COUNTIF(ToPool,"-")+ROW()-3)-9,3),"-")</f>
        <v>-</v>
      </c>
      <c r="BN161" s="378" t="str">
        <f t="shared" ca="1" si="86"/>
        <v>-</v>
      </c>
      <c r="BO161" s="378" t="str">
        <f t="shared" ca="1" si="87"/>
        <v>-</v>
      </c>
      <c r="BP161" s="523" t="str">
        <f t="shared" ca="1" si="88"/>
        <v>-</v>
      </c>
      <c r="BQ161" s="378" t="str">
        <f t="array" aca="1" ref="BQ161" ca="1">IFERROR(INDEX(BE:BG,MATCH(INDEX(Calculation_Tab,SMALL(ROW(ToPool)*(ToPool&lt;&gt;"-"),COUNTIF(ToPool,"-")+ROW()-3)-9,9),BG:BG,0),2),"-")</f>
        <v>-</v>
      </c>
      <c r="BR161" s="510" t="str">
        <f t="shared" ca="1" si="89"/>
        <v>-</v>
      </c>
      <c r="BS161" s="511" t="str">
        <f t="shared" ca="1" si="90"/>
        <v>-</v>
      </c>
      <c r="BT161" s="543" t="s">
        <v>82</v>
      </c>
      <c r="BU161" s="487" t="str">
        <f t="shared" ca="1" si="95"/>
        <v>-</v>
      </c>
      <c r="BV161" s="487" t="str">
        <f t="array" aca="1" ref="BV16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61" s="378" t="str">
        <f t="shared" ca="1" si="91"/>
        <v>-</v>
      </c>
      <c r="BX161" s="378" t="str">
        <f t="shared" ca="1" si="92"/>
        <v>-</v>
      </c>
      <c r="BY161" s="510" t="str">
        <f ca="1">IFERROR(ROUND(INDEX(Cluster,MATCH(IF(LEFT(BV161,4)="Pool",INDEX(Cluster,MATCH(INDEX(Calculation_Tab,MATCH(INDEX($BE$4:$BJ$99,MATCH(BV161,$BE$4:$BE$99,0),3),Flow_Cell_Lane,0),3),Cluster!$F$29:$F$412,0),6),BV161),Identifier_Cluster,0),19)*IF(LEFT(BV161,4)="pool",IF(LEN(INDEX($BE$4:$BJ$99,MATCH(BV161,$BE$4:$BE$99,0),3))=10,2,IF(LEN(INDEX($BE$4:$BJ$99,MATCH(BV161,$BE$4:$BE$99,0),3))&gt;10,LEN(INDEX($BE$4:$BJ$99,MATCH(BV161,$BE$4:$BE$99,0),3))-8,1)),1)*IF(LEFT(BV161,4)="pool",IF(INDEX($BE$4:$BJ$99,MATCH(BV161,$BE$4:$BE$99,0),6)&lt;1,1,INDEX($BE$4:$BJ$99,MATCH(BV161,$BE$4:$BE$99,0),6)),INDEX(Calculation_Tab,MATCH(BV161,Identifier,0),10)),1)*(1+Calculation!$Q$6),"-")</f>
        <v>-</v>
      </c>
      <c r="BZ161" s="378" t="str">
        <f ca="1">IFERROR((0.5/50)*CE161/Calculation!$AG$6*(IF(LEFT(BV161,4)="Pool",IF(LEN(INDEX($BE$4:$BJ$99,MATCH(BV161,$BE$4:$BE$99,0),3))=10,2,IF(LEN(INDEX($BE$4:$BJ$99,MATCH(BV161,$BE$4:$BE$99,0),3))&gt;10,LEN(INDEX($BE$4:$BJ$99,MATCH(BV161,$BE$4:$BE$99,0),3))-8,1)),IF(INDEX(Calculation_Tab,MATCH(BV161,Identifier,0),10)&gt;1,INDEX(Calculation_Tab,MATCH(BV161,Identifier,0),10),1)))*(1+Calculation!$Q$6),"-")</f>
        <v>-</v>
      </c>
      <c r="CA161" s="510" t="str">
        <f ca="1">IFERROR(IF((BZ161*Calculation!$AG$6/0.05)-SUM(BY161:BZ161,CC161)&gt;0,(BZ161*Calculation!$AG$6/0.05)-SUM(BY161:BZ161,CC161),0),"-")</f>
        <v>-</v>
      </c>
      <c r="CB161" s="510" t="str">
        <f ca="1">IFERROR(5/50*CE161*(IF(LEFT(BV161,4)="Pool",IF(LEN(INDEX($BE$4:$BJ$99,MATCH(BV161,$BE$4:$BE$99,0),3))=10,2,IF(LEN(INDEX($BE$4:$BJ$99,MATCH(BV161,$BE$4:$BE$99,0),3))&gt;10,LEN(INDEX($BE$4:$BJ$99,MATCH(BV161,$BE$4:$BE$99,0),3))-8,1)),IF(INDEX(Calculation_Tab,MATCH(BV161,Identifier,0),10)&gt;1,INDEX(Calculation_Tab,MATCH(BV161,Identifier,0),10),1)))*(1+Calculation!$Q$6),"-")</f>
        <v>-</v>
      </c>
      <c r="CC161" s="508" t="str">
        <f ca="1">IFERROR(ROUND(INDEX(Cluster,MATCH(IF(LEFT(BV161,4)="Pool",INDEX(Cluster,MATCH(INDEX(Calculation_Tab,MATCH(INDEX($BE$4:$BJ$99,MATCH(BV161,$BE$4:$BE$99,0),3),Flow_Cell_Lane,0),3),Cluster!$F$29:$F$412,0),6),BV161),Identifier_Cluster,0),20)*IF(LEFT(BV161,4)="pool",IF(LEN(INDEX($BE$4:$BJ$99,MATCH(BV161,$BE$4:$BE$99,0),3))=10,2,IF(LEN(INDEX($BE$4:$BJ$99,MATCH(BV161,$BE$4:$BE$99,0),3))&gt;10,LEN(INDEX($BE$4:$BJ$99,MATCH(BV161,$BE$4:$BE$99,0),3))-8,1)),1)*IF(LEFT(BV161,4)="pool",IF(INDEX($BE$4:$BJ$99,MATCH(BV161,$BE$4:$BE$99,0),6)&lt;1,1,INDEX($BE$4:$BJ$99,MATCH(BV161,$BE$4:$BE$99,0),6)),INDEX(Calculation_Tab,MATCH(BV161,Identifier,0),10)),1)*(1+Calculation!$Q$6),"-")</f>
        <v>-</v>
      </c>
      <c r="CD161" s="509" t="str">
        <f ca="1">IFERROR(INDEX(Cluster!AC:AD,MATCH(IF(LEFT(BV161,4)="Pool",INDEX(Cluster!$D$29:$AA$412,MATCH(INDEX(Calculation_Tab,MATCH(INDEX($BE$4:$BJ$99,MATCH(BV161,$BE$4:$BE$99,0),3),Flow_Cell_Lane,0),3),Cluster!$F$29:$F$412,0),24),INDEX(Cluster!$D$29:$AA$412,MATCH(BV161,Cluster!$F$29:$F$412,0),24)),Cluster!AC:AC,0),2),"-")</f>
        <v>-</v>
      </c>
      <c r="CE161" s="378" t="str">
        <f ca="1">IFERROR(IF(BV161&lt;&gt;"-",Calculation!$AK$6,"-"),"-")</f>
        <v>-</v>
      </c>
      <c r="CF161" s="378" t="str">
        <f ca="1">IF(OR(LEFT(ListAndConversion!BW161,3)="Dil",LEFT(ListAndConversion!BW161,3)="Poo"),ListAndConversion!$BT$4,IF(LEFT(ListAndConversion!BW161,3)="Sou",INDEX(ListAndConversion!$AT$3:$AV$387,MATCH(ListAndConversion!BV161,ListAndConversion!$AV$3:$AV$387,0),1),"-"))</f>
        <v>-</v>
      </c>
      <c r="CG161" s="498" t="str">
        <f ca="1">IF(OR(LEFT(ListAndConversion!BW161,3)="Dil",LEFT(ListAndConversion!BW161,3)="Poo"),ListAndConversion!BU161,IF(LEFT(ListAndConversion!BW161,3)="Sou",INDEX(ListAndConversion!$AT$4:$AV$387,MATCH(ListAndConversion!BV161,ListAndConversion!$AV$4:$AV$387,0),2),"-"))</f>
        <v>-</v>
      </c>
      <c r="CH161" s="378"/>
      <c r="CI161" s="487" t="str">
        <f t="shared" ca="1" si="93"/>
        <v>-</v>
      </c>
      <c r="CJ161" s="378" t="str">
        <f t="shared" ca="1" si="100"/>
        <v>-</v>
      </c>
      <c r="CK161" s="378" t="str">
        <f t="shared" ca="1" si="100"/>
        <v>-</v>
      </c>
      <c r="CL161" s="378" t="str">
        <f t="shared" ca="1" si="100"/>
        <v>-</v>
      </c>
      <c r="CM161" s="378" t="str">
        <f t="shared" ca="1" si="100"/>
        <v>-</v>
      </c>
      <c r="CN161" s="378" t="str">
        <f t="shared" ca="1" si="100"/>
        <v>-</v>
      </c>
      <c r="CO161" s="378" t="str">
        <f t="shared" ca="1" si="100"/>
        <v>-</v>
      </c>
      <c r="CP161" s="378" t="str">
        <f t="shared" ca="1" si="100"/>
        <v>-</v>
      </c>
      <c r="CQ161" s="378" t="str">
        <f t="shared" ca="1" si="100"/>
        <v>-</v>
      </c>
      <c r="CR161" s="510" t="str">
        <f ca="1">IFERROR(IF(LEFT(BW161,3)="Poo",INDEX($BE$4:$BJ$99,MATCH(CI161,$BG$4:$BG$99,0),6)*((15/50))*Calculation!$AK$6,INDEX(Calculation_Tab,MATCH(BV161,Identifier,0),10)/(IF(LEN(INDEX(Calculation_Tab,MATCH(BV161,Identifier,0),9))&gt;8,LEN(INDEX(Calculation_Tab,MATCH(BV161,Identifier,0),9))-8,1))*((15/50)*Calculation!$AK$6)),"-")</f>
        <v>-</v>
      </c>
      <c r="CS161" s="498" t="str">
        <f ca="1">IF(CI161="-","-",IF(COUNTIF($CI$3:CI161,CI161)&gt;1,0,IFERROR((35/50)*Calculation!$AK$6,"-")))</f>
        <v>-</v>
      </c>
    </row>
    <row r="162" spans="4:97" x14ac:dyDescent="0.5">
      <c r="D162" s="487" t="e">
        <f t="shared" si="79"/>
        <v>#DIV/0!</v>
      </c>
      <c r="E162" s="496" t="e">
        <f t="array" ref="E162">IF(IF((ROW(E162)-3)&lt;(ListAndConversion!$A$15),INDEX(Flow_Cell_Lane,MIN(IF(COUNTIF($E$2:E161,Flow_Cell_Lane)=0,ROW(Flow_Cell_Lane)-9))),"-")="","-",IF((ROW(E162)-3)&lt;(ListAndConversion!$A$15),INDEX(Flow_Cell_Lane,MIN(IF(COUNTIF($E$2:E161,Flow_Cell_Lane)=0,ROW(Flow_Cell_Lane)-9))),"-"))</f>
        <v>#DIV/0!</v>
      </c>
      <c r="F162" s="378" t="e">
        <f t="shared" si="80"/>
        <v>#DIV/0!</v>
      </c>
      <c r="G162" s="378" t="e">
        <f t="shared" si="99"/>
        <v>#DIV/0!</v>
      </c>
      <c r="H162" s="378" t="e">
        <f t="shared" si="99"/>
        <v>#DIV/0!</v>
      </c>
      <c r="I162" s="378" t="e">
        <f t="shared" si="99"/>
        <v>#DIV/0!</v>
      </c>
      <c r="J162" s="378" t="e">
        <f t="shared" si="99"/>
        <v>#DIV/0!</v>
      </c>
      <c r="K162" s="378" t="e">
        <f t="shared" si="99"/>
        <v>#DIV/0!</v>
      </c>
      <c r="L162" s="378" t="e">
        <f t="shared" si="99"/>
        <v>#DIV/0!</v>
      </c>
      <c r="M162" s="378" t="e">
        <f t="shared" si="99"/>
        <v>#DIV/0!</v>
      </c>
      <c r="N162" s="497" t="e">
        <f t="shared" si="81"/>
        <v>#DIV/0!</v>
      </c>
      <c r="O162" s="497" t="str">
        <f t="array" ref="O162">IFERROR(INDEX(Calculation!I:AN,MATCH(ListAndConversion!E162,Calculation!I:I,0),31),"-")</f>
        <v>-</v>
      </c>
      <c r="P162" s="498">
        <f>IF(COUNTIFS(Calculation!$I$10:$I$393,E162,Direct_Denaturation,"-")&lt;&gt;1,COUNTIFS(Calculation!$I$10:$I$393,E162,Direct_Denaturation,"-"),0)</f>
        <v>0</v>
      </c>
      <c r="V162" s="542" t="s">
        <v>82</v>
      </c>
      <c r="W162" s="542" t="s">
        <v>82</v>
      </c>
      <c r="X162" s="542" t="s">
        <v>82</v>
      </c>
      <c r="Y162" s="542" t="s">
        <v>82</v>
      </c>
      <c r="Z162" s="542" t="s">
        <v>82</v>
      </c>
      <c r="AA162" s="542" t="s">
        <v>82</v>
      </c>
      <c r="AB162" s="542" t="s">
        <v>82</v>
      </c>
      <c r="AC162" s="542" t="s">
        <v>82</v>
      </c>
      <c r="AD162" s="542" t="s">
        <v>82</v>
      </c>
      <c r="AE162" s="542" t="s">
        <v>82</v>
      </c>
      <c r="AF162" s="542" t="s">
        <v>82</v>
      </c>
      <c r="AG162" s="542" t="s">
        <v>82</v>
      </c>
      <c r="AH162" s="9"/>
      <c r="AI162" s="487">
        <v>159</v>
      </c>
      <c r="AJ162" s="497" t="s">
        <v>161</v>
      </c>
      <c r="AK162" s="378">
        <v>63</v>
      </c>
      <c r="AL162" s="378" t="str">
        <f t="shared" ca="1" si="82"/>
        <v>-</v>
      </c>
      <c r="AM162" s="378" t="str">
        <f t="array" aca="1" ref="AM162" ca="1">IFERROR(IF(AI162&lt;=$AB$2,"-",INDEX(Calculation_Tab,SMALL(ROW(Main_Dil)*(Main_Dil&lt;&gt;"-"),COUNTIF(Main_Dil,"-")+ROW()-3-$AB$2)-9,5)),"-")</f>
        <v>-</v>
      </c>
      <c r="AN162" s="378" t="str">
        <f t="array" aca="1" ref="AN162" ca="1">IFERROR(IF(AI162&lt;=$AB$2,"-",INDEX($A$3:$B$12,MATCH(INDEX(Calculation_Tab,SMALL(ROW(Main_Dil)*(Main_Dil&lt;&gt;"-"),COUNTIF(Main_Dil,"-")+ROW()-3-$AB$2)-9,5),$A$3:$A$12,0),2)),"-")</f>
        <v>-</v>
      </c>
      <c r="AO162" s="378" t="str">
        <f t="array" aca="1" ref="AO162" ca="1">IFERROR(IF(AI162&lt;=$AB$2,"-",INDEX(Coordinate,MATCH(INDEX(Calculation_Tab,SMALL(ROW(Main_Dil)*(Main_Dil&lt;&gt;"-"),COUNTIF(Main_Dil,"-")+ROW()-3-$AB$2)-9,6),$X$4:$X$99,0),2)),"-")</f>
        <v>-</v>
      </c>
      <c r="AP162" s="510" t="str">
        <f t="array" aca="1" ref="AP162" ca="1">IFERROR(IF(AI162&lt;=$AB$2,"-",INDEX(Calculation_Tab,SMALL(ROW(Main_Dil)*(Main_Dil&lt;&gt;"-"),COUNTIF(Main_Dil,"-")+ROW()-3-$AB$2)-9,21)),"-")</f>
        <v>-</v>
      </c>
      <c r="AQ162" s="511" t="str">
        <f t="array" aca="1" ref="AQ162" ca="1">IFERROR(IF(AI162&lt;=$AB$2,"-",INDEX(Calculation_Tab,SMALL(ROW(Main_Dil)*(Main_Dil&lt;&gt;"-"),COUNTIF(Main_Dil,"-")+ROW()-3-$AB$2)-9,22)),"-")</f>
        <v>-</v>
      </c>
      <c r="AR162" s="487" t="str">
        <f t="shared" ca="1" si="83"/>
        <v>-</v>
      </c>
      <c r="AS162" s="378">
        <v>159</v>
      </c>
      <c r="AT162" s="497" t="s">
        <v>161</v>
      </c>
      <c r="AU162" s="498">
        <v>63</v>
      </c>
      <c r="AV162" s="378" t="str">
        <f t="shared" ca="1" si="84"/>
        <v>-</v>
      </c>
      <c r="AW162" s="378" t="str">
        <f t="array" aca="1" ref="AW162" ca="1">IFERROR(IF(AS162&lt;=$AB$2+$AN$2,"-",INDEX(Calculation_Tab,SMALL(ROW(Direct_Denaturation)*(Direct_Denaturation&lt;&gt;"-"),COUNTIF(Direct_Denaturation,"-")+ROW()-3-$AB$2-$AN$2)-9,5)),"-")</f>
        <v>-</v>
      </c>
      <c r="AX162" s="378" t="str">
        <f t="array" aca="1" ref="AX162" ca="1">IFERROR(IF(AS162&lt;=$AB$2+$AN$2,"-",INDEX($A$3:$B$12,MATCH(INDEX(Calculation_Tab,SMALL(ROW(Direct_Denaturation)*(Direct_Denaturation&lt;&gt;"-"),COUNTIF(Direct_Denaturation,"-")+ROW()-3-$AB$2-$AN$2)-9,5),$A$3:$A$12,0),2)),"-")</f>
        <v>-</v>
      </c>
      <c r="AY162" s="378" t="str">
        <f t="array" aca="1" ref="AY162" ca="1">IFERROR(IF(AS162&lt;=$AB$2+$AN$2,"-",INDEX(Coordinate,MATCH(INDEX(Calculation_Tab,SMALL(ROW(Direct_Denaturation)*(Direct_Denaturation&lt;&gt;"-"),COUNTIF(Direct_Denaturation,"-")+ROW()-3-$AB$2-$AN$2)-9,6),$X$4:$X$99,0),2)),"-")</f>
        <v>-</v>
      </c>
      <c r="AZ162" s="510" t="str">
        <f t="array" aca="1" ref="AZ162" ca="1">IFERROR(IF(AS162&lt;=$AB$2+$AN$2,"-",INDEX(Calculation_Tab,SMALL(ROW(Direct_Denaturation)*(Direct_Denaturation&lt;&gt;"-"),COUNTIF(Direct_Denaturation,"-")+ROW()-3-$AB$2-$AN$2)-9,32)),"-")</f>
        <v>-</v>
      </c>
      <c r="BA162" s="510" t="str">
        <f t="array" aca="1" ref="BA162" ca="1">IFERROR(IF(AS162&lt;=$AB$2+$AN$2,"-",INDEX(Calculation_Tab,SMALL(ROW(Direct_Denaturation)*(Direct_Denaturation&lt;&gt;"-"),COUNTIF(Direct_Denaturation,"-")+ROW()-3-$AB$2-$AN$2)-9,34)),"-")</f>
        <v>-</v>
      </c>
      <c r="BB162" s="510" t="str">
        <f t="array" aca="1" ref="BB162" ca="1">IFERROR(IF(AS162&lt;=$AB$2+$AN$2,"-",INDEX(Calculation_Tab,SMALL(ROW(Direct_Denaturation)*(Direct_Denaturation&lt;&gt;"-"),COUNTIF(Direct_Denaturation,"-")+ROW()-3-$AB$2-$AN$2)-9,33)),"-")</f>
        <v>-</v>
      </c>
      <c r="BC162" s="510" t="str">
        <f t="array" aca="1" ref="BC162" ca="1">IFERROR(IF(AS162&lt;=$AB$2+$AN$2,"-",INDEX(Calculation_Tab,SMALL(ROW(Direct_Denaturation)*(Direct_Denaturation&lt;&gt;"-"),COUNTIF(Direct_Denaturation,"-")+ROW()-3-$AB$2-$AN$2)-9,35)),"-")</f>
        <v>-</v>
      </c>
      <c r="BD162" s="511" t="str">
        <f t="shared" ca="1" si="85"/>
        <v>-</v>
      </c>
      <c r="BK162" s="542" t="s">
        <v>82</v>
      </c>
      <c r="BL162" s="542" t="s">
        <v>82</v>
      </c>
      <c r="BM162" s="487" t="str">
        <f t="array" aca="1" ref="BM162" ca="1">IFERROR(INDEX(Calculation_Tab,SMALL(ROW(ToPool)*(ToPool&lt;&gt;"-"),COUNTIF(ToPool,"-")+ROW()-3)-9,3),"-")</f>
        <v>-</v>
      </c>
      <c r="BN162" s="378" t="str">
        <f t="shared" ca="1" si="86"/>
        <v>-</v>
      </c>
      <c r="BO162" s="378" t="str">
        <f t="shared" ca="1" si="87"/>
        <v>-</v>
      </c>
      <c r="BP162" s="523" t="str">
        <f t="shared" ca="1" si="88"/>
        <v>-</v>
      </c>
      <c r="BQ162" s="378" t="str">
        <f t="array" aca="1" ref="BQ162" ca="1">IFERROR(INDEX(BE:BG,MATCH(INDEX(Calculation_Tab,SMALL(ROW(ToPool)*(ToPool&lt;&gt;"-"),COUNTIF(ToPool,"-")+ROW()-3)-9,9),BG:BG,0),2),"-")</f>
        <v>-</v>
      </c>
      <c r="BR162" s="510" t="str">
        <f t="shared" ca="1" si="89"/>
        <v>-</v>
      </c>
      <c r="BS162" s="511" t="str">
        <f t="shared" ca="1" si="90"/>
        <v>-</v>
      </c>
      <c r="BT162" s="543" t="s">
        <v>82</v>
      </c>
      <c r="BU162" s="487" t="str">
        <f t="shared" ca="1" si="95"/>
        <v>-</v>
      </c>
      <c r="BV162" s="487" t="str">
        <f t="array" aca="1" ref="BV16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62" s="378" t="str">
        <f t="shared" ca="1" si="91"/>
        <v>-</v>
      </c>
      <c r="BX162" s="378" t="str">
        <f t="shared" ca="1" si="92"/>
        <v>-</v>
      </c>
      <c r="BY162" s="510" t="str">
        <f ca="1">IFERROR(ROUND(INDEX(Cluster,MATCH(IF(LEFT(BV162,4)="Pool",INDEX(Cluster,MATCH(INDEX(Calculation_Tab,MATCH(INDEX($BE$4:$BJ$99,MATCH(BV162,$BE$4:$BE$99,0),3),Flow_Cell_Lane,0),3),Cluster!$F$29:$F$412,0),6),BV162),Identifier_Cluster,0),19)*IF(LEFT(BV162,4)="pool",IF(LEN(INDEX($BE$4:$BJ$99,MATCH(BV162,$BE$4:$BE$99,0),3))=10,2,IF(LEN(INDEX($BE$4:$BJ$99,MATCH(BV162,$BE$4:$BE$99,0),3))&gt;10,LEN(INDEX($BE$4:$BJ$99,MATCH(BV162,$BE$4:$BE$99,0),3))-8,1)),1)*IF(LEFT(BV162,4)="pool",IF(INDEX($BE$4:$BJ$99,MATCH(BV162,$BE$4:$BE$99,0),6)&lt;1,1,INDEX($BE$4:$BJ$99,MATCH(BV162,$BE$4:$BE$99,0),6)),INDEX(Calculation_Tab,MATCH(BV162,Identifier,0),10)),1)*(1+Calculation!$Q$6),"-")</f>
        <v>-</v>
      </c>
      <c r="BZ162" s="378" t="str">
        <f ca="1">IFERROR((0.5/50)*CE162/Calculation!$AG$6*(IF(LEFT(BV162,4)="Pool",IF(LEN(INDEX($BE$4:$BJ$99,MATCH(BV162,$BE$4:$BE$99,0),3))=10,2,IF(LEN(INDEX($BE$4:$BJ$99,MATCH(BV162,$BE$4:$BE$99,0),3))&gt;10,LEN(INDEX($BE$4:$BJ$99,MATCH(BV162,$BE$4:$BE$99,0),3))-8,1)),IF(INDEX(Calculation_Tab,MATCH(BV162,Identifier,0),10)&gt;1,INDEX(Calculation_Tab,MATCH(BV162,Identifier,0),10),1)))*(1+Calculation!$Q$6),"-")</f>
        <v>-</v>
      </c>
      <c r="CA162" s="510" t="str">
        <f ca="1">IFERROR(IF((BZ162*Calculation!$AG$6/0.05)-SUM(BY162:BZ162,CC162)&gt;0,(BZ162*Calculation!$AG$6/0.05)-SUM(BY162:BZ162,CC162),0),"-")</f>
        <v>-</v>
      </c>
      <c r="CB162" s="510" t="str">
        <f ca="1">IFERROR(5/50*CE162*(IF(LEFT(BV162,4)="Pool",IF(LEN(INDEX($BE$4:$BJ$99,MATCH(BV162,$BE$4:$BE$99,0),3))=10,2,IF(LEN(INDEX($BE$4:$BJ$99,MATCH(BV162,$BE$4:$BE$99,0),3))&gt;10,LEN(INDEX($BE$4:$BJ$99,MATCH(BV162,$BE$4:$BE$99,0),3))-8,1)),IF(INDEX(Calculation_Tab,MATCH(BV162,Identifier,0),10)&gt;1,INDEX(Calculation_Tab,MATCH(BV162,Identifier,0),10),1)))*(1+Calculation!$Q$6),"-")</f>
        <v>-</v>
      </c>
      <c r="CC162" s="508" t="str">
        <f ca="1">IFERROR(ROUND(INDEX(Cluster,MATCH(IF(LEFT(BV162,4)="Pool",INDEX(Cluster,MATCH(INDEX(Calculation_Tab,MATCH(INDEX($BE$4:$BJ$99,MATCH(BV162,$BE$4:$BE$99,0),3),Flow_Cell_Lane,0),3),Cluster!$F$29:$F$412,0),6),BV162),Identifier_Cluster,0),20)*IF(LEFT(BV162,4)="pool",IF(LEN(INDEX($BE$4:$BJ$99,MATCH(BV162,$BE$4:$BE$99,0),3))=10,2,IF(LEN(INDEX($BE$4:$BJ$99,MATCH(BV162,$BE$4:$BE$99,0),3))&gt;10,LEN(INDEX($BE$4:$BJ$99,MATCH(BV162,$BE$4:$BE$99,0),3))-8,1)),1)*IF(LEFT(BV162,4)="pool",IF(INDEX($BE$4:$BJ$99,MATCH(BV162,$BE$4:$BE$99,0),6)&lt;1,1,INDEX($BE$4:$BJ$99,MATCH(BV162,$BE$4:$BE$99,0),6)),INDEX(Calculation_Tab,MATCH(BV162,Identifier,0),10)),1)*(1+Calculation!$Q$6),"-")</f>
        <v>-</v>
      </c>
      <c r="CD162" s="509" t="str">
        <f ca="1">IFERROR(INDEX(Cluster!AC:AD,MATCH(IF(LEFT(BV162,4)="Pool",INDEX(Cluster!$D$29:$AA$412,MATCH(INDEX(Calculation_Tab,MATCH(INDEX($BE$4:$BJ$99,MATCH(BV162,$BE$4:$BE$99,0),3),Flow_Cell_Lane,0),3),Cluster!$F$29:$F$412,0),24),INDEX(Cluster!$D$29:$AA$412,MATCH(BV162,Cluster!$F$29:$F$412,0),24)),Cluster!AC:AC,0),2),"-")</f>
        <v>-</v>
      </c>
      <c r="CE162" s="378" t="str">
        <f ca="1">IFERROR(IF(BV162&lt;&gt;"-",Calculation!$AK$6,"-"),"-")</f>
        <v>-</v>
      </c>
      <c r="CF162" s="378" t="str">
        <f ca="1">IF(OR(LEFT(ListAndConversion!BW162,3)="Dil",LEFT(ListAndConversion!BW162,3)="Poo"),ListAndConversion!$BT$4,IF(LEFT(ListAndConversion!BW162,3)="Sou",INDEX(ListAndConversion!$AT$3:$AV$387,MATCH(ListAndConversion!BV162,ListAndConversion!$AV$3:$AV$387,0),1),"-"))</f>
        <v>-</v>
      </c>
      <c r="CG162" s="498" t="str">
        <f ca="1">IF(OR(LEFT(ListAndConversion!BW162,3)="Dil",LEFT(ListAndConversion!BW162,3)="Poo"),ListAndConversion!BU162,IF(LEFT(ListAndConversion!BW162,3)="Sou",INDEX(ListAndConversion!$AT$4:$AV$387,MATCH(ListAndConversion!BV162,ListAndConversion!$AV$4:$AV$387,0),2),"-"))</f>
        <v>-</v>
      </c>
      <c r="CH162" s="378"/>
      <c r="CI162" s="487" t="str">
        <f t="shared" ca="1" si="93"/>
        <v>-</v>
      </c>
      <c r="CJ162" s="378" t="str">
        <f t="shared" ca="1" si="100"/>
        <v>-</v>
      </c>
      <c r="CK162" s="378" t="str">
        <f t="shared" ca="1" si="100"/>
        <v>-</v>
      </c>
      <c r="CL162" s="378" t="str">
        <f t="shared" ca="1" si="100"/>
        <v>-</v>
      </c>
      <c r="CM162" s="378" t="str">
        <f t="shared" ca="1" si="100"/>
        <v>-</v>
      </c>
      <c r="CN162" s="378" t="str">
        <f t="shared" ca="1" si="100"/>
        <v>-</v>
      </c>
      <c r="CO162" s="378" t="str">
        <f t="shared" ca="1" si="100"/>
        <v>-</v>
      </c>
      <c r="CP162" s="378" t="str">
        <f t="shared" ca="1" si="100"/>
        <v>-</v>
      </c>
      <c r="CQ162" s="378" t="str">
        <f t="shared" ca="1" si="100"/>
        <v>-</v>
      </c>
      <c r="CR162" s="510" t="str">
        <f ca="1">IFERROR(IF(LEFT(BW162,3)="Poo",INDEX($BE$4:$BJ$99,MATCH(CI162,$BG$4:$BG$99,0),6)*((15/50))*Calculation!$AK$6,INDEX(Calculation_Tab,MATCH(BV162,Identifier,0),10)/(IF(LEN(INDEX(Calculation_Tab,MATCH(BV162,Identifier,0),9))&gt;8,LEN(INDEX(Calculation_Tab,MATCH(BV162,Identifier,0),9))-8,1))*((15/50)*Calculation!$AK$6)),"-")</f>
        <v>-</v>
      </c>
      <c r="CS162" s="498" t="str">
        <f ca="1">IF(CI162="-","-",IF(COUNTIF($CI$3:CI162,CI162)&gt;1,0,IFERROR((35/50)*Calculation!$AK$6,"-")))</f>
        <v>-</v>
      </c>
    </row>
    <row r="163" spans="4:97" x14ac:dyDescent="0.5">
      <c r="D163" s="487" t="e">
        <f t="shared" si="79"/>
        <v>#DIV/0!</v>
      </c>
      <c r="E163" s="496" t="e">
        <f t="array" ref="E163">IF(IF((ROW(E163)-3)&lt;(ListAndConversion!$A$15),INDEX(Flow_Cell_Lane,MIN(IF(COUNTIF($E$2:E162,Flow_Cell_Lane)=0,ROW(Flow_Cell_Lane)-9))),"-")="","-",IF((ROW(E163)-3)&lt;(ListAndConversion!$A$15),INDEX(Flow_Cell_Lane,MIN(IF(COUNTIF($E$2:E162,Flow_Cell_Lane)=0,ROW(Flow_Cell_Lane)-9))),"-"))</f>
        <v>#DIV/0!</v>
      </c>
      <c r="F163" s="378" t="e">
        <f t="shared" si="80"/>
        <v>#DIV/0!</v>
      </c>
      <c r="G163" s="378" t="e">
        <f t="shared" ref="G163:M172" si="101">IF($D163&gt;8,IF($D163&gt;=(8+G$2),CONCATENATE(LEFT($E163,7),RIGHT(LEFT($E163,8+G$2),1)),""),"")</f>
        <v>#DIV/0!</v>
      </c>
      <c r="H163" s="378" t="e">
        <f t="shared" si="101"/>
        <v>#DIV/0!</v>
      </c>
      <c r="I163" s="378" t="e">
        <f t="shared" si="101"/>
        <v>#DIV/0!</v>
      </c>
      <c r="J163" s="378" t="e">
        <f t="shared" si="101"/>
        <v>#DIV/0!</v>
      </c>
      <c r="K163" s="378" t="e">
        <f t="shared" si="101"/>
        <v>#DIV/0!</v>
      </c>
      <c r="L163" s="378" t="e">
        <f t="shared" si="101"/>
        <v>#DIV/0!</v>
      </c>
      <c r="M163" s="378" t="e">
        <f t="shared" si="101"/>
        <v>#DIV/0!</v>
      </c>
      <c r="N163" s="497" t="e">
        <f t="shared" si="81"/>
        <v>#DIV/0!</v>
      </c>
      <c r="O163" s="497" t="str">
        <f t="array" ref="O163">IFERROR(INDEX(Calculation!I:AN,MATCH(ListAndConversion!E163,Calculation!I:I,0),31),"-")</f>
        <v>-</v>
      </c>
      <c r="P163" s="498">
        <f>IF(COUNTIFS(Calculation!$I$10:$I$393,E163,Direct_Denaturation,"-")&lt;&gt;1,COUNTIFS(Calculation!$I$10:$I$393,E163,Direct_Denaturation,"-"),0)</f>
        <v>0</v>
      </c>
      <c r="V163" s="542" t="s">
        <v>82</v>
      </c>
      <c r="W163" s="542" t="s">
        <v>82</v>
      </c>
      <c r="X163" s="542" t="s">
        <v>82</v>
      </c>
      <c r="Y163" s="542" t="s">
        <v>82</v>
      </c>
      <c r="Z163" s="542" t="s">
        <v>82</v>
      </c>
      <c r="AA163" s="542" t="s">
        <v>82</v>
      </c>
      <c r="AB163" s="542" t="s">
        <v>82</v>
      </c>
      <c r="AC163" s="542" t="s">
        <v>82</v>
      </c>
      <c r="AD163" s="542" t="s">
        <v>82</v>
      </c>
      <c r="AE163" s="542" t="s">
        <v>82</v>
      </c>
      <c r="AF163" s="542" t="s">
        <v>82</v>
      </c>
      <c r="AG163" s="542" t="s">
        <v>82</v>
      </c>
      <c r="AH163" s="9"/>
      <c r="AI163" s="487">
        <v>160</v>
      </c>
      <c r="AJ163" s="497" t="s">
        <v>161</v>
      </c>
      <c r="AK163" s="378">
        <v>64</v>
      </c>
      <c r="AL163" s="378" t="str">
        <f t="shared" ca="1" si="82"/>
        <v>-</v>
      </c>
      <c r="AM163" s="378" t="str">
        <f t="array" aca="1" ref="AM163" ca="1">IFERROR(IF(AI163&lt;=$AB$2,"-",INDEX(Calculation_Tab,SMALL(ROW(Main_Dil)*(Main_Dil&lt;&gt;"-"),COUNTIF(Main_Dil,"-")+ROW()-3-$AB$2)-9,5)),"-")</f>
        <v>-</v>
      </c>
      <c r="AN163" s="378" t="str">
        <f t="array" aca="1" ref="AN163" ca="1">IFERROR(IF(AI163&lt;=$AB$2,"-",INDEX($A$3:$B$12,MATCH(INDEX(Calculation_Tab,SMALL(ROW(Main_Dil)*(Main_Dil&lt;&gt;"-"),COUNTIF(Main_Dil,"-")+ROW()-3-$AB$2)-9,5),$A$3:$A$12,0),2)),"-")</f>
        <v>-</v>
      </c>
      <c r="AO163" s="378" t="str">
        <f t="array" aca="1" ref="AO163" ca="1">IFERROR(IF(AI163&lt;=$AB$2,"-",INDEX(Coordinate,MATCH(INDEX(Calculation_Tab,SMALL(ROW(Main_Dil)*(Main_Dil&lt;&gt;"-"),COUNTIF(Main_Dil,"-")+ROW()-3-$AB$2)-9,6),$X$4:$X$99,0),2)),"-")</f>
        <v>-</v>
      </c>
      <c r="AP163" s="510" t="str">
        <f t="array" aca="1" ref="AP163" ca="1">IFERROR(IF(AI163&lt;=$AB$2,"-",INDEX(Calculation_Tab,SMALL(ROW(Main_Dil)*(Main_Dil&lt;&gt;"-"),COUNTIF(Main_Dil,"-")+ROW()-3-$AB$2)-9,21)),"-")</f>
        <v>-</v>
      </c>
      <c r="AQ163" s="511" t="str">
        <f t="array" aca="1" ref="AQ163" ca="1">IFERROR(IF(AI163&lt;=$AB$2,"-",INDEX(Calculation_Tab,SMALL(ROW(Main_Dil)*(Main_Dil&lt;&gt;"-"),COUNTIF(Main_Dil,"-")+ROW()-3-$AB$2)-9,22)),"-")</f>
        <v>-</v>
      </c>
      <c r="AR163" s="487" t="str">
        <f t="shared" ca="1" si="83"/>
        <v>-</v>
      </c>
      <c r="AS163" s="378">
        <v>160</v>
      </c>
      <c r="AT163" s="497" t="s">
        <v>161</v>
      </c>
      <c r="AU163" s="498">
        <v>64</v>
      </c>
      <c r="AV163" s="378" t="str">
        <f t="shared" ca="1" si="84"/>
        <v>-</v>
      </c>
      <c r="AW163" s="378" t="str">
        <f t="array" aca="1" ref="AW163" ca="1">IFERROR(IF(AS163&lt;=$AB$2+$AN$2,"-",INDEX(Calculation_Tab,SMALL(ROW(Direct_Denaturation)*(Direct_Denaturation&lt;&gt;"-"),COUNTIF(Direct_Denaturation,"-")+ROW()-3-$AB$2-$AN$2)-9,5)),"-")</f>
        <v>-</v>
      </c>
      <c r="AX163" s="378" t="str">
        <f t="array" aca="1" ref="AX163" ca="1">IFERROR(IF(AS163&lt;=$AB$2+$AN$2,"-",INDEX($A$3:$B$12,MATCH(INDEX(Calculation_Tab,SMALL(ROW(Direct_Denaturation)*(Direct_Denaturation&lt;&gt;"-"),COUNTIF(Direct_Denaturation,"-")+ROW()-3-$AB$2-$AN$2)-9,5),$A$3:$A$12,0),2)),"-")</f>
        <v>-</v>
      </c>
      <c r="AY163" s="378" t="str">
        <f t="array" aca="1" ref="AY163" ca="1">IFERROR(IF(AS163&lt;=$AB$2+$AN$2,"-",INDEX(Coordinate,MATCH(INDEX(Calculation_Tab,SMALL(ROW(Direct_Denaturation)*(Direct_Denaturation&lt;&gt;"-"),COUNTIF(Direct_Denaturation,"-")+ROW()-3-$AB$2-$AN$2)-9,6),$X$4:$X$99,0),2)),"-")</f>
        <v>-</v>
      </c>
      <c r="AZ163" s="510" t="str">
        <f t="array" aca="1" ref="AZ163" ca="1">IFERROR(IF(AS163&lt;=$AB$2+$AN$2,"-",INDEX(Calculation_Tab,SMALL(ROW(Direct_Denaturation)*(Direct_Denaturation&lt;&gt;"-"),COUNTIF(Direct_Denaturation,"-")+ROW()-3-$AB$2-$AN$2)-9,32)),"-")</f>
        <v>-</v>
      </c>
      <c r="BA163" s="510" t="str">
        <f t="array" aca="1" ref="BA163" ca="1">IFERROR(IF(AS163&lt;=$AB$2+$AN$2,"-",INDEX(Calculation_Tab,SMALL(ROW(Direct_Denaturation)*(Direct_Denaturation&lt;&gt;"-"),COUNTIF(Direct_Denaturation,"-")+ROW()-3-$AB$2-$AN$2)-9,34)),"-")</f>
        <v>-</v>
      </c>
      <c r="BB163" s="510" t="str">
        <f t="array" aca="1" ref="BB163" ca="1">IFERROR(IF(AS163&lt;=$AB$2+$AN$2,"-",INDEX(Calculation_Tab,SMALL(ROW(Direct_Denaturation)*(Direct_Denaturation&lt;&gt;"-"),COUNTIF(Direct_Denaturation,"-")+ROW()-3-$AB$2-$AN$2)-9,33)),"-")</f>
        <v>-</v>
      </c>
      <c r="BC163" s="510" t="str">
        <f t="array" aca="1" ref="BC163" ca="1">IFERROR(IF(AS163&lt;=$AB$2+$AN$2,"-",INDEX(Calculation_Tab,SMALL(ROW(Direct_Denaturation)*(Direct_Denaturation&lt;&gt;"-"),COUNTIF(Direct_Denaturation,"-")+ROW()-3-$AB$2-$AN$2)-9,35)),"-")</f>
        <v>-</v>
      </c>
      <c r="BD163" s="511" t="str">
        <f t="shared" ca="1" si="85"/>
        <v>-</v>
      </c>
      <c r="BK163" s="542" t="s">
        <v>82</v>
      </c>
      <c r="BL163" s="542" t="s">
        <v>82</v>
      </c>
      <c r="BM163" s="487" t="str">
        <f t="array" aca="1" ref="BM163" ca="1">IFERROR(INDEX(Calculation_Tab,SMALL(ROW(ToPool)*(ToPool&lt;&gt;"-"),COUNTIF(ToPool,"-")+ROW()-3)-9,3),"-")</f>
        <v>-</v>
      </c>
      <c r="BN163" s="378" t="str">
        <f t="shared" ca="1" si="86"/>
        <v>-</v>
      </c>
      <c r="BO163" s="378" t="str">
        <f t="shared" ca="1" si="87"/>
        <v>-</v>
      </c>
      <c r="BP163" s="523" t="str">
        <f t="shared" ca="1" si="88"/>
        <v>-</v>
      </c>
      <c r="BQ163" s="378" t="str">
        <f t="array" aca="1" ref="BQ163" ca="1">IFERROR(INDEX(BE:BG,MATCH(INDEX(Calculation_Tab,SMALL(ROW(ToPool)*(ToPool&lt;&gt;"-"),COUNTIF(ToPool,"-")+ROW()-3)-9,9),BG:BG,0),2),"-")</f>
        <v>-</v>
      </c>
      <c r="BR163" s="510" t="str">
        <f t="shared" ca="1" si="89"/>
        <v>-</v>
      </c>
      <c r="BS163" s="511" t="str">
        <f t="shared" ca="1" si="90"/>
        <v>-</v>
      </c>
      <c r="BT163" s="543" t="s">
        <v>82</v>
      </c>
      <c r="BU163" s="487" t="str">
        <f t="shared" ca="1" si="95"/>
        <v>-</v>
      </c>
      <c r="BV163" s="487" t="str">
        <f t="array" aca="1" ref="BV16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63" s="378" t="str">
        <f t="shared" ca="1" si="91"/>
        <v>-</v>
      </c>
      <c r="BX163" s="378" t="str">
        <f t="shared" ca="1" si="92"/>
        <v>-</v>
      </c>
      <c r="BY163" s="510" t="str">
        <f ca="1">IFERROR(ROUND(INDEX(Cluster,MATCH(IF(LEFT(BV163,4)="Pool",INDEX(Cluster,MATCH(INDEX(Calculation_Tab,MATCH(INDEX($BE$4:$BJ$99,MATCH(BV163,$BE$4:$BE$99,0),3),Flow_Cell_Lane,0),3),Cluster!$F$29:$F$412,0),6),BV163),Identifier_Cluster,0),19)*IF(LEFT(BV163,4)="pool",IF(LEN(INDEX($BE$4:$BJ$99,MATCH(BV163,$BE$4:$BE$99,0),3))=10,2,IF(LEN(INDEX($BE$4:$BJ$99,MATCH(BV163,$BE$4:$BE$99,0),3))&gt;10,LEN(INDEX($BE$4:$BJ$99,MATCH(BV163,$BE$4:$BE$99,0),3))-8,1)),1)*IF(LEFT(BV163,4)="pool",IF(INDEX($BE$4:$BJ$99,MATCH(BV163,$BE$4:$BE$99,0),6)&lt;1,1,INDEX($BE$4:$BJ$99,MATCH(BV163,$BE$4:$BE$99,0),6)),INDEX(Calculation_Tab,MATCH(BV163,Identifier,0),10)),1)*(1+Calculation!$Q$6),"-")</f>
        <v>-</v>
      </c>
      <c r="BZ163" s="378" t="str">
        <f ca="1">IFERROR((0.5/50)*CE163/Calculation!$AG$6*(IF(LEFT(BV163,4)="Pool",IF(LEN(INDEX($BE$4:$BJ$99,MATCH(BV163,$BE$4:$BE$99,0),3))=10,2,IF(LEN(INDEX($BE$4:$BJ$99,MATCH(BV163,$BE$4:$BE$99,0),3))&gt;10,LEN(INDEX($BE$4:$BJ$99,MATCH(BV163,$BE$4:$BE$99,0),3))-8,1)),IF(INDEX(Calculation_Tab,MATCH(BV163,Identifier,0),10)&gt;1,INDEX(Calculation_Tab,MATCH(BV163,Identifier,0),10),1)))*(1+Calculation!$Q$6),"-")</f>
        <v>-</v>
      </c>
      <c r="CA163" s="510" t="str">
        <f ca="1">IFERROR(IF((BZ163*Calculation!$AG$6/0.05)-SUM(BY163:BZ163,CC163)&gt;0,(BZ163*Calculation!$AG$6/0.05)-SUM(BY163:BZ163,CC163),0),"-")</f>
        <v>-</v>
      </c>
      <c r="CB163" s="510" t="str">
        <f ca="1">IFERROR(5/50*CE163*(IF(LEFT(BV163,4)="Pool",IF(LEN(INDEX($BE$4:$BJ$99,MATCH(BV163,$BE$4:$BE$99,0),3))=10,2,IF(LEN(INDEX($BE$4:$BJ$99,MATCH(BV163,$BE$4:$BE$99,0),3))&gt;10,LEN(INDEX($BE$4:$BJ$99,MATCH(BV163,$BE$4:$BE$99,0),3))-8,1)),IF(INDEX(Calculation_Tab,MATCH(BV163,Identifier,0),10)&gt;1,INDEX(Calculation_Tab,MATCH(BV163,Identifier,0),10),1)))*(1+Calculation!$Q$6),"-")</f>
        <v>-</v>
      </c>
      <c r="CC163" s="508" t="str">
        <f ca="1">IFERROR(ROUND(INDEX(Cluster,MATCH(IF(LEFT(BV163,4)="Pool",INDEX(Cluster,MATCH(INDEX(Calculation_Tab,MATCH(INDEX($BE$4:$BJ$99,MATCH(BV163,$BE$4:$BE$99,0),3),Flow_Cell_Lane,0),3),Cluster!$F$29:$F$412,0),6),BV163),Identifier_Cluster,0),20)*IF(LEFT(BV163,4)="pool",IF(LEN(INDEX($BE$4:$BJ$99,MATCH(BV163,$BE$4:$BE$99,0),3))=10,2,IF(LEN(INDEX($BE$4:$BJ$99,MATCH(BV163,$BE$4:$BE$99,0),3))&gt;10,LEN(INDEX($BE$4:$BJ$99,MATCH(BV163,$BE$4:$BE$99,0),3))-8,1)),1)*IF(LEFT(BV163,4)="pool",IF(INDEX($BE$4:$BJ$99,MATCH(BV163,$BE$4:$BE$99,0),6)&lt;1,1,INDEX($BE$4:$BJ$99,MATCH(BV163,$BE$4:$BE$99,0),6)),INDEX(Calculation_Tab,MATCH(BV163,Identifier,0),10)),1)*(1+Calculation!$Q$6),"-")</f>
        <v>-</v>
      </c>
      <c r="CD163" s="509" t="str">
        <f ca="1">IFERROR(INDEX(Cluster!AC:AD,MATCH(IF(LEFT(BV163,4)="Pool",INDEX(Cluster!$D$29:$AA$412,MATCH(INDEX(Calculation_Tab,MATCH(INDEX($BE$4:$BJ$99,MATCH(BV163,$BE$4:$BE$99,0),3),Flow_Cell_Lane,0),3),Cluster!$F$29:$F$412,0),24),INDEX(Cluster!$D$29:$AA$412,MATCH(BV163,Cluster!$F$29:$F$412,0),24)),Cluster!AC:AC,0),2),"-")</f>
        <v>-</v>
      </c>
      <c r="CE163" s="378" t="str">
        <f ca="1">IFERROR(IF(BV163&lt;&gt;"-",Calculation!$AK$6,"-"),"-")</f>
        <v>-</v>
      </c>
      <c r="CF163" s="378" t="str">
        <f ca="1">IF(OR(LEFT(ListAndConversion!BW163,3)="Dil",LEFT(ListAndConversion!BW163,3)="Poo"),ListAndConversion!$BT$4,IF(LEFT(ListAndConversion!BW163,3)="Sou",INDEX(ListAndConversion!$AT$3:$AV$387,MATCH(ListAndConversion!BV163,ListAndConversion!$AV$3:$AV$387,0),1),"-"))</f>
        <v>-</v>
      </c>
      <c r="CG163" s="498" t="str">
        <f ca="1">IF(OR(LEFT(ListAndConversion!BW163,3)="Dil",LEFT(ListAndConversion!BW163,3)="Poo"),ListAndConversion!BU163,IF(LEFT(ListAndConversion!BW163,3)="Sou",INDEX(ListAndConversion!$AT$4:$AV$387,MATCH(ListAndConversion!BV163,ListAndConversion!$AV$4:$AV$387,0),2),"-"))</f>
        <v>-</v>
      </c>
      <c r="CH163" s="378"/>
      <c r="CI163" s="487" t="str">
        <f t="shared" ca="1" si="93"/>
        <v>-</v>
      </c>
      <c r="CJ163" s="378" t="str">
        <f t="shared" ca="1" si="100"/>
        <v>-</v>
      </c>
      <c r="CK163" s="378" t="str">
        <f t="shared" ca="1" si="100"/>
        <v>-</v>
      </c>
      <c r="CL163" s="378" t="str">
        <f t="shared" ca="1" si="100"/>
        <v>-</v>
      </c>
      <c r="CM163" s="378" t="str">
        <f t="shared" ca="1" si="100"/>
        <v>-</v>
      </c>
      <c r="CN163" s="378" t="str">
        <f t="shared" ca="1" si="100"/>
        <v>-</v>
      </c>
      <c r="CO163" s="378" t="str">
        <f t="shared" ca="1" si="100"/>
        <v>-</v>
      </c>
      <c r="CP163" s="378" t="str">
        <f t="shared" ca="1" si="100"/>
        <v>-</v>
      </c>
      <c r="CQ163" s="378" t="str">
        <f t="shared" ca="1" si="100"/>
        <v>-</v>
      </c>
      <c r="CR163" s="510" t="str">
        <f ca="1">IFERROR(IF(LEFT(BW163,3)="Poo",INDEX($BE$4:$BJ$99,MATCH(CI163,$BG$4:$BG$99,0),6)*((15/50))*Calculation!$AK$6,INDEX(Calculation_Tab,MATCH(BV163,Identifier,0),10)/(IF(LEN(INDEX(Calculation_Tab,MATCH(BV163,Identifier,0),9))&gt;8,LEN(INDEX(Calculation_Tab,MATCH(BV163,Identifier,0),9))-8,1))*((15/50)*Calculation!$AK$6)),"-")</f>
        <v>-</v>
      </c>
      <c r="CS163" s="498" t="str">
        <f ca="1">IF(CI163="-","-",IF(COUNTIF($CI$3:CI163,CI163)&gt;1,0,IFERROR((35/50)*Calculation!$AK$6,"-")))</f>
        <v>-</v>
      </c>
    </row>
    <row r="164" spans="4:97" x14ac:dyDescent="0.5">
      <c r="D164" s="487" t="e">
        <f t="shared" si="79"/>
        <v>#DIV/0!</v>
      </c>
      <c r="E164" s="496" t="e">
        <f t="array" ref="E164">IF(IF((ROW(E164)-3)&lt;(ListAndConversion!$A$15),INDEX(Flow_Cell_Lane,MIN(IF(COUNTIF($E$2:E163,Flow_Cell_Lane)=0,ROW(Flow_Cell_Lane)-9))),"-")="","-",IF((ROW(E164)-3)&lt;(ListAndConversion!$A$15),INDEX(Flow_Cell_Lane,MIN(IF(COUNTIF($E$2:E163,Flow_Cell_Lane)=0,ROW(Flow_Cell_Lane)-9))),"-"))</f>
        <v>#DIV/0!</v>
      </c>
      <c r="F164" s="378" t="e">
        <f t="shared" si="80"/>
        <v>#DIV/0!</v>
      </c>
      <c r="G164" s="378" t="e">
        <f t="shared" si="101"/>
        <v>#DIV/0!</v>
      </c>
      <c r="H164" s="378" t="e">
        <f t="shared" si="101"/>
        <v>#DIV/0!</v>
      </c>
      <c r="I164" s="378" t="e">
        <f t="shared" si="101"/>
        <v>#DIV/0!</v>
      </c>
      <c r="J164" s="378" t="e">
        <f t="shared" si="101"/>
        <v>#DIV/0!</v>
      </c>
      <c r="K164" s="378" t="e">
        <f t="shared" si="101"/>
        <v>#DIV/0!</v>
      </c>
      <c r="L164" s="378" t="e">
        <f t="shared" si="101"/>
        <v>#DIV/0!</v>
      </c>
      <c r="M164" s="378" t="e">
        <f t="shared" si="101"/>
        <v>#DIV/0!</v>
      </c>
      <c r="N164" s="497" t="e">
        <f t="shared" si="81"/>
        <v>#DIV/0!</v>
      </c>
      <c r="O164" s="497" t="str">
        <f t="array" ref="O164">IFERROR(INDEX(Calculation!I:AN,MATCH(ListAndConversion!E164,Calculation!I:I,0),31),"-")</f>
        <v>-</v>
      </c>
      <c r="P164" s="498">
        <f>IF(COUNTIFS(Calculation!$I$10:$I$393,E164,Direct_Denaturation,"-")&lt;&gt;1,COUNTIFS(Calculation!$I$10:$I$393,E164,Direct_Denaturation,"-"),0)</f>
        <v>0</v>
      </c>
      <c r="V164" s="542" t="s">
        <v>82</v>
      </c>
      <c r="W164" s="542" t="s">
        <v>82</v>
      </c>
      <c r="X164" s="542" t="s">
        <v>82</v>
      </c>
      <c r="Y164" s="542" t="s">
        <v>82</v>
      </c>
      <c r="Z164" s="542" t="s">
        <v>82</v>
      </c>
      <c r="AA164" s="542" t="s">
        <v>82</v>
      </c>
      <c r="AB164" s="542" t="s">
        <v>82</v>
      </c>
      <c r="AC164" s="542" t="s">
        <v>82</v>
      </c>
      <c r="AD164" s="542" t="s">
        <v>82</v>
      </c>
      <c r="AE164" s="542" t="s">
        <v>82</v>
      </c>
      <c r="AF164" s="542" t="s">
        <v>82</v>
      </c>
      <c r="AG164" s="542" t="s">
        <v>82</v>
      </c>
      <c r="AH164" s="9"/>
      <c r="AI164" s="487">
        <v>161</v>
      </c>
      <c r="AJ164" s="497" t="s">
        <v>161</v>
      </c>
      <c r="AK164" s="378">
        <v>65</v>
      </c>
      <c r="AL164" s="378" t="str">
        <f t="shared" ca="1" si="82"/>
        <v>-</v>
      </c>
      <c r="AM164" s="378" t="str">
        <f t="array" aca="1" ref="AM164" ca="1">IFERROR(IF(AI164&lt;=$AB$2,"-",INDEX(Calculation_Tab,SMALL(ROW(Main_Dil)*(Main_Dil&lt;&gt;"-"),COUNTIF(Main_Dil,"-")+ROW()-3-$AB$2)-9,5)),"-")</f>
        <v>-</v>
      </c>
      <c r="AN164" s="378" t="str">
        <f t="array" aca="1" ref="AN164" ca="1">IFERROR(IF(AI164&lt;=$AB$2,"-",INDEX($A$3:$B$12,MATCH(INDEX(Calculation_Tab,SMALL(ROW(Main_Dil)*(Main_Dil&lt;&gt;"-"),COUNTIF(Main_Dil,"-")+ROW()-3-$AB$2)-9,5),$A$3:$A$12,0),2)),"-")</f>
        <v>-</v>
      </c>
      <c r="AO164" s="378" t="str">
        <f t="array" aca="1" ref="AO164" ca="1">IFERROR(IF(AI164&lt;=$AB$2,"-",INDEX(Coordinate,MATCH(INDEX(Calculation_Tab,SMALL(ROW(Main_Dil)*(Main_Dil&lt;&gt;"-"),COUNTIF(Main_Dil,"-")+ROW()-3-$AB$2)-9,6),$X$4:$X$99,0),2)),"-")</f>
        <v>-</v>
      </c>
      <c r="AP164" s="510" t="str">
        <f t="array" aca="1" ref="AP164" ca="1">IFERROR(IF(AI164&lt;=$AB$2,"-",INDEX(Calculation_Tab,SMALL(ROW(Main_Dil)*(Main_Dil&lt;&gt;"-"),COUNTIF(Main_Dil,"-")+ROW()-3-$AB$2)-9,21)),"-")</f>
        <v>-</v>
      </c>
      <c r="AQ164" s="511" t="str">
        <f t="array" aca="1" ref="AQ164" ca="1">IFERROR(IF(AI164&lt;=$AB$2,"-",INDEX(Calculation_Tab,SMALL(ROW(Main_Dil)*(Main_Dil&lt;&gt;"-"),COUNTIF(Main_Dil,"-")+ROW()-3-$AB$2)-9,22)),"-")</f>
        <v>-</v>
      </c>
      <c r="AR164" s="487" t="str">
        <f t="shared" ca="1" si="83"/>
        <v>-</v>
      </c>
      <c r="AS164" s="378">
        <v>161</v>
      </c>
      <c r="AT164" s="497" t="s">
        <v>161</v>
      </c>
      <c r="AU164" s="498">
        <v>65</v>
      </c>
      <c r="AV164" s="378" t="str">
        <f t="shared" ca="1" si="84"/>
        <v>-</v>
      </c>
      <c r="AW164" s="378" t="str">
        <f t="array" aca="1" ref="AW164" ca="1">IFERROR(IF(AS164&lt;=$AB$2+$AN$2,"-",INDEX(Calculation_Tab,SMALL(ROW(Direct_Denaturation)*(Direct_Denaturation&lt;&gt;"-"),COUNTIF(Direct_Denaturation,"-")+ROW()-3-$AB$2-$AN$2)-9,5)),"-")</f>
        <v>-</v>
      </c>
      <c r="AX164" s="378" t="str">
        <f t="array" aca="1" ref="AX164" ca="1">IFERROR(IF(AS164&lt;=$AB$2+$AN$2,"-",INDEX($A$3:$B$12,MATCH(INDEX(Calculation_Tab,SMALL(ROW(Direct_Denaturation)*(Direct_Denaturation&lt;&gt;"-"),COUNTIF(Direct_Denaturation,"-")+ROW()-3-$AB$2-$AN$2)-9,5),$A$3:$A$12,0),2)),"-")</f>
        <v>-</v>
      </c>
      <c r="AY164" s="378" t="str">
        <f t="array" aca="1" ref="AY164" ca="1">IFERROR(IF(AS164&lt;=$AB$2+$AN$2,"-",INDEX(Coordinate,MATCH(INDEX(Calculation_Tab,SMALL(ROW(Direct_Denaturation)*(Direct_Denaturation&lt;&gt;"-"),COUNTIF(Direct_Denaturation,"-")+ROW()-3-$AB$2-$AN$2)-9,6),$X$4:$X$99,0),2)),"-")</f>
        <v>-</v>
      </c>
      <c r="AZ164" s="510" t="str">
        <f t="array" aca="1" ref="AZ164" ca="1">IFERROR(IF(AS164&lt;=$AB$2+$AN$2,"-",INDEX(Calculation_Tab,SMALL(ROW(Direct_Denaturation)*(Direct_Denaturation&lt;&gt;"-"),COUNTIF(Direct_Denaturation,"-")+ROW()-3-$AB$2-$AN$2)-9,32)),"-")</f>
        <v>-</v>
      </c>
      <c r="BA164" s="510" t="str">
        <f t="array" aca="1" ref="BA164" ca="1">IFERROR(IF(AS164&lt;=$AB$2+$AN$2,"-",INDEX(Calculation_Tab,SMALL(ROW(Direct_Denaturation)*(Direct_Denaturation&lt;&gt;"-"),COUNTIF(Direct_Denaturation,"-")+ROW()-3-$AB$2-$AN$2)-9,34)),"-")</f>
        <v>-</v>
      </c>
      <c r="BB164" s="510" t="str">
        <f t="array" aca="1" ref="BB164" ca="1">IFERROR(IF(AS164&lt;=$AB$2+$AN$2,"-",INDEX(Calculation_Tab,SMALL(ROW(Direct_Denaturation)*(Direct_Denaturation&lt;&gt;"-"),COUNTIF(Direct_Denaturation,"-")+ROW()-3-$AB$2-$AN$2)-9,33)),"-")</f>
        <v>-</v>
      </c>
      <c r="BC164" s="510" t="str">
        <f t="array" aca="1" ref="BC164" ca="1">IFERROR(IF(AS164&lt;=$AB$2+$AN$2,"-",INDEX(Calculation_Tab,SMALL(ROW(Direct_Denaturation)*(Direct_Denaturation&lt;&gt;"-"),COUNTIF(Direct_Denaturation,"-")+ROW()-3-$AB$2-$AN$2)-9,35)),"-")</f>
        <v>-</v>
      </c>
      <c r="BD164" s="511" t="str">
        <f t="shared" ca="1" si="85"/>
        <v>-</v>
      </c>
      <c r="BK164" s="542" t="s">
        <v>82</v>
      </c>
      <c r="BL164" s="542" t="s">
        <v>82</v>
      </c>
      <c r="BM164" s="487" t="str">
        <f t="array" aca="1" ref="BM164" ca="1">IFERROR(INDEX(Calculation_Tab,SMALL(ROW(ToPool)*(ToPool&lt;&gt;"-"),COUNTIF(ToPool,"-")+ROW()-3)-9,3),"-")</f>
        <v>-</v>
      </c>
      <c r="BN164" s="378" t="str">
        <f t="shared" ca="1" si="86"/>
        <v>-</v>
      </c>
      <c r="BO164" s="378" t="str">
        <f t="shared" ca="1" si="87"/>
        <v>-</v>
      </c>
      <c r="BP164" s="523" t="str">
        <f t="shared" ca="1" si="88"/>
        <v>-</v>
      </c>
      <c r="BQ164" s="378" t="str">
        <f t="array" aca="1" ref="BQ164" ca="1">IFERROR(INDEX(BE:BG,MATCH(INDEX(Calculation_Tab,SMALL(ROW(ToPool)*(ToPool&lt;&gt;"-"),COUNTIF(ToPool,"-")+ROW()-3)-9,9),BG:BG,0),2),"-")</f>
        <v>-</v>
      </c>
      <c r="BR164" s="510" t="str">
        <f t="shared" ca="1" si="89"/>
        <v>-</v>
      </c>
      <c r="BS164" s="511" t="str">
        <f t="shared" ca="1" si="90"/>
        <v>-</v>
      </c>
      <c r="BT164" s="543" t="s">
        <v>82</v>
      </c>
      <c r="BU164" s="487" t="str">
        <f t="shared" ca="1" si="95"/>
        <v>-</v>
      </c>
      <c r="BV164" s="487" t="str">
        <f t="array" aca="1" ref="BV16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64" s="378" t="str">
        <f t="shared" ca="1" si="91"/>
        <v>-</v>
      </c>
      <c r="BX164" s="378" t="str">
        <f t="shared" ca="1" si="92"/>
        <v>-</v>
      </c>
      <c r="BY164" s="510" t="str">
        <f ca="1">IFERROR(ROUND(INDEX(Cluster,MATCH(IF(LEFT(BV164,4)="Pool",INDEX(Cluster,MATCH(INDEX(Calculation_Tab,MATCH(INDEX($BE$4:$BJ$99,MATCH(BV164,$BE$4:$BE$99,0),3),Flow_Cell_Lane,0),3),Cluster!$F$29:$F$412,0),6),BV164),Identifier_Cluster,0),19)*IF(LEFT(BV164,4)="pool",IF(LEN(INDEX($BE$4:$BJ$99,MATCH(BV164,$BE$4:$BE$99,0),3))=10,2,IF(LEN(INDEX($BE$4:$BJ$99,MATCH(BV164,$BE$4:$BE$99,0),3))&gt;10,LEN(INDEX($BE$4:$BJ$99,MATCH(BV164,$BE$4:$BE$99,0),3))-8,1)),1)*IF(LEFT(BV164,4)="pool",IF(INDEX($BE$4:$BJ$99,MATCH(BV164,$BE$4:$BE$99,0),6)&lt;1,1,INDEX($BE$4:$BJ$99,MATCH(BV164,$BE$4:$BE$99,0),6)),INDEX(Calculation_Tab,MATCH(BV164,Identifier,0),10)),1)*(1+Calculation!$Q$6),"-")</f>
        <v>-</v>
      </c>
      <c r="BZ164" s="378" t="str">
        <f ca="1">IFERROR((0.5/50)*CE164/Calculation!$AG$6*(IF(LEFT(BV164,4)="Pool",IF(LEN(INDEX($BE$4:$BJ$99,MATCH(BV164,$BE$4:$BE$99,0),3))=10,2,IF(LEN(INDEX($BE$4:$BJ$99,MATCH(BV164,$BE$4:$BE$99,0),3))&gt;10,LEN(INDEX($BE$4:$BJ$99,MATCH(BV164,$BE$4:$BE$99,0),3))-8,1)),IF(INDEX(Calculation_Tab,MATCH(BV164,Identifier,0),10)&gt;1,INDEX(Calculation_Tab,MATCH(BV164,Identifier,0),10),1)))*(1+Calculation!$Q$6),"-")</f>
        <v>-</v>
      </c>
      <c r="CA164" s="510" t="str">
        <f ca="1">IFERROR(IF((BZ164*Calculation!$AG$6/0.05)-SUM(BY164:BZ164,CC164)&gt;0,(BZ164*Calculation!$AG$6/0.05)-SUM(BY164:BZ164,CC164),0),"-")</f>
        <v>-</v>
      </c>
      <c r="CB164" s="510" t="str">
        <f ca="1">IFERROR(5/50*CE164*(IF(LEFT(BV164,4)="Pool",IF(LEN(INDEX($BE$4:$BJ$99,MATCH(BV164,$BE$4:$BE$99,0),3))=10,2,IF(LEN(INDEX($BE$4:$BJ$99,MATCH(BV164,$BE$4:$BE$99,0),3))&gt;10,LEN(INDEX($BE$4:$BJ$99,MATCH(BV164,$BE$4:$BE$99,0),3))-8,1)),IF(INDEX(Calculation_Tab,MATCH(BV164,Identifier,0),10)&gt;1,INDEX(Calculation_Tab,MATCH(BV164,Identifier,0),10),1)))*(1+Calculation!$Q$6),"-")</f>
        <v>-</v>
      </c>
      <c r="CC164" s="508" t="str">
        <f ca="1">IFERROR(ROUND(INDEX(Cluster,MATCH(IF(LEFT(BV164,4)="Pool",INDEX(Cluster,MATCH(INDEX(Calculation_Tab,MATCH(INDEX($BE$4:$BJ$99,MATCH(BV164,$BE$4:$BE$99,0),3),Flow_Cell_Lane,0),3),Cluster!$F$29:$F$412,0),6),BV164),Identifier_Cluster,0),20)*IF(LEFT(BV164,4)="pool",IF(LEN(INDEX($BE$4:$BJ$99,MATCH(BV164,$BE$4:$BE$99,0),3))=10,2,IF(LEN(INDEX($BE$4:$BJ$99,MATCH(BV164,$BE$4:$BE$99,0),3))&gt;10,LEN(INDEX($BE$4:$BJ$99,MATCH(BV164,$BE$4:$BE$99,0),3))-8,1)),1)*IF(LEFT(BV164,4)="pool",IF(INDEX($BE$4:$BJ$99,MATCH(BV164,$BE$4:$BE$99,0),6)&lt;1,1,INDEX($BE$4:$BJ$99,MATCH(BV164,$BE$4:$BE$99,0),6)),INDEX(Calculation_Tab,MATCH(BV164,Identifier,0),10)),1)*(1+Calculation!$Q$6),"-")</f>
        <v>-</v>
      </c>
      <c r="CD164" s="509" t="str">
        <f ca="1">IFERROR(INDEX(Cluster!AC:AD,MATCH(IF(LEFT(BV164,4)="Pool",INDEX(Cluster!$D$29:$AA$412,MATCH(INDEX(Calculation_Tab,MATCH(INDEX($BE$4:$BJ$99,MATCH(BV164,$BE$4:$BE$99,0),3),Flow_Cell_Lane,0),3),Cluster!$F$29:$F$412,0),24),INDEX(Cluster!$D$29:$AA$412,MATCH(BV164,Cluster!$F$29:$F$412,0),24)),Cluster!AC:AC,0),2),"-")</f>
        <v>-</v>
      </c>
      <c r="CE164" s="378" t="str">
        <f ca="1">IFERROR(IF(BV164&lt;&gt;"-",Calculation!$AK$6,"-"),"-")</f>
        <v>-</v>
      </c>
      <c r="CF164" s="378" t="str">
        <f ca="1">IF(OR(LEFT(ListAndConversion!BW164,3)="Dil",LEFT(ListAndConversion!BW164,3)="Poo"),ListAndConversion!$BT$4,IF(LEFT(ListAndConversion!BW164,3)="Sou",INDEX(ListAndConversion!$AT$3:$AV$387,MATCH(ListAndConversion!BV164,ListAndConversion!$AV$3:$AV$387,0),1),"-"))</f>
        <v>-</v>
      </c>
      <c r="CG164" s="498" t="str">
        <f ca="1">IF(OR(LEFT(ListAndConversion!BW164,3)="Dil",LEFT(ListAndConversion!BW164,3)="Poo"),ListAndConversion!BU164,IF(LEFT(ListAndConversion!BW164,3)="Sou",INDEX(ListAndConversion!$AT$4:$AV$387,MATCH(ListAndConversion!BV164,ListAndConversion!$AV$4:$AV$387,0),2),"-"))</f>
        <v>-</v>
      </c>
      <c r="CH164" s="378"/>
      <c r="CI164" s="487" t="str">
        <f t="shared" ca="1" si="93"/>
        <v>-</v>
      </c>
      <c r="CJ164" s="378" t="str">
        <f t="shared" ref="CJ164:CQ173" ca="1" si="102">IFERROR(INDEX($R$3:$U$98,MATCH(INDEX($F$3:$M$387,MATCH($CI164,$E$3:$E$386,0),CJ$3),$S$3:$S$98,0),4),"-")</f>
        <v>-</v>
      </c>
      <c r="CK164" s="378" t="str">
        <f t="shared" ca="1" si="102"/>
        <v>-</v>
      </c>
      <c r="CL164" s="378" t="str">
        <f t="shared" ca="1" si="102"/>
        <v>-</v>
      </c>
      <c r="CM164" s="378" t="str">
        <f t="shared" ca="1" si="102"/>
        <v>-</v>
      </c>
      <c r="CN164" s="378" t="str">
        <f t="shared" ca="1" si="102"/>
        <v>-</v>
      </c>
      <c r="CO164" s="378" t="str">
        <f t="shared" ca="1" si="102"/>
        <v>-</v>
      </c>
      <c r="CP164" s="378" t="str">
        <f t="shared" ca="1" si="102"/>
        <v>-</v>
      </c>
      <c r="CQ164" s="378" t="str">
        <f t="shared" ca="1" si="102"/>
        <v>-</v>
      </c>
      <c r="CR164" s="510" t="str">
        <f ca="1">IFERROR(IF(LEFT(BW164,3)="Poo",INDEX($BE$4:$BJ$99,MATCH(CI164,$BG$4:$BG$99,0),6)*((15/50))*Calculation!$AK$6,INDEX(Calculation_Tab,MATCH(BV164,Identifier,0),10)/(IF(LEN(INDEX(Calculation_Tab,MATCH(BV164,Identifier,0),9))&gt;8,LEN(INDEX(Calculation_Tab,MATCH(BV164,Identifier,0),9))-8,1))*((15/50)*Calculation!$AK$6)),"-")</f>
        <v>-</v>
      </c>
      <c r="CS164" s="498" t="str">
        <f ca="1">IF(CI164="-","-",IF(COUNTIF($CI$3:CI164,CI164)&gt;1,0,IFERROR((35/50)*Calculation!$AK$6,"-")))</f>
        <v>-</v>
      </c>
    </row>
    <row r="165" spans="4:97" x14ac:dyDescent="0.5">
      <c r="D165" s="487" t="e">
        <f t="shared" si="79"/>
        <v>#DIV/0!</v>
      </c>
      <c r="E165" s="496" t="e">
        <f t="array" ref="E165">IF(IF((ROW(E165)-3)&lt;(ListAndConversion!$A$15),INDEX(Flow_Cell_Lane,MIN(IF(COUNTIF($E$2:E164,Flow_Cell_Lane)=0,ROW(Flow_Cell_Lane)-9))),"-")="","-",IF((ROW(E165)-3)&lt;(ListAndConversion!$A$15),INDEX(Flow_Cell_Lane,MIN(IF(COUNTIF($E$2:E164,Flow_Cell_Lane)=0,ROW(Flow_Cell_Lane)-9))),"-"))</f>
        <v>#DIV/0!</v>
      </c>
      <c r="F165" s="378" t="e">
        <f t="shared" si="80"/>
        <v>#DIV/0!</v>
      </c>
      <c r="G165" s="378" t="e">
        <f t="shared" si="101"/>
        <v>#DIV/0!</v>
      </c>
      <c r="H165" s="378" t="e">
        <f t="shared" si="101"/>
        <v>#DIV/0!</v>
      </c>
      <c r="I165" s="378" t="e">
        <f t="shared" si="101"/>
        <v>#DIV/0!</v>
      </c>
      <c r="J165" s="378" t="e">
        <f t="shared" si="101"/>
        <v>#DIV/0!</v>
      </c>
      <c r="K165" s="378" t="e">
        <f t="shared" si="101"/>
        <v>#DIV/0!</v>
      </c>
      <c r="L165" s="378" t="e">
        <f t="shared" si="101"/>
        <v>#DIV/0!</v>
      </c>
      <c r="M165" s="378" t="e">
        <f t="shared" si="101"/>
        <v>#DIV/0!</v>
      </c>
      <c r="N165" s="497" t="e">
        <f t="shared" si="81"/>
        <v>#DIV/0!</v>
      </c>
      <c r="O165" s="497" t="str">
        <f t="array" ref="O165">IFERROR(INDEX(Calculation!I:AN,MATCH(ListAndConversion!E165,Calculation!I:I,0),31),"-")</f>
        <v>-</v>
      </c>
      <c r="P165" s="498">
        <f>IF(COUNTIFS(Calculation!$I$10:$I$393,E165,Direct_Denaturation,"-")&lt;&gt;1,COUNTIFS(Calculation!$I$10:$I$393,E165,Direct_Denaturation,"-"),0)</f>
        <v>0</v>
      </c>
      <c r="V165" s="542" t="s">
        <v>82</v>
      </c>
      <c r="W165" s="542" t="s">
        <v>82</v>
      </c>
      <c r="X165" s="542" t="s">
        <v>82</v>
      </c>
      <c r="Y165" s="542" t="s">
        <v>82</v>
      </c>
      <c r="Z165" s="542" t="s">
        <v>82</v>
      </c>
      <c r="AA165" s="542" t="s">
        <v>82</v>
      </c>
      <c r="AB165" s="542" t="s">
        <v>82</v>
      </c>
      <c r="AC165" s="542" t="s">
        <v>82</v>
      </c>
      <c r="AD165" s="542" t="s">
        <v>82</v>
      </c>
      <c r="AE165" s="542" t="s">
        <v>82</v>
      </c>
      <c r="AF165" s="542" t="s">
        <v>82</v>
      </c>
      <c r="AG165" s="542" t="s">
        <v>82</v>
      </c>
      <c r="AH165" s="9"/>
      <c r="AI165" s="487">
        <v>162</v>
      </c>
      <c r="AJ165" s="497" t="s">
        <v>161</v>
      </c>
      <c r="AK165" s="378">
        <v>66</v>
      </c>
      <c r="AL165" s="378" t="str">
        <f t="shared" ca="1" si="82"/>
        <v>-</v>
      </c>
      <c r="AM165" s="378" t="str">
        <f t="array" aca="1" ref="AM165" ca="1">IFERROR(IF(AI165&lt;=$AB$2,"-",INDEX(Calculation_Tab,SMALL(ROW(Main_Dil)*(Main_Dil&lt;&gt;"-"),COUNTIF(Main_Dil,"-")+ROW()-3-$AB$2)-9,5)),"-")</f>
        <v>-</v>
      </c>
      <c r="AN165" s="378" t="str">
        <f t="array" aca="1" ref="AN165" ca="1">IFERROR(IF(AI165&lt;=$AB$2,"-",INDEX($A$3:$B$12,MATCH(INDEX(Calculation_Tab,SMALL(ROW(Main_Dil)*(Main_Dil&lt;&gt;"-"),COUNTIF(Main_Dil,"-")+ROW()-3-$AB$2)-9,5),$A$3:$A$12,0),2)),"-")</f>
        <v>-</v>
      </c>
      <c r="AO165" s="378" t="str">
        <f t="array" aca="1" ref="AO165" ca="1">IFERROR(IF(AI165&lt;=$AB$2,"-",INDEX(Coordinate,MATCH(INDEX(Calculation_Tab,SMALL(ROW(Main_Dil)*(Main_Dil&lt;&gt;"-"),COUNTIF(Main_Dil,"-")+ROW()-3-$AB$2)-9,6),$X$4:$X$99,0),2)),"-")</f>
        <v>-</v>
      </c>
      <c r="AP165" s="510" t="str">
        <f t="array" aca="1" ref="AP165" ca="1">IFERROR(IF(AI165&lt;=$AB$2,"-",INDEX(Calculation_Tab,SMALL(ROW(Main_Dil)*(Main_Dil&lt;&gt;"-"),COUNTIF(Main_Dil,"-")+ROW()-3-$AB$2)-9,21)),"-")</f>
        <v>-</v>
      </c>
      <c r="AQ165" s="511" t="str">
        <f t="array" aca="1" ref="AQ165" ca="1">IFERROR(IF(AI165&lt;=$AB$2,"-",INDEX(Calculation_Tab,SMALL(ROW(Main_Dil)*(Main_Dil&lt;&gt;"-"),COUNTIF(Main_Dil,"-")+ROW()-3-$AB$2)-9,22)),"-")</f>
        <v>-</v>
      </c>
      <c r="AR165" s="487" t="str">
        <f t="shared" ca="1" si="83"/>
        <v>-</v>
      </c>
      <c r="AS165" s="378">
        <v>162</v>
      </c>
      <c r="AT165" s="497" t="s">
        <v>161</v>
      </c>
      <c r="AU165" s="498">
        <v>66</v>
      </c>
      <c r="AV165" s="378" t="str">
        <f t="shared" ca="1" si="84"/>
        <v>-</v>
      </c>
      <c r="AW165" s="378" t="str">
        <f t="array" aca="1" ref="AW165" ca="1">IFERROR(IF(AS165&lt;=$AB$2+$AN$2,"-",INDEX(Calculation_Tab,SMALL(ROW(Direct_Denaturation)*(Direct_Denaturation&lt;&gt;"-"),COUNTIF(Direct_Denaturation,"-")+ROW()-3-$AB$2-$AN$2)-9,5)),"-")</f>
        <v>-</v>
      </c>
      <c r="AX165" s="378" t="str">
        <f t="array" aca="1" ref="AX165" ca="1">IFERROR(IF(AS165&lt;=$AB$2+$AN$2,"-",INDEX($A$3:$B$12,MATCH(INDEX(Calculation_Tab,SMALL(ROW(Direct_Denaturation)*(Direct_Denaturation&lt;&gt;"-"),COUNTIF(Direct_Denaturation,"-")+ROW()-3-$AB$2-$AN$2)-9,5),$A$3:$A$12,0),2)),"-")</f>
        <v>-</v>
      </c>
      <c r="AY165" s="378" t="str">
        <f t="array" aca="1" ref="AY165" ca="1">IFERROR(IF(AS165&lt;=$AB$2+$AN$2,"-",INDEX(Coordinate,MATCH(INDEX(Calculation_Tab,SMALL(ROW(Direct_Denaturation)*(Direct_Denaturation&lt;&gt;"-"),COUNTIF(Direct_Denaturation,"-")+ROW()-3-$AB$2-$AN$2)-9,6),$X$4:$X$99,0),2)),"-")</f>
        <v>-</v>
      </c>
      <c r="AZ165" s="510" t="str">
        <f t="array" aca="1" ref="AZ165" ca="1">IFERROR(IF(AS165&lt;=$AB$2+$AN$2,"-",INDEX(Calculation_Tab,SMALL(ROW(Direct_Denaturation)*(Direct_Denaturation&lt;&gt;"-"),COUNTIF(Direct_Denaturation,"-")+ROW()-3-$AB$2-$AN$2)-9,32)),"-")</f>
        <v>-</v>
      </c>
      <c r="BA165" s="510" t="str">
        <f t="array" aca="1" ref="BA165" ca="1">IFERROR(IF(AS165&lt;=$AB$2+$AN$2,"-",INDEX(Calculation_Tab,SMALL(ROW(Direct_Denaturation)*(Direct_Denaturation&lt;&gt;"-"),COUNTIF(Direct_Denaturation,"-")+ROW()-3-$AB$2-$AN$2)-9,34)),"-")</f>
        <v>-</v>
      </c>
      <c r="BB165" s="510" t="str">
        <f t="array" aca="1" ref="BB165" ca="1">IFERROR(IF(AS165&lt;=$AB$2+$AN$2,"-",INDEX(Calculation_Tab,SMALL(ROW(Direct_Denaturation)*(Direct_Denaturation&lt;&gt;"-"),COUNTIF(Direct_Denaturation,"-")+ROW()-3-$AB$2-$AN$2)-9,33)),"-")</f>
        <v>-</v>
      </c>
      <c r="BC165" s="510" t="str">
        <f t="array" aca="1" ref="BC165" ca="1">IFERROR(IF(AS165&lt;=$AB$2+$AN$2,"-",INDEX(Calculation_Tab,SMALL(ROW(Direct_Denaturation)*(Direct_Denaturation&lt;&gt;"-"),COUNTIF(Direct_Denaturation,"-")+ROW()-3-$AB$2-$AN$2)-9,35)),"-")</f>
        <v>-</v>
      </c>
      <c r="BD165" s="511" t="str">
        <f t="shared" ca="1" si="85"/>
        <v>-</v>
      </c>
      <c r="BK165" s="542" t="s">
        <v>82</v>
      </c>
      <c r="BL165" s="542" t="s">
        <v>82</v>
      </c>
      <c r="BM165" s="487" t="str">
        <f t="array" aca="1" ref="BM165" ca="1">IFERROR(INDEX(Calculation_Tab,SMALL(ROW(ToPool)*(ToPool&lt;&gt;"-"),COUNTIF(ToPool,"-")+ROW()-3)-9,3),"-")</f>
        <v>-</v>
      </c>
      <c r="BN165" s="378" t="str">
        <f t="shared" ca="1" si="86"/>
        <v>-</v>
      </c>
      <c r="BO165" s="378" t="str">
        <f t="shared" ca="1" si="87"/>
        <v>-</v>
      </c>
      <c r="BP165" s="523" t="str">
        <f t="shared" ca="1" si="88"/>
        <v>-</v>
      </c>
      <c r="BQ165" s="378" t="str">
        <f t="array" aca="1" ref="BQ165" ca="1">IFERROR(INDEX(BE:BG,MATCH(INDEX(Calculation_Tab,SMALL(ROW(ToPool)*(ToPool&lt;&gt;"-"),COUNTIF(ToPool,"-")+ROW()-3)-9,9),BG:BG,0),2),"-")</f>
        <v>-</v>
      </c>
      <c r="BR165" s="510" t="str">
        <f t="shared" ca="1" si="89"/>
        <v>-</v>
      </c>
      <c r="BS165" s="511" t="str">
        <f t="shared" ca="1" si="90"/>
        <v>-</v>
      </c>
      <c r="BT165" s="543" t="s">
        <v>82</v>
      </c>
      <c r="BU165" s="487" t="str">
        <f t="shared" ca="1" si="95"/>
        <v>-</v>
      </c>
      <c r="BV165" s="487" t="str">
        <f t="array" aca="1" ref="BV16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65" s="378" t="str">
        <f t="shared" ca="1" si="91"/>
        <v>-</v>
      </c>
      <c r="BX165" s="378" t="str">
        <f t="shared" ca="1" si="92"/>
        <v>-</v>
      </c>
      <c r="BY165" s="510" t="str">
        <f ca="1">IFERROR(ROUND(INDEX(Cluster,MATCH(IF(LEFT(BV165,4)="Pool",INDEX(Cluster,MATCH(INDEX(Calculation_Tab,MATCH(INDEX($BE$4:$BJ$99,MATCH(BV165,$BE$4:$BE$99,0),3),Flow_Cell_Lane,0),3),Cluster!$F$29:$F$412,0),6),BV165),Identifier_Cluster,0),19)*IF(LEFT(BV165,4)="pool",IF(LEN(INDEX($BE$4:$BJ$99,MATCH(BV165,$BE$4:$BE$99,0),3))=10,2,IF(LEN(INDEX($BE$4:$BJ$99,MATCH(BV165,$BE$4:$BE$99,0),3))&gt;10,LEN(INDEX($BE$4:$BJ$99,MATCH(BV165,$BE$4:$BE$99,0),3))-8,1)),1)*IF(LEFT(BV165,4)="pool",IF(INDEX($BE$4:$BJ$99,MATCH(BV165,$BE$4:$BE$99,0),6)&lt;1,1,INDEX($BE$4:$BJ$99,MATCH(BV165,$BE$4:$BE$99,0),6)),INDEX(Calculation_Tab,MATCH(BV165,Identifier,0),10)),1)*(1+Calculation!$Q$6),"-")</f>
        <v>-</v>
      </c>
      <c r="BZ165" s="378" t="str">
        <f ca="1">IFERROR((0.5/50)*CE165/Calculation!$AG$6*(IF(LEFT(BV165,4)="Pool",IF(LEN(INDEX($BE$4:$BJ$99,MATCH(BV165,$BE$4:$BE$99,0),3))=10,2,IF(LEN(INDEX($BE$4:$BJ$99,MATCH(BV165,$BE$4:$BE$99,0),3))&gt;10,LEN(INDEX($BE$4:$BJ$99,MATCH(BV165,$BE$4:$BE$99,0),3))-8,1)),IF(INDEX(Calculation_Tab,MATCH(BV165,Identifier,0),10)&gt;1,INDEX(Calculation_Tab,MATCH(BV165,Identifier,0),10),1)))*(1+Calculation!$Q$6),"-")</f>
        <v>-</v>
      </c>
      <c r="CA165" s="510" t="str">
        <f ca="1">IFERROR(IF((BZ165*Calculation!$AG$6/0.05)-SUM(BY165:BZ165,CC165)&gt;0,(BZ165*Calculation!$AG$6/0.05)-SUM(BY165:BZ165,CC165),0),"-")</f>
        <v>-</v>
      </c>
      <c r="CB165" s="510" t="str">
        <f ca="1">IFERROR(5/50*CE165*(IF(LEFT(BV165,4)="Pool",IF(LEN(INDEX($BE$4:$BJ$99,MATCH(BV165,$BE$4:$BE$99,0),3))=10,2,IF(LEN(INDEX($BE$4:$BJ$99,MATCH(BV165,$BE$4:$BE$99,0),3))&gt;10,LEN(INDEX($BE$4:$BJ$99,MATCH(BV165,$BE$4:$BE$99,0),3))-8,1)),IF(INDEX(Calculation_Tab,MATCH(BV165,Identifier,0),10)&gt;1,INDEX(Calculation_Tab,MATCH(BV165,Identifier,0),10),1)))*(1+Calculation!$Q$6),"-")</f>
        <v>-</v>
      </c>
      <c r="CC165" s="508" t="str">
        <f ca="1">IFERROR(ROUND(INDEX(Cluster,MATCH(IF(LEFT(BV165,4)="Pool",INDEX(Cluster,MATCH(INDEX(Calculation_Tab,MATCH(INDEX($BE$4:$BJ$99,MATCH(BV165,$BE$4:$BE$99,0),3),Flow_Cell_Lane,0),3),Cluster!$F$29:$F$412,0),6),BV165),Identifier_Cluster,0),20)*IF(LEFT(BV165,4)="pool",IF(LEN(INDEX($BE$4:$BJ$99,MATCH(BV165,$BE$4:$BE$99,0),3))=10,2,IF(LEN(INDEX($BE$4:$BJ$99,MATCH(BV165,$BE$4:$BE$99,0),3))&gt;10,LEN(INDEX($BE$4:$BJ$99,MATCH(BV165,$BE$4:$BE$99,0),3))-8,1)),1)*IF(LEFT(BV165,4)="pool",IF(INDEX($BE$4:$BJ$99,MATCH(BV165,$BE$4:$BE$99,0),6)&lt;1,1,INDEX($BE$4:$BJ$99,MATCH(BV165,$BE$4:$BE$99,0),6)),INDEX(Calculation_Tab,MATCH(BV165,Identifier,0),10)),1)*(1+Calculation!$Q$6),"-")</f>
        <v>-</v>
      </c>
      <c r="CD165" s="509" t="str">
        <f ca="1">IFERROR(INDEX(Cluster!AC:AD,MATCH(IF(LEFT(BV165,4)="Pool",INDEX(Cluster!$D$29:$AA$412,MATCH(INDEX(Calculation_Tab,MATCH(INDEX($BE$4:$BJ$99,MATCH(BV165,$BE$4:$BE$99,0),3),Flow_Cell_Lane,0),3),Cluster!$F$29:$F$412,0),24),INDEX(Cluster!$D$29:$AA$412,MATCH(BV165,Cluster!$F$29:$F$412,0),24)),Cluster!AC:AC,0),2),"-")</f>
        <v>-</v>
      </c>
      <c r="CE165" s="378" t="str">
        <f ca="1">IFERROR(IF(BV165&lt;&gt;"-",Calculation!$AK$6,"-"),"-")</f>
        <v>-</v>
      </c>
      <c r="CF165" s="378" t="str">
        <f ca="1">IF(OR(LEFT(ListAndConversion!BW165,3)="Dil",LEFT(ListAndConversion!BW165,3)="Poo"),ListAndConversion!$BT$4,IF(LEFT(ListAndConversion!BW165,3)="Sou",INDEX(ListAndConversion!$AT$3:$AV$387,MATCH(ListAndConversion!BV165,ListAndConversion!$AV$3:$AV$387,0),1),"-"))</f>
        <v>-</v>
      </c>
      <c r="CG165" s="498" t="str">
        <f ca="1">IF(OR(LEFT(ListAndConversion!BW165,3)="Dil",LEFT(ListAndConversion!BW165,3)="Poo"),ListAndConversion!BU165,IF(LEFT(ListAndConversion!BW165,3)="Sou",INDEX(ListAndConversion!$AT$4:$AV$387,MATCH(ListAndConversion!BV165,ListAndConversion!$AV$4:$AV$387,0),2),"-"))</f>
        <v>-</v>
      </c>
      <c r="CH165" s="378"/>
      <c r="CI165" s="487" t="str">
        <f t="shared" ca="1" si="93"/>
        <v>-</v>
      </c>
      <c r="CJ165" s="378" t="str">
        <f t="shared" ca="1" si="102"/>
        <v>-</v>
      </c>
      <c r="CK165" s="378" t="str">
        <f t="shared" ca="1" si="102"/>
        <v>-</v>
      </c>
      <c r="CL165" s="378" t="str">
        <f t="shared" ca="1" si="102"/>
        <v>-</v>
      </c>
      <c r="CM165" s="378" t="str">
        <f t="shared" ca="1" si="102"/>
        <v>-</v>
      </c>
      <c r="CN165" s="378" t="str">
        <f t="shared" ca="1" si="102"/>
        <v>-</v>
      </c>
      <c r="CO165" s="378" t="str">
        <f t="shared" ca="1" si="102"/>
        <v>-</v>
      </c>
      <c r="CP165" s="378" t="str">
        <f t="shared" ca="1" si="102"/>
        <v>-</v>
      </c>
      <c r="CQ165" s="378" t="str">
        <f t="shared" ca="1" si="102"/>
        <v>-</v>
      </c>
      <c r="CR165" s="510" t="str">
        <f ca="1">IFERROR(IF(LEFT(BW165,3)="Poo",INDEX($BE$4:$BJ$99,MATCH(CI165,$BG$4:$BG$99,0),6)*((15/50))*Calculation!$AK$6,INDEX(Calculation_Tab,MATCH(BV165,Identifier,0),10)/(IF(LEN(INDEX(Calculation_Tab,MATCH(BV165,Identifier,0),9))&gt;8,LEN(INDEX(Calculation_Tab,MATCH(BV165,Identifier,0),9))-8,1))*((15/50)*Calculation!$AK$6)),"-")</f>
        <v>-</v>
      </c>
      <c r="CS165" s="498" t="str">
        <f ca="1">IF(CI165="-","-",IF(COUNTIF($CI$3:CI165,CI165)&gt;1,0,IFERROR((35/50)*Calculation!$AK$6,"-")))</f>
        <v>-</v>
      </c>
    </row>
    <row r="166" spans="4:97" x14ac:dyDescent="0.5">
      <c r="D166" s="487" t="e">
        <f t="shared" si="79"/>
        <v>#DIV/0!</v>
      </c>
      <c r="E166" s="496" t="e">
        <f t="array" ref="E166">IF(IF((ROW(E166)-3)&lt;(ListAndConversion!$A$15),INDEX(Flow_Cell_Lane,MIN(IF(COUNTIF($E$2:E165,Flow_Cell_Lane)=0,ROW(Flow_Cell_Lane)-9))),"-")="","-",IF((ROW(E166)-3)&lt;(ListAndConversion!$A$15),INDEX(Flow_Cell_Lane,MIN(IF(COUNTIF($E$2:E165,Flow_Cell_Lane)=0,ROW(Flow_Cell_Lane)-9))),"-"))</f>
        <v>#DIV/0!</v>
      </c>
      <c r="F166" s="378" t="e">
        <f t="shared" si="80"/>
        <v>#DIV/0!</v>
      </c>
      <c r="G166" s="378" t="e">
        <f t="shared" si="101"/>
        <v>#DIV/0!</v>
      </c>
      <c r="H166" s="378" t="e">
        <f t="shared" si="101"/>
        <v>#DIV/0!</v>
      </c>
      <c r="I166" s="378" t="e">
        <f t="shared" si="101"/>
        <v>#DIV/0!</v>
      </c>
      <c r="J166" s="378" t="e">
        <f t="shared" si="101"/>
        <v>#DIV/0!</v>
      </c>
      <c r="K166" s="378" t="e">
        <f t="shared" si="101"/>
        <v>#DIV/0!</v>
      </c>
      <c r="L166" s="378" t="e">
        <f t="shared" si="101"/>
        <v>#DIV/0!</v>
      </c>
      <c r="M166" s="378" t="e">
        <f t="shared" si="101"/>
        <v>#DIV/0!</v>
      </c>
      <c r="N166" s="497" t="e">
        <f t="shared" si="81"/>
        <v>#DIV/0!</v>
      </c>
      <c r="O166" s="497" t="str">
        <f t="array" ref="O166">IFERROR(INDEX(Calculation!I:AN,MATCH(ListAndConversion!E166,Calculation!I:I,0),31),"-")</f>
        <v>-</v>
      </c>
      <c r="P166" s="498">
        <f>IF(COUNTIFS(Calculation!$I$10:$I$393,E166,Direct_Denaturation,"-")&lt;&gt;1,COUNTIFS(Calculation!$I$10:$I$393,E166,Direct_Denaturation,"-"),0)</f>
        <v>0</v>
      </c>
      <c r="V166" s="542" t="s">
        <v>82</v>
      </c>
      <c r="W166" s="542" t="s">
        <v>82</v>
      </c>
      <c r="X166" s="542" t="s">
        <v>82</v>
      </c>
      <c r="Y166" s="542" t="s">
        <v>82</v>
      </c>
      <c r="Z166" s="542" t="s">
        <v>82</v>
      </c>
      <c r="AA166" s="542" t="s">
        <v>82</v>
      </c>
      <c r="AB166" s="542" t="s">
        <v>82</v>
      </c>
      <c r="AC166" s="542" t="s">
        <v>82</v>
      </c>
      <c r="AD166" s="542" t="s">
        <v>82</v>
      </c>
      <c r="AE166" s="542" t="s">
        <v>82</v>
      </c>
      <c r="AF166" s="542" t="s">
        <v>82</v>
      </c>
      <c r="AG166" s="542" t="s">
        <v>82</v>
      </c>
      <c r="AH166" s="9"/>
      <c r="AI166" s="487">
        <v>163</v>
      </c>
      <c r="AJ166" s="497" t="s">
        <v>161</v>
      </c>
      <c r="AK166" s="378">
        <v>67</v>
      </c>
      <c r="AL166" s="378" t="str">
        <f t="shared" ca="1" si="82"/>
        <v>-</v>
      </c>
      <c r="AM166" s="378" t="str">
        <f t="array" aca="1" ref="AM166" ca="1">IFERROR(IF(AI166&lt;=$AB$2,"-",INDEX(Calculation_Tab,SMALL(ROW(Main_Dil)*(Main_Dil&lt;&gt;"-"),COUNTIF(Main_Dil,"-")+ROW()-3-$AB$2)-9,5)),"-")</f>
        <v>-</v>
      </c>
      <c r="AN166" s="378" t="str">
        <f t="array" aca="1" ref="AN166" ca="1">IFERROR(IF(AI166&lt;=$AB$2,"-",INDEX($A$3:$B$12,MATCH(INDEX(Calculation_Tab,SMALL(ROW(Main_Dil)*(Main_Dil&lt;&gt;"-"),COUNTIF(Main_Dil,"-")+ROW()-3-$AB$2)-9,5),$A$3:$A$12,0),2)),"-")</f>
        <v>-</v>
      </c>
      <c r="AO166" s="378" t="str">
        <f t="array" aca="1" ref="AO166" ca="1">IFERROR(IF(AI166&lt;=$AB$2,"-",INDEX(Coordinate,MATCH(INDEX(Calculation_Tab,SMALL(ROW(Main_Dil)*(Main_Dil&lt;&gt;"-"),COUNTIF(Main_Dil,"-")+ROW()-3-$AB$2)-9,6),$X$4:$X$99,0),2)),"-")</f>
        <v>-</v>
      </c>
      <c r="AP166" s="510" t="str">
        <f t="array" aca="1" ref="AP166" ca="1">IFERROR(IF(AI166&lt;=$AB$2,"-",INDEX(Calculation_Tab,SMALL(ROW(Main_Dil)*(Main_Dil&lt;&gt;"-"),COUNTIF(Main_Dil,"-")+ROW()-3-$AB$2)-9,21)),"-")</f>
        <v>-</v>
      </c>
      <c r="AQ166" s="511" t="str">
        <f t="array" aca="1" ref="AQ166" ca="1">IFERROR(IF(AI166&lt;=$AB$2,"-",INDEX(Calculation_Tab,SMALL(ROW(Main_Dil)*(Main_Dil&lt;&gt;"-"),COUNTIF(Main_Dil,"-")+ROW()-3-$AB$2)-9,22)),"-")</f>
        <v>-</v>
      </c>
      <c r="AR166" s="487" t="str">
        <f t="shared" ca="1" si="83"/>
        <v>-</v>
      </c>
      <c r="AS166" s="378">
        <v>163</v>
      </c>
      <c r="AT166" s="497" t="s">
        <v>161</v>
      </c>
      <c r="AU166" s="498">
        <v>67</v>
      </c>
      <c r="AV166" s="378" t="str">
        <f t="shared" ca="1" si="84"/>
        <v>-</v>
      </c>
      <c r="AW166" s="378" t="str">
        <f t="array" aca="1" ref="AW166" ca="1">IFERROR(IF(AS166&lt;=$AB$2+$AN$2,"-",INDEX(Calculation_Tab,SMALL(ROW(Direct_Denaturation)*(Direct_Denaturation&lt;&gt;"-"),COUNTIF(Direct_Denaturation,"-")+ROW()-3-$AB$2-$AN$2)-9,5)),"-")</f>
        <v>-</v>
      </c>
      <c r="AX166" s="378" t="str">
        <f t="array" aca="1" ref="AX166" ca="1">IFERROR(IF(AS166&lt;=$AB$2+$AN$2,"-",INDEX($A$3:$B$12,MATCH(INDEX(Calculation_Tab,SMALL(ROW(Direct_Denaturation)*(Direct_Denaturation&lt;&gt;"-"),COUNTIF(Direct_Denaturation,"-")+ROW()-3-$AB$2-$AN$2)-9,5),$A$3:$A$12,0),2)),"-")</f>
        <v>-</v>
      </c>
      <c r="AY166" s="378" t="str">
        <f t="array" aca="1" ref="AY166" ca="1">IFERROR(IF(AS166&lt;=$AB$2+$AN$2,"-",INDEX(Coordinate,MATCH(INDEX(Calculation_Tab,SMALL(ROW(Direct_Denaturation)*(Direct_Denaturation&lt;&gt;"-"),COUNTIF(Direct_Denaturation,"-")+ROW()-3-$AB$2-$AN$2)-9,6),$X$4:$X$99,0),2)),"-")</f>
        <v>-</v>
      </c>
      <c r="AZ166" s="510" t="str">
        <f t="array" aca="1" ref="AZ166" ca="1">IFERROR(IF(AS166&lt;=$AB$2+$AN$2,"-",INDEX(Calculation_Tab,SMALL(ROW(Direct_Denaturation)*(Direct_Denaturation&lt;&gt;"-"),COUNTIF(Direct_Denaturation,"-")+ROW()-3-$AB$2-$AN$2)-9,32)),"-")</f>
        <v>-</v>
      </c>
      <c r="BA166" s="510" t="str">
        <f t="array" aca="1" ref="BA166" ca="1">IFERROR(IF(AS166&lt;=$AB$2+$AN$2,"-",INDEX(Calculation_Tab,SMALL(ROW(Direct_Denaturation)*(Direct_Denaturation&lt;&gt;"-"),COUNTIF(Direct_Denaturation,"-")+ROW()-3-$AB$2-$AN$2)-9,34)),"-")</f>
        <v>-</v>
      </c>
      <c r="BB166" s="510" t="str">
        <f t="array" aca="1" ref="BB166" ca="1">IFERROR(IF(AS166&lt;=$AB$2+$AN$2,"-",INDEX(Calculation_Tab,SMALL(ROW(Direct_Denaturation)*(Direct_Denaturation&lt;&gt;"-"),COUNTIF(Direct_Denaturation,"-")+ROW()-3-$AB$2-$AN$2)-9,33)),"-")</f>
        <v>-</v>
      </c>
      <c r="BC166" s="510" t="str">
        <f t="array" aca="1" ref="BC166" ca="1">IFERROR(IF(AS166&lt;=$AB$2+$AN$2,"-",INDEX(Calculation_Tab,SMALL(ROW(Direct_Denaturation)*(Direct_Denaturation&lt;&gt;"-"),COUNTIF(Direct_Denaturation,"-")+ROW()-3-$AB$2-$AN$2)-9,35)),"-")</f>
        <v>-</v>
      </c>
      <c r="BD166" s="511" t="str">
        <f t="shared" ca="1" si="85"/>
        <v>-</v>
      </c>
      <c r="BK166" s="542" t="s">
        <v>82</v>
      </c>
      <c r="BL166" s="542" t="s">
        <v>82</v>
      </c>
      <c r="BM166" s="487" t="str">
        <f t="array" aca="1" ref="BM166" ca="1">IFERROR(INDEX(Calculation_Tab,SMALL(ROW(ToPool)*(ToPool&lt;&gt;"-"),COUNTIF(ToPool,"-")+ROW()-3)-9,3),"-")</f>
        <v>-</v>
      </c>
      <c r="BN166" s="378" t="str">
        <f t="shared" ca="1" si="86"/>
        <v>-</v>
      </c>
      <c r="BO166" s="378" t="str">
        <f t="shared" ca="1" si="87"/>
        <v>-</v>
      </c>
      <c r="BP166" s="523" t="str">
        <f t="shared" ca="1" si="88"/>
        <v>-</v>
      </c>
      <c r="BQ166" s="378" t="str">
        <f t="array" aca="1" ref="BQ166" ca="1">IFERROR(INDEX(BE:BG,MATCH(INDEX(Calculation_Tab,SMALL(ROW(ToPool)*(ToPool&lt;&gt;"-"),COUNTIF(ToPool,"-")+ROW()-3)-9,9),BG:BG,0),2),"-")</f>
        <v>-</v>
      </c>
      <c r="BR166" s="510" t="str">
        <f t="shared" ca="1" si="89"/>
        <v>-</v>
      </c>
      <c r="BS166" s="511" t="str">
        <f t="shared" ca="1" si="90"/>
        <v>-</v>
      </c>
      <c r="BT166" s="543" t="s">
        <v>82</v>
      </c>
      <c r="BU166" s="487" t="str">
        <f t="shared" ca="1" si="95"/>
        <v>-</v>
      </c>
      <c r="BV166" s="487" t="str">
        <f t="array" aca="1" ref="BV16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66" s="378" t="str">
        <f t="shared" ca="1" si="91"/>
        <v>-</v>
      </c>
      <c r="BX166" s="378" t="str">
        <f t="shared" ca="1" si="92"/>
        <v>-</v>
      </c>
      <c r="BY166" s="510" t="str">
        <f ca="1">IFERROR(ROUND(INDEX(Cluster,MATCH(IF(LEFT(BV166,4)="Pool",INDEX(Cluster,MATCH(INDEX(Calculation_Tab,MATCH(INDEX($BE$4:$BJ$99,MATCH(BV166,$BE$4:$BE$99,0),3),Flow_Cell_Lane,0),3),Cluster!$F$29:$F$412,0),6),BV166),Identifier_Cluster,0),19)*IF(LEFT(BV166,4)="pool",IF(LEN(INDEX($BE$4:$BJ$99,MATCH(BV166,$BE$4:$BE$99,0),3))=10,2,IF(LEN(INDEX($BE$4:$BJ$99,MATCH(BV166,$BE$4:$BE$99,0),3))&gt;10,LEN(INDEX($BE$4:$BJ$99,MATCH(BV166,$BE$4:$BE$99,0),3))-8,1)),1)*IF(LEFT(BV166,4)="pool",IF(INDEX($BE$4:$BJ$99,MATCH(BV166,$BE$4:$BE$99,0),6)&lt;1,1,INDEX($BE$4:$BJ$99,MATCH(BV166,$BE$4:$BE$99,0),6)),INDEX(Calculation_Tab,MATCH(BV166,Identifier,0),10)),1)*(1+Calculation!$Q$6),"-")</f>
        <v>-</v>
      </c>
      <c r="BZ166" s="378" t="str">
        <f ca="1">IFERROR((0.5/50)*CE166/Calculation!$AG$6*(IF(LEFT(BV166,4)="Pool",IF(LEN(INDEX($BE$4:$BJ$99,MATCH(BV166,$BE$4:$BE$99,0),3))=10,2,IF(LEN(INDEX($BE$4:$BJ$99,MATCH(BV166,$BE$4:$BE$99,0),3))&gt;10,LEN(INDEX($BE$4:$BJ$99,MATCH(BV166,$BE$4:$BE$99,0),3))-8,1)),IF(INDEX(Calculation_Tab,MATCH(BV166,Identifier,0),10)&gt;1,INDEX(Calculation_Tab,MATCH(BV166,Identifier,0),10),1)))*(1+Calculation!$Q$6),"-")</f>
        <v>-</v>
      </c>
      <c r="CA166" s="510" t="str">
        <f ca="1">IFERROR(IF((BZ166*Calculation!$AG$6/0.05)-SUM(BY166:BZ166,CC166)&gt;0,(BZ166*Calculation!$AG$6/0.05)-SUM(BY166:BZ166,CC166),0),"-")</f>
        <v>-</v>
      </c>
      <c r="CB166" s="510" t="str">
        <f ca="1">IFERROR(5/50*CE166*(IF(LEFT(BV166,4)="Pool",IF(LEN(INDEX($BE$4:$BJ$99,MATCH(BV166,$BE$4:$BE$99,0),3))=10,2,IF(LEN(INDEX($BE$4:$BJ$99,MATCH(BV166,$BE$4:$BE$99,0),3))&gt;10,LEN(INDEX($BE$4:$BJ$99,MATCH(BV166,$BE$4:$BE$99,0),3))-8,1)),IF(INDEX(Calculation_Tab,MATCH(BV166,Identifier,0),10)&gt;1,INDEX(Calculation_Tab,MATCH(BV166,Identifier,0),10),1)))*(1+Calculation!$Q$6),"-")</f>
        <v>-</v>
      </c>
      <c r="CC166" s="508" t="str">
        <f ca="1">IFERROR(ROUND(INDEX(Cluster,MATCH(IF(LEFT(BV166,4)="Pool",INDEX(Cluster,MATCH(INDEX(Calculation_Tab,MATCH(INDEX($BE$4:$BJ$99,MATCH(BV166,$BE$4:$BE$99,0),3),Flow_Cell_Lane,0),3),Cluster!$F$29:$F$412,0),6),BV166),Identifier_Cluster,0),20)*IF(LEFT(BV166,4)="pool",IF(LEN(INDEX($BE$4:$BJ$99,MATCH(BV166,$BE$4:$BE$99,0),3))=10,2,IF(LEN(INDEX($BE$4:$BJ$99,MATCH(BV166,$BE$4:$BE$99,0),3))&gt;10,LEN(INDEX($BE$4:$BJ$99,MATCH(BV166,$BE$4:$BE$99,0),3))-8,1)),1)*IF(LEFT(BV166,4)="pool",IF(INDEX($BE$4:$BJ$99,MATCH(BV166,$BE$4:$BE$99,0),6)&lt;1,1,INDEX($BE$4:$BJ$99,MATCH(BV166,$BE$4:$BE$99,0),6)),INDEX(Calculation_Tab,MATCH(BV166,Identifier,0),10)),1)*(1+Calculation!$Q$6),"-")</f>
        <v>-</v>
      </c>
      <c r="CD166" s="509" t="str">
        <f ca="1">IFERROR(INDEX(Cluster!AC:AD,MATCH(IF(LEFT(BV166,4)="Pool",INDEX(Cluster!$D$29:$AA$412,MATCH(INDEX(Calculation_Tab,MATCH(INDEX($BE$4:$BJ$99,MATCH(BV166,$BE$4:$BE$99,0),3),Flow_Cell_Lane,0),3),Cluster!$F$29:$F$412,0),24),INDEX(Cluster!$D$29:$AA$412,MATCH(BV166,Cluster!$F$29:$F$412,0),24)),Cluster!AC:AC,0),2),"-")</f>
        <v>-</v>
      </c>
      <c r="CE166" s="378" t="str">
        <f ca="1">IFERROR(IF(BV166&lt;&gt;"-",Calculation!$AK$6,"-"),"-")</f>
        <v>-</v>
      </c>
      <c r="CF166" s="378" t="str">
        <f ca="1">IF(OR(LEFT(ListAndConversion!BW166,3)="Dil",LEFT(ListAndConversion!BW166,3)="Poo"),ListAndConversion!$BT$4,IF(LEFT(ListAndConversion!BW166,3)="Sou",INDEX(ListAndConversion!$AT$3:$AV$387,MATCH(ListAndConversion!BV166,ListAndConversion!$AV$3:$AV$387,0),1),"-"))</f>
        <v>-</v>
      </c>
      <c r="CG166" s="498" t="str">
        <f ca="1">IF(OR(LEFT(ListAndConversion!BW166,3)="Dil",LEFT(ListAndConversion!BW166,3)="Poo"),ListAndConversion!BU166,IF(LEFT(ListAndConversion!BW166,3)="Sou",INDEX(ListAndConversion!$AT$4:$AV$387,MATCH(ListAndConversion!BV166,ListAndConversion!$AV$4:$AV$387,0),2),"-"))</f>
        <v>-</v>
      </c>
      <c r="CH166" s="378"/>
      <c r="CI166" s="487" t="str">
        <f t="shared" ca="1" si="93"/>
        <v>-</v>
      </c>
      <c r="CJ166" s="378" t="str">
        <f t="shared" ca="1" si="102"/>
        <v>-</v>
      </c>
      <c r="CK166" s="378" t="str">
        <f t="shared" ca="1" si="102"/>
        <v>-</v>
      </c>
      <c r="CL166" s="378" t="str">
        <f t="shared" ca="1" si="102"/>
        <v>-</v>
      </c>
      <c r="CM166" s="378" t="str">
        <f t="shared" ca="1" si="102"/>
        <v>-</v>
      </c>
      <c r="CN166" s="378" t="str">
        <f t="shared" ca="1" si="102"/>
        <v>-</v>
      </c>
      <c r="CO166" s="378" t="str">
        <f t="shared" ca="1" si="102"/>
        <v>-</v>
      </c>
      <c r="CP166" s="378" t="str">
        <f t="shared" ca="1" si="102"/>
        <v>-</v>
      </c>
      <c r="CQ166" s="378" t="str">
        <f t="shared" ca="1" si="102"/>
        <v>-</v>
      </c>
      <c r="CR166" s="510" t="str">
        <f ca="1">IFERROR(IF(LEFT(BW166,3)="Poo",INDEX($BE$4:$BJ$99,MATCH(CI166,$BG$4:$BG$99,0),6)*((15/50))*Calculation!$AK$6,INDEX(Calculation_Tab,MATCH(BV166,Identifier,0),10)/(IF(LEN(INDEX(Calculation_Tab,MATCH(BV166,Identifier,0),9))&gt;8,LEN(INDEX(Calculation_Tab,MATCH(BV166,Identifier,0),9))-8,1))*((15/50)*Calculation!$AK$6)),"-")</f>
        <v>-</v>
      </c>
      <c r="CS166" s="498" t="str">
        <f ca="1">IF(CI166="-","-",IF(COUNTIF($CI$3:CI166,CI166)&gt;1,0,IFERROR((35/50)*Calculation!$AK$6,"-")))</f>
        <v>-</v>
      </c>
    </row>
    <row r="167" spans="4:97" x14ac:dyDescent="0.5">
      <c r="D167" s="487" t="e">
        <f t="shared" si="79"/>
        <v>#DIV/0!</v>
      </c>
      <c r="E167" s="496" t="e">
        <f t="array" ref="E167">IF(IF((ROW(E167)-3)&lt;(ListAndConversion!$A$15),INDEX(Flow_Cell_Lane,MIN(IF(COUNTIF($E$2:E166,Flow_Cell_Lane)=0,ROW(Flow_Cell_Lane)-9))),"-")="","-",IF((ROW(E167)-3)&lt;(ListAndConversion!$A$15),INDEX(Flow_Cell_Lane,MIN(IF(COUNTIF($E$2:E166,Flow_Cell_Lane)=0,ROW(Flow_Cell_Lane)-9))),"-"))</f>
        <v>#DIV/0!</v>
      </c>
      <c r="F167" s="378" t="e">
        <f t="shared" si="80"/>
        <v>#DIV/0!</v>
      </c>
      <c r="G167" s="378" t="e">
        <f t="shared" si="101"/>
        <v>#DIV/0!</v>
      </c>
      <c r="H167" s="378" t="e">
        <f t="shared" si="101"/>
        <v>#DIV/0!</v>
      </c>
      <c r="I167" s="378" t="e">
        <f t="shared" si="101"/>
        <v>#DIV/0!</v>
      </c>
      <c r="J167" s="378" t="e">
        <f t="shared" si="101"/>
        <v>#DIV/0!</v>
      </c>
      <c r="K167" s="378" t="e">
        <f t="shared" si="101"/>
        <v>#DIV/0!</v>
      </c>
      <c r="L167" s="378" t="e">
        <f t="shared" si="101"/>
        <v>#DIV/0!</v>
      </c>
      <c r="M167" s="378" t="e">
        <f t="shared" si="101"/>
        <v>#DIV/0!</v>
      </c>
      <c r="N167" s="497" t="e">
        <f t="shared" si="81"/>
        <v>#DIV/0!</v>
      </c>
      <c r="O167" s="497" t="str">
        <f t="array" ref="O167">IFERROR(INDEX(Calculation!I:AN,MATCH(ListAndConversion!E167,Calculation!I:I,0),31),"-")</f>
        <v>-</v>
      </c>
      <c r="P167" s="498">
        <f>IF(COUNTIFS(Calculation!$I$10:$I$393,E167,Direct_Denaturation,"-")&lt;&gt;1,COUNTIFS(Calculation!$I$10:$I$393,E167,Direct_Denaturation,"-"),0)</f>
        <v>0</v>
      </c>
      <c r="V167" s="542" t="s">
        <v>82</v>
      </c>
      <c r="W167" s="542" t="s">
        <v>82</v>
      </c>
      <c r="X167" s="542" t="s">
        <v>82</v>
      </c>
      <c r="Y167" s="542" t="s">
        <v>82</v>
      </c>
      <c r="Z167" s="542" t="s">
        <v>82</v>
      </c>
      <c r="AA167" s="542" t="s">
        <v>82</v>
      </c>
      <c r="AB167" s="542" t="s">
        <v>82</v>
      </c>
      <c r="AC167" s="542" t="s">
        <v>82</v>
      </c>
      <c r="AD167" s="542" t="s">
        <v>82</v>
      </c>
      <c r="AE167" s="542" t="s">
        <v>82</v>
      </c>
      <c r="AF167" s="542" t="s">
        <v>82</v>
      </c>
      <c r="AG167" s="542" t="s">
        <v>82</v>
      </c>
      <c r="AH167" s="9"/>
      <c r="AI167" s="487">
        <v>164</v>
      </c>
      <c r="AJ167" s="497" t="s">
        <v>161</v>
      </c>
      <c r="AK167" s="378">
        <v>68</v>
      </c>
      <c r="AL167" s="378" t="str">
        <f t="shared" ca="1" si="82"/>
        <v>-</v>
      </c>
      <c r="AM167" s="378" t="str">
        <f t="array" aca="1" ref="AM167" ca="1">IFERROR(IF(AI167&lt;=$AB$2,"-",INDEX(Calculation_Tab,SMALL(ROW(Main_Dil)*(Main_Dil&lt;&gt;"-"),COUNTIF(Main_Dil,"-")+ROW()-3-$AB$2)-9,5)),"-")</f>
        <v>-</v>
      </c>
      <c r="AN167" s="378" t="str">
        <f t="array" aca="1" ref="AN167" ca="1">IFERROR(IF(AI167&lt;=$AB$2,"-",INDEX($A$3:$B$12,MATCH(INDEX(Calculation_Tab,SMALL(ROW(Main_Dil)*(Main_Dil&lt;&gt;"-"),COUNTIF(Main_Dil,"-")+ROW()-3-$AB$2)-9,5),$A$3:$A$12,0),2)),"-")</f>
        <v>-</v>
      </c>
      <c r="AO167" s="378" t="str">
        <f t="array" aca="1" ref="AO167" ca="1">IFERROR(IF(AI167&lt;=$AB$2,"-",INDEX(Coordinate,MATCH(INDEX(Calculation_Tab,SMALL(ROW(Main_Dil)*(Main_Dil&lt;&gt;"-"),COUNTIF(Main_Dil,"-")+ROW()-3-$AB$2)-9,6),$X$4:$X$99,0),2)),"-")</f>
        <v>-</v>
      </c>
      <c r="AP167" s="510" t="str">
        <f t="array" aca="1" ref="AP167" ca="1">IFERROR(IF(AI167&lt;=$AB$2,"-",INDEX(Calculation_Tab,SMALL(ROW(Main_Dil)*(Main_Dil&lt;&gt;"-"),COUNTIF(Main_Dil,"-")+ROW()-3-$AB$2)-9,21)),"-")</f>
        <v>-</v>
      </c>
      <c r="AQ167" s="511" t="str">
        <f t="array" aca="1" ref="AQ167" ca="1">IFERROR(IF(AI167&lt;=$AB$2,"-",INDEX(Calculation_Tab,SMALL(ROW(Main_Dil)*(Main_Dil&lt;&gt;"-"),COUNTIF(Main_Dil,"-")+ROW()-3-$AB$2)-9,22)),"-")</f>
        <v>-</v>
      </c>
      <c r="AR167" s="487" t="str">
        <f t="shared" ca="1" si="83"/>
        <v>-</v>
      </c>
      <c r="AS167" s="378">
        <v>164</v>
      </c>
      <c r="AT167" s="497" t="s">
        <v>161</v>
      </c>
      <c r="AU167" s="498">
        <v>68</v>
      </c>
      <c r="AV167" s="378" t="str">
        <f t="shared" ca="1" si="84"/>
        <v>-</v>
      </c>
      <c r="AW167" s="378" t="str">
        <f t="array" aca="1" ref="AW167" ca="1">IFERROR(IF(AS167&lt;=$AB$2+$AN$2,"-",INDEX(Calculation_Tab,SMALL(ROW(Direct_Denaturation)*(Direct_Denaturation&lt;&gt;"-"),COUNTIF(Direct_Denaturation,"-")+ROW()-3-$AB$2-$AN$2)-9,5)),"-")</f>
        <v>-</v>
      </c>
      <c r="AX167" s="378" t="str">
        <f t="array" aca="1" ref="AX167" ca="1">IFERROR(IF(AS167&lt;=$AB$2+$AN$2,"-",INDEX($A$3:$B$12,MATCH(INDEX(Calculation_Tab,SMALL(ROW(Direct_Denaturation)*(Direct_Denaturation&lt;&gt;"-"),COUNTIF(Direct_Denaturation,"-")+ROW()-3-$AB$2-$AN$2)-9,5),$A$3:$A$12,0),2)),"-")</f>
        <v>-</v>
      </c>
      <c r="AY167" s="378" t="str">
        <f t="array" aca="1" ref="AY167" ca="1">IFERROR(IF(AS167&lt;=$AB$2+$AN$2,"-",INDEX(Coordinate,MATCH(INDEX(Calculation_Tab,SMALL(ROW(Direct_Denaturation)*(Direct_Denaturation&lt;&gt;"-"),COUNTIF(Direct_Denaturation,"-")+ROW()-3-$AB$2-$AN$2)-9,6),$X$4:$X$99,0),2)),"-")</f>
        <v>-</v>
      </c>
      <c r="AZ167" s="510" t="str">
        <f t="array" aca="1" ref="AZ167" ca="1">IFERROR(IF(AS167&lt;=$AB$2+$AN$2,"-",INDEX(Calculation_Tab,SMALL(ROW(Direct_Denaturation)*(Direct_Denaturation&lt;&gt;"-"),COUNTIF(Direct_Denaturation,"-")+ROW()-3-$AB$2-$AN$2)-9,32)),"-")</f>
        <v>-</v>
      </c>
      <c r="BA167" s="510" t="str">
        <f t="array" aca="1" ref="BA167" ca="1">IFERROR(IF(AS167&lt;=$AB$2+$AN$2,"-",INDEX(Calculation_Tab,SMALL(ROW(Direct_Denaturation)*(Direct_Denaturation&lt;&gt;"-"),COUNTIF(Direct_Denaturation,"-")+ROW()-3-$AB$2-$AN$2)-9,34)),"-")</f>
        <v>-</v>
      </c>
      <c r="BB167" s="510" t="str">
        <f t="array" aca="1" ref="BB167" ca="1">IFERROR(IF(AS167&lt;=$AB$2+$AN$2,"-",INDEX(Calculation_Tab,SMALL(ROW(Direct_Denaturation)*(Direct_Denaturation&lt;&gt;"-"),COUNTIF(Direct_Denaturation,"-")+ROW()-3-$AB$2-$AN$2)-9,33)),"-")</f>
        <v>-</v>
      </c>
      <c r="BC167" s="510" t="str">
        <f t="array" aca="1" ref="BC167" ca="1">IFERROR(IF(AS167&lt;=$AB$2+$AN$2,"-",INDEX(Calculation_Tab,SMALL(ROW(Direct_Denaturation)*(Direct_Denaturation&lt;&gt;"-"),COUNTIF(Direct_Denaturation,"-")+ROW()-3-$AB$2-$AN$2)-9,35)),"-")</f>
        <v>-</v>
      </c>
      <c r="BD167" s="511" t="str">
        <f t="shared" ca="1" si="85"/>
        <v>-</v>
      </c>
      <c r="BK167" s="542" t="s">
        <v>82</v>
      </c>
      <c r="BL167" s="542" t="s">
        <v>82</v>
      </c>
      <c r="BM167" s="487" t="str">
        <f t="array" aca="1" ref="BM167" ca="1">IFERROR(INDEX(Calculation_Tab,SMALL(ROW(ToPool)*(ToPool&lt;&gt;"-"),COUNTIF(ToPool,"-")+ROW()-3)-9,3),"-")</f>
        <v>-</v>
      </c>
      <c r="BN167" s="378" t="str">
        <f t="shared" ca="1" si="86"/>
        <v>-</v>
      </c>
      <c r="BO167" s="378" t="str">
        <f t="shared" ca="1" si="87"/>
        <v>-</v>
      </c>
      <c r="BP167" s="523" t="str">
        <f t="shared" ca="1" si="88"/>
        <v>-</v>
      </c>
      <c r="BQ167" s="378" t="str">
        <f t="array" aca="1" ref="BQ167" ca="1">IFERROR(INDEX(BE:BG,MATCH(INDEX(Calculation_Tab,SMALL(ROW(ToPool)*(ToPool&lt;&gt;"-"),COUNTIF(ToPool,"-")+ROW()-3)-9,9),BG:BG,0),2),"-")</f>
        <v>-</v>
      </c>
      <c r="BR167" s="510" t="str">
        <f t="shared" ca="1" si="89"/>
        <v>-</v>
      </c>
      <c r="BS167" s="511" t="str">
        <f t="shared" ca="1" si="90"/>
        <v>-</v>
      </c>
      <c r="BT167" s="543" t="s">
        <v>82</v>
      </c>
      <c r="BU167" s="487" t="str">
        <f t="shared" ca="1" si="95"/>
        <v>-</v>
      </c>
      <c r="BV167" s="487" t="str">
        <f t="array" aca="1" ref="BV16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67" s="378" t="str">
        <f t="shared" ca="1" si="91"/>
        <v>-</v>
      </c>
      <c r="BX167" s="378" t="str">
        <f t="shared" ca="1" si="92"/>
        <v>-</v>
      </c>
      <c r="BY167" s="510" t="str">
        <f ca="1">IFERROR(ROUND(INDEX(Cluster,MATCH(IF(LEFT(BV167,4)="Pool",INDEX(Cluster,MATCH(INDEX(Calculation_Tab,MATCH(INDEX($BE$4:$BJ$99,MATCH(BV167,$BE$4:$BE$99,0),3),Flow_Cell_Lane,0),3),Cluster!$F$29:$F$412,0),6),BV167),Identifier_Cluster,0),19)*IF(LEFT(BV167,4)="pool",IF(LEN(INDEX($BE$4:$BJ$99,MATCH(BV167,$BE$4:$BE$99,0),3))=10,2,IF(LEN(INDEX($BE$4:$BJ$99,MATCH(BV167,$BE$4:$BE$99,0),3))&gt;10,LEN(INDEX($BE$4:$BJ$99,MATCH(BV167,$BE$4:$BE$99,0),3))-8,1)),1)*IF(LEFT(BV167,4)="pool",IF(INDEX($BE$4:$BJ$99,MATCH(BV167,$BE$4:$BE$99,0),6)&lt;1,1,INDEX($BE$4:$BJ$99,MATCH(BV167,$BE$4:$BE$99,0),6)),INDEX(Calculation_Tab,MATCH(BV167,Identifier,0),10)),1)*(1+Calculation!$Q$6),"-")</f>
        <v>-</v>
      </c>
      <c r="BZ167" s="378" t="str">
        <f ca="1">IFERROR((0.5/50)*CE167/Calculation!$AG$6*(IF(LEFT(BV167,4)="Pool",IF(LEN(INDEX($BE$4:$BJ$99,MATCH(BV167,$BE$4:$BE$99,0),3))=10,2,IF(LEN(INDEX($BE$4:$BJ$99,MATCH(BV167,$BE$4:$BE$99,0),3))&gt;10,LEN(INDEX($BE$4:$BJ$99,MATCH(BV167,$BE$4:$BE$99,0),3))-8,1)),IF(INDEX(Calculation_Tab,MATCH(BV167,Identifier,0),10)&gt;1,INDEX(Calculation_Tab,MATCH(BV167,Identifier,0),10),1)))*(1+Calculation!$Q$6),"-")</f>
        <v>-</v>
      </c>
      <c r="CA167" s="510" t="str">
        <f ca="1">IFERROR(IF((BZ167*Calculation!$AG$6/0.05)-SUM(BY167:BZ167,CC167)&gt;0,(BZ167*Calculation!$AG$6/0.05)-SUM(BY167:BZ167,CC167),0),"-")</f>
        <v>-</v>
      </c>
      <c r="CB167" s="510" t="str">
        <f ca="1">IFERROR(5/50*CE167*(IF(LEFT(BV167,4)="Pool",IF(LEN(INDEX($BE$4:$BJ$99,MATCH(BV167,$BE$4:$BE$99,0),3))=10,2,IF(LEN(INDEX($BE$4:$BJ$99,MATCH(BV167,$BE$4:$BE$99,0),3))&gt;10,LEN(INDEX($BE$4:$BJ$99,MATCH(BV167,$BE$4:$BE$99,0),3))-8,1)),IF(INDEX(Calculation_Tab,MATCH(BV167,Identifier,0),10)&gt;1,INDEX(Calculation_Tab,MATCH(BV167,Identifier,0),10),1)))*(1+Calculation!$Q$6),"-")</f>
        <v>-</v>
      </c>
      <c r="CC167" s="508" t="str">
        <f ca="1">IFERROR(ROUND(INDEX(Cluster,MATCH(IF(LEFT(BV167,4)="Pool",INDEX(Cluster,MATCH(INDEX(Calculation_Tab,MATCH(INDEX($BE$4:$BJ$99,MATCH(BV167,$BE$4:$BE$99,0),3),Flow_Cell_Lane,0),3),Cluster!$F$29:$F$412,0),6),BV167),Identifier_Cluster,0),20)*IF(LEFT(BV167,4)="pool",IF(LEN(INDEX($BE$4:$BJ$99,MATCH(BV167,$BE$4:$BE$99,0),3))=10,2,IF(LEN(INDEX($BE$4:$BJ$99,MATCH(BV167,$BE$4:$BE$99,0),3))&gt;10,LEN(INDEX($BE$4:$BJ$99,MATCH(BV167,$BE$4:$BE$99,0),3))-8,1)),1)*IF(LEFT(BV167,4)="pool",IF(INDEX($BE$4:$BJ$99,MATCH(BV167,$BE$4:$BE$99,0),6)&lt;1,1,INDEX($BE$4:$BJ$99,MATCH(BV167,$BE$4:$BE$99,0),6)),INDEX(Calculation_Tab,MATCH(BV167,Identifier,0),10)),1)*(1+Calculation!$Q$6),"-")</f>
        <v>-</v>
      </c>
      <c r="CD167" s="509" t="str">
        <f ca="1">IFERROR(INDEX(Cluster!AC:AD,MATCH(IF(LEFT(BV167,4)="Pool",INDEX(Cluster!$D$29:$AA$412,MATCH(INDEX(Calculation_Tab,MATCH(INDEX($BE$4:$BJ$99,MATCH(BV167,$BE$4:$BE$99,0),3),Flow_Cell_Lane,0),3),Cluster!$F$29:$F$412,0),24),INDEX(Cluster!$D$29:$AA$412,MATCH(BV167,Cluster!$F$29:$F$412,0),24)),Cluster!AC:AC,0),2),"-")</f>
        <v>-</v>
      </c>
      <c r="CE167" s="378" t="str">
        <f ca="1">IFERROR(IF(BV167&lt;&gt;"-",Calculation!$AK$6,"-"),"-")</f>
        <v>-</v>
      </c>
      <c r="CF167" s="378" t="str">
        <f ca="1">IF(OR(LEFT(ListAndConversion!BW167,3)="Dil",LEFT(ListAndConversion!BW167,3)="Poo"),ListAndConversion!$BT$4,IF(LEFT(ListAndConversion!BW167,3)="Sou",INDEX(ListAndConversion!$AT$3:$AV$387,MATCH(ListAndConversion!BV167,ListAndConversion!$AV$3:$AV$387,0),1),"-"))</f>
        <v>-</v>
      </c>
      <c r="CG167" s="498" t="str">
        <f ca="1">IF(OR(LEFT(ListAndConversion!BW167,3)="Dil",LEFT(ListAndConversion!BW167,3)="Poo"),ListAndConversion!BU167,IF(LEFT(ListAndConversion!BW167,3)="Sou",INDEX(ListAndConversion!$AT$4:$AV$387,MATCH(ListAndConversion!BV167,ListAndConversion!$AV$4:$AV$387,0),2),"-"))</f>
        <v>-</v>
      </c>
      <c r="CH167" s="378"/>
      <c r="CI167" s="487" t="str">
        <f t="shared" ca="1" si="93"/>
        <v>-</v>
      </c>
      <c r="CJ167" s="378" t="str">
        <f t="shared" ca="1" si="102"/>
        <v>-</v>
      </c>
      <c r="CK167" s="378" t="str">
        <f t="shared" ca="1" si="102"/>
        <v>-</v>
      </c>
      <c r="CL167" s="378" t="str">
        <f t="shared" ca="1" si="102"/>
        <v>-</v>
      </c>
      <c r="CM167" s="378" t="str">
        <f t="shared" ca="1" si="102"/>
        <v>-</v>
      </c>
      <c r="CN167" s="378" t="str">
        <f t="shared" ca="1" si="102"/>
        <v>-</v>
      </c>
      <c r="CO167" s="378" t="str">
        <f t="shared" ca="1" si="102"/>
        <v>-</v>
      </c>
      <c r="CP167" s="378" t="str">
        <f t="shared" ca="1" si="102"/>
        <v>-</v>
      </c>
      <c r="CQ167" s="378" t="str">
        <f t="shared" ca="1" si="102"/>
        <v>-</v>
      </c>
      <c r="CR167" s="510" t="str">
        <f ca="1">IFERROR(IF(LEFT(BW167,3)="Poo",INDEX($BE$4:$BJ$99,MATCH(CI167,$BG$4:$BG$99,0),6)*((15/50))*Calculation!$AK$6,INDEX(Calculation_Tab,MATCH(BV167,Identifier,0),10)/(IF(LEN(INDEX(Calculation_Tab,MATCH(BV167,Identifier,0),9))&gt;8,LEN(INDEX(Calculation_Tab,MATCH(BV167,Identifier,0),9))-8,1))*((15/50)*Calculation!$AK$6)),"-")</f>
        <v>-</v>
      </c>
      <c r="CS167" s="498" t="str">
        <f ca="1">IF(CI167="-","-",IF(COUNTIF($CI$3:CI167,CI167)&gt;1,0,IFERROR((35/50)*Calculation!$AK$6,"-")))</f>
        <v>-</v>
      </c>
    </row>
    <row r="168" spans="4:97" x14ac:dyDescent="0.5">
      <c r="D168" s="487" t="e">
        <f t="shared" si="79"/>
        <v>#DIV/0!</v>
      </c>
      <c r="E168" s="496" t="e">
        <f t="array" ref="E168">IF(IF((ROW(E168)-3)&lt;(ListAndConversion!$A$15),INDEX(Flow_Cell_Lane,MIN(IF(COUNTIF($E$2:E167,Flow_Cell_Lane)=0,ROW(Flow_Cell_Lane)-9))),"-")="","-",IF((ROW(E168)-3)&lt;(ListAndConversion!$A$15),INDEX(Flow_Cell_Lane,MIN(IF(COUNTIF($E$2:E167,Flow_Cell_Lane)=0,ROW(Flow_Cell_Lane)-9))),"-"))</f>
        <v>#DIV/0!</v>
      </c>
      <c r="F168" s="378" t="e">
        <f t="shared" si="80"/>
        <v>#DIV/0!</v>
      </c>
      <c r="G168" s="378" t="e">
        <f t="shared" si="101"/>
        <v>#DIV/0!</v>
      </c>
      <c r="H168" s="378" t="e">
        <f t="shared" si="101"/>
        <v>#DIV/0!</v>
      </c>
      <c r="I168" s="378" t="e">
        <f t="shared" si="101"/>
        <v>#DIV/0!</v>
      </c>
      <c r="J168" s="378" t="e">
        <f t="shared" si="101"/>
        <v>#DIV/0!</v>
      </c>
      <c r="K168" s="378" t="e">
        <f t="shared" si="101"/>
        <v>#DIV/0!</v>
      </c>
      <c r="L168" s="378" t="e">
        <f t="shared" si="101"/>
        <v>#DIV/0!</v>
      </c>
      <c r="M168" s="378" t="e">
        <f t="shared" si="101"/>
        <v>#DIV/0!</v>
      </c>
      <c r="N168" s="497" t="e">
        <f t="shared" si="81"/>
        <v>#DIV/0!</v>
      </c>
      <c r="O168" s="497" t="str">
        <f t="array" ref="O168">IFERROR(INDEX(Calculation!I:AN,MATCH(ListAndConversion!E168,Calculation!I:I,0),31),"-")</f>
        <v>-</v>
      </c>
      <c r="P168" s="498">
        <f>IF(COUNTIFS(Calculation!$I$10:$I$393,E168,Direct_Denaturation,"-")&lt;&gt;1,COUNTIFS(Calculation!$I$10:$I$393,E168,Direct_Denaturation,"-"),0)</f>
        <v>0</v>
      </c>
      <c r="V168" s="542" t="s">
        <v>82</v>
      </c>
      <c r="W168" s="542" t="s">
        <v>82</v>
      </c>
      <c r="X168" s="542" t="s">
        <v>82</v>
      </c>
      <c r="Y168" s="542" t="s">
        <v>82</v>
      </c>
      <c r="Z168" s="542" t="s">
        <v>82</v>
      </c>
      <c r="AA168" s="542" t="s">
        <v>82</v>
      </c>
      <c r="AB168" s="542" t="s">
        <v>82</v>
      </c>
      <c r="AC168" s="542" t="s">
        <v>82</v>
      </c>
      <c r="AD168" s="542" t="s">
        <v>82</v>
      </c>
      <c r="AE168" s="542" t="s">
        <v>82</v>
      </c>
      <c r="AF168" s="542" t="s">
        <v>82</v>
      </c>
      <c r="AG168" s="542" t="s">
        <v>82</v>
      </c>
      <c r="AH168" s="9"/>
      <c r="AI168" s="487">
        <v>165</v>
      </c>
      <c r="AJ168" s="497" t="s">
        <v>161</v>
      </c>
      <c r="AK168" s="378">
        <v>69</v>
      </c>
      <c r="AL168" s="378" t="str">
        <f t="shared" ca="1" si="82"/>
        <v>-</v>
      </c>
      <c r="AM168" s="378" t="str">
        <f t="array" aca="1" ref="AM168" ca="1">IFERROR(IF(AI168&lt;=$AB$2,"-",INDEX(Calculation_Tab,SMALL(ROW(Main_Dil)*(Main_Dil&lt;&gt;"-"),COUNTIF(Main_Dil,"-")+ROW()-3-$AB$2)-9,5)),"-")</f>
        <v>-</v>
      </c>
      <c r="AN168" s="378" t="str">
        <f t="array" aca="1" ref="AN168" ca="1">IFERROR(IF(AI168&lt;=$AB$2,"-",INDEX($A$3:$B$12,MATCH(INDEX(Calculation_Tab,SMALL(ROW(Main_Dil)*(Main_Dil&lt;&gt;"-"),COUNTIF(Main_Dil,"-")+ROW()-3-$AB$2)-9,5),$A$3:$A$12,0),2)),"-")</f>
        <v>-</v>
      </c>
      <c r="AO168" s="378" t="str">
        <f t="array" aca="1" ref="AO168" ca="1">IFERROR(IF(AI168&lt;=$AB$2,"-",INDEX(Coordinate,MATCH(INDEX(Calculation_Tab,SMALL(ROW(Main_Dil)*(Main_Dil&lt;&gt;"-"),COUNTIF(Main_Dil,"-")+ROW()-3-$AB$2)-9,6),$X$4:$X$99,0),2)),"-")</f>
        <v>-</v>
      </c>
      <c r="AP168" s="510" t="str">
        <f t="array" aca="1" ref="AP168" ca="1">IFERROR(IF(AI168&lt;=$AB$2,"-",INDEX(Calculation_Tab,SMALL(ROW(Main_Dil)*(Main_Dil&lt;&gt;"-"),COUNTIF(Main_Dil,"-")+ROW()-3-$AB$2)-9,21)),"-")</f>
        <v>-</v>
      </c>
      <c r="AQ168" s="511" t="str">
        <f t="array" aca="1" ref="AQ168" ca="1">IFERROR(IF(AI168&lt;=$AB$2,"-",INDEX(Calculation_Tab,SMALL(ROW(Main_Dil)*(Main_Dil&lt;&gt;"-"),COUNTIF(Main_Dil,"-")+ROW()-3-$AB$2)-9,22)),"-")</f>
        <v>-</v>
      </c>
      <c r="AR168" s="487" t="str">
        <f t="shared" ca="1" si="83"/>
        <v>-</v>
      </c>
      <c r="AS168" s="378">
        <v>165</v>
      </c>
      <c r="AT168" s="497" t="s">
        <v>161</v>
      </c>
      <c r="AU168" s="498">
        <v>69</v>
      </c>
      <c r="AV168" s="378" t="str">
        <f t="shared" ca="1" si="84"/>
        <v>-</v>
      </c>
      <c r="AW168" s="378" t="str">
        <f t="array" aca="1" ref="AW168" ca="1">IFERROR(IF(AS168&lt;=$AB$2+$AN$2,"-",INDEX(Calculation_Tab,SMALL(ROW(Direct_Denaturation)*(Direct_Denaturation&lt;&gt;"-"),COUNTIF(Direct_Denaturation,"-")+ROW()-3-$AB$2-$AN$2)-9,5)),"-")</f>
        <v>-</v>
      </c>
      <c r="AX168" s="378" t="str">
        <f t="array" aca="1" ref="AX168" ca="1">IFERROR(IF(AS168&lt;=$AB$2+$AN$2,"-",INDEX($A$3:$B$12,MATCH(INDEX(Calculation_Tab,SMALL(ROW(Direct_Denaturation)*(Direct_Denaturation&lt;&gt;"-"),COUNTIF(Direct_Denaturation,"-")+ROW()-3-$AB$2-$AN$2)-9,5),$A$3:$A$12,0),2)),"-")</f>
        <v>-</v>
      </c>
      <c r="AY168" s="378" t="str">
        <f t="array" aca="1" ref="AY168" ca="1">IFERROR(IF(AS168&lt;=$AB$2+$AN$2,"-",INDEX(Coordinate,MATCH(INDEX(Calculation_Tab,SMALL(ROW(Direct_Denaturation)*(Direct_Denaturation&lt;&gt;"-"),COUNTIF(Direct_Denaturation,"-")+ROW()-3-$AB$2-$AN$2)-9,6),$X$4:$X$99,0),2)),"-")</f>
        <v>-</v>
      </c>
      <c r="AZ168" s="510" t="str">
        <f t="array" aca="1" ref="AZ168" ca="1">IFERROR(IF(AS168&lt;=$AB$2+$AN$2,"-",INDEX(Calculation_Tab,SMALL(ROW(Direct_Denaturation)*(Direct_Denaturation&lt;&gt;"-"),COUNTIF(Direct_Denaturation,"-")+ROW()-3-$AB$2-$AN$2)-9,32)),"-")</f>
        <v>-</v>
      </c>
      <c r="BA168" s="510" t="str">
        <f t="array" aca="1" ref="BA168" ca="1">IFERROR(IF(AS168&lt;=$AB$2+$AN$2,"-",INDEX(Calculation_Tab,SMALL(ROW(Direct_Denaturation)*(Direct_Denaturation&lt;&gt;"-"),COUNTIF(Direct_Denaturation,"-")+ROW()-3-$AB$2-$AN$2)-9,34)),"-")</f>
        <v>-</v>
      </c>
      <c r="BB168" s="510" t="str">
        <f t="array" aca="1" ref="BB168" ca="1">IFERROR(IF(AS168&lt;=$AB$2+$AN$2,"-",INDEX(Calculation_Tab,SMALL(ROW(Direct_Denaturation)*(Direct_Denaturation&lt;&gt;"-"),COUNTIF(Direct_Denaturation,"-")+ROW()-3-$AB$2-$AN$2)-9,33)),"-")</f>
        <v>-</v>
      </c>
      <c r="BC168" s="510" t="str">
        <f t="array" aca="1" ref="BC168" ca="1">IFERROR(IF(AS168&lt;=$AB$2+$AN$2,"-",INDEX(Calculation_Tab,SMALL(ROW(Direct_Denaturation)*(Direct_Denaturation&lt;&gt;"-"),COUNTIF(Direct_Denaturation,"-")+ROW()-3-$AB$2-$AN$2)-9,35)),"-")</f>
        <v>-</v>
      </c>
      <c r="BD168" s="511" t="str">
        <f t="shared" ca="1" si="85"/>
        <v>-</v>
      </c>
      <c r="BK168" s="542" t="s">
        <v>82</v>
      </c>
      <c r="BL168" s="542" t="s">
        <v>82</v>
      </c>
      <c r="BM168" s="487" t="str">
        <f t="array" aca="1" ref="BM168" ca="1">IFERROR(INDEX(Calculation_Tab,SMALL(ROW(ToPool)*(ToPool&lt;&gt;"-"),COUNTIF(ToPool,"-")+ROW()-3)-9,3),"-")</f>
        <v>-</v>
      </c>
      <c r="BN168" s="378" t="str">
        <f t="shared" ca="1" si="86"/>
        <v>-</v>
      </c>
      <c r="BO168" s="378" t="str">
        <f t="shared" ca="1" si="87"/>
        <v>-</v>
      </c>
      <c r="BP168" s="523" t="str">
        <f t="shared" ca="1" si="88"/>
        <v>-</v>
      </c>
      <c r="BQ168" s="378" t="str">
        <f t="array" aca="1" ref="BQ168" ca="1">IFERROR(INDEX(BE:BG,MATCH(INDEX(Calculation_Tab,SMALL(ROW(ToPool)*(ToPool&lt;&gt;"-"),COUNTIF(ToPool,"-")+ROW()-3)-9,9),BG:BG,0),2),"-")</f>
        <v>-</v>
      </c>
      <c r="BR168" s="510" t="str">
        <f t="shared" ca="1" si="89"/>
        <v>-</v>
      </c>
      <c r="BS168" s="511" t="str">
        <f t="shared" ca="1" si="90"/>
        <v>-</v>
      </c>
      <c r="BT168" s="543" t="s">
        <v>82</v>
      </c>
      <c r="BU168" s="487" t="str">
        <f t="shared" ca="1" si="95"/>
        <v>-</v>
      </c>
      <c r="BV168" s="487" t="str">
        <f t="array" aca="1" ref="BV16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68" s="378" t="str">
        <f t="shared" ca="1" si="91"/>
        <v>-</v>
      </c>
      <c r="BX168" s="378" t="str">
        <f t="shared" ca="1" si="92"/>
        <v>-</v>
      </c>
      <c r="BY168" s="510" t="str">
        <f ca="1">IFERROR(ROUND(INDEX(Cluster,MATCH(IF(LEFT(BV168,4)="Pool",INDEX(Cluster,MATCH(INDEX(Calculation_Tab,MATCH(INDEX($BE$4:$BJ$99,MATCH(BV168,$BE$4:$BE$99,0),3),Flow_Cell_Lane,0),3),Cluster!$F$29:$F$412,0),6),BV168),Identifier_Cluster,0),19)*IF(LEFT(BV168,4)="pool",IF(LEN(INDEX($BE$4:$BJ$99,MATCH(BV168,$BE$4:$BE$99,0),3))=10,2,IF(LEN(INDEX($BE$4:$BJ$99,MATCH(BV168,$BE$4:$BE$99,0),3))&gt;10,LEN(INDEX($BE$4:$BJ$99,MATCH(BV168,$BE$4:$BE$99,0),3))-8,1)),1)*IF(LEFT(BV168,4)="pool",IF(INDEX($BE$4:$BJ$99,MATCH(BV168,$BE$4:$BE$99,0),6)&lt;1,1,INDEX($BE$4:$BJ$99,MATCH(BV168,$BE$4:$BE$99,0),6)),INDEX(Calculation_Tab,MATCH(BV168,Identifier,0),10)),1)*(1+Calculation!$Q$6),"-")</f>
        <v>-</v>
      </c>
      <c r="BZ168" s="378" t="str">
        <f ca="1">IFERROR((0.5/50)*CE168/Calculation!$AG$6*(IF(LEFT(BV168,4)="Pool",IF(LEN(INDEX($BE$4:$BJ$99,MATCH(BV168,$BE$4:$BE$99,0),3))=10,2,IF(LEN(INDEX($BE$4:$BJ$99,MATCH(BV168,$BE$4:$BE$99,0),3))&gt;10,LEN(INDEX($BE$4:$BJ$99,MATCH(BV168,$BE$4:$BE$99,0),3))-8,1)),IF(INDEX(Calculation_Tab,MATCH(BV168,Identifier,0),10)&gt;1,INDEX(Calculation_Tab,MATCH(BV168,Identifier,0),10),1)))*(1+Calculation!$Q$6),"-")</f>
        <v>-</v>
      </c>
      <c r="CA168" s="510" t="str">
        <f ca="1">IFERROR(IF((BZ168*Calculation!$AG$6/0.05)-SUM(BY168:BZ168,CC168)&gt;0,(BZ168*Calculation!$AG$6/0.05)-SUM(BY168:BZ168,CC168),0),"-")</f>
        <v>-</v>
      </c>
      <c r="CB168" s="510" t="str">
        <f ca="1">IFERROR(5/50*CE168*(IF(LEFT(BV168,4)="Pool",IF(LEN(INDEX($BE$4:$BJ$99,MATCH(BV168,$BE$4:$BE$99,0),3))=10,2,IF(LEN(INDEX($BE$4:$BJ$99,MATCH(BV168,$BE$4:$BE$99,0),3))&gt;10,LEN(INDEX($BE$4:$BJ$99,MATCH(BV168,$BE$4:$BE$99,0),3))-8,1)),IF(INDEX(Calculation_Tab,MATCH(BV168,Identifier,0),10)&gt;1,INDEX(Calculation_Tab,MATCH(BV168,Identifier,0),10),1)))*(1+Calculation!$Q$6),"-")</f>
        <v>-</v>
      </c>
      <c r="CC168" s="508" t="str">
        <f ca="1">IFERROR(ROUND(INDEX(Cluster,MATCH(IF(LEFT(BV168,4)="Pool",INDEX(Cluster,MATCH(INDEX(Calculation_Tab,MATCH(INDEX($BE$4:$BJ$99,MATCH(BV168,$BE$4:$BE$99,0),3),Flow_Cell_Lane,0),3),Cluster!$F$29:$F$412,0),6),BV168),Identifier_Cluster,0),20)*IF(LEFT(BV168,4)="pool",IF(LEN(INDEX($BE$4:$BJ$99,MATCH(BV168,$BE$4:$BE$99,0),3))=10,2,IF(LEN(INDEX($BE$4:$BJ$99,MATCH(BV168,$BE$4:$BE$99,0),3))&gt;10,LEN(INDEX($BE$4:$BJ$99,MATCH(BV168,$BE$4:$BE$99,0),3))-8,1)),1)*IF(LEFT(BV168,4)="pool",IF(INDEX($BE$4:$BJ$99,MATCH(BV168,$BE$4:$BE$99,0),6)&lt;1,1,INDEX($BE$4:$BJ$99,MATCH(BV168,$BE$4:$BE$99,0),6)),INDEX(Calculation_Tab,MATCH(BV168,Identifier,0),10)),1)*(1+Calculation!$Q$6),"-")</f>
        <v>-</v>
      </c>
      <c r="CD168" s="509" t="str">
        <f ca="1">IFERROR(INDEX(Cluster!AC:AD,MATCH(IF(LEFT(BV168,4)="Pool",INDEX(Cluster!$D$29:$AA$412,MATCH(INDEX(Calculation_Tab,MATCH(INDEX($BE$4:$BJ$99,MATCH(BV168,$BE$4:$BE$99,0),3),Flow_Cell_Lane,0),3),Cluster!$F$29:$F$412,0),24),INDEX(Cluster!$D$29:$AA$412,MATCH(BV168,Cluster!$F$29:$F$412,0),24)),Cluster!AC:AC,0),2),"-")</f>
        <v>-</v>
      </c>
      <c r="CE168" s="378" t="str">
        <f ca="1">IFERROR(IF(BV168&lt;&gt;"-",Calculation!$AK$6,"-"),"-")</f>
        <v>-</v>
      </c>
      <c r="CF168" s="378" t="str">
        <f ca="1">IF(OR(LEFT(ListAndConversion!BW168,3)="Dil",LEFT(ListAndConversion!BW168,3)="Poo"),ListAndConversion!$BT$4,IF(LEFT(ListAndConversion!BW168,3)="Sou",INDEX(ListAndConversion!$AT$3:$AV$387,MATCH(ListAndConversion!BV168,ListAndConversion!$AV$3:$AV$387,0),1),"-"))</f>
        <v>-</v>
      </c>
      <c r="CG168" s="498" t="str">
        <f ca="1">IF(OR(LEFT(ListAndConversion!BW168,3)="Dil",LEFT(ListAndConversion!BW168,3)="Poo"),ListAndConversion!BU168,IF(LEFT(ListAndConversion!BW168,3)="Sou",INDEX(ListAndConversion!$AT$4:$AV$387,MATCH(ListAndConversion!BV168,ListAndConversion!$AV$4:$AV$387,0),2),"-"))</f>
        <v>-</v>
      </c>
      <c r="CH168" s="378"/>
      <c r="CI168" s="487" t="str">
        <f t="shared" ca="1" si="93"/>
        <v>-</v>
      </c>
      <c r="CJ168" s="378" t="str">
        <f t="shared" ca="1" si="102"/>
        <v>-</v>
      </c>
      <c r="CK168" s="378" t="str">
        <f t="shared" ca="1" si="102"/>
        <v>-</v>
      </c>
      <c r="CL168" s="378" t="str">
        <f t="shared" ca="1" si="102"/>
        <v>-</v>
      </c>
      <c r="CM168" s="378" t="str">
        <f t="shared" ca="1" si="102"/>
        <v>-</v>
      </c>
      <c r="CN168" s="378" t="str">
        <f t="shared" ca="1" si="102"/>
        <v>-</v>
      </c>
      <c r="CO168" s="378" t="str">
        <f t="shared" ca="1" si="102"/>
        <v>-</v>
      </c>
      <c r="CP168" s="378" t="str">
        <f t="shared" ca="1" si="102"/>
        <v>-</v>
      </c>
      <c r="CQ168" s="378" t="str">
        <f t="shared" ca="1" si="102"/>
        <v>-</v>
      </c>
      <c r="CR168" s="510" t="str">
        <f ca="1">IFERROR(IF(LEFT(BW168,3)="Poo",INDEX($BE$4:$BJ$99,MATCH(CI168,$BG$4:$BG$99,0),6)*((15/50))*Calculation!$AK$6,INDEX(Calculation_Tab,MATCH(BV168,Identifier,0),10)/(IF(LEN(INDEX(Calculation_Tab,MATCH(BV168,Identifier,0),9))&gt;8,LEN(INDEX(Calculation_Tab,MATCH(BV168,Identifier,0),9))-8,1))*((15/50)*Calculation!$AK$6)),"-")</f>
        <v>-</v>
      </c>
      <c r="CS168" s="498" t="str">
        <f ca="1">IF(CI168="-","-",IF(COUNTIF($CI$3:CI168,CI168)&gt;1,0,IFERROR((35/50)*Calculation!$AK$6,"-")))</f>
        <v>-</v>
      </c>
    </row>
    <row r="169" spans="4:97" x14ac:dyDescent="0.5">
      <c r="D169" s="487" t="e">
        <f t="shared" si="79"/>
        <v>#DIV/0!</v>
      </c>
      <c r="E169" s="496" t="e">
        <f t="array" ref="E169">IF(IF((ROW(E169)-3)&lt;(ListAndConversion!$A$15),INDEX(Flow_Cell_Lane,MIN(IF(COUNTIF($E$2:E168,Flow_Cell_Lane)=0,ROW(Flow_Cell_Lane)-9))),"-")="","-",IF((ROW(E169)-3)&lt;(ListAndConversion!$A$15),INDEX(Flow_Cell_Lane,MIN(IF(COUNTIF($E$2:E168,Flow_Cell_Lane)=0,ROW(Flow_Cell_Lane)-9))),"-"))</f>
        <v>#DIV/0!</v>
      </c>
      <c r="F169" s="378" t="e">
        <f t="shared" si="80"/>
        <v>#DIV/0!</v>
      </c>
      <c r="G169" s="378" t="e">
        <f t="shared" si="101"/>
        <v>#DIV/0!</v>
      </c>
      <c r="H169" s="378" t="e">
        <f t="shared" si="101"/>
        <v>#DIV/0!</v>
      </c>
      <c r="I169" s="378" t="e">
        <f t="shared" si="101"/>
        <v>#DIV/0!</v>
      </c>
      <c r="J169" s="378" t="e">
        <f t="shared" si="101"/>
        <v>#DIV/0!</v>
      </c>
      <c r="K169" s="378" t="e">
        <f t="shared" si="101"/>
        <v>#DIV/0!</v>
      </c>
      <c r="L169" s="378" t="e">
        <f t="shared" si="101"/>
        <v>#DIV/0!</v>
      </c>
      <c r="M169" s="378" t="e">
        <f t="shared" si="101"/>
        <v>#DIV/0!</v>
      </c>
      <c r="N169" s="497" t="e">
        <f t="shared" si="81"/>
        <v>#DIV/0!</v>
      </c>
      <c r="O169" s="497" t="str">
        <f t="array" ref="O169">IFERROR(INDEX(Calculation!I:AN,MATCH(ListAndConversion!E169,Calculation!I:I,0),31),"-")</f>
        <v>-</v>
      </c>
      <c r="P169" s="498">
        <f>IF(COUNTIFS(Calculation!$I$10:$I$393,E169,Direct_Denaturation,"-")&lt;&gt;1,COUNTIFS(Calculation!$I$10:$I$393,E169,Direct_Denaturation,"-"),0)</f>
        <v>0</v>
      </c>
      <c r="V169" s="542" t="s">
        <v>82</v>
      </c>
      <c r="W169" s="542" t="s">
        <v>82</v>
      </c>
      <c r="X169" s="542" t="s">
        <v>82</v>
      </c>
      <c r="Y169" s="542" t="s">
        <v>82</v>
      </c>
      <c r="Z169" s="542" t="s">
        <v>82</v>
      </c>
      <c r="AA169" s="542" t="s">
        <v>82</v>
      </c>
      <c r="AB169" s="542" t="s">
        <v>82</v>
      </c>
      <c r="AC169" s="542" t="s">
        <v>82</v>
      </c>
      <c r="AD169" s="542" t="s">
        <v>82</v>
      </c>
      <c r="AE169" s="542" t="s">
        <v>82</v>
      </c>
      <c r="AF169" s="542" t="s">
        <v>82</v>
      </c>
      <c r="AG169" s="542" t="s">
        <v>82</v>
      </c>
      <c r="AH169" s="9"/>
      <c r="AI169" s="487">
        <v>166</v>
      </c>
      <c r="AJ169" s="497" t="s">
        <v>161</v>
      </c>
      <c r="AK169" s="378">
        <v>70</v>
      </c>
      <c r="AL169" s="378" t="str">
        <f t="shared" ca="1" si="82"/>
        <v>-</v>
      </c>
      <c r="AM169" s="378" t="str">
        <f t="array" aca="1" ref="AM169" ca="1">IFERROR(IF(AI169&lt;=$AB$2,"-",INDEX(Calculation_Tab,SMALL(ROW(Main_Dil)*(Main_Dil&lt;&gt;"-"),COUNTIF(Main_Dil,"-")+ROW()-3-$AB$2)-9,5)),"-")</f>
        <v>-</v>
      </c>
      <c r="AN169" s="378" t="str">
        <f t="array" aca="1" ref="AN169" ca="1">IFERROR(IF(AI169&lt;=$AB$2,"-",INDEX($A$3:$B$12,MATCH(INDEX(Calculation_Tab,SMALL(ROW(Main_Dil)*(Main_Dil&lt;&gt;"-"),COUNTIF(Main_Dil,"-")+ROW()-3-$AB$2)-9,5),$A$3:$A$12,0),2)),"-")</f>
        <v>-</v>
      </c>
      <c r="AO169" s="378" t="str">
        <f t="array" aca="1" ref="AO169" ca="1">IFERROR(IF(AI169&lt;=$AB$2,"-",INDEX(Coordinate,MATCH(INDEX(Calculation_Tab,SMALL(ROW(Main_Dil)*(Main_Dil&lt;&gt;"-"),COUNTIF(Main_Dil,"-")+ROW()-3-$AB$2)-9,6),$X$4:$X$99,0),2)),"-")</f>
        <v>-</v>
      </c>
      <c r="AP169" s="510" t="str">
        <f t="array" aca="1" ref="AP169" ca="1">IFERROR(IF(AI169&lt;=$AB$2,"-",INDEX(Calculation_Tab,SMALL(ROW(Main_Dil)*(Main_Dil&lt;&gt;"-"),COUNTIF(Main_Dil,"-")+ROW()-3-$AB$2)-9,21)),"-")</f>
        <v>-</v>
      </c>
      <c r="AQ169" s="511" t="str">
        <f t="array" aca="1" ref="AQ169" ca="1">IFERROR(IF(AI169&lt;=$AB$2,"-",INDEX(Calculation_Tab,SMALL(ROW(Main_Dil)*(Main_Dil&lt;&gt;"-"),COUNTIF(Main_Dil,"-")+ROW()-3-$AB$2)-9,22)),"-")</f>
        <v>-</v>
      </c>
      <c r="AR169" s="487" t="str">
        <f t="shared" ca="1" si="83"/>
        <v>-</v>
      </c>
      <c r="AS169" s="378">
        <v>166</v>
      </c>
      <c r="AT169" s="497" t="s">
        <v>161</v>
      </c>
      <c r="AU169" s="498">
        <v>70</v>
      </c>
      <c r="AV169" s="378" t="str">
        <f t="shared" ca="1" si="84"/>
        <v>-</v>
      </c>
      <c r="AW169" s="378" t="str">
        <f t="array" aca="1" ref="AW169" ca="1">IFERROR(IF(AS169&lt;=$AB$2+$AN$2,"-",INDEX(Calculation_Tab,SMALL(ROW(Direct_Denaturation)*(Direct_Denaturation&lt;&gt;"-"),COUNTIF(Direct_Denaturation,"-")+ROW()-3-$AB$2-$AN$2)-9,5)),"-")</f>
        <v>-</v>
      </c>
      <c r="AX169" s="378" t="str">
        <f t="array" aca="1" ref="AX169" ca="1">IFERROR(IF(AS169&lt;=$AB$2+$AN$2,"-",INDEX($A$3:$B$12,MATCH(INDEX(Calculation_Tab,SMALL(ROW(Direct_Denaturation)*(Direct_Denaturation&lt;&gt;"-"),COUNTIF(Direct_Denaturation,"-")+ROW()-3-$AB$2-$AN$2)-9,5),$A$3:$A$12,0),2)),"-")</f>
        <v>-</v>
      </c>
      <c r="AY169" s="378" t="str">
        <f t="array" aca="1" ref="AY169" ca="1">IFERROR(IF(AS169&lt;=$AB$2+$AN$2,"-",INDEX(Coordinate,MATCH(INDEX(Calculation_Tab,SMALL(ROW(Direct_Denaturation)*(Direct_Denaturation&lt;&gt;"-"),COUNTIF(Direct_Denaturation,"-")+ROW()-3-$AB$2-$AN$2)-9,6),$X$4:$X$99,0),2)),"-")</f>
        <v>-</v>
      </c>
      <c r="AZ169" s="510" t="str">
        <f t="array" aca="1" ref="AZ169" ca="1">IFERROR(IF(AS169&lt;=$AB$2+$AN$2,"-",INDEX(Calculation_Tab,SMALL(ROW(Direct_Denaturation)*(Direct_Denaturation&lt;&gt;"-"),COUNTIF(Direct_Denaturation,"-")+ROW()-3-$AB$2-$AN$2)-9,32)),"-")</f>
        <v>-</v>
      </c>
      <c r="BA169" s="510" t="str">
        <f t="array" aca="1" ref="BA169" ca="1">IFERROR(IF(AS169&lt;=$AB$2+$AN$2,"-",INDEX(Calculation_Tab,SMALL(ROW(Direct_Denaturation)*(Direct_Denaturation&lt;&gt;"-"),COUNTIF(Direct_Denaturation,"-")+ROW()-3-$AB$2-$AN$2)-9,34)),"-")</f>
        <v>-</v>
      </c>
      <c r="BB169" s="510" t="str">
        <f t="array" aca="1" ref="BB169" ca="1">IFERROR(IF(AS169&lt;=$AB$2+$AN$2,"-",INDEX(Calculation_Tab,SMALL(ROW(Direct_Denaturation)*(Direct_Denaturation&lt;&gt;"-"),COUNTIF(Direct_Denaturation,"-")+ROW()-3-$AB$2-$AN$2)-9,33)),"-")</f>
        <v>-</v>
      </c>
      <c r="BC169" s="510" t="str">
        <f t="array" aca="1" ref="BC169" ca="1">IFERROR(IF(AS169&lt;=$AB$2+$AN$2,"-",INDEX(Calculation_Tab,SMALL(ROW(Direct_Denaturation)*(Direct_Denaturation&lt;&gt;"-"),COUNTIF(Direct_Denaturation,"-")+ROW()-3-$AB$2-$AN$2)-9,35)),"-")</f>
        <v>-</v>
      </c>
      <c r="BD169" s="511" t="str">
        <f t="shared" ca="1" si="85"/>
        <v>-</v>
      </c>
      <c r="BK169" s="542" t="s">
        <v>82</v>
      </c>
      <c r="BL169" s="542" t="s">
        <v>82</v>
      </c>
      <c r="BM169" s="487" t="str">
        <f t="array" aca="1" ref="BM169" ca="1">IFERROR(INDEX(Calculation_Tab,SMALL(ROW(ToPool)*(ToPool&lt;&gt;"-"),COUNTIF(ToPool,"-")+ROW()-3)-9,3),"-")</f>
        <v>-</v>
      </c>
      <c r="BN169" s="378" t="str">
        <f t="shared" ca="1" si="86"/>
        <v>-</v>
      </c>
      <c r="BO169" s="378" t="str">
        <f t="shared" ca="1" si="87"/>
        <v>-</v>
      </c>
      <c r="BP169" s="523" t="str">
        <f t="shared" ca="1" si="88"/>
        <v>-</v>
      </c>
      <c r="BQ169" s="378" t="str">
        <f t="array" aca="1" ref="BQ169" ca="1">IFERROR(INDEX(BE:BG,MATCH(INDEX(Calculation_Tab,SMALL(ROW(ToPool)*(ToPool&lt;&gt;"-"),COUNTIF(ToPool,"-")+ROW()-3)-9,9),BG:BG,0),2),"-")</f>
        <v>-</v>
      </c>
      <c r="BR169" s="510" t="str">
        <f t="shared" ca="1" si="89"/>
        <v>-</v>
      </c>
      <c r="BS169" s="511" t="str">
        <f t="shared" ca="1" si="90"/>
        <v>-</v>
      </c>
      <c r="BT169" s="543" t="s">
        <v>82</v>
      </c>
      <c r="BU169" s="487" t="str">
        <f t="shared" ca="1" si="95"/>
        <v>-</v>
      </c>
      <c r="BV169" s="487" t="str">
        <f t="array" aca="1" ref="BV16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69" s="378" t="str">
        <f t="shared" ca="1" si="91"/>
        <v>-</v>
      </c>
      <c r="BX169" s="378" t="str">
        <f t="shared" ca="1" si="92"/>
        <v>-</v>
      </c>
      <c r="BY169" s="510" t="str">
        <f ca="1">IFERROR(ROUND(INDEX(Cluster,MATCH(IF(LEFT(BV169,4)="Pool",INDEX(Cluster,MATCH(INDEX(Calculation_Tab,MATCH(INDEX($BE$4:$BJ$99,MATCH(BV169,$BE$4:$BE$99,0),3),Flow_Cell_Lane,0),3),Cluster!$F$29:$F$412,0),6),BV169),Identifier_Cluster,0),19)*IF(LEFT(BV169,4)="pool",IF(LEN(INDEX($BE$4:$BJ$99,MATCH(BV169,$BE$4:$BE$99,0),3))=10,2,IF(LEN(INDEX($BE$4:$BJ$99,MATCH(BV169,$BE$4:$BE$99,0),3))&gt;10,LEN(INDEX($BE$4:$BJ$99,MATCH(BV169,$BE$4:$BE$99,0),3))-8,1)),1)*IF(LEFT(BV169,4)="pool",IF(INDEX($BE$4:$BJ$99,MATCH(BV169,$BE$4:$BE$99,0),6)&lt;1,1,INDEX($BE$4:$BJ$99,MATCH(BV169,$BE$4:$BE$99,0),6)),INDEX(Calculation_Tab,MATCH(BV169,Identifier,0),10)),1)*(1+Calculation!$Q$6),"-")</f>
        <v>-</v>
      </c>
      <c r="BZ169" s="378" t="str">
        <f ca="1">IFERROR((0.5/50)*CE169/Calculation!$AG$6*(IF(LEFT(BV169,4)="Pool",IF(LEN(INDEX($BE$4:$BJ$99,MATCH(BV169,$BE$4:$BE$99,0),3))=10,2,IF(LEN(INDEX($BE$4:$BJ$99,MATCH(BV169,$BE$4:$BE$99,0),3))&gt;10,LEN(INDEX($BE$4:$BJ$99,MATCH(BV169,$BE$4:$BE$99,0),3))-8,1)),IF(INDEX(Calculation_Tab,MATCH(BV169,Identifier,0),10)&gt;1,INDEX(Calculation_Tab,MATCH(BV169,Identifier,0),10),1)))*(1+Calculation!$Q$6),"-")</f>
        <v>-</v>
      </c>
      <c r="CA169" s="510" t="str">
        <f ca="1">IFERROR(IF((BZ169*Calculation!$AG$6/0.05)-SUM(BY169:BZ169,CC169)&gt;0,(BZ169*Calculation!$AG$6/0.05)-SUM(BY169:BZ169,CC169),0),"-")</f>
        <v>-</v>
      </c>
      <c r="CB169" s="510" t="str">
        <f ca="1">IFERROR(5/50*CE169*(IF(LEFT(BV169,4)="Pool",IF(LEN(INDEX($BE$4:$BJ$99,MATCH(BV169,$BE$4:$BE$99,0),3))=10,2,IF(LEN(INDEX($BE$4:$BJ$99,MATCH(BV169,$BE$4:$BE$99,0),3))&gt;10,LEN(INDEX($BE$4:$BJ$99,MATCH(BV169,$BE$4:$BE$99,0),3))-8,1)),IF(INDEX(Calculation_Tab,MATCH(BV169,Identifier,0),10)&gt;1,INDEX(Calculation_Tab,MATCH(BV169,Identifier,0),10),1)))*(1+Calculation!$Q$6),"-")</f>
        <v>-</v>
      </c>
      <c r="CC169" s="508" t="str">
        <f ca="1">IFERROR(ROUND(INDEX(Cluster,MATCH(IF(LEFT(BV169,4)="Pool",INDEX(Cluster,MATCH(INDEX(Calculation_Tab,MATCH(INDEX($BE$4:$BJ$99,MATCH(BV169,$BE$4:$BE$99,0),3),Flow_Cell_Lane,0),3),Cluster!$F$29:$F$412,0),6),BV169),Identifier_Cluster,0),20)*IF(LEFT(BV169,4)="pool",IF(LEN(INDEX($BE$4:$BJ$99,MATCH(BV169,$BE$4:$BE$99,0),3))=10,2,IF(LEN(INDEX($BE$4:$BJ$99,MATCH(BV169,$BE$4:$BE$99,0),3))&gt;10,LEN(INDEX($BE$4:$BJ$99,MATCH(BV169,$BE$4:$BE$99,0),3))-8,1)),1)*IF(LEFT(BV169,4)="pool",IF(INDEX($BE$4:$BJ$99,MATCH(BV169,$BE$4:$BE$99,0),6)&lt;1,1,INDEX($BE$4:$BJ$99,MATCH(BV169,$BE$4:$BE$99,0),6)),INDEX(Calculation_Tab,MATCH(BV169,Identifier,0),10)),1)*(1+Calculation!$Q$6),"-")</f>
        <v>-</v>
      </c>
      <c r="CD169" s="509" t="str">
        <f ca="1">IFERROR(INDEX(Cluster!AC:AD,MATCH(IF(LEFT(BV169,4)="Pool",INDEX(Cluster!$D$29:$AA$412,MATCH(INDEX(Calculation_Tab,MATCH(INDEX($BE$4:$BJ$99,MATCH(BV169,$BE$4:$BE$99,0),3),Flow_Cell_Lane,0),3),Cluster!$F$29:$F$412,0),24),INDEX(Cluster!$D$29:$AA$412,MATCH(BV169,Cluster!$F$29:$F$412,0),24)),Cluster!AC:AC,0),2),"-")</f>
        <v>-</v>
      </c>
      <c r="CE169" s="378" t="str">
        <f ca="1">IFERROR(IF(BV169&lt;&gt;"-",Calculation!$AK$6,"-"),"-")</f>
        <v>-</v>
      </c>
      <c r="CF169" s="378" t="str">
        <f ca="1">IF(OR(LEFT(ListAndConversion!BW169,3)="Dil",LEFT(ListAndConversion!BW169,3)="Poo"),ListAndConversion!$BT$4,IF(LEFT(ListAndConversion!BW169,3)="Sou",INDEX(ListAndConversion!$AT$3:$AV$387,MATCH(ListAndConversion!BV169,ListAndConversion!$AV$3:$AV$387,0),1),"-"))</f>
        <v>-</v>
      </c>
      <c r="CG169" s="498" t="str">
        <f ca="1">IF(OR(LEFT(ListAndConversion!BW169,3)="Dil",LEFT(ListAndConversion!BW169,3)="Poo"),ListAndConversion!BU169,IF(LEFT(ListAndConversion!BW169,3)="Sou",INDEX(ListAndConversion!$AT$4:$AV$387,MATCH(ListAndConversion!BV169,ListAndConversion!$AV$4:$AV$387,0),2),"-"))</f>
        <v>-</v>
      </c>
      <c r="CH169" s="378"/>
      <c r="CI169" s="487" t="str">
        <f t="shared" ca="1" si="93"/>
        <v>-</v>
      </c>
      <c r="CJ169" s="378" t="str">
        <f t="shared" ca="1" si="102"/>
        <v>-</v>
      </c>
      <c r="CK169" s="378" t="str">
        <f t="shared" ca="1" si="102"/>
        <v>-</v>
      </c>
      <c r="CL169" s="378" t="str">
        <f t="shared" ca="1" si="102"/>
        <v>-</v>
      </c>
      <c r="CM169" s="378" t="str">
        <f t="shared" ca="1" si="102"/>
        <v>-</v>
      </c>
      <c r="CN169" s="378" t="str">
        <f t="shared" ca="1" si="102"/>
        <v>-</v>
      </c>
      <c r="CO169" s="378" t="str">
        <f t="shared" ca="1" si="102"/>
        <v>-</v>
      </c>
      <c r="CP169" s="378" t="str">
        <f t="shared" ca="1" si="102"/>
        <v>-</v>
      </c>
      <c r="CQ169" s="378" t="str">
        <f t="shared" ca="1" si="102"/>
        <v>-</v>
      </c>
      <c r="CR169" s="510" t="str">
        <f ca="1">IFERROR(IF(LEFT(BW169,3)="Poo",INDEX($BE$4:$BJ$99,MATCH(CI169,$BG$4:$BG$99,0),6)*((15/50))*Calculation!$AK$6,INDEX(Calculation_Tab,MATCH(BV169,Identifier,0),10)/(IF(LEN(INDEX(Calculation_Tab,MATCH(BV169,Identifier,0),9))&gt;8,LEN(INDEX(Calculation_Tab,MATCH(BV169,Identifier,0),9))-8,1))*((15/50)*Calculation!$AK$6)),"-")</f>
        <v>-</v>
      </c>
      <c r="CS169" s="498" t="str">
        <f ca="1">IF(CI169="-","-",IF(COUNTIF($CI$3:CI169,CI169)&gt;1,0,IFERROR((35/50)*Calculation!$AK$6,"-")))</f>
        <v>-</v>
      </c>
    </row>
    <row r="170" spans="4:97" x14ac:dyDescent="0.5">
      <c r="D170" s="487" t="e">
        <f t="shared" si="79"/>
        <v>#DIV/0!</v>
      </c>
      <c r="E170" s="496" t="e">
        <f t="array" ref="E170">IF(IF((ROW(E170)-3)&lt;(ListAndConversion!$A$15),INDEX(Flow_Cell_Lane,MIN(IF(COUNTIF($E$2:E169,Flow_Cell_Lane)=0,ROW(Flow_Cell_Lane)-9))),"-")="","-",IF((ROW(E170)-3)&lt;(ListAndConversion!$A$15),INDEX(Flow_Cell_Lane,MIN(IF(COUNTIF($E$2:E169,Flow_Cell_Lane)=0,ROW(Flow_Cell_Lane)-9))),"-"))</f>
        <v>#DIV/0!</v>
      </c>
      <c r="F170" s="378" t="e">
        <f t="shared" si="80"/>
        <v>#DIV/0!</v>
      </c>
      <c r="G170" s="378" t="e">
        <f t="shared" si="101"/>
        <v>#DIV/0!</v>
      </c>
      <c r="H170" s="378" t="e">
        <f t="shared" si="101"/>
        <v>#DIV/0!</v>
      </c>
      <c r="I170" s="378" t="e">
        <f t="shared" si="101"/>
        <v>#DIV/0!</v>
      </c>
      <c r="J170" s="378" t="e">
        <f t="shared" si="101"/>
        <v>#DIV/0!</v>
      </c>
      <c r="K170" s="378" t="e">
        <f t="shared" si="101"/>
        <v>#DIV/0!</v>
      </c>
      <c r="L170" s="378" t="e">
        <f t="shared" si="101"/>
        <v>#DIV/0!</v>
      </c>
      <c r="M170" s="378" t="e">
        <f t="shared" si="101"/>
        <v>#DIV/0!</v>
      </c>
      <c r="N170" s="497" t="e">
        <f t="shared" si="81"/>
        <v>#DIV/0!</v>
      </c>
      <c r="O170" s="497" t="str">
        <f t="array" ref="O170">IFERROR(INDEX(Calculation!I:AN,MATCH(ListAndConversion!E170,Calculation!I:I,0),31),"-")</f>
        <v>-</v>
      </c>
      <c r="P170" s="498">
        <f>IF(COUNTIFS(Calculation!$I$10:$I$393,E170,Direct_Denaturation,"-")&lt;&gt;1,COUNTIFS(Calculation!$I$10:$I$393,E170,Direct_Denaturation,"-"),0)</f>
        <v>0</v>
      </c>
      <c r="V170" s="542" t="s">
        <v>82</v>
      </c>
      <c r="W170" s="542" t="s">
        <v>82</v>
      </c>
      <c r="X170" s="542" t="s">
        <v>82</v>
      </c>
      <c r="Y170" s="542" t="s">
        <v>82</v>
      </c>
      <c r="Z170" s="542" t="s">
        <v>82</v>
      </c>
      <c r="AA170" s="542" t="s">
        <v>82</v>
      </c>
      <c r="AB170" s="542" t="s">
        <v>82</v>
      </c>
      <c r="AC170" s="542" t="s">
        <v>82</v>
      </c>
      <c r="AD170" s="542" t="s">
        <v>82</v>
      </c>
      <c r="AE170" s="542" t="s">
        <v>82</v>
      </c>
      <c r="AF170" s="542" t="s">
        <v>82</v>
      </c>
      <c r="AG170" s="542" t="s">
        <v>82</v>
      </c>
      <c r="AH170" s="9"/>
      <c r="AI170" s="487">
        <v>167</v>
      </c>
      <c r="AJ170" s="497" t="s">
        <v>161</v>
      </c>
      <c r="AK170" s="378">
        <v>71</v>
      </c>
      <c r="AL170" s="378" t="str">
        <f t="shared" ca="1" si="82"/>
        <v>-</v>
      </c>
      <c r="AM170" s="378" t="str">
        <f t="array" aca="1" ref="AM170" ca="1">IFERROR(IF(AI170&lt;=$AB$2,"-",INDEX(Calculation_Tab,SMALL(ROW(Main_Dil)*(Main_Dil&lt;&gt;"-"),COUNTIF(Main_Dil,"-")+ROW()-3-$AB$2)-9,5)),"-")</f>
        <v>-</v>
      </c>
      <c r="AN170" s="378" t="str">
        <f t="array" aca="1" ref="AN170" ca="1">IFERROR(IF(AI170&lt;=$AB$2,"-",INDEX($A$3:$B$12,MATCH(INDEX(Calculation_Tab,SMALL(ROW(Main_Dil)*(Main_Dil&lt;&gt;"-"),COUNTIF(Main_Dil,"-")+ROW()-3-$AB$2)-9,5),$A$3:$A$12,0),2)),"-")</f>
        <v>-</v>
      </c>
      <c r="AO170" s="378" t="str">
        <f t="array" aca="1" ref="AO170" ca="1">IFERROR(IF(AI170&lt;=$AB$2,"-",INDEX(Coordinate,MATCH(INDEX(Calculation_Tab,SMALL(ROW(Main_Dil)*(Main_Dil&lt;&gt;"-"),COUNTIF(Main_Dil,"-")+ROW()-3-$AB$2)-9,6),$X$4:$X$99,0),2)),"-")</f>
        <v>-</v>
      </c>
      <c r="AP170" s="510" t="str">
        <f t="array" aca="1" ref="AP170" ca="1">IFERROR(IF(AI170&lt;=$AB$2,"-",INDEX(Calculation_Tab,SMALL(ROW(Main_Dil)*(Main_Dil&lt;&gt;"-"),COUNTIF(Main_Dil,"-")+ROW()-3-$AB$2)-9,21)),"-")</f>
        <v>-</v>
      </c>
      <c r="AQ170" s="511" t="str">
        <f t="array" aca="1" ref="AQ170" ca="1">IFERROR(IF(AI170&lt;=$AB$2,"-",INDEX(Calculation_Tab,SMALL(ROW(Main_Dil)*(Main_Dil&lt;&gt;"-"),COUNTIF(Main_Dil,"-")+ROW()-3-$AB$2)-9,22)),"-")</f>
        <v>-</v>
      </c>
      <c r="AR170" s="487" t="str">
        <f t="shared" ca="1" si="83"/>
        <v>-</v>
      </c>
      <c r="AS170" s="378">
        <v>167</v>
      </c>
      <c r="AT170" s="497" t="s">
        <v>161</v>
      </c>
      <c r="AU170" s="498">
        <v>71</v>
      </c>
      <c r="AV170" s="378" t="str">
        <f t="shared" ca="1" si="84"/>
        <v>-</v>
      </c>
      <c r="AW170" s="378" t="str">
        <f t="array" aca="1" ref="AW170" ca="1">IFERROR(IF(AS170&lt;=$AB$2+$AN$2,"-",INDEX(Calculation_Tab,SMALL(ROW(Direct_Denaturation)*(Direct_Denaturation&lt;&gt;"-"),COUNTIF(Direct_Denaturation,"-")+ROW()-3-$AB$2-$AN$2)-9,5)),"-")</f>
        <v>-</v>
      </c>
      <c r="AX170" s="378" t="str">
        <f t="array" aca="1" ref="AX170" ca="1">IFERROR(IF(AS170&lt;=$AB$2+$AN$2,"-",INDEX($A$3:$B$12,MATCH(INDEX(Calculation_Tab,SMALL(ROW(Direct_Denaturation)*(Direct_Denaturation&lt;&gt;"-"),COUNTIF(Direct_Denaturation,"-")+ROW()-3-$AB$2-$AN$2)-9,5),$A$3:$A$12,0),2)),"-")</f>
        <v>-</v>
      </c>
      <c r="AY170" s="378" t="str">
        <f t="array" aca="1" ref="AY170" ca="1">IFERROR(IF(AS170&lt;=$AB$2+$AN$2,"-",INDEX(Coordinate,MATCH(INDEX(Calculation_Tab,SMALL(ROW(Direct_Denaturation)*(Direct_Denaturation&lt;&gt;"-"),COUNTIF(Direct_Denaturation,"-")+ROW()-3-$AB$2-$AN$2)-9,6),$X$4:$X$99,0),2)),"-")</f>
        <v>-</v>
      </c>
      <c r="AZ170" s="510" t="str">
        <f t="array" aca="1" ref="AZ170" ca="1">IFERROR(IF(AS170&lt;=$AB$2+$AN$2,"-",INDEX(Calculation_Tab,SMALL(ROW(Direct_Denaturation)*(Direct_Denaturation&lt;&gt;"-"),COUNTIF(Direct_Denaturation,"-")+ROW()-3-$AB$2-$AN$2)-9,32)),"-")</f>
        <v>-</v>
      </c>
      <c r="BA170" s="510" t="str">
        <f t="array" aca="1" ref="BA170" ca="1">IFERROR(IF(AS170&lt;=$AB$2+$AN$2,"-",INDEX(Calculation_Tab,SMALL(ROW(Direct_Denaturation)*(Direct_Denaturation&lt;&gt;"-"),COUNTIF(Direct_Denaturation,"-")+ROW()-3-$AB$2-$AN$2)-9,34)),"-")</f>
        <v>-</v>
      </c>
      <c r="BB170" s="510" t="str">
        <f t="array" aca="1" ref="BB170" ca="1">IFERROR(IF(AS170&lt;=$AB$2+$AN$2,"-",INDEX(Calculation_Tab,SMALL(ROW(Direct_Denaturation)*(Direct_Denaturation&lt;&gt;"-"),COUNTIF(Direct_Denaturation,"-")+ROW()-3-$AB$2-$AN$2)-9,33)),"-")</f>
        <v>-</v>
      </c>
      <c r="BC170" s="510" t="str">
        <f t="array" aca="1" ref="BC170" ca="1">IFERROR(IF(AS170&lt;=$AB$2+$AN$2,"-",INDEX(Calculation_Tab,SMALL(ROW(Direct_Denaturation)*(Direct_Denaturation&lt;&gt;"-"),COUNTIF(Direct_Denaturation,"-")+ROW()-3-$AB$2-$AN$2)-9,35)),"-")</f>
        <v>-</v>
      </c>
      <c r="BD170" s="511" t="str">
        <f t="shared" ca="1" si="85"/>
        <v>-</v>
      </c>
      <c r="BK170" s="542" t="s">
        <v>82</v>
      </c>
      <c r="BL170" s="542" t="s">
        <v>82</v>
      </c>
      <c r="BM170" s="487" t="str">
        <f t="array" aca="1" ref="BM170" ca="1">IFERROR(INDEX(Calculation_Tab,SMALL(ROW(ToPool)*(ToPool&lt;&gt;"-"),COUNTIF(ToPool,"-")+ROW()-3)-9,3),"-")</f>
        <v>-</v>
      </c>
      <c r="BN170" s="378" t="str">
        <f t="shared" ca="1" si="86"/>
        <v>-</v>
      </c>
      <c r="BO170" s="378" t="str">
        <f t="shared" ca="1" si="87"/>
        <v>-</v>
      </c>
      <c r="BP170" s="523" t="str">
        <f t="shared" ca="1" si="88"/>
        <v>-</v>
      </c>
      <c r="BQ170" s="378" t="str">
        <f t="array" aca="1" ref="BQ170" ca="1">IFERROR(INDEX(BE:BG,MATCH(INDEX(Calculation_Tab,SMALL(ROW(ToPool)*(ToPool&lt;&gt;"-"),COUNTIF(ToPool,"-")+ROW()-3)-9,9),BG:BG,0),2),"-")</f>
        <v>-</v>
      </c>
      <c r="BR170" s="510" t="str">
        <f t="shared" ca="1" si="89"/>
        <v>-</v>
      </c>
      <c r="BS170" s="511" t="str">
        <f t="shared" ca="1" si="90"/>
        <v>-</v>
      </c>
      <c r="BT170" s="543" t="s">
        <v>82</v>
      </c>
      <c r="BU170" s="487" t="str">
        <f t="shared" ca="1" si="95"/>
        <v>-</v>
      </c>
      <c r="BV170" s="487" t="str">
        <f t="array" aca="1" ref="BV17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70" s="378" t="str">
        <f t="shared" ca="1" si="91"/>
        <v>-</v>
      </c>
      <c r="BX170" s="378" t="str">
        <f t="shared" ca="1" si="92"/>
        <v>-</v>
      </c>
      <c r="BY170" s="510" t="str">
        <f ca="1">IFERROR(ROUND(INDEX(Cluster,MATCH(IF(LEFT(BV170,4)="Pool",INDEX(Cluster,MATCH(INDEX(Calculation_Tab,MATCH(INDEX($BE$4:$BJ$99,MATCH(BV170,$BE$4:$BE$99,0),3),Flow_Cell_Lane,0),3),Cluster!$F$29:$F$412,0),6),BV170),Identifier_Cluster,0),19)*IF(LEFT(BV170,4)="pool",IF(LEN(INDEX($BE$4:$BJ$99,MATCH(BV170,$BE$4:$BE$99,0),3))=10,2,IF(LEN(INDEX($BE$4:$BJ$99,MATCH(BV170,$BE$4:$BE$99,0),3))&gt;10,LEN(INDEX($BE$4:$BJ$99,MATCH(BV170,$BE$4:$BE$99,0),3))-8,1)),1)*IF(LEFT(BV170,4)="pool",IF(INDEX($BE$4:$BJ$99,MATCH(BV170,$BE$4:$BE$99,0),6)&lt;1,1,INDEX($BE$4:$BJ$99,MATCH(BV170,$BE$4:$BE$99,0),6)),INDEX(Calculation_Tab,MATCH(BV170,Identifier,0),10)),1)*(1+Calculation!$Q$6),"-")</f>
        <v>-</v>
      </c>
      <c r="BZ170" s="378" t="str">
        <f ca="1">IFERROR((0.5/50)*CE170/Calculation!$AG$6*(IF(LEFT(BV170,4)="Pool",IF(LEN(INDEX($BE$4:$BJ$99,MATCH(BV170,$BE$4:$BE$99,0),3))=10,2,IF(LEN(INDEX($BE$4:$BJ$99,MATCH(BV170,$BE$4:$BE$99,0),3))&gt;10,LEN(INDEX($BE$4:$BJ$99,MATCH(BV170,$BE$4:$BE$99,0),3))-8,1)),IF(INDEX(Calculation_Tab,MATCH(BV170,Identifier,0),10)&gt;1,INDEX(Calculation_Tab,MATCH(BV170,Identifier,0),10),1)))*(1+Calculation!$Q$6),"-")</f>
        <v>-</v>
      </c>
      <c r="CA170" s="510" t="str">
        <f ca="1">IFERROR(IF((BZ170*Calculation!$AG$6/0.05)-SUM(BY170:BZ170,CC170)&gt;0,(BZ170*Calculation!$AG$6/0.05)-SUM(BY170:BZ170,CC170),0),"-")</f>
        <v>-</v>
      </c>
      <c r="CB170" s="510" t="str">
        <f ca="1">IFERROR(5/50*CE170*(IF(LEFT(BV170,4)="Pool",IF(LEN(INDEX($BE$4:$BJ$99,MATCH(BV170,$BE$4:$BE$99,0),3))=10,2,IF(LEN(INDEX($BE$4:$BJ$99,MATCH(BV170,$BE$4:$BE$99,0),3))&gt;10,LEN(INDEX($BE$4:$BJ$99,MATCH(BV170,$BE$4:$BE$99,0),3))-8,1)),IF(INDEX(Calculation_Tab,MATCH(BV170,Identifier,0),10)&gt;1,INDEX(Calculation_Tab,MATCH(BV170,Identifier,0),10),1)))*(1+Calculation!$Q$6),"-")</f>
        <v>-</v>
      </c>
      <c r="CC170" s="508" t="str">
        <f ca="1">IFERROR(ROUND(INDEX(Cluster,MATCH(IF(LEFT(BV170,4)="Pool",INDEX(Cluster,MATCH(INDEX(Calculation_Tab,MATCH(INDEX($BE$4:$BJ$99,MATCH(BV170,$BE$4:$BE$99,0),3),Flow_Cell_Lane,0),3),Cluster!$F$29:$F$412,0),6),BV170),Identifier_Cluster,0),20)*IF(LEFT(BV170,4)="pool",IF(LEN(INDEX($BE$4:$BJ$99,MATCH(BV170,$BE$4:$BE$99,0),3))=10,2,IF(LEN(INDEX($BE$4:$BJ$99,MATCH(BV170,$BE$4:$BE$99,0),3))&gt;10,LEN(INDEX($BE$4:$BJ$99,MATCH(BV170,$BE$4:$BE$99,0),3))-8,1)),1)*IF(LEFT(BV170,4)="pool",IF(INDEX($BE$4:$BJ$99,MATCH(BV170,$BE$4:$BE$99,0),6)&lt;1,1,INDEX($BE$4:$BJ$99,MATCH(BV170,$BE$4:$BE$99,0),6)),INDEX(Calculation_Tab,MATCH(BV170,Identifier,0),10)),1)*(1+Calculation!$Q$6),"-")</f>
        <v>-</v>
      </c>
      <c r="CD170" s="509" t="str">
        <f ca="1">IFERROR(INDEX(Cluster!AC:AD,MATCH(IF(LEFT(BV170,4)="Pool",INDEX(Cluster!$D$29:$AA$412,MATCH(INDEX(Calculation_Tab,MATCH(INDEX($BE$4:$BJ$99,MATCH(BV170,$BE$4:$BE$99,0),3),Flow_Cell_Lane,0),3),Cluster!$F$29:$F$412,0),24),INDEX(Cluster!$D$29:$AA$412,MATCH(BV170,Cluster!$F$29:$F$412,0),24)),Cluster!AC:AC,0),2),"-")</f>
        <v>-</v>
      </c>
      <c r="CE170" s="378" t="str">
        <f ca="1">IFERROR(IF(BV170&lt;&gt;"-",Calculation!$AK$6,"-"),"-")</f>
        <v>-</v>
      </c>
      <c r="CF170" s="378" t="str">
        <f ca="1">IF(OR(LEFT(ListAndConversion!BW170,3)="Dil",LEFT(ListAndConversion!BW170,3)="Poo"),ListAndConversion!$BT$4,IF(LEFT(ListAndConversion!BW170,3)="Sou",INDEX(ListAndConversion!$AT$3:$AV$387,MATCH(ListAndConversion!BV170,ListAndConversion!$AV$3:$AV$387,0),1),"-"))</f>
        <v>-</v>
      </c>
      <c r="CG170" s="498" t="str">
        <f ca="1">IF(OR(LEFT(ListAndConversion!BW170,3)="Dil",LEFT(ListAndConversion!BW170,3)="Poo"),ListAndConversion!BU170,IF(LEFT(ListAndConversion!BW170,3)="Sou",INDEX(ListAndConversion!$AT$4:$AV$387,MATCH(ListAndConversion!BV170,ListAndConversion!$AV$4:$AV$387,0),2),"-"))</f>
        <v>-</v>
      </c>
      <c r="CH170" s="378"/>
      <c r="CI170" s="487" t="str">
        <f t="shared" ca="1" si="93"/>
        <v>-</v>
      </c>
      <c r="CJ170" s="378" t="str">
        <f t="shared" ca="1" si="102"/>
        <v>-</v>
      </c>
      <c r="CK170" s="378" t="str">
        <f t="shared" ca="1" si="102"/>
        <v>-</v>
      </c>
      <c r="CL170" s="378" t="str">
        <f t="shared" ca="1" si="102"/>
        <v>-</v>
      </c>
      <c r="CM170" s="378" t="str">
        <f t="shared" ca="1" si="102"/>
        <v>-</v>
      </c>
      <c r="CN170" s="378" t="str">
        <f t="shared" ca="1" si="102"/>
        <v>-</v>
      </c>
      <c r="CO170" s="378" t="str">
        <f t="shared" ca="1" si="102"/>
        <v>-</v>
      </c>
      <c r="CP170" s="378" t="str">
        <f t="shared" ca="1" si="102"/>
        <v>-</v>
      </c>
      <c r="CQ170" s="378" t="str">
        <f t="shared" ca="1" si="102"/>
        <v>-</v>
      </c>
      <c r="CR170" s="510" t="str">
        <f ca="1">IFERROR(IF(LEFT(BW170,3)="Poo",INDEX($BE$4:$BJ$99,MATCH(CI170,$BG$4:$BG$99,0),6)*((15/50))*Calculation!$AK$6,INDEX(Calculation_Tab,MATCH(BV170,Identifier,0),10)/(IF(LEN(INDEX(Calculation_Tab,MATCH(BV170,Identifier,0),9))&gt;8,LEN(INDEX(Calculation_Tab,MATCH(BV170,Identifier,0),9))-8,1))*((15/50)*Calculation!$AK$6)),"-")</f>
        <v>-</v>
      </c>
      <c r="CS170" s="498" t="str">
        <f ca="1">IF(CI170="-","-",IF(COUNTIF($CI$3:CI170,CI170)&gt;1,0,IFERROR((35/50)*Calculation!$AK$6,"-")))</f>
        <v>-</v>
      </c>
    </row>
    <row r="171" spans="4:97" x14ac:dyDescent="0.5">
      <c r="D171" s="487" t="e">
        <f t="shared" si="79"/>
        <v>#DIV/0!</v>
      </c>
      <c r="E171" s="496" t="e">
        <f t="array" ref="E171">IF(IF((ROW(E171)-3)&lt;(ListAndConversion!$A$15),INDEX(Flow_Cell_Lane,MIN(IF(COUNTIF($E$2:E170,Flow_Cell_Lane)=0,ROW(Flow_Cell_Lane)-9))),"-")="","-",IF((ROW(E171)-3)&lt;(ListAndConversion!$A$15),INDEX(Flow_Cell_Lane,MIN(IF(COUNTIF($E$2:E170,Flow_Cell_Lane)=0,ROW(Flow_Cell_Lane)-9))),"-"))</f>
        <v>#DIV/0!</v>
      </c>
      <c r="F171" s="378" t="e">
        <f t="shared" si="80"/>
        <v>#DIV/0!</v>
      </c>
      <c r="G171" s="378" t="e">
        <f t="shared" si="101"/>
        <v>#DIV/0!</v>
      </c>
      <c r="H171" s="378" t="e">
        <f t="shared" si="101"/>
        <v>#DIV/0!</v>
      </c>
      <c r="I171" s="378" t="e">
        <f t="shared" si="101"/>
        <v>#DIV/0!</v>
      </c>
      <c r="J171" s="378" t="e">
        <f t="shared" si="101"/>
        <v>#DIV/0!</v>
      </c>
      <c r="K171" s="378" t="e">
        <f t="shared" si="101"/>
        <v>#DIV/0!</v>
      </c>
      <c r="L171" s="378" t="e">
        <f t="shared" si="101"/>
        <v>#DIV/0!</v>
      </c>
      <c r="M171" s="378" t="e">
        <f t="shared" si="101"/>
        <v>#DIV/0!</v>
      </c>
      <c r="N171" s="497" t="e">
        <f t="shared" si="81"/>
        <v>#DIV/0!</v>
      </c>
      <c r="O171" s="497" t="str">
        <f t="array" ref="O171">IFERROR(INDEX(Calculation!I:AN,MATCH(ListAndConversion!E171,Calculation!I:I,0),31),"-")</f>
        <v>-</v>
      </c>
      <c r="P171" s="498">
        <f>IF(COUNTIFS(Calculation!$I$10:$I$393,E171,Direct_Denaturation,"-")&lt;&gt;1,COUNTIFS(Calculation!$I$10:$I$393,E171,Direct_Denaturation,"-"),0)</f>
        <v>0</v>
      </c>
      <c r="V171" s="542" t="s">
        <v>82</v>
      </c>
      <c r="W171" s="542" t="s">
        <v>82</v>
      </c>
      <c r="X171" s="542" t="s">
        <v>82</v>
      </c>
      <c r="Y171" s="542" t="s">
        <v>82</v>
      </c>
      <c r="Z171" s="542" t="s">
        <v>82</v>
      </c>
      <c r="AA171" s="542" t="s">
        <v>82</v>
      </c>
      <c r="AB171" s="542" t="s">
        <v>82</v>
      </c>
      <c r="AC171" s="542" t="s">
        <v>82</v>
      </c>
      <c r="AD171" s="542" t="s">
        <v>82</v>
      </c>
      <c r="AE171" s="542" t="s">
        <v>82</v>
      </c>
      <c r="AF171" s="542" t="s">
        <v>82</v>
      </c>
      <c r="AG171" s="542" t="s">
        <v>82</v>
      </c>
      <c r="AH171" s="9"/>
      <c r="AI171" s="487">
        <v>168</v>
      </c>
      <c r="AJ171" s="497" t="s">
        <v>161</v>
      </c>
      <c r="AK171" s="378">
        <v>72</v>
      </c>
      <c r="AL171" s="378" t="str">
        <f t="shared" ca="1" si="82"/>
        <v>-</v>
      </c>
      <c r="AM171" s="378" t="str">
        <f t="array" aca="1" ref="AM171" ca="1">IFERROR(IF(AI171&lt;=$AB$2,"-",INDEX(Calculation_Tab,SMALL(ROW(Main_Dil)*(Main_Dil&lt;&gt;"-"),COUNTIF(Main_Dil,"-")+ROW()-3-$AB$2)-9,5)),"-")</f>
        <v>-</v>
      </c>
      <c r="AN171" s="378" t="str">
        <f t="array" aca="1" ref="AN171" ca="1">IFERROR(IF(AI171&lt;=$AB$2,"-",INDEX($A$3:$B$12,MATCH(INDEX(Calculation_Tab,SMALL(ROW(Main_Dil)*(Main_Dil&lt;&gt;"-"),COUNTIF(Main_Dil,"-")+ROW()-3-$AB$2)-9,5),$A$3:$A$12,0),2)),"-")</f>
        <v>-</v>
      </c>
      <c r="AO171" s="378" t="str">
        <f t="array" aca="1" ref="AO171" ca="1">IFERROR(IF(AI171&lt;=$AB$2,"-",INDEX(Coordinate,MATCH(INDEX(Calculation_Tab,SMALL(ROW(Main_Dil)*(Main_Dil&lt;&gt;"-"),COUNTIF(Main_Dil,"-")+ROW()-3-$AB$2)-9,6),$X$4:$X$99,0),2)),"-")</f>
        <v>-</v>
      </c>
      <c r="AP171" s="510" t="str">
        <f t="array" aca="1" ref="AP171" ca="1">IFERROR(IF(AI171&lt;=$AB$2,"-",INDEX(Calculation_Tab,SMALL(ROW(Main_Dil)*(Main_Dil&lt;&gt;"-"),COUNTIF(Main_Dil,"-")+ROW()-3-$AB$2)-9,21)),"-")</f>
        <v>-</v>
      </c>
      <c r="AQ171" s="511" t="str">
        <f t="array" aca="1" ref="AQ171" ca="1">IFERROR(IF(AI171&lt;=$AB$2,"-",INDEX(Calculation_Tab,SMALL(ROW(Main_Dil)*(Main_Dil&lt;&gt;"-"),COUNTIF(Main_Dil,"-")+ROW()-3-$AB$2)-9,22)),"-")</f>
        <v>-</v>
      </c>
      <c r="AR171" s="487" t="str">
        <f t="shared" ca="1" si="83"/>
        <v>-</v>
      </c>
      <c r="AS171" s="378">
        <v>168</v>
      </c>
      <c r="AT171" s="497" t="s">
        <v>161</v>
      </c>
      <c r="AU171" s="498">
        <v>72</v>
      </c>
      <c r="AV171" s="378" t="str">
        <f t="shared" ca="1" si="84"/>
        <v>-</v>
      </c>
      <c r="AW171" s="378" t="str">
        <f t="array" aca="1" ref="AW171" ca="1">IFERROR(IF(AS171&lt;=$AB$2+$AN$2,"-",INDEX(Calculation_Tab,SMALL(ROW(Direct_Denaturation)*(Direct_Denaturation&lt;&gt;"-"),COUNTIF(Direct_Denaturation,"-")+ROW()-3-$AB$2-$AN$2)-9,5)),"-")</f>
        <v>-</v>
      </c>
      <c r="AX171" s="378" t="str">
        <f t="array" aca="1" ref="AX171" ca="1">IFERROR(IF(AS171&lt;=$AB$2+$AN$2,"-",INDEX($A$3:$B$12,MATCH(INDEX(Calculation_Tab,SMALL(ROW(Direct_Denaturation)*(Direct_Denaturation&lt;&gt;"-"),COUNTIF(Direct_Denaturation,"-")+ROW()-3-$AB$2-$AN$2)-9,5),$A$3:$A$12,0),2)),"-")</f>
        <v>-</v>
      </c>
      <c r="AY171" s="378" t="str">
        <f t="array" aca="1" ref="AY171" ca="1">IFERROR(IF(AS171&lt;=$AB$2+$AN$2,"-",INDEX(Coordinate,MATCH(INDEX(Calculation_Tab,SMALL(ROW(Direct_Denaturation)*(Direct_Denaturation&lt;&gt;"-"),COUNTIF(Direct_Denaturation,"-")+ROW()-3-$AB$2-$AN$2)-9,6),$X$4:$X$99,0),2)),"-")</f>
        <v>-</v>
      </c>
      <c r="AZ171" s="510" t="str">
        <f t="array" aca="1" ref="AZ171" ca="1">IFERROR(IF(AS171&lt;=$AB$2+$AN$2,"-",INDEX(Calculation_Tab,SMALL(ROW(Direct_Denaturation)*(Direct_Denaturation&lt;&gt;"-"),COUNTIF(Direct_Denaturation,"-")+ROW()-3-$AB$2-$AN$2)-9,32)),"-")</f>
        <v>-</v>
      </c>
      <c r="BA171" s="510" t="str">
        <f t="array" aca="1" ref="BA171" ca="1">IFERROR(IF(AS171&lt;=$AB$2+$AN$2,"-",INDEX(Calculation_Tab,SMALL(ROW(Direct_Denaturation)*(Direct_Denaturation&lt;&gt;"-"),COUNTIF(Direct_Denaturation,"-")+ROW()-3-$AB$2-$AN$2)-9,34)),"-")</f>
        <v>-</v>
      </c>
      <c r="BB171" s="510" t="str">
        <f t="array" aca="1" ref="BB171" ca="1">IFERROR(IF(AS171&lt;=$AB$2+$AN$2,"-",INDEX(Calculation_Tab,SMALL(ROW(Direct_Denaturation)*(Direct_Denaturation&lt;&gt;"-"),COUNTIF(Direct_Denaturation,"-")+ROW()-3-$AB$2-$AN$2)-9,33)),"-")</f>
        <v>-</v>
      </c>
      <c r="BC171" s="510" t="str">
        <f t="array" aca="1" ref="BC171" ca="1">IFERROR(IF(AS171&lt;=$AB$2+$AN$2,"-",INDEX(Calculation_Tab,SMALL(ROW(Direct_Denaturation)*(Direct_Denaturation&lt;&gt;"-"),COUNTIF(Direct_Denaturation,"-")+ROW()-3-$AB$2-$AN$2)-9,35)),"-")</f>
        <v>-</v>
      </c>
      <c r="BD171" s="511" t="str">
        <f t="shared" ca="1" si="85"/>
        <v>-</v>
      </c>
      <c r="BK171" s="542" t="s">
        <v>82</v>
      </c>
      <c r="BL171" s="542" t="s">
        <v>82</v>
      </c>
      <c r="BM171" s="487" t="str">
        <f t="array" aca="1" ref="BM171" ca="1">IFERROR(INDEX(Calculation_Tab,SMALL(ROW(ToPool)*(ToPool&lt;&gt;"-"),COUNTIF(ToPool,"-")+ROW()-3)-9,3),"-")</f>
        <v>-</v>
      </c>
      <c r="BN171" s="378" t="str">
        <f t="shared" ca="1" si="86"/>
        <v>-</v>
      </c>
      <c r="BO171" s="378" t="str">
        <f t="shared" ca="1" si="87"/>
        <v>-</v>
      </c>
      <c r="BP171" s="523" t="str">
        <f t="shared" ca="1" si="88"/>
        <v>-</v>
      </c>
      <c r="BQ171" s="378" t="str">
        <f t="array" aca="1" ref="BQ171" ca="1">IFERROR(INDEX(BE:BG,MATCH(INDEX(Calculation_Tab,SMALL(ROW(ToPool)*(ToPool&lt;&gt;"-"),COUNTIF(ToPool,"-")+ROW()-3)-9,9),BG:BG,0),2),"-")</f>
        <v>-</v>
      </c>
      <c r="BR171" s="510" t="str">
        <f t="shared" ca="1" si="89"/>
        <v>-</v>
      </c>
      <c r="BS171" s="511" t="str">
        <f t="shared" ca="1" si="90"/>
        <v>-</v>
      </c>
      <c r="BT171" s="543" t="s">
        <v>82</v>
      </c>
      <c r="BU171" s="487" t="str">
        <f t="shared" ca="1" si="95"/>
        <v>-</v>
      </c>
      <c r="BV171" s="487" t="str">
        <f t="array" aca="1" ref="BV17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71" s="378" t="str">
        <f t="shared" ca="1" si="91"/>
        <v>-</v>
      </c>
      <c r="BX171" s="378" t="str">
        <f t="shared" ca="1" si="92"/>
        <v>-</v>
      </c>
      <c r="BY171" s="510" t="str">
        <f ca="1">IFERROR(ROUND(INDEX(Cluster,MATCH(IF(LEFT(BV171,4)="Pool",INDEX(Cluster,MATCH(INDEX(Calculation_Tab,MATCH(INDEX($BE$4:$BJ$99,MATCH(BV171,$BE$4:$BE$99,0),3),Flow_Cell_Lane,0),3),Cluster!$F$29:$F$412,0),6),BV171),Identifier_Cluster,0),19)*IF(LEFT(BV171,4)="pool",IF(LEN(INDEX($BE$4:$BJ$99,MATCH(BV171,$BE$4:$BE$99,0),3))=10,2,IF(LEN(INDEX($BE$4:$BJ$99,MATCH(BV171,$BE$4:$BE$99,0),3))&gt;10,LEN(INDEX($BE$4:$BJ$99,MATCH(BV171,$BE$4:$BE$99,0),3))-8,1)),1)*IF(LEFT(BV171,4)="pool",IF(INDEX($BE$4:$BJ$99,MATCH(BV171,$BE$4:$BE$99,0),6)&lt;1,1,INDEX($BE$4:$BJ$99,MATCH(BV171,$BE$4:$BE$99,0),6)),INDEX(Calculation_Tab,MATCH(BV171,Identifier,0),10)),1)*(1+Calculation!$Q$6),"-")</f>
        <v>-</v>
      </c>
      <c r="BZ171" s="378" t="str">
        <f ca="1">IFERROR((0.5/50)*CE171/Calculation!$AG$6*(IF(LEFT(BV171,4)="Pool",IF(LEN(INDEX($BE$4:$BJ$99,MATCH(BV171,$BE$4:$BE$99,0),3))=10,2,IF(LEN(INDEX($BE$4:$BJ$99,MATCH(BV171,$BE$4:$BE$99,0),3))&gt;10,LEN(INDEX($BE$4:$BJ$99,MATCH(BV171,$BE$4:$BE$99,0),3))-8,1)),IF(INDEX(Calculation_Tab,MATCH(BV171,Identifier,0),10)&gt;1,INDEX(Calculation_Tab,MATCH(BV171,Identifier,0),10),1)))*(1+Calculation!$Q$6),"-")</f>
        <v>-</v>
      </c>
      <c r="CA171" s="510" t="str">
        <f ca="1">IFERROR(IF((BZ171*Calculation!$AG$6/0.05)-SUM(BY171:BZ171,CC171)&gt;0,(BZ171*Calculation!$AG$6/0.05)-SUM(BY171:BZ171,CC171),0),"-")</f>
        <v>-</v>
      </c>
      <c r="CB171" s="510" t="str">
        <f ca="1">IFERROR(5/50*CE171*(IF(LEFT(BV171,4)="Pool",IF(LEN(INDEX($BE$4:$BJ$99,MATCH(BV171,$BE$4:$BE$99,0),3))=10,2,IF(LEN(INDEX($BE$4:$BJ$99,MATCH(BV171,$BE$4:$BE$99,0),3))&gt;10,LEN(INDEX($BE$4:$BJ$99,MATCH(BV171,$BE$4:$BE$99,0),3))-8,1)),IF(INDEX(Calculation_Tab,MATCH(BV171,Identifier,0),10)&gt;1,INDEX(Calculation_Tab,MATCH(BV171,Identifier,0),10),1)))*(1+Calculation!$Q$6),"-")</f>
        <v>-</v>
      </c>
      <c r="CC171" s="508" t="str">
        <f ca="1">IFERROR(ROUND(INDEX(Cluster,MATCH(IF(LEFT(BV171,4)="Pool",INDEX(Cluster,MATCH(INDEX(Calculation_Tab,MATCH(INDEX($BE$4:$BJ$99,MATCH(BV171,$BE$4:$BE$99,0),3),Flow_Cell_Lane,0),3),Cluster!$F$29:$F$412,0),6),BV171),Identifier_Cluster,0),20)*IF(LEFT(BV171,4)="pool",IF(LEN(INDEX($BE$4:$BJ$99,MATCH(BV171,$BE$4:$BE$99,0),3))=10,2,IF(LEN(INDEX($BE$4:$BJ$99,MATCH(BV171,$BE$4:$BE$99,0),3))&gt;10,LEN(INDEX($BE$4:$BJ$99,MATCH(BV171,$BE$4:$BE$99,0),3))-8,1)),1)*IF(LEFT(BV171,4)="pool",IF(INDEX($BE$4:$BJ$99,MATCH(BV171,$BE$4:$BE$99,0),6)&lt;1,1,INDEX($BE$4:$BJ$99,MATCH(BV171,$BE$4:$BE$99,0),6)),INDEX(Calculation_Tab,MATCH(BV171,Identifier,0),10)),1)*(1+Calculation!$Q$6),"-")</f>
        <v>-</v>
      </c>
      <c r="CD171" s="509" t="str">
        <f ca="1">IFERROR(INDEX(Cluster!AC:AD,MATCH(IF(LEFT(BV171,4)="Pool",INDEX(Cluster!$D$29:$AA$412,MATCH(INDEX(Calculation_Tab,MATCH(INDEX($BE$4:$BJ$99,MATCH(BV171,$BE$4:$BE$99,0),3),Flow_Cell_Lane,0),3),Cluster!$F$29:$F$412,0),24),INDEX(Cluster!$D$29:$AA$412,MATCH(BV171,Cluster!$F$29:$F$412,0),24)),Cluster!AC:AC,0),2),"-")</f>
        <v>-</v>
      </c>
      <c r="CE171" s="378" t="str">
        <f ca="1">IFERROR(IF(BV171&lt;&gt;"-",Calculation!$AK$6,"-"),"-")</f>
        <v>-</v>
      </c>
      <c r="CF171" s="378" t="str">
        <f ca="1">IF(OR(LEFT(ListAndConversion!BW171,3)="Dil",LEFT(ListAndConversion!BW171,3)="Poo"),ListAndConversion!$BT$4,IF(LEFT(ListAndConversion!BW171,3)="Sou",INDEX(ListAndConversion!$AT$3:$AV$387,MATCH(ListAndConversion!BV171,ListAndConversion!$AV$3:$AV$387,0),1),"-"))</f>
        <v>-</v>
      </c>
      <c r="CG171" s="498" t="str">
        <f ca="1">IF(OR(LEFT(ListAndConversion!BW171,3)="Dil",LEFT(ListAndConversion!BW171,3)="Poo"),ListAndConversion!BU171,IF(LEFT(ListAndConversion!BW171,3)="Sou",INDEX(ListAndConversion!$AT$4:$AV$387,MATCH(ListAndConversion!BV171,ListAndConversion!$AV$4:$AV$387,0),2),"-"))</f>
        <v>-</v>
      </c>
      <c r="CH171" s="378"/>
      <c r="CI171" s="487" t="str">
        <f t="shared" ca="1" si="93"/>
        <v>-</v>
      </c>
      <c r="CJ171" s="378" t="str">
        <f t="shared" ca="1" si="102"/>
        <v>-</v>
      </c>
      <c r="CK171" s="378" t="str">
        <f t="shared" ca="1" si="102"/>
        <v>-</v>
      </c>
      <c r="CL171" s="378" t="str">
        <f t="shared" ca="1" si="102"/>
        <v>-</v>
      </c>
      <c r="CM171" s="378" t="str">
        <f t="shared" ca="1" si="102"/>
        <v>-</v>
      </c>
      <c r="CN171" s="378" t="str">
        <f t="shared" ca="1" si="102"/>
        <v>-</v>
      </c>
      <c r="CO171" s="378" t="str">
        <f t="shared" ca="1" si="102"/>
        <v>-</v>
      </c>
      <c r="CP171" s="378" t="str">
        <f t="shared" ca="1" si="102"/>
        <v>-</v>
      </c>
      <c r="CQ171" s="378" t="str">
        <f t="shared" ca="1" si="102"/>
        <v>-</v>
      </c>
      <c r="CR171" s="510" t="str">
        <f ca="1">IFERROR(IF(LEFT(BW171,3)="Poo",INDEX($BE$4:$BJ$99,MATCH(CI171,$BG$4:$BG$99,0),6)*((15/50))*Calculation!$AK$6,INDEX(Calculation_Tab,MATCH(BV171,Identifier,0),10)/(IF(LEN(INDEX(Calculation_Tab,MATCH(BV171,Identifier,0),9))&gt;8,LEN(INDEX(Calculation_Tab,MATCH(BV171,Identifier,0),9))-8,1))*((15/50)*Calculation!$AK$6)),"-")</f>
        <v>-</v>
      </c>
      <c r="CS171" s="498" t="str">
        <f ca="1">IF(CI171="-","-",IF(COUNTIF($CI$3:CI171,CI171)&gt;1,0,IFERROR((35/50)*Calculation!$AK$6,"-")))</f>
        <v>-</v>
      </c>
    </row>
    <row r="172" spans="4:97" x14ac:dyDescent="0.5">
      <c r="D172" s="487" t="e">
        <f t="shared" si="79"/>
        <v>#DIV/0!</v>
      </c>
      <c r="E172" s="496" t="e">
        <f t="array" ref="E172">IF(IF((ROW(E172)-3)&lt;(ListAndConversion!$A$15),INDEX(Flow_Cell_Lane,MIN(IF(COUNTIF($E$2:E171,Flow_Cell_Lane)=0,ROW(Flow_Cell_Lane)-9))),"-")="","-",IF((ROW(E172)-3)&lt;(ListAndConversion!$A$15),INDEX(Flow_Cell_Lane,MIN(IF(COUNTIF($E$2:E171,Flow_Cell_Lane)=0,ROW(Flow_Cell_Lane)-9))),"-"))</f>
        <v>#DIV/0!</v>
      </c>
      <c r="F172" s="378" t="e">
        <f t="shared" si="80"/>
        <v>#DIV/0!</v>
      </c>
      <c r="G172" s="378" t="e">
        <f t="shared" si="101"/>
        <v>#DIV/0!</v>
      </c>
      <c r="H172" s="378" t="e">
        <f t="shared" si="101"/>
        <v>#DIV/0!</v>
      </c>
      <c r="I172" s="378" t="e">
        <f t="shared" si="101"/>
        <v>#DIV/0!</v>
      </c>
      <c r="J172" s="378" t="e">
        <f t="shared" si="101"/>
        <v>#DIV/0!</v>
      </c>
      <c r="K172" s="378" t="e">
        <f t="shared" si="101"/>
        <v>#DIV/0!</v>
      </c>
      <c r="L172" s="378" t="e">
        <f t="shared" si="101"/>
        <v>#DIV/0!</v>
      </c>
      <c r="M172" s="378" t="e">
        <f t="shared" si="101"/>
        <v>#DIV/0!</v>
      </c>
      <c r="N172" s="497" t="e">
        <f t="shared" si="81"/>
        <v>#DIV/0!</v>
      </c>
      <c r="O172" s="497" t="str">
        <f t="array" ref="O172">IFERROR(INDEX(Calculation!I:AN,MATCH(ListAndConversion!E172,Calculation!I:I,0),31),"-")</f>
        <v>-</v>
      </c>
      <c r="P172" s="498">
        <f>IF(COUNTIFS(Calculation!$I$10:$I$393,E172,Direct_Denaturation,"-")&lt;&gt;1,COUNTIFS(Calculation!$I$10:$I$393,E172,Direct_Denaturation,"-"),0)</f>
        <v>0</v>
      </c>
      <c r="V172" s="542" t="s">
        <v>82</v>
      </c>
      <c r="W172" s="542" t="s">
        <v>82</v>
      </c>
      <c r="X172" s="542" t="s">
        <v>82</v>
      </c>
      <c r="Y172" s="542" t="s">
        <v>82</v>
      </c>
      <c r="Z172" s="542" t="s">
        <v>82</v>
      </c>
      <c r="AA172" s="542" t="s">
        <v>82</v>
      </c>
      <c r="AB172" s="542" t="s">
        <v>82</v>
      </c>
      <c r="AC172" s="542" t="s">
        <v>82</v>
      </c>
      <c r="AD172" s="542" t="s">
        <v>82</v>
      </c>
      <c r="AE172" s="542" t="s">
        <v>82</v>
      </c>
      <c r="AF172" s="542" t="s">
        <v>82</v>
      </c>
      <c r="AG172" s="542" t="s">
        <v>82</v>
      </c>
      <c r="AH172" s="9"/>
      <c r="AI172" s="487">
        <v>169</v>
      </c>
      <c r="AJ172" s="497" t="s">
        <v>161</v>
      </c>
      <c r="AK172" s="378">
        <v>73</v>
      </c>
      <c r="AL172" s="378" t="str">
        <f t="shared" ca="1" si="82"/>
        <v>-</v>
      </c>
      <c r="AM172" s="378" t="str">
        <f t="array" aca="1" ref="AM172" ca="1">IFERROR(IF(AI172&lt;=$AB$2,"-",INDEX(Calculation_Tab,SMALL(ROW(Main_Dil)*(Main_Dil&lt;&gt;"-"),COUNTIF(Main_Dil,"-")+ROW()-3-$AB$2)-9,5)),"-")</f>
        <v>-</v>
      </c>
      <c r="AN172" s="378" t="str">
        <f t="array" aca="1" ref="AN172" ca="1">IFERROR(IF(AI172&lt;=$AB$2,"-",INDEX($A$3:$B$12,MATCH(INDEX(Calculation_Tab,SMALL(ROW(Main_Dil)*(Main_Dil&lt;&gt;"-"),COUNTIF(Main_Dil,"-")+ROW()-3-$AB$2)-9,5),$A$3:$A$12,0),2)),"-")</f>
        <v>-</v>
      </c>
      <c r="AO172" s="378" t="str">
        <f t="array" aca="1" ref="AO172" ca="1">IFERROR(IF(AI172&lt;=$AB$2,"-",INDEX(Coordinate,MATCH(INDEX(Calculation_Tab,SMALL(ROW(Main_Dil)*(Main_Dil&lt;&gt;"-"),COUNTIF(Main_Dil,"-")+ROW()-3-$AB$2)-9,6),$X$4:$X$99,0),2)),"-")</f>
        <v>-</v>
      </c>
      <c r="AP172" s="510" t="str">
        <f t="array" aca="1" ref="AP172" ca="1">IFERROR(IF(AI172&lt;=$AB$2,"-",INDEX(Calculation_Tab,SMALL(ROW(Main_Dil)*(Main_Dil&lt;&gt;"-"),COUNTIF(Main_Dil,"-")+ROW()-3-$AB$2)-9,21)),"-")</f>
        <v>-</v>
      </c>
      <c r="AQ172" s="511" t="str">
        <f t="array" aca="1" ref="AQ172" ca="1">IFERROR(IF(AI172&lt;=$AB$2,"-",INDEX(Calculation_Tab,SMALL(ROW(Main_Dil)*(Main_Dil&lt;&gt;"-"),COUNTIF(Main_Dil,"-")+ROW()-3-$AB$2)-9,22)),"-")</f>
        <v>-</v>
      </c>
      <c r="AR172" s="487" t="str">
        <f t="shared" ca="1" si="83"/>
        <v>-</v>
      </c>
      <c r="AS172" s="378">
        <v>169</v>
      </c>
      <c r="AT172" s="497" t="s">
        <v>161</v>
      </c>
      <c r="AU172" s="498">
        <v>73</v>
      </c>
      <c r="AV172" s="378" t="str">
        <f t="shared" ca="1" si="84"/>
        <v>-</v>
      </c>
      <c r="AW172" s="378" t="str">
        <f t="array" aca="1" ref="AW172" ca="1">IFERROR(IF(AS172&lt;=$AB$2+$AN$2,"-",INDEX(Calculation_Tab,SMALL(ROW(Direct_Denaturation)*(Direct_Denaturation&lt;&gt;"-"),COUNTIF(Direct_Denaturation,"-")+ROW()-3-$AB$2-$AN$2)-9,5)),"-")</f>
        <v>-</v>
      </c>
      <c r="AX172" s="378" t="str">
        <f t="array" aca="1" ref="AX172" ca="1">IFERROR(IF(AS172&lt;=$AB$2+$AN$2,"-",INDEX($A$3:$B$12,MATCH(INDEX(Calculation_Tab,SMALL(ROW(Direct_Denaturation)*(Direct_Denaturation&lt;&gt;"-"),COUNTIF(Direct_Denaturation,"-")+ROW()-3-$AB$2-$AN$2)-9,5),$A$3:$A$12,0),2)),"-")</f>
        <v>-</v>
      </c>
      <c r="AY172" s="378" t="str">
        <f t="array" aca="1" ref="AY172" ca="1">IFERROR(IF(AS172&lt;=$AB$2+$AN$2,"-",INDEX(Coordinate,MATCH(INDEX(Calculation_Tab,SMALL(ROW(Direct_Denaturation)*(Direct_Denaturation&lt;&gt;"-"),COUNTIF(Direct_Denaturation,"-")+ROW()-3-$AB$2-$AN$2)-9,6),$X$4:$X$99,0),2)),"-")</f>
        <v>-</v>
      </c>
      <c r="AZ172" s="510" t="str">
        <f t="array" aca="1" ref="AZ172" ca="1">IFERROR(IF(AS172&lt;=$AB$2+$AN$2,"-",INDEX(Calculation_Tab,SMALL(ROW(Direct_Denaturation)*(Direct_Denaturation&lt;&gt;"-"),COUNTIF(Direct_Denaturation,"-")+ROW()-3-$AB$2-$AN$2)-9,32)),"-")</f>
        <v>-</v>
      </c>
      <c r="BA172" s="510" t="str">
        <f t="array" aca="1" ref="BA172" ca="1">IFERROR(IF(AS172&lt;=$AB$2+$AN$2,"-",INDEX(Calculation_Tab,SMALL(ROW(Direct_Denaturation)*(Direct_Denaturation&lt;&gt;"-"),COUNTIF(Direct_Denaturation,"-")+ROW()-3-$AB$2-$AN$2)-9,34)),"-")</f>
        <v>-</v>
      </c>
      <c r="BB172" s="510" t="str">
        <f t="array" aca="1" ref="BB172" ca="1">IFERROR(IF(AS172&lt;=$AB$2+$AN$2,"-",INDEX(Calculation_Tab,SMALL(ROW(Direct_Denaturation)*(Direct_Denaturation&lt;&gt;"-"),COUNTIF(Direct_Denaturation,"-")+ROW()-3-$AB$2-$AN$2)-9,33)),"-")</f>
        <v>-</v>
      </c>
      <c r="BC172" s="510" t="str">
        <f t="array" aca="1" ref="BC172" ca="1">IFERROR(IF(AS172&lt;=$AB$2+$AN$2,"-",INDEX(Calculation_Tab,SMALL(ROW(Direct_Denaturation)*(Direct_Denaturation&lt;&gt;"-"),COUNTIF(Direct_Denaturation,"-")+ROW()-3-$AB$2-$AN$2)-9,35)),"-")</f>
        <v>-</v>
      </c>
      <c r="BD172" s="511" t="str">
        <f t="shared" ca="1" si="85"/>
        <v>-</v>
      </c>
      <c r="BK172" s="542" t="s">
        <v>82</v>
      </c>
      <c r="BL172" s="542" t="s">
        <v>82</v>
      </c>
      <c r="BM172" s="487" t="str">
        <f t="array" aca="1" ref="BM172" ca="1">IFERROR(INDEX(Calculation_Tab,SMALL(ROW(ToPool)*(ToPool&lt;&gt;"-"),COUNTIF(ToPool,"-")+ROW()-3)-9,3),"-")</f>
        <v>-</v>
      </c>
      <c r="BN172" s="378" t="str">
        <f t="shared" ca="1" si="86"/>
        <v>-</v>
      </c>
      <c r="BO172" s="378" t="str">
        <f t="shared" ca="1" si="87"/>
        <v>-</v>
      </c>
      <c r="BP172" s="523" t="str">
        <f t="shared" ca="1" si="88"/>
        <v>-</v>
      </c>
      <c r="BQ172" s="378" t="str">
        <f t="array" aca="1" ref="BQ172" ca="1">IFERROR(INDEX(BE:BG,MATCH(INDEX(Calculation_Tab,SMALL(ROW(ToPool)*(ToPool&lt;&gt;"-"),COUNTIF(ToPool,"-")+ROW()-3)-9,9),BG:BG,0),2),"-")</f>
        <v>-</v>
      </c>
      <c r="BR172" s="510" t="str">
        <f t="shared" ca="1" si="89"/>
        <v>-</v>
      </c>
      <c r="BS172" s="511" t="str">
        <f t="shared" ca="1" si="90"/>
        <v>-</v>
      </c>
      <c r="BT172" s="543" t="s">
        <v>82</v>
      </c>
      <c r="BU172" s="487" t="str">
        <f t="shared" ca="1" si="95"/>
        <v>-</v>
      </c>
      <c r="BV172" s="487" t="str">
        <f t="array" aca="1" ref="BV17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72" s="378" t="str">
        <f t="shared" ca="1" si="91"/>
        <v>-</v>
      </c>
      <c r="BX172" s="378" t="str">
        <f t="shared" ca="1" si="92"/>
        <v>-</v>
      </c>
      <c r="BY172" s="510" t="str">
        <f ca="1">IFERROR(ROUND(INDEX(Cluster,MATCH(IF(LEFT(BV172,4)="Pool",INDEX(Cluster,MATCH(INDEX(Calculation_Tab,MATCH(INDEX($BE$4:$BJ$99,MATCH(BV172,$BE$4:$BE$99,0),3),Flow_Cell_Lane,0),3),Cluster!$F$29:$F$412,0),6),BV172),Identifier_Cluster,0),19)*IF(LEFT(BV172,4)="pool",IF(LEN(INDEX($BE$4:$BJ$99,MATCH(BV172,$BE$4:$BE$99,0),3))=10,2,IF(LEN(INDEX($BE$4:$BJ$99,MATCH(BV172,$BE$4:$BE$99,0),3))&gt;10,LEN(INDEX($BE$4:$BJ$99,MATCH(BV172,$BE$4:$BE$99,0),3))-8,1)),1)*IF(LEFT(BV172,4)="pool",IF(INDEX($BE$4:$BJ$99,MATCH(BV172,$BE$4:$BE$99,0),6)&lt;1,1,INDEX($BE$4:$BJ$99,MATCH(BV172,$BE$4:$BE$99,0),6)),INDEX(Calculation_Tab,MATCH(BV172,Identifier,0),10)),1)*(1+Calculation!$Q$6),"-")</f>
        <v>-</v>
      </c>
      <c r="BZ172" s="378" t="str">
        <f ca="1">IFERROR((0.5/50)*CE172/Calculation!$AG$6*(IF(LEFT(BV172,4)="Pool",IF(LEN(INDEX($BE$4:$BJ$99,MATCH(BV172,$BE$4:$BE$99,0),3))=10,2,IF(LEN(INDEX($BE$4:$BJ$99,MATCH(BV172,$BE$4:$BE$99,0),3))&gt;10,LEN(INDEX($BE$4:$BJ$99,MATCH(BV172,$BE$4:$BE$99,0),3))-8,1)),IF(INDEX(Calculation_Tab,MATCH(BV172,Identifier,0),10)&gt;1,INDEX(Calculation_Tab,MATCH(BV172,Identifier,0),10),1)))*(1+Calculation!$Q$6),"-")</f>
        <v>-</v>
      </c>
      <c r="CA172" s="510" t="str">
        <f ca="1">IFERROR(IF((BZ172*Calculation!$AG$6/0.05)-SUM(BY172:BZ172,CC172)&gt;0,(BZ172*Calculation!$AG$6/0.05)-SUM(BY172:BZ172,CC172),0),"-")</f>
        <v>-</v>
      </c>
      <c r="CB172" s="510" t="str">
        <f ca="1">IFERROR(5/50*CE172*(IF(LEFT(BV172,4)="Pool",IF(LEN(INDEX($BE$4:$BJ$99,MATCH(BV172,$BE$4:$BE$99,0),3))=10,2,IF(LEN(INDEX($BE$4:$BJ$99,MATCH(BV172,$BE$4:$BE$99,0),3))&gt;10,LEN(INDEX($BE$4:$BJ$99,MATCH(BV172,$BE$4:$BE$99,0),3))-8,1)),IF(INDEX(Calculation_Tab,MATCH(BV172,Identifier,0),10)&gt;1,INDEX(Calculation_Tab,MATCH(BV172,Identifier,0),10),1)))*(1+Calculation!$Q$6),"-")</f>
        <v>-</v>
      </c>
      <c r="CC172" s="508" t="str">
        <f ca="1">IFERROR(ROUND(INDEX(Cluster,MATCH(IF(LEFT(BV172,4)="Pool",INDEX(Cluster,MATCH(INDEX(Calculation_Tab,MATCH(INDEX($BE$4:$BJ$99,MATCH(BV172,$BE$4:$BE$99,0),3),Flow_Cell_Lane,0),3),Cluster!$F$29:$F$412,0),6),BV172),Identifier_Cluster,0),20)*IF(LEFT(BV172,4)="pool",IF(LEN(INDEX($BE$4:$BJ$99,MATCH(BV172,$BE$4:$BE$99,0),3))=10,2,IF(LEN(INDEX($BE$4:$BJ$99,MATCH(BV172,$BE$4:$BE$99,0),3))&gt;10,LEN(INDEX($BE$4:$BJ$99,MATCH(BV172,$BE$4:$BE$99,0),3))-8,1)),1)*IF(LEFT(BV172,4)="pool",IF(INDEX($BE$4:$BJ$99,MATCH(BV172,$BE$4:$BE$99,0),6)&lt;1,1,INDEX($BE$4:$BJ$99,MATCH(BV172,$BE$4:$BE$99,0),6)),INDEX(Calculation_Tab,MATCH(BV172,Identifier,0),10)),1)*(1+Calculation!$Q$6),"-")</f>
        <v>-</v>
      </c>
      <c r="CD172" s="509" t="str">
        <f ca="1">IFERROR(INDEX(Cluster!AC:AD,MATCH(IF(LEFT(BV172,4)="Pool",INDEX(Cluster!$D$29:$AA$412,MATCH(INDEX(Calculation_Tab,MATCH(INDEX($BE$4:$BJ$99,MATCH(BV172,$BE$4:$BE$99,0),3),Flow_Cell_Lane,0),3),Cluster!$F$29:$F$412,0),24),INDEX(Cluster!$D$29:$AA$412,MATCH(BV172,Cluster!$F$29:$F$412,0),24)),Cluster!AC:AC,0),2),"-")</f>
        <v>-</v>
      </c>
      <c r="CE172" s="378" t="str">
        <f ca="1">IFERROR(IF(BV172&lt;&gt;"-",Calculation!$AK$6,"-"),"-")</f>
        <v>-</v>
      </c>
      <c r="CF172" s="378" t="str">
        <f ca="1">IF(OR(LEFT(ListAndConversion!BW172,3)="Dil",LEFT(ListAndConversion!BW172,3)="Poo"),ListAndConversion!$BT$4,IF(LEFT(ListAndConversion!BW172,3)="Sou",INDEX(ListAndConversion!$AT$3:$AV$387,MATCH(ListAndConversion!BV172,ListAndConversion!$AV$3:$AV$387,0),1),"-"))</f>
        <v>-</v>
      </c>
      <c r="CG172" s="498" t="str">
        <f ca="1">IF(OR(LEFT(ListAndConversion!BW172,3)="Dil",LEFT(ListAndConversion!BW172,3)="Poo"),ListAndConversion!BU172,IF(LEFT(ListAndConversion!BW172,3)="Sou",INDEX(ListAndConversion!$AT$4:$AV$387,MATCH(ListAndConversion!BV172,ListAndConversion!$AV$4:$AV$387,0),2),"-"))</f>
        <v>-</v>
      </c>
      <c r="CH172" s="378"/>
      <c r="CI172" s="487" t="str">
        <f t="shared" ca="1" si="93"/>
        <v>-</v>
      </c>
      <c r="CJ172" s="378" t="str">
        <f t="shared" ca="1" si="102"/>
        <v>-</v>
      </c>
      <c r="CK172" s="378" t="str">
        <f t="shared" ca="1" si="102"/>
        <v>-</v>
      </c>
      <c r="CL172" s="378" t="str">
        <f t="shared" ca="1" si="102"/>
        <v>-</v>
      </c>
      <c r="CM172" s="378" t="str">
        <f t="shared" ca="1" si="102"/>
        <v>-</v>
      </c>
      <c r="CN172" s="378" t="str">
        <f t="shared" ca="1" si="102"/>
        <v>-</v>
      </c>
      <c r="CO172" s="378" t="str">
        <f t="shared" ca="1" si="102"/>
        <v>-</v>
      </c>
      <c r="CP172" s="378" t="str">
        <f t="shared" ca="1" si="102"/>
        <v>-</v>
      </c>
      <c r="CQ172" s="378" t="str">
        <f t="shared" ca="1" si="102"/>
        <v>-</v>
      </c>
      <c r="CR172" s="510" t="str">
        <f ca="1">IFERROR(IF(LEFT(BW172,3)="Poo",INDEX($BE$4:$BJ$99,MATCH(CI172,$BG$4:$BG$99,0),6)*((15/50))*Calculation!$AK$6,INDEX(Calculation_Tab,MATCH(BV172,Identifier,0),10)/(IF(LEN(INDEX(Calculation_Tab,MATCH(BV172,Identifier,0),9))&gt;8,LEN(INDEX(Calculation_Tab,MATCH(BV172,Identifier,0),9))-8,1))*((15/50)*Calculation!$AK$6)),"-")</f>
        <v>-</v>
      </c>
      <c r="CS172" s="498" t="str">
        <f ca="1">IF(CI172="-","-",IF(COUNTIF($CI$3:CI172,CI172)&gt;1,0,IFERROR((35/50)*Calculation!$AK$6,"-")))</f>
        <v>-</v>
      </c>
    </row>
    <row r="173" spans="4:97" x14ac:dyDescent="0.5">
      <c r="D173" s="487" t="e">
        <f t="shared" si="79"/>
        <v>#DIV/0!</v>
      </c>
      <c r="E173" s="496" t="e">
        <f t="array" ref="E173">IF(IF((ROW(E173)-3)&lt;(ListAndConversion!$A$15),INDEX(Flow_Cell_Lane,MIN(IF(COUNTIF($E$2:E172,Flow_Cell_Lane)=0,ROW(Flow_Cell_Lane)-9))),"-")="","-",IF((ROW(E173)-3)&lt;(ListAndConversion!$A$15),INDEX(Flow_Cell_Lane,MIN(IF(COUNTIF($E$2:E172,Flow_Cell_Lane)=0,ROW(Flow_Cell_Lane)-9))),"-"))</f>
        <v>#DIV/0!</v>
      </c>
      <c r="F173" s="378" t="e">
        <f t="shared" si="80"/>
        <v>#DIV/0!</v>
      </c>
      <c r="G173" s="378" t="e">
        <f t="shared" ref="G173:M182" si="103">IF($D173&gt;8,IF($D173&gt;=(8+G$2),CONCATENATE(LEFT($E173,7),RIGHT(LEFT($E173,8+G$2),1)),""),"")</f>
        <v>#DIV/0!</v>
      </c>
      <c r="H173" s="378" t="e">
        <f t="shared" si="103"/>
        <v>#DIV/0!</v>
      </c>
      <c r="I173" s="378" t="e">
        <f t="shared" si="103"/>
        <v>#DIV/0!</v>
      </c>
      <c r="J173" s="378" t="e">
        <f t="shared" si="103"/>
        <v>#DIV/0!</v>
      </c>
      <c r="K173" s="378" t="e">
        <f t="shared" si="103"/>
        <v>#DIV/0!</v>
      </c>
      <c r="L173" s="378" t="e">
        <f t="shared" si="103"/>
        <v>#DIV/0!</v>
      </c>
      <c r="M173" s="378" t="e">
        <f t="shared" si="103"/>
        <v>#DIV/0!</v>
      </c>
      <c r="N173" s="497" t="e">
        <f t="shared" si="81"/>
        <v>#DIV/0!</v>
      </c>
      <c r="O173" s="497" t="str">
        <f t="array" ref="O173">IFERROR(INDEX(Calculation!I:AN,MATCH(ListAndConversion!E173,Calculation!I:I,0),31),"-")</f>
        <v>-</v>
      </c>
      <c r="P173" s="498">
        <f>IF(COUNTIFS(Calculation!$I$10:$I$393,E173,Direct_Denaturation,"-")&lt;&gt;1,COUNTIFS(Calculation!$I$10:$I$393,E173,Direct_Denaturation,"-"),0)</f>
        <v>0</v>
      </c>
      <c r="V173" s="542" t="s">
        <v>82</v>
      </c>
      <c r="W173" s="542" t="s">
        <v>82</v>
      </c>
      <c r="X173" s="542" t="s">
        <v>82</v>
      </c>
      <c r="Y173" s="542" t="s">
        <v>82</v>
      </c>
      <c r="Z173" s="542" t="s">
        <v>82</v>
      </c>
      <c r="AA173" s="542" t="s">
        <v>82</v>
      </c>
      <c r="AB173" s="542" t="s">
        <v>82</v>
      </c>
      <c r="AC173" s="542" t="s">
        <v>82</v>
      </c>
      <c r="AD173" s="542" t="s">
        <v>82</v>
      </c>
      <c r="AE173" s="542" t="s">
        <v>82</v>
      </c>
      <c r="AF173" s="542" t="s">
        <v>82</v>
      </c>
      <c r="AG173" s="542" t="s">
        <v>82</v>
      </c>
      <c r="AH173" s="9"/>
      <c r="AI173" s="487">
        <v>170</v>
      </c>
      <c r="AJ173" s="497" t="s">
        <v>161</v>
      </c>
      <c r="AK173" s="378">
        <v>74</v>
      </c>
      <c r="AL173" s="378" t="str">
        <f t="shared" ca="1" si="82"/>
        <v>-</v>
      </c>
      <c r="AM173" s="378" t="str">
        <f t="array" aca="1" ref="AM173" ca="1">IFERROR(IF(AI173&lt;=$AB$2,"-",INDEX(Calculation_Tab,SMALL(ROW(Main_Dil)*(Main_Dil&lt;&gt;"-"),COUNTIF(Main_Dil,"-")+ROW()-3-$AB$2)-9,5)),"-")</f>
        <v>-</v>
      </c>
      <c r="AN173" s="378" t="str">
        <f t="array" aca="1" ref="AN173" ca="1">IFERROR(IF(AI173&lt;=$AB$2,"-",INDEX($A$3:$B$12,MATCH(INDEX(Calculation_Tab,SMALL(ROW(Main_Dil)*(Main_Dil&lt;&gt;"-"),COUNTIF(Main_Dil,"-")+ROW()-3-$AB$2)-9,5),$A$3:$A$12,0),2)),"-")</f>
        <v>-</v>
      </c>
      <c r="AO173" s="378" t="str">
        <f t="array" aca="1" ref="AO173" ca="1">IFERROR(IF(AI173&lt;=$AB$2,"-",INDEX(Coordinate,MATCH(INDEX(Calculation_Tab,SMALL(ROW(Main_Dil)*(Main_Dil&lt;&gt;"-"),COUNTIF(Main_Dil,"-")+ROW()-3-$AB$2)-9,6),$X$4:$X$99,0),2)),"-")</f>
        <v>-</v>
      </c>
      <c r="AP173" s="510" t="str">
        <f t="array" aca="1" ref="AP173" ca="1">IFERROR(IF(AI173&lt;=$AB$2,"-",INDEX(Calculation_Tab,SMALL(ROW(Main_Dil)*(Main_Dil&lt;&gt;"-"),COUNTIF(Main_Dil,"-")+ROW()-3-$AB$2)-9,21)),"-")</f>
        <v>-</v>
      </c>
      <c r="AQ173" s="511" t="str">
        <f t="array" aca="1" ref="AQ173" ca="1">IFERROR(IF(AI173&lt;=$AB$2,"-",INDEX(Calculation_Tab,SMALL(ROW(Main_Dil)*(Main_Dil&lt;&gt;"-"),COUNTIF(Main_Dil,"-")+ROW()-3-$AB$2)-9,22)),"-")</f>
        <v>-</v>
      </c>
      <c r="AR173" s="487" t="str">
        <f t="shared" ca="1" si="83"/>
        <v>-</v>
      </c>
      <c r="AS173" s="378">
        <v>170</v>
      </c>
      <c r="AT173" s="497" t="s">
        <v>161</v>
      </c>
      <c r="AU173" s="498">
        <v>74</v>
      </c>
      <c r="AV173" s="378" t="str">
        <f t="shared" ca="1" si="84"/>
        <v>-</v>
      </c>
      <c r="AW173" s="378" t="str">
        <f t="array" aca="1" ref="AW173" ca="1">IFERROR(IF(AS173&lt;=$AB$2+$AN$2,"-",INDEX(Calculation_Tab,SMALL(ROW(Direct_Denaturation)*(Direct_Denaturation&lt;&gt;"-"),COUNTIF(Direct_Denaturation,"-")+ROW()-3-$AB$2-$AN$2)-9,5)),"-")</f>
        <v>-</v>
      </c>
      <c r="AX173" s="378" t="str">
        <f t="array" aca="1" ref="AX173" ca="1">IFERROR(IF(AS173&lt;=$AB$2+$AN$2,"-",INDEX($A$3:$B$12,MATCH(INDEX(Calculation_Tab,SMALL(ROW(Direct_Denaturation)*(Direct_Denaturation&lt;&gt;"-"),COUNTIF(Direct_Denaturation,"-")+ROW()-3-$AB$2-$AN$2)-9,5),$A$3:$A$12,0),2)),"-")</f>
        <v>-</v>
      </c>
      <c r="AY173" s="378" t="str">
        <f t="array" aca="1" ref="AY173" ca="1">IFERROR(IF(AS173&lt;=$AB$2+$AN$2,"-",INDEX(Coordinate,MATCH(INDEX(Calculation_Tab,SMALL(ROW(Direct_Denaturation)*(Direct_Denaturation&lt;&gt;"-"),COUNTIF(Direct_Denaturation,"-")+ROW()-3-$AB$2-$AN$2)-9,6),$X$4:$X$99,0),2)),"-")</f>
        <v>-</v>
      </c>
      <c r="AZ173" s="510" t="str">
        <f t="array" aca="1" ref="AZ173" ca="1">IFERROR(IF(AS173&lt;=$AB$2+$AN$2,"-",INDEX(Calculation_Tab,SMALL(ROW(Direct_Denaturation)*(Direct_Denaturation&lt;&gt;"-"),COUNTIF(Direct_Denaturation,"-")+ROW()-3-$AB$2-$AN$2)-9,32)),"-")</f>
        <v>-</v>
      </c>
      <c r="BA173" s="510" t="str">
        <f t="array" aca="1" ref="BA173" ca="1">IFERROR(IF(AS173&lt;=$AB$2+$AN$2,"-",INDEX(Calculation_Tab,SMALL(ROW(Direct_Denaturation)*(Direct_Denaturation&lt;&gt;"-"),COUNTIF(Direct_Denaturation,"-")+ROW()-3-$AB$2-$AN$2)-9,34)),"-")</f>
        <v>-</v>
      </c>
      <c r="BB173" s="510" t="str">
        <f t="array" aca="1" ref="BB173" ca="1">IFERROR(IF(AS173&lt;=$AB$2+$AN$2,"-",INDEX(Calculation_Tab,SMALL(ROW(Direct_Denaturation)*(Direct_Denaturation&lt;&gt;"-"),COUNTIF(Direct_Denaturation,"-")+ROW()-3-$AB$2-$AN$2)-9,33)),"-")</f>
        <v>-</v>
      </c>
      <c r="BC173" s="510" t="str">
        <f t="array" aca="1" ref="BC173" ca="1">IFERROR(IF(AS173&lt;=$AB$2+$AN$2,"-",INDEX(Calculation_Tab,SMALL(ROW(Direct_Denaturation)*(Direct_Denaturation&lt;&gt;"-"),COUNTIF(Direct_Denaturation,"-")+ROW()-3-$AB$2-$AN$2)-9,35)),"-")</f>
        <v>-</v>
      </c>
      <c r="BD173" s="511" t="str">
        <f t="shared" ca="1" si="85"/>
        <v>-</v>
      </c>
      <c r="BK173" s="542" t="s">
        <v>82</v>
      </c>
      <c r="BL173" s="542" t="s">
        <v>82</v>
      </c>
      <c r="BM173" s="487" t="str">
        <f t="array" aca="1" ref="BM173" ca="1">IFERROR(INDEX(Calculation_Tab,SMALL(ROW(ToPool)*(ToPool&lt;&gt;"-"),COUNTIF(ToPool,"-")+ROW()-3)-9,3),"-")</f>
        <v>-</v>
      </c>
      <c r="BN173" s="378" t="str">
        <f t="shared" ca="1" si="86"/>
        <v>-</v>
      </c>
      <c r="BO173" s="378" t="str">
        <f t="shared" ca="1" si="87"/>
        <v>-</v>
      </c>
      <c r="BP173" s="523" t="str">
        <f t="shared" ca="1" si="88"/>
        <v>-</v>
      </c>
      <c r="BQ173" s="378" t="str">
        <f t="array" aca="1" ref="BQ173" ca="1">IFERROR(INDEX(BE:BG,MATCH(INDEX(Calculation_Tab,SMALL(ROW(ToPool)*(ToPool&lt;&gt;"-"),COUNTIF(ToPool,"-")+ROW()-3)-9,9),BG:BG,0),2),"-")</f>
        <v>-</v>
      </c>
      <c r="BR173" s="510" t="str">
        <f t="shared" ca="1" si="89"/>
        <v>-</v>
      </c>
      <c r="BS173" s="511" t="str">
        <f t="shared" ca="1" si="90"/>
        <v>-</v>
      </c>
      <c r="BT173" s="543" t="s">
        <v>82</v>
      </c>
      <c r="BU173" s="487" t="str">
        <f t="shared" ca="1" si="95"/>
        <v>-</v>
      </c>
      <c r="BV173" s="487" t="str">
        <f t="array" aca="1" ref="BV17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73" s="378" t="str">
        <f t="shared" ca="1" si="91"/>
        <v>-</v>
      </c>
      <c r="BX173" s="378" t="str">
        <f t="shared" ca="1" si="92"/>
        <v>-</v>
      </c>
      <c r="BY173" s="510" t="str">
        <f ca="1">IFERROR(ROUND(INDEX(Cluster,MATCH(IF(LEFT(BV173,4)="Pool",INDEX(Cluster,MATCH(INDEX(Calculation_Tab,MATCH(INDEX($BE$4:$BJ$99,MATCH(BV173,$BE$4:$BE$99,0),3),Flow_Cell_Lane,0),3),Cluster!$F$29:$F$412,0),6),BV173),Identifier_Cluster,0),19)*IF(LEFT(BV173,4)="pool",IF(LEN(INDEX($BE$4:$BJ$99,MATCH(BV173,$BE$4:$BE$99,0),3))=10,2,IF(LEN(INDEX($BE$4:$BJ$99,MATCH(BV173,$BE$4:$BE$99,0),3))&gt;10,LEN(INDEX($BE$4:$BJ$99,MATCH(BV173,$BE$4:$BE$99,0),3))-8,1)),1)*IF(LEFT(BV173,4)="pool",IF(INDEX($BE$4:$BJ$99,MATCH(BV173,$BE$4:$BE$99,0),6)&lt;1,1,INDEX($BE$4:$BJ$99,MATCH(BV173,$BE$4:$BE$99,0),6)),INDEX(Calculation_Tab,MATCH(BV173,Identifier,0),10)),1)*(1+Calculation!$Q$6),"-")</f>
        <v>-</v>
      </c>
      <c r="BZ173" s="378" t="str">
        <f ca="1">IFERROR((0.5/50)*CE173/Calculation!$AG$6*(IF(LEFT(BV173,4)="Pool",IF(LEN(INDEX($BE$4:$BJ$99,MATCH(BV173,$BE$4:$BE$99,0),3))=10,2,IF(LEN(INDEX($BE$4:$BJ$99,MATCH(BV173,$BE$4:$BE$99,0),3))&gt;10,LEN(INDEX($BE$4:$BJ$99,MATCH(BV173,$BE$4:$BE$99,0),3))-8,1)),IF(INDEX(Calculation_Tab,MATCH(BV173,Identifier,0),10)&gt;1,INDEX(Calculation_Tab,MATCH(BV173,Identifier,0),10),1)))*(1+Calculation!$Q$6),"-")</f>
        <v>-</v>
      </c>
      <c r="CA173" s="510" t="str">
        <f ca="1">IFERROR(IF((BZ173*Calculation!$AG$6/0.05)-SUM(BY173:BZ173,CC173)&gt;0,(BZ173*Calculation!$AG$6/0.05)-SUM(BY173:BZ173,CC173),0),"-")</f>
        <v>-</v>
      </c>
      <c r="CB173" s="510" t="str">
        <f ca="1">IFERROR(5/50*CE173*(IF(LEFT(BV173,4)="Pool",IF(LEN(INDEX($BE$4:$BJ$99,MATCH(BV173,$BE$4:$BE$99,0),3))=10,2,IF(LEN(INDEX($BE$4:$BJ$99,MATCH(BV173,$BE$4:$BE$99,0),3))&gt;10,LEN(INDEX($BE$4:$BJ$99,MATCH(BV173,$BE$4:$BE$99,0),3))-8,1)),IF(INDEX(Calculation_Tab,MATCH(BV173,Identifier,0),10)&gt;1,INDEX(Calculation_Tab,MATCH(BV173,Identifier,0),10),1)))*(1+Calculation!$Q$6),"-")</f>
        <v>-</v>
      </c>
      <c r="CC173" s="508" t="str">
        <f ca="1">IFERROR(ROUND(INDEX(Cluster,MATCH(IF(LEFT(BV173,4)="Pool",INDEX(Cluster,MATCH(INDEX(Calculation_Tab,MATCH(INDEX($BE$4:$BJ$99,MATCH(BV173,$BE$4:$BE$99,0),3),Flow_Cell_Lane,0),3),Cluster!$F$29:$F$412,0),6),BV173),Identifier_Cluster,0),20)*IF(LEFT(BV173,4)="pool",IF(LEN(INDEX($BE$4:$BJ$99,MATCH(BV173,$BE$4:$BE$99,0),3))=10,2,IF(LEN(INDEX($BE$4:$BJ$99,MATCH(BV173,$BE$4:$BE$99,0),3))&gt;10,LEN(INDEX($BE$4:$BJ$99,MATCH(BV173,$BE$4:$BE$99,0),3))-8,1)),1)*IF(LEFT(BV173,4)="pool",IF(INDEX($BE$4:$BJ$99,MATCH(BV173,$BE$4:$BE$99,0),6)&lt;1,1,INDEX($BE$4:$BJ$99,MATCH(BV173,$BE$4:$BE$99,0),6)),INDEX(Calculation_Tab,MATCH(BV173,Identifier,0),10)),1)*(1+Calculation!$Q$6),"-")</f>
        <v>-</v>
      </c>
      <c r="CD173" s="509" t="str">
        <f ca="1">IFERROR(INDEX(Cluster!AC:AD,MATCH(IF(LEFT(BV173,4)="Pool",INDEX(Cluster!$D$29:$AA$412,MATCH(INDEX(Calculation_Tab,MATCH(INDEX($BE$4:$BJ$99,MATCH(BV173,$BE$4:$BE$99,0),3),Flow_Cell_Lane,0),3),Cluster!$F$29:$F$412,0),24),INDEX(Cluster!$D$29:$AA$412,MATCH(BV173,Cluster!$F$29:$F$412,0),24)),Cluster!AC:AC,0),2),"-")</f>
        <v>-</v>
      </c>
      <c r="CE173" s="378" t="str">
        <f ca="1">IFERROR(IF(BV173&lt;&gt;"-",Calculation!$AK$6,"-"),"-")</f>
        <v>-</v>
      </c>
      <c r="CF173" s="378" t="str">
        <f ca="1">IF(OR(LEFT(ListAndConversion!BW173,3)="Dil",LEFT(ListAndConversion!BW173,3)="Poo"),ListAndConversion!$BT$4,IF(LEFT(ListAndConversion!BW173,3)="Sou",INDEX(ListAndConversion!$AT$3:$AV$387,MATCH(ListAndConversion!BV173,ListAndConversion!$AV$3:$AV$387,0),1),"-"))</f>
        <v>-</v>
      </c>
      <c r="CG173" s="498" t="str">
        <f ca="1">IF(OR(LEFT(ListAndConversion!BW173,3)="Dil",LEFT(ListAndConversion!BW173,3)="Poo"),ListAndConversion!BU173,IF(LEFT(ListAndConversion!BW173,3)="Sou",INDEX(ListAndConversion!$AT$4:$AV$387,MATCH(ListAndConversion!BV173,ListAndConversion!$AV$4:$AV$387,0),2),"-"))</f>
        <v>-</v>
      </c>
      <c r="CH173" s="378"/>
      <c r="CI173" s="487" t="str">
        <f t="shared" ca="1" si="93"/>
        <v>-</v>
      </c>
      <c r="CJ173" s="378" t="str">
        <f t="shared" ca="1" si="102"/>
        <v>-</v>
      </c>
      <c r="CK173" s="378" t="str">
        <f t="shared" ca="1" si="102"/>
        <v>-</v>
      </c>
      <c r="CL173" s="378" t="str">
        <f t="shared" ca="1" si="102"/>
        <v>-</v>
      </c>
      <c r="CM173" s="378" t="str">
        <f t="shared" ca="1" si="102"/>
        <v>-</v>
      </c>
      <c r="CN173" s="378" t="str">
        <f t="shared" ca="1" si="102"/>
        <v>-</v>
      </c>
      <c r="CO173" s="378" t="str">
        <f t="shared" ca="1" si="102"/>
        <v>-</v>
      </c>
      <c r="CP173" s="378" t="str">
        <f t="shared" ca="1" si="102"/>
        <v>-</v>
      </c>
      <c r="CQ173" s="378" t="str">
        <f t="shared" ca="1" si="102"/>
        <v>-</v>
      </c>
      <c r="CR173" s="510" t="str">
        <f ca="1">IFERROR(IF(LEFT(BW173,3)="Poo",INDEX($BE$4:$BJ$99,MATCH(CI173,$BG$4:$BG$99,0),6)*((15/50))*Calculation!$AK$6,INDEX(Calculation_Tab,MATCH(BV173,Identifier,0),10)/(IF(LEN(INDEX(Calculation_Tab,MATCH(BV173,Identifier,0),9))&gt;8,LEN(INDEX(Calculation_Tab,MATCH(BV173,Identifier,0),9))-8,1))*((15/50)*Calculation!$AK$6)),"-")</f>
        <v>-</v>
      </c>
      <c r="CS173" s="498" t="str">
        <f ca="1">IF(CI173="-","-",IF(COUNTIF($CI$3:CI173,CI173)&gt;1,0,IFERROR((35/50)*Calculation!$AK$6,"-")))</f>
        <v>-</v>
      </c>
    </row>
    <row r="174" spans="4:97" x14ac:dyDescent="0.5">
      <c r="D174" s="487" t="e">
        <f t="shared" si="79"/>
        <v>#DIV/0!</v>
      </c>
      <c r="E174" s="496" t="e">
        <f t="array" ref="E174">IF(IF((ROW(E174)-3)&lt;(ListAndConversion!$A$15),INDEX(Flow_Cell_Lane,MIN(IF(COUNTIF($E$2:E173,Flow_Cell_Lane)=0,ROW(Flow_Cell_Lane)-9))),"-")="","-",IF((ROW(E174)-3)&lt;(ListAndConversion!$A$15),INDEX(Flow_Cell_Lane,MIN(IF(COUNTIF($E$2:E173,Flow_Cell_Lane)=0,ROW(Flow_Cell_Lane)-9))),"-"))</f>
        <v>#DIV/0!</v>
      </c>
      <c r="F174" s="378" t="e">
        <f t="shared" si="80"/>
        <v>#DIV/0!</v>
      </c>
      <c r="G174" s="378" t="e">
        <f t="shared" si="103"/>
        <v>#DIV/0!</v>
      </c>
      <c r="H174" s="378" t="e">
        <f t="shared" si="103"/>
        <v>#DIV/0!</v>
      </c>
      <c r="I174" s="378" t="e">
        <f t="shared" si="103"/>
        <v>#DIV/0!</v>
      </c>
      <c r="J174" s="378" t="e">
        <f t="shared" si="103"/>
        <v>#DIV/0!</v>
      </c>
      <c r="K174" s="378" t="e">
        <f t="shared" si="103"/>
        <v>#DIV/0!</v>
      </c>
      <c r="L174" s="378" t="e">
        <f t="shared" si="103"/>
        <v>#DIV/0!</v>
      </c>
      <c r="M174" s="378" t="e">
        <f t="shared" si="103"/>
        <v>#DIV/0!</v>
      </c>
      <c r="N174" s="497" t="e">
        <f t="shared" si="81"/>
        <v>#DIV/0!</v>
      </c>
      <c r="O174" s="497" t="str">
        <f t="array" ref="O174">IFERROR(INDEX(Calculation!I:AN,MATCH(ListAndConversion!E174,Calculation!I:I,0),31),"-")</f>
        <v>-</v>
      </c>
      <c r="P174" s="498">
        <f>IF(COUNTIFS(Calculation!$I$10:$I$393,E174,Direct_Denaturation,"-")&lt;&gt;1,COUNTIFS(Calculation!$I$10:$I$393,E174,Direct_Denaturation,"-"),0)</f>
        <v>0</v>
      </c>
      <c r="V174" s="542" t="s">
        <v>82</v>
      </c>
      <c r="W174" s="542" t="s">
        <v>82</v>
      </c>
      <c r="X174" s="542" t="s">
        <v>82</v>
      </c>
      <c r="Y174" s="542" t="s">
        <v>82</v>
      </c>
      <c r="Z174" s="542" t="s">
        <v>82</v>
      </c>
      <c r="AA174" s="542" t="s">
        <v>82</v>
      </c>
      <c r="AB174" s="542" t="s">
        <v>82</v>
      </c>
      <c r="AC174" s="542" t="s">
        <v>82</v>
      </c>
      <c r="AD174" s="542" t="s">
        <v>82</v>
      </c>
      <c r="AE174" s="542" t="s">
        <v>82</v>
      </c>
      <c r="AF174" s="542" t="s">
        <v>82</v>
      </c>
      <c r="AG174" s="542" t="s">
        <v>82</v>
      </c>
      <c r="AH174" s="9"/>
      <c r="AI174" s="487">
        <v>171</v>
      </c>
      <c r="AJ174" s="497" t="s">
        <v>161</v>
      </c>
      <c r="AK174" s="378">
        <v>75</v>
      </c>
      <c r="AL174" s="378" t="str">
        <f t="shared" ca="1" si="82"/>
        <v>-</v>
      </c>
      <c r="AM174" s="378" t="str">
        <f t="array" aca="1" ref="AM174" ca="1">IFERROR(IF(AI174&lt;=$AB$2,"-",INDEX(Calculation_Tab,SMALL(ROW(Main_Dil)*(Main_Dil&lt;&gt;"-"),COUNTIF(Main_Dil,"-")+ROW()-3-$AB$2)-9,5)),"-")</f>
        <v>-</v>
      </c>
      <c r="AN174" s="378" t="str">
        <f t="array" aca="1" ref="AN174" ca="1">IFERROR(IF(AI174&lt;=$AB$2,"-",INDEX($A$3:$B$12,MATCH(INDEX(Calculation_Tab,SMALL(ROW(Main_Dil)*(Main_Dil&lt;&gt;"-"),COUNTIF(Main_Dil,"-")+ROW()-3-$AB$2)-9,5),$A$3:$A$12,0),2)),"-")</f>
        <v>-</v>
      </c>
      <c r="AO174" s="378" t="str">
        <f t="array" aca="1" ref="AO174" ca="1">IFERROR(IF(AI174&lt;=$AB$2,"-",INDEX(Coordinate,MATCH(INDEX(Calculation_Tab,SMALL(ROW(Main_Dil)*(Main_Dil&lt;&gt;"-"),COUNTIF(Main_Dil,"-")+ROW()-3-$AB$2)-9,6),$X$4:$X$99,0),2)),"-")</f>
        <v>-</v>
      </c>
      <c r="AP174" s="510" t="str">
        <f t="array" aca="1" ref="AP174" ca="1">IFERROR(IF(AI174&lt;=$AB$2,"-",INDEX(Calculation_Tab,SMALL(ROW(Main_Dil)*(Main_Dil&lt;&gt;"-"),COUNTIF(Main_Dil,"-")+ROW()-3-$AB$2)-9,21)),"-")</f>
        <v>-</v>
      </c>
      <c r="AQ174" s="511" t="str">
        <f t="array" aca="1" ref="AQ174" ca="1">IFERROR(IF(AI174&lt;=$AB$2,"-",INDEX(Calculation_Tab,SMALL(ROW(Main_Dil)*(Main_Dil&lt;&gt;"-"),COUNTIF(Main_Dil,"-")+ROW()-3-$AB$2)-9,22)),"-")</f>
        <v>-</v>
      </c>
      <c r="AR174" s="487" t="str">
        <f t="shared" ca="1" si="83"/>
        <v>-</v>
      </c>
      <c r="AS174" s="378">
        <v>171</v>
      </c>
      <c r="AT174" s="497" t="s">
        <v>161</v>
      </c>
      <c r="AU174" s="498">
        <v>75</v>
      </c>
      <c r="AV174" s="378" t="str">
        <f t="shared" ca="1" si="84"/>
        <v>-</v>
      </c>
      <c r="AW174" s="378" t="str">
        <f t="array" aca="1" ref="AW174" ca="1">IFERROR(IF(AS174&lt;=$AB$2+$AN$2,"-",INDEX(Calculation_Tab,SMALL(ROW(Direct_Denaturation)*(Direct_Denaturation&lt;&gt;"-"),COUNTIF(Direct_Denaturation,"-")+ROW()-3-$AB$2-$AN$2)-9,5)),"-")</f>
        <v>-</v>
      </c>
      <c r="AX174" s="378" t="str">
        <f t="array" aca="1" ref="AX174" ca="1">IFERROR(IF(AS174&lt;=$AB$2+$AN$2,"-",INDEX($A$3:$B$12,MATCH(INDEX(Calculation_Tab,SMALL(ROW(Direct_Denaturation)*(Direct_Denaturation&lt;&gt;"-"),COUNTIF(Direct_Denaturation,"-")+ROW()-3-$AB$2-$AN$2)-9,5),$A$3:$A$12,0),2)),"-")</f>
        <v>-</v>
      </c>
      <c r="AY174" s="378" t="str">
        <f t="array" aca="1" ref="AY174" ca="1">IFERROR(IF(AS174&lt;=$AB$2+$AN$2,"-",INDEX(Coordinate,MATCH(INDEX(Calculation_Tab,SMALL(ROW(Direct_Denaturation)*(Direct_Denaturation&lt;&gt;"-"),COUNTIF(Direct_Denaturation,"-")+ROW()-3-$AB$2-$AN$2)-9,6),$X$4:$X$99,0),2)),"-")</f>
        <v>-</v>
      </c>
      <c r="AZ174" s="510" t="str">
        <f t="array" aca="1" ref="AZ174" ca="1">IFERROR(IF(AS174&lt;=$AB$2+$AN$2,"-",INDEX(Calculation_Tab,SMALL(ROW(Direct_Denaturation)*(Direct_Denaturation&lt;&gt;"-"),COUNTIF(Direct_Denaturation,"-")+ROW()-3-$AB$2-$AN$2)-9,32)),"-")</f>
        <v>-</v>
      </c>
      <c r="BA174" s="510" t="str">
        <f t="array" aca="1" ref="BA174" ca="1">IFERROR(IF(AS174&lt;=$AB$2+$AN$2,"-",INDEX(Calculation_Tab,SMALL(ROW(Direct_Denaturation)*(Direct_Denaturation&lt;&gt;"-"),COUNTIF(Direct_Denaturation,"-")+ROW()-3-$AB$2-$AN$2)-9,34)),"-")</f>
        <v>-</v>
      </c>
      <c r="BB174" s="510" t="str">
        <f t="array" aca="1" ref="BB174" ca="1">IFERROR(IF(AS174&lt;=$AB$2+$AN$2,"-",INDEX(Calculation_Tab,SMALL(ROW(Direct_Denaturation)*(Direct_Denaturation&lt;&gt;"-"),COUNTIF(Direct_Denaturation,"-")+ROW()-3-$AB$2-$AN$2)-9,33)),"-")</f>
        <v>-</v>
      </c>
      <c r="BC174" s="510" t="str">
        <f t="array" aca="1" ref="BC174" ca="1">IFERROR(IF(AS174&lt;=$AB$2+$AN$2,"-",INDEX(Calculation_Tab,SMALL(ROW(Direct_Denaturation)*(Direct_Denaturation&lt;&gt;"-"),COUNTIF(Direct_Denaturation,"-")+ROW()-3-$AB$2-$AN$2)-9,35)),"-")</f>
        <v>-</v>
      </c>
      <c r="BD174" s="511" t="str">
        <f t="shared" ca="1" si="85"/>
        <v>-</v>
      </c>
      <c r="BK174" s="542" t="s">
        <v>82</v>
      </c>
      <c r="BL174" s="542" t="s">
        <v>82</v>
      </c>
      <c r="BM174" s="487" t="str">
        <f t="array" aca="1" ref="BM174" ca="1">IFERROR(INDEX(Calculation_Tab,SMALL(ROW(ToPool)*(ToPool&lt;&gt;"-"),COUNTIF(ToPool,"-")+ROW()-3)-9,3),"-")</f>
        <v>-</v>
      </c>
      <c r="BN174" s="378" t="str">
        <f t="shared" ca="1" si="86"/>
        <v>-</v>
      </c>
      <c r="BO174" s="378" t="str">
        <f t="shared" ca="1" si="87"/>
        <v>-</v>
      </c>
      <c r="BP174" s="523" t="str">
        <f t="shared" ca="1" si="88"/>
        <v>-</v>
      </c>
      <c r="BQ174" s="378" t="str">
        <f t="array" aca="1" ref="BQ174" ca="1">IFERROR(INDEX(BE:BG,MATCH(INDEX(Calculation_Tab,SMALL(ROW(ToPool)*(ToPool&lt;&gt;"-"),COUNTIF(ToPool,"-")+ROW()-3)-9,9),BG:BG,0),2),"-")</f>
        <v>-</v>
      </c>
      <c r="BR174" s="510" t="str">
        <f t="shared" ca="1" si="89"/>
        <v>-</v>
      </c>
      <c r="BS174" s="511" t="str">
        <f t="shared" ca="1" si="90"/>
        <v>-</v>
      </c>
      <c r="BT174" s="543" t="s">
        <v>82</v>
      </c>
      <c r="BU174" s="487" t="str">
        <f t="shared" ca="1" si="95"/>
        <v>-</v>
      </c>
      <c r="BV174" s="487" t="str">
        <f t="array" aca="1" ref="BV17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74" s="378" t="str">
        <f t="shared" ca="1" si="91"/>
        <v>-</v>
      </c>
      <c r="BX174" s="378" t="str">
        <f t="shared" ca="1" si="92"/>
        <v>-</v>
      </c>
      <c r="BY174" s="510" t="str">
        <f ca="1">IFERROR(ROUND(INDEX(Cluster,MATCH(IF(LEFT(BV174,4)="Pool",INDEX(Cluster,MATCH(INDEX(Calculation_Tab,MATCH(INDEX($BE$4:$BJ$99,MATCH(BV174,$BE$4:$BE$99,0),3),Flow_Cell_Lane,0),3),Cluster!$F$29:$F$412,0),6),BV174),Identifier_Cluster,0),19)*IF(LEFT(BV174,4)="pool",IF(LEN(INDEX($BE$4:$BJ$99,MATCH(BV174,$BE$4:$BE$99,0),3))=10,2,IF(LEN(INDEX($BE$4:$BJ$99,MATCH(BV174,$BE$4:$BE$99,0),3))&gt;10,LEN(INDEX($BE$4:$BJ$99,MATCH(BV174,$BE$4:$BE$99,0),3))-8,1)),1)*IF(LEFT(BV174,4)="pool",IF(INDEX($BE$4:$BJ$99,MATCH(BV174,$BE$4:$BE$99,0),6)&lt;1,1,INDEX($BE$4:$BJ$99,MATCH(BV174,$BE$4:$BE$99,0),6)),INDEX(Calculation_Tab,MATCH(BV174,Identifier,0),10)),1)*(1+Calculation!$Q$6),"-")</f>
        <v>-</v>
      </c>
      <c r="BZ174" s="378" t="str">
        <f ca="1">IFERROR((0.5/50)*CE174/Calculation!$AG$6*(IF(LEFT(BV174,4)="Pool",IF(LEN(INDEX($BE$4:$BJ$99,MATCH(BV174,$BE$4:$BE$99,0),3))=10,2,IF(LEN(INDEX($BE$4:$BJ$99,MATCH(BV174,$BE$4:$BE$99,0),3))&gt;10,LEN(INDEX($BE$4:$BJ$99,MATCH(BV174,$BE$4:$BE$99,0),3))-8,1)),IF(INDEX(Calculation_Tab,MATCH(BV174,Identifier,0),10)&gt;1,INDEX(Calculation_Tab,MATCH(BV174,Identifier,0),10),1)))*(1+Calculation!$Q$6),"-")</f>
        <v>-</v>
      </c>
      <c r="CA174" s="510" t="str">
        <f ca="1">IFERROR(IF((BZ174*Calculation!$AG$6/0.05)-SUM(BY174:BZ174,CC174)&gt;0,(BZ174*Calculation!$AG$6/0.05)-SUM(BY174:BZ174,CC174),0),"-")</f>
        <v>-</v>
      </c>
      <c r="CB174" s="510" t="str">
        <f ca="1">IFERROR(5/50*CE174*(IF(LEFT(BV174,4)="Pool",IF(LEN(INDEX($BE$4:$BJ$99,MATCH(BV174,$BE$4:$BE$99,0),3))=10,2,IF(LEN(INDEX($BE$4:$BJ$99,MATCH(BV174,$BE$4:$BE$99,0),3))&gt;10,LEN(INDEX($BE$4:$BJ$99,MATCH(BV174,$BE$4:$BE$99,0),3))-8,1)),IF(INDEX(Calculation_Tab,MATCH(BV174,Identifier,0),10)&gt;1,INDEX(Calculation_Tab,MATCH(BV174,Identifier,0),10),1)))*(1+Calculation!$Q$6),"-")</f>
        <v>-</v>
      </c>
      <c r="CC174" s="508" t="str">
        <f ca="1">IFERROR(ROUND(INDEX(Cluster,MATCH(IF(LEFT(BV174,4)="Pool",INDEX(Cluster,MATCH(INDEX(Calculation_Tab,MATCH(INDEX($BE$4:$BJ$99,MATCH(BV174,$BE$4:$BE$99,0),3),Flow_Cell_Lane,0),3),Cluster!$F$29:$F$412,0),6),BV174),Identifier_Cluster,0),20)*IF(LEFT(BV174,4)="pool",IF(LEN(INDEX($BE$4:$BJ$99,MATCH(BV174,$BE$4:$BE$99,0),3))=10,2,IF(LEN(INDEX($BE$4:$BJ$99,MATCH(BV174,$BE$4:$BE$99,0),3))&gt;10,LEN(INDEX($BE$4:$BJ$99,MATCH(BV174,$BE$4:$BE$99,0),3))-8,1)),1)*IF(LEFT(BV174,4)="pool",IF(INDEX($BE$4:$BJ$99,MATCH(BV174,$BE$4:$BE$99,0),6)&lt;1,1,INDEX($BE$4:$BJ$99,MATCH(BV174,$BE$4:$BE$99,0),6)),INDEX(Calculation_Tab,MATCH(BV174,Identifier,0),10)),1)*(1+Calculation!$Q$6),"-")</f>
        <v>-</v>
      </c>
      <c r="CD174" s="509" t="str">
        <f ca="1">IFERROR(INDEX(Cluster!AC:AD,MATCH(IF(LEFT(BV174,4)="Pool",INDEX(Cluster!$D$29:$AA$412,MATCH(INDEX(Calculation_Tab,MATCH(INDEX($BE$4:$BJ$99,MATCH(BV174,$BE$4:$BE$99,0),3),Flow_Cell_Lane,0),3),Cluster!$F$29:$F$412,0),24),INDEX(Cluster!$D$29:$AA$412,MATCH(BV174,Cluster!$F$29:$F$412,0),24)),Cluster!AC:AC,0),2),"-")</f>
        <v>-</v>
      </c>
      <c r="CE174" s="378" t="str">
        <f ca="1">IFERROR(IF(BV174&lt;&gt;"-",Calculation!$AK$6,"-"),"-")</f>
        <v>-</v>
      </c>
      <c r="CF174" s="378" t="str">
        <f ca="1">IF(OR(LEFT(ListAndConversion!BW174,3)="Dil",LEFT(ListAndConversion!BW174,3)="Poo"),ListAndConversion!$BT$4,IF(LEFT(ListAndConversion!BW174,3)="Sou",INDEX(ListAndConversion!$AT$3:$AV$387,MATCH(ListAndConversion!BV174,ListAndConversion!$AV$3:$AV$387,0),1),"-"))</f>
        <v>-</v>
      </c>
      <c r="CG174" s="498" t="str">
        <f ca="1">IF(OR(LEFT(ListAndConversion!BW174,3)="Dil",LEFT(ListAndConversion!BW174,3)="Poo"),ListAndConversion!BU174,IF(LEFT(ListAndConversion!BW174,3)="Sou",INDEX(ListAndConversion!$AT$4:$AV$387,MATCH(ListAndConversion!BV174,ListAndConversion!$AV$4:$AV$387,0),2),"-"))</f>
        <v>-</v>
      </c>
      <c r="CH174" s="378"/>
      <c r="CI174" s="487" t="str">
        <f t="shared" ca="1" si="93"/>
        <v>-</v>
      </c>
      <c r="CJ174" s="378" t="str">
        <f t="shared" ref="CJ174:CQ183" ca="1" si="104">IFERROR(INDEX($R$3:$U$98,MATCH(INDEX($F$3:$M$387,MATCH($CI174,$E$3:$E$386,0),CJ$3),$S$3:$S$98,0),4),"-")</f>
        <v>-</v>
      </c>
      <c r="CK174" s="378" t="str">
        <f t="shared" ca="1" si="104"/>
        <v>-</v>
      </c>
      <c r="CL174" s="378" t="str">
        <f t="shared" ca="1" si="104"/>
        <v>-</v>
      </c>
      <c r="CM174" s="378" t="str">
        <f t="shared" ca="1" si="104"/>
        <v>-</v>
      </c>
      <c r="CN174" s="378" t="str">
        <f t="shared" ca="1" si="104"/>
        <v>-</v>
      </c>
      <c r="CO174" s="378" t="str">
        <f t="shared" ca="1" si="104"/>
        <v>-</v>
      </c>
      <c r="CP174" s="378" t="str">
        <f t="shared" ca="1" si="104"/>
        <v>-</v>
      </c>
      <c r="CQ174" s="378" t="str">
        <f t="shared" ca="1" si="104"/>
        <v>-</v>
      </c>
      <c r="CR174" s="510" t="str">
        <f ca="1">IFERROR(IF(LEFT(BW174,3)="Poo",INDEX($BE$4:$BJ$99,MATCH(CI174,$BG$4:$BG$99,0),6)*((15/50))*Calculation!$AK$6,INDEX(Calculation_Tab,MATCH(BV174,Identifier,0),10)/(IF(LEN(INDEX(Calculation_Tab,MATCH(BV174,Identifier,0),9))&gt;8,LEN(INDEX(Calculation_Tab,MATCH(BV174,Identifier,0),9))-8,1))*((15/50)*Calculation!$AK$6)),"-")</f>
        <v>-</v>
      </c>
      <c r="CS174" s="498" t="str">
        <f ca="1">IF(CI174="-","-",IF(COUNTIF($CI$3:CI174,CI174)&gt;1,0,IFERROR((35/50)*Calculation!$AK$6,"-")))</f>
        <v>-</v>
      </c>
    </row>
    <row r="175" spans="4:97" x14ac:dyDescent="0.5">
      <c r="D175" s="487" t="e">
        <f t="shared" si="79"/>
        <v>#DIV/0!</v>
      </c>
      <c r="E175" s="496" t="e">
        <f t="array" ref="E175">IF(IF((ROW(E175)-3)&lt;(ListAndConversion!$A$15),INDEX(Flow_Cell_Lane,MIN(IF(COUNTIF($E$2:E174,Flow_Cell_Lane)=0,ROW(Flow_Cell_Lane)-9))),"-")="","-",IF((ROW(E175)-3)&lt;(ListAndConversion!$A$15),INDEX(Flow_Cell_Lane,MIN(IF(COUNTIF($E$2:E174,Flow_Cell_Lane)=0,ROW(Flow_Cell_Lane)-9))),"-"))</f>
        <v>#DIV/0!</v>
      </c>
      <c r="F175" s="378" t="e">
        <f t="shared" si="80"/>
        <v>#DIV/0!</v>
      </c>
      <c r="G175" s="378" t="e">
        <f t="shared" si="103"/>
        <v>#DIV/0!</v>
      </c>
      <c r="H175" s="378" t="e">
        <f t="shared" si="103"/>
        <v>#DIV/0!</v>
      </c>
      <c r="I175" s="378" t="e">
        <f t="shared" si="103"/>
        <v>#DIV/0!</v>
      </c>
      <c r="J175" s="378" t="e">
        <f t="shared" si="103"/>
        <v>#DIV/0!</v>
      </c>
      <c r="K175" s="378" t="e">
        <f t="shared" si="103"/>
        <v>#DIV/0!</v>
      </c>
      <c r="L175" s="378" t="e">
        <f t="shared" si="103"/>
        <v>#DIV/0!</v>
      </c>
      <c r="M175" s="378" t="e">
        <f t="shared" si="103"/>
        <v>#DIV/0!</v>
      </c>
      <c r="N175" s="497" t="e">
        <f t="shared" si="81"/>
        <v>#DIV/0!</v>
      </c>
      <c r="O175" s="497" t="str">
        <f t="array" ref="O175">IFERROR(INDEX(Calculation!I:AN,MATCH(ListAndConversion!E175,Calculation!I:I,0),31),"-")</f>
        <v>-</v>
      </c>
      <c r="P175" s="498">
        <f>IF(COUNTIFS(Calculation!$I$10:$I$393,E175,Direct_Denaturation,"-")&lt;&gt;1,COUNTIFS(Calculation!$I$10:$I$393,E175,Direct_Denaturation,"-"),0)</f>
        <v>0</v>
      </c>
      <c r="V175" s="542" t="s">
        <v>82</v>
      </c>
      <c r="W175" s="542" t="s">
        <v>82</v>
      </c>
      <c r="X175" s="542" t="s">
        <v>82</v>
      </c>
      <c r="Y175" s="542" t="s">
        <v>82</v>
      </c>
      <c r="Z175" s="542" t="s">
        <v>82</v>
      </c>
      <c r="AA175" s="542" t="s">
        <v>82</v>
      </c>
      <c r="AB175" s="542" t="s">
        <v>82</v>
      </c>
      <c r="AC175" s="542" t="s">
        <v>82</v>
      </c>
      <c r="AD175" s="542" t="s">
        <v>82</v>
      </c>
      <c r="AE175" s="542" t="s">
        <v>82</v>
      </c>
      <c r="AF175" s="542" t="s">
        <v>82</v>
      </c>
      <c r="AG175" s="542" t="s">
        <v>82</v>
      </c>
      <c r="AH175" s="9"/>
      <c r="AI175" s="487">
        <v>172</v>
      </c>
      <c r="AJ175" s="497" t="s">
        <v>161</v>
      </c>
      <c r="AK175" s="378">
        <v>76</v>
      </c>
      <c r="AL175" s="378" t="str">
        <f t="shared" ca="1" si="82"/>
        <v>-</v>
      </c>
      <c r="AM175" s="378" t="str">
        <f t="array" aca="1" ref="AM175" ca="1">IFERROR(IF(AI175&lt;=$AB$2,"-",INDEX(Calculation_Tab,SMALL(ROW(Main_Dil)*(Main_Dil&lt;&gt;"-"),COUNTIF(Main_Dil,"-")+ROW()-3-$AB$2)-9,5)),"-")</f>
        <v>-</v>
      </c>
      <c r="AN175" s="378" t="str">
        <f t="array" aca="1" ref="AN175" ca="1">IFERROR(IF(AI175&lt;=$AB$2,"-",INDEX($A$3:$B$12,MATCH(INDEX(Calculation_Tab,SMALL(ROW(Main_Dil)*(Main_Dil&lt;&gt;"-"),COUNTIF(Main_Dil,"-")+ROW()-3-$AB$2)-9,5),$A$3:$A$12,0),2)),"-")</f>
        <v>-</v>
      </c>
      <c r="AO175" s="378" t="str">
        <f t="array" aca="1" ref="AO175" ca="1">IFERROR(IF(AI175&lt;=$AB$2,"-",INDEX(Coordinate,MATCH(INDEX(Calculation_Tab,SMALL(ROW(Main_Dil)*(Main_Dil&lt;&gt;"-"),COUNTIF(Main_Dil,"-")+ROW()-3-$AB$2)-9,6),$X$4:$X$99,0),2)),"-")</f>
        <v>-</v>
      </c>
      <c r="AP175" s="510" t="str">
        <f t="array" aca="1" ref="AP175" ca="1">IFERROR(IF(AI175&lt;=$AB$2,"-",INDEX(Calculation_Tab,SMALL(ROW(Main_Dil)*(Main_Dil&lt;&gt;"-"),COUNTIF(Main_Dil,"-")+ROW()-3-$AB$2)-9,21)),"-")</f>
        <v>-</v>
      </c>
      <c r="AQ175" s="511" t="str">
        <f t="array" aca="1" ref="AQ175" ca="1">IFERROR(IF(AI175&lt;=$AB$2,"-",INDEX(Calculation_Tab,SMALL(ROW(Main_Dil)*(Main_Dil&lt;&gt;"-"),COUNTIF(Main_Dil,"-")+ROW()-3-$AB$2)-9,22)),"-")</f>
        <v>-</v>
      </c>
      <c r="AR175" s="487" t="str">
        <f t="shared" ca="1" si="83"/>
        <v>-</v>
      </c>
      <c r="AS175" s="378">
        <v>172</v>
      </c>
      <c r="AT175" s="497" t="s">
        <v>161</v>
      </c>
      <c r="AU175" s="498">
        <v>76</v>
      </c>
      <c r="AV175" s="378" t="str">
        <f t="shared" ca="1" si="84"/>
        <v>-</v>
      </c>
      <c r="AW175" s="378" t="str">
        <f t="array" aca="1" ref="AW175" ca="1">IFERROR(IF(AS175&lt;=$AB$2+$AN$2,"-",INDEX(Calculation_Tab,SMALL(ROW(Direct_Denaturation)*(Direct_Denaturation&lt;&gt;"-"),COUNTIF(Direct_Denaturation,"-")+ROW()-3-$AB$2-$AN$2)-9,5)),"-")</f>
        <v>-</v>
      </c>
      <c r="AX175" s="378" t="str">
        <f t="array" aca="1" ref="AX175" ca="1">IFERROR(IF(AS175&lt;=$AB$2+$AN$2,"-",INDEX($A$3:$B$12,MATCH(INDEX(Calculation_Tab,SMALL(ROW(Direct_Denaturation)*(Direct_Denaturation&lt;&gt;"-"),COUNTIF(Direct_Denaturation,"-")+ROW()-3-$AB$2-$AN$2)-9,5),$A$3:$A$12,0),2)),"-")</f>
        <v>-</v>
      </c>
      <c r="AY175" s="378" t="str">
        <f t="array" aca="1" ref="AY175" ca="1">IFERROR(IF(AS175&lt;=$AB$2+$AN$2,"-",INDEX(Coordinate,MATCH(INDEX(Calculation_Tab,SMALL(ROW(Direct_Denaturation)*(Direct_Denaturation&lt;&gt;"-"),COUNTIF(Direct_Denaturation,"-")+ROW()-3-$AB$2-$AN$2)-9,6),$X$4:$X$99,0),2)),"-")</f>
        <v>-</v>
      </c>
      <c r="AZ175" s="510" t="str">
        <f t="array" aca="1" ref="AZ175" ca="1">IFERROR(IF(AS175&lt;=$AB$2+$AN$2,"-",INDEX(Calculation_Tab,SMALL(ROW(Direct_Denaturation)*(Direct_Denaturation&lt;&gt;"-"),COUNTIF(Direct_Denaturation,"-")+ROW()-3-$AB$2-$AN$2)-9,32)),"-")</f>
        <v>-</v>
      </c>
      <c r="BA175" s="510" t="str">
        <f t="array" aca="1" ref="BA175" ca="1">IFERROR(IF(AS175&lt;=$AB$2+$AN$2,"-",INDEX(Calculation_Tab,SMALL(ROW(Direct_Denaturation)*(Direct_Denaturation&lt;&gt;"-"),COUNTIF(Direct_Denaturation,"-")+ROW()-3-$AB$2-$AN$2)-9,34)),"-")</f>
        <v>-</v>
      </c>
      <c r="BB175" s="510" t="str">
        <f t="array" aca="1" ref="BB175" ca="1">IFERROR(IF(AS175&lt;=$AB$2+$AN$2,"-",INDEX(Calculation_Tab,SMALL(ROW(Direct_Denaturation)*(Direct_Denaturation&lt;&gt;"-"),COUNTIF(Direct_Denaturation,"-")+ROW()-3-$AB$2-$AN$2)-9,33)),"-")</f>
        <v>-</v>
      </c>
      <c r="BC175" s="510" t="str">
        <f t="array" aca="1" ref="BC175" ca="1">IFERROR(IF(AS175&lt;=$AB$2+$AN$2,"-",INDEX(Calculation_Tab,SMALL(ROW(Direct_Denaturation)*(Direct_Denaturation&lt;&gt;"-"),COUNTIF(Direct_Denaturation,"-")+ROW()-3-$AB$2-$AN$2)-9,35)),"-")</f>
        <v>-</v>
      </c>
      <c r="BD175" s="511" t="str">
        <f t="shared" ca="1" si="85"/>
        <v>-</v>
      </c>
      <c r="BK175" s="542" t="s">
        <v>82</v>
      </c>
      <c r="BL175" s="542" t="s">
        <v>82</v>
      </c>
      <c r="BM175" s="487" t="str">
        <f t="array" aca="1" ref="BM175" ca="1">IFERROR(INDEX(Calculation_Tab,SMALL(ROW(ToPool)*(ToPool&lt;&gt;"-"),COUNTIF(ToPool,"-")+ROW()-3)-9,3),"-")</f>
        <v>-</v>
      </c>
      <c r="BN175" s="378" t="str">
        <f t="shared" ca="1" si="86"/>
        <v>-</v>
      </c>
      <c r="BO175" s="378" t="str">
        <f t="shared" ca="1" si="87"/>
        <v>-</v>
      </c>
      <c r="BP175" s="523" t="str">
        <f t="shared" ca="1" si="88"/>
        <v>-</v>
      </c>
      <c r="BQ175" s="378" t="str">
        <f t="array" aca="1" ref="BQ175" ca="1">IFERROR(INDEX(BE:BG,MATCH(INDEX(Calculation_Tab,SMALL(ROW(ToPool)*(ToPool&lt;&gt;"-"),COUNTIF(ToPool,"-")+ROW()-3)-9,9),BG:BG,0),2),"-")</f>
        <v>-</v>
      </c>
      <c r="BR175" s="510" t="str">
        <f t="shared" ca="1" si="89"/>
        <v>-</v>
      </c>
      <c r="BS175" s="511" t="str">
        <f t="shared" ca="1" si="90"/>
        <v>-</v>
      </c>
      <c r="BT175" s="543" t="s">
        <v>82</v>
      </c>
      <c r="BU175" s="487" t="str">
        <f t="shared" ca="1" si="95"/>
        <v>-</v>
      </c>
      <c r="BV175" s="487" t="str">
        <f t="array" aca="1" ref="BV17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75" s="378" t="str">
        <f t="shared" ca="1" si="91"/>
        <v>-</v>
      </c>
      <c r="BX175" s="378" t="str">
        <f t="shared" ca="1" si="92"/>
        <v>-</v>
      </c>
      <c r="BY175" s="510" t="str">
        <f ca="1">IFERROR(ROUND(INDEX(Cluster,MATCH(IF(LEFT(BV175,4)="Pool",INDEX(Cluster,MATCH(INDEX(Calculation_Tab,MATCH(INDEX($BE$4:$BJ$99,MATCH(BV175,$BE$4:$BE$99,0),3),Flow_Cell_Lane,0),3),Cluster!$F$29:$F$412,0),6),BV175),Identifier_Cluster,0),19)*IF(LEFT(BV175,4)="pool",IF(LEN(INDEX($BE$4:$BJ$99,MATCH(BV175,$BE$4:$BE$99,0),3))=10,2,IF(LEN(INDEX($BE$4:$BJ$99,MATCH(BV175,$BE$4:$BE$99,0),3))&gt;10,LEN(INDEX($BE$4:$BJ$99,MATCH(BV175,$BE$4:$BE$99,0),3))-8,1)),1)*IF(LEFT(BV175,4)="pool",IF(INDEX($BE$4:$BJ$99,MATCH(BV175,$BE$4:$BE$99,0),6)&lt;1,1,INDEX($BE$4:$BJ$99,MATCH(BV175,$BE$4:$BE$99,0),6)),INDEX(Calculation_Tab,MATCH(BV175,Identifier,0),10)),1)*(1+Calculation!$Q$6),"-")</f>
        <v>-</v>
      </c>
      <c r="BZ175" s="378" t="str">
        <f ca="1">IFERROR((0.5/50)*CE175/Calculation!$AG$6*(IF(LEFT(BV175,4)="Pool",IF(LEN(INDEX($BE$4:$BJ$99,MATCH(BV175,$BE$4:$BE$99,0),3))=10,2,IF(LEN(INDEX($BE$4:$BJ$99,MATCH(BV175,$BE$4:$BE$99,0),3))&gt;10,LEN(INDEX($BE$4:$BJ$99,MATCH(BV175,$BE$4:$BE$99,0),3))-8,1)),IF(INDEX(Calculation_Tab,MATCH(BV175,Identifier,0),10)&gt;1,INDEX(Calculation_Tab,MATCH(BV175,Identifier,0),10),1)))*(1+Calculation!$Q$6),"-")</f>
        <v>-</v>
      </c>
      <c r="CA175" s="510" t="str">
        <f ca="1">IFERROR(IF((BZ175*Calculation!$AG$6/0.05)-SUM(BY175:BZ175,CC175)&gt;0,(BZ175*Calculation!$AG$6/0.05)-SUM(BY175:BZ175,CC175),0),"-")</f>
        <v>-</v>
      </c>
      <c r="CB175" s="510" t="str">
        <f ca="1">IFERROR(5/50*CE175*(IF(LEFT(BV175,4)="Pool",IF(LEN(INDEX($BE$4:$BJ$99,MATCH(BV175,$BE$4:$BE$99,0),3))=10,2,IF(LEN(INDEX($BE$4:$BJ$99,MATCH(BV175,$BE$4:$BE$99,0),3))&gt;10,LEN(INDEX($BE$4:$BJ$99,MATCH(BV175,$BE$4:$BE$99,0),3))-8,1)),IF(INDEX(Calculation_Tab,MATCH(BV175,Identifier,0),10)&gt;1,INDEX(Calculation_Tab,MATCH(BV175,Identifier,0),10),1)))*(1+Calculation!$Q$6),"-")</f>
        <v>-</v>
      </c>
      <c r="CC175" s="508" t="str">
        <f ca="1">IFERROR(ROUND(INDEX(Cluster,MATCH(IF(LEFT(BV175,4)="Pool",INDEX(Cluster,MATCH(INDEX(Calculation_Tab,MATCH(INDEX($BE$4:$BJ$99,MATCH(BV175,$BE$4:$BE$99,0),3),Flow_Cell_Lane,0),3),Cluster!$F$29:$F$412,0),6),BV175),Identifier_Cluster,0),20)*IF(LEFT(BV175,4)="pool",IF(LEN(INDEX($BE$4:$BJ$99,MATCH(BV175,$BE$4:$BE$99,0),3))=10,2,IF(LEN(INDEX($BE$4:$BJ$99,MATCH(BV175,$BE$4:$BE$99,0),3))&gt;10,LEN(INDEX($BE$4:$BJ$99,MATCH(BV175,$BE$4:$BE$99,0),3))-8,1)),1)*IF(LEFT(BV175,4)="pool",IF(INDEX($BE$4:$BJ$99,MATCH(BV175,$BE$4:$BE$99,0),6)&lt;1,1,INDEX($BE$4:$BJ$99,MATCH(BV175,$BE$4:$BE$99,0),6)),INDEX(Calculation_Tab,MATCH(BV175,Identifier,0),10)),1)*(1+Calculation!$Q$6),"-")</f>
        <v>-</v>
      </c>
      <c r="CD175" s="509" t="str">
        <f ca="1">IFERROR(INDEX(Cluster!AC:AD,MATCH(IF(LEFT(BV175,4)="Pool",INDEX(Cluster!$D$29:$AA$412,MATCH(INDEX(Calculation_Tab,MATCH(INDEX($BE$4:$BJ$99,MATCH(BV175,$BE$4:$BE$99,0),3),Flow_Cell_Lane,0),3),Cluster!$F$29:$F$412,0),24),INDEX(Cluster!$D$29:$AA$412,MATCH(BV175,Cluster!$F$29:$F$412,0),24)),Cluster!AC:AC,0),2),"-")</f>
        <v>-</v>
      </c>
      <c r="CE175" s="378" t="str">
        <f ca="1">IFERROR(IF(BV175&lt;&gt;"-",Calculation!$AK$6,"-"),"-")</f>
        <v>-</v>
      </c>
      <c r="CF175" s="378" t="str">
        <f ca="1">IF(OR(LEFT(ListAndConversion!BW175,3)="Dil",LEFT(ListAndConversion!BW175,3)="Poo"),ListAndConversion!$BT$4,IF(LEFT(ListAndConversion!BW175,3)="Sou",INDEX(ListAndConversion!$AT$3:$AV$387,MATCH(ListAndConversion!BV175,ListAndConversion!$AV$3:$AV$387,0),1),"-"))</f>
        <v>-</v>
      </c>
      <c r="CG175" s="498" t="str">
        <f ca="1">IF(OR(LEFT(ListAndConversion!BW175,3)="Dil",LEFT(ListAndConversion!BW175,3)="Poo"),ListAndConversion!BU175,IF(LEFT(ListAndConversion!BW175,3)="Sou",INDEX(ListAndConversion!$AT$4:$AV$387,MATCH(ListAndConversion!BV175,ListAndConversion!$AV$4:$AV$387,0),2),"-"))</f>
        <v>-</v>
      </c>
      <c r="CH175" s="378"/>
      <c r="CI175" s="487" t="str">
        <f t="shared" ca="1" si="93"/>
        <v>-</v>
      </c>
      <c r="CJ175" s="378" t="str">
        <f t="shared" ca="1" si="104"/>
        <v>-</v>
      </c>
      <c r="CK175" s="378" t="str">
        <f t="shared" ca="1" si="104"/>
        <v>-</v>
      </c>
      <c r="CL175" s="378" t="str">
        <f t="shared" ca="1" si="104"/>
        <v>-</v>
      </c>
      <c r="CM175" s="378" t="str">
        <f t="shared" ca="1" si="104"/>
        <v>-</v>
      </c>
      <c r="CN175" s="378" t="str">
        <f t="shared" ca="1" si="104"/>
        <v>-</v>
      </c>
      <c r="CO175" s="378" t="str">
        <f t="shared" ca="1" si="104"/>
        <v>-</v>
      </c>
      <c r="CP175" s="378" t="str">
        <f t="shared" ca="1" si="104"/>
        <v>-</v>
      </c>
      <c r="CQ175" s="378" t="str">
        <f t="shared" ca="1" si="104"/>
        <v>-</v>
      </c>
      <c r="CR175" s="510" t="str">
        <f ca="1">IFERROR(IF(LEFT(BW175,3)="Poo",INDEX($BE$4:$BJ$99,MATCH(CI175,$BG$4:$BG$99,0),6)*((15/50))*Calculation!$AK$6,INDEX(Calculation_Tab,MATCH(BV175,Identifier,0),10)/(IF(LEN(INDEX(Calculation_Tab,MATCH(BV175,Identifier,0),9))&gt;8,LEN(INDEX(Calculation_Tab,MATCH(BV175,Identifier,0),9))-8,1))*((15/50)*Calculation!$AK$6)),"-")</f>
        <v>-</v>
      </c>
      <c r="CS175" s="498" t="str">
        <f ca="1">IF(CI175="-","-",IF(COUNTIF($CI$3:CI175,CI175)&gt;1,0,IFERROR((35/50)*Calculation!$AK$6,"-")))</f>
        <v>-</v>
      </c>
    </row>
    <row r="176" spans="4:97" x14ac:dyDescent="0.5">
      <c r="D176" s="487" t="e">
        <f t="shared" si="79"/>
        <v>#DIV/0!</v>
      </c>
      <c r="E176" s="496" t="e">
        <f t="array" ref="E176">IF(IF((ROW(E176)-3)&lt;(ListAndConversion!$A$15),INDEX(Flow_Cell_Lane,MIN(IF(COUNTIF($E$2:E175,Flow_Cell_Lane)=0,ROW(Flow_Cell_Lane)-9))),"-")="","-",IF((ROW(E176)-3)&lt;(ListAndConversion!$A$15),INDEX(Flow_Cell_Lane,MIN(IF(COUNTIF($E$2:E175,Flow_Cell_Lane)=0,ROW(Flow_Cell_Lane)-9))),"-"))</f>
        <v>#DIV/0!</v>
      </c>
      <c r="F176" s="378" t="e">
        <f t="shared" si="80"/>
        <v>#DIV/0!</v>
      </c>
      <c r="G176" s="378" t="e">
        <f t="shared" si="103"/>
        <v>#DIV/0!</v>
      </c>
      <c r="H176" s="378" t="e">
        <f t="shared" si="103"/>
        <v>#DIV/0!</v>
      </c>
      <c r="I176" s="378" t="e">
        <f t="shared" si="103"/>
        <v>#DIV/0!</v>
      </c>
      <c r="J176" s="378" t="e">
        <f t="shared" si="103"/>
        <v>#DIV/0!</v>
      </c>
      <c r="K176" s="378" t="e">
        <f t="shared" si="103"/>
        <v>#DIV/0!</v>
      </c>
      <c r="L176" s="378" t="e">
        <f t="shared" si="103"/>
        <v>#DIV/0!</v>
      </c>
      <c r="M176" s="378" t="e">
        <f t="shared" si="103"/>
        <v>#DIV/0!</v>
      </c>
      <c r="N176" s="497" t="e">
        <f t="shared" si="81"/>
        <v>#DIV/0!</v>
      </c>
      <c r="O176" s="497" t="str">
        <f t="array" ref="O176">IFERROR(INDEX(Calculation!I:AN,MATCH(ListAndConversion!E176,Calculation!I:I,0),31),"-")</f>
        <v>-</v>
      </c>
      <c r="P176" s="498">
        <f>IF(COUNTIFS(Calculation!$I$10:$I$393,E176,Direct_Denaturation,"-")&lt;&gt;1,COUNTIFS(Calculation!$I$10:$I$393,E176,Direct_Denaturation,"-"),0)</f>
        <v>0</v>
      </c>
      <c r="V176" s="542" t="s">
        <v>82</v>
      </c>
      <c r="W176" s="542" t="s">
        <v>82</v>
      </c>
      <c r="X176" s="542" t="s">
        <v>82</v>
      </c>
      <c r="Y176" s="542" t="s">
        <v>82</v>
      </c>
      <c r="Z176" s="542" t="s">
        <v>82</v>
      </c>
      <c r="AA176" s="542" t="s">
        <v>82</v>
      </c>
      <c r="AB176" s="542" t="s">
        <v>82</v>
      </c>
      <c r="AC176" s="542" t="s">
        <v>82</v>
      </c>
      <c r="AD176" s="542" t="s">
        <v>82</v>
      </c>
      <c r="AE176" s="542" t="s">
        <v>82</v>
      </c>
      <c r="AF176" s="542" t="s">
        <v>82</v>
      </c>
      <c r="AG176" s="542" t="s">
        <v>82</v>
      </c>
      <c r="AH176" s="9"/>
      <c r="AI176" s="487">
        <v>173</v>
      </c>
      <c r="AJ176" s="497" t="s">
        <v>161</v>
      </c>
      <c r="AK176" s="378">
        <v>77</v>
      </c>
      <c r="AL176" s="378" t="str">
        <f t="shared" ca="1" si="82"/>
        <v>-</v>
      </c>
      <c r="AM176" s="378" t="str">
        <f t="array" aca="1" ref="AM176" ca="1">IFERROR(IF(AI176&lt;=$AB$2,"-",INDEX(Calculation_Tab,SMALL(ROW(Main_Dil)*(Main_Dil&lt;&gt;"-"),COUNTIF(Main_Dil,"-")+ROW()-3-$AB$2)-9,5)),"-")</f>
        <v>-</v>
      </c>
      <c r="AN176" s="378" t="str">
        <f t="array" aca="1" ref="AN176" ca="1">IFERROR(IF(AI176&lt;=$AB$2,"-",INDEX($A$3:$B$12,MATCH(INDEX(Calculation_Tab,SMALL(ROW(Main_Dil)*(Main_Dil&lt;&gt;"-"),COUNTIF(Main_Dil,"-")+ROW()-3-$AB$2)-9,5),$A$3:$A$12,0),2)),"-")</f>
        <v>-</v>
      </c>
      <c r="AO176" s="378" t="str">
        <f t="array" aca="1" ref="AO176" ca="1">IFERROR(IF(AI176&lt;=$AB$2,"-",INDEX(Coordinate,MATCH(INDEX(Calculation_Tab,SMALL(ROW(Main_Dil)*(Main_Dil&lt;&gt;"-"),COUNTIF(Main_Dil,"-")+ROW()-3-$AB$2)-9,6),$X$4:$X$99,0),2)),"-")</f>
        <v>-</v>
      </c>
      <c r="AP176" s="510" t="str">
        <f t="array" aca="1" ref="AP176" ca="1">IFERROR(IF(AI176&lt;=$AB$2,"-",INDEX(Calculation_Tab,SMALL(ROW(Main_Dil)*(Main_Dil&lt;&gt;"-"),COUNTIF(Main_Dil,"-")+ROW()-3-$AB$2)-9,21)),"-")</f>
        <v>-</v>
      </c>
      <c r="AQ176" s="511" t="str">
        <f t="array" aca="1" ref="AQ176" ca="1">IFERROR(IF(AI176&lt;=$AB$2,"-",INDEX(Calculation_Tab,SMALL(ROW(Main_Dil)*(Main_Dil&lt;&gt;"-"),COUNTIF(Main_Dil,"-")+ROW()-3-$AB$2)-9,22)),"-")</f>
        <v>-</v>
      </c>
      <c r="AR176" s="487" t="str">
        <f t="shared" ca="1" si="83"/>
        <v>-</v>
      </c>
      <c r="AS176" s="378">
        <v>173</v>
      </c>
      <c r="AT176" s="497" t="s">
        <v>161</v>
      </c>
      <c r="AU176" s="498">
        <v>77</v>
      </c>
      <c r="AV176" s="378" t="str">
        <f t="shared" ca="1" si="84"/>
        <v>-</v>
      </c>
      <c r="AW176" s="378" t="str">
        <f t="array" aca="1" ref="AW176" ca="1">IFERROR(IF(AS176&lt;=$AB$2+$AN$2,"-",INDEX(Calculation_Tab,SMALL(ROW(Direct_Denaturation)*(Direct_Denaturation&lt;&gt;"-"),COUNTIF(Direct_Denaturation,"-")+ROW()-3-$AB$2-$AN$2)-9,5)),"-")</f>
        <v>-</v>
      </c>
      <c r="AX176" s="378" t="str">
        <f t="array" aca="1" ref="AX176" ca="1">IFERROR(IF(AS176&lt;=$AB$2+$AN$2,"-",INDEX($A$3:$B$12,MATCH(INDEX(Calculation_Tab,SMALL(ROW(Direct_Denaturation)*(Direct_Denaturation&lt;&gt;"-"),COUNTIF(Direct_Denaturation,"-")+ROW()-3-$AB$2-$AN$2)-9,5),$A$3:$A$12,0),2)),"-")</f>
        <v>-</v>
      </c>
      <c r="AY176" s="378" t="str">
        <f t="array" aca="1" ref="AY176" ca="1">IFERROR(IF(AS176&lt;=$AB$2+$AN$2,"-",INDEX(Coordinate,MATCH(INDEX(Calculation_Tab,SMALL(ROW(Direct_Denaturation)*(Direct_Denaturation&lt;&gt;"-"),COUNTIF(Direct_Denaturation,"-")+ROW()-3-$AB$2-$AN$2)-9,6),$X$4:$X$99,0),2)),"-")</f>
        <v>-</v>
      </c>
      <c r="AZ176" s="510" t="str">
        <f t="array" aca="1" ref="AZ176" ca="1">IFERROR(IF(AS176&lt;=$AB$2+$AN$2,"-",INDEX(Calculation_Tab,SMALL(ROW(Direct_Denaturation)*(Direct_Denaturation&lt;&gt;"-"),COUNTIF(Direct_Denaturation,"-")+ROW()-3-$AB$2-$AN$2)-9,32)),"-")</f>
        <v>-</v>
      </c>
      <c r="BA176" s="510" t="str">
        <f t="array" aca="1" ref="BA176" ca="1">IFERROR(IF(AS176&lt;=$AB$2+$AN$2,"-",INDEX(Calculation_Tab,SMALL(ROW(Direct_Denaturation)*(Direct_Denaturation&lt;&gt;"-"),COUNTIF(Direct_Denaturation,"-")+ROW()-3-$AB$2-$AN$2)-9,34)),"-")</f>
        <v>-</v>
      </c>
      <c r="BB176" s="510" t="str">
        <f t="array" aca="1" ref="BB176" ca="1">IFERROR(IF(AS176&lt;=$AB$2+$AN$2,"-",INDEX(Calculation_Tab,SMALL(ROW(Direct_Denaturation)*(Direct_Denaturation&lt;&gt;"-"),COUNTIF(Direct_Denaturation,"-")+ROW()-3-$AB$2-$AN$2)-9,33)),"-")</f>
        <v>-</v>
      </c>
      <c r="BC176" s="510" t="str">
        <f t="array" aca="1" ref="BC176" ca="1">IFERROR(IF(AS176&lt;=$AB$2+$AN$2,"-",INDEX(Calculation_Tab,SMALL(ROW(Direct_Denaturation)*(Direct_Denaturation&lt;&gt;"-"),COUNTIF(Direct_Denaturation,"-")+ROW()-3-$AB$2-$AN$2)-9,35)),"-")</f>
        <v>-</v>
      </c>
      <c r="BD176" s="511" t="str">
        <f t="shared" ca="1" si="85"/>
        <v>-</v>
      </c>
      <c r="BK176" s="542" t="s">
        <v>82</v>
      </c>
      <c r="BL176" s="542" t="s">
        <v>82</v>
      </c>
      <c r="BM176" s="487" t="str">
        <f t="array" aca="1" ref="BM176" ca="1">IFERROR(INDEX(Calculation_Tab,SMALL(ROW(ToPool)*(ToPool&lt;&gt;"-"),COUNTIF(ToPool,"-")+ROW()-3)-9,3),"-")</f>
        <v>-</v>
      </c>
      <c r="BN176" s="378" t="str">
        <f t="shared" ca="1" si="86"/>
        <v>-</v>
      </c>
      <c r="BO176" s="378" t="str">
        <f t="shared" ca="1" si="87"/>
        <v>-</v>
      </c>
      <c r="BP176" s="523" t="str">
        <f t="shared" ca="1" si="88"/>
        <v>-</v>
      </c>
      <c r="BQ176" s="378" t="str">
        <f t="array" aca="1" ref="BQ176" ca="1">IFERROR(INDEX(BE:BG,MATCH(INDEX(Calculation_Tab,SMALL(ROW(ToPool)*(ToPool&lt;&gt;"-"),COUNTIF(ToPool,"-")+ROW()-3)-9,9),BG:BG,0),2),"-")</f>
        <v>-</v>
      </c>
      <c r="BR176" s="510" t="str">
        <f t="shared" ca="1" si="89"/>
        <v>-</v>
      </c>
      <c r="BS176" s="511" t="str">
        <f t="shared" ca="1" si="90"/>
        <v>-</v>
      </c>
      <c r="BT176" s="543" t="s">
        <v>82</v>
      </c>
      <c r="BU176" s="487" t="str">
        <f t="shared" ca="1" si="95"/>
        <v>-</v>
      </c>
      <c r="BV176" s="487" t="str">
        <f t="array" aca="1" ref="BV17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76" s="378" t="str">
        <f t="shared" ca="1" si="91"/>
        <v>-</v>
      </c>
      <c r="BX176" s="378" t="str">
        <f t="shared" ca="1" si="92"/>
        <v>-</v>
      </c>
      <c r="BY176" s="510" t="str">
        <f ca="1">IFERROR(ROUND(INDEX(Cluster,MATCH(IF(LEFT(BV176,4)="Pool",INDEX(Cluster,MATCH(INDEX(Calculation_Tab,MATCH(INDEX($BE$4:$BJ$99,MATCH(BV176,$BE$4:$BE$99,0),3),Flow_Cell_Lane,0),3),Cluster!$F$29:$F$412,0),6),BV176),Identifier_Cluster,0),19)*IF(LEFT(BV176,4)="pool",IF(LEN(INDEX($BE$4:$BJ$99,MATCH(BV176,$BE$4:$BE$99,0),3))=10,2,IF(LEN(INDEX($BE$4:$BJ$99,MATCH(BV176,$BE$4:$BE$99,0),3))&gt;10,LEN(INDEX($BE$4:$BJ$99,MATCH(BV176,$BE$4:$BE$99,0),3))-8,1)),1)*IF(LEFT(BV176,4)="pool",IF(INDEX($BE$4:$BJ$99,MATCH(BV176,$BE$4:$BE$99,0),6)&lt;1,1,INDEX($BE$4:$BJ$99,MATCH(BV176,$BE$4:$BE$99,0),6)),INDEX(Calculation_Tab,MATCH(BV176,Identifier,0),10)),1)*(1+Calculation!$Q$6),"-")</f>
        <v>-</v>
      </c>
      <c r="BZ176" s="378" t="str">
        <f ca="1">IFERROR((0.5/50)*CE176/Calculation!$AG$6*(IF(LEFT(BV176,4)="Pool",IF(LEN(INDEX($BE$4:$BJ$99,MATCH(BV176,$BE$4:$BE$99,0),3))=10,2,IF(LEN(INDEX($BE$4:$BJ$99,MATCH(BV176,$BE$4:$BE$99,0),3))&gt;10,LEN(INDEX($BE$4:$BJ$99,MATCH(BV176,$BE$4:$BE$99,0),3))-8,1)),IF(INDEX(Calculation_Tab,MATCH(BV176,Identifier,0),10)&gt;1,INDEX(Calculation_Tab,MATCH(BV176,Identifier,0),10),1)))*(1+Calculation!$Q$6),"-")</f>
        <v>-</v>
      </c>
      <c r="CA176" s="510" t="str">
        <f ca="1">IFERROR(IF((BZ176*Calculation!$AG$6/0.05)-SUM(BY176:BZ176,CC176)&gt;0,(BZ176*Calculation!$AG$6/0.05)-SUM(BY176:BZ176,CC176),0),"-")</f>
        <v>-</v>
      </c>
      <c r="CB176" s="510" t="str">
        <f ca="1">IFERROR(5/50*CE176*(IF(LEFT(BV176,4)="Pool",IF(LEN(INDEX($BE$4:$BJ$99,MATCH(BV176,$BE$4:$BE$99,0),3))=10,2,IF(LEN(INDEX($BE$4:$BJ$99,MATCH(BV176,$BE$4:$BE$99,0),3))&gt;10,LEN(INDEX($BE$4:$BJ$99,MATCH(BV176,$BE$4:$BE$99,0),3))-8,1)),IF(INDEX(Calculation_Tab,MATCH(BV176,Identifier,0),10)&gt;1,INDEX(Calculation_Tab,MATCH(BV176,Identifier,0),10),1)))*(1+Calculation!$Q$6),"-")</f>
        <v>-</v>
      </c>
      <c r="CC176" s="508" t="str">
        <f ca="1">IFERROR(ROUND(INDEX(Cluster,MATCH(IF(LEFT(BV176,4)="Pool",INDEX(Cluster,MATCH(INDEX(Calculation_Tab,MATCH(INDEX($BE$4:$BJ$99,MATCH(BV176,$BE$4:$BE$99,0),3),Flow_Cell_Lane,0),3),Cluster!$F$29:$F$412,0),6),BV176),Identifier_Cluster,0),20)*IF(LEFT(BV176,4)="pool",IF(LEN(INDEX($BE$4:$BJ$99,MATCH(BV176,$BE$4:$BE$99,0),3))=10,2,IF(LEN(INDEX($BE$4:$BJ$99,MATCH(BV176,$BE$4:$BE$99,0),3))&gt;10,LEN(INDEX($BE$4:$BJ$99,MATCH(BV176,$BE$4:$BE$99,0),3))-8,1)),1)*IF(LEFT(BV176,4)="pool",IF(INDEX($BE$4:$BJ$99,MATCH(BV176,$BE$4:$BE$99,0),6)&lt;1,1,INDEX($BE$4:$BJ$99,MATCH(BV176,$BE$4:$BE$99,0),6)),INDEX(Calculation_Tab,MATCH(BV176,Identifier,0),10)),1)*(1+Calculation!$Q$6),"-")</f>
        <v>-</v>
      </c>
      <c r="CD176" s="509" t="str">
        <f ca="1">IFERROR(INDEX(Cluster!AC:AD,MATCH(IF(LEFT(BV176,4)="Pool",INDEX(Cluster!$D$29:$AA$412,MATCH(INDEX(Calculation_Tab,MATCH(INDEX($BE$4:$BJ$99,MATCH(BV176,$BE$4:$BE$99,0),3),Flow_Cell_Lane,0),3),Cluster!$F$29:$F$412,0),24),INDEX(Cluster!$D$29:$AA$412,MATCH(BV176,Cluster!$F$29:$F$412,0),24)),Cluster!AC:AC,0),2),"-")</f>
        <v>-</v>
      </c>
      <c r="CE176" s="378" t="str">
        <f ca="1">IFERROR(IF(BV176&lt;&gt;"-",Calculation!$AK$6,"-"),"-")</f>
        <v>-</v>
      </c>
      <c r="CF176" s="378" t="str">
        <f ca="1">IF(OR(LEFT(ListAndConversion!BW176,3)="Dil",LEFT(ListAndConversion!BW176,3)="Poo"),ListAndConversion!$BT$4,IF(LEFT(ListAndConversion!BW176,3)="Sou",INDEX(ListAndConversion!$AT$3:$AV$387,MATCH(ListAndConversion!BV176,ListAndConversion!$AV$3:$AV$387,0),1),"-"))</f>
        <v>-</v>
      </c>
      <c r="CG176" s="498" t="str">
        <f ca="1">IF(OR(LEFT(ListAndConversion!BW176,3)="Dil",LEFT(ListAndConversion!BW176,3)="Poo"),ListAndConversion!BU176,IF(LEFT(ListAndConversion!BW176,3)="Sou",INDEX(ListAndConversion!$AT$4:$AV$387,MATCH(ListAndConversion!BV176,ListAndConversion!$AV$4:$AV$387,0),2),"-"))</f>
        <v>-</v>
      </c>
      <c r="CH176" s="378"/>
      <c r="CI176" s="487" t="str">
        <f t="shared" ca="1" si="93"/>
        <v>-</v>
      </c>
      <c r="CJ176" s="378" t="str">
        <f t="shared" ca="1" si="104"/>
        <v>-</v>
      </c>
      <c r="CK176" s="378" t="str">
        <f t="shared" ca="1" si="104"/>
        <v>-</v>
      </c>
      <c r="CL176" s="378" t="str">
        <f t="shared" ca="1" si="104"/>
        <v>-</v>
      </c>
      <c r="CM176" s="378" t="str">
        <f t="shared" ca="1" si="104"/>
        <v>-</v>
      </c>
      <c r="CN176" s="378" t="str">
        <f t="shared" ca="1" si="104"/>
        <v>-</v>
      </c>
      <c r="CO176" s="378" t="str">
        <f t="shared" ca="1" si="104"/>
        <v>-</v>
      </c>
      <c r="CP176" s="378" t="str">
        <f t="shared" ca="1" si="104"/>
        <v>-</v>
      </c>
      <c r="CQ176" s="378" t="str">
        <f t="shared" ca="1" si="104"/>
        <v>-</v>
      </c>
      <c r="CR176" s="510" t="str">
        <f ca="1">IFERROR(IF(LEFT(BW176,3)="Poo",INDEX($BE$4:$BJ$99,MATCH(CI176,$BG$4:$BG$99,0),6)*((15/50))*Calculation!$AK$6,INDEX(Calculation_Tab,MATCH(BV176,Identifier,0),10)/(IF(LEN(INDEX(Calculation_Tab,MATCH(BV176,Identifier,0),9))&gt;8,LEN(INDEX(Calculation_Tab,MATCH(BV176,Identifier,0),9))-8,1))*((15/50)*Calculation!$AK$6)),"-")</f>
        <v>-</v>
      </c>
      <c r="CS176" s="498" t="str">
        <f ca="1">IF(CI176="-","-",IF(COUNTIF($CI$3:CI176,CI176)&gt;1,0,IFERROR((35/50)*Calculation!$AK$6,"-")))</f>
        <v>-</v>
      </c>
    </row>
    <row r="177" spans="4:97" x14ac:dyDescent="0.5">
      <c r="D177" s="487" t="e">
        <f t="shared" si="79"/>
        <v>#DIV/0!</v>
      </c>
      <c r="E177" s="496" t="e">
        <f t="array" ref="E177">IF(IF((ROW(E177)-3)&lt;(ListAndConversion!$A$15),INDEX(Flow_Cell_Lane,MIN(IF(COUNTIF($E$2:E176,Flow_Cell_Lane)=0,ROW(Flow_Cell_Lane)-9))),"-")="","-",IF((ROW(E177)-3)&lt;(ListAndConversion!$A$15),INDEX(Flow_Cell_Lane,MIN(IF(COUNTIF($E$2:E176,Flow_Cell_Lane)=0,ROW(Flow_Cell_Lane)-9))),"-"))</f>
        <v>#DIV/0!</v>
      </c>
      <c r="F177" s="378" t="e">
        <f t="shared" si="80"/>
        <v>#DIV/0!</v>
      </c>
      <c r="G177" s="378" t="e">
        <f t="shared" si="103"/>
        <v>#DIV/0!</v>
      </c>
      <c r="H177" s="378" t="e">
        <f t="shared" si="103"/>
        <v>#DIV/0!</v>
      </c>
      <c r="I177" s="378" t="e">
        <f t="shared" si="103"/>
        <v>#DIV/0!</v>
      </c>
      <c r="J177" s="378" t="e">
        <f t="shared" si="103"/>
        <v>#DIV/0!</v>
      </c>
      <c r="K177" s="378" t="e">
        <f t="shared" si="103"/>
        <v>#DIV/0!</v>
      </c>
      <c r="L177" s="378" t="e">
        <f t="shared" si="103"/>
        <v>#DIV/0!</v>
      </c>
      <c r="M177" s="378" t="e">
        <f t="shared" si="103"/>
        <v>#DIV/0!</v>
      </c>
      <c r="N177" s="497" t="e">
        <f t="shared" si="81"/>
        <v>#DIV/0!</v>
      </c>
      <c r="O177" s="497" t="str">
        <f t="array" ref="O177">IFERROR(INDEX(Calculation!I:AN,MATCH(ListAndConversion!E177,Calculation!I:I,0),31),"-")</f>
        <v>-</v>
      </c>
      <c r="P177" s="498">
        <f>IF(COUNTIFS(Calculation!$I$10:$I$393,E177,Direct_Denaturation,"-")&lt;&gt;1,COUNTIFS(Calculation!$I$10:$I$393,E177,Direct_Denaturation,"-"),0)</f>
        <v>0</v>
      </c>
      <c r="V177" s="542" t="s">
        <v>82</v>
      </c>
      <c r="W177" s="542" t="s">
        <v>82</v>
      </c>
      <c r="X177" s="542" t="s">
        <v>82</v>
      </c>
      <c r="Y177" s="542" t="s">
        <v>82</v>
      </c>
      <c r="Z177" s="542" t="s">
        <v>82</v>
      </c>
      <c r="AA177" s="542" t="s">
        <v>82</v>
      </c>
      <c r="AB177" s="542" t="s">
        <v>82</v>
      </c>
      <c r="AC177" s="542" t="s">
        <v>82</v>
      </c>
      <c r="AD177" s="542" t="s">
        <v>82</v>
      </c>
      <c r="AE177" s="542" t="s">
        <v>82</v>
      </c>
      <c r="AF177" s="542" t="s">
        <v>82</v>
      </c>
      <c r="AG177" s="542" t="s">
        <v>82</v>
      </c>
      <c r="AH177" s="9"/>
      <c r="AI177" s="487">
        <v>174</v>
      </c>
      <c r="AJ177" s="497" t="s">
        <v>161</v>
      </c>
      <c r="AK177" s="378">
        <v>78</v>
      </c>
      <c r="AL177" s="378" t="str">
        <f t="shared" ca="1" si="82"/>
        <v>-</v>
      </c>
      <c r="AM177" s="378" t="str">
        <f t="array" aca="1" ref="AM177" ca="1">IFERROR(IF(AI177&lt;=$AB$2,"-",INDEX(Calculation_Tab,SMALL(ROW(Main_Dil)*(Main_Dil&lt;&gt;"-"),COUNTIF(Main_Dil,"-")+ROW()-3-$AB$2)-9,5)),"-")</f>
        <v>-</v>
      </c>
      <c r="AN177" s="378" t="str">
        <f t="array" aca="1" ref="AN177" ca="1">IFERROR(IF(AI177&lt;=$AB$2,"-",INDEX($A$3:$B$12,MATCH(INDEX(Calculation_Tab,SMALL(ROW(Main_Dil)*(Main_Dil&lt;&gt;"-"),COUNTIF(Main_Dil,"-")+ROW()-3-$AB$2)-9,5),$A$3:$A$12,0),2)),"-")</f>
        <v>-</v>
      </c>
      <c r="AO177" s="378" t="str">
        <f t="array" aca="1" ref="AO177" ca="1">IFERROR(IF(AI177&lt;=$AB$2,"-",INDEX(Coordinate,MATCH(INDEX(Calculation_Tab,SMALL(ROW(Main_Dil)*(Main_Dil&lt;&gt;"-"),COUNTIF(Main_Dil,"-")+ROW()-3-$AB$2)-9,6),$X$4:$X$99,0),2)),"-")</f>
        <v>-</v>
      </c>
      <c r="AP177" s="510" t="str">
        <f t="array" aca="1" ref="AP177" ca="1">IFERROR(IF(AI177&lt;=$AB$2,"-",INDEX(Calculation_Tab,SMALL(ROW(Main_Dil)*(Main_Dil&lt;&gt;"-"),COUNTIF(Main_Dil,"-")+ROW()-3-$AB$2)-9,21)),"-")</f>
        <v>-</v>
      </c>
      <c r="AQ177" s="511" t="str">
        <f t="array" aca="1" ref="AQ177" ca="1">IFERROR(IF(AI177&lt;=$AB$2,"-",INDEX(Calculation_Tab,SMALL(ROW(Main_Dil)*(Main_Dil&lt;&gt;"-"),COUNTIF(Main_Dil,"-")+ROW()-3-$AB$2)-9,22)),"-")</f>
        <v>-</v>
      </c>
      <c r="AR177" s="487" t="str">
        <f t="shared" ca="1" si="83"/>
        <v>-</v>
      </c>
      <c r="AS177" s="378">
        <v>174</v>
      </c>
      <c r="AT177" s="497" t="s">
        <v>161</v>
      </c>
      <c r="AU177" s="498">
        <v>78</v>
      </c>
      <c r="AV177" s="378" t="str">
        <f t="shared" ca="1" si="84"/>
        <v>-</v>
      </c>
      <c r="AW177" s="378" t="str">
        <f t="array" aca="1" ref="AW177" ca="1">IFERROR(IF(AS177&lt;=$AB$2+$AN$2,"-",INDEX(Calculation_Tab,SMALL(ROW(Direct_Denaturation)*(Direct_Denaturation&lt;&gt;"-"),COUNTIF(Direct_Denaturation,"-")+ROW()-3-$AB$2-$AN$2)-9,5)),"-")</f>
        <v>-</v>
      </c>
      <c r="AX177" s="378" t="str">
        <f t="array" aca="1" ref="AX177" ca="1">IFERROR(IF(AS177&lt;=$AB$2+$AN$2,"-",INDEX($A$3:$B$12,MATCH(INDEX(Calculation_Tab,SMALL(ROW(Direct_Denaturation)*(Direct_Denaturation&lt;&gt;"-"),COUNTIF(Direct_Denaturation,"-")+ROW()-3-$AB$2-$AN$2)-9,5),$A$3:$A$12,0),2)),"-")</f>
        <v>-</v>
      </c>
      <c r="AY177" s="378" t="str">
        <f t="array" aca="1" ref="AY177" ca="1">IFERROR(IF(AS177&lt;=$AB$2+$AN$2,"-",INDEX(Coordinate,MATCH(INDEX(Calculation_Tab,SMALL(ROW(Direct_Denaturation)*(Direct_Denaturation&lt;&gt;"-"),COUNTIF(Direct_Denaturation,"-")+ROW()-3-$AB$2-$AN$2)-9,6),$X$4:$X$99,0),2)),"-")</f>
        <v>-</v>
      </c>
      <c r="AZ177" s="510" t="str">
        <f t="array" aca="1" ref="AZ177" ca="1">IFERROR(IF(AS177&lt;=$AB$2+$AN$2,"-",INDEX(Calculation_Tab,SMALL(ROW(Direct_Denaturation)*(Direct_Denaturation&lt;&gt;"-"),COUNTIF(Direct_Denaturation,"-")+ROW()-3-$AB$2-$AN$2)-9,32)),"-")</f>
        <v>-</v>
      </c>
      <c r="BA177" s="510" t="str">
        <f t="array" aca="1" ref="BA177" ca="1">IFERROR(IF(AS177&lt;=$AB$2+$AN$2,"-",INDEX(Calculation_Tab,SMALL(ROW(Direct_Denaturation)*(Direct_Denaturation&lt;&gt;"-"),COUNTIF(Direct_Denaturation,"-")+ROW()-3-$AB$2-$AN$2)-9,34)),"-")</f>
        <v>-</v>
      </c>
      <c r="BB177" s="510" t="str">
        <f t="array" aca="1" ref="BB177" ca="1">IFERROR(IF(AS177&lt;=$AB$2+$AN$2,"-",INDEX(Calculation_Tab,SMALL(ROW(Direct_Denaturation)*(Direct_Denaturation&lt;&gt;"-"),COUNTIF(Direct_Denaturation,"-")+ROW()-3-$AB$2-$AN$2)-9,33)),"-")</f>
        <v>-</v>
      </c>
      <c r="BC177" s="510" t="str">
        <f t="array" aca="1" ref="BC177" ca="1">IFERROR(IF(AS177&lt;=$AB$2+$AN$2,"-",INDEX(Calculation_Tab,SMALL(ROW(Direct_Denaturation)*(Direct_Denaturation&lt;&gt;"-"),COUNTIF(Direct_Denaturation,"-")+ROW()-3-$AB$2-$AN$2)-9,35)),"-")</f>
        <v>-</v>
      </c>
      <c r="BD177" s="511" t="str">
        <f t="shared" ca="1" si="85"/>
        <v>-</v>
      </c>
      <c r="BK177" s="542" t="s">
        <v>82</v>
      </c>
      <c r="BL177" s="542" t="s">
        <v>82</v>
      </c>
      <c r="BM177" s="487" t="str">
        <f t="array" aca="1" ref="BM177" ca="1">IFERROR(INDEX(Calculation_Tab,SMALL(ROW(ToPool)*(ToPool&lt;&gt;"-"),COUNTIF(ToPool,"-")+ROW()-3)-9,3),"-")</f>
        <v>-</v>
      </c>
      <c r="BN177" s="378" t="str">
        <f t="shared" ca="1" si="86"/>
        <v>-</v>
      </c>
      <c r="BO177" s="378" t="str">
        <f t="shared" ca="1" si="87"/>
        <v>-</v>
      </c>
      <c r="BP177" s="523" t="str">
        <f t="shared" ca="1" si="88"/>
        <v>-</v>
      </c>
      <c r="BQ177" s="378" t="str">
        <f t="array" aca="1" ref="BQ177" ca="1">IFERROR(INDEX(BE:BG,MATCH(INDEX(Calculation_Tab,SMALL(ROW(ToPool)*(ToPool&lt;&gt;"-"),COUNTIF(ToPool,"-")+ROW()-3)-9,9),BG:BG,0),2),"-")</f>
        <v>-</v>
      </c>
      <c r="BR177" s="510" t="str">
        <f t="shared" ca="1" si="89"/>
        <v>-</v>
      </c>
      <c r="BS177" s="511" t="str">
        <f t="shared" ca="1" si="90"/>
        <v>-</v>
      </c>
      <c r="BT177" s="543" t="s">
        <v>82</v>
      </c>
      <c r="BU177" s="487" t="str">
        <f t="shared" ca="1" si="95"/>
        <v>-</v>
      </c>
      <c r="BV177" s="487" t="str">
        <f t="array" aca="1" ref="BV17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77" s="378" t="str">
        <f t="shared" ca="1" si="91"/>
        <v>-</v>
      </c>
      <c r="BX177" s="378" t="str">
        <f t="shared" ca="1" si="92"/>
        <v>-</v>
      </c>
      <c r="BY177" s="510" t="str">
        <f ca="1">IFERROR(ROUND(INDEX(Cluster,MATCH(IF(LEFT(BV177,4)="Pool",INDEX(Cluster,MATCH(INDEX(Calculation_Tab,MATCH(INDEX($BE$4:$BJ$99,MATCH(BV177,$BE$4:$BE$99,0),3),Flow_Cell_Lane,0),3),Cluster!$F$29:$F$412,0),6),BV177),Identifier_Cluster,0),19)*IF(LEFT(BV177,4)="pool",IF(LEN(INDEX($BE$4:$BJ$99,MATCH(BV177,$BE$4:$BE$99,0),3))=10,2,IF(LEN(INDEX($BE$4:$BJ$99,MATCH(BV177,$BE$4:$BE$99,0),3))&gt;10,LEN(INDEX($BE$4:$BJ$99,MATCH(BV177,$BE$4:$BE$99,0),3))-8,1)),1)*IF(LEFT(BV177,4)="pool",IF(INDEX($BE$4:$BJ$99,MATCH(BV177,$BE$4:$BE$99,0),6)&lt;1,1,INDEX($BE$4:$BJ$99,MATCH(BV177,$BE$4:$BE$99,0),6)),INDEX(Calculation_Tab,MATCH(BV177,Identifier,0),10)),1)*(1+Calculation!$Q$6),"-")</f>
        <v>-</v>
      </c>
      <c r="BZ177" s="378" t="str">
        <f ca="1">IFERROR((0.5/50)*CE177/Calculation!$AG$6*(IF(LEFT(BV177,4)="Pool",IF(LEN(INDEX($BE$4:$BJ$99,MATCH(BV177,$BE$4:$BE$99,0),3))=10,2,IF(LEN(INDEX($BE$4:$BJ$99,MATCH(BV177,$BE$4:$BE$99,0),3))&gt;10,LEN(INDEX($BE$4:$BJ$99,MATCH(BV177,$BE$4:$BE$99,0),3))-8,1)),IF(INDEX(Calculation_Tab,MATCH(BV177,Identifier,0),10)&gt;1,INDEX(Calculation_Tab,MATCH(BV177,Identifier,0),10),1)))*(1+Calculation!$Q$6),"-")</f>
        <v>-</v>
      </c>
      <c r="CA177" s="510" t="str">
        <f ca="1">IFERROR(IF((BZ177*Calculation!$AG$6/0.05)-SUM(BY177:BZ177,CC177)&gt;0,(BZ177*Calculation!$AG$6/0.05)-SUM(BY177:BZ177,CC177),0),"-")</f>
        <v>-</v>
      </c>
      <c r="CB177" s="510" t="str">
        <f ca="1">IFERROR(5/50*CE177*(IF(LEFT(BV177,4)="Pool",IF(LEN(INDEX($BE$4:$BJ$99,MATCH(BV177,$BE$4:$BE$99,0),3))=10,2,IF(LEN(INDEX($BE$4:$BJ$99,MATCH(BV177,$BE$4:$BE$99,0),3))&gt;10,LEN(INDEX($BE$4:$BJ$99,MATCH(BV177,$BE$4:$BE$99,0),3))-8,1)),IF(INDEX(Calculation_Tab,MATCH(BV177,Identifier,0),10)&gt;1,INDEX(Calculation_Tab,MATCH(BV177,Identifier,0),10),1)))*(1+Calculation!$Q$6),"-")</f>
        <v>-</v>
      </c>
      <c r="CC177" s="508" t="str">
        <f ca="1">IFERROR(ROUND(INDEX(Cluster,MATCH(IF(LEFT(BV177,4)="Pool",INDEX(Cluster,MATCH(INDEX(Calculation_Tab,MATCH(INDEX($BE$4:$BJ$99,MATCH(BV177,$BE$4:$BE$99,0),3),Flow_Cell_Lane,0),3),Cluster!$F$29:$F$412,0),6),BV177),Identifier_Cluster,0),20)*IF(LEFT(BV177,4)="pool",IF(LEN(INDEX($BE$4:$BJ$99,MATCH(BV177,$BE$4:$BE$99,0),3))=10,2,IF(LEN(INDEX($BE$4:$BJ$99,MATCH(BV177,$BE$4:$BE$99,0),3))&gt;10,LEN(INDEX($BE$4:$BJ$99,MATCH(BV177,$BE$4:$BE$99,0),3))-8,1)),1)*IF(LEFT(BV177,4)="pool",IF(INDEX($BE$4:$BJ$99,MATCH(BV177,$BE$4:$BE$99,0),6)&lt;1,1,INDEX($BE$4:$BJ$99,MATCH(BV177,$BE$4:$BE$99,0),6)),INDEX(Calculation_Tab,MATCH(BV177,Identifier,0),10)),1)*(1+Calculation!$Q$6),"-")</f>
        <v>-</v>
      </c>
      <c r="CD177" s="509" t="str">
        <f ca="1">IFERROR(INDEX(Cluster!AC:AD,MATCH(IF(LEFT(BV177,4)="Pool",INDEX(Cluster!$D$29:$AA$412,MATCH(INDEX(Calculation_Tab,MATCH(INDEX($BE$4:$BJ$99,MATCH(BV177,$BE$4:$BE$99,0),3),Flow_Cell_Lane,0),3),Cluster!$F$29:$F$412,0),24),INDEX(Cluster!$D$29:$AA$412,MATCH(BV177,Cluster!$F$29:$F$412,0),24)),Cluster!AC:AC,0),2),"-")</f>
        <v>-</v>
      </c>
      <c r="CE177" s="378" t="str">
        <f ca="1">IFERROR(IF(BV177&lt;&gt;"-",Calculation!$AK$6,"-"),"-")</f>
        <v>-</v>
      </c>
      <c r="CF177" s="378" t="str">
        <f ca="1">IF(OR(LEFT(ListAndConversion!BW177,3)="Dil",LEFT(ListAndConversion!BW177,3)="Poo"),ListAndConversion!$BT$4,IF(LEFT(ListAndConversion!BW177,3)="Sou",INDEX(ListAndConversion!$AT$3:$AV$387,MATCH(ListAndConversion!BV177,ListAndConversion!$AV$3:$AV$387,0),1),"-"))</f>
        <v>-</v>
      </c>
      <c r="CG177" s="498" t="str">
        <f ca="1">IF(OR(LEFT(ListAndConversion!BW177,3)="Dil",LEFT(ListAndConversion!BW177,3)="Poo"),ListAndConversion!BU177,IF(LEFT(ListAndConversion!BW177,3)="Sou",INDEX(ListAndConversion!$AT$4:$AV$387,MATCH(ListAndConversion!BV177,ListAndConversion!$AV$4:$AV$387,0),2),"-"))</f>
        <v>-</v>
      </c>
      <c r="CH177" s="378"/>
      <c r="CI177" s="487" t="str">
        <f t="shared" ca="1" si="93"/>
        <v>-</v>
      </c>
      <c r="CJ177" s="378" t="str">
        <f t="shared" ca="1" si="104"/>
        <v>-</v>
      </c>
      <c r="CK177" s="378" t="str">
        <f t="shared" ca="1" si="104"/>
        <v>-</v>
      </c>
      <c r="CL177" s="378" t="str">
        <f t="shared" ca="1" si="104"/>
        <v>-</v>
      </c>
      <c r="CM177" s="378" t="str">
        <f t="shared" ca="1" si="104"/>
        <v>-</v>
      </c>
      <c r="CN177" s="378" t="str">
        <f t="shared" ca="1" si="104"/>
        <v>-</v>
      </c>
      <c r="CO177" s="378" t="str">
        <f t="shared" ca="1" si="104"/>
        <v>-</v>
      </c>
      <c r="CP177" s="378" t="str">
        <f t="shared" ca="1" si="104"/>
        <v>-</v>
      </c>
      <c r="CQ177" s="378" t="str">
        <f t="shared" ca="1" si="104"/>
        <v>-</v>
      </c>
      <c r="CR177" s="510" t="str">
        <f ca="1">IFERROR(IF(LEFT(BW177,3)="Poo",INDEX($BE$4:$BJ$99,MATCH(CI177,$BG$4:$BG$99,0),6)*((15/50))*Calculation!$AK$6,INDEX(Calculation_Tab,MATCH(BV177,Identifier,0),10)/(IF(LEN(INDEX(Calculation_Tab,MATCH(BV177,Identifier,0),9))&gt;8,LEN(INDEX(Calculation_Tab,MATCH(BV177,Identifier,0),9))-8,1))*((15/50)*Calculation!$AK$6)),"-")</f>
        <v>-</v>
      </c>
      <c r="CS177" s="498" t="str">
        <f ca="1">IF(CI177="-","-",IF(COUNTIF($CI$3:CI177,CI177)&gt;1,0,IFERROR((35/50)*Calculation!$AK$6,"-")))</f>
        <v>-</v>
      </c>
    </row>
    <row r="178" spans="4:97" x14ac:dyDescent="0.5">
      <c r="D178" s="487" t="e">
        <f t="shared" si="79"/>
        <v>#DIV/0!</v>
      </c>
      <c r="E178" s="496" t="e">
        <f t="array" ref="E178">IF(IF((ROW(E178)-3)&lt;(ListAndConversion!$A$15),INDEX(Flow_Cell_Lane,MIN(IF(COUNTIF($E$2:E177,Flow_Cell_Lane)=0,ROW(Flow_Cell_Lane)-9))),"-")="","-",IF((ROW(E178)-3)&lt;(ListAndConversion!$A$15),INDEX(Flow_Cell_Lane,MIN(IF(COUNTIF($E$2:E177,Flow_Cell_Lane)=0,ROW(Flow_Cell_Lane)-9))),"-"))</f>
        <v>#DIV/0!</v>
      </c>
      <c r="F178" s="378" t="e">
        <f t="shared" si="80"/>
        <v>#DIV/0!</v>
      </c>
      <c r="G178" s="378" t="e">
        <f t="shared" si="103"/>
        <v>#DIV/0!</v>
      </c>
      <c r="H178" s="378" t="e">
        <f t="shared" si="103"/>
        <v>#DIV/0!</v>
      </c>
      <c r="I178" s="378" t="e">
        <f t="shared" si="103"/>
        <v>#DIV/0!</v>
      </c>
      <c r="J178" s="378" t="e">
        <f t="shared" si="103"/>
        <v>#DIV/0!</v>
      </c>
      <c r="K178" s="378" t="e">
        <f t="shared" si="103"/>
        <v>#DIV/0!</v>
      </c>
      <c r="L178" s="378" t="e">
        <f t="shared" si="103"/>
        <v>#DIV/0!</v>
      </c>
      <c r="M178" s="378" t="e">
        <f t="shared" si="103"/>
        <v>#DIV/0!</v>
      </c>
      <c r="N178" s="497" t="e">
        <f t="shared" si="81"/>
        <v>#DIV/0!</v>
      </c>
      <c r="O178" s="497" t="str">
        <f t="array" ref="O178">IFERROR(INDEX(Calculation!I:AN,MATCH(ListAndConversion!E178,Calculation!I:I,0),31),"-")</f>
        <v>-</v>
      </c>
      <c r="P178" s="498">
        <f>IF(COUNTIFS(Calculation!$I$10:$I$393,E178,Direct_Denaturation,"-")&lt;&gt;1,COUNTIFS(Calculation!$I$10:$I$393,E178,Direct_Denaturation,"-"),0)</f>
        <v>0</v>
      </c>
      <c r="V178" s="542" t="s">
        <v>82</v>
      </c>
      <c r="W178" s="542" t="s">
        <v>82</v>
      </c>
      <c r="X178" s="542" t="s">
        <v>82</v>
      </c>
      <c r="Y178" s="542" t="s">
        <v>82</v>
      </c>
      <c r="Z178" s="542" t="s">
        <v>82</v>
      </c>
      <c r="AA178" s="542" t="s">
        <v>82</v>
      </c>
      <c r="AB178" s="542" t="s">
        <v>82</v>
      </c>
      <c r="AC178" s="542" t="s">
        <v>82</v>
      </c>
      <c r="AD178" s="542" t="s">
        <v>82</v>
      </c>
      <c r="AE178" s="542" t="s">
        <v>82</v>
      </c>
      <c r="AF178" s="542" t="s">
        <v>82</v>
      </c>
      <c r="AG178" s="542" t="s">
        <v>82</v>
      </c>
      <c r="AH178" s="9"/>
      <c r="AI178" s="487">
        <v>175</v>
      </c>
      <c r="AJ178" s="497" t="s">
        <v>161</v>
      </c>
      <c r="AK178" s="378">
        <v>79</v>
      </c>
      <c r="AL178" s="378" t="str">
        <f t="shared" ca="1" si="82"/>
        <v>-</v>
      </c>
      <c r="AM178" s="378" t="str">
        <f t="array" aca="1" ref="AM178" ca="1">IFERROR(IF(AI178&lt;=$AB$2,"-",INDEX(Calculation_Tab,SMALL(ROW(Main_Dil)*(Main_Dil&lt;&gt;"-"),COUNTIF(Main_Dil,"-")+ROW()-3-$AB$2)-9,5)),"-")</f>
        <v>-</v>
      </c>
      <c r="AN178" s="378" t="str">
        <f t="array" aca="1" ref="AN178" ca="1">IFERROR(IF(AI178&lt;=$AB$2,"-",INDEX($A$3:$B$12,MATCH(INDEX(Calculation_Tab,SMALL(ROW(Main_Dil)*(Main_Dil&lt;&gt;"-"),COUNTIF(Main_Dil,"-")+ROW()-3-$AB$2)-9,5),$A$3:$A$12,0),2)),"-")</f>
        <v>-</v>
      </c>
      <c r="AO178" s="378" t="str">
        <f t="array" aca="1" ref="AO178" ca="1">IFERROR(IF(AI178&lt;=$AB$2,"-",INDEX(Coordinate,MATCH(INDEX(Calculation_Tab,SMALL(ROW(Main_Dil)*(Main_Dil&lt;&gt;"-"),COUNTIF(Main_Dil,"-")+ROW()-3-$AB$2)-9,6),$X$4:$X$99,0),2)),"-")</f>
        <v>-</v>
      </c>
      <c r="AP178" s="510" t="str">
        <f t="array" aca="1" ref="AP178" ca="1">IFERROR(IF(AI178&lt;=$AB$2,"-",INDEX(Calculation_Tab,SMALL(ROW(Main_Dil)*(Main_Dil&lt;&gt;"-"),COUNTIF(Main_Dil,"-")+ROW()-3-$AB$2)-9,21)),"-")</f>
        <v>-</v>
      </c>
      <c r="AQ178" s="511" t="str">
        <f t="array" aca="1" ref="AQ178" ca="1">IFERROR(IF(AI178&lt;=$AB$2,"-",INDEX(Calculation_Tab,SMALL(ROW(Main_Dil)*(Main_Dil&lt;&gt;"-"),COUNTIF(Main_Dil,"-")+ROW()-3-$AB$2)-9,22)),"-")</f>
        <v>-</v>
      </c>
      <c r="AR178" s="487" t="str">
        <f t="shared" ca="1" si="83"/>
        <v>-</v>
      </c>
      <c r="AS178" s="378">
        <v>175</v>
      </c>
      <c r="AT178" s="497" t="s">
        <v>161</v>
      </c>
      <c r="AU178" s="498">
        <v>79</v>
      </c>
      <c r="AV178" s="378" t="str">
        <f t="shared" ca="1" si="84"/>
        <v>-</v>
      </c>
      <c r="AW178" s="378" t="str">
        <f t="array" aca="1" ref="AW178" ca="1">IFERROR(IF(AS178&lt;=$AB$2+$AN$2,"-",INDEX(Calculation_Tab,SMALL(ROW(Direct_Denaturation)*(Direct_Denaturation&lt;&gt;"-"),COUNTIF(Direct_Denaturation,"-")+ROW()-3-$AB$2-$AN$2)-9,5)),"-")</f>
        <v>-</v>
      </c>
      <c r="AX178" s="378" t="str">
        <f t="array" aca="1" ref="AX178" ca="1">IFERROR(IF(AS178&lt;=$AB$2+$AN$2,"-",INDEX($A$3:$B$12,MATCH(INDEX(Calculation_Tab,SMALL(ROW(Direct_Denaturation)*(Direct_Denaturation&lt;&gt;"-"),COUNTIF(Direct_Denaturation,"-")+ROW()-3-$AB$2-$AN$2)-9,5),$A$3:$A$12,0),2)),"-")</f>
        <v>-</v>
      </c>
      <c r="AY178" s="378" t="str">
        <f t="array" aca="1" ref="AY178" ca="1">IFERROR(IF(AS178&lt;=$AB$2+$AN$2,"-",INDEX(Coordinate,MATCH(INDEX(Calculation_Tab,SMALL(ROW(Direct_Denaturation)*(Direct_Denaturation&lt;&gt;"-"),COUNTIF(Direct_Denaturation,"-")+ROW()-3-$AB$2-$AN$2)-9,6),$X$4:$X$99,0),2)),"-")</f>
        <v>-</v>
      </c>
      <c r="AZ178" s="510" t="str">
        <f t="array" aca="1" ref="AZ178" ca="1">IFERROR(IF(AS178&lt;=$AB$2+$AN$2,"-",INDEX(Calculation_Tab,SMALL(ROW(Direct_Denaturation)*(Direct_Denaturation&lt;&gt;"-"),COUNTIF(Direct_Denaturation,"-")+ROW()-3-$AB$2-$AN$2)-9,32)),"-")</f>
        <v>-</v>
      </c>
      <c r="BA178" s="510" t="str">
        <f t="array" aca="1" ref="BA178" ca="1">IFERROR(IF(AS178&lt;=$AB$2+$AN$2,"-",INDEX(Calculation_Tab,SMALL(ROW(Direct_Denaturation)*(Direct_Denaturation&lt;&gt;"-"),COUNTIF(Direct_Denaturation,"-")+ROW()-3-$AB$2-$AN$2)-9,34)),"-")</f>
        <v>-</v>
      </c>
      <c r="BB178" s="510" t="str">
        <f t="array" aca="1" ref="BB178" ca="1">IFERROR(IF(AS178&lt;=$AB$2+$AN$2,"-",INDEX(Calculation_Tab,SMALL(ROW(Direct_Denaturation)*(Direct_Denaturation&lt;&gt;"-"),COUNTIF(Direct_Denaturation,"-")+ROW()-3-$AB$2-$AN$2)-9,33)),"-")</f>
        <v>-</v>
      </c>
      <c r="BC178" s="510" t="str">
        <f t="array" aca="1" ref="BC178" ca="1">IFERROR(IF(AS178&lt;=$AB$2+$AN$2,"-",INDEX(Calculation_Tab,SMALL(ROW(Direct_Denaturation)*(Direct_Denaturation&lt;&gt;"-"),COUNTIF(Direct_Denaturation,"-")+ROW()-3-$AB$2-$AN$2)-9,35)),"-")</f>
        <v>-</v>
      </c>
      <c r="BD178" s="511" t="str">
        <f t="shared" ca="1" si="85"/>
        <v>-</v>
      </c>
      <c r="BK178" s="542" t="s">
        <v>82</v>
      </c>
      <c r="BL178" s="542" t="s">
        <v>82</v>
      </c>
      <c r="BM178" s="487" t="str">
        <f t="array" aca="1" ref="BM178" ca="1">IFERROR(INDEX(Calculation_Tab,SMALL(ROW(ToPool)*(ToPool&lt;&gt;"-"),COUNTIF(ToPool,"-")+ROW()-3)-9,3),"-")</f>
        <v>-</v>
      </c>
      <c r="BN178" s="378" t="str">
        <f t="shared" ca="1" si="86"/>
        <v>-</v>
      </c>
      <c r="BO178" s="378" t="str">
        <f t="shared" ca="1" si="87"/>
        <v>-</v>
      </c>
      <c r="BP178" s="523" t="str">
        <f t="shared" ca="1" si="88"/>
        <v>-</v>
      </c>
      <c r="BQ178" s="378" t="str">
        <f t="array" aca="1" ref="BQ178" ca="1">IFERROR(INDEX(BE:BG,MATCH(INDEX(Calculation_Tab,SMALL(ROW(ToPool)*(ToPool&lt;&gt;"-"),COUNTIF(ToPool,"-")+ROW()-3)-9,9),BG:BG,0),2),"-")</f>
        <v>-</v>
      </c>
      <c r="BR178" s="510" t="str">
        <f t="shared" ca="1" si="89"/>
        <v>-</v>
      </c>
      <c r="BS178" s="511" t="str">
        <f t="shared" ca="1" si="90"/>
        <v>-</v>
      </c>
      <c r="BT178" s="543" t="s">
        <v>82</v>
      </c>
      <c r="BU178" s="487" t="str">
        <f t="shared" ca="1" si="95"/>
        <v>-</v>
      </c>
      <c r="BV178" s="487" t="str">
        <f t="array" aca="1" ref="BV17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78" s="378" t="str">
        <f t="shared" ca="1" si="91"/>
        <v>-</v>
      </c>
      <c r="BX178" s="378" t="str">
        <f t="shared" ca="1" si="92"/>
        <v>-</v>
      </c>
      <c r="BY178" s="510" t="str">
        <f ca="1">IFERROR(ROUND(INDEX(Cluster,MATCH(IF(LEFT(BV178,4)="Pool",INDEX(Cluster,MATCH(INDEX(Calculation_Tab,MATCH(INDEX($BE$4:$BJ$99,MATCH(BV178,$BE$4:$BE$99,0),3),Flow_Cell_Lane,0),3),Cluster!$F$29:$F$412,0),6),BV178),Identifier_Cluster,0),19)*IF(LEFT(BV178,4)="pool",IF(LEN(INDEX($BE$4:$BJ$99,MATCH(BV178,$BE$4:$BE$99,0),3))=10,2,IF(LEN(INDEX($BE$4:$BJ$99,MATCH(BV178,$BE$4:$BE$99,0),3))&gt;10,LEN(INDEX($BE$4:$BJ$99,MATCH(BV178,$BE$4:$BE$99,0),3))-8,1)),1)*IF(LEFT(BV178,4)="pool",IF(INDEX($BE$4:$BJ$99,MATCH(BV178,$BE$4:$BE$99,0),6)&lt;1,1,INDEX($BE$4:$BJ$99,MATCH(BV178,$BE$4:$BE$99,0),6)),INDEX(Calculation_Tab,MATCH(BV178,Identifier,0),10)),1)*(1+Calculation!$Q$6),"-")</f>
        <v>-</v>
      </c>
      <c r="BZ178" s="378" t="str">
        <f ca="1">IFERROR((0.5/50)*CE178/Calculation!$AG$6*(IF(LEFT(BV178,4)="Pool",IF(LEN(INDEX($BE$4:$BJ$99,MATCH(BV178,$BE$4:$BE$99,0),3))=10,2,IF(LEN(INDEX($BE$4:$BJ$99,MATCH(BV178,$BE$4:$BE$99,0),3))&gt;10,LEN(INDEX($BE$4:$BJ$99,MATCH(BV178,$BE$4:$BE$99,0),3))-8,1)),IF(INDEX(Calculation_Tab,MATCH(BV178,Identifier,0),10)&gt;1,INDEX(Calculation_Tab,MATCH(BV178,Identifier,0),10),1)))*(1+Calculation!$Q$6),"-")</f>
        <v>-</v>
      </c>
      <c r="CA178" s="510" t="str">
        <f ca="1">IFERROR(IF((BZ178*Calculation!$AG$6/0.05)-SUM(BY178:BZ178,CC178)&gt;0,(BZ178*Calculation!$AG$6/0.05)-SUM(BY178:BZ178,CC178),0),"-")</f>
        <v>-</v>
      </c>
      <c r="CB178" s="510" t="str">
        <f ca="1">IFERROR(5/50*CE178*(IF(LEFT(BV178,4)="Pool",IF(LEN(INDEX($BE$4:$BJ$99,MATCH(BV178,$BE$4:$BE$99,0),3))=10,2,IF(LEN(INDEX($BE$4:$BJ$99,MATCH(BV178,$BE$4:$BE$99,0),3))&gt;10,LEN(INDEX($BE$4:$BJ$99,MATCH(BV178,$BE$4:$BE$99,0),3))-8,1)),IF(INDEX(Calculation_Tab,MATCH(BV178,Identifier,0),10)&gt;1,INDEX(Calculation_Tab,MATCH(BV178,Identifier,0),10),1)))*(1+Calculation!$Q$6),"-")</f>
        <v>-</v>
      </c>
      <c r="CC178" s="508" t="str">
        <f ca="1">IFERROR(ROUND(INDEX(Cluster,MATCH(IF(LEFT(BV178,4)="Pool",INDEX(Cluster,MATCH(INDEX(Calculation_Tab,MATCH(INDEX($BE$4:$BJ$99,MATCH(BV178,$BE$4:$BE$99,0),3),Flow_Cell_Lane,0),3),Cluster!$F$29:$F$412,0),6),BV178),Identifier_Cluster,0),20)*IF(LEFT(BV178,4)="pool",IF(LEN(INDEX($BE$4:$BJ$99,MATCH(BV178,$BE$4:$BE$99,0),3))=10,2,IF(LEN(INDEX($BE$4:$BJ$99,MATCH(BV178,$BE$4:$BE$99,0),3))&gt;10,LEN(INDEX($BE$4:$BJ$99,MATCH(BV178,$BE$4:$BE$99,0),3))-8,1)),1)*IF(LEFT(BV178,4)="pool",IF(INDEX($BE$4:$BJ$99,MATCH(BV178,$BE$4:$BE$99,0),6)&lt;1,1,INDEX($BE$4:$BJ$99,MATCH(BV178,$BE$4:$BE$99,0),6)),INDEX(Calculation_Tab,MATCH(BV178,Identifier,0),10)),1)*(1+Calculation!$Q$6),"-")</f>
        <v>-</v>
      </c>
      <c r="CD178" s="509" t="str">
        <f ca="1">IFERROR(INDEX(Cluster!AC:AD,MATCH(IF(LEFT(BV178,4)="Pool",INDEX(Cluster!$D$29:$AA$412,MATCH(INDEX(Calculation_Tab,MATCH(INDEX($BE$4:$BJ$99,MATCH(BV178,$BE$4:$BE$99,0),3),Flow_Cell_Lane,0),3),Cluster!$F$29:$F$412,0),24),INDEX(Cluster!$D$29:$AA$412,MATCH(BV178,Cluster!$F$29:$F$412,0),24)),Cluster!AC:AC,0),2),"-")</f>
        <v>-</v>
      </c>
      <c r="CE178" s="378" t="str">
        <f ca="1">IFERROR(IF(BV178&lt;&gt;"-",Calculation!$AK$6,"-"),"-")</f>
        <v>-</v>
      </c>
      <c r="CF178" s="378" t="str">
        <f ca="1">IF(OR(LEFT(ListAndConversion!BW178,3)="Dil",LEFT(ListAndConversion!BW178,3)="Poo"),ListAndConversion!$BT$4,IF(LEFT(ListAndConversion!BW178,3)="Sou",INDEX(ListAndConversion!$AT$3:$AV$387,MATCH(ListAndConversion!BV178,ListAndConversion!$AV$3:$AV$387,0),1),"-"))</f>
        <v>-</v>
      </c>
      <c r="CG178" s="498" t="str">
        <f ca="1">IF(OR(LEFT(ListAndConversion!BW178,3)="Dil",LEFT(ListAndConversion!BW178,3)="Poo"),ListAndConversion!BU178,IF(LEFT(ListAndConversion!BW178,3)="Sou",INDEX(ListAndConversion!$AT$4:$AV$387,MATCH(ListAndConversion!BV178,ListAndConversion!$AV$4:$AV$387,0),2),"-"))</f>
        <v>-</v>
      </c>
      <c r="CH178" s="378"/>
      <c r="CI178" s="487" t="str">
        <f t="shared" ca="1" si="93"/>
        <v>-</v>
      </c>
      <c r="CJ178" s="378" t="str">
        <f t="shared" ca="1" si="104"/>
        <v>-</v>
      </c>
      <c r="CK178" s="378" t="str">
        <f t="shared" ca="1" si="104"/>
        <v>-</v>
      </c>
      <c r="CL178" s="378" t="str">
        <f t="shared" ca="1" si="104"/>
        <v>-</v>
      </c>
      <c r="CM178" s="378" t="str">
        <f t="shared" ca="1" si="104"/>
        <v>-</v>
      </c>
      <c r="CN178" s="378" t="str">
        <f t="shared" ca="1" si="104"/>
        <v>-</v>
      </c>
      <c r="CO178" s="378" t="str">
        <f t="shared" ca="1" si="104"/>
        <v>-</v>
      </c>
      <c r="CP178" s="378" t="str">
        <f t="shared" ca="1" si="104"/>
        <v>-</v>
      </c>
      <c r="CQ178" s="378" t="str">
        <f t="shared" ca="1" si="104"/>
        <v>-</v>
      </c>
      <c r="CR178" s="510" t="str">
        <f ca="1">IFERROR(IF(LEFT(BW178,3)="Poo",INDEX($BE$4:$BJ$99,MATCH(CI178,$BG$4:$BG$99,0),6)*((15/50))*Calculation!$AK$6,INDEX(Calculation_Tab,MATCH(BV178,Identifier,0),10)/(IF(LEN(INDEX(Calculation_Tab,MATCH(BV178,Identifier,0),9))&gt;8,LEN(INDEX(Calculation_Tab,MATCH(BV178,Identifier,0),9))-8,1))*((15/50)*Calculation!$AK$6)),"-")</f>
        <v>-</v>
      </c>
      <c r="CS178" s="498" t="str">
        <f ca="1">IF(CI178="-","-",IF(COUNTIF($CI$3:CI178,CI178)&gt;1,0,IFERROR((35/50)*Calculation!$AK$6,"-")))</f>
        <v>-</v>
      </c>
    </row>
    <row r="179" spans="4:97" x14ac:dyDescent="0.5">
      <c r="D179" s="487" t="e">
        <f t="shared" si="79"/>
        <v>#DIV/0!</v>
      </c>
      <c r="E179" s="496" t="e">
        <f t="array" ref="E179">IF(IF((ROW(E179)-3)&lt;(ListAndConversion!$A$15),INDEX(Flow_Cell_Lane,MIN(IF(COUNTIF($E$2:E178,Flow_Cell_Lane)=0,ROW(Flow_Cell_Lane)-9))),"-")="","-",IF((ROW(E179)-3)&lt;(ListAndConversion!$A$15),INDEX(Flow_Cell_Lane,MIN(IF(COUNTIF($E$2:E178,Flow_Cell_Lane)=0,ROW(Flow_Cell_Lane)-9))),"-"))</f>
        <v>#DIV/0!</v>
      </c>
      <c r="F179" s="378" t="e">
        <f t="shared" si="80"/>
        <v>#DIV/0!</v>
      </c>
      <c r="G179" s="378" t="e">
        <f t="shared" si="103"/>
        <v>#DIV/0!</v>
      </c>
      <c r="H179" s="378" t="e">
        <f t="shared" si="103"/>
        <v>#DIV/0!</v>
      </c>
      <c r="I179" s="378" t="e">
        <f t="shared" si="103"/>
        <v>#DIV/0!</v>
      </c>
      <c r="J179" s="378" t="e">
        <f t="shared" si="103"/>
        <v>#DIV/0!</v>
      </c>
      <c r="K179" s="378" t="e">
        <f t="shared" si="103"/>
        <v>#DIV/0!</v>
      </c>
      <c r="L179" s="378" t="e">
        <f t="shared" si="103"/>
        <v>#DIV/0!</v>
      </c>
      <c r="M179" s="378" t="e">
        <f t="shared" si="103"/>
        <v>#DIV/0!</v>
      </c>
      <c r="N179" s="497" t="e">
        <f t="shared" si="81"/>
        <v>#DIV/0!</v>
      </c>
      <c r="O179" s="497" t="str">
        <f t="array" ref="O179">IFERROR(INDEX(Calculation!I:AN,MATCH(ListAndConversion!E179,Calculation!I:I,0),31),"-")</f>
        <v>-</v>
      </c>
      <c r="P179" s="498">
        <f>IF(COUNTIFS(Calculation!$I$10:$I$393,E179,Direct_Denaturation,"-")&lt;&gt;1,COUNTIFS(Calculation!$I$10:$I$393,E179,Direct_Denaturation,"-"),0)</f>
        <v>0</v>
      </c>
      <c r="V179" s="542" t="s">
        <v>82</v>
      </c>
      <c r="W179" s="542" t="s">
        <v>82</v>
      </c>
      <c r="X179" s="542" t="s">
        <v>82</v>
      </c>
      <c r="Y179" s="542" t="s">
        <v>82</v>
      </c>
      <c r="Z179" s="542" t="s">
        <v>82</v>
      </c>
      <c r="AA179" s="542" t="s">
        <v>82</v>
      </c>
      <c r="AB179" s="542" t="s">
        <v>82</v>
      </c>
      <c r="AC179" s="542" t="s">
        <v>82</v>
      </c>
      <c r="AD179" s="542" t="s">
        <v>82</v>
      </c>
      <c r="AE179" s="542" t="s">
        <v>82</v>
      </c>
      <c r="AF179" s="542" t="s">
        <v>82</v>
      </c>
      <c r="AG179" s="542" t="s">
        <v>82</v>
      </c>
      <c r="AH179" s="9"/>
      <c r="AI179" s="487">
        <v>176</v>
      </c>
      <c r="AJ179" s="497" t="s">
        <v>161</v>
      </c>
      <c r="AK179" s="378">
        <v>80</v>
      </c>
      <c r="AL179" s="378" t="str">
        <f t="shared" ca="1" si="82"/>
        <v>-</v>
      </c>
      <c r="AM179" s="378" t="str">
        <f t="array" aca="1" ref="AM179" ca="1">IFERROR(IF(AI179&lt;=$AB$2,"-",INDEX(Calculation_Tab,SMALL(ROW(Main_Dil)*(Main_Dil&lt;&gt;"-"),COUNTIF(Main_Dil,"-")+ROW()-3-$AB$2)-9,5)),"-")</f>
        <v>-</v>
      </c>
      <c r="AN179" s="378" t="str">
        <f t="array" aca="1" ref="AN179" ca="1">IFERROR(IF(AI179&lt;=$AB$2,"-",INDEX($A$3:$B$12,MATCH(INDEX(Calculation_Tab,SMALL(ROW(Main_Dil)*(Main_Dil&lt;&gt;"-"),COUNTIF(Main_Dil,"-")+ROW()-3-$AB$2)-9,5),$A$3:$A$12,0),2)),"-")</f>
        <v>-</v>
      </c>
      <c r="AO179" s="378" t="str">
        <f t="array" aca="1" ref="AO179" ca="1">IFERROR(IF(AI179&lt;=$AB$2,"-",INDEX(Coordinate,MATCH(INDEX(Calculation_Tab,SMALL(ROW(Main_Dil)*(Main_Dil&lt;&gt;"-"),COUNTIF(Main_Dil,"-")+ROW()-3-$AB$2)-9,6),$X$4:$X$99,0),2)),"-")</f>
        <v>-</v>
      </c>
      <c r="AP179" s="510" t="str">
        <f t="array" aca="1" ref="AP179" ca="1">IFERROR(IF(AI179&lt;=$AB$2,"-",INDEX(Calculation_Tab,SMALL(ROW(Main_Dil)*(Main_Dil&lt;&gt;"-"),COUNTIF(Main_Dil,"-")+ROW()-3-$AB$2)-9,21)),"-")</f>
        <v>-</v>
      </c>
      <c r="AQ179" s="511" t="str">
        <f t="array" aca="1" ref="AQ179" ca="1">IFERROR(IF(AI179&lt;=$AB$2,"-",INDEX(Calculation_Tab,SMALL(ROW(Main_Dil)*(Main_Dil&lt;&gt;"-"),COUNTIF(Main_Dil,"-")+ROW()-3-$AB$2)-9,22)),"-")</f>
        <v>-</v>
      </c>
      <c r="AR179" s="487" t="str">
        <f t="shared" ca="1" si="83"/>
        <v>-</v>
      </c>
      <c r="AS179" s="378">
        <v>176</v>
      </c>
      <c r="AT179" s="497" t="s">
        <v>161</v>
      </c>
      <c r="AU179" s="498">
        <v>80</v>
      </c>
      <c r="AV179" s="378" t="str">
        <f t="shared" ca="1" si="84"/>
        <v>-</v>
      </c>
      <c r="AW179" s="378" t="str">
        <f t="array" aca="1" ref="AW179" ca="1">IFERROR(IF(AS179&lt;=$AB$2+$AN$2,"-",INDEX(Calculation_Tab,SMALL(ROW(Direct_Denaturation)*(Direct_Denaturation&lt;&gt;"-"),COUNTIF(Direct_Denaturation,"-")+ROW()-3-$AB$2-$AN$2)-9,5)),"-")</f>
        <v>-</v>
      </c>
      <c r="AX179" s="378" t="str">
        <f t="array" aca="1" ref="AX179" ca="1">IFERROR(IF(AS179&lt;=$AB$2+$AN$2,"-",INDEX($A$3:$B$12,MATCH(INDEX(Calculation_Tab,SMALL(ROW(Direct_Denaturation)*(Direct_Denaturation&lt;&gt;"-"),COUNTIF(Direct_Denaturation,"-")+ROW()-3-$AB$2-$AN$2)-9,5),$A$3:$A$12,0),2)),"-")</f>
        <v>-</v>
      </c>
      <c r="AY179" s="378" t="str">
        <f t="array" aca="1" ref="AY179" ca="1">IFERROR(IF(AS179&lt;=$AB$2+$AN$2,"-",INDEX(Coordinate,MATCH(INDEX(Calculation_Tab,SMALL(ROW(Direct_Denaturation)*(Direct_Denaturation&lt;&gt;"-"),COUNTIF(Direct_Denaturation,"-")+ROW()-3-$AB$2-$AN$2)-9,6),$X$4:$X$99,0),2)),"-")</f>
        <v>-</v>
      </c>
      <c r="AZ179" s="510" t="str">
        <f t="array" aca="1" ref="AZ179" ca="1">IFERROR(IF(AS179&lt;=$AB$2+$AN$2,"-",INDEX(Calculation_Tab,SMALL(ROW(Direct_Denaturation)*(Direct_Denaturation&lt;&gt;"-"),COUNTIF(Direct_Denaturation,"-")+ROW()-3-$AB$2-$AN$2)-9,32)),"-")</f>
        <v>-</v>
      </c>
      <c r="BA179" s="510" t="str">
        <f t="array" aca="1" ref="BA179" ca="1">IFERROR(IF(AS179&lt;=$AB$2+$AN$2,"-",INDEX(Calculation_Tab,SMALL(ROW(Direct_Denaturation)*(Direct_Denaturation&lt;&gt;"-"),COUNTIF(Direct_Denaturation,"-")+ROW()-3-$AB$2-$AN$2)-9,34)),"-")</f>
        <v>-</v>
      </c>
      <c r="BB179" s="510" t="str">
        <f t="array" aca="1" ref="BB179" ca="1">IFERROR(IF(AS179&lt;=$AB$2+$AN$2,"-",INDEX(Calculation_Tab,SMALL(ROW(Direct_Denaturation)*(Direct_Denaturation&lt;&gt;"-"),COUNTIF(Direct_Denaturation,"-")+ROW()-3-$AB$2-$AN$2)-9,33)),"-")</f>
        <v>-</v>
      </c>
      <c r="BC179" s="510" t="str">
        <f t="array" aca="1" ref="BC179" ca="1">IFERROR(IF(AS179&lt;=$AB$2+$AN$2,"-",INDEX(Calculation_Tab,SMALL(ROW(Direct_Denaturation)*(Direct_Denaturation&lt;&gt;"-"),COUNTIF(Direct_Denaturation,"-")+ROW()-3-$AB$2-$AN$2)-9,35)),"-")</f>
        <v>-</v>
      </c>
      <c r="BD179" s="511" t="str">
        <f t="shared" ca="1" si="85"/>
        <v>-</v>
      </c>
      <c r="BK179" s="542" t="s">
        <v>82</v>
      </c>
      <c r="BL179" s="542" t="s">
        <v>82</v>
      </c>
      <c r="BM179" s="487" t="str">
        <f t="array" aca="1" ref="BM179" ca="1">IFERROR(INDEX(Calculation_Tab,SMALL(ROW(ToPool)*(ToPool&lt;&gt;"-"),COUNTIF(ToPool,"-")+ROW()-3)-9,3),"-")</f>
        <v>-</v>
      </c>
      <c r="BN179" s="378" t="str">
        <f t="shared" ca="1" si="86"/>
        <v>-</v>
      </c>
      <c r="BO179" s="378" t="str">
        <f t="shared" ca="1" si="87"/>
        <v>-</v>
      </c>
      <c r="BP179" s="523" t="str">
        <f t="shared" ca="1" si="88"/>
        <v>-</v>
      </c>
      <c r="BQ179" s="378" t="str">
        <f t="array" aca="1" ref="BQ179" ca="1">IFERROR(INDEX(BE:BG,MATCH(INDEX(Calculation_Tab,SMALL(ROW(ToPool)*(ToPool&lt;&gt;"-"),COUNTIF(ToPool,"-")+ROW()-3)-9,9),BG:BG,0),2),"-")</f>
        <v>-</v>
      </c>
      <c r="BR179" s="510" t="str">
        <f t="shared" ca="1" si="89"/>
        <v>-</v>
      </c>
      <c r="BS179" s="511" t="str">
        <f t="shared" ca="1" si="90"/>
        <v>-</v>
      </c>
      <c r="BT179" s="543" t="s">
        <v>82</v>
      </c>
      <c r="BU179" s="487" t="str">
        <f t="shared" ca="1" si="95"/>
        <v>-</v>
      </c>
      <c r="BV179" s="487" t="str">
        <f t="array" aca="1" ref="BV17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79" s="378" t="str">
        <f t="shared" ca="1" si="91"/>
        <v>-</v>
      </c>
      <c r="BX179" s="378" t="str">
        <f t="shared" ca="1" si="92"/>
        <v>-</v>
      </c>
      <c r="BY179" s="510" t="str">
        <f ca="1">IFERROR(ROUND(INDEX(Cluster,MATCH(IF(LEFT(BV179,4)="Pool",INDEX(Cluster,MATCH(INDEX(Calculation_Tab,MATCH(INDEX($BE$4:$BJ$99,MATCH(BV179,$BE$4:$BE$99,0),3),Flow_Cell_Lane,0),3),Cluster!$F$29:$F$412,0),6),BV179),Identifier_Cluster,0),19)*IF(LEFT(BV179,4)="pool",IF(LEN(INDEX($BE$4:$BJ$99,MATCH(BV179,$BE$4:$BE$99,0),3))=10,2,IF(LEN(INDEX($BE$4:$BJ$99,MATCH(BV179,$BE$4:$BE$99,0),3))&gt;10,LEN(INDEX($BE$4:$BJ$99,MATCH(BV179,$BE$4:$BE$99,0),3))-8,1)),1)*IF(LEFT(BV179,4)="pool",IF(INDEX($BE$4:$BJ$99,MATCH(BV179,$BE$4:$BE$99,0),6)&lt;1,1,INDEX($BE$4:$BJ$99,MATCH(BV179,$BE$4:$BE$99,0),6)),INDEX(Calculation_Tab,MATCH(BV179,Identifier,0),10)),1)*(1+Calculation!$Q$6),"-")</f>
        <v>-</v>
      </c>
      <c r="BZ179" s="378" t="str">
        <f ca="1">IFERROR((0.5/50)*CE179/Calculation!$AG$6*(IF(LEFT(BV179,4)="Pool",IF(LEN(INDEX($BE$4:$BJ$99,MATCH(BV179,$BE$4:$BE$99,0),3))=10,2,IF(LEN(INDEX($BE$4:$BJ$99,MATCH(BV179,$BE$4:$BE$99,0),3))&gt;10,LEN(INDEX($BE$4:$BJ$99,MATCH(BV179,$BE$4:$BE$99,0),3))-8,1)),IF(INDEX(Calculation_Tab,MATCH(BV179,Identifier,0),10)&gt;1,INDEX(Calculation_Tab,MATCH(BV179,Identifier,0),10),1)))*(1+Calculation!$Q$6),"-")</f>
        <v>-</v>
      </c>
      <c r="CA179" s="510" t="str">
        <f ca="1">IFERROR(IF((BZ179*Calculation!$AG$6/0.05)-SUM(BY179:BZ179,CC179)&gt;0,(BZ179*Calculation!$AG$6/0.05)-SUM(BY179:BZ179,CC179),0),"-")</f>
        <v>-</v>
      </c>
      <c r="CB179" s="510" t="str">
        <f ca="1">IFERROR(5/50*CE179*(IF(LEFT(BV179,4)="Pool",IF(LEN(INDEX($BE$4:$BJ$99,MATCH(BV179,$BE$4:$BE$99,0),3))=10,2,IF(LEN(INDEX($BE$4:$BJ$99,MATCH(BV179,$BE$4:$BE$99,0),3))&gt;10,LEN(INDEX($BE$4:$BJ$99,MATCH(BV179,$BE$4:$BE$99,0),3))-8,1)),IF(INDEX(Calculation_Tab,MATCH(BV179,Identifier,0),10)&gt;1,INDEX(Calculation_Tab,MATCH(BV179,Identifier,0),10),1)))*(1+Calculation!$Q$6),"-")</f>
        <v>-</v>
      </c>
      <c r="CC179" s="508" t="str">
        <f ca="1">IFERROR(ROUND(INDEX(Cluster,MATCH(IF(LEFT(BV179,4)="Pool",INDEX(Cluster,MATCH(INDEX(Calculation_Tab,MATCH(INDEX($BE$4:$BJ$99,MATCH(BV179,$BE$4:$BE$99,0),3),Flow_Cell_Lane,0),3),Cluster!$F$29:$F$412,0),6),BV179),Identifier_Cluster,0),20)*IF(LEFT(BV179,4)="pool",IF(LEN(INDEX($BE$4:$BJ$99,MATCH(BV179,$BE$4:$BE$99,0),3))=10,2,IF(LEN(INDEX($BE$4:$BJ$99,MATCH(BV179,$BE$4:$BE$99,0),3))&gt;10,LEN(INDEX($BE$4:$BJ$99,MATCH(BV179,$BE$4:$BE$99,0),3))-8,1)),1)*IF(LEFT(BV179,4)="pool",IF(INDEX($BE$4:$BJ$99,MATCH(BV179,$BE$4:$BE$99,0),6)&lt;1,1,INDEX($BE$4:$BJ$99,MATCH(BV179,$BE$4:$BE$99,0),6)),INDEX(Calculation_Tab,MATCH(BV179,Identifier,0),10)),1)*(1+Calculation!$Q$6),"-")</f>
        <v>-</v>
      </c>
      <c r="CD179" s="509" t="str">
        <f ca="1">IFERROR(INDEX(Cluster!AC:AD,MATCH(IF(LEFT(BV179,4)="Pool",INDEX(Cluster!$D$29:$AA$412,MATCH(INDEX(Calculation_Tab,MATCH(INDEX($BE$4:$BJ$99,MATCH(BV179,$BE$4:$BE$99,0),3),Flow_Cell_Lane,0),3),Cluster!$F$29:$F$412,0),24),INDEX(Cluster!$D$29:$AA$412,MATCH(BV179,Cluster!$F$29:$F$412,0),24)),Cluster!AC:AC,0),2),"-")</f>
        <v>-</v>
      </c>
      <c r="CE179" s="378" t="str">
        <f ca="1">IFERROR(IF(BV179&lt;&gt;"-",Calculation!$AK$6,"-"),"-")</f>
        <v>-</v>
      </c>
      <c r="CF179" s="378" t="str">
        <f ca="1">IF(OR(LEFT(ListAndConversion!BW179,3)="Dil",LEFT(ListAndConversion!BW179,3)="Poo"),ListAndConversion!$BT$4,IF(LEFT(ListAndConversion!BW179,3)="Sou",INDEX(ListAndConversion!$AT$3:$AV$387,MATCH(ListAndConversion!BV179,ListAndConversion!$AV$3:$AV$387,0),1),"-"))</f>
        <v>-</v>
      </c>
      <c r="CG179" s="498" t="str">
        <f ca="1">IF(OR(LEFT(ListAndConversion!BW179,3)="Dil",LEFT(ListAndConversion!BW179,3)="Poo"),ListAndConversion!BU179,IF(LEFT(ListAndConversion!BW179,3)="Sou",INDEX(ListAndConversion!$AT$4:$AV$387,MATCH(ListAndConversion!BV179,ListAndConversion!$AV$4:$AV$387,0),2),"-"))</f>
        <v>-</v>
      </c>
      <c r="CH179" s="378"/>
      <c r="CI179" s="487" t="str">
        <f t="shared" ca="1" si="93"/>
        <v>-</v>
      </c>
      <c r="CJ179" s="378" t="str">
        <f t="shared" ca="1" si="104"/>
        <v>-</v>
      </c>
      <c r="CK179" s="378" t="str">
        <f t="shared" ca="1" si="104"/>
        <v>-</v>
      </c>
      <c r="CL179" s="378" t="str">
        <f t="shared" ca="1" si="104"/>
        <v>-</v>
      </c>
      <c r="CM179" s="378" t="str">
        <f t="shared" ca="1" si="104"/>
        <v>-</v>
      </c>
      <c r="CN179" s="378" t="str">
        <f t="shared" ca="1" si="104"/>
        <v>-</v>
      </c>
      <c r="CO179" s="378" t="str">
        <f t="shared" ca="1" si="104"/>
        <v>-</v>
      </c>
      <c r="CP179" s="378" t="str">
        <f t="shared" ca="1" si="104"/>
        <v>-</v>
      </c>
      <c r="CQ179" s="378" t="str">
        <f t="shared" ca="1" si="104"/>
        <v>-</v>
      </c>
      <c r="CR179" s="510" t="str">
        <f ca="1">IFERROR(IF(LEFT(BW179,3)="Poo",INDEX($BE$4:$BJ$99,MATCH(CI179,$BG$4:$BG$99,0),6)*((15/50))*Calculation!$AK$6,INDEX(Calculation_Tab,MATCH(BV179,Identifier,0),10)/(IF(LEN(INDEX(Calculation_Tab,MATCH(BV179,Identifier,0),9))&gt;8,LEN(INDEX(Calculation_Tab,MATCH(BV179,Identifier,0),9))-8,1))*((15/50)*Calculation!$AK$6)),"-")</f>
        <v>-</v>
      </c>
      <c r="CS179" s="498" t="str">
        <f ca="1">IF(CI179="-","-",IF(COUNTIF($CI$3:CI179,CI179)&gt;1,0,IFERROR((35/50)*Calculation!$AK$6,"-")))</f>
        <v>-</v>
      </c>
    </row>
    <row r="180" spans="4:97" x14ac:dyDescent="0.5">
      <c r="D180" s="487" t="e">
        <f t="shared" si="79"/>
        <v>#DIV/0!</v>
      </c>
      <c r="E180" s="496" t="e">
        <f t="array" ref="E180">IF(IF((ROW(E180)-3)&lt;(ListAndConversion!$A$15),INDEX(Flow_Cell_Lane,MIN(IF(COUNTIF($E$2:E179,Flow_Cell_Lane)=0,ROW(Flow_Cell_Lane)-9))),"-")="","-",IF((ROW(E180)-3)&lt;(ListAndConversion!$A$15),INDEX(Flow_Cell_Lane,MIN(IF(COUNTIF($E$2:E179,Flow_Cell_Lane)=0,ROW(Flow_Cell_Lane)-9))),"-"))</f>
        <v>#DIV/0!</v>
      </c>
      <c r="F180" s="378" t="e">
        <f t="shared" si="80"/>
        <v>#DIV/0!</v>
      </c>
      <c r="G180" s="378" t="e">
        <f t="shared" si="103"/>
        <v>#DIV/0!</v>
      </c>
      <c r="H180" s="378" t="e">
        <f t="shared" si="103"/>
        <v>#DIV/0!</v>
      </c>
      <c r="I180" s="378" t="e">
        <f t="shared" si="103"/>
        <v>#DIV/0!</v>
      </c>
      <c r="J180" s="378" t="e">
        <f t="shared" si="103"/>
        <v>#DIV/0!</v>
      </c>
      <c r="K180" s="378" t="e">
        <f t="shared" si="103"/>
        <v>#DIV/0!</v>
      </c>
      <c r="L180" s="378" t="e">
        <f t="shared" si="103"/>
        <v>#DIV/0!</v>
      </c>
      <c r="M180" s="378" t="e">
        <f t="shared" si="103"/>
        <v>#DIV/0!</v>
      </c>
      <c r="N180" s="497" t="e">
        <f t="shared" si="81"/>
        <v>#DIV/0!</v>
      </c>
      <c r="O180" s="497" t="str">
        <f t="array" ref="O180">IFERROR(INDEX(Calculation!I:AN,MATCH(ListAndConversion!E180,Calculation!I:I,0),31),"-")</f>
        <v>-</v>
      </c>
      <c r="P180" s="498">
        <f>IF(COUNTIFS(Calculation!$I$10:$I$393,E180,Direct_Denaturation,"-")&lt;&gt;1,COUNTIFS(Calculation!$I$10:$I$393,E180,Direct_Denaturation,"-"),0)</f>
        <v>0</v>
      </c>
      <c r="V180" s="542" t="s">
        <v>82</v>
      </c>
      <c r="W180" s="542" t="s">
        <v>82</v>
      </c>
      <c r="X180" s="542" t="s">
        <v>82</v>
      </c>
      <c r="Y180" s="542" t="s">
        <v>82</v>
      </c>
      <c r="Z180" s="542" t="s">
        <v>82</v>
      </c>
      <c r="AA180" s="542" t="s">
        <v>82</v>
      </c>
      <c r="AB180" s="542" t="s">
        <v>82</v>
      </c>
      <c r="AC180" s="542" t="s">
        <v>82</v>
      </c>
      <c r="AD180" s="542" t="s">
        <v>82</v>
      </c>
      <c r="AE180" s="542" t="s">
        <v>82</v>
      </c>
      <c r="AF180" s="542" t="s">
        <v>82</v>
      </c>
      <c r="AG180" s="542" t="s">
        <v>82</v>
      </c>
      <c r="AH180" s="9"/>
      <c r="AI180" s="487">
        <v>177</v>
      </c>
      <c r="AJ180" s="497" t="s">
        <v>161</v>
      </c>
      <c r="AK180" s="378">
        <v>81</v>
      </c>
      <c r="AL180" s="378" t="str">
        <f t="shared" ca="1" si="82"/>
        <v>-</v>
      </c>
      <c r="AM180" s="378" t="str">
        <f t="array" aca="1" ref="AM180" ca="1">IFERROR(IF(AI180&lt;=$AB$2,"-",INDEX(Calculation_Tab,SMALL(ROW(Main_Dil)*(Main_Dil&lt;&gt;"-"),COUNTIF(Main_Dil,"-")+ROW()-3-$AB$2)-9,5)),"-")</f>
        <v>-</v>
      </c>
      <c r="AN180" s="378" t="str">
        <f t="array" aca="1" ref="AN180" ca="1">IFERROR(IF(AI180&lt;=$AB$2,"-",INDEX($A$3:$B$12,MATCH(INDEX(Calculation_Tab,SMALL(ROW(Main_Dil)*(Main_Dil&lt;&gt;"-"),COUNTIF(Main_Dil,"-")+ROW()-3-$AB$2)-9,5),$A$3:$A$12,0),2)),"-")</f>
        <v>-</v>
      </c>
      <c r="AO180" s="378" t="str">
        <f t="array" aca="1" ref="AO180" ca="1">IFERROR(IF(AI180&lt;=$AB$2,"-",INDEX(Coordinate,MATCH(INDEX(Calculation_Tab,SMALL(ROW(Main_Dil)*(Main_Dil&lt;&gt;"-"),COUNTIF(Main_Dil,"-")+ROW()-3-$AB$2)-9,6),$X$4:$X$99,0),2)),"-")</f>
        <v>-</v>
      </c>
      <c r="AP180" s="510" t="str">
        <f t="array" aca="1" ref="AP180" ca="1">IFERROR(IF(AI180&lt;=$AB$2,"-",INDEX(Calculation_Tab,SMALL(ROW(Main_Dil)*(Main_Dil&lt;&gt;"-"),COUNTIF(Main_Dil,"-")+ROW()-3-$AB$2)-9,21)),"-")</f>
        <v>-</v>
      </c>
      <c r="AQ180" s="511" t="str">
        <f t="array" aca="1" ref="AQ180" ca="1">IFERROR(IF(AI180&lt;=$AB$2,"-",INDEX(Calculation_Tab,SMALL(ROW(Main_Dil)*(Main_Dil&lt;&gt;"-"),COUNTIF(Main_Dil,"-")+ROW()-3-$AB$2)-9,22)),"-")</f>
        <v>-</v>
      </c>
      <c r="AR180" s="487" t="str">
        <f t="shared" ca="1" si="83"/>
        <v>-</v>
      </c>
      <c r="AS180" s="378">
        <v>177</v>
      </c>
      <c r="AT180" s="497" t="s">
        <v>161</v>
      </c>
      <c r="AU180" s="498">
        <v>81</v>
      </c>
      <c r="AV180" s="378" t="str">
        <f t="shared" ca="1" si="84"/>
        <v>-</v>
      </c>
      <c r="AW180" s="378" t="str">
        <f t="array" aca="1" ref="AW180" ca="1">IFERROR(IF(AS180&lt;=$AB$2+$AN$2,"-",INDEX(Calculation_Tab,SMALL(ROW(Direct_Denaturation)*(Direct_Denaturation&lt;&gt;"-"),COUNTIF(Direct_Denaturation,"-")+ROW()-3-$AB$2-$AN$2)-9,5)),"-")</f>
        <v>-</v>
      </c>
      <c r="AX180" s="378" t="str">
        <f t="array" aca="1" ref="AX180" ca="1">IFERROR(IF(AS180&lt;=$AB$2+$AN$2,"-",INDEX($A$3:$B$12,MATCH(INDEX(Calculation_Tab,SMALL(ROW(Direct_Denaturation)*(Direct_Denaturation&lt;&gt;"-"),COUNTIF(Direct_Denaturation,"-")+ROW()-3-$AB$2-$AN$2)-9,5),$A$3:$A$12,0),2)),"-")</f>
        <v>-</v>
      </c>
      <c r="AY180" s="378" t="str">
        <f t="array" aca="1" ref="AY180" ca="1">IFERROR(IF(AS180&lt;=$AB$2+$AN$2,"-",INDEX(Coordinate,MATCH(INDEX(Calculation_Tab,SMALL(ROW(Direct_Denaturation)*(Direct_Denaturation&lt;&gt;"-"),COUNTIF(Direct_Denaturation,"-")+ROW()-3-$AB$2-$AN$2)-9,6),$X$4:$X$99,0),2)),"-")</f>
        <v>-</v>
      </c>
      <c r="AZ180" s="510" t="str">
        <f t="array" aca="1" ref="AZ180" ca="1">IFERROR(IF(AS180&lt;=$AB$2+$AN$2,"-",INDEX(Calculation_Tab,SMALL(ROW(Direct_Denaturation)*(Direct_Denaturation&lt;&gt;"-"),COUNTIF(Direct_Denaturation,"-")+ROW()-3-$AB$2-$AN$2)-9,32)),"-")</f>
        <v>-</v>
      </c>
      <c r="BA180" s="510" t="str">
        <f t="array" aca="1" ref="BA180" ca="1">IFERROR(IF(AS180&lt;=$AB$2+$AN$2,"-",INDEX(Calculation_Tab,SMALL(ROW(Direct_Denaturation)*(Direct_Denaturation&lt;&gt;"-"),COUNTIF(Direct_Denaturation,"-")+ROW()-3-$AB$2-$AN$2)-9,34)),"-")</f>
        <v>-</v>
      </c>
      <c r="BB180" s="510" t="str">
        <f t="array" aca="1" ref="BB180" ca="1">IFERROR(IF(AS180&lt;=$AB$2+$AN$2,"-",INDEX(Calculation_Tab,SMALL(ROW(Direct_Denaturation)*(Direct_Denaturation&lt;&gt;"-"),COUNTIF(Direct_Denaturation,"-")+ROW()-3-$AB$2-$AN$2)-9,33)),"-")</f>
        <v>-</v>
      </c>
      <c r="BC180" s="510" t="str">
        <f t="array" aca="1" ref="BC180" ca="1">IFERROR(IF(AS180&lt;=$AB$2+$AN$2,"-",INDEX(Calculation_Tab,SMALL(ROW(Direct_Denaturation)*(Direct_Denaturation&lt;&gt;"-"),COUNTIF(Direct_Denaturation,"-")+ROW()-3-$AB$2-$AN$2)-9,35)),"-")</f>
        <v>-</v>
      </c>
      <c r="BD180" s="511" t="str">
        <f t="shared" ca="1" si="85"/>
        <v>-</v>
      </c>
      <c r="BK180" s="542" t="s">
        <v>82</v>
      </c>
      <c r="BL180" s="542" t="s">
        <v>82</v>
      </c>
      <c r="BM180" s="487" t="str">
        <f t="array" aca="1" ref="BM180" ca="1">IFERROR(INDEX(Calculation_Tab,SMALL(ROW(ToPool)*(ToPool&lt;&gt;"-"),COUNTIF(ToPool,"-")+ROW()-3)-9,3),"-")</f>
        <v>-</v>
      </c>
      <c r="BN180" s="378" t="str">
        <f t="shared" ca="1" si="86"/>
        <v>-</v>
      </c>
      <c r="BO180" s="378" t="str">
        <f t="shared" ca="1" si="87"/>
        <v>-</v>
      </c>
      <c r="BP180" s="523" t="str">
        <f t="shared" ca="1" si="88"/>
        <v>-</v>
      </c>
      <c r="BQ180" s="378" t="str">
        <f t="array" aca="1" ref="BQ180" ca="1">IFERROR(INDEX(BE:BG,MATCH(INDEX(Calculation_Tab,SMALL(ROW(ToPool)*(ToPool&lt;&gt;"-"),COUNTIF(ToPool,"-")+ROW()-3)-9,9),BG:BG,0),2),"-")</f>
        <v>-</v>
      </c>
      <c r="BR180" s="510" t="str">
        <f t="shared" ca="1" si="89"/>
        <v>-</v>
      </c>
      <c r="BS180" s="511" t="str">
        <f t="shared" ca="1" si="90"/>
        <v>-</v>
      </c>
      <c r="BT180" s="543" t="s">
        <v>82</v>
      </c>
      <c r="BU180" s="487" t="str">
        <f t="shared" ca="1" si="95"/>
        <v>-</v>
      </c>
      <c r="BV180" s="487" t="str">
        <f t="array" aca="1" ref="BV18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80" s="378" t="str">
        <f t="shared" ca="1" si="91"/>
        <v>-</v>
      </c>
      <c r="BX180" s="378" t="str">
        <f t="shared" ca="1" si="92"/>
        <v>-</v>
      </c>
      <c r="BY180" s="510" t="str">
        <f ca="1">IFERROR(ROUND(INDEX(Cluster,MATCH(IF(LEFT(BV180,4)="Pool",INDEX(Cluster,MATCH(INDEX(Calculation_Tab,MATCH(INDEX($BE$4:$BJ$99,MATCH(BV180,$BE$4:$BE$99,0),3),Flow_Cell_Lane,0),3),Cluster!$F$29:$F$412,0),6),BV180),Identifier_Cluster,0),19)*IF(LEFT(BV180,4)="pool",IF(LEN(INDEX($BE$4:$BJ$99,MATCH(BV180,$BE$4:$BE$99,0),3))=10,2,IF(LEN(INDEX($BE$4:$BJ$99,MATCH(BV180,$BE$4:$BE$99,0),3))&gt;10,LEN(INDEX($BE$4:$BJ$99,MATCH(BV180,$BE$4:$BE$99,0),3))-8,1)),1)*IF(LEFT(BV180,4)="pool",IF(INDEX($BE$4:$BJ$99,MATCH(BV180,$BE$4:$BE$99,0),6)&lt;1,1,INDEX($BE$4:$BJ$99,MATCH(BV180,$BE$4:$BE$99,0),6)),INDEX(Calculation_Tab,MATCH(BV180,Identifier,0),10)),1)*(1+Calculation!$Q$6),"-")</f>
        <v>-</v>
      </c>
      <c r="BZ180" s="378" t="str">
        <f ca="1">IFERROR((0.5/50)*CE180/Calculation!$AG$6*(IF(LEFT(BV180,4)="Pool",IF(LEN(INDEX($BE$4:$BJ$99,MATCH(BV180,$BE$4:$BE$99,0),3))=10,2,IF(LEN(INDEX($BE$4:$BJ$99,MATCH(BV180,$BE$4:$BE$99,0),3))&gt;10,LEN(INDEX($BE$4:$BJ$99,MATCH(BV180,$BE$4:$BE$99,0),3))-8,1)),IF(INDEX(Calculation_Tab,MATCH(BV180,Identifier,0),10)&gt;1,INDEX(Calculation_Tab,MATCH(BV180,Identifier,0),10),1)))*(1+Calculation!$Q$6),"-")</f>
        <v>-</v>
      </c>
      <c r="CA180" s="510" t="str">
        <f ca="1">IFERROR(IF((BZ180*Calculation!$AG$6/0.05)-SUM(BY180:BZ180,CC180)&gt;0,(BZ180*Calculation!$AG$6/0.05)-SUM(BY180:BZ180,CC180),0),"-")</f>
        <v>-</v>
      </c>
      <c r="CB180" s="510" t="str">
        <f ca="1">IFERROR(5/50*CE180*(IF(LEFT(BV180,4)="Pool",IF(LEN(INDEX($BE$4:$BJ$99,MATCH(BV180,$BE$4:$BE$99,0),3))=10,2,IF(LEN(INDEX($BE$4:$BJ$99,MATCH(BV180,$BE$4:$BE$99,0),3))&gt;10,LEN(INDEX($BE$4:$BJ$99,MATCH(BV180,$BE$4:$BE$99,0),3))-8,1)),IF(INDEX(Calculation_Tab,MATCH(BV180,Identifier,0),10)&gt;1,INDEX(Calculation_Tab,MATCH(BV180,Identifier,0),10),1)))*(1+Calculation!$Q$6),"-")</f>
        <v>-</v>
      </c>
      <c r="CC180" s="508" t="str">
        <f ca="1">IFERROR(ROUND(INDEX(Cluster,MATCH(IF(LEFT(BV180,4)="Pool",INDEX(Cluster,MATCH(INDEX(Calculation_Tab,MATCH(INDEX($BE$4:$BJ$99,MATCH(BV180,$BE$4:$BE$99,0),3),Flow_Cell_Lane,0),3),Cluster!$F$29:$F$412,0),6),BV180),Identifier_Cluster,0),20)*IF(LEFT(BV180,4)="pool",IF(LEN(INDEX($BE$4:$BJ$99,MATCH(BV180,$BE$4:$BE$99,0),3))=10,2,IF(LEN(INDEX($BE$4:$BJ$99,MATCH(BV180,$BE$4:$BE$99,0),3))&gt;10,LEN(INDEX($BE$4:$BJ$99,MATCH(BV180,$BE$4:$BE$99,0),3))-8,1)),1)*IF(LEFT(BV180,4)="pool",IF(INDEX($BE$4:$BJ$99,MATCH(BV180,$BE$4:$BE$99,0),6)&lt;1,1,INDEX($BE$4:$BJ$99,MATCH(BV180,$BE$4:$BE$99,0),6)),INDEX(Calculation_Tab,MATCH(BV180,Identifier,0),10)),1)*(1+Calculation!$Q$6),"-")</f>
        <v>-</v>
      </c>
      <c r="CD180" s="509" t="str">
        <f ca="1">IFERROR(INDEX(Cluster!AC:AD,MATCH(IF(LEFT(BV180,4)="Pool",INDEX(Cluster!$D$29:$AA$412,MATCH(INDEX(Calculation_Tab,MATCH(INDEX($BE$4:$BJ$99,MATCH(BV180,$BE$4:$BE$99,0),3),Flow_Cell_Lane,0),3),Cluster!$F$29:$F$412,0),24),INDEX(Cluster!$D$29:$AA$412,MATCH(BV180,Cluster!$F$29:$F$412,0),24)),Cluster!AC:AC,0),2),"-")</f>
        <v>-</v>
      </c>
      <c r="CE180" s="378" t="str">
        <f ca="1">IFERROR(IF(BV180&lt;&gt;"-",Calculation!$AK$6,"-"),"-")</f>
        <v>-</v>
      </c>
      <c r="CF180" s="378" t="str">
        <f ca="1">IF(OR(LEFT(ListAndConversion!BW180,3)="Dil",LEFT(ListAndConversion!BW180,3)="Poo"),ListAndConversion!$BT$4,IF(LEFT(ListAndConversion!BW180,3)="Sou",INDEX(ListAndConversion!$AT$3:$AV$387,MATCH(ListAndConversion!BV180,ListAndConversion!$AV$3:$AV$387,0),1),"-"))</f>
        <v>-</v>
      </c>
      <c r="CG180" s="498" t="str">
        <f ca="1">IF(OR(LEFT(ListAndConversion!BW180,3)="Dil",LEFT(ListAndConversion!BW180,3)="Poo"),ListAndConversion!BU180,IF(LEFT(ListAndConversion!BW180,3)="Sou",INDEX(ListAndConversion!$AT$4:$AV$387,MATCH(ListAndConversion!BV180,ListAndConversion!$AV$4:$AV$387,0),2),"-"))</f>
        <v>-</v>
      </c>
      <c r="CH180" s="378"/>
      <c r="CI180" s="487" t="str">
        <f t="shared" ca="1" si="93"/>
        <v>-</v>
      </c>
      <c r="CJ180" s="378" t="str">
        <f t="shared" ca="1" si="104"/>
        <v>-</v>
      </c>
      <c r="CK180" s="378" t="str">
        <f t="shared" ca="1" si="104"/>
        <v>-</v>
      </c>
      <c r="CL180" s="378" t="str">
        <f t="shared" ca="1" si="104"/>
        <v>-</v>
      </c>
      <c r="CM180" s="378" t="str">
        <f t="shared" ca="1" si="104"/>
        <v>-</v>
      </c>
      <c r="CN180" s="378" t="str">
        <f t="shared" ca="1" si="104"/>
        <v>-</v>
      </c>
      <c r="CO180" s="378" t="str">
        <f t="shared" ca="1" si="104"/>
        <v>-</v>
      </c>
      <c r="CP180" s="378" t="str">
        <f t="shared" ca="1" si="104"/>
        <v>-</v>
      </c>
      <c r="CQ180" s="378" t="str">
        <f t="shared" ca="1" si="104"/>
        <v>-</v>
      </c>
      <c r="CR180" s="510" t="str">
        <f ca="1">IFERROR(IF(LEFT(BW180,3)="Poo",INDEX($BE$4:$BJ$99,MATCH(CI180,$BG$4:$BG$99,0),6)*((15/50))*Calculation!$AK$6,INDEX(Calculation_Tab,MATCH(BV180,Identifier,0),10)/(IF(LEN(INDEX(Calculation_Tab,MATCH(BV180,Identifier,0),9))&gt;8,LEN(INDEX(Calculation_Tab,MATCH(BV180,Identifier,0),9))-8,1))*((15/50)*Calculation!$AK$6)),"-")</f>
        <v>-</v>
      </c>
      <c r="CS180" s="498" t="str">
        <f ca="1">IF(CI180="-","-",IF(COUNTIF($CI$3:CI180,CI180)&gt;1,0,IFERROR((35/50)*Calculation!$AK$6,"-")))</f>
        <v>-</v>
      </c>
    </row>
    <row r="181" spans="4:97" x14ac:dyDescent="0.5">
      <c r="D181" s="487" t="e">
        <f t="shared" si="79"/>
        <v>#DIV/0!</v>
      </c>
      <c r="E181" s="496" t="e">
        <f t="array" ref="E181">IF(IF((ROW(E181)-3)&lt;(ListAndConversion!$A$15),INDEX(Flow_Cell_Lane,MIN(IF(COUNTIF($E$2:E180,Flow_Cell_Lane)=0,ROW(Flow_Cell_Lane)-9))),"-")="","-",IF((ROW(E181)-3)&lt;(ListAndConversion!$A$15),INDEX(Flow_Cell_Lane,MIN(IF(COUNTIF($E$2:E180,Flow_Cell_Lane)=0,ROW(Flow_Cell_Lane)-9))),"-"))</f>
        <v>#DIV/0!</v>
      </c>
      <c r="F181" s="378" t="e">
        <f t="shared" si="80"/>
        <v>#DIV/0!</v>
      </c>
      <c r="G181" s="378" t="e">
        <f t="shared" si="103"/>
        <v>#DIV/0!</v>
      </c>
      <c r="H181" s="378" t="e">
        <f t="shared" si="103"/>
        <v>#DIV/0!</v>
      </c>
      <c r="I181" s="378" t="e">
        <f t="shared" si="103"/>
        <v>#DIV/0!</v>
      </c>
      <c r="J181" s="378" t="e">
        <f t="shared" si="103"/>
        <v>#DIV/0!</v>
      </c>
      <c r="K181" s="378" t="e">
        <f t="shared" si="103"/>
        <v>#DIV/0!</v>
      </c>
      <c r="L181" s="378" t="e">
        <f t="shared" si="103"/>
        <v>#DIV/0!</v>
      </c>
      <c r="M181" s="378" t="e">
        <f t="shared" si="103"/>
        <v>#DIV/0!</v>
      </c>
      <c r="N181" s="497" t="e">
        <f t="shared" si="81"/>
        <v>#DIV/0!</v>
      </c>
      <c r="O181" s="497" t="str">
        <f t="array" ref="O181">IFERROR(INDEX(Calculation!I:AN,MATCH(ListAndConversion!E181,Calculation!I:I,0),31),"-")</f>
        <v>-</v>
      </c>
      <c r="P181" s="498">
        <f>IF(COUNTIFS(Calculation!$I$10:$I$393,E181,Direct_Denaturation,"-")&lt;&gt;1,COUNTIFS(Calculation!$I$10:$I$393,E181,Direct_Denaturation,"-"),0)</f>
        <v>0</v>
      </c>
      <c r="V181" s="542" t="s">
        <v>82</v>
      </c>
      <c r="W181" s="542" t="s">
        <v>82</v>
      </c>
      <c r="X181" s="542" t="s">
        <v>82</v>
      </c>
      <c r="Y181" s="542" t="s">
        <v>82</v>
      </c>
      <c r="Z181" s="542" t="s">
        <v>82</v>
      </c>
      <c r="AA181" s="542" t="s">
        <v>82</v>
      </c>
      <c r="AB181" s="542" t="s">
        <v>82</v>
      </c>
      <c r="AC181" s="542" t="s">
        <v>82</v>
      </c>
      <c r="AD181" s="542" t="s">
        <v>82</v>
      </c>
      <c r="AE181" s="542" t="s">
        <v>82</v>
      </c>
      <c r="AF181" s="542" t="s">
        <v>82</v>
      </c>
      <c r="AG181" s="542" t="s">
        <v>82</v>
      </c>
      <c r="AH181" s="9"/>
      <c r="AI181" s="487">
        <v>178</v>
      </c>
      <c r="AJ181" s="497" t="s">
        <v>161</v>
      </c>
      <c r="AK181" s="378">
        <v>82</v>
      </c>
      <c r="AL181" s="378" t="str">
        <f t="shared" ca="1" si="82"/>
        <v>-</v>
      </c>
      <c r="AM181" s="378" t="str">
        <f t="array" aca="1" ref="AM181" ca="1">IFERROR(IF(AI181&lt;=$AB$2,"-",INDEX(Calculation_Tab,SMALL(ROW(Main_Dil)*(Main_Dil&lt;&gt;"-"),COUNTIF(Main_Dil,"-")+ROW()-3-$AB$2)-9,5)),"-")</f>
        <v>-</v>
      </c>
      <c r="AN181" s="378" t="str">
        <f t="array" aca="1" ref="AN181" ca="1">IFERROR(IF(AI181&lt;=$AB$2,"-",INDEX($A$3:$B$12,MATCH(INDEX(Calculation_Tab,SMALL(ROW(Main_Dil)*(Main_Dil&lt;&gt;"-"),COUNTIF(Main_Dil,"-")+ROW()-3-$AB$2)-9,5),$A$3:$A$12,0),2)),"-")</f>
        <v>-</v>
      </c>
      <c r="AO181" s="378" t="str">
        <f t="array" aca="1" ref="AO181" ca="1">IFERROR(IF(AI181&lt;=$AB$2,"-",INDEX(Coordinate,MATCH(INDEX(Calculation_Tab,SMALL(ROW(Main_Dil)*(Main_Dil&lt;&gt;"-"),COUNTIF(Main_Dil,"-")+ROW()-3-$AB$2)-9,6),$X$4:$X$99,0),2)),"-")</f>
        <v>-</v>
      </c>
      <c r="AP181" s="510" t="str">
        <f t="array" aca="1" ref="AP181" ca="1">IFERROR(IF(AI181&lt;=$AB$2,"-",INDEX(Calculation_Tab,SMALL(ROW(Main_Dil)*(Main_Dil&lt;&gt;"-"),COUNTIF(Main_Dil,"-")+ROW()-3-$AB$2)-9,21)),"-")</f>
        <v>-</v>
      </c>
      <c r="AQ181" s="511" t="str">
        <f t="array" aca="1" ref="AQ181" ca="1">IFERROR(IF(AI181&lt;=$AB$2,"-",INDEX(Calculation_Tab,SMALL(ROW(Main_Dil)*(Main_Dil&lt;&gt;"-"),COUNTIF(Main_Dil,"-")+ROW()-3-$AB$2)-9,22)),"-")</f>
        <v>-</v>
      </c>
      <c r="AR181" s="487" t="str">
        <f t="shared" ca="1" si="83"/>
        <v>-</v>
      </c>
      <c r="AS181" s="378">
        <v>178</v>
      </c>
      <c r="AT181" s="497" t="s">
        <v>161</v>
      </c>
      <c r="AU181" s="498">
        <v>82</v>
      </c>
      <c r="AV181" s="378" t="str">
        <f t="shared" ca="1" si="84"/>
        <v>-</v>
      </c>
      <c r="AW181" s="378" t="str">
        <f t="array" aca="1" ref="AW181" ca="1">IFERROR(IF(AS181&lt;=$AB$2+$AN$2,"-",INDEX(Calculation_Tab,SMALL(ROW(Direct_Denaturation)*(Direct_Denaturation&lt;&gt;"-"),COUNTIF(Direct_Denaturation,"-")+ROW()-3-$AB$2-$AN$2)-9,5)),"-")</f>
        <v>-</v>
      </c>
      <c r="AX181" s="378" t="str">
        <f t="array" aca="1" ref="AX181" ca="1">IFERROR(IF(AS181&lt;=$AB$2+$AN$2,"-",INDEX($A$3:$B$12,MATCH(INDEX(Calculation_Tab,SMALL(ROW(Direct_Denaturation)*(Direct_Denaturation&lt;&gt;"-"),COUNTIF(Direct_Denaturation,"-")+ROW()-3-$AB$2-$AN$2)-9,5),$A$3:$A$12,0),2)),"-")</f>
        <v>-</v>
      </c>
      <c r="AY181" s="378" t="str">
        <f t="array" aca="1" ref="AY181" ca="1">IFERROR(IF(AS181&lt;=$AB$2+$AN$2,"-",INDEX(Coordinate,MATCH(INDEX(Calculation_Tab,SMALL(ROW(Direct_Denaturation)*(Direct_Denaturation&lt;&gt;"-"),COUNTIF(Direct_Denaturation,"-")+ROW()-3-$AB$2-$AN$2)-9,6),$X$4:$X$99,0),2)),"-")</f>
        <v>-</v>
      </c>
      <c r="AZ181" s="510" t="str">
        <f t="array" aca="1" ref="AZ181" ca="1">IFERROR(IF(AS181&lt;=$AB$2+$AN$2,"-",INDEX(Calculation_Tab,SMALL(ROW(Direct_Denaturation)*(Direct_Denaturation&lt;&gt;"-"),COUNTIF(Direct_Denaturation,"-")+ROW()-3-$AB$2-$AN$2)-9,32)),"-")</f>
        <v>-</v>
      </c>
      <c r="BA181" s="510" t="str">
        <f t="array" aca="1" ref="BA181" ca="1">IFERROR(IF(AS181&lt;=$AB$2+$AN$2,"-",INDEX(Calculation_Tab,SMALL(ROW(Direct_Denaturation)*(Direct_Denaturation&lt;&gt;"-"),COUNTIF(Direct_Denaturation,"-")+ROW()-3-$AB$2-$AN$2)-9,34)),"-")</f>
        <v>-</v>
      </c>
      <c r="BB181" s="510" t="str">
        <f t="array" aca="1" ref="BB181" ca="1">IFERROR(IF(AS181&lt;=$AB$2+$AN$2,"-",INDEX(Calculation_Tab,SMALL(ROW(Direct_Denaturation)*(Direct_Denaturation&lt;&gt;"-"),COUNTIF(Direct_Denaturation,"-")+ROW()-3-$AB$2-$AN$2)-9,33)),"-")</f>
        <v>-</v>
      </c>
      <c r="BC181" s="510" t="str">
        <f t="array" aca="1" ref="BC181" ca="1">IFERROR(IF(AS181&lt;=$AB$2+$AN$2,"-",INDEX(Calculation_Tab,SMALL(ROW(Direct_Denaturation)*(Direct_Denaturation&lt;&gt;"-"),COUNTIF(Direct_Denaturation,"-")+ROW()-3-$AB$2-$AN$2)-9,35)),"-")</f>
        <v>-</v>
      </c>
      <c r="BD181" s="511" t="str">
        <f t="shared" ca="1" si="85"/>
        <v>-</v>
      </c>
      <c r="BK181" s="542" t="s">
        <v>82</v>
      </c>
      <c r="BL181" s="542" t="s">
        <v>82</v>
      </c>
      <c r="BM181" s="487" t="str">
        <f t="array" aca="1" ref="BM181" ca="1">IFERROR(INDEX(Calculation_Tab,SMALL(ROW(ToPool)*(ToPool&lt;&gt;"-"),COUNTIF(ToPool,"-")+ROW()-3)-9,3),"-")</f>
        <v>-</v>
      </c>
      <c r="BN181" s="378" t="str">
        <f t="shared" ca="1" si="86"/>
        <v>-</v>
      </c>
      <c r="BO181" s="378" t="str">
        <f t="shared" ca="1" si="87"/>
        <v>-</v>
      </c>
      <c r="BP181" s="523" t="str">
        <f t="shared" ca="1" si="88"/>
        <v>-</v>
      </c>
      <c r="BQ181" s="378" t="str">
        <f t="array" aca="1" ref="BQ181" ca="1">IFERROR(INDEX(BE:BG,MATCH(INDEX(Calculation_Tab,SMALL(ROW(ToPool)*(ToPool&lt;&gt;"-"),COUNTIF(ToPool,"-")+ROW()-3)-9,9),BG:BG,0),2),"-")</f>
        <v>-</v>
      </c>
      <c r="BR181" s="510" t="str">
        <f t="shared" ca="1" si="89"/>
        <v>-</v>
      </c>
      <c r="BS181" s="511" t="str">
        <f t="shared" ca="1" si="90"/>
        <v>-</v>
      </c>
      <c r="BT181" s="543" t="s">
        <v>82</v>
      </c>
      <c r="BU181" s="487" t="str">
        <f t="shared" ca="1" si="95"/>
        <v>-</v>
      </c>
      <c r="BV181" s="487" t="str">
        <f t="array" aca="1" ref="BV18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81" s="378" t="str">
        <f t="shared" ca="1" si="91"/>
        <v>-</v>
      </c>
      <c r="BX181" s="378" t="str">
        <f t="shared" ca="1" si="92"/>
        <v>-</v>
      </c>
      <c r="BY181" s="510" t="str">
        <f ca="1">IFERROR(ROUND(INDEX(Cluster,MATCH(IF(LEFT(BV181,4)="Pool",INDEX(Cluster,MATCH(INDEX(Calculation_Tab,MATCH(INDEX($BE$4:$BJ$99,MATCH(BV181,$BE$4:$BE$99,0),3),Flow_Cell_Lane,0),3),Cluster!$F$29:$F$412,0),6),BV181),Identifier_Cluster,0),19)*IF(LEFT(BV181,4)="pool",IF(LEN(INDEX($BE$4:$BJ$99,MATCH(BV181,$BE$4:$BE$99,0),3))=10,2,IF(LEN(INDEX($BE$4:$BJ$99,MATCH(BV181,$BE$4:$BE$99,0),3))&gt;10,LEN(INDEX($BE$4:$BJ$99,MATCH(BV181,$BE$4:$BE$99,0),3))-8,1)),1)*IF(LEFT(BV181,4)="pool",IF(INDEX($BE$4:$BJ$99,MATCH(BV181,$BE$4:$BE$99,0),6)&lt;1,1,INDEX($BE$4:$BJ$99,MATCH(BV181,$BE$4:$BE$99,0),6)),INDEX(Calculation_Tab,MATCH(BV181,Identifier,0),10)),1)*(1+Calculation!$Q$6),"-")</f>
        <v>-</v>
      </c>
      <c r="BZ181" s="378" t="str">
        <f ca="1">IFERROR((0.5/50)*CE181/Calculation!$AG$6*(IF(LEFT(BV181,4)="Pool",IF(LEN(INDEX($BE$4:$BJ$99,MATCH(BV181,$BE$4:$BE$99,0),3))=10,2,IF(LEN(INDEX($BE$4:$BJ$99,MATCH(BV181,$BE$4:$BE$99,0),3))&gt;10,LEN(INDEX($BE$4:$BJ$99,MATCH(BV181,$BE$4:$BE$99,0),3))-8,1)),IF(INDEX(Calculation_Tab,MATCH(BV181,Identifier,0),10)&gt;1,INDEX(Calculation_Tab,MATCH(BV181,Identifier,0),10),1)))*(1+Calculation!$Q$6),"-")</f>
        <v>-</v>
      </c>
      <c r="CA181" s="510" t="str">
        <f ca="1">IFERROR(IF((BZ181*Calculation!$AG$6/0.05)-SUM(BY181:BZ181,CC181)&gt;0,(BZ181*Calculation!$AG$6/0.05)-SUM(BY181:BZ181,CC181),0),"-")</f>
        <v>-</v>
      </c>
      <c r="CB181" s="510" t="str">
        <f ca="1">IFERROR(5/50*CE181*(IF(LEFT(BV181,4)="Pool",IF(LEN(INDEX($BE$4:$BJ$99,MATCH(BV181,$BE$4:$BE$99,0),3))=10,2,IF(LEN(INDEX($BE$4:$BJ$99,MATCH(BV181,$BE$4:$BE$99,0),3))&gt;10,LEN(INDEX($BE$4:$BJ$99,MATCH(BV181,$BE$4:$BE$99,0),3))-8,1)),IF(INDEX(Calculation_Tab,MATCH(BV181,Identifier,0),10)&gt;1,INDEX(Calculation_Tab,MATCH(BV181,Identifier,0),10),1)))*(1+Calculation!$Q$6),"-")</f>
        <v>-</v>
      </c>
      <c r="CC181" s="508" t="str">
        <f ca="1">IFERROR(ROUND(INDEX(Cluster,MATCH(IF(LEFT(BV181,4)="Pool",INDEX(Cluster,MATCH(INDEX(Calculation_Tab,MATCH(INDEX($BE$4:$BJ$99,MATCH(BV181,$BE$4:$BE$99,0),3),Flow_Cell_Lane,0),3),Cluster!$F$29:$F$412,0),6),BV181),Identifier_Cluster,0),20)*IF(LEFT(BV181,4)="pool",IF(LEN(INDEX($BE$4:$BJ$99,MATCH(BV181,$BE$4:$BE$99,0),3))=10,2,IF(LEN(INDEX($BE$4:$BJ$99,MATCH(BV181,$BE$4:$BE$99,0),3))&gt;10,LEN(INDEX($BE$4:$BJ$99,MATCH(BV181,$BE$4:$BE$99,0),3))-8,1)),1)*IF(LEFT(BV181,4)="pool",IF(INDEX($BE$4:$BJ$99,MATCH(BV181,$BE$4:$BE$99,0),6)&lt;1,1,INDEX($BE$4:$BJ$99,MATCH(BV181,$BE$4:$BE$99,0),6)),INDEX(Calculation_Tab,MATCH(BV181,Identifier,0),10)),1)*(1+Calculation!$Q$6),"-")</f>
        <v>-</v>
      </c>
      <c r="CD181" s="509" t="str">
        <f ca="1">IFERROR(INDEX(Cluster!AC:AD,MATCH(IF(LEFT(BV181,4)="Pool",INDEX(Cluster!$D$29:$AA$412,MATCH(INDEX(Calculation_Tab,MATCH(INDEX($BE$4:$BJ$99,MATCH(BV181,$BE$4:$BE$99,0),3),Flow_Cell_Lane,0),3),Cluster!$F$29:$F$412,0),24),INDEX(Cluster!$D$29:$AA$412,MATCH(BV181,Cluster!$F$29:$F$412,0),24)),Cluster!AC:AC,0),2),"-")</f>
        <v>-</v>
      </c>
      <c r="CE181" s="378" t="str">
        <f ca="1">IFERROR(IF(BV181&lt;&gt;"-",Calculation!$AK$6,"-"),"-")</f>
        <v>-</v>
      </c>
      <c r="CF181" s="378" t="str">
        <f ca="1">IF(OR(LEFT(ListAndConversion!BW181,3)="Dil",LEFT(ListAndConversion!BW181,3)="Poo"),ListAndConversion!$BT$4,IF(LEFT(ListAndConversion!BW181,3)="Sou",INDEX(ListAndConversion!$AT$3:$AV$387,MATCH(ListAndConversion!BV181,ListAndConversion!$AV$3:$AV$387,0),1),"-"))</f>
        <v>-</v>
      </c>
      <c r="CG181" s="498" t="str">
        <f ca="1">IF(OR(LEFT(ListAndConversion!BW181,3)="Dil",LEFT(ListAndConversion!BW181,3)="Poo"),ListAndConversion!BU181,IF(LEFT(ListAndConversion!BW181,3)="Sou",INDEX(ListAndConversion!$AT$4:$AV$387,MATCH(ListAndConversion!BV181,ListAndConversion!$AV$4:$AV$387,0),2),"-"))</f>
        <v>-</v>
      </c>
      <c r="CH181" s="378"/>
      <c r="CI181" s="487" t="str">
        <f t="shared" ca="1" si="93"/>
        <v>-</v>
      </c>
      <c r="CJ181" s="378" t="str">
        <f t="shared" ca="1" si="104"/>
        <v>-</v>
      </c>
      <c r="CK181" s="378" t="str">
        <f t="shared" ca="1" si="104"/>
        <v>-</v>
      </c>
      <c r="CL181" s="378" t="str">
        <f t="shared" ca="1" si="104"/>
        <v>-</v>
      </c>
      <c r="CM181" s="378" t="str">
        <f t="shared" ca="1" si="104"/>
        <v>-</v>
      </c>
      <c r="CN181" s="378" t="str">
        <f t="shared" ca="1" si="104"/>
        <v>-</v>
      </c>
      <c r="CO181" s="378" t="str">
        <f t="shared" ca="1" si="104"/>
        <v>-</v>
      </c>
      <c r="CP181" s="378" t="str">
        <f t="shared" ca="1" si="104"/>
        <v>-</v>
      </c>
      <c r="CQ181" s="378" t="str">
        <f t="shared" ca="1" si="104"/>
        <v>-</v>
      </c>
      <c r="CR181" s="510" t="str">
        <f ca="1">IFERROR(IF(LEFT(BW181,3)="Poo",INDEX($BE$4:$BJ$99,MATCH(CI181,$BG$4:$BG$99,0),6)*((15/50))*Calculation!$AK$6,INDEX(Calculation_Tab,MATCH(BV181,Identifier,0),10)/(IF(LEN(INDEX(Calculation_Tab,MATCH(BV181,Identifier,0),9))&gt;8,LEN(INDEX(Calculation_Tab,MATCH(BV181,Identifier,0),9))-8,1))*((15/50)*Calculation!$AK$6)),"-")</f>
        <v>-</v>
      </c>
      <c r="CS181" s="498" t="str">
        <f ca="1">IF(CI181="-","-",IF(COUNTIF($CI$3:CI181,CI181)&gt;1,0,IFERROR((35/50)*Calculation!$AK$6,"-")))</f>
        <v>-</v>
      </c>
    </row>
    <row r="182" spans="4:97" x14ac:dyDescent="0.5">
      <c r="D182" s="487" t="e">
        <f t="shared" si="79"/>
        <v>#DIV/0!</v>
      </c>
      <c r="E182" s="496" t="e">
        <f t="array" ref="E182">IF(IF((ROW(E182)-3)&lt;(ListAndConversion!$A$15),INDEX(Flow_Cell_Lane,MIN(IF(COUNTIF($E$2:E181,Flow_Cell_Lane)=0,ROW(Flow_Cell_Lane)-9))),"-")="","-",IF((ROW(E182)-3)&lt;(ListAndConversion!$A$15),INDEX(Flow_Cell_Lane,MIN(IF(COUNTIF($E$2:E181,Flow_Cell_Lane)=0,ROW(Flow_Cell_Lane)-9))),"-"))</f>
        <v>#DIV/0!</v>
      </c>
      <c r="F182" s="378" t="e">
        <f t="shared" si="80"/>
        <v>#DIV/0!</v>
      </c>
      <c r="G182" s="378" t="e">
        <f t="shared" si="103"/>
        <v>#DIV/0!</v>
      </c>
      <c r="H182" s="378" t="e">
        <f t="shared" si="103"/>
        <v>#DIV/0!</v>
      </c>
      <c r="I182" s="378" t="e">
        <f t="shared" si="103"/>
        <v>#DIV/0!</v>
      </c>
      <c r="J182" s="378" t="e">
        <f t="shared" si="103"/>
        <v>#DIV/0!</v>
      </c>
      <c r="K182" s="378" t="e">
        <f t="shared" si="103"/>
        <v>#DIV/0!</v>
      </c>
      <c r="L182" s="378" t="e">
        <f t="shared" si="103"/>
        <v>#DIV/0!</v>
      </c>
      <c r="M182" s="378" t="e">
        <f t="shared" si="103"/>
        <v>#DIV/0!</v>
      </c>
      <c r="N182" s="497" t="e">
        <f t="shared" si="81"/>
        <v>#DIV/0!</v>
      </c>
      <c r="O182" s="497" t="str">
        <f t="array" ref="O182">IFERROR(INDEX(Calculation!I:AN,MATCH(ListAndConversion!E182,Calculation!I:I,0),31),"-")</f>
        <v>-</v>
      </c>
      <c r="P182" s="498">
        <f>IF(COUNTIFS(Calculation!$I$10:$I$393,E182,Direct_Denaturation,"-")&lt;&gt;1,COUNTIFS(Calculation!$I$10:$I$393,E182,Direct_Denaturation,"-"),0)</f>
        <v>0</v>
      </c>
      <c r="V182" s="542" t="s">
        <v>82</v>
      </c>
      <c r="W182" s="542" t="s">
        <v>82</v>
      </c>
      <c r="X182" s="542" t="s">
        <v>82</v>
      </c>
      <c r="Y182" s="542" t="s">
        <v>82</v>
      </c>
      <c r="Z182" s="542" t="s">
        <v>82</v>
      </c>
      <c r="AA182" s="542" t="s">
        <v>82</v>
      </c>
      <c r="AB182" s="542" t="s">
        <v>82</v>
      </c>
      <c r="AC182" s="542" t="s">
        <v>82</v>
      </c>
      <c r="AD182" s="542" t="s">
        <v>82</v>
      </c>
      <c r="AE182" s="542" t="s">
        <v>82</v>
      </c>
      <c r="AF182" s="542" t="s">
        <v>82</v>
      </c>
      <c r="AG182" s="542" t="s">
        <v>82</v>
      </c>
      <c r="AH182" s="9"/>
      <c r="AI182" s="487">
        <v>179</v>
      </c>
      <c r="AJ182" s="497" t="s">
        <v>161</v>
      </c>
      <c r="AK182" s="378">
        <v>83</v>
      </c>
      <c r="AL182" s="378" t="str">
        <f t="shared" ca="1" si="82"/>
        <v>-</v>
      </c>
      <c r="AM182" s="378" t="str">
        <f t="array" aca="1" ref="AM182" ca="1">IFERROR(IF(AI182&lt;=$AB$2,"-",INDEX(Calculation_Tab,SMALL(ROW(Main_Dil)*(Main_Dil&lt;&gt;"-"),COUNTIF(Main_Dil,"-")+ROW()-3-$AB$2)-9,5)),"-")</f>
        <v>-</v>
      </c>
      <c r="AN182" s="378" t="str">
        <f t="array" aca="1" ref="AN182" ca="1">IFERROR(IF(AI182&lt;=$AB$2,"-",INDEX($A$3:$B$12,MATCH(INDEX(Calculation_Tab,SMALL(ROW(Main_Dil)*(Main_Dil&lt;&gt;"-"),COUNTIF(Main_Dil,"-")+ROW()-3-$AB$2)-9,5),$A$3:$A$12,0),2)),"-")</f>
        <v>-</v>
      </c>
      <c r="AO182" s="378" t="str">
        <f t="array" aca="1" ref="AO182" ca="1">IFERROR(IF(AI182&lt;=$AB$2,"-",INDEX(Coordinate,MATCH(INDEX(Calculation_Tab,SMALL(ROW(Main_Dil)*(Main_Dil&lt;&gt;"-"),COUNTIF(Main_Dil,"-")+ROW()-3-$AB$2)-9,6),$X$4:$X$99,0),2)),"-")</f>
        <v>-</v>
      </c>
      <c r="AP182" s="510" t="str">
        <f t="array" aca="1" ref="AP182" ca="1">IFERROR(IF(AI182&lt;=$AB$2,"-",INDEX(Calculation_Tab,SMALL(ROW(Main_Dil)*(Main_Dil&lt;&gt;"-"),COUNTIF(Main_Dil,"-")+ROW()-3-$AB$2)-9,21)),"-")</f>
        <v>-</v>
      </c>
      <c r="AQ182" s="511" t="str">
        <f t="array" aca="1" ref="AQ182" ca="1">IFERROR(IF(AI182&lt;=$AB$2,"-",INDEX(Calculation_Tab,SMALL(ROW(Main_Dil)*(Main_Dil&lt;&gt;"-"),COUNTIF(Main_Dil,"-")+ROW()-3-$AB$2)-9,22)),"-")</f>
        <v>-</v>
      </c>
      <c r="AR182" s="487" t="str">
        <f t="shared" ca="1" si="83"/>
        <v>-</v>
      </c>
      <c r="AS182" s="378">
        <v>179</v>
      </c>
      <c r="AT182" s="497" t="s">
        <v>161</v>
      </c>
      <c r="AU182" s="498">
        <v>83</v>
      </c>
      <c r="AV182" s="378" t="str">
        <f t="shared" ca="1" si="84"/>
        <v>-</v>
      </c>
      <c r="AW182" s="378" t="str">
        <f t="array" aca="1" ref="AW182" ca="1">IFERROR(IF(AS182&lt;=$AB$2+$AN$2,"-",INDEX(Calculation_Tab,SMALL(ROW(Direct_Denaturation)*(Direct_Denaturation&lt;&gt;"-"),COUNTIF(Direct_Denaturation,"-")+ROW()-3-$AB$2-$AN$2)-9,5)),"-")</f>
        <v>-</v>
      </c>
      <c r="AX182" s="378" t="str">
        <f t="array" aca="1" ref="AX182" ca="1">IFERROR(IF(AS182&lt;=$AB$2+$AN$2,"-",INDEX($A$3:$B$12,MATCH(INDEX(Calculation_Tab,SMALL(ROW(Direct_Denaturation)*(Direct_Denaturation&lt;&gt;"-"),COUNTIF(Direct_Denaturation,"-")+ROW()-3-$AB$2-$AN$2)-9,5),$A$3:$A$12,0),2)),"-")</f>
        <v>-</v>
      </c>
      <c r="AY182" s="378" t="str">
        <f t="array" aca="1" ref="AY182" ca="1">IFERROR(IF(AS182&lt;=$AB$2+$AN$2,"-",INDEX(Coordinate,MATCH(INDEX(Calculation_Tab,SMALL(ROW(Direct_Denaturation)*(Direct_Denaturation&lt;&gt;"-"),COUNTIF(Direct_Denaturation,"-")+ROW()-3-$AB$2-$AN$2)-9,6),$X$4:$X$99,0),2)),"-")</f>
        <v>-</v>
      </c>
      <c r="AZ182" s="510" t="str">
        <f t="array" aca="1" ref="AZ182" ca="1">IFERROR(IF(AS182&lt;=$AB$2+$AN$2,"-",INDEX(Calculation_Tab,SMALL(ROW(Direct_Denaturation)*(Direct_Denaturation&lt;&gt;"-"),COUNTIF(Direct_Denaturation,"-")+ROW()-3-$AB$2-$AN$2)-9,32)),"-")</f>
        <v>-</v>
      </c>
      <c r="BA182" s="510" t="str">
        <f t="array" aca="1" ref="BA182" ca="1">IFERROR(IF(AS182&lt;=$AB$2+$AN$2,"-",INDEX(Calculation_Tab,SMALL(ROW(Direct_Denaturation)*(Direct_Denaturation&lt;&gt;"-"),COUNTIF(Direct_Denaturation,"-")+ROW()-3-$AB$2-$AN$2)-9,34)),"-")</f>
        <v>-</v>
      </c>
      <c r="BB182" s="510" t="str">
        <f t="array" aca="1" ref="BB182" ca="1">IFERROR(IF(AS182&lt;=$AB$2+$AN$2,"-",INDEX(Calculation_Tab,SMALL(ROW(Direct_Denaturation)*(Direct_Denaturation&lt;&gt;"-"),COUNTIF(Direct_Denaturation,"-")+ROW()-3-$AB$2-$AN$2)-9,33)),"-")</f>
        <v>-</v>
      </c>
      <c r="BC182" s="510" t="str">
        <f t="array" aca="1" ref="BC182" ca="1">IFERROR(IF(AS182&lt;=$AB$2+$AN$2,"-",INDEX(Calculation_Tab,SMALL(ROW(Direct_Denaturation)*(Direct_Denaturation&lt;&gt;"-"),COUNTIF(Direct_Denaturation,"-")+ROW()-3-$AB$2-$AN$2)-9,35)),"-")</f>
        <v>-</v>
      </c>
      <c r="BD182" s="511" t="str">
        <f t="shared" ca="1" si="85"/>
        <v>-</v>
      </c>
      <c r="BK182" s="542" t="s">
        <v>82</v>
      </c>
      <c r="BL182" s="542" t="s">
        <v>82</v>
      </c>
      <c r="BM182" s="487" t="str">
        <f t="array" aca="1" ref="BM182" ca="1">IFERROR(INDEX(Calculation_Tab,SMALL(ROW(ToPool)*(ToPool&lt;&gt;"-"),COUNTIF(ToPool,"-")+ROW()-3)-9,3),"-")</f>
        <v>-</v>
      </c>
      <c r="BN182" s="378" t="str">
        <f t="shared" ca="1" si="86"/>
        <v>-</v>
      </c>
      <c r="BO182" s="378" t="str">
        <f t="shared" ca="1" si="87"/>
        <v>-</v>
      </c>
      <c r="BP182" s="523" t="str">
        <f t="shared" ca="1" si="88"/>
        <v>-</v>
      </c>
      <c r="BQ182" s="378" t="str">
        <f t="array" aca="1" ref="BQ182" ca="1">IFERROR(INDEX(BE:BG,MATCH(INDEX(Calculation_Tab,SMALL(ROW(ToPool)*(ToPool&lt;&gt;"-"),COUNTIF(ToPool,"-")+ROW()-3)-9,9),BG:BG,0),2),"-")</f>
        <v>-</v>
      </c>
      <c r="BR182" s="510" t="str">
        <f t="shared" ca="1" si="89"/>
        <v>-</v>
      </c>
      <c r="BS182" s="511" t="str">
        <f t="shared" ca="1" si="90"/>
        <v>-</v>
      </c>
      <c r="BT182" s="543" t="s">
        <v>82</v>
      </c>
      <c r="BU182" s="487" t="str">
        <f t="shared" ca="1" si="95"/>
        <v>-</v>
      </c>
      <c r="BV182" s="487" t="str">
        <f t="array" aca="1" ref="BV18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82" s="378" t="str">
        <f t="shared" ca="1" si="91"/>
        <v>-</v>
      </c>
      <c r="BX182" s="378" t="str">
        <f t="shared" ca="1" si="92"/>
        <v>-</v>
      </c>
      <c r="BY182" s="510" t="str">
        <f ca="1">IFERROR(ROUND(INDEX(Cluster,MATCH(IF(LEFT(BV182,4)="Pool",INDEX(Cluster,MATCH(INDEX(Calculation_Tab,MATCH(INDEX($BE$4:$BJ$99,MATCH(BV182,$BE$4:$BE$99,0),3),Flow_Cell_Lane,0),3),Cluster!$F$29:$F$412,0),6),BV182),Identifier_Cluster,0),19)*IF(LEFT(BV182,4)="pool",IF(LEN(INDEX($BE$4:$BJ$99,MATCH(BV182,$BE$4:$BE$99,0),3))=10,2,IF(LEN(INDEX($BE$4:$BJ$99,MATCH(BV182,$BE$4:$BE$99,0),3))&gt;10,LEN(INDEX($BE$4:$BJ$99,MATCH(BV182,$BE$4:$BE$99,0),3))-8,1)),1)*IF(LEFT(BV182,4)="pool",IF(INDEX($BE$4:$BJ$99,MATCH(BV182,$BE$4:$BE$99,0),6)&lt;1,1,INDEX($BE$4:$BJ$99,MATCH(BV182,$BE$4:$BE$99,0),6)),INDEX(Calculation_Tab,MATCH(BV182,Identifier,0),10)),1)*(1+Calculation!$Q$6),"-")</f>
        <v>-</v>
      </c>
      <c r="BZ182" s="378" t="str">
        <f ca="1">IFERROR((0.5/50)*CE182/Calculation!$AG$6*(IF(LEFT(BV182,4)="Pool",IF(LEN(INDEX($BE$4:$BJ$99,MATCH(BV182,$BE$4:$BE$99,0),3))=10,2,IF(LEN(INDEX($BE$4:$BJ$99,MATCH(BV182,$BE$4:$BE$99,0),3))&gt;10,LEN(INDEX($BE$4:$BJ$99,MATCH(BV182,$BE$4:$BE$99,0),3))-8,1)),IF(INDEX(Calculation_Tab,MATCH(BV182,Identifier,0),10)&gt;1,INDEX(Calculation_Tab,MATCH(BV182,Identifier,0),10),1)))*(1+Calculation!$Q$6),"-")</f>
        <v>-</v>
      </c>
      <c r="CA182" s="510" t="str">
        <f ca="1">IFERROR(IF((BZ182*Calculation!$AG$6/0.05)-SUM(BY182:BZ182,CC182)&gt;0,(BZ182*Calculation!$AG$6/0.05)-SUM(BY182:BZ182,CC182),0),"-")</f>
        <v>-</v>
      </c>
      <c r="CB182" s="510" t="str">
        <f ca="1">IFERROR(5/50*CE182*(IF(LEFT(BV182,4)="Pool",IF(LEN(INDEX($BE$4:$BJ$99,MATCH(BV182,$BE$4:$BE$99,0),3))=10,2,IF(LEN(INDEX($BE$4:$BJ$99,MATCH(BV182,$BE$4:$BE$99,0),3))&gt;10,LEN(INDEX($BE$4:$BJ$99,MATCH(BV182,$BE$4:$BE$99,0),3))-8,1)),IF(INDEX(Calculation_Tab,MATCH(BV182,Identifier,0),10)&gt;1,INDEX(Calculation_Tab,MATCH(BV182,Identifier,0),10),1)))*(1+Calculation!$Q$6),"-")</f>
        <v>-</v>
      </c>
      <c r="CC182" s="508" t="str">
        <f ca="1">IFERROR(ROUND(INDEX(Cluster,MATCH(IF(LEFT(BV182,4)="Pool",INDEX(Cluster,MATCH(INDEX(Calculation_Tab,MATCH(INDEX($BE$4:$BJ$99,MATCH(BV182,$BE$4:$BE$99,0),3),Flow_Cell_Lane,0),3),Cluster!$F$29:$F$412,0),6),BV182),Identifier_Cluster,0),20)*IF(LEFT(BV182,4)="pool",IF(LEN(INDEX($BE$4:$BJ$99,MATCH(BV182,$BE$4:$BE$99,0),3))=10,2,IF(LEN(INDEX($BE$4:$BJ$99,MATCH(BV182,$BE$4:$BE$99,0),3))&gt;10,LEN(INDEX($BE$4:$BJ$99,MATCH(BV182,$BE$4:$BE$99,0),3))-8,1)),1)*IF(LEFT(BV182,4)="pool",IF(INDEX($BE$4:$BJ$99,MATCH(BV182,$BE$4:$BE$99,0),6)&lt;1,1,INDEX($BE$4:$BJ$99,MATCH(BV182,$BE$4:$BE$99,0),6)),INDEX(Calculation_Tab,MATCH(BV182,Identifier,0),10)),1)*(1+Calculation!$Q$6),"-")</f>
        <v>-</v>
      </c>
      <c r="CD182" s="509" t="str">
        <f ca="1">IFERROR(INDEX(Cluster!AC:AD,MATCH(IF(LEFT(BV182,4)="Pool",INDEX(Cluster!$D$29:$AA$412,MATCH(INDEX(Calculation_Tab,MATCH(INDEX($BE$4:$BJ$99,MATCH(BV182,$BE$4:$BE$99,0),3),Flow_Cell_Lane,0),3),Cluster!$F$29:$F$412,0),24),INDEX(Cluster!$D$29:$AA$412,MATCH(BV182,Cluster!$F$29:$F$412,0),24)),Cluster!AC:AC,0),2),"-")</f>
        <v>-</v>
      </c>
      <c r="CE182" s="378" t="str">
        <f ca="1">IFERROR(IF(BV182&lt;&gt;"-",Calculation!$AK$6,"-"),"-")</f>
        <v>-</v>
      </c>
      <c r="CF182" s="378" t="str">
        <f ca="1">IF(OR(LEFT(ListAndConversion!BW182,3)="Dil",LEFT(ListAndConversion!BW182,3)="Poo"),ListAndConversion!$BT$4,IF(LEFT(ListAndConversion!BW182,3)="Sou",INDEX(ListAndConversion!$AT$3:$AV$387,MATCH(ListAndConversion!BV182,ListAndConversion!$AV$3:$AV$387,0),1),"-"))</f>
        <v>-</v>
      </c>
      <c r="CG182" s="498" t="str">
        <f ca="1">IF(OR(LEFT(ListAndConversion!BW182,3)="Dil",LEFT(ListAndConversion!BW182,3)="Poo"),ListAndConversion!BU182,IF(LEFT(ListAndConversion!BW182,3)="Sou",INDEX(ListAndConversion!$AT$4:$AV$387,MATCH(ListAndConversion!BV182,ListAndConversion!$AV$4:$AV$387,0),2),"-"))</f>
        <v>-</v>
      </c>
      <c r="CH182" s="378"/>
      <c r="CI182" s="487" t="str">
        <f t="shared" ca="1" si="93"/>
        <v>-</v>
      </c>
      <c r="CJ182" s="378" t="str">
        <f t="shared" ca="1" si="104"/>
        <v>-</v>
      </c>
      <c r="CK182" s="378" t="str">
        <f t="shared" ca="1" si="104"/>
        <v>-</v>
      </c>
      <c r="CL182" s="378" t="str">
        <f t="shared" ca="1" si="104"/>
        <v>-</v>
      </c>
      <c r="CM182" s="378" t="str">
        <f t="shared" ca="1" si="104"/>
        <v>-</v>
      </c>
      <c r="CN182" s="378" t="str">
        <f t="shared" ca="1" si="104"/>
        <v>-</v>
      </c>
      <c r="CO182" s="378" t="str">
        <f t="shared" ca="1" si="104"/>
        <v>-</v>
      </c>
      <c r="CP182" s="378" t="str">
        <f t="shared" ca="1" si="104"/>
        <v>-</v>
      </c>
      <c r="CQ182" s="378" t="str">
        <f t="shared" ca="1" si="104"/>
        <v>-</v>
      </c>
      <c r="CR182" s="510" t="str">
        <f ca="1">IFERROR(IF(LEFT(BW182,3)="Poo",INDEX($BE$4:$BJ$99,MATCH(CI182,$BG$4:$BG$99,0),6)*((15/50))*Calculation!$AK$6,INDEX(Calculation_Tab,MATCH(BV182,Identifier,0),10)/(IF(LEN(INDEX(Calculation_Tab,MATCH(BV182,Identifier,0),9))&gt;8,LEN(INDEX(Calculation_Tab,MATCH(BV182,Identifier,0),9))-8,1))*((15/50)*Calculation!$AK$6)),"-")</f>
        <v>-</v>
      </c>
      <c r="CS182" s="498" t="str">
        <f ca="1">IF(CI182="-","-",IF(COUNTIF($CI$3:CI182,CI182)&gt;1,0,IFERROR((35/50)*Calculation!$AK$6,"-")))</f>
        <v>-</v>
      </c>
    </row>
    <row r="183" spans="4:97" x14ac:dyDescent="0.5">
      <c r="D183" s="487" t="e">
        <f t="shared" si="79"/>
        <v>#DIV/0!</v>
      </c>
      <c r="E183" s="496" t="e">
        <f t="array" ref="E183">IF(IF((ROW(E183)-3)&lt;(ListAndConversion!$A$15),INDEX(Flow_Cell_Lane,MIN(IF(COUNTIF($E$2:E182,Flow_Cell_Lane)=0,ROW(Flow_Cell_Lane)-9))),"-")="","-",IF((ROW(E183)-3)&lt;(ListAndConversion!$A$15),INDEX(Flow_Cell_Lane,MIN(IF(COUNTIF($E$2:E182,Flow_Cell_Lane)=0,ROW(Flow_Cell_Lane)-9))),"-"))</f>
        <v>#DIV/0!</v>
      </c>
      <c r="F183" s="378" t="e">
        <f t="shared" si="80"/>
        <v>#DIV/0!</v>
      </c>
      <c r="G183" s="378" t="e">
        <f t="shared" ref="G183:M192" si="105">IF($D183&gt;8,IF($D183&gt;=(8+G$2),CONCATENATE(LEFT($E183,7),RIGHT(LEFT($E183,8+G$2),1)),""),"")</f>
        <v>#DIV/0!</v>
      </c>
      <c r="H183" s="378" t="e">
        <f t="shared" si="105"/>
        <v>#DIV/0!</v>
      </c>
      <c r="I183" s="378" t="e">
        <f t="shared" si="105"/>
        <v>#DIV/0!</v>
      </c>
      <c r="J183" s="378" t="e">
        <f t="shared" si="105"/>
        <v>#DIV/0!</v>
      </c>
      <c r="K183" s="378" t="e">
        <f t="shared" si="105"/>
        <v>#DIV/0!</v>
      </c>
      <c r="L183" s="378" t="e">
        <f t="shared" si="105"/>
        <v>#DIV/0!</v>
      </c>
      <c r="M183" s="378" t="e">
        <f t="shared" si="105"/>
        <v>#DIV/0!</v>
      </c>
      <c r="N183" s="497" t="e">
        <f t="shared" si="81"/>
        <v>#DIV/0!</v>
      </c>
      <c r="O183" s="497" t="str">
        <f t="array" ref="O183">IFERROR(INDEX(Calculation!I:AN,MATCH(ListAndConversion!E183,Calculation!I:I,0),31),"-")</f>
        <v>-</v>
      </c>
      <c r="P183" s="498">
        <f>IF(COUNTIFS(Calculation!$I$10:$I$393,E183,Direct_Denaturation,"-")&lt;&gt;1,COUNTIFS(Calculation!$I$10:$I$393,E183,Direct_Denaturation,"-"),0)</f>
        <v>0</v>
      </c>
      <c r="V183" s="542" t="s">
        <v>82</v>
      </c>
      <c r="W183" s="542" t="s">
        <v>82</v>
      </c>
      <c r="X183" s="542" t="s">
        <v>82</v>
      </c>
      <c r="Y183" s="542" t="s">
        <v>82</v>
      </c>
      <c r="Z183" s="542" t="s">
        <v>82</v>
      </c>
      <c r="AA183" s="542" t="s">
        <v>82</v>
      </c>
      <c r="AB183" s="542" t="s">
        <v>82</v>
      </c>
      <c r="AC183" s="542" t="s">
        <v>82</v>
      </c>
      <c r="AD183" s="542" t="s">
        <v>82</v>
      </c>
      <c r="AE183" s="542" t="s">
        <v>82</v>
      </c>
      <c r="AF183" s="542" t="s">
        <v>82</v>
      </c>
      <c r="AG183" s="542" t="s">
        <v>82</v>
      </c>
      <c r="AH183" s="9"/>
      <c r="AI183" s="487">
        <v>180</v>
      </c>
      <c r="AJ183" s="497" t="s">
        <v>161</v>
      </c>
      <c r="AK183" s="378">
        <v>84</v>
      </c>
      <c r="AL183" s="378" t="str">
        <f t="shared" ca="1" si="82"/>
        <v>-</v>
      </c>
      <c r="AM183" s="378" t="str">
        <f t="array" aca="1" ref="AM183" ca="1">IFERROR(IF(AI183&lt;=$AB$2,"-",INDEX(Calculation_Tab,SMALL(ROW(Main_Dil)*(Main_Dil&lt;&gt;"-"),COUNTIF(Main_Dil,"-")+ROW()-3-$AB$2)-9,5)),"-")</f>
        <v>-</v>
      </c>
      <c r="AN183" s="378" t="str">
        <f t="array" aca="1" ref="AN183" ca="1">IFERROR(IF(AI183&lt;=$AB$2,"-",INDEX($A$3:$B$12,MATCH(INDEX(Calculation_Tab,SMALL(ROW(Main_Dil)*(Main_Dil&lt;&gt;"-"),COUNTIF(Main_Dil,"-")+ROW()-3-$AB$2)-9,5),$A$3:$A$12,0),2)),"-")</f>
        <v>-</v>
      </c>
      <c r="AO183" s="378" t="str">
        <f t="array" aca="1" ref="AO183" ca="1">IFERROR(IF(AI183&lt;=$AB$2,"-",INDEX(Coordinate,MATCH(INDEX(Calculation_Tab,SMALL(ROW(Main_Dil)*(Main_Dil&lt;&gt;"-"),COUNTIF(Main_Dil,"-")+ROW()-3-$AB$2)-9,6),$X$4:$X$99,0),2)),"-")</f>
        <v>-</v>
      </c>
      <c r="AP183" s="510" t="str">
        <f t="array" aca="1" ref="AP183" ca="1">IFERROR(IF(AI183&lt;=$AB$2,"-",INDEX(Calculation_Tab,SMALL(ROW(Main_Dil)*(Main_Dil&lt;&gt;"-"),COUNTIF(Main_Dil,"-")+ROW()-3-$AB$2)-9,21)),"-")</f>
        <v>-</v>
      </c>
      <c r="AQ183" s="511" t="str">
        <f t="array" aca="1" ref="AQ183" ca="1">IFERROR(IF(AI183&lt;=$AB$2,"-",INDEX(Calculation_Tab,SMALL(ROW(Main_Dil)*(Main_Dil&lt;&gt;"-"),COUNTIF(Main_Dil,"-")+ROW()-3-$AB$2)-9,22)),"-")</f>
        <v>-</v>
      </c>
      <c r="AR183" s="487" t="str">
        <f t="shared" ca="1" si="83"/>
        <v>-</v>
      </c>
      <c r="AS183" s="378">
        <v>180</v>
      </c>
      <c r="AT183" s="497" t="s">
        <v>161</v>
      </c>
      <c r="AU183" s="498">
        <v>84</v>
      </c>
      <c r="AV183" s="378" t="str">
        <f t="shared" ca="1" si="84"/>
        <v>-</v>
      </c>
      <c r="AW183" s="378" t="str">
        <f t="array" aca="1" ref="AW183" ca="1">IFERROR(IF(AS183&lt;=$AB$2+$AN$2,"-",INDEX(Calculation_Tab,SMALL(ROW(Direct_Denaturation)*(Direct_Denaturation&lt;&gt;"-"),COUNTIF(Direct_Denaturation,"-")+ROW()-3-$AB$2-$AN$2)-9,5)),"-")</f>
        <v>-</v>
      </c>
      <c r="AX183" s="378" t="str">
        <f t="array" aca="1" ref="AX183" ca="1">IFERROR(IF(AS183&lt;=$AB$2+$AN$2,"-",INDEX($A$3:$B$12,MATCH(INDEX(Calculation_Tab,SMALL(ROW(Direct_Denaturation)*(Direct_Denaturation&lt;&gt;"-"),COUNTIF(Direct_Denaturation,"-")+ROW()-3-$AB$2-$AN$2)-9,5),$A$3:$A$12,0),2)),"-")</f>
        <v>-</v>
      </c>
      <c r="AY183" s="378" t="str">
        <f t="array" aca="1" ref="AY183" ca="1">IFERROR(IF(AS183&lt;=$AB$2+$AN$2,"-",INDEX(Coordinate,MATCH(INDEX(Calculation_Tab,SMALL(ROW(Direct_Denaturation)*(Direct_Denaturation&lt;&gt;"-"),COUNTIF(Direct_Denaturation,"-")+ROW()-3-$AB$2-$AN$2)-9,6),$X$4:$X$99,0),2)),"-")</f>
        <v>-</v>
      </c>
      <c r="AZ183" s="510" t="str">
        <f t="array" aca="1" ref="AZ183" ca="1">IFERROR(IF(AS183&lt;=$AB$2+$AN$2,"-",INDEX(Calculation_Tab,SMALL(ROW(Direct_Denaturation)*(Direct_Denaturation&lt;&gt;"-"),COUNTIF(Direct_Denaturation,"-")+ROW()-3-$AB$2-$AN$2)-9,32)),"-")</f>
        <v>-</v>
      </c>
      <c r="BA183" s="510" t="str">
        <f t="array" aca="1" ref="BA183" ca="1">IFERROR(IF(AS183&lt;=$AB$2+$AN$2,"-",INDEX(Calculation_Tab,SMALL(ROW(Direct_Denaturation)*(Direct_Denaturation&lt;&gt;"-"),COUNTIF(Direct_Denaturation,"-")+ROW()-3-$AB$2-$AN$2)-9,34)),"-")</f>
        <v>-</v>
      </c>
      <c r="BB183" s="510" t="str">
        <f t="array" aca="1" ref="BB183" ca="1">IFERROR(IF(AS183&lt;=$AB$2+$AN$2,"-",INDEX(Calculation_Tab,SMALL(ROW(Direct_Denaturation)*(Direct_Denaturation&lt;&gt;"-"),COUNTIF(Direct_Denaturation,"-")+ROW()-3-$AB$2-$AN$2)-9,33)),"-")</f>
        <v>-</v>
      </c>
      <c r="BC183" s="510" t="str">
        <f t="array" aca="1" ref="BC183" ca="1">IFERROR(IF(AS183&lt;=$AB$2+$AN$2,"-",INDEX(Calculation_Tab,SMALL(ROW(Direct_Denaturation)*(Direct_Denaturation&lt;&gt;"-"),COUNTIF(Direct_Denaturation,"-")+ROW()-3-$AB$2-$AN$2)-9,35)),"-")</f>
        <v>-</v>
      </c>
      <c r="BD183" s="511" t="str">
        <f t="shared" ca="1" si="85"/>
        <v>-</v>
      </c>
      <c r="BK183" s="542" t="s">
        <v>82</v>
      </c>
      <c r="BL183" s="542" t="s">
        <v>82</v>
      </c>
      <c r="BM183" s="487" t="str">
        <f t="array" aca="1" ref="BM183" ca="1">IFERROR(INDEX(Calculation_Tab,SMALL(ROW(ToPool)*(ToPool&lt;&gt;"-"),COUNTIF(ToPool,"-")+ROW()-3)-9,3),"-")</f>
        <v>-</v>
      </c>
      <c r="BN183" s="378" t="str">
        <f t="shared" ca="1" si="86"/>
        <v>-</v>
      </c>
      <c r="BO183" s="378" t="str">
        <f t="shared" ca="1" si="87"/>
        <v>-</v>
      </c>
      <c r="BP183" s="523" t="str">
        <f t="shared" ca="1" si="88"/>
        <v>-</v>
      </c>
      <c r="BQ183" s="378" t="str">
        <f t="array" aca="1" ref="BQ183" ca="1">IFERROR(INDEX(BE:BG,MATCH(INDEX(Calculation_Tab,SMALL(ROW(ToPool)*(ToPool&lt;&gt;"-"),COUNTIF(ToPool,"-")+ROW()-3)-9,9),BG:BG,0),2),"-")</f>
        <v>-</v>
      </c>
      <c r="BR183" s="510" t="str">
        <f t="shared" ca="1" si="89"/>
        <v>-</v>
      </c>
      <c r="BS183" s="511" t="str">
        <f t="shared" ca="1" si="90"/>
        <v>-</v>
      </c>
      <c r="BT183" s="543" t="s">
        <v>82</v>
      </c>
      <c r="BU183" s="487" t="str">
        <f t="shared" ca="1" si="95"/>
        <v>-</v>
      </c>
      <c r="BV183" s="487" t="str">
        <f t="array" aca="1" ref="BV18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83" s="378" t="str">
        <f t="shared" ca="1" si="91"/>
        <v>-</v>
      </c>
      <c r="BX183" s="378" t="str">
        <f t="shared" ca="1" si="92"/>
        <v>-</v>
      </c>
      <c r="BY183" s="510" t="str">
        <f ca="1">IFERROR(ROUND(INDEX(Cluster,MATCH(IF(LEFT(BV183,4)="Pool",INDEX(Cluster,MATCH(INDEX(Calculation_Tab,MATCH(INDEX($BE$4:$BJ$99,MATCH(BV183,$BE$4:$BE$99,0),3),Flow_Cell_Lane,0),3),Cluster!$F$29:$F$412,0),6),BV183),Identifier_Cluster,0),19)*IF(LEFT(BV183,4)="pool",IF(LEN(INDEX($BE$4:$BJ$99,MATCH(BV183,$BE$4:$BE$99,0),3))=10,2,IF(LEN(INDEX($BE$4:$BJ$99,MATCH(BV183,$BE$4:$BE$99,0),3))&gt;10,LEN(INDEX($BE$4:$BJ$99,MATCH(BV183,$BE$4:$BE$99,0),3))-8,1)),1)*IF(LEFT(BV183,4)="pool",IF(INDEX($BE$4:$BJ$99,MATCH(BV183,$BE$4:$BE$99,0),6)&lt;1,1,INDEX($BE$4:$BJ$99,MATCH(BV183,$BE$4:$BE$99,0),6)),INDEX(Calculation_Tab,MATCH(BV183,Identifier,0),10)),1)*(1+Calculation!$Q$6),"-")</f>
        <v>-</v>
      </c>
      <c r="BZ183" s="378" t="str">
        <f ca="1">IFERROR((0.5/50)*CE183/Calculation!$AG$6*(IF(LEFT(BV183,4)="Pool",IF(LEN(INDEX($BE$4:$BJ$99,MATCH(BV183,$BE$4:$BE$99,0),3))=10,2,IF(LEN(INDEX($BE$4:$BJ$99,MATCH(BV183,$BE$4:$BE$99,0),3))&gt;10,LEN(INDEX($BE$4:$BJ$99,MATCH(BV183,$BE$4:$BE$99,0),3))-8,1)),IF(INDEX(Calculation_Tab,MATCH(BV183,Identifier,0),10)&gt;1,INDEX(Calculation_Tab,MATCH(BV183,Identifier,0),10),1)))*(1+Calculation!$Q$6),"-")</f>
        <v>-</v>
      </c>
      <c r="CA183" s="510" t="str">
        <f ca="1">IFERROR(IF((BZ183*Calculation!$AG$6/0.05)-SUM(BY183:BZ183,CC183)&gt;0,(BZ183*Calculation!$AG$6/0.05)-SUM(BY183:BZ183,CC183),0),"-")</f>
        <v>-</v>
      </c>
      <c r="CB183" s="510" t="str">
        <f ca="1">IFERROR(5/50*CE183*(IF(LEFT(BV183,4)="Pool",IF(LEN(INDEX($BE$4:$BJ$99,MATCH(BV183,$BE$4:$BE$99,0),3))=10,2,IF(LEN(INDEX($BE$4:$BJ$99,MATCH(BV183,$BE$4:$BE$99,0),3))&gt;10,LEN(INDEX($BE$4:$BJ$99,MATCH(BV183,$BE$4:$BE$99,0),3))-8,1)),IF(INDEX(Calculation_Tab,MATCH(BV183,Identifier,0),10)&gt;1,INDEX(Calculation_Tab,MATCH(BV183,Identifier,0),10),1)))*(1+Calculation!$Q$6),"-")</f>
        <v>-</v>
      </c>
      <c r="CC183" s="508" t="str">
        <f ca="1">IFERROR(ROUND(INDEX(Cluster,MATCH(IF(LEFT(BV183,4)="Pool",INDEX(Cluster,MATCH(INDEX(Calculation_Tab,MATCH(INDEX($BE$4:$BJ$99,MATCH(BV183,$BE$4:$BE$99,0),3),Flow_Cell_Lane,0),3),Cluster!$F$29:$F$412,0),6),BV183),Identifier_Cluster,0),20)*IF(LEFT(BV183,4)="pool",IF(LEN(INDEX($BE$4:$BJ$99,MATCH(BV183,$BE$4:$BE$99,0),3))=10,2,IF(LEN(INDEX($BE$4:$BJ$99,MATCH(BV183,$BE$4:$BE$99,0),3))&gt;10,LEN(INDEX($BE$4:$BJ$99,MATCH(BV183,$BE$4:$BE$99,0),3))-8,1)),1)*IF(LEFT(BV183,4)="pool",IF(INDEX($BE$4:$BJ$99,MATCH(BV183,$BE$4:$BE$99,0),6)&lt;1,1,INDEX($BE$4:$BJ$99,MATCH(BV183,$BE$4:$BE$99,0),6)),INDEX(Calculation_Tab,MATCH(BV183,Identifier,0),10)),1)*(1+Calculation!$Q$6),"-")</f>
        <v>-</v>
      </c>
      <c r="CD183" s="509" t="str">
        <f ca="1">IFERROR(INDEX(Cluster!AC:AD,MATCH(IF(LEFT(BV183,4)="Pool",INDEX(Cluster!$D$29:$AA$412,MATCH(INDEX(Calculation_Tab,MATCH(INDEX($BE$4:$BJ$99,MATCH(BV183,$BE$4:$BE$99,0),3),Flow_Cell_Lane,0),3),Cluster!$F$29:$F$412,0),24),INDEX(Cluster!$D$29:$AA$412,MATCH(BV183,Cluster!$F$29:$F$412,0),24)),Cluster!AC:AC,0),2),"-")</f>
        <v>-</v>
      </c>
      <c r="CE183" s="378" t="str">
        <f ca="1">IFERROR(IF(BV183&lt;&gt;"-",Calculation!$AK$6,"-"),"-")</f>
        <v>-</v>
      </c>
      <c r="CF183" s="378" t="str">
        <f ca="1">IF(OR(LEFT(ListAndConversion!BW183,3)="Dil",LEFT(ListAndConversion!BW183,3)="Poo"),ListAndConversion!$BT$4,IF(LEFT(ListAndConversion!BW183,3)="Sou",INDEX(ListAndConversion!$AT$3:$AV$387,MATCH(ListAndConversion!BV183,ListAndConversion!$AV$3:$AV$387,0),1),"-"))</f>
        <v>-</v>
      </c>
      <c r="CG183" s="498" t="str">
        <f ca="1">IF(OR(LEFT(ListAndConversion!BW183,3)="Dil",LEFT(ListAndConversion!BW183,3)="Poo"),ListAndConversion!BU183,IF(LEFT(ListAndConversion!BW183,3)="Sou",INDEX(ListAndConversion!$AT$4:$AV$387,MATCH(ListAndConversion!BV183,ListAndConversion!$AV$4:$AV$387,0),2),"-"))</f>
        <v>-</v>
      </c>
      <c r="CH183" s="378"/>
      <c r="CI183" s="487" t="str">
        <f t="shared" ca="1" si="93"/>
        <v>-</v>
      </c>
      <c r="CJ183" s="378" t="str">
        <f t="shared" ca="1" si="104"/>
        <v>-</v>
      </c>
      <c r="CK183" s="378" t="str">
        <f t="shared" ca="1" si="104"/>
        <v>-</v>
      </c>
      <c r="CL183" s="378" t="str">
        <f t="shared" ca="1" si="104"/>
        <v>-</v>
      </c>
      <c r="CM183" s="378" t="str">
        <f t="shared" ca="1" si="104"/>
        <v>-</v>
      </c>
      <c r="CN183" s="378" t="str">
        <f t="shared" ca="1" si="104"/>
        <v>-</v>
      </c>
      <c r="CO183" s="378" t="str">
        <f t="shared" ca="1" si="104"/>
        <v>-</v>
      </c>
      <c r="CP183" s="378" t="str">
        <f t="shared" ca="1" si="104"/>
        <v>-</v>
      </c>
      <c r="CQ183" s="378" t="str">
        <f t="shared" ca="1" si="104"/>
        <v>-</v>
      </c>
      <c r="CR183" s="510" t="str">
        <f ca="1">IFERROR(IF(LEFT(BW183,3)="Poo",INDEX($BE$4:$BJ$99,MATCH(CI183,$BG$4:$BG$99,0),6)*((15/50))*Calculation!$AK$6,INDEX(Calculation_Tab,MATCH(BV183,Identifier,0),10)/(IF(LEN(INDEX(Calculation_Tab,MATCH(BV183,Identifier,0),9))&gt;8,LEN(INDEX(Calculation_Tab,MATCH(BV183,Identifier,0),9))-8,1))*((15/50)*Calculation!$AK$6)),"-")</f>
        <v>-</v>
      </c>
      <c r="CS183" s="498" t="str">
        <f ca="1">IF(CI183="-","-",IF(COUNTIF($CI$3:CI183,CI183)&gt;1,0,IFERROR((35/50)*Calculation!$AK$6,"-")))</f>
        <v>-</v>
      </c>
    </row>
    <row r="184" spans="4:97" x14ac:dyDescent="0.5">
      <c r="D184" s="487" t="e">
        <f t="shared" si="79"/>
        <v>#DIV/0!</v>
      </c>
      <c r="E184" s="496" t="e">
        <f t="array" ref="E184">IF(IF((ROW(E184)-3)&lt;(ListAndConversion!$A$15),INDEX(Flow_Cell_Lane,MIN(IF(COUNTIF($E$2:E183,Flow_Cell_Lane)=0,ROW(Flow_Cell_Lane)-9))),"-")="","-",IF((ROW(E184)-3)&lt;(ListAndConversion!$A$15),INDEX(Flow_Cell_Lane,MIN(IF(COUNTIF($E$2:E183,Flow_Cell_Lane)=0,ROW(Flow_Cell_Lane)-9))),"-"))</f>
        <v>#DIV/0!</v>
      </c>
      <c r="F184" s="378" t="e">
        <f t="shared" si="80"/>
        <v>#DIV/0!</v>
      </c>
      <c r="G184" s="378" t="e">
        <f t="shared" si="105"/>
        <v>#DIV/0!</v>
      </c>
      <c r="H184" s="378" t="e">
        <f t="shared" si="105"/>
        <v>#DIV/0!</v>
      </c>
      <c r="I184" s="378" t="e">
        <f t="shared" si="105"/>
        <v>#DIV/0!</v>
      </c>
      <c r="J184" s="378" t="e">
        <f t="shared" si="105"/>
        <v>#DIV/0!</v>
      </c>
      <c r="K184" s="378" t="e">
        <f t="shared" si="105"/>
        <v>#DIV/0!</v>
      </c>
      <c r="L184" s="378" t="e">
        <f t="shared" si="105"/>
        <v>#DIV/0!</v>
      </c>
      <c r="M184" s="378" t="e">
        <f t="shared" si="105"/>
        <v>#DIV/0!</v>
      </c>
      <c r="N184" s="497" t="e">
        <f t="shared" si="81"/>
        <v>#DIV/0!</v>
      </c>
      <c r="O184" s="497" t="str">
        <f t="array" ref="O184">IFERROR(INDEX(Calculation!I:AN,MATCH(ListAndConversion!E184,Calculation!I:I,0),31),"-")</f>
        <v>-</v>
      </c>
      <c r="P184" s="498">
        <f>IF(COUNTIFS(Calculation!$I$10:$I$393,E184,Direct_Denaturation,"-")&lt;&gt;1,COUNTIFS(Calculation!$I$10:$I$393,E184,Direct_Denaturation,"-"),0)</f>
        <v>0</v>
      </c>
      <c r="V184" s="542" t="s">
        <v>82</v>
      </c>
      <c r="W184" s="542" t="s">
        <v>82</v>
      </c>
      <c r="X184" s="542" t="s">
        <v>82</v>
      </c>
      <c r="Y184" s="542" t="s">
        <v>82</v>
      </c>
      <c r="Z184" s="542" t="s">
        <v>82</v>
      </c>
      <c r="AA184" s="542" t="s">
        <v>82</v>
      </c>
      <c r="AB184" s="542" t="s">
        <v>82</v>
      </c>
      <c r="AC184" s="542" t="s">
        <v>82</v>
      </c>
      <c r="AD184" s="542" t="s">
        <v>82</v>
      </c>
      <c r="AE184" s="542" t="s">
        <v>82</v>
      </c>
      <c r="AF184" s="542" t="s">
        <v>82</v>
      </c>
      <c r="AG184" s="542" t="s">
        <v>82</v>
      </c>
      <c r="AH184" s="9"/>
      <c r="AI184" s="487">
        <v>181</v>
      </c>
      <c r="AJ184" s="497" t="s">
        <v>161</v>
      </c>
      <c r="AK184" s="378">
        <v>85</v>
      </c>
      <c r="AL184" s="378" t="str">
        <f t="shared" ca="1" si="82"/>
        <v>-</v>
      </c>
      <c r="AM184" s="378" t="str">
        <f t="array" aca="1" ref="AM184" ca="1">IFERROR(IF(AI184&lt;=$AB$2,"-",INDEX(Calculation_Tab,SMALL(ROW(Main_Dil)*(Main_Dil&lt;&gt;"-"),COUNTIF(Main_Dil,"-")+ROW()-3-$AB$2)-9,5)),"-")</f>
        <v>-</v>
      </c>
      <c r="AN184" s="378" t="str">
        <f t="array" aca="1" ref="AN184" ca="1">IFERROR(IF(AI184&lt;=$AB$2,"-",INDEX($A$3:$B$12,MATCH(INDEX(Calculation_Tab,SMALL(ROW(Main_Dil)*(Main_Dil&lt;&gt;"-"),COUNTIF(Main_Dil,"-")+ROW()-3-$AB$2)-9,5),$A$3:$A$12,0),2)),"-")</f>
        <v>-</v>
      </c>
      <c r="AO184" s="378" t="str">
        <f t="array" aca="1" ref="AO184" ca="1">IFERROR(IF(AI184&lt;=$AB$2,"-",INDEX(Coordinate,MATCH(INDEX(Calculation_Tab,SMALL(ROW(Main_Dil)*(Main_Dil&lt;&gt;"-"),COUNTIF(Main_Dil,"-")+ROW()-3-$AB$2)-9,6),$X$4:$X$99,0),2)),"-")</f>
        <v>-</v>
      </c>
      <c r="AP184" s="510" t="str">
        <f t="array" aca="1" ref="AP184" ca="1">IFERROR(IF(AI184&lt;=$AB$2,"-",INDEX(Calculation_Tab,SMALL(ROW(Main_Dil)*(Main_Dil&lt;&gt;"-"),COUNTIF(Main_Dil,"-")+ROW()-3-$AB$2)-9,21)),"-")</f>
        <v>-</v>
      </c>
      <c r="AQ184" s="511" t="str">
        <f t="array" aca="1" ref="AQ184" ca="1">IFERROR(IF(AI184&lt;=$AB$2,"-",INDEX(Calculation_Tab,SMALL(ROW(Main_Dil)*(Main_Dil&lt;&gt;"-"),COUNTIF(Main_Dil,"-")+ROW()-3-$AB$2)-9,22)),"-")</f>
        <v>-</v>
      </c>
      <c r="AR184" s="487" t="str">
        <f t="shared" ca="1" si="83"/>
        <v>-</v>
      </c>
      <c r="AS184" s="378">
        <v>181</v>
      </c>
      <c r="AT184" s="497" t="s">
        <v>161</v>
      </c>
      <c r="AU184" s="498">
        <v>85</v>
      </c>
      <c r="AV184" s="378" t="str">
        <f t="shared" ca="1" si="84"/>
        <v>-</v>
      </c>
      <c r="AW184" s="378" t="str">
        <f t="array" aca="1" ref="AW184" ca="1">IFERROR(IF(AS184&lt;=$AB$2+$AN$2,"-",INDEX(Calculation_Tab,SMALL(ROW(Direct_Denaturation)*(Direct_Denaturation&lt;&gt;"-"),COUNTIF(Direct_Denaturation,"-")+ROW()-3-$AB$2-$AN$2)-9,5)),"-")</f>
        <v>-</v>
      </c>
      <c r="AX184" s="378" t="str">
        <f t="array" aca="1" ref="AX184" ca="1">IFERROR(IF(AS184&lt;=$AB$2+$AN$2,"-",INDEX($A$3:$B$12,MATCH(INDEX(Calculation_Tab,SMALL(ROW(Direct_Denaturation)*(Direct_Denaturation&lt;&gt;"-"),COUNTIF(Direct_Denaturation,"-")+ROW()-3-$AB$2-$AN$2)-9,5),$A$3:$A$12,0),2)),"-")</f>
        <v>-</v>
      </c>
      <c r="AY184" s="378" t="str">
        <f t="array" aca="1" ref="AY184" ca="1">IFERROR(IF(AS184&lt;=$AB$2+$AN$2,"-",INDEX(Coordinate,MATCH(INDEX(Calculation_Tab,SMALL(ROW(Direct_Denaturation)*(Direct_Denaturation&lt;&gt;"-"),COUNTIF(Direct_Denaturation,"-")+ROW()-3-$AB$2-$AN$2)-9,6),$X$4:$X$99,0),2)),"-")</f>
        <v>-</v>
      </c>
      <c r="AZ184" s="510" t="str">
        <f t="array" aca="1" ref="AZ184" ca="1">IFERROR(IF(AS184&lt;=$AB$2+$AN$2,"-",INDEX(Calculation_Tab,SMALL(ROW(Direct_Denaturation)*(Direct_Denaturation&lt;&gt;"-"),COUNTIF(Direct_Denaturation,"-")+ROW()-3-$AB$2-$AN$2)-9,32)),"-")</f>
        <v>-</v>
      </c>
      <c r="BA184" s="510" t="str">
        <f t="array" aca="1" ref="BA184" ca="1">IFERROR(IF(AS184&lt;=$AB$2+$AN$2,"-",INDEX(Calculation_Tab,SMALL(ROW(Direct_Denaturation)*(Direct_Denaturation&lt;&gt;"-"),COUNTIF(Direct_Denaturation,"-")+ROW()-3-$AB$2-$AN$2)-9,34)),"-")</f>
        <v>-</v>
      </c>
      <c r="BB184" s="510" t="str">
        <f t="array" aca="1" ref="BB184" ca="1">IFERROR(IF(AS184&lt;=$AB$2+$AN$2,"-",INDEX(Calculation_Tab,SMALL(ROW(Direct_Denaturation)*(Direct_Denaturation&lt;&gt;"-"),COUNTIF(Direct_Denaturation,"-")+ROW()-3-$AB$2-$AN$2)-9,33)),"-")</f>
        <v>-</v>
      </c>
      <c r="BC184" s="510" t="str">
        <f t="array" aca="1" ref="BC184" ca="1">IFERROR(IF(AS184&lt;=$AB$2+$AN$2,"-",INDEX(Calculation_Tab,SMALL(ROW(Direct_Denaturation)*(Direct_Denaturation&lt;&gt;"-"),COUNTIF(Direct_Denaturation,"-")+ROW()-3-$AB$2-$AN$2)-9,35)),"-")</f>
        <v>-</v>
      </c>
      <c r="BD184" s="511" t="str">
        <f t="shared" ca="1" si="85"/>
        <v>-</v>
      </c>
      <c r="BK184" s="542" t="s">
        <v>82</v>
      </c>
      <c r="BL184" s="542" t="s">
        <v>82</v>
      </c>
      <c r="BM184" s="487" t="str">
        <f t="array" aca="1" ref="BM184" ca="1">IFERROR(INDEX(Calculation_Tab,SMALL(ROW(ToPool)*(ToPool&lt;&gt;"-"),COUNTIF(ToPool,"-")+ROW()-3)-9,3),"-")</f>
        <v>-</v>
      </c>
      <c r="BN184" s="378" t="str">
        <f t="shared" ca="1" si="86"/>
        <v>-</v>
      </c>
      <c r="BO184" s="378" t="str">
        <f t="shared" ca="1" si="87"/>
        <v>-</v>
      </c>
      <c r="BP184" s="523" t="str">
        <f t="shared" ca="1" si="88"/>
        <v>-</v>
      </c>
      <c r="BQ184" s="378" t="str">
        <f t="array" aca="1" ref="BQ184" ca="1">IFERROR(INDEX(BE:BG,MATCH(INDEX(Calculation_Tab,SMALL(ROW(ToPool)*(ToPool&lt;&gt;"-"),COUNTIF(ToPool,"-")+ROW()-3)-9,9),BG:BG,0),2),"-")</f>
        <v>-</v>
      </c>
      <c r="BR184" s="510" t="str">
        <f t="shared" ca="1" si="89"/>
        <v>-</v>
      </c>
      <c r="BS184" s="511" t="str">
        <f t="shared" ca="1" si="90"/>
        <v>-</v>
      </c>
      <c r="BT184" s="543" t="s">
        <v>82</v>
      </c>
      <c r="BU184" s="487" t="str">
        <f t="shared" ca="1" si="95"/>
        <v>-</v>
      </c>
      <c r="BV184" s="487" t="str">
        <f t="array" aca="1" ref="BV18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84" s="378" t="str">
        <f t="shared" ca="1" si="91"/>
        <v>-</v>
      </c>
      <c r="BX184" s="378" t="str">
        <f t="shared" ca="1" si="92"/>
        <v>-</v>
      </c>
      <c r="BY184" s="510" t="str">
        <f ca="1">IFERROR(ROUND(INDEX(Cluster,MATCH(IF(LEFT(BV184,4)="Pool",INDEX(Cluster,MATCH(INDEX(Calculation_Tab,MATCH(INDEX($BE$4:$BJ$99,MATCH(BV184,$BE$4:$BE$99,0),3),Flow_Cell_Lane,0),3),Cluster!$F$29:$F$412,0),6),BV184),Identifier_Cluster,0),19)*IF(LEFT(BV184,4)="pool",IF(LEN(INDEX($BE$4:$BJ$99,MATCH(BV184,$BE$4:$BE$99,0),3))=10,2,IF(LEN(INDEX($BE$4:$BJ$99,MATCH(BV184,$BE$4:$BE$99,0),3))&gt;10,LEN(INDEX($BE$4:$BJ$99,MATCH(BV184,$BE$4:$BE$99,0),3))-8,1)),1)*IF(LEFT(BV184,4)="pool",IF(INDEX($BE$4:$BJ$99,MATCH(BV184,$BE$4:$BE$99,0),6)&lt;1,1,INDEX($BE$4:$BJ$99,MATCH(BV184,$BE$4:$BE$99,0),6)),INDEX(Calculation_Tab,MATCH(BV184,Identifier,0),10)),1)*(1+Calculation!$Q$6),"-")</f>
        <v>-</v>
      </c>
      <c r="BZ184" s="378" t="str">
        <f ca="1">IFERROR((0.5/50)*CE184/Calculation!$AG$6*(IF(LEFT(BV184,4)="Pool",IF(LEN(INDEX($BE$4:$BJ$99,MATCH(BV184,$BE$4:$BE$99,0),3))=10,2,IF(LEN(INDEX($BE$4:$BJ$99,MATCH(BV184,$BE$4:$BE$99,0),3))&gt;10,LEN(INDEX($BE$4:$BJ$99,MATCH(BV184,$BE$4:$BE$99,0),3))-8,1)),IF(INDEX(Calculation_Tab,MATCH(BV184,Identifier,0),10)&gt;1,INDEX(Calculation_Tab,MATCH(BV184,Identifier,0),10),1)))*(1+Calculation!$Q$6),"-")</f>
        <v>-</v>
      </c>
      <c r="CA184" s="510" t="str">
        <f ca="1">IFERROR(IF((BZ184*Calculation!$AG$6/0.05)-SUM(BY184:BZ184,CC184)&gt;0,(BZ184*Calculation!$AG$6/0.05)-SUM(BY184:BZ184,CC184),0),"-")</f>
        <v>-</v>
      </c>
      <c r="CB184" s="510" t="str">
        <f ca="1">IFERROR(5/50*CE184*(IF(LEFT(BV184,4)="Pool",IF(LEN(INDEX($BE$4:$BJ$99,MATCH(BV184,$BE$4:$BE$99,0),3))=10,2,IF(LEN(INDEX($BE$4:$BJ$99,MATCH(BV184,$BE$4:$BE$99,0),3))&gt;10,LEN(INDEX($BE$4:$BJ$99,MATCH(BV184,$BE$4:$BE$99,0),3))-8,1)),IF(INDEX(Calculation_Tab,MATCH(BV184,Identifier,0),10)&gt;1,INDEX(Calculation_Tab,MATCH(BV184,Identifier,0),10),1)))*(1+Calculation!$Q$6),"-")</f>
        <v>-</v>
      </c>
      <c r="CC184" s="508" t="str">
        <f ca="1">IFERROR(ROUND(INDEX(Cluster,MATCH(IF(LEFT(BV184,4)="Pool",INDEX(Cluster,MATCH(INDEX(Calculation_Tab,MATCH(INDEX($BE$4:$BJ$99,MATCH(BV184,$BE$4:$BE$99,0),3),Flow_Cell_Lane,0),3),Cluster!$F$29:$F$412,0),6),BV184),Identifier_Cluster,0),20)*IF(LEFT(BV184,4)="pool",IF(LEN(INDEX($BE$4:$BJ$99,MATCH(BV184,$BE$4:$BE$99,0),3))=10,2,IF(LEN(INDEX($BE$4:$BJ$99,MATCH(BV184,$BE$4:$BE$99,0),3))&gt;10,LEN(INDEX($BE$4:$BJ$99,MATCH(BV184,$BE$4:$BE$99,0),3))-8,1)),1)*IF(LEFT(BV184,4)="pool",IF(INDEX($BE$4:$BJ$99,MATCH(BV184,$BE$4:$BE$99,0),6)&lt;1,1,INDEX($BE$4:$BJ$99,MATCH(BV184,$BE$4:$BE$99,0),6)),INDEX(Calculation_Tab,MATCH(BV184,Identifier,0),10)),1)*(1+Calculation!$Q$6),"-")</f>
        <v>-</v>
      </c>
      <c r="CD184" s="509" t="str">
        <f ca="1">IFERROR(INDEX(Cluster!AC:AD,MATCH(IF(LEFT(BV184,4)="Pool",INDEX(Cluster!$D$29:$AA$412,MATCH(INDEX(Calculation_Tab,MATCH(INDEX($BE$4:$BJ$99,MATCH(BV184,$BE$4:$BE$99,0),3),Flow_Cell_Lane,0),3),Cluster!$F$29:$F$412,0),24),INDEX(Cluster!$D$29:$AA$412,MATCH(BV184,Cluster!$F$29:$F$412,0),24)),Cluster!AC:AC,0),2),"-")</f>
        <v>-</v>
      </c>
      <c r="CE184" s="378" t="str">
        <f ca="1">IFERROR(IF(BV184&lt;&gt;"-",Calculation!$AK$6,"-"),"-")</f>
        <v>-</v>
      </c>
      <c r="CF184" s="378" t="str">
        <f ca="1">IF(OR(LEFT(ListAndConversion!BW184,3)="Dil",LEFT(ListAndConversion!BW184,3)="Poo"),ListAndConversion!$BT$4,IF(LEFT(ListAndConversion!BW184,3)="Sou",INDEX(ListAndConversion!$AT$3:$AV$387,MATCH(ListAndConversion!BV184,ListAndConversion!$AV$3:$AV$387,0),1),"-"))</f>
        <v>-</v>
      </c>
      <c r="CG184" s="498" t="str">
        <f ca="1">IF(OR(LEFT(ListAndConversion!BW184,3)="Dil",LEFT(ListAndConversion!BW184,3)="Poo"),ListAndConversion!BU184,IF(LEFT(ListAndConversion!BW184,3)="Sou",INDEX(ListAndConversion!$AT$4:$AV$387,MATCH(ListAndConversion!BV184,ListAndConversion!$AV$4:$AV$387,0),2),"-"))</f>
        <v>-</v>
      </c>
      <c r="CH184" s="378"/>
      <c r="CI184" s="487" t="str">
        <f t="shared" ca="1" si="93"/>
        <v>-</v>
      </c>
      <c r="CJ184" s="378" t="str">
        <f t="shared" ref="CJ184:CQ193" ca="1" si="106">IFERROR(INDEX($R$3:$U$98,MATCH(INDEX($F$3:$M$387,MATCH($CI184,$E$3:$E$386,0),CJ$3),$S$3:$S$98,0),4),"-")</f>
        <v>-</v>
      </c>
      <c r="CK184" s="378" t="str">
        <f t="shared" ca="1" si="106"/>
        <v>-</v>
      </c>
      <c r="CL184" s="378" t="str">
        <f t="shared" ca="1" si="106"/>
        <v>-</v>
      </c>
      <c r="CM184" s="378" t="str">
        <f t="shared" ca="1" si="106"/>
        <v>-</v>
      </c>
      <c r="CN184" s="378" t="str">
        <f t="shared" ca="1" si="106"/>
        <v>-</v>
      </c>
      <c r="CO184" s="378" t="str">
        <f t="shared" ca="1" si="106"/>
        <v>-</v>
      </c>
      <c r="CP184" s="378" t="str">
        <f t="shared" ca="1" si="106"/>
        <v>-</v>
      </c>
      <c r="CQ184" s="378" t="str">
        <f t="shared" ca="1" si="106"/>
        <v>-</v>
      </c>
      <c r="CR184" s="510" t="str">
        <f ca="1">IFERROR(IF(LEFT(BW184,3)="Poo",INDEX($BE$4:$BJ$99,MATCH(CI184,$BG$4:$BG$99,0),6)*((15/50))*Calculation!$AK$6,INDEX(Calculation_Tab,MATCH(BV184,Identifier,0),10)/(IF(LEN(INDEX(Calculation_Tab,MATCH(BV184,Identifier,0),9))&gt;8,LEN(INDEX(Calculation_Tab,MATCH(BV184,Identifier,0),9))-8,1))*((15/50)*Calculation!$AK$6)),"-")</f>
        <v>-</v>
      </c>
      <c r="CS184" s="498" t="str">
        <f ca="1">IF(CI184="-","-",IF(COUNTIF($CI$3:CI184,CI184)&gt;1,0,IFERROR((35/50)*Calculation!$AK$6,"-")))</f>
        <v>-</v>
      </c>
    </row>
    <row r="185" spans="4:97" x14ac:dyDescent="0.5">
      <c r="D185" s="487" t="e">
        <f t="shared" si="79"/>
        <v>#DIV/0!</v>
      </c>
      <c r="E185" s="496" t="e">
        <f t="array" ref="E185">IF(IF((ROW(E185)-3)&lt;(ListAndConversion!$A$15),INDEX(Flow_Cell_Lane,MIN(IF(COUNTIF($E$2:E184,Flow_Cell_Lane)=0,ROW(Flow_Cell_Lane)-9))),"-")="","-",IF((ROW(E185)-3)&lt;(ListAndConversion!$A$15),INDEX(Flow_Cell_Lane,MIN(IF(COUNTIF($E$2:E184,Flow_Cell_Lane)=0,ROW(Flow_Cell_Lane)-9))),"-"))</f>
        <v>#DIV/0!</v>
      </c>
      <c r="F185" s="378" t="e">
        <f t="shared" si="80"/>
        <v>#DIV/0!</v>
      </c>
      <c r="G185" s="378" t="e">
        <f t="shared" si="105"/>
        <v>#DIV/0!</v>
      </c>
      <c r="H185" s="378" t="e">
        <f t="shared" si="105"/>
        <v>#DIV/0!</v>
      </c>
      <c r="I185" s="378" t="e">
        <f t="shared" si="105"/>
        <v>#DIV/0!</v>
      </c>
      <c r="J185" s="378" t="e">
        <f t="shared" si="105"/>
        <v>#DIV/0!</v>
      </c>
      <c r="K185" s="378" t="e">
        <f t="shared" si="105"/>
        <v>#DIV/0!</v>
      </c>
      <c r="L185" s="378" t="e">
        <f t="shared" si="105"/>
        <v>#DIV/0!</v>
      </c>
      <c r="M185" s="378" t="e">
        <f t="shared" si="105"/>
        <v>#DIV/0!</v>
      </c>
      <c r="N185" s="497" t="e">
        <f t="shared" si="81"/>
        <v>#DIV/0!</v>
      </c>
      <c r="O185" s="497" t="str">
        <f t="array" ref="O185">IFERROR(INDEX(Calculation!I:AN,MATCH(ListAndConversion!E185,Calculation!I:I,0),31),"-")</f>
        <v>-</v>
      </c>
      <c r="P185" s="498">
        <f>IF(COUNTIFS(Calculation!$I$10:$I$393,E185,Direct_Denaturation,"-")&lt;&gt;1,COUNTIFS(Calculation!$I$10:$I$393,E185,Direct_Denaturation,"-"),0)</f>
        <v>0</v>
      </c>
      <c r="V185" s="542" t="s">
        <v>82</v>
      </c>
      <c r="W185" s="542" t="s">
        <v>82</v>
      </c>
      <c r="X185" s="542" t="s">
        <v>82</v>
      </c>
      <c r="Y185" s="542" t="s">
        <v>82</v>
      </c>
      <c r="Z185" s="542" t="s">
        <v>82</v>
      </c>
      <c r="AA185" s="542" t="s">
        <v>82</v>
      </c>
      <c r="AB185" s="542" t="s">
        <v>82</v>
      </c>
      <c r="AC185" s="542" t="s">
        <v>82</v>
      </c>
      <c r="AD185" s="542" t="s">
        <v>82</v>
      </c>
      <c r="AE185" s="542" t="s">
        <v>82</v>
      </c>
      <c r="AF185" s="542" t="s">
        <v>82</v>
      </c>
      <c r="AG185" s="542" t="s">
        <v>82</v>
      </c>
      <c r="AH185" s="9"/>
      <c r="AI185" s="487">
        <v>182</v>
      </c>
      <c r="AJ185" s="497" t="s">
        <v>161</v>
      </c>
      <c r="AK185" s="378">
        <v>86</v>
      </c>
      <c r="AL185" s="378" t="str">
        <f t="shared" ca="1" si="82"/>
        <v>-</v>
      </c>
      <c r="AM185" s="378" t="str">
        <f t="array" aca="1" ref="AM185" ca="1">IFERROR(IF(AI185&lt;=$AB$2,"-",INDEX(Calculation_Tab,SMALL(ROW(Main_Dil)*(Main_Dil&lt;&gt;"-"),COUNTIF(Main_Dil,"-")+ROW()-3-$AB$2)-9,5)),"-")</f>
        <v>-</v>
      </c>
      <c r="AN185" s="378" t="str">
        <f t="array" aca="1" ref="AN185" ca="1">IFERROR(IF(AI185&lt;=$AB$2,"-",INDEX($A$3:$B$12,MATCH(INDEX(Calculation_Tab,SMALL(ROW(Main_Dil)*(Main_Dil&lt;&gt;"-"),COUNTIF(Main_Dil,"-")+ROW()-3-$AB$2)-9,5),$A$3:$A$12,0),2)),"-")</f>
        <v>-</v>
      </c>
      <c r="AO185" s="378" t="str">
        <f t="array" aca="1" ref="AO185" ca="1">IFERROR(IF(AI185&lt;=$AB$2,"-",INDEX(Coordinate,MATCH(INDEX(Calculation_Tab,SMALL(ROW(Main_Dil)*(Main_Dil&lt;&gt;"-"),COUNTIF(Main_Dil,"-")+ROW()-3-$AB$2)-9,6),$X$4:$X$99,0),2)),"-")</f>
        <v>-</v>
      </c>
      <c r="AP185" s="510" t="str">
        <f t="array" aca="1" ref="AP185" ca="1">IFERROR(IF(AI185&lt;=$AB$2,"-",INDEX(Calculation_Tab,SMALL(ROW(Main_Dil)*(Main_Dil&lt;&gt;"-"),COUNTIF(Main_Dil,"-")+ROW()-3-$AB$2)-9,21)),"-")</f>
        <v>-</v>
      </c>
      <c r="AQ185" s="511" t="str">
        <f t="array" aca="1" ref="AQ185" ca="1">IFERROR(IF(AI185&lt;=$AB$2,"-",INDEX(Calculation_Tab,SMALL(ROW(Main_Dil)*(Main_Dil&lt;&gt;"-"),COUNTIF(Main_Dil,"-")+ROW()-3-$AB$2)-9,22)),"-")</f>
        <v>-</v>
      </c>
      <c r="AR185" s="487" t="str">
        <f t="shared" ca="1" si="83"/>
        <v>-</v>
      </c>
      <c r="AS185" s="378">
        <v>182</v>
      </c>
      <c r="AT185" s="497" t="s">
        <v>161</v>
      </c>
      <c r="AU185" s="498">
        <v>86</v>
      </c>
      <c r="AV185" s="378" t="str">
        <f t="shared" ca="1" si="84"/>
        <v>-</v>
      </c>
      <c r="AW185" s="378" t="str">
        <f t="array" aca="1" ref="AW185" ca="1">IFERROR(IF(AS185&lt;=$AB$2+$AN$2,"-",INDEX(Calculation_Tab,SMALL(ROW(Direct_Denaturation)*(Direct_Denaturation&lt;&gt;"-"),COUNTIF(Direct_Denaturation,"-")+ROW()-3-$AB$2-$AN$2)-9,5)),"-")</f>
        <v>-</v>
      </c>
      <c r="AX185" s="378" t="str">
        <f t="array" aca="1" ref="AX185" ca="1">IFERROR(IF(AS185&lt;=$AB$2+$AN$2,"-",INDEX($A$3:$B$12,MATCH(INDEX(Calculation_Tab,SMALL(ROW(Direct_Denaturation)*(Direct_Denaturation&lt;&gt;"-"),COUNTIF(Direct_Denaturation,"-")+ROW()-3-$AB$2-$AN$2)-9,5),$A$3:$A$12,0),2)),"-")</f>
        <v>-</v>
      </c>
      <c r="AY185" s="378" t="str">
        <f t="array" aca="1" ref="AY185" ca="1">IFERROR(IF(AS185&lt;=$AB$2+$AN$2,"-",INDEX(Coordinate,MATCH(INDEX(Calculation_Tab,SMALL(ROW(Direct_Denaturation)*(Direct_Denaturation&lt;&gt;"-"),COUNTIF(Direct_Denaturation,"-")+ROW()-3-$AB$2-$AN$2)-9,6),$X$4:$X$99,0),2)),"-")</f>
        <v>-</v>
      </c>
      <c r="AZ185" s="510" t="str">
        <f t="array" aca="1" ref="AZ185" ca="1">IFERROR(IF(AS185&lt;=$AB$2+$AN$2,"-",INDEX(Calculation_Tab,SMALL(ROW(Direct_Denaturation)*(Direct_Denaturation&lt;&gt;"-"),COUNTIF(Direct_Denaturation,"-")+ROW()-3-$AB$2-$AN$2)-9,32)),"-")</f>
        <v>-</v>
      </c>
      <c r="BA185" s="510" t="str">
        <f t="array" aca="1" ref="BA185" ca="1">IFERROR(IF(AS185&lt;=$AB$2+$AN$2,"-",INDEX(Calculation_Tab,SMALL(ROW(Direct_Denaturation)*(Direct_Denaturation&lt;&gt;"-"),COUNTIF(Direct_Denaturation,"-")+ROW()-3-$AB$2-$AN$2)-9,34)),"-")</f>
        <v>-</v>
      </c>
      <c r="BB185" s="510" t="str">
        <f t="array" aca="1" ref="BB185" ca="1">IFERROR(IF(AS185&lt;=$AB$2+$AN$2,"-",INDEX(Calculation_Tab,SMALL(ROW(Direct_Denaturation)*(Direct_Denaturation&lt;&gt;"-"),COUNTIF(Direct_Denaturation,"-")+ROW()-3-$AB$2-$AN$2)-9,33)),"-")</f>
        <v>-</v>
      </c>
      <c r="BC185" s="510" t="str">
        <f t="array" aca="1" ref="BC185" ca="1">IFERROR(IF(AS185&lt;=$AB$2+$AN$2,"-",INDEX(Calculation_Tab,SMALL(ROW(Direct_Denaturation)*(Direct_Denaturation&lt;&gt;"-"),COUNTIF(Direct_Denaturation,"-")+ROW()-3-$AB$2-$AN$2)-9,35)),"-")</f>
        <v>-</v>
      </c>
      <c r="BD185" s="511" t="str">
        <f t="shared" ca="1" si="85"/>
        <v>-</v>
      </c>
      <c r="BK185" s="542" t="s">
        <v>82</v>
      </c>
      <c r="BL185" s="542" t="s">
        <v>82</v>
      </c>
      <c r="BM185" s="487" t="str">
        <f t="array" aca="1" ref="BM185" ca="1">IFERROR(INDEX(Calculation_Tab,SMALL(ROW(ToPool)*(ToPool&lt;&gt;"-"),COUNTIF(ToPool,"-")+ROW()-3)-9,3),"-")</f>
        <v>-</v>
      </c>
      <c r="BN185" s="378" t="str">
        <f t="shared" ca="1" si="86"/>
        <v>-</v>
      </c>
      <c r="BO185" s="378" t="str">
        <f t="shared" ca="1" si="87"/>
        <v>-</v>
      </c>
      <c r="BP185" s="523" t="str">
        <f t="shared" ca="1" si="88"/>
        <v>-</v>
      </c>
      <c r="BQ185" s="378" t="str">
        <f t="array" aca="1" ref="BQ185" ca="1">IFERROR(INDEX(BE:BG,MATCH(INDEX(Calculation_Tab,SMALL(ROW(ToPool)*(ToPool&lt;&gt;"-"),COUNTIF(ToPool,"-")+ROW()-3)-9,9),BG:BG,0),2),"-")</f>
        <v>-</v>
      </c>
      <c r="BR185" s="510" t="str">
        <f t="shared" ca="1" si="89"/>
        <v>-</v>
      </c>
      <c r="BS185" s="511" t="str">
        <f t="shared" ca="1" si="90"/>
        <v>-</v>
      </c>
      <c r="BT185" s="543" t="s">
        <v>82</v>
      </c>
      <c r="BU185" s="487" t="str">
        <f t="shared" ca="1" si="95"/>
        <v>-</v>
      </c>
      <c r="BV185" s="487" t="str">
        <f t="array" aca="1" ref="BV18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85" s="378" t="str">
        <f t="shared" ca="1" si="91"/>
        <v>-</v>
      </c>
      <c r="BX185" s="378" t="str">
        <f t="shared" ca="1" si="92"/>
        <v>-</v>
      </c>
      <c r="BY185" s="510" t="str">
        <f ca="1">IFERROR(ROUND(INDEX(Cluster,MATCH(IF(LEFT(BV185,4)="Pool",INDEX(Cluster,MATCH(INDEX(Calculation_Tab,MATCH(INDEX($BE$4:$BJ$99,MATCH(BV185,$BE$4:$BE$99,0),3),Flow_Cell_Lane,0),3),Cluster!$F$29:$F$412,0),6),BV185),Identifier_Cluster,0),19)*IF(LEFT(BV185,4)="pool",IF(LEN(INDEX($BE$4:$BJ$99,MATCH(BV185,$BE$4:$BE$99,0),3))=10,2,IF(LEN(INDEX($BE$4:$BJ$99,MATCH(BV185,$BE$4:$BE$99,0),3))&gt;10,LEN(INDEX($BE$4:$BJ$99,MATCH(BV185,$BE$4:$BE$99,0),3))-8,1)),1)*IF(LEFT(BV185,4)="pool",IF(INDEX($BE$4:$BJ$99,MATCH(BV185,$BE$4:$BE$99,0),6)&lt;1,1,INDEX($BE$4:$BJ$99,MATCH(BV185,$BE$4:$BE$99,0),6)),INDEX(Calculation_Tab,MATCH(BV185,Identifier,0),10)),1)*(1+Calculation!$Q$6),"-")</f>
        <v>-</v>
      </c>
      <c r="BZ185" s="378" t="str">
        <f ca="1">IFERROR((0.5/50)*CE185/Calculation!$AG$6*(IF(LEFT(BV185,4)="Pool",IF(LEN(INDEX($BE$4:$BJ$99,MATCH(BV185,$BE$4:$BE$99,0),3))=10,2,IF(LEN(INDEX($BE$4:$BJ$99,MATCH(BV185,$BE$4:$BE$99,0),3))&gt;10,LEN(INDEX($BE$4:$BJ$99,MATCH(BV185,$BE$4:$BE$99,0),3))-8,1)),IF(INDEX(Calculation_Tab,MATCH(BV185,Identifier,0),10)&gt;1,INDEX(Calculation_Tab,MATCH(BV185,Identifier,0),10),1)))*(1+Calculation!$Q$6),"-")</f>
        <v>-</v>
      </c>
      <c r="CA185" s="510" t="str">
        <f ca="1">IFERROR(IF((BZ185*Calculation!$AG$6/0.05)-SUM(BY185:BZ185,CC185)&gt;0,(BZ185*Calculation!$AG$6/0.05)-SUM(BY185:BZ185,CC185),0),"-")</f>
        <v>-</v>
      </c>
      <c r="CB185" s="510" t="str">
        <f ca="1">IFERROR(5/50*CE185*(IF(LEFT(BV185,4)="Pool",IF(LEN(INDEX($BE$4:$BJ$99,MATCH(BV185,$BE$4:$BE$99,0),3))=10,2,IF(LEN(INDEX($BE$4:$BJ$99,MATCH(BV185,$BE$4:$BE$99,0),3))&gt;10,LEN(INDEX($BE$4:$BJ$99,MATCH(BV185,$BE$4:$BE$99,0),3))-8,1)),IF(INDEX(Calculation_Tab,MATCH(BV185,Identifier,0),10)&gt;1,INDEX(Calculation_Tab,MATCH(BV185,Identifier,0),10),1)))*(1+Calculation!$Q$6),"-")</f>
        <v>-</v>
      </c>
      <c r="CC185" s="508" t="str">
        <f ca="1">IFERROR(ROUND(INDEX(Cluster,MATCH(IF(LEFT(BV185,4)="Pool",INDEX(Cluster,MATCH(INDEX(Calculation_Tab,MATCH(INDEX($BE$4:$BJ$99,MATCH(BV185,$BE$4:$BE$99,0),3),Flow_Cell_Lane,0),3),Cluster!$F$29:$F$412,0),6),BV185),Identifier_Cluster,0),20)*IF(LEFT(BV185,4)="pool",IF(LEN(INDEX($BE$4:$BJ$99,MATCH(BV185,$BE$4:$BE$99,0),3))=10,2,IF(LEN(INDEX($BE$4:$BJ$99,MATCH(BV185,$BE$4:$BE$99,0),3))&gt;10,LEN(INDEX($BE$4:$BJ$99,MATCH(BV185,$BE$4:$BE$99,0),3))-8,1)),1)*IF(LEFT(BV185,4)="pool",IF(INDEX($BE$4:$BJ$99,MATCH(BV185,$BE$4:$BE$99,0),6)&lt;1,1,INDEX($BE$4:$BJ$99,MATCH(BV185,$BE$4:$BE$99,0),6)),INDEX(Calculation_Tab,MATCH(BV185,Identifier,0),10)),1)*(1+Calculation!$Q$6),"-")</f>
        <v>-</v>
      </c>
      <c r="CD185" s="509" t="str">
        <f ca="1">IFERROR(INDEX(Cluster!AC:AD,MATCH(IF(LEFT(BV185,4)="Pool",INDEX(Cluster!$D$29:$AA$412,MATCH(INDEX(Calculation_Tab,MATCH(INDEX($BE$4:$BJ$99,MATCH(BV185,$BE$4:$BE$99,0),3),Flow_Cell_Lane,0),3),Cluster!$F$29:$F$412,0),24),INDEX(Cluster!$D$29:$AA$412,MATCH(BV185,Cluster!$F$29:$F$412,0),24)),Cluster!AC:AC,0),2),"-")</f>
        <v>-</v>
      </c>
      <c r="CE185" s="378" t="str">
        <f ca="1">IFERROR(IF(BV185&lt;&gt;"-",Calculation!$AK$6,"-"),"-")</f>
        <v>-</v>
      </c>
      <c r="CF185" s="378" t="str">
        <f ca="1">IF(OR(LEFT(ListAndConversion!BW185,3)="Dil",LEFT(ListAndConversion!BW185,3)="Poo"),ListAndConversion!$BT$4,IF(LEFT(ListAndConversion!BW185,3)="Sou",INDEX(ListAndConversion!$AT$3:$AV$387,MATCH(ListAndConversion!BV185,ListAndConversion!$AV$3:$AV$387,0),1),"-"))</f>
        <v>-</v>
      </c>
      <c r="CG185" s="498" t="str">
        <f ca="1">IF(OR(LEFT(ListAndConversion!BW185,3)="Dil",LEFT(ListAndConversion!BW185,3)="Poo"),ListAndConversion!BU185,IF(LEFT(ListAndConversion!BW185,3)="Sou",INDEX(ListAndConversion!$AT$4:$AV$387,MATCH(ListAndConversion!BV185,ListAndConversion!$AV$4:$AV$387,0),2),"-"))</f>
        <v>-</v>
      </c>
      <c r="CH185" s="378"/>
      <c r="CI185" s="487" t="str">
        <f t="shared" ca="1" si="93"/>
        <v>-</v>
      </c>
      <c r="CJ185" s="378" t="str">
        <f t="shared" ca="1" si="106"/>
        <v>-</v>
      </c>
      <c r="CK185" s="378" t="str">
        <f t="shared" ca="1" si="106"/>
        <v>-</v>
      </c>
      <c r="CL185" s="378" t="str">
        <f t="shared" ca="1" si="106"/>
        <v>-</v>
      </c>
      <c r="CM185" s="378" t="str">
        <f t="shared" ca="1" si="106"/>
        <v>-</v>
      </c>
      <c r="CN185" s="378" t="str">
        <f t="shared" ca="1" si="106"/>
        <v>-</v>
      </c>
      <c r="CO185" s="378" t="str">
        <f t="shared" ca="1" si="106"/>
        <v>-</v>
      </c>
      <c r="CP185" s="378" t="str">
        <f t="shared" ca="1" si="106"/>
        <v>-</v>
      </c>
      <c r="CQ185" s="378" t="str">
        <f t="shared" ca="1" si="106"/>
        <v>-</v>
      </c>
      <c r="CR185" s="510" t="str">
        <f ca="1">IFERROR(IF(LEFT(BW185,3)="Poo",INDEX($BE$4:$BJ$99,MATCH(CI185,$BG$4:$BG$99,0),6)*((15/50))*Calculation!$AK$6,INDEX(Calculation_Tab,MATCH(BV185,Identifier,0),10)/(IF(LEN(INDEX(Calculation_Tab,MATCH(BV185,Identifier,0),9))&gt;8,LEN(INDEX(Calculation_Tab,MATCH(BV185,Identifier,0),9))-8,1))*((15/50)*Calculation!$AK$6)),"-")</f>
        <v>-</v>
      </c>
      <c r="CS185" s="498" t="str">
        <f ca="1">IF(CI185="-","-",IF(COUNTIF($CI$3:CI185,CI185)&gt;1,0,IFERROR((35/50)*Calculation!$AK$6,"-")))</f>
        <v>-</v>
      </c>
    </row>
    <row r="186" spans="4:97" x14ac:dyDescent="0.5">
      <c r="D186" s="487" t="e">
        <f t="shared" si="79"/>
        <v>#DIV/0!</v>
      </c>
      <c r="E186" s="496" t="e">
        <f t="array" ref="E186">IF(IF((ROW(E186)-3)&lt;(ListAndConversion!$A$15),INDEX(Flow_Cell_Lane,MIN(IF(COUNTIF($E$2:E185,Flow_Cell_Lane)=0,ROW(Flow_Cell_Lane)-9))),"-")="","-",IF((ROW(E186)-3)&lt;(ListAndConversion!$A$15),INDEX(Flow_Cell_Lane,MIN(IF(COUNTIF($E$2:E185,Flow_Cell_Lane)=0,ROW(Flow_Cell_Lane)-9))),"-"))</f>
        <v>#DIV/0!</v>
      </c>
      <c r="F186" s="378" t="e">
        <f t="shared" si="80"/>
        <v>#DIV/0!</v>
      </c>
      <c r="G186" s="378" t="e">
        <f t="shared" si="105"/>
        <v>#DIV/0!</v>
      </c>
      <c r="H186" s="378" t="e">
        <f t="shared" si="105"/>
        <v>#DIV/0!</v>
      </c>
      <c r="I186" s="378" t="e">
        <f t="shared" si="105"/>
        <v>#DIV/0!</v>
      </c>
      <c r="J186" s="378" t="e">
        <f t="shared" si="105"/>
        <v>#DIV/0!</v>
      </c>
      <c r="K186" s="378" t="e">
        <f t="shared" si="105"/>
        <v>#DIV/0!</v>
      </c>
      <c r="L186" s="378" t="e">
        <f t="shared" si="105"/>
        <v>#DIV/0!</v>
      </c>
      <c r="M186" s="378" t="e">
        <f t="shared" si="105"/>
        <v>#DIV/0!</v>
      </c>
      <c r="N186" s="497" t="e">
        <f t="shared" si="81"/>
        <v>#DIV/0!</v>
      </c>
      <c r="O186" s="497" t="str">
        <f t="array" ref="O186">IFERROR(INDEX(Calculation!I:AN,MATCH(ListAndConversion!E186,Calculation!I:I,0),31),"-")</f>
        <v>-</v>
      </c>
      <c r="P186" s="498">
        <f>IF(COUNTIFS(Calculation!$I$10:$I$393,E186,Direct_Denaturation,"-")&lt;&gt;1,COUNTIFS(Calculation!$I$10:$I$393,E186,Direct_Denaturation,"-"),0)</f>
        <v>0</v>
      </c>
      <c r="V186" s="542" t="s">
        <v>82</v>
      </c>
      <c r="W186" s="542" t="s">
        <v>82</v>
      </c>
      <c r="X186" s="542" t="s">
        <v>82</v>
      </c>
      <c r="Y186" s="542" t="s">
        <v>82</v>
      </c>
      <c r="Z186" s="542" t="s">
        <v>82</v>
      </c>
      <c r="AA186" s="542" t="s">
        <v>82</v>
      </c>
      <c r="AB186" s="542" t="s">
        <v>82</v>
      </c>
      <c r="AC186" s="542" t="s">
        <v>82</v>
      </c>
      <c r="AD186" s="542" t="s">
        <v>82</v>
      </c>
      <c r="AE186" s="542" t="s">
        <v>82</v>
      </c>
      <c r="AF186" s="542" t="s">
        <v>82</v>
      </c>
      <c r="AG186" s="542" t="s">
        <v>82</v>
      </c>
      <c r="AH186" s="9"/>
      <c r="AI186" s="487">
        <v>183</v>
      </c>
      <c r="AJ186" s="497" t="s">
        <v>161</v>
      </c>
      <c r="AK186" s="378">
        <v>87</v>
      </c>
      <c r="AL186" s="378" t="str">
        <f t="shared" ca="1" si="82"/>
        <v>-</v>
      </c>
      <c r="AM186" s="378" t="str">
        <f t="array" aca="1" ref="AM186" ca="1">IFERROR(IF(AI186&lt;=$AB$2,"-",INDEX(Calculation_Tab,SMALL(ROW(Main_Dil)*(Main_Dil&lt;&gt;"-"),COUNTIF(Main_Dil,"-")+ROW()-3-$AB$2)-9,5)),"-")</f>
        <v>-</v>
      </c>
      <c r="AN186" s="378" t="str">
        <f t="array" aca="1" ref="AN186" ca="1">IFERROR(IF(AI186&lt;=$AB$2,"-",INDEX($A$3:$B$12,MATCH(INDEX(Calculation_Tab,SMALL(ROW(Main_Dil)*(Main_Dil&lt;&gt;"-"),COUNTIF(Main_Dil,"-")+ROW()-3-$AB$2)-9,5),$A$3:$A$12,0),2)),"-")</f>
        <v>-</v>
      </c>
      <c r="AO186" s="378" t="str">
        <f t="array" aca="1" ref="AO186" ca="1">IFERROR(IF(AI186&lt;=$AB$2,"-",INDEX(Coordinate,MATCH(INDEX(Calculation_Tab,SMALL(ROW(Main_Dil)*(Main_Dil&lt;&gt;"-"),COUNTIF(Main_Dil,"-")+ROW()-3-$AB$2)-9,6),$X$4:$X$99,0),2)),"-")</f>
        <v>-</v>
      </c>
      <c r="AP186" s="510" t="str">
        <f t="array" aca="1" ref="AP186" ca="1">IFERROR(IF(AI186&lt;=$AB$2,"-",INDEX(Calculation_Tab,SMALL(ROW(Main_Dil)*(Main_Dil&lt;&gt;"-"),COUNTIF(Main_Dil,"-")+ROW()-3-$AB$2)-9,21)),"-")</f>
        <v>-</v>
      </c>
      <c r="AQ186" s="511" t="str">
        <f t="array" aca="1" ref="AQ186" ca="1">IFERROR(IF(AI186&lt;=$AB$2,"-",INDEX(Calculation_Tab,SMALL(ROW(Main_Dil)*(Main_Dil&lt;&gt;"-"),COUNTIF(Main_Dil,"-")+ROW()-3-$AB$2)-9,22)),"-")</f>
        <v>-</v>
      </c>
      <c r="AR186" s="487" t="str">
        <f t="shared" ca="1" si="83"/>
        <v>-</v>
      </c>
      <c r="AS186" s="378">
        <v>183</v>
      </c>
      <c r="AT186" s="497" t="s">
        <v>161</v>
      </c>
      <c r="AU186" s="498">
        <v>87</v>
      </c>
      <c r="AV186" s="378" t="str">
        <f t="shared" ca="1" si="84"/>
        <v>-</v>
      </c>
      <c r="AW186" s="378" t="str">
        <f t="array" aca="1" ref="AW186" ca="1">IFERROR(IF(AS186&lt;=$AB$2+$AN$2,"-",INDEX(Calculation_Tab,SMALL(ROW(Direct_Denaturation)*(Direct_Denaturation&lt;&gt;"-"),COUNTIF(Direct_Denaturation,"-")+ROW()-3-$AB$2-$AN$2)-9,5)),"-")</f>
        <v>-</v>
      </c>
      <c r="AX186" s="378" t="str">
        <f t="array" aca="1" ref="AX186" ca="1">IFERROR(IF(AS186&lt;=$AB$2+$AN$2,"-",INDEX($A$3:$B$12,MATCH(INDEX(Calculation_Tab,SMALL(ROW(Direct_Denaturation)*(Direct_Denaturation&lt;&gt;"-"),COUNTIF(Direct_Denaturation,"-")+ROW()-3-$AB$2-$AN$2)-9,5),$A$3:$A$12,0),2)),"-")</f>
        <v>-</v>
      </c>
      <c r="AY186" s="378" t="str">
        <f t="array" aca="1" ref="AY186" ca="1">IFERROR(IF(AS186&lt;=$AB$2+$AN$2,"-",INDEX(Coordinate,MATCH(INDEX(Calculation_Tab,SMALL(ROW(Direct_Denaturation)*(Direct_Denaturation&lt;&gt;"-"),COUNTIF(Direct_Denaturation,"-")+ROW()-3-$AB$2-$AN$2)-9,6),$X$4:$X$99,0),2)),"-")</f>
        <v>-</v>
      </c>
      <c r="AZ186" s="510" t="str">
        <f t="array" aca="1" ref="AZ186" ca="1">IFERROR(IF(AS186&lt;=$AB$2+$AN$2,"-",INDEX(Calculation_Tab,SMALL(ROW(Direct_Denaturation)*(Direct_Denaturation&lt;&gt;"-"),COUNTIF(Direct_Denaturation,"-")+ROW()-3-$AB$2-$AN$2)-9,32)),"-")</f>
        <v>-</v>
      </c>
      <c r="BA186" s="510" t="str">
        <f t="array" aca="1" ref="BA186" ca="1">IFERROR(IF(AS186&lt;=$AB$2+$AN$2,"-",INDEX(Calculation_Tab,SMALL(ROW(Direct_Denaturation)*(Direct_Denaturation&lt;&gt;"-"),COUNTIF(Direct_Denaturation,"-")+ROW()-3-$AB$2-$AN$2)-9,34)),"-")</f>
        <v>-</v>
      </c>
      <c r="BB186" s="510" t="str">
        <f t="array" aca="1" ref="BB186" ca="1">IFERROR(IF(AS186&lt;=$AB$2+$AN$2,"-",INDEX(Calculation_Tab,SMALL(ROW(Direct_Denaturation)*(Direct_Denaturation&lt;&gt;"-"),COUNTIF(Direct_Denaturation,"-")+ROW()-3-$AB$2-$AN$2)-9,33)),"-")</f>
        <v>-</v>
      </c>
      <c r="BC186" s="510" t="str">
        <f t="array" aca="1" ref="BC186" ca="1">IFERROR(IF(AS186&lt;=$AB$2+$AN$2,"-",INDEX(Calculation_Tab,SMALL(ROW(Direct_Denaturation)*(Direct_Denaturation&lt;&gt;"-"),COUNTIF(Direct_Denaturation,"-")+ROW()-3-$AB$2-$AN$2)-9,35)),"-")</f>
        <v>-</v>
      </c>
      <c r="BD186" s="511" t="str">
        <f t="shared" ca="1" si="85"/>
        <v>-</v>
      </c>
      <c r="BK186" s="542" t="s">
        <v>82</v>
      </c>
      <c r="BL186" s="542" t="s">
        <v>82</v>
      </c>
      <c r="BM186" s="487" t="str">
        <f t="array" aca="1" ref="BM186" ca="1">IFERROR(INDEX(Calculation_Tab,SMALL(ROW(ToPool)*(ToPool&lt;&gt;"-"),COUNTIF(ToPool,"-")+ROW()-3)-9,3),"-")</f>
        <v>-</v>
      </c>
      <c r="BN186" s="378" t="str">
        <f t="shared" ca="1" si="86"/>
        <v>-</v>
      </c>
      <c r="BO186" s="378" t="str">
        <f t="shared" ca="1" si="87"/>
        <v>-</v>
      </c>
      <c r="BP186" s="523" t="str">
        <f t="shared" ca="1" si="88"/>
        <v>-</v>
      </c>
      <c r="BQ186" s="378" t="str">
        <f t="array" aca="1" ref="BQ186" ca="1">IFERROR(INDEX(BE:BG,MATCH(INDEX(Calculation_Tab,SMALL(ROW(ToPool)*(ToPool&lt;&gt;"-"),COUNTIF(ToPool,"-")+ROW()-3)-9,9),BG:BG,0),2),"-")</f>
        <v>-</v>
      </c>
      <c r="BR186" s="510" t="str">
        <f t="shared" ca="1" si="89"/>
        <v>-</v>
      </c>
      <c r="BS186" s="511" t="str">
        <f t="shared" ca="1" si="90"/>
        <v>-</v>
      </c>
      <c r="BT186" s="543" t="s">
        <v>82</v>
      </c>
      <c r="BU186" s="487" t="str">
        <f t="shared" ca="1" si="95"/>
        <v>-</v>
      </c>
      <c r="BV186" s="487" t="str">
        <f t="array" aca="1" ref="BV18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86" s="378" t="str">
        <f t="shared" ca="1" si="91"/>
        <v>-</v>
      </c>
      <c r="BX186" s="378" t="str">
        <f t="shared" ca="1" si="92"/>
        <v>-</v>
      </c>
      <c r="BY186" s="510" t="str">
        <f ca="1">IFERROR(ROUND(INDEX(Cluster,MATCH(IF(LEFT(BV186,4)="Pool",INDEX(Cluster,MATCH(INDEX(Calculation_Tab,MATCH(INDEX($BE$4:$BJ$99,MATCH(BV186,$BE$4:$BE$99,0),3),Flow_Cell_Lane,0),3),Cluster!$F$29:$F$412,0),6),BV186),Identifier_Cluster,0),19)*IF(LEFT(BV186,4)="pool",IF(LEN(INDEX($BE$4:$BJ$99,MATCH(BV186,$BE$4:$BE$99,0),3))=10,2,IF(LEN(INDEX($BE$4:$BJ$99,MATCH(BV186,$BE$4:$BE$99,0),3))&gt;10,LEN(INDEX($BE$4:$BJ$99,MATCH(BV186,$BE$4:$BE$99,0),3))-8,1)),1)*IF(LEFT(BV186,4)="pool",IF(INDEX($BE$4:$BJ$99,MATCH(BV186,$BE$4:$BE$99,0),6)&lt;1,1,INDEX($BE$4:$BJ$99,MATCH(BV186,$BE$4:$BE$99,0),6)),INDEX(Calculation_Tab,MATCH(BV186,Identifier,0),10)),1)*(1+Calculation!$Q$6),"-")</f>
        <v>-</v>
      </c>
      <c r="BZ186" s="378" t="str">
        <f ca="1">IFERROR((0.5/50)*CE186/Calculation!$AG$6*(IF(LEFT(BV186,4)="Pool",IF(LEN(INDEX($BE$4:$BJ$99,MATCH(BV186,$BE$4:$BE$99,0),3))=10,2,IF(LEN(INDEX($BE$4:$BJ$99,MATCH(BV186,$BE$4:$BE$99,0),3))&gt;10,LEN(INDEX($BE$4:$BJ$99,MATCH(BV186,$BE$4:$BE$99,0),3))-8,1)),IF(INDEX(Calculation_Tab,MATCH(BV186,Identifier,0),10)&gt;1,INDEX(Calculation_Tab,MATCH(BV186,Identifier,0),10),1)))*(1+Calculation!$Q$6),"-")</f>
        <v>-</v>
      </c>
      <c r="CA186" s="510" t="str">
        <f ca="1">IFERROR(IF((BZ186*Calculation!$AG$6/0.05)-SUM(BY186:BZ186,CC186)&gt;0,(BZ186*Calculation!$AG$6/0.05)-SUM(BY186:BZ186,CC186),0),"-")</f>
        <v>-</v>
      </c>
      <c r="CB186" s="510" t="str">
        <f ca="1">IFERROR(5/50*CE186*(IF(LEFT(BV186,4)="Pool",IF(LEN(INDEX($BE$4:$BJ$99,MATCH(BV186,$BE$4:$BE$99,0),3))=10,2,IF(LEN(INDEX($BE$4:$BJ$99,MATCH(BV186,$BE$4:$BE$99,0),3))&gt;10,LEN(INDEX($BE$4:$BJ$99,MATCH(BV186,$BE$4:$BE$99,0),3))-8,1)),IF(INDEX(Calculation_Tab,MATCH(BV186,Identifier,0),10)&gt;1,INDEX(Calculation_Tab,MATCH(BV186,Identifier,0),10),1)))*(1+Calculation!$Q$6),"-")</f>
        <v>-</v>
      </c>
      <c r="CC186" s="508" t="str">
        <f ca="1">IFERROR(ROUND(INDEX(Cluster,MATCH(IF(LEFT(BV186,4)="Pool",INDEX(Cluster,MATCH(INDEX(Calculation_Tab,MATCH(INDEX($BE$4:$BJ$99,MATCH(BV186,$BE$4:$BE$99,0),3),Flow_Cell_Lane,0),3),Cluster!$F$29:$F$412,0),6),BV186),Identifier_Cluster,0),20)*IF(LEFT(BV186,4)="pool",IF(LEN(INDEX($BE$4:$BJ$99,MATCH(BV186,$BE$4:$BE$99,0),3))=10,2,IF(LEN(INDEX($BE$4:$BJ$99,MATCH(BV186,$BE$4:$BE$99,0),3))&gt;10,LEN(INDEX($BE$4:$BJ$99,MATCH(BV186,$BE$4:$BE$99,0),3))-8,1)),1)*IF(LEFT(BV186,4)="pool",IF(INDEX($BE$4:$BJ$99,MATCH(BV186,$BE$4:$BE$99,0),6)&lt;1,1,INDEX($BE$4:$BJ$99,MATCH(BV186,$BE$4:$BE$99,0),6)),INDEX(Calculation_Tab,MATCH(BV186,Identifier,0),10)),1)*(1+Calculation!$Q$6),"-")</f>
        <v>-</v>
      </c>
      <c r="CD186" s="509" t="str">
        <f ca="1">IFERROR(INDEX(Cluster!AC:AD,MATCH(IF(LEFT(BV186,4)="Pool",INDEX(Cluster!$D$29:$AA$412,MATCH(INDEX(Calculation_Tab,MATCH(INDEX($BE$4:$BJ$99,MATCH(BV186,$BE$4:$BE$99,0),3),Flow_Cell_Lane,0),3),Cluster!$F$29:$F$412,0),24),INDEX(Cluster!$D$29:$AA$412,MATCH(BV186,Cluster!$F$29:$F$412,0),24)),Cluster!AC:AC,0),2),"-")</f>
        <v>-</v>
      </c>
      <c r="CE186" s="378" t="str">
        <f ca="1">IFERROR(IF(BV186&lt;&gt;"-",Calculation!$AK$6,"-"),"-")</f>
        <v>-</v>
      </c>
      <c r="CF186" s="378" t="str">
        <f ca="1">IF(OR(LEFT(ListAndConversion!BW186,3)="Dil",LEFT(ListAndConversion!BW186,3)="Poo"),ListAndConversion!$BT$4,IF(LEFT(ListAndConversion!BW186,3)="Sou",INDEX(ListAndConversion!$AT$3:$AV$387,MATCH(ListAndConversion!BV186,ListAndConversion!$AV$3:$AV$387,0),1),"-"))</f>
        <v>-</v>
      </c>
      <c r="CG186" s="498" t="str">
        <f ca="1">IF(OR(LEFT(ListAndConversion!BW186,3)="Dil",LEFT(ListAndConversion!BW186,3)="Poo"),ListAndConversion!BU186,IF(LEFT(ListAndConversion!BW186,3)="Sou",INDEX(ListAndConversion!$AT$4:$AV$387,MATCH(ListAndConversion!BV186,ListAndConversion!$AV$4:$AV$387,0),2),"-"))</f>
        <v>-</v>
      </c>
      <c r="CH186" s="378"/>
      <c r="CI186" s="487" t="str">
        <f t="shared" ca="1" si="93"/>
        <v>-</v>
      </c>
      <c r="CJ186" s="378" t="str">
        <f t="shared" ca="1" si="106"/>
        <v>-</v>
      </c>
      <c r="CK186" s="378" t="str">
        <f t="shared" ca="1" si="106"/>
        <v>-</v>
      </c>
      <c r="CL186" s="378" t="str">
        <f t="shared" ca="1" si="106"/>
        <v>-</v>
      </c>
      <c r="CM186" s="378" t="str">
        <f t="shared" ca="1" si="106"/>
        <v>-</v>
      </c>
      <c r="CN186" s="378" t="str">
        <f t="shared" ca="1" si="106"/>
        <v>-</v>
      </c>
      <c r="CO186" s="378" t="str">
        <f t="shared" ca="1" si="106"/>
        <v>-</v>
      </c>
      <c r="CP186" s="378" t="str">
        <f t="shared" ca="1" si="106"/>
        <v>-</v>
      </c>
      <c r="CQ186" s="378" t="str">
        <f t="shared" ca="1" si="106"/>
        <v>-</v>
      </c>
      <c r="CR186" s="510" t="str">
        <f ca="1">IFERROR(IF(LEFT(BW186,3)="Poo",INDEX($BE$4:$BJ$99,MATCH(CI186,$BG$4:$BG$99,0),6)*((15/50))*Calculation!$AK$6,INDEX(Calculation_Tab,MATCH(BV186,Identifier,0),10)/(IF(LEN(INDEX(Calculation_Tab,MATCH(BV186,Identifier,0),9))&gt;8,LEN(INDEX(Calculation_Tab,MATCH(BV186,Identifier,0),9))-8,1))*((15/50)*Calculation!$AK$6)),"-")</f>
        <v>-</v>
      </c>
      <c r="CS186" s="498" t="str">
        <f ca="1">IF(CI186="-","-",IF(COUNTIF($CI$3:CI186,CI186)&gt;1,0,IFERROR((35/50)*Calculation!$AK$6,"-")))</f>
        <v>-</v>
      </c>
    </row>
    <row r="187" spans="4:97" x14ac:dyDescent="0.5">
      <c r="D187" s="487" t="e">
        <f t="shared" si="79"/>
        <v>#DIV/0!</v>
      </c>
      <c r="E187" s="496" t="e">
        <f t="array" ref="E187">IF(IF((ROW(E187)-3)&lt;(ListAndConversion!$A$15),INDEX(Flow_Cell_Lane,MIN(IF(COUNTIF($E$2:E186,Flow_Cell_Lane)=0,ROW(Flow_Cell_Lane)-9))),"-")="","-",IF((ROW(E187)-3)&lt;(ListAndConversion!$A$15),INDEX(Flow_Cell_Lane,MIN(IF(COUNTIF($E$2:E186,Flow_Cell_Lane)=0,ROW(Flow_Cell_Lane)-9))),"-"))</f>
        <v>#DIV/0!</v>
      </c>
      <c r="F187" s="378" t="e">
        <f t="shared" si="80"/>
        <v>#DIV/0!</v>
      </c>
      <c r="G187" s="378" t="e">
        <f t="shared" si="105"/>
        <v>#DIV/0!</v>
      </c>
      <c r="H187" s="378" t="e">
        <f t="shared" si="105"/>
        <v>#DIV/0!</v>
      </c>
      <c r="I187" s="378" t="e">
        <f t="shared" si="105"/>
        <v>#DIV/0!</v>
      </c>
      <c r="J187" s="378" t="e">
        <f t="shared" si="105"/>
        <v>#DIV/0!</v>
      </c>
      <c r="K187" s="378" t="e">
        <f t="shared" si="105"/>
        <v>#DIV/0!</v>
      </c>
      <c r="L187" s="378" t="e">
        <f t="shared" si="105"/>
        <v>#DIV/0!</v>
      </c>
      <c r="M187" s="378" t="e">
        <f t="shared" si="105"/>
        <v>#DIV/0!</v>
      </c>
      <c r="N187" s="497" t="e">
        <f t="shared" si="81"/>
        <v>#DIV/0!</v>
      </c>
      <c r="O187" s="497" t="str">
        <f t="array" ref="O187">IFERROR(INDEX(Calculation!I:AN,MATCH(ListAndConversion!E187,Calculation!I:I,0),31),"-")</f>
        <v>-</v>
      </c>
      <c r="P187" s="498">
        <f>IF(COUNTIFS(Calculation!$I$10:$I$393,E187,Direct_Denaturation,"-")&lt;&gt;1,COUNTIFS(Calculation!$I$10:$I$393,E187,Direct_Denaturation,"-"),0)</f>
        <v>0</v>
      </c>
      <c r="V187" s="542" t="s">
        <v>82</v>
      </c>
      <c r="W187" s="542" t="s">
        <v>82</v>
      </c>
      <c r="X187" s="542" t="s">
        <v>82</v>
      </c>
      <c r="Y187" s="542" t="s">
        <v>82</v>
      </c>
      <c r="Z187" s="542" t="s">
        <v>82</v>
      </c>
      <c r="AA187" s="542" t="s">
        <v>82</v>
      </c>
      <c r="AB187" s="542" t="s">
        <v>82</v>
      </c>
      <c r="AC187" s="542" t="s">
        <v>82</v>
      </c>
      <c r="AD187" s="542" t="s">
        <v>82</v>
      </c>
      <c r="AE187" s="542" t="s">
        <v>82</v>
      </c>
      <c r="AF187" s="542" t="s">
        <v>82</v>
      </c>
      <c r="AG187" s="542" t="s">
        <v>82</v>
      </c>
      <c r="AH187" s="9"/>
      <c r="AI187" s="487">
        <v>184</v>
      </c>
      <c r="AJ187" s="497" t="s">
        <v>161</v>
      </c>
      <c r="AK187" s="378">
        <v>88</v>
      </c>
      <c r="AL187" s="378" t="str">
        <f t="shared" ca="1" si="82"/>
        <v>-</v>
      </c>
      <c r="AM187" s="378" t="str">
        <f t="array" aca="1" ref="AM187" ca="1">IFERROR(IF(AI187&lt;=$AB$2,"-",INDEX(Calculation_Tab,SMALL(ROW(Main_Dil)*(Main_Dil&lt;&gt;"-"),COUNTIF(Main_Dil,"-")+ROW()-3-$AB$2)-9,5)),"-")</f>
        <v>-</v>
      </c>
      <c r="AN187" s="378" t="str">
        <f t="array" aca="1" ref="AN187" ca="1">IFERROR(IF(AI187&lt;=$AB$2,"-",INDEX($A$3:$B$12,MATCH(INDEX(Calculation_Tab,SMALL(ROW(Main_Dil)*(Main_Dil&lt;&gt;"-"),COUNTIF(Main_Dil,"-")+ROW()-3-$AB$2)-9,5),$A$3:$A$12,0),2)),"-")</f>
        <v>-</v>
      </c>
      <c r="AO187" s="378" t="str">
        <f t="array" aca="1" ref="AO187" ca="1">IFERROR(IF(AI187&lt;=$AB$2,"-",INDEX(Coordinate,MATCH(INDEX(Calculation_Tab,SMALL(ROW(Main_Dil)*(Main_Dil&lt;&gt;"-"),COUNTIF(Main_Dil,"-")+ROW()-3-$AB$2)-9,6),$X$4:$X$99,0),2)),"-")</f>
        <v>-</v>
      </c>
      <c r="AP187" s="510" t="str">
        <f t="array" aca="1" ref="AP187" ca="1">IFERROR(IF(AI187&lt;=$AB$2,"-",INDEX(Calculation_Tab,SMALL(ROW(Main_Dil)*(Main_Dil&lt;&gt;"-"),COUNTIF(Main_Dil,"-")+ROW()-3-$AB$2)-9,21)),"-")</f>
        <v>-</v>
      </c>
      <c r="AQ187" s="511" t="str">
        <f t="array" aca="1" ref="AQ187" ca="1">IFERROR(IF(AI187&lt;=$AB$2,"-",INDEX(Calculation_Tab,SMALL(ROW(Main_Dil)*(Main_Dil&lt;&gt;"-"),COUNTIF(Main_Dil,"-")+ROW()-3-$AB$2)-9,22)),"-")</f>
        <v>-</v>
      </c>
      <c r="AR187" s="487" t="str">
        <f t="shared" ca="1" si="83"/>
        <v>-</v>
      </c>
      <c r="AS187" s="378">
        <v>184</v>
      </c>
      <c r="AT187" s="497" t="s">
        <v>161</v>
      </c>
      <c r="AU187" s="498">
        <v>88</v>
      </c>
      <c r="AV187" s="378" t="str">
        <f t="shared" ca="1" si="84"/>
        <v>-</v>
      </c>
      <c r="AW187" s="378" t="str">
        <f t="array" aca="1" ref="AW187" ca="1">IFERROR(IF(AS187&lt;=$AB$2+$AN$2,"-",INDEX(Calculation_Tab,SMALL(ROW(Direct_Denaturation)*(Direct_Denaturation&lt;&gt;"-"),COUNTIF(Direct_Denaturation,"-")+ROW()-3-$AB$2-$AN$2)-9,5)),"-")</f>
        <v>-</v>
      </c>
      <c r="AX187" s="378" t="str">
        <f t="array" aca="1" ref="AX187" ca="1">IFERROR(IF(AS187&lt;=$AB$2+$AN$2,"-",INDEX($A$3:$B$12,MATCH(INDEX(Calculation_Tab,SMALL(ROW(Direct_Denaturation)*(Direct_Denaturation&lt;&gt;"-"),COUNTIF(Direct_Denaturation,"-")+ROW()-3-$AB$2-$AN$2)-9,5),$A$3:$A$12,0),2)),"-")</f>
        <v>-</v>
      </c>
      <c r="AY187" s="378" t="str">
        <f t="array" aca="1" ref="AY187" ca="1">IFERROR(IF(AS187&lt;=$AB$2+$AN$2,"-",INDEX(Coordinate,MATCH(INDEX(Calculation_Tab,SMALL(ROW(Direct_Denaturation)*(Direct_Denaturation&lt;&gt;"-"),COUNTIF(Direct_Denaturation,"-")+ROW()-3-$AB$2-$AN$2)-9,6),$X$4:$X$99,0),2)),"-")</f>
        <v>-</v>
      </c>
      <c r="AZ187" s="510" t="str">
        <f t="array" aca="1" ref="AZ187" ca="1">IFERROR(IF(AS187&lt;=$AB$2+$AN$2,"-",INDEX(Calculation_Tab,SMALL(ROW(Direct_Denaturation)*(Direct_Denaturation&lt;&gt;"-"),COUNTIF(Direct_Denaturation,"-")+ROW()-3-$AB$2-$AN$2)-9,32)),"-")</f>
        <v>-</v>
      </c>
      <c r="BA187" s="510" t="str">
        <f t="array" aca="1" ref="BA187" ca="1">IFERROR(IF(AS187&lt;=$AB$2+$AN$2,"-",INDEX(Calculation_Tab,SMALL(ROW(Direct_Denaturation)*(Direct_Denaturation&lt;&gt;"-"),COUNTIF(Direct_Denaturation,"-")+ROW()-3-$AB$2-$AN$2)-9,34)),"-")</f>
        <v>-</v>
      </c>
      <c r="BB187" s="510" t="str">
        <f t="array" aca="1" ref="BB187" ca="1">IFERROR(IF(AS187&lt;=$AB$2+$AN$2,"-",INDEX(Calculation_Tab,SMALL(ROW(Direct_Denaturation)*(Direct_Denaturation&lt;&gt;"-"),COUNTIF(Direct_Denaturation,"-")+ROW()-3-$AB$2-$AN$2)-9,33)),"-")</f>
        <v>-</v>
      </c>
      <c r="BC187" s="510" t="str">
        <f t="array" aca="1" ref="BC187" ca="1">IFERROR(IF(AS187&lt;=$AB$2+$AN$2,"-",INDEX(Calculation_Tab,SMALL(ROW(Direct_Denaturation)*(Direct_Denaturation&lt;&gt;"-"),COUNTIF(Direct_Denaturation,"-")+ROW()-3-$AB$2-$AN$2)-9,35)),"-")</f>
        <v>-</v>
      </c>
      <c r="BD187" s="511" t="str">
        <f t="shared" ca="1" si="85"/>
        <v>-</v>
      </c>
      <c r="BK187" s="542" t="s">
        <v>82</v>
      </c>
      <c r="BL187" s="542" t="s">
        <v>82</v>
      </c>
      <c r="BM187" s="487" t="str">
        <f t="array" aca="1" ref="BM187" ca="1">IFERROR(INDEX(Calculation_Tab,SMALL(ROW(ToPool)*(ToPool&lt;&gt;"-"),COUNTIF(ToPool,"-")+ROW()-3)-9,3),"-")</f>
        <v>-</v>
      </c>
      <c r="BN187" s="378" t="str">
        <f t="shared" ca="1" si="86"/>
        <v>-</v>
      </c>
      <c r="BO187" s="378" t="str">
        <f t="shared" ca="1" si="87"/>
        <v>-</v>
      </c>
      <c r="BP187" s="523" t="str">
        <f t="shared" ca="1" si="88"/>
        <v>-</v>
      </c>
      <c r="BQ187" s="378" t="str">
        <f t="array" aca="1" ref="BQ187" ca="1">IFERROR(INDEX(BE:BG,MATCH(INDEX(Calculation_Tab,SMALL(ROW(ToPool)*(ToPool&lt;&gt;"-"),COUNTIF(ToPool,"-")+ROW()-3)-9,9),BG:BG,0),2),"-")</f>
        <v>-</v>
      </c>
      <c r="BR187" s="510" t="str">
        <f t="shared" ca="1" si="89"/>
        <v>-</v>
      </c>
      <c r="BS187" s="511" t="str">
        <f t="shared" ca="1" si="90"/>
        <v>-</v>
      </c>
      <c r="BT187" s="543" t="s">
        <v>82</v>
      </c>
      <c r="BU187" s="487" t="str">
        <f t="shared" ca="1" si="95"/>
        <v>-</v>
      </c>
      <c r="BV187" s="487" t="str">
        <f t="array" aca="1" ref="BV18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87" s="378" t="str">
        <f t="shared" ca="1" si="91"/>
        <v>-</v>
      </c>
      <c r="BX187" s="378" t="str">
        <f t="shared" ca="1" si="92"/>
        <v>-</v>
      </c>
      <c r="BY187" s="510" t="str">
        <f ca="1">IFERROR(ROUND(INDEX(Cluster,MATCH(IF(LEFT(BV187,4)="Pool",INDEX(Cluster,MATCH(INDEX(Calculation_Tab,MATCH(INDEX($BE$4:$BJ$99,MATCH(BV187,$BE$4:$BE$99,0),3),Flow_Cell_Lane,0),3),Cluster!$F$29:$F$412,0),6),BV187),Identifier_Cluster,0),19)*IF(LEFT(BV187,4)="pool",IF(LEN(INDEX($BE$4:$BJ$99,MATCH(BV187,$BE$4:$BE$99,0),3))=10,2,IF(LEN(INDEX($BE$4:$BJ$99,MATCH(BV187,$BE$4:$BE$99,0),3))&gt;10,LEN(INDEX($BE$4:$BJ$99,MATCH(BV187,$BE$4:$BE$99,0),3))-8,1)),1)*IF(LEFT(BV187,4)="pool",IF(INDEX($BE$4:$BJ$99,MATCH(BV187,$BE$4:$BE$99,0),6)&lt;1,1,INDEX($BE$4:$BJ$99,MATCH(BV187,$BE$4:$BE$99,0),6)),INDEX(Calculation_Tab,MATCH(BV187,Identifier,0),10)),1)*(1+Calculation!$Q$6),"-")</f>
        <v>-</v>
      </c>
      <c r="BZ187" s="378" t="str">
        <f ca="1">IFERROR((0.5/50)*CE187/Calculation!$AG$6*(IF(LEFT(BV187,4)="Pool",IF(LEN(INDEX($BE$4:$BJ$99,MATCH(BV187,$BE$4:$BE$99,0),3))=10,2,IF(LEN(INDEX($BE$4:$BJ$99,MATCH(BV187,$BE$4:$BE$99,0),3))&gt;10,LEN(INDEX($BE$4:$BJ$99,MATCH(BV187,$BE$4:$BE$99,0),3))-8,1)),IF(INDEX(Calculation_Tab,MATCH(BV187,Identifier,0),10)&gt;1,INDEX(Calculation_Tab,MATCH(BV187,Identifier,0),10),1)))*(1+Calculation!$Q$6),"-")</f>
        <v>-</v>
      </c>
      <c r="CA187" s="510" t="str">
        <f ca="1">IFERROR(IF((BZ187*Calculation!$AG$6/0.05)-SUM(BY187:BZ187,CC187)&gt;0,(BZ187*Calculation!$AG$6/0.05)-SUM(BY187:BZ187,CC187),0),"-")</f>
        <v>-</v>
      </c>
      <c r="CB187" s="510" t="str">
        <f ca="1">IFERROR(5/50*CE187*(IF(LEFT(BV187,4)="Pool",IF(LEN(INDEX($BE$4:$BJ$99,MATCH(BV187,$BE$4:$BE$99,0),3))=10,2,IF(LEN(INDEX($BE$4:$BJ$99,MATCH(BV187,$BE$4:$BE$99,0),3))&gt;10,LEN(INDEX($BE$4:$BJ$99,MATCH(BV187,$BE$4:$BE$99,0),3))-8,1)),IF(INDEX(Calculation_Tab,MATCH(BV187,Identifier,0),10)&gt;1,INDEX(Calculation_Tab,MATCH(BV187,Identifier,0),10),1)))*(1+Calculation!$Q$6),"-")</f>
        <v>-</v>
      </c>
      <c r="CC187" s="508" t="str">
        <f ca="1">IFERROR(ROUND(INDEX(Cluster,MATCH(IF(LEFT(BV187,4)="Pool",INDEX(Cluster,MATCH(INDEX(Calculation_Tab,MATCH(INDEX($BE$4:$BJ$99,MATCH(BV187,$BE$4:$BE$99,0),3),Flow_Cell_Lane,0),3),Cluster!$F$29:$F$412,0),6),BV187),Identifier_Cluster,0),20)*IF(LEFT(BV187,4)="pool",IF(LEN(INDEX($BE$4:$BJ$99,MATCH(BV187,$BE$4:$BE$99,0),3))=10,2,IF(LEN(INDEX($BE$4:$BJ$99,MATCH(BV187,$BE$4:$BE$99,0),3))&gt;10,LEN(INDEX($BE$4:$BJ$99,MATCH(BV187,$BE$4:$BE$99,0),3))-8,1)),1)*IF(LEFT(BV187,4)="pool",IF(INDEX($BE$4:$BJ$99,MATCH(BV187,$BE$4:$BE$99,0),6)&lt;1,1,INDEX($BE$4:$BJ$99,MATCH(BV187,$BE$4:$BE$99,0),6)),INDEX(Calculation_Tab,MATCH(BV187,Identifier,0),10)),1)*(1+Calculation!$Q$6),"-")</f>
        <v>-</v>
      </c>
      <c r="CD187" s="509" t="str">
        <f ca="1">IFERROR(INDEX(Cluster!AC:AD,MATCH(IF(LEFT(BV187,4)="Pool",INDEX(Cluster!$D$29:$AA$412,MATCH(INDEX(Calculation_Tab,MATCH(INDEX($BE$4:$BJ$99,MATCH(BV187,$BE$4:$BE$99,0),3),Flow_Cell_Lane,0),3),Cluster!$F$29:$F$412,0),24),INDEX(Cluster!$D$29:$AA$412,MATCH(BV187,Cluster!$F$29:$F$412,0),24)),Cluster!AC:AC,0),2),"-")</f>
        <v>-</v>
      </c>
      <c r="CE187" s="378" t="str">
        <f ca="1">IFERROR(IF(BV187&lt;&gt;"-",Calculation!$AK$6,"-"),"-")</f>
        <v>-</v>
      </c>
      <c r="CF187" s="378" t="str">
        <f ca="1">IF(OR(LEFT(ListAndConversion!BW187,3)="Dil",LEFT(ListAndConversion!BW187,3)="Poo"),ListAndConversion!$BT$4,IF(LEFT(ListAndConversion!BW187,3)="Sou",INDEX(ListAndConversion!$AT$3:$AV$387,MATCH(ListAndConversion!BV187,ListAndConversion!$AV$3:$AV$387,0),1),"-"))</f>
        <v>-</v>
      </c>
      <c r="CG187" s="498" t="str">
        <f ca="1">IF(OR(LEFT(ListAndConversion!BW187,3)="Dil",LEFT(ListAndConversion!BW187,3)="Poo"),ListAndConversion!BU187,IF(LEFT(ListAndConversion!BW187,3)="Sou",INDEX(ListAndConversion!$AT$4:$AV$387,MATCH(ListAndConversion!BV187,ListAndConversion!$AV$4:$AV$387,0),2),"-"))</f>
        <v>-</v>
      </c>
      <c r="CH187" s="378"/>
      <c r="CI187" s="487" t="str">
        <f t="shared" ca="1" si="93"/>
        <v>-</v>
      </c>
      <c r="CJ187" s="378" t="str">
        <f t="shared" ca="1" si="106"/>
        <v>-</v>
      </c>
      <c r="CK187" s="378" t="str">
        <f t="shared" ca="1" si="106"/>
        <v>-</v>
      </c>
      <c r="CL187" s="378" t="str">
        <f t="shared" ca="1" si="106"/>
        <v>-</v>
      </c>
      <c r="CM187" s="378" t="str">
        <f t="shared" ca="1" si="106"/>
        <v>-</v>
      </c>
      <c r="CN187" s="378" t="str">
        <f t="shared" ca="1" si="106"/>
        <v>-</v>
      </c>
      <c r="CO187" s="378" t="str">
        <f t="shared" ca="1" si="106"/>
        <v>-</v>
      </c>
      <c r="CP187" s="378" t="str">
        <f t="shared" ca="1" si="106"/>
        <v>-</v>
      </c>
      <c r="CQ187" s="378" t="str">
        <f t="shared" ca="1" si="106"/>
        <v>-</v>
      </c>
      <c r="CR187" s="510" t="str">
        <f ca="1">IFERROR(IF(LEFT(BW187,3)="Poo",INDEX($BE$4:$BJ$99,MATCH(CI187,$BG$4:$BG$99,0),6)*((15/50))*Calculation!$AK$6,INDEX(Calculation_Tab,MATCH(BV187,Identifier,0),10)/(IF(LEN(INDEX(Calculation_Tab,MATCH(BV187,Identifier,0),9))&gt;8,LEN(INDEX(Calculation_Tab,MATCH(BV187,Identifier,0),9))-8,1))*((15/50)*Calculation!$AK$6)),"-")</f>
        <v>-</v>
      </c>
      <c r="CS187" s="498" t="str">
        <f ca="1">IF(CI187="-","-",IF(COUNTIF($CI$3:CI187,CI187)&gt;1,0,IFERROR((35/50)*Calculation!$AK$6,"-")))</f>
        <v>-</v>
      </c>
    </row>
    <row r="188" spans="4:97" x14ac:dyDescent="0.5">
      <c r="D188" s="487" t="e">
        <f t="shared" si="79"/>
        <v>#DIV/0!</v>
      </c>
      <c r="E188" s="496" t="e">
        <f t="array" ref="E188">IF(IF((ROW(E188)-3)&lt;(ListAndConversion!$A$15),INDEX(Flow_Cell_Lane,MIN(IF(COUNTIF($E$2:E187,Flow_Cell_Lane)=0,ROW(Flow_Cell_Lane)-9))),"-")="","-",IF((ROW(E188)-3)&lt;(ListAndConversion!$A$15),INDEX(Flow_Cell_Lane,MIN(IF(COUNTIF($E$2:E187,Flow_Cell_Lane)=0,ROW(Flow_Cell_Lane)-9))),"-"))</f>
        <v>#DIV/0!</v>
      </c>
      <c r="F188" s="378" t="e">
        <f t="shared" si="80"/>
        <v>#DIV/0!</v>
      </c>
      <c r="G188" s="378" t="e">
        <f t="shared" si="105"/>
        <v>#DIV/0!</v>
      </c>
      <c r="H188" s="378" t="e">
        <f t="shared" si="105"/>
        <v>#DIV/0!</v>
      </c>
      <c r="I188" s="378" t="e">
        <f t="shared" si="105"/>
        <v>#DIV/0!</v>
      </c>
      <c r="J188" s="378" t="e">
        <f t="shared" si="105"/>
        <v>#DIV/0!</v>
      </c>
      <c r="K188" s="378" t="e">
        <f t="shared" si="105"/>
        <v>#DIV/0!</v>
      </c>
      <c r="L188" s="378" t="e">
        <f t="shared" si="105"/>
        <v>#DIV/0!</v>
      </c>
      <c r="M188" s="378" t="e">
        <f t="shared" si="105"/>
        <v>#DIV/0!</v>
      </c>
      <c r="N188" s="497" t="e">
        <f t="shared" si="81"/>
        <v>#DIV/0!</v>
      </c>
      <c r="O188" s="497" t="str">
        <f t="array" ref="O188">IFERROR(INDEX(Calculation!I:AN,MATCH(ListAndConversion!E188,Calculation!I:I,0),31),"-")</f>
        <v>-</v>
      </c>
      <c r="P188" s="498">
        <f>IF(COUNTIFS(Calculation!$I$10:$I$393,E188,Direct_Denaturation,"-")&lt;&gt;1,COUNTIFS(Calculation!$I$10:$I$393,E188,Direct_Denaturation,"-"),0)</f>
        <v>0</v>
      </c>
      <c r="V188" s="542" t="s">
        <v>82</v>
      </c>
      <c r="W188" s="542" t="s">
        <v>82</v>
      </c>
      <c r="X188" s="542" t="s">
        <v>82</v>
      </c>
      <c r="Y188" s="542" t="s">
        <v>82</v>
      </c>
      <c r="Z188" s="542" t="s">
        <v>82</v>
      </c>
      <c r="AA188" s="542" t="s">
        <v>82</v>
      </c>
      <c r="AB188" s="542" t="s">
        <v>82</v>
      </c>
      <c r="AC188" s="542" t="s">
        <v>82</v>
      </c>
      <c r="AD188" s="542" t="s">
        <v>82</v>
      </c>
      <c r="AE188" s="542" t="s">
        <v>82</v>
      </c>
      <c r="AF188" s="542" t="s">
        <v>82</v>
      </c>
      <c r="AG188" s="542" t="s">
        <v>82</v>
      </c>
      <c r="AH188" s="9"/>
      <c r="AI188" s="487">
        <v>185</v>
      </c>
      <c r="AJ188" s="497" t="s">
        <v>161</v>
      </c>
      <c r="AK188" s="378">
        <v>89</v>
      </c>
      <c r="AL188" s="378" t="str">
        <f t="shared" ca="1" si="82"/>
        <v>-</v>
      </c>
      <c r="AM188" s="378" t="str">
        <f t="array" aca="1" ref="AM188" ca="1">IFERROR(IF(AI188&lt;=$AB$2,"-",INDEX(Calculation_Tab,SMALL(ROW(Main_Dil)*(Main_Dil&lt;&gt;"-"),COUNTIF(Main_Dil,"-")+ROW()-3-$AB$2)-9,5)),"-")</f>
        <v>-</v>
      </c>
      <c r="AN188" s="378" t="str">
        <f t="array" aca="1" ref="AN188" ca="1">IFERROR(IF(AI188&lt;=$AB$2,"-",INDEX($A$3:$B$12,MATCH(INDEX(Calculation_Tab,SMALL(ROW(Main_Dil)*(Main_Dil&lt;&gt;"-"),COUNTIF(Main_Dil,"-")+ROW()-3-$AB$2)-9,5),$A$3:$A$12,0),2)),"-")</f>
        <v>-</v>
      </c>
      <c r="AO188" s="378" t="str">
        <f t="array" aca="1" ref="AO188" ca="1">IFERROR(IF(AI188&lt;=$AB$2,"-",INDEX(Coordinate,MATCH(INDEX(Calculation_Tab,SMALL(ROW(Main_Dil)*(Main_Dil&lt;&gt;"-"),COUNTIF(Main_Dil,"-")+ROW()-3-$AB$2)-9,6),$X$4:$X$99,0),2)),"-")</f>
        <v>-</v>
      </c>
      <c r="AP188" s="510" t="str">
        <f t="array" aca="1" ref="AP188" ca="1">IFERROR(IF(AI188&lt;=$AB$2,"-",INDEX(Calculation_Tab,SMALL(ROW(Main_Dil)*(Main_Dil&lt;&gt;"-"),COUNTIF(Main_Dil,"-")+ROW()-3-$AB$2)-9,21)),"-")</f>
        <v>-</v>
      </c>
      <c r="AQ188" s="511" t="str">
        <f t="array" aca="1" ref="AQ188" ca="1">IFERROR(IF(AI188&lt;=$AB$2,"-",INDEX(Calculation_Tab,SMALL(ROW(Main_Dil)*(Main_Dil&lt;&gt;"-"),COUNTIF(Main_Dil,"-")+ROW()-3-$AB$2)-9,22)),"-")</f>
        <v>-</v>
      </c>
      <c r="AR188" s="487" t="str">
        <f t="shared" ca="1" si="83"/>
        <v>-</v>
      </c>
      <c r="AS188" s="378">
        <v>185</v>
      </c>
      <c r="AT188" s="497" t="s">
        <v>161</v>
      </c>
      <c r="AU188" s="498">
        <v>89</v>
      </c>
      <c r="AV188" s="378" t="str">
        <f t="shared" ca="1" si="84"/>
        <v>-</v>
      </c>
      <c r="AW188" s="378" t="str">
        <f t="array" aca="1" ref="AW188" ca="1">IFERROR(IF(AS188&lt;=$AB$2+$AN$2,"-",INDEX(Calculation_Tab,SMALL(ROW(Direct_Denaturation)*(Direct_Denaturation&lt;&gt;"-"),COUNTIF(Direct_Denaturation,"-")+ROW()-3-$AB$2-$AN$2)-9,5)),"-")</f>
        <v>-</v>
      </c>
      <c r="AX188" s="378" t="str">
        <f t="array" aca="1" ref="AX188" ca="1">IFERROR(IF(AS188&lt;=$AB$2+$AN$2,"-",INDEX($A$3:$B$12,MATCH(INDEX(Calculation_Tab,SMALL(ROW(Direct_Denaturation)*(Direct_Denaturation&lt;&gt;"-"),COUNTIF(Direct_Denaturation,"-")+ROW()-3-$AB$2-$AN$2)-9,5),$A$3:$A$12,0),2)),"-")</f>
        <v>-</v>
      </c>
      <c r="AY188" s="378" t="str">
        <f t="array" aca="1" ref="AY188" ca="1">IFERROR(IF(AS188&lt;=$AB$2+$AN$2,"-",INDEX(Coordinate,MATCH(INDEX(Calculation_Tab,SMALL(ROW(Direct_Denaturation)*(Direct_Denaturation&lt;&gt;"-"),COUNTIF(Direct_Denaturation,"-")+ROW()-3-$AB$2-$AN$2)-9,6),$X$4:$X$99,0),2)),"-")</f>
        <v>-</v>
      </c>
      <c r="AZ188" s="510" t="str">
        <f t="array" aca="1" ref="AZ188" ca="1">IFERROR(IF(AS188&lt;=$AB$2+$AN$2,"-",INDEX(Calculation_Tab,SMALL(ROW(Direct_Denaturation)*(Direct_Denaturation&lt;&gt;"-"),COUNTIF(Direct_Denaturation,"-")+ROW()-3-$AB$2-$AN$2)-9,32)),"-")</f>
        <v>-</v>
      </c>
      <c r="BA188" s="510" t="str">
        <f t="array" aca="1" ref="BA188" ca="1">IFERROR(IF(AS188&lt;=$AB$2+$AN$2,"-",INDEX(Calculation_Tab,SMALL(ROW(Direct_Denaturation)*(Direct_Denaturation&lt;&gt;"-"),COUNTIF(Direct_Denaturation,"-")+ROW()-3-$AB$2-$AN$2)-9,34)),"-")</f>
        <v>-</v>
      </c>
      <c r="BB188" s="510" t="str">
        <f t="array" aca="1" ref="BB188" ca="1">IFERROR(IF(AS188&lt;=$AB$2+$AN$2,"-",INDEX(Calculation_Tab,SMALL(ROW(Direct_Denaturation)*(Direct_Denaturation&lt;&gt;"-"),COUNTIF(Direct_Denaturation,"-")+ROW()-3-$AB$2-$AN$2)-9,33)),"-")</f>
        <v>-</v>
      </c>
      <c r="BC188" s="510" t="str">
        <f t="array" aca="1" ref="BC188" ca="1">IFERROR(IF(AS188&lt;=$AB$2+$AN$2,"-",INDEX(Calculation_Tab,SMALL(ROW(Direct_Denaturation)*(Direct_Denaturation&lt;&gt;"-"),COUNTIF(Direct_Denaturation,"-")+ROW()-3-$AB$2-$AN$2)-9,35)),"-")</f>
        <v>-</v>
      </c>
      <c r="BD188" s="511" t="str">
        <f t="shared" ca="1" si="85"/>
        <v>-</v>
      </c>
      <c r="BK188" s="542" t="s">
        <v>82</v>
      </c>
      <c r="BL188" s="542" t="s">
        <v>82</v>
      </c>
      <c r="BM188" s="487" t="str">
        <f t="array" aca="1" ref="BM188" ca="1">IFERROR(INDEX(Calculation_Tab,SMALL(ROW(ToPool)*(ToPool&lt;&gt;"-"),COUNTIF(ToPool,"-")+ROW()-3)-9,3),"-")</f>
        <v>-</v>
      </c>
      <c r="BN188" s="378" t="str">
        <f t="shared" ca="1" si="86"/>
        <v>-</v>
      </c>
      <c r="BO188" s="378" t="str">
        <f t="shared" ca="1" si="87"/>
        <v>-</v>
      </c>
      <c r="BP188" s="523" t="str">
        <f t="shared" ca="1" si="88"/>
        <v>-</v>
      </c>
      <c r="BQ188" s="378" t="str">
        <f t="array" aca="1" ref="BQ188" ca="1">IFERROR(INDEX(BE:BG,MATCH(INDEX(Calculation_Tab,SMALL(ROW(ToPool)*(ToPool&lt;&gt;"-"),COUNTIF(ToPool,"-")+ROW()-3)-9,9),BG:BG,0),2),"-")</f>
        <v>-</v>
      </c>
      <c r="BR188" s="510" t="str">
        <f t="shared" ca="1" si="89"/>
        <v>-</v>
      </c>
      <c r="BS188" s="511" t="str">
        <f t="shared" ca="1" si="90"/>
        <v>-</v>
      </c>
      <c r="BT188" s="543" t="s">
        <v>82</v>
      </c>
      <c r="BU188" s="487" t="str">
        <f t="shared" ca="1" si="95"/>
        <v>-</v>
      </c>
      <c r="BV188" s="487" t="str">
        <f t="array" aca="1" ref="BV18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88" s="378" t="str">
        <f t="shared" ca="1" si="91"/>
        <v>-</v>
      </c>
      <c r="BX188" s="378" t="str">
        <f t="shared" ca="1" si="92"/>
        <v>-</v>
      </c>
      <c r="BY188" s="510" t="str">
        <f ca="1">IFERROR(ROUND(INDEX(Cluster,MATCH(IF(LEFT(BV188,4)="Pool",INDEX(Cluster,MATCH(INDEX(Calculation_Tab,MATCH(INDEX($BE$4:$BJ$99,MATCH(BV188,$BE$4:$BE$99,0),3),Flow_Cell_Lane,0),3),Cluster!$F$29:$F$412,0),6),BV188),Identifier_Cluster,0),19)*IF(LEFT(BV188,4)="pool",IF(LEN(INDEX($BE$4:$BJ$99,MATCH(BV188,$BE$4:$BE$99,0),3))=10,2,IF(LEN(INDEX($BE$4:$BJ$99,MATCH(BV188,$BE$4:$BE$99,0),3))&gt;10,LEN(INDEX($BE$4:$BJ$99,MATCH(BV188,$BE$4:$BE$99,0),3))-8,1)),1)*IF(LEFT(BV188,4)="pool",IF(INDEX($BE$4:$BJ$99,MATCH(BV188,$BE$4:$BE$99,0),6)&lt;1,1,INDEX($BE$4:$BJ$99,MATCH(BV188,$BE$4:$BE$99,0),6)),INDEX(Calculation_Tab,MATCH(BV188,Identifier,0),10)),1)*(1+Calculation!$Q$6),"-")</f>
        <v>-</v>
      </c>
      <c r="BZ188" s="378" t="str">
        <f ca="1">IFERROR((0.5/50)*CE188/Calculation!$AG$6*(IF(LEFT(BV188,4)="Pool",IF(LEN(INDEX($BE$4:$BJ$99,MATCH(BV188,$BE$4:$BE$99,0),3))=10,2,IF(LEN(INDEX($BE$4:$BJ$99,MATCH(BV188,$BE$4:$BE$99,0),3))&gt;10,LEN(INDEX($BE$4:$BJ$99,MATCH(BV188,$BE$4:$BE$99,0),3))-8,1)),IF(INDEX(Calculation_Tab,MATCH(BV188,Identifier,0),10)&gt;1,INDEX(Calculation_Tab,MATCH(BV188,Identifier,0),10),1)))*(1+Calculation!$Q$6),"-")</f>
        <v>-</v>
      </c>
      <c r="CA188" s="510" t="str">
        <f ca="1">IFERROR(IF((BZ188*Calculation!$AG$6/0.05)-SUM(BY188:BZ188,CC188)&gt;0,(BZ188*Calculation!$AG$6/0.05)-SUM(BY188:BZ188,CC188),0),"-")</f>
        <v>-</v>
      </c>
      <c r="CB188" s="510" t="str">
        <f ca="1">IFERROR(5/50*CE188*(IF(LEFT(BV188,4)="Pool",IF(LEN(INDEX($BE$4:$BJ$99,MATCH(BV188,$BE$4:$BE$99,0),3))=10,2,IF(LEN(INDEX($BE$4:$BJ$99,MATCH(BV188,$BE$4:$BE$99,0),3))&gt;10,LEN(INDEX($BE$4:$BJ$99,MATCH(BV188,$BE$4:$BE$99,0),3))-8,1)),IF(INDEX(Calculation_Tab,MATCH(BV188,Identifier,0),10)&gt;1,INDEX(Calculation_Tab,MATCH(BV188,Identifier,0),10),1)))*(1+Calculation!$Q$6),"-")</f>
        <v>-</v>
      </c>
      <c r="CC188" s="508" t="str">
        <f ca="1">IFERROR(ROUND(INDEX(Cluster,MATCH(IF(LEFT(BV188,4)="Pool",INDEX(Cluster,MATCH(INDEX(Calculation_Tab,MATCH(INDEX($BE$4:$BJ$99,MATCH(BV188,$BE$4:$BE$99,0),3),Flow_Cell_Lane,0),3),Cluster!$F$29:$F$412,0),6),BV188),Identifier_Cluster,0),20)*IF(LEFT(BV188,4)="pool",IF(LEN(INDEX($BE$4:$BJ$99,MATCH(BV188,$BE$4:$BE$99,0),3))=10,2,IF(LEN(INDEX($BE$4:$BJ$99,MATCH(BV188,$BE$4:$BE$99,0),3))&gt;10,LEN(INDEX($BE$4:$BJ$99,MATCH(BV188,$BE$4:$BE$99,0),3))-8,1)),1)*IF(LEFT(BV188,4)="pool",IF(INDEX($BE$4:$BJ$99,MATCH(BV188,$BE$4:$BE$99,0),6)&lt;1,1,INDEX($BE$4:$BJ$99,MATCH(BV188,$BE$4:$BE$99,0),6)),INDEX(Calculation_Tab,MATCH(BV188,Identifier,0),10)),1)*(1+Calculation!$Q$6),"-")</f>
        <v>-</v>
      </c>
      <c r="CD188" s="509" t="str">
        <f ca="1">IFERROR(INDEX(Cluster!AC:AD,MATCH(IF(LEFT(BV188,4)="Pool",INDEX(Cluster!$D$29:$AA$412,MATCH(INDEX(Calculation_Tab,MATCH(INDEX($BE$4:$BJ$99,MATCH(BV188,$BE$4:$BE$99,0),3),Flow_Cell_Lane,0),3),Cluster!$F$29:$F$412,0),24),INDEX(Cluster!$D$29:$AA$412,MATCH(BV188,Cluster!$F$29:$F$412,0),24)),Cluster!AC:AC,0),2),"-")</f>
        <v>-</v>
      </c>
      <c r="CE188" s="378" t="str">
        <f ca="1">IFERROR(IF(BV188&lt;&gt;"-",Calculation!$AK$6,"-"),"-")</f>
        <v>-</v>
      </c>
      <c r="CF188" s="378" t="str">
        <f ca="1">IF(OR(LEFT(ListAndConversion!BW188,3)="Dil",LEFT(ListAndConversion!BW188,3)="Poo"),ListAndConversion!$BT$4,IF(LEFT(ListAndConversion!BW188,3)="Sou",INDEX(ListAndConversion!$AT$3:$AV$387,MATCH(ListAndConversion!BV188,ListAndConversion!$AV$3:$AV$387,0),1),"-"))</f>
        <v>-</v>
      </c>
      <c r="CG188" s="498" t="str">
        <f ca="1">IF(OR(LEFT(ListAndConversion!BW188,3)="Dil",LEFT(ListAndConversion!BW188,3)="Poo"),ListAndConversion!BU188,IF(LEFT(ListAndConversion!BW188,3)="Sou",INDEX(ListAndConversion!$AT$4:$AV$387,MATCH(ListAndConversion!BV188,ListAndConversion!$AV$4:$AV$387,0),2),"-"))</f>
        <v>-</v>
      </c>
      <c r="CH188" s="378"/>
      <c r="CI188" s="487" t="str">
        <f t="shared" ca="1" si="93"/>
        <v>-</v>
      </c>
      <c r="CJ188" s="378" t="str">
        <f t="shared" ca="1" si="106"/>
        <v>-</v>
      </c>
      <c r="CK188" s="378" t="str">
        <f t="shared" ca="1" si="106"/>
        <v>-</v>
      </c>
      <c r="CL188" s="378" t="str">
        <f t="shared" ca="1" si="106"/>
        <v>-</v>
      </c>
      <c r="CM188" s="378" t="str">
        <f t="shared" ca="1" si="106"/>
        <v>-</v>
      </c>
      <c r="CN188" s="378" t="str">
        <f t="shared" ca="1" si="106"/>
        <v>-</v>
      </c>
      <c r="CO188" s="378" t="str">
        <f t="shared" ca="1" si="106"/>
        <v>-</v>
      </c>
      <c r="CP188" s="378" t="str">
        <f t="shared" ca="1" si="106"/>
        <v>-</v>
      </c>
      <c r="CQ188" s="378" t="str">
        <f t="shared" ca="1" si="106"/>
        <v>-</v>
      </c>
      <c r="CR188" s="510" t="str">
        <f ca="1">IFERROR(IF(LEFT(BW188,3)="Poo",INDEX($BE$4:$BJ$99,MATCH(CI188,$BG$4:$BG$99,0),6)*((15/50))*Calculation!$AK$6,INDEX(Calculation_Tab,MATCH(BV188,Identifier,0),10)/(IF(LEN(INDEX(Calculation_Tab,MATCH(BV188,Identifier,0),9))&gt;8,LEN(INDEX(Calculation_Tab,MATCH(BV188,Identifier,0),9))-8,1))*((15/50)*Calculation!$AK$6)),"-")</f>
        <v>-</v>
      </c>
      <c r="CS188" s="498" t="str">
        <f ca="1">IF(CI188="-","-",IF(COUNTIF($CI$3:CI188,CI188)&gt;1,0,IFERROR((35/50)*Calculation!$AK$6,"-")))</f>
        <v>-</v>
      </c>
    </row>
    <row r="189" spans="4:97" x14ac:dyDescent="0.5">
      <c r="D189" s="487" t="e">
        <f t="shared" si="79"/>
        <v>#DIV/0!</v>
      </c>
      <c r="E189" s="496" t="e">
        <f t="array" ref="E189">IF(IF((ROW(E189)-3)&lt;(ListAndConversion!$A$15),INDEX(Flow_Cell_Lane,MIN(IF(COUNTIF($E$2:E188,Flow_Cell_Lane)=0,ROW(Flow_Cell_Lane)-9))),"-")="","-",IF((ROW(E189)-3)&lt;(ListAndConversion!$A$15),INDEX(Flow_Cell_Lane,MIN(IF(COUNTIF($E$2:E188,Flow_Cell_Lane)=0,ROW(Flow_Cell_Lane)-9))),"-"))</f>
        <v>#DIV/0!</v>
      </c>
      <c r="F189" s="378" t="e">
        <f t="shared" si="80"/>
        <v>#DIV/0!</v>
      </c>
      <c r="G189" s="378" t="e">
        <f t="shared" si="105"/>
        <v>#DIV/0!</v>
      </c>
      <c r="H189" s="378" t="e">
        <f t="shared" si="105"/>
        <v>#DIV/0!</v>
      </c>
      <c r="I189" s="378" t="e">
        <f t="shared" si="105"/>
        <v>#DIV/0!</v>
      </c>
      <c r="J189" s="378" t="e">
        <f t="shared" si="105"/>
        <v>#DIV/0!</v>
      </c>
      <c r="K189" s="378" t="e">
        <f t="shared" si="105"/>
        <v>#DIV/0!</v>
      </c>
      <c r="L189" s="378" t="e">
        <f t="shared" si="105"/>
        <v>#DIV/0!</v>
      </c>
      <c r="M189" s="378" t="e">
        <f t="shared" si="105"/>
        <v>#DIV/0!</v>
      </c>
      <c r="N189" s="497" t="e">
        <f t="shared" si="81"/>
        <v>#DIV/0!</v>
      </c>
      <c r="O189" s="497" t="str">
        <f t="array" ref="O189">IFERROR(INDEX(Calculation!I:AN,MATCH(ListAndConversion!E189,Calculation!I:I,0),31),"-")</f>
        <v>-</v>
      </c>
      <c r="P189" s="498">
        <f>IF(COUNTIFS(Calculation!$I$10:$I$393,E189,Direct_Denaturation,"-")&lt;&gt;1,COUNTIFS(Calculation!$I$10:$I$393,E189,Direct_Denaturation,"-"),0)</f>
        <v>0</v>
      </c>
      <c r="V189" s="542" t="s">
        <v>82</v>
      </c>
      <c r="W189" s="542" t="s">
        <v>82</v>
      </c>
      <c r="X189" s="542" t="s">
        <v>82</v>
      </c>
      <c r="Y189" s="542" t="s">
        <v>82</v>
      </c>
      <c r="Z189" s="542" t="s">
        <v>82</v>
      </c>
      <c r="AA189" s="542" t="s">
        <v>82</v>
      </c>
      <c r="AB189" s="542" t="s">
        <v>82</v>
      </c>
      <c r="AC189" s="542" t="s">
        <v>82</v>
      </c>
      <c r="AD189" s="542" t="s">
        <v>82</v>
      </c>
      <c r="AE189" s="542" t="s">
        <v>82</v>
      </c>
      <c r="AF189" s="542" t="s">
        <v>82</v>
      </c>
      <c r="AG189" s="542" t="s">
        <v>82</v>
      </c>
      <c r="AH189" s="9"/>
      <c r="AI189" s="487">
        <v>186</v>
      </c>
      <c r="AJ189" s="497" t="s">
        <v>161</v>
      </c>
      <c r="AK189" s="378">
        <v>90</v>
      </c>
      <c r="AL189" s="378" t="str">
        <f t="shared" ca="1" si="82"/>
        <v>-</v>
      </c>
      <c r="AM189" s="378" t="str">
        <f t="array" aca="1" ref="AM189" ca="1">IFERROR(IF(AI189&lt;=$AB$2,"-",INDEX(Calculation_Tab,SMALL(ROW(Main_Dil)*(Main_Dil&lt;&gt;"-"),COUNTIF(Main_Dil,"-")+ROW()-3-$AB$2)-9,5)),"-")</f>
        <v>-</v>
      </c>
      <c r="AN189" s="378" t="str">
        <f t="array" aca="1" ref="AN189" ca="1">IFERROR(IF(AI189&lt;=$AB$2,"-",INDEX($A$3:$B$12,MATCH(INDEX(Calculation_Tab,SMALL(ROW(Main_Dil)*(Main_Dil&lt;&gt;"-"),COUNTIF(Main_Dil,"-")+ROW()-3-$AB$2)-9,5),$A$3:$A$12,0),2)),"-")</f>
        <v>-</v>
      </c>
      <c r="AO189" s="378" t="str">
        <f t="array" aca="1" ref="AO189" ca="1">IFERROR(IF(AI189&lt;=$AB$2,"-",INDEX(Coordinate,MATCH(INDEX(Calculation_Tab,SMALL(ROW(Main_Dil)*(Main_Dil&lt;&gt;"-"),COUNTIF(Main_Dil,"-")+ROW()-3-$AB$2)-9,6),$X$4:$X$99,0),2)),"-")</f>
        <v>-</v>
      </c>
      <c r="AP189" s="510" t="str">
        <f t="array" aca="1" ref="AP189" ca="1">IFERROR(IF(AI189&lt;=$AB$2,"-",INDEX(Calculation_Tab,SMALL(ROW(Main_Dil)*(Main_Dil&lt;&gt;"-"),COUNTIF(Main_Dil,"-")+ROW()-3-$AB$2)-9,21)),"-")</f>
        <v>-</v>
      </c>
      <c r="AQ189" s="511" t="str">
        <f t="array" aca="1" ref="AQ189" ca="1">IFERROR(IF(AI189&lt;=$AB$2,"-",INDEX(Calculation_Tab,SMALL(ROW(Main_Dil)*(Main_Dil&lt;&gt;"-"),COUNTIF(Main_Dil,"-")+ROW()-3-$AB$2)-9,22)),"-")</f>
        <v>-</v>
      </c>
      <c r="AR189" s="487" t="str">
        <f t="shared" ca="1" si="83"/>
        <v>-</v>
      </c>
      <c r="AS189" s="378">
        <v>186</v>
      </c>
      <c r="AT189" s="497" t="s">
        <v>161</v>
      </c>
      <c r="AU189" s="498">
        <v>90</v>
      </c>
      <c r="AV189" s="378" t="str">
        <f t="shared" ca="1" si="84"/>
        <v>-</v>
      </c>
      <c r="AW189" s="378" t="str">
        <f t="array" aca="1" ref="AW189" ca="1">IFERROR(IF(AS189&lt;=$AB$2+$AN$2,"-",INDEX(Calculation_Tab,SMALL(ROW(Direct_Denaturation)*(Direct_Denaturation&lt;&gt;"-"),COUNTIF(Direct_Denaturation,"-")+ROW()-3-$AB$2-$AN$2)-9,5)),"-")</f>
        <v>-</v>
      </c>
      <c r="AX189" s="378" t="str">
        <f t="array" aca="1" ref="AX189" ca="1">IFERROR(IF(AS189&lt;=$AB$2+$AN$2,"-",INDEX($A$3:$B$12,MATCH(INDEX(Calculation_Tab,SMALL(ROW(Direct_Denaturation)*(Direct_Denaturation&lt;&gt;"-"),COUNTIF(Direct_Denaturation,"-")+ROW()-3-$AB$2-$AN$2)-9,5),$A$3:$A$12,0),2)),"-")</f>
        <v>-</v>
      </c>
      <c r="AY189" s="378" t="str">
        <f t="array" aca="1" ref="AY189" ca="1">IFERROR(IF(AS189&lt;=$AB$2+$AN$2,"-",INDEX(Coordinate,MATCH(INDEX(Calculation_Tab,SMALL(ROW(Direct_Denaturation)*(Direct_Denaturation&lt;&gt;"-"),COUNTIF(Direct_Denaturation,"-")+ROW()-3-$AB$2-$AN$2)-9,6),$X$4:$X$99,0),2)),"-")</f>
        <v>-</v>
      </c>
      <c r="AZ189" s="510" t="str">
        <f t="array" aca="1" ref="AZ189" ca="1">IFERROR(IF(AS189&lt;=$AB$2+$AN$2,"-",INDEX(Calculation_Tab,SMALL(ROW(Direct_Denaturation)*(Direct_Denaturation&lt;&gt;"-"),COUNTIF(Direct_Denaturation,"-")+ROW()-3-$AB$2-$AN$2)-9,32)),"-")</f>
        <v>-</v>
      </c>
      <c r="BA189" s="510" t="str">
        <f t="array" aca="1" ref="BA189" ca="1">IFERROR(IF(AS189&lt;=$AB$2+$AN$2,"-",INDEX(Calculation_Tab,SMALL(ROW(Direct_Denaturation)*(Direct_Denaturation&lt;&gt;"-"),COUNTIF(Direct_Denaturation,"-")+ROW()-3-$AB$2-$AN$2)-9,34)),"-")</f>
        <v>-</v>
      </c>
      <c r="BB189" s="510" t="str">
        <f t="array" aca="1" ref="BB189" ca="1">IFERROR(IF(AS189&lt;=$AB$2+$AN$2,"-",INDEX(Calculation_Tab,SMALL(ROW(Direct_Denaturation)*(Direct_Denaturation&lt;&gt;"-"),COUNTIF(Direct_Denaturation,"-")+ROW()-3-$AB$2-$AN$2)-9,33)),"-")</f>
        <v>-</v>
      </c>
      <c r="BC189" s="510" t="str">
        <f t="array" aca="1" ref="BC189" ca="1">IFERROR(IF(AS189&lt;=$AB$2+$AN$2,"-",INDEX(Calculation_Tab,SMALL(ROW(Direct_Denaturation)*(Direct_Denaturation&lt;&gt;"-"),COUNTIF(Direct_Denaturation,"-")+ROW()-3-$AB$2-$AN$2)-9,35)),"-")</f>
        <v>-</v>
      </c>
      <c r="BD189" s="511" t="str">
        <f t="shared" ca="1" si="85"/>
        <v>-</v>
      </c>
      <c r="BK189" s="542" t="s">
        <v>82</v>
      </c>
      <c r="BL189" s="542" t="s">
        <v>82</v>
      </c>
      <c r="BM189" s="487" t="str">
        <f t="array" aca="1" ref="BM189" ca="1">IFERROR(INDEX(Calculation_Tab,SMALL(ROW(ToPool)*(ToPool&lt;&gt;"-"),COUNTIF(ToPool,"-")+ROW()-3)-9,3),"-")</f>
        <v>-</v>
      </c>
      <c r="BN189" s="378" t="str">
        <f t="shared" ca="1" si="86"/>
        <v>-</v>
      </c>
      <c r="BO189" s="378" t="str">
        <f t="shared" ca="1" si="87"/>
        <v>-</v>
      </c>
      <c r="BP189" s="523" t="str">
        <f t="shared" ca="1" si="88"/>
        <v>-</v>
      </c>
      <c r="BQ189" s="378" t="str">
        <f t="array" aca="1" ref="BQ189" ca="1">IFERROR(INDEX(BE:BG,MATCH(INDEX(Calculation_Tab,SMALL(ROW(ToPool)*(ToPool&lt;&gt;"-"),COUNTIF(ToPool,"-")+ROW()-3)-9,9),BG:BG,0),2),"-")</f>
        <v>-</v>
      </c>
      <c r="BR189" s="510" t="str">
        <f t="shared" ca="1" si="89"/>
        <v>-</v>
      </c>
      <c r="BS189" s="511" t="str">
        <f t="shared" ca="1" si="90"/>
        <v>-</v>
      </c>
      <c r="BT189" s="543" t="s">
        <v>82</v>
      </c>
      <c r="BU189" s="487" t="str">
        <f t="shared" ca="1" si="95"/>
        <v>-</v>
      </c>
      <c r="BV189" s="487" t="str">
        <f t="array" aca="1" ref="BV18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89" s="378" t="str">
        <f t="shared" ca="1" si="91"/>
        <v>-</v>
      </c>
      <c r="BX189" s="378" t="str">
        <f t="shared" ca="1" si="92"/>
        <v>-</v>
      </c>
      <c r="BY189" s="510" t="str">
        <f ca="1">IFERROR(ROUND(INDEX(Cluster,MATCH(IF(LEFT(BV189,4)="Pool",INDEX(Cluster,MATCH(INDEX(Calculation_Tab,MATCH(INDEX($BE$4:$BJ$99,MATCH(BV189,$BE$4:$BE$99,0),3),Flow_Cell_Lane,0),3),Cluster!$F$29:$F$412,0),6),BV189),Identifier_Cluster,0),19)*IF(LEFT(BV189,4)="pool",IF(LEN(INDEX($BE$4:$BJ$99,MATCH(BV189,$BE$4:$BE$99,0),3))=10,2,IF(LEN(INDEX($BE$4:$BJ$99,MATCH(BV189,$BE$4:$BE$99,0),3))&gt;10,LEN(INDEX($BE$4:$BJ$99,MATCH(BV189,$BE$4:$BE$99,0),3))-8,1)),1)*IF(LEFT(BV189,4)="pool",IF(INDEX($BE$4:$BJ$99,MATCH(BV189,$BE$4:$BE$99,0),6)&lt;1,1,INDEX($BE$4:$BJ$99,MATCH(BV189,$BE$4:$BE$99,0),6)),INDEX(Calculation_Tab,MATCH(BV189,Identifier,0),10)),1)*(1+Calculation!$Q$6),"-")</f>
        <v>-</v>
      </c>
      <c r="BZ189" s="378" t="str">
        <f ca="1">IFERROR((0.5/50)*CE189/Calculation!$AG$6*(IF(LEFT(BV189,4)="Pool",IF(LEN(INDEX($BE$4:$BJ$99,MATCH(BV189,$BE$4:$BE$99,0),3))=10,2,IF(LEN(INDEX($BE$4:$BJ$99,MATCH(BV189,$BE$4:$BE$99,0),3))&gt;10,LEN(INDEX($BE$4:$BJ$99,MATCH(BV189,$BE$4:$BE$99,0),3))-8,1)),IF(INDEX(Calculation_Tab,MATCH(BV189,Identifier,0),10)&gt;1,INDEX(Calculation_Tab,MATCH(BV189,Identifier,0),10),1)))*(1+Calculation!$Q$6),"-")</f>
        <v>-</v>
      </c>
      <c r="CA189" s="510" t="str">
        <f ca="1">IFERROR(IF((BZ189*Calculation!$AG$6/0.05)-SUM(BY189:BZ189,CC189)&gt;0,(BZ189*Calculation!$AG$6/0.05)-SUM(BY189:BZ189,CC189),0),"-")</f>
        <v>-</v>
      </c>
      <c r="CB189" s="510" t="str">
        <f ca="1">IFERROR(5/50*CE189*(IF(LEFT(BV189,4)="Pool",IF(LEN(INDEX($BE$4:$BJ$99,MATCH(BV189,$BE$4:$BE$99,0),3))=10,2,IF(LEN(INDEX($BE$4:$BJ$99,MATCH(BV189,$BE$4:$BE$99,0),3))&gt;10,LEN(INDEX($BE$4:$BJ$99,MATCH(BV189,$BE$4:$BE$99,0),3))-8,1)),IF(INDEX(Calculation_Tab,MATCH(BV189,Identifier,0),10)&gt;1,INDEX(Calculation_Tab,MATCH(BV189,Identifier,0),10),1)))*(1+Calculation!$Q$6),"-")</f>
        <v>-</v>
      </c>
      <c r="CC189" s="508" t="str">
        <f ca="1">IFERROR(ROUND(INDEX(Cluster,MATCH(IF(LEFT(BV189,4)="Pool",INDEX(Cluster,MATCH(INDEX(Calculation_Tab,MATCH(INDEX($BE$4:$BJ$99,MATCH(BV189,$BE$4:$BE$99,0),3),Flow_Cell_Lane,0),3),Cluster!$F$29:$F$412,0),6),BV189),Identifier_Cluster,0),20)*IF(LEFT(BV189,4)="pool",IF(LEN(INDEX($BE$4:$BJ$99,MATCH(BV189,$BE$4:$BE$99,0),3))=10,2,IF(LEN(INDEX($BE$4:$BJ$99,MATCH(BV189,$BE$4:$BE$99,0),3))&gt;10,LEN(INDEX($BE$4:$BJ$99,MATCH(BV189,$BE$4:$BE$99,0),3))-8,1)),1)*IF(LEFT(BV189,4)="pool",IF(INDEX($BE$4:$BJ$99,MATCH(BV189,$BE$4:$BE$99,0),6)&lt;1,1,INDEX($BE$4:$BJ$99,MATCH(BV189,$BE$4:$BE$99,0),6)),INDEX(Calculation_Tab,MATCH(BV189,Identifier,0),10)),1)*(1+Calculation!$Q$6),"-")</f>
        <v>-</v>
      </c>
      <c r="CD189" s="509" t="str">
        <f ca="1">IFERROR(INDEX(Cluster!AC:AD,MATCH(IF(LEFT(BV189,4)="Pool",INDEX(Cluster!$D$29:$AA$412,MATCH(INDEX(Calculation_Tab,MATCH(INDEX($BE$4:$BJ$99,MATCH(BV189,$BE$4:$BE$99,0),3),Flow_Cell_Lane,0),3),Cluster!$F$29:$F$412,0),24),INDEX(Cluster!$D$29:$AA$412,MATCH(BV189,Cluster!$F$29:$F$412,0),24)),Cluster!AC:AC,0),2),"-")</f>
        <v>-</v>
      </c>
      <c r="CE189" s="378" t="str">
        <f ca="1">IFERROR(IF(BV189&lt;&gt;"-",Calculation!$AK$6,"-"),"-")</f>
        <v>-</v>
      </c>
      <c r="CF189" s="378" t="str">
        <f ca="1">IF(OR(LEFT(ListAndConversion!BW189,3)="Dil",LEFT(ListAndConversion!BW189,3)="Poo"),ListAndConversion!$BT$4,IF(LEFT(ListAndConversion!BW189,3)="Sou",INDEX(ListAndConversion!$AT$3:$AV$387,MATCH(ListAndConversion!BV189,ListAndConversion!$AV$3:$AV$387,0),1),"-"))</f>
        <v>-</v>
      </c>
      <c r="CG189" s="498" t="str">
        <f ca="1">IF(OR(LEFT(ListAndConversion!BW189,3)="Dil",LEFT(ListAndConversion!BW189,3)="Poo"),ListAndConversion!BU189,IF(LEFT(ListAndConversion!BW189,3)="Sou",INDEX(ListAndConversion!$AT$4:$AV$387,MATCH(ListAndConversion!BV189,ListAndConversion!$AV$4:$AV$387,0),2),"-"))</f>
        <v>-</v>
      </c>
      <c r="CH189" s="378"/>
      <c r="CI189" s="487" t="str">
        <f t="shared" ca="1" si="93"/>
        <v>-</v>
      </c>
      <c r="CJ189" s="378" t="str">
        <f t="shared" ca="1" si="106"/>
        <v>-</v>
      </c>
      <c r="CK189" s="378" t="str">
        <f t="shared" ca="1" si="106"/>
        <v>-</v>
      </c>
      <c r="CL189" s="378" t="str">
        <f t="shared" ca="1" si="106"/>
        <v>-</v>
      </c>
      <c r="CM189" s="378" t="str">
        <f t="shared" ca="1" si="106"/>
        <v>-</v>
      </c>
      <c r="CN189" s="378" t="str">
        <f t="shared" ca="1" si="106"/>
        <v>-</v>
      </c>
      <c r="CO189" s="378" t="str">
        <f t="shared" ca="1" si="106"/>
        <v>-</v>
      </c>
      <c r="CP189" s="378" t="str">
        <f t="shared" ca="1" si="106"/>
        <v>-</v>
      </c>
      <c r="CQ189" s="378" t="str">
        <f t="shared" ca="1" si="106"/>
        <v>-</v>
      </c>
      <c r="CR189" s="510" t="str">
        <f ca="1">IFERROR(IF(LEFT(BW189,3)="Poo",INDEX($BE$4:$BJ$99,MATCH(CI189,$BG$4:$BG$99,0),6)*((15/50))*Calculation!$AK$6,INDEX(Calculation_Tab,MATCH(BV189,Identifier,0),10)/(IF(LEN(INDEX(Calculation_Tab,MATCH(BV189,Identifier,0),9))&gt;8,LEN(INDEX(Calculation_Tab,MATCH(BV189,Identifier,0),9))-8,1))*((15/50)*Calculation!$AK$6)),"-")</f>
        <v>-</v>
      </c>
      <c r="CS189" s="498" t="str">
        <f ca="1">IF(CI189="-","-",IF(COUNTIF($CI$3:CI189,CI189)&gt;1,0,IFERROR((35/50)*Calculation!$AK$6,"-")))</f>
        <v>-</v>
      </c>
    </row>
    <row r="190" spans="4:97" x14ac:dyDescent="0.5">
      <c r="D190" s="487" t="e">
        <f t="shared" si="79"/>
        <v>#DIV/0!</v>
      </c>
      <c r="E190" s="496" t="e">
        <f t="array" ref="E190">IF(IF((ROW(E190)-3)&lt;(ListAndConversion!$A$15),INDEX(Flow_Cell_Lane,MIN(IF(COUNTIF($E$2:E189,Flow_Cell_Lane)=0,ROW(Flow_Cell_Lane)-9))),"-")="","-",IF((ROW(E190)-3)&lt;(ListAndConversion!$A$15),INDEX(Flow_Cell_Lane,MIN(IF(COUNTIF($E$2:E189,Flow_Cell_Lane)=0,ROW(Flow_Cell_Lane)-9))),"-"))</f>
        <v>#DIV/0!</v>
      </c>
      <c r="F190" s="378" t="e">
        <f t="shared" si="80"/>
        <v>#DIV/0!</v>
      </c>
      <c r="G190" s="378" t="e">
        <f t="shared" si="105"/>
        <v>#DIV/0!</v>
      </c>
      <c r="H190" s="378" t="e">
        <f t="shared" si="105"/>
        <v>#DIV/0!</v>
      </c>
      <c r="I190" s="378" t="e">
        <f t="shared" si="105"/>
        <v>#DIV/0!</v>
      </c>
      <c r="J190" s="378" t="e">
        <f t="shared" si="105"/>
        <v>#DIV/0!</v>
      </c>
      <c r="K190" s="378" t="e">
        <f t="shared" si="105"/>
        <v>#DIV/0!</v>
      </c>
      <c r="L190" s="378" t="e">
        <f t="shared" si="105"/>
        <v>#DIV/0!</v>
      </c>
      <c r="M190" s="378" t="e">
        <f t="shared" si="105"/>
        <v>#DIV/0!</v>
      </c>
      <c r="N190" s="497" t="e">
        <f t="shared" si="81"/>
        <v>#DIV/0!</v>
      </c>
      <c r="O190" s="497" t="str">
        <f t="array" ref="O190">IFERROR(INDEX(Calculation!I:AN,MATCH(ListAndConversion!E190,Calculation!I:I,0),31),"-")</f>
        <v>-</v>
      </c>
      <c r="P190" s="498">
        <f>IF(COUNTIFS(Calculation!$I$10:$I$393,E190,Direct_Denaturation,"-")&lt;&gt;1,COUNTIFS(Calculation!$I$10:$I$393,E190,Direct_Denaturation,"-"),0)</f>
        <v>0</v>
      </c>
      <c r="V190" s="542" t="s">
        <v>82</v>
      </c>
      <c r="W190" s="542" t="s">
        <v>82</v>
      </c>
      <c r="X190" s="542" t="s">
        <v>82</v>
      </c>
      <c r="Y190" s="542" t="s">
        <v>82</v>
      </c>
      <c r="Z190" s="542" t="s">
        <v>82</v>
      </c>
      <c r="AA190" s="542" t="s">
        <v>82</v>
      </c>
      <c r="AB190" s="542" t="s">
        <v>82</v>
      </c>
      <c r="AC190" s="542" t="s">
        <v>82</v>
      </c>
      <c r="AD190" s="542" t="s">
        <v>82</v>
      </c>
      <c r="AE190" s="542" t="s">
        <v>82</v>
      </c>
      <c r="AF190" s="542" t="s">
        <v>82</v>
      </c>
      <c r="AG190" s="542" t="s">
        <v>82</v>
      </c>
      <c r="AH190" s="9"/>
      <c r="AI190" s="487">
        <v>187</v>
      </c>
      <c r="AJ190" s="497" t="s">
        <v>161</v>
      </c>
      <c r="AK190" s="378">
        <v>91</v>
      </c>
      <c r="AL190" s="378" t="str">
        <f t="shared" ca="1" si="82"/>
        <v>-</v>
      </c>
      <c r="AM190" s="378" t="str">
        <f t="array" aca="1" ref="AM190" ca="1">IFERROR(IF(AI190&lt;=$AB$2,"-",INDEX(Calculation_Tab,SMALL(ROW(Main_Dil)*(Main_Dil&lt;&gt;"-"),COUNTIF(Main_Dil,"-")+ROW()-3-$AB$2)-9,5)),"-")</f>
        <v>-</v>
      </c>
      <c r="AN190" s="378" t="str">
        <f t="array" aca="1" ref="AN190" ca="1">IFERROR(IF(AI190&lt;=$AB$2,"-",INDEX($A$3:$B$12,MATCH(INDEX(Calculation_Tab,SMALL(ROW(Main_Dil)*(Main_Dil&lt;&gt;"-"),COUNTIF(Main_Dil,"-")+ROW()-3-$AB$2)-9,5),$A$3:$A$12,0),2)),"-")</f>
        <v>-</v>
      </c>
      <c r="AO190" s="378" t="str">
        <f t="array" aca="1" ref="AO190" ca="1">IFERROR(IF(AI190&lt;=$AB$2,"-",INDEX(Coordinate,MATCH(INDEX(Calculation_Tab,SMALL(ROW(Main_Dil)*(Main_Dil&lt;&gt;"-"),COUNTIF(Main_Dil,"-")+ROW()-3-$AB$2)-9,6),$X$4:$X$99,0),2)),"-")</f>
        <v>-</v>
      </c>
      <c r="AP190" s="510" t="str">
        <f t="array" aca="1" ref="AP190" ca="1">IFERROR(IF(AI190&lt;=$AB$2,"-",INDEX(Calculation_Tab,SMALL(ROW(Main_Dil)*(Main_Dil&lt;&gt;"-"),COUNTIF(Main_Dil,"-")+ROW()-3-$AB$2)-9,21)),"-")</f>
        <v>-</v>
      </c>
      <c r="AQ190" s="511" t="str">
        <f t="array" aca="1" ref="AQ190" ca="1">IFERROR(IF(AI190&lt;=$AB$2,"-",INDEX(Calculation_Tab,SMALL(ROW(Main_Dil)*(Main_Dil&lt;&gt;"-"),COUNTIF(Main_Dil,"-")+ROW()-3-$AB$2)-9,22)),"-")</f>
        <v>-</v>
      </c>
      <c r="AR190" s="487" t="str">
        <f t="shared" ca="1" si="83"/>
        <v>-</v>
      </c>
      <c r="AS190" s="378">
        <v>187</v>
      </c>
      <c r="AT190" s="497" t="s">
        <v>161</v>
      </c>
      <c r="AU190" s="498">
        <v>91</v>
      </c>
      <c r="AV190" s="378" t="str">
        <f t="shared" ca="1" si="84"/>
        <v>-</v>
      </c>
      <c r="AW190" s="378" t="str">
        <f t="array" aca="1" ref="AW190" ca="1">IFERROR(IF(AS190&lt;=$AB$2+$AN$2,"-",INDEX(Calculation_Tab,SMALL(ROW(Direct_Denaturation)*(Direct_Denaturation&lt;&gt;"-"),COUNTIF(Direct_Denaturation,"-")+ROW()-3-$AB$2-$AN$2)-9,5)),"-")</f>
        <v>-</v>
      </c>
      <c r="AX190" s="378" t="str">
        <f t="array" aca="1" ref="AX190" ca="1">IFERROR(IF(AS190&lt;=$AB$2+$AN$2,"-",INDEX($A$3:$B$12,MATCH(INDEX(Calculation_Tab,SMALL(ROW(Direct_Denaturation)*(Direct_Denaturation&lt;&gt;"-"),COUNTIF(Direct_Denaturation,"-")+ROW()-3-$AB$2-$AN$2)-9,5),$A$3:$A$12,0),2)),"-")</f>
        <v>-</v>
      </c>
      <c r="AY190" s="378" t="str">
        <f t="array" aca="1" ref="AY190" ca="1">IFERROR(IF(AS190&lt;=$AB$2+$AN$2,"-",INDEX(Coordinate,MATCH(INDEX(Calculation_Tab,SMALL(ROW(Direct_Denaturation)*(Direct_Denaturation&lt;&gt;"-"),COUNTIF(Direct_Denaturation,"-")+ROW()-3-$AB$2-$AN$2)-9,6),$X$4:$X$99,0),2)),"-")</f>
        <v>-</v>
      </c>
      <c r="AZ190" s="510" t="str">
        <f t="array" aca="1" ref="AZ190" ca="1">IFERROR(IF(AS190&lt;=$AB$2+$AN$2,"-",INDEX(Calculation_Tab,SMALL(ROW(Direct_Denaturation)*(Direct_Denaturation&lt;&gt;"-"),COUNTIF(Direct_Denaturation,"-")+ROW()-3-$AB$2-$AN$2)-9,32)),"-")</f>
        <v>-</v>
      </c>
      <c r="BA190" s="510" t="str">
        <f t="array" aca="1" ref="BA190" ca="1">IFERROR(IF(AS190&lt;=$AB$2+$AN$2,"-",INDEX(Calculation_Tab,SMALL(ROW(Direct_Denaturation)*(Direct_Denaturation&lt;&gt;"-"),COUNTIF(Direct_Denaturation,"-")+ROW()-3-$AB$2-$AN$2)-9,34)),"-")</f>
        <v>-</v>
      </c>
      <c r="BB190" s="510" t="str">
        <f t="array" aca="1" ref="BB190" ca="1">IFERROR(IF(AS190&lt;=$AB$2+$AN$2,"-",INDEX(Calculation_Tab,SMALL(ROW(Direct_Denaturation)*(Direct_Denaturation&lt;&gt;"-"),COUNTIF(Direct_Denaturation,"-")+ROW()-3-$AB$2-$AN$2)-9,33)),"-")</f>
        <v>-</v>
      </c>
      <c r="BC190" s="510" t="str">
        <f t="array" aca="1" ref="BC190" ca="1">IFERROR(IF(AS190&lt;=$AB$2+$AN$2,"-",INDEX(Calculation_Tab,SMALL(ROW(Direct_Denaturation)*(Direct_Denaturation&lt;&gt;"-"),COUNTIF(Direct_Denaturation,"-")+ROW()-3-$AB$2-$AN$2)-9,35)),"-")</f>
        <v>-</v>
      </c>
      <c r="BD190" s="511" t="str">
        <f t="shared" ca="1" si="85"/>
        <v>-</v>
      </c>
      <c r="BK190" s="542" t="s">
        <v>82</v>
      </c>
      <c r="BL190" s="542" t="s">
        <v>82</v>
      </c>
      <c r="BM190" s="487" t="str">
        <f t="array" aca="1" ref="BM190" ca="1">IFERROR(INDEX(Calculation_Tab,SMALL(ROW(ToPool)*(ToPool&lt;&gt;"-"),COUNTIF(ToPool,"-")+ROW()-3)-9,3),"-")</f>
        <v>-</v>
      </c>
      <c r="BN190" s="378" t="str">
        <f t="shared" ca="1" si="86"/>
        <v>-</v>
      </c>
      <c r="BO190" s="378" t="str">
        <f t="shared" ca="1" si="87"/>
        <v>-</v>
      </c>
      <c r="BP190" s="523" t="str">
        <f t="shared" ca="1" si="88"/>
        <v>-</v>
      </c>
      <c r="BQ190" s="378" t="str">
        <f t="array" aca="1" ref="BQ190" ca="1">IFERROR(INDEX(BE:BG,MATCH(INDEX(Calculation_Tab,SMALL(ROW(ToPool)*(ToPool&lt;&gt;"-"),COUNTIF(ToPool,"-")+ROW()-3)-9,9),BG:BG,0),2),"-")</f>
        <v>-</v>
      </c>
      <c r="BR190" s="510" t="str">
        <f t="shared" ca="1" si="89"/>
        <v>-</v>
      </c>
      <c r="BS190" s="511" t="str">
        <f t="shared" ca="1" si="90"/>
        <v>-</v>
      </c>
      <c r="BT190" s="543" t="s">
        <v>82</v>
      </c>
      <c r="BU190" s="487" t="str">
        <f t="shared" ca="1" si="95"/>
        <v>-</v>
      </c>
      <c r="BV190" s="487" t="str">
        <f t="array" aca="1" ref="BV19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90" s="378" t="str">
        <f t="shared" ca="1" si="91"/>
        <v>-</v>
      </c>
      <c r="BX190" s="378" t="str">
        <f t="shared" ca="1" si="92"/>
        <v>-</v>
      </c>
      <c r="BY190" s="510" t="str">
        <f ca="1">IFERROR(ROUND(INDEX(Cluster,MATCH(IF(LEFT(BV190,4)="Pool",INDEX(Cluster,MATCH(INDEX(Calculation_Tab,MATCH(INDEX($BE$4:$BJ$99,MATCH(BV190,$BE$4:$BE$99,0),3),Flow_Cell_Lane,0),3),Cluster!$F$29:$F$412,0),6),BV190),Identifier_Cluster,0),19)*IF(LEFT(BV190,4)="pool",IF(LEN(INDEX($BE$4:$BJ$99,MATCH(BV190,$BE$4:$BE$99,0),3))=10,2,IF(LEN(INDEX($BE$4:$BJ$99,MATCH(BV190,$BE$4:$BE$99,0),3))&gt;10,LEN(INDEX($BE$4:$BJ$99,MATCH(BV190,$BE$4:$BE$99,0),3))-8,1)),1)*IF(LEFT(BV190,4)="pool",IF(INDEX($BE$4:$BJ$99,MATCH(BV190,$BE$4:$BE$99,0),6)&lt;1,1,INDEX($BE$4:$BJ$99,MATCH(BV190,$BE$4:$BE$99,0),6)),INDEX(Calculation_Tab,MATCH(BV190,Identifier,0),10)),1)*(1+Calculation!$Q$6),"-")</f>
        <v>-</v>
      </c>
      <c r="BZ190" s="378" t="str">
        <f ca="1">IFERROR((0.5/50)*CE190/Calculation!$AG$6*(IF(LEFT(BV190,4)="Pool",IF(LEN(INDEX($BE$4:$BJ$99,MATCH(BV190,$BE$4:$BE$99,0),3))=10,2,IF(LEN(INDEX($BE$4:$BJ$99,MATCH(BV190,$BE$4:$BE$99,0),3))&gt;10,LEN(INDEX($BE$4:$BJ$99,MATCH(BV190,$BE$4:$BE$99,0),3))-8,1)),IF(INDEX(Calculation_Tab,MATCH(BV190,Identifier,0),10)&gt;1,INDEX(Calculation_Tab,MATCH(BV190,Identifier,0),10),1)))*(1+Calculation!$Q$6),"-")</f>
        <v>-</v>
      </c>
      <c r="CA190" s="510" t="str">
        <f ca="1">IFERROR(IF((BZ190*Calculation!$AG$6/0.05)-SUM(BY190:BZ190,CC190)&gt;0,(BZ190*Calculation!$AG$6/0.05)-SUM(BY190:BZ190,CC190),0),"-")</f>
        <v>-</v>
      </c>
      <c r="CB190" s="510" t="str">
        <f ca="1">IFERROR(5/50*CE190*(IF(LEFT(BV190,4)="Pool",IF(LEN(INDEX($BE$4:$BJ$99,MATCH(BV190,$BE$4:$BE$99,0),3))=10,2,IF(LEN(INDEX($BE$4:$BJ$99,MATCH(BV190,$BE$4:$BE$99,0),3))&gt;10,LEN(INDEX($BE$4:$BJ$99,MATCH(BV190,$BE$4:$BE$99,0),3))-8,1)),IF(INDEX(Calculation_Tab,MATCH(BV190,Identifier,0),10)&gt;1,INDEX(Calculation_Tab,MATCH(BV190,Identifier,0),10),1)))*(1+Calculation!$Q$6),"-")</f>
        <v>-</v>
      </c>
      <c r="CC190" s="508" t="str">
        <f ca="1">IFERROR(ROUND(INDEX(Cluster,MATCH(IF(LEFT(BV190,4)="Pool",INDEX(Cluster,MATCH(INDEX(Calculation_Tab,MATCH(INDEX($BE$4:$BJ$99,MATCH(BV190,$BE$4:$BE$99,0),3),Flow_Cell_Lane,0),3),Cluster!$F$29:$F$412,0),6),BV190),Identifier_Cluster,0),20)*IF(LEFT(BV190,4)="pool",IF(LEN(INDEX($BE$4:$BJ$99,MATCH(BV190,$BE$4:$BE$99,0),3))=10,2,IF(LEN(INDEX($BE$4:$BJ$99,MATCH(BV190,$BE$4:$BE$99,0),3))&gt;10,LEN(INDEX($BE$4:$BJ$99,MATCH(BV190,$BE$4:$BE$99,0),3))-8,1)),1)*IF(LEFT(BV190,4)="pool",IF(INDEX($BE$4:$BJ$99,MATCH(BV190,$BE$4:$BE$99,0),6)&lt;1,1,INDEX($BE$4:$BJ$99,MATCH(BV190,$BE$4:$BE$99,0),6)),INDEX(Calculation_Tab,MATCH(BV190,Identifier,0),10)),1)*(1+Calculation!$Q$6),"-")</f>
        <v>-</v>
      </c>
      <c r="CD190" s="509" t="str">
        <f ca="1">IFERROR(INDEX(Cluster!AC:AD,MATCH(IF(LEFT(BV190,4)="Pool",INDEX(Cluster!$D$29:$AA$412,MATCH(INDEX(Calculation_Tab,MATCH(INDEX($BE$4:$BJ$99,MATCH(BV190,$BE$4:$BE$99,0),3),Flow_Cell_Lane,0),3),Cluster!$F$29:$F$412,0),24),INDEX(Cluster!$D$29:$AA$412,MATCH(BV190,Cluster!$F$29:$F$412,0),24)),Cluster!AC:AC,0),2),"-")</f>
        <v>-</v>
      </c>
      <c r="CE190" s="378" t="str">
        <f ca="1">IFERROR(IF(BV190&lt;&gt;"-",Calculation!$AK$6,"-"),"-")</f>
        <v>-</v>
      </c>
      <c r="CF190" s="378" t="str">
        <f ca="1">IF(OR(LEFT(ListAndConversion!BW190,3)="Dil",LEFT(ListAndConversion!BW190,3)="Poo"),ListAndConversion!$BT$4,IF(LEFT(ListAndConversion!BW190,3)="Sou",INDEX(ListAndConversion!$AT$3:$AV$387,MATCH(ListAndConversion!BV190,ListAndConversion!$AV$3:$AV$387,0),1),"-"))</f>
        <v>-</v>
      </c>
      <c r="CG190" s="498" t="str">
        <f ca="1">IF(OR(LEFT(ListAndConversion!BW190,3)="Dil",LEFT(ListAndConversion!BW190,3)="Poo"),ListAndConversion!BU190,IF(LEFT(ListAndConversion!BW190,3)="Sou",INDEX(ListAndConversion!$AT$4:$AV$387,MATCH(ListAndConversion!BV190,ListAndConversion!$AV$4:$AV$387,0),2),"-"))</f>
        <v>-</v>
      </c>
      <c r="CH190" s="378"/>
      <c r="CI190" s="487" t="str">
        <f t="shared" ca="1" si="93"/>
        <v>-</v>
      </c>
      <c r="CJ190" s="378" t="str">
        <f t="shared" ca="1" si="106"/>
        <v>-</v>
      </c>
      <c r="CK190" s="378" t="str">
        <f t="shared" ca="1" si="106"/>
        <v>-</v>
      </c>
      <c r="CL190" s="378" t="str">
        <f t="shared" ca="1" si="106"/>
        <v>-</v>
      </c>
      <c r="CM190" s="378" t="str">
        <f t="shared" ca="1" si="106"/>
        <v>-</v>
      </c>
      <c r="CN190" s="378" t="str">
        <f t="shared" ca="1" si="106"/>
        <v>-</v>
      </c>
      <c r="CO190" s="378" t="str">
        <f t="shared" ca="1" si="106"/>
        <v>-</v>
      </c>
      <c r="CP190" s="378" t="str">
        <f t="shared" ca="1" si="106"/>
        <v>-</v>
      </c>
      <c r="CQ190" s="378" t="str">
        <f t="shared" ca="1" si="106"/>
        <v>-</v>
      </c>
      <c r="CR190" s="510" t="str">
        <f ca="1">IFERROR(IF(LEFT(BW190,3)="Poo",INDEX($BE$4:$BJ$99,MATCH(CI190,$BG$4:$BG$99,0),6)*((15/50))*Calculation!$AK$6,INDEX(Calculation_Tab,MATCH(BV190,Identifier,0),10)/(IF(LEN(INDEX(Calculation_Tab,MATCH(BV190,Identifier,0),9))&gt;8,LEN(INDEX(Calculation_Tab,MATCH(BV190,Identifier,0),9))-8,1))*((15/50)*Calculation!$AK$6)),"-")</f>
        <v>-</v>
      </c>
      <c r="CS190" s="498" t="str">
        <f ca="1">IF(CI190="-","-",IF(COUNTIF($CI$3:CI190,CI190)&gt;1,0,IFERROR((35/50)*Calculation!$AK$6,"-")))</f>
        <v>-</v>
      </c>
    </row>
    <row r="191" spans="4:97" x14ac:dyDescent="0.5">
      <c r="D191" s="487" t="e">
        <f t="shared" si="79"/>
        <v>#DIV/0!</v>
      </c>
      <c r="E191" s="496" t="e">
        <f t="array" ref="E191">IF(IF((ROW(E191)-3)&lt;(ListAndConversion!$A$15),INDEX(Flow_Cell_Lane,MIN(IF(COUNTIF($E$2:E190,Flow_Cell_Lane)=0,ROW(Flow_Cell_Lane)-9))),"-")="","-",IF((ROW(E191)-3)&lt;(ListAndConversion!$A$15),INDEX(Flow_Cell_Lane,MIN(IF(COUNTIF($E$2:E190,Flow_Cell_Lane)=0,ROW(Flow_Cell_Lane)-9))),"-"))</f>
        <v>#DIV/0!</v>
      </c>
      <c r="F191" s="378" t="e">
        <f t="shared" si="80"/>
        <v>#DIV/0!</v>
      </c>
      <c r="G191" s="378" t="e">
        <f t="shared" si="105"/>
        <v>#DIV/0!</v>
      </c>
      <c r="H191" s="378" t="e">
        <f t="shared" si="105"/>
        <v>#DIV/0!</v>
      </c>
      <c r="I191" s="378" t="e">
        <f t="shared" si="105"/>
        <v>#DIV/0!</v>
      </c>
      <c r="J191" s="378" t="e">
        <f t="shared" si="105"/>
        <v>#DIV/0!</v>
      </c>
      <c r="K191" s="378" t="e">
        <f t="shared" si="105"/>
        <v>#DIV/0!</v>
      </c>
      <c r="L191" s="378" t="e">
        <f t="shared" si="105"/>
        <v>#DIV/0!</v>
      </c>
      <c r="M191" s="378" t="e">
        <f t="shared" si="105"/>
        <v>#DIV/0!</v>
      </c>
      <c r="N191" s="497" t="e">
        <f t="shared" si="81"/>
        <v>#DIV/0!</v>
      </c>
      <c r="O191" s="497" t="str">
        <f t="array" ref="O191">IFERROR(INDEX(Calculation!I:AN,MATCH(ListAndConversion!E191,Calculation!I:I,0),31),"-")</f>
        <v>-</v>
      </c>
      <c r="P191" s="498">
        <f>IF(COUNTIFS(Calculation!$I$10:$I$393,E191,Direct_Denaturation,"-")&lt;&gt;1,COUNTIFS(Calculation!$I$10:$I$393,E191,Direct_Denaturation,"-"),0)</f>
        <v>0</v>
      </c>
      <c r="V191" s="542" t="s">
        <v>82</v>
      </c>
      <c r="W191" s="542" t="s">
        <v>82</v>
      </c>
      <c r="X191" s="542" t="s">
        <v>82</v>
      </c>
      <c r="Y191" s="542" t="s">
        <v>82</v>
      </c>
      <c r="Z191" s="542" t="s">
        <v>82</v>
      </c>
      <c r="AA191" s="542" t="s">
        <v>82</v>
      </c>
      <c r="AB191" s="542" t="s">
        <v>82</v>
      </c>
      <c r="AC191" s="542" t="s">
        <v>82</v>
      </c>
      <c r="AD191" s="542" t="s">
        <v>82</v>
      </c>
      <c r="AE191" s="542" t="s">
        <v>82</v>
      </c>
      <c r="AF191" s="542" t="s">
        <v>82</v>
      </c>
      <c r="AG191" s="542" t="s">
        <v>82</v>
      </c>
      <c r="AH191" s="9"/>
      <c r="AI191" s="487">
        <v>188</v>
      </c>
      <c r="AJ191" s="497" t="s">
        <v>161</v>
      </c>
      <c r="AK191" s="378">
        <v>92</v>
      </c>
      <c r="AL191" s="378" t="str">
        <f t="shared" ca="1" si="82"/>
        <v>-</v>
      </c>
      <c r="AM191" s="378" t="str">
        <f t="array" aca="1" ref="AM191" ca="1">IFERROR(IF(AI191&lt;=$AB$2,"-",INDEX(Calculation_Tab,SMALL(ROW(Main_Dil)*(Main_Dil&lt;&gt;"-"),COUNTIF(Main_Dil,"-")+ROW()-3-$AB$2)-9,5)),"-")</f>
        <v>-</v>
      </c>
      <c r="AN191" s="378" t="str">
        <f t="array" aca="1" ref="AN191" ca="1">IFERROR(IF(AI191&lt;=$AB$2,"-",INDEX($A$3:$B$12,MATCH(INDEX(Calculation_Tab,SMALL(ROW(Main_Dil)*(Main_Dil&lt;&gt;"-"),COUNTIF(Main_Dil,"-")+ROW()-3-$AB$2)-9,5),$A$3:$A$12,0),2)),"-")</f>
        <v>-</v>
      </c>
      <c r="AO191" s="378" t="str">
        <f t="array" aca="1" ref="AO191" ca="1">IFERROR(IF(AI191&lt;=$AB$2,"-",INDEX(Coordinate,MATCH(INDEX(Calculation_Tab,SMALL(ROW(Main_Dil)*(Main_Dil&lt;&gt;"-"),COUNTIF(Main_Dil,"-")+ROW()-3-$AB$2)-9,6),$X$4:$X$99,0),2)),"-")</f>
        <v>-</v>
      </c>
      <c r="AP191" s="510" t="str">
        <f t="array" aca="1" ref="AP191" ca="1">IFERROR(IF(AI191&lt;=$AB$2,"-",INDEX(Calculation_Tab,SMALL(ROW(Main_Dil)*(Main_Dil&lt;&gt;"-"),COUNTIF(Main_Dil,"-")+ROW()-3-$AB$2)-9,21)),"-")</f>
        <v>-</v>
      </c>
      <c r="AQ191" s="511" t="str">
        <f t="array" aca="1" ref="AQ191" ca="1">IFERROR(IF(AI191&lt;=$AB$2,"-",INDEX(Calculation_Tab,SMALL(ROW(Main_Dil)*(Main_Dil&lt;&gt;"-"),COUNTIF(Main_Dil,"-")+ROW()-3-$AB$2)-9,22)),"-")</f>
        <v>-</v>
      </c>
      <c r="AR191" s="487" t="str">
        <f t="shared" ca="1" si="83"/>
        <v>-</v>
      </c>
      <c r="AS191" s="378">
        <v>188</v>
      </c>
      <c r="AT191" s="497" t="s">
        <v>161</v>
      </c>
      <c r="AU191" s="498">
        <v>92</v>
      </c>
      <c r="AV191" s="378" t="str">
        <f t="shared" ca="1" si="84"/>
        <v>-</v>
      </c>
      <c r="AW191" s="378" t="str">
        <f t="array" aca="1" ref="AW191" ca="1">IFERROR(IF(AS191&lt;=$AB$2+$AN$2,"-",INDEX(Calculation_Tab,SMALL(ROW(Direct_Denaturation)*(Direct_Denaturation&lt;&gt;"-"),COUNTIF(Direct_Denaturation,"-")+ROW()-3-$AB$2-$AN$2)-9,5)),"-")</f>
        <v>-</v>
      </c>
      <c r="AX191" s="378" t="str">
        <f t="array" aca="1" ref="AX191" ca="1">IFERROR(IF(AS191&lt;=$AB$2+$AN$2,"-",INDEX($A$3:$B$12,MATCH(INDEX(Calculation_Tab,SMALL(ROW(Direct_Denaturation)*(Direct_Denaturation&lt;&gt;"-"),COUNTIF(Direct_Denaturation,"-")+ROW()-3-$AB$2-$AN$2)-9,5),$A$3:$A$12,0),2)),"-")</f>
        <v>-</v>
      </c>
      <c r="AY191" s="378" t="str">
        <f t="array" aca="1" ref="AY191" ca="1">IFERROR(IF(AS191&lt;=$AB$2+$AN$2,"-",INDEX(Coordinate,MATCH(INDEX(Calculation_Tab,SMALL(ROW(Direct_Denaturation)*(Direct_Denaturation&lt;&gt;"-"),COUNTIF(Direct_Denaturation,"-")+ROW()-3-$AB$2-$AN$2)-9,6),$X$4:$X$99,0),2)),"-")</f>
        <v>-</v>
      </c>
      <c r="AZ191" s="510" t="str">
        <f t="array" aca="1" ref="AZ191" ca="1">IFERROR(IF(AS191&lt;=$AB$2+$AN$2,"-",INDEX(Calculation_Tab,SMALL(ROW(Direct_Denaturation)*(Direct_Denaturation&lt;&gt;"-"),COUNTIF(Direct_Denaturation,"-")+ROW()-3-$AB$2-$AN$2)-9,32)),"-")</f>
        <v>-</v>
      </c>
      <c r="BA191" s="510" t="str">
        <f t="array" aca="1" ref="BA191" ca="1">IFERROR(IF(AS191&lt;=$AB$2+$AN$2,"-",INDEX(Calculation_Tab,SMALL(ROW(Direct_Denaturation)*(Direct_Denaturation&lt;&gt;"-"),COUNTIF(Direct_Denaturation,"-")+ROW()-3-$AB$2-$AN$2)-9,34)),"-")</f>
        <v>-</v>
      </c>
      <c r="BB191" s="510" t="str">
        <f t="array" aca="1" ref="BB191" ca="1">IFERROR(IF(AS191&lt;=$AB$2+$AN$2,"-",INDEX(Calculation_Tab,SMALL(ROW(Direct_Denaturation)*(Direct_Denaturation&lt;&gt;"-"),COUNTIF(Direct_Denaturation,"-")+ROW()-3-$AB$2-$AN$2)-9,33)),"-")</f>
        <v>-</v>
      </c>
      <c r="BC191" s="510" t="str">
        <f t="array" aca="1" ref="BC191" ca="1">IFERROR(IF(AS191&lt;=$AB$2+$AN$2,"-",INDEX(Calculation_Tab,SMALL(ROW(Direct_Denaturation)*(Direct_Denaturation&lt;&gt;"-"),COUNTIF(Direct_Denaturation,"-")+ROW()-3-$AB$2-$AN$2)-9,35)),"-")</f>
        <v>-</v>
      </c>
      <c r="BD191" s="511" t="str">
        <f t="shared" ca="1" si="85"/>
        <v>-</v>
      </c>
      <c r="BK191" s="542" t="s">
        <v>82</v>
      </c>
      <c r="BL191" s="542" t="s">
        <v>82</v>
      </c>
      <c r="BM191" s="487" t="str">
        <f t="array" aca="1" ref="BM191" ca="1">IFERROR(INDEX(Calculation_Tab,SMALL(ROW(ToPool)*(ToPool&lt;&gt;"-"),COUNTIF(ToPool,"-")+ROW()-3)-9,3),"-")</f>
        <v>-</v>
      </c>
      <c r="BN191" s="378" t="str">
        <f t="shared" ca="1" si="86"/>
        <v>-</v>
      </c>
      <c r="BO191" s="378" t="str">
        <f t="shared" ca="1" si="87"/>
        <v>-</v>
      </c>
      <c r="BP191" s="523" t="str">
        <f t="shared" ca="1" si="88"/>
        <v>-</v>
      </c>
      <c r="BQ191" s="378" t="str">
        <f t="array" aca="1" ref="BQ191" ca="1">IFERROR(INDEX(BE:BG,MATCH(INDEX(Calculation_Tab,SMALL(ROW(ToPool)*(ToPool&lt;&gt;"-"),COUNTIF(ToPool,"-")+ROW()-3)-9,9),BG:BG,0),2),"-")</f>
        <v>-</v>
      </c>
      <c r="BR191" s="510" t="str">
        <f t="shared" ca="1" si="89"/>
        <v>-</v>
      </c>
      <c r="BS191" s="511" t="str">
        <f t="shared" ca="1" si="90"/>
        <v>-</v>
      </c>
      <c r="BT191" s="543" t="s">
        <v>82</v>
      </c>
      <c r="BU191" s="487" t="str">
        <f t="shared" ca="1" si="95"/>
        <v>-</v>
      </c>
      <c r="BV191" s="487" t="str">
        <f t="array" aca="1" ref="BV19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91" s="378" t="str">
        <f t="shared" ca="1" si="91"/>
        <v>-</v>
      </c>
      <c r="BX191" s="378" t="str">
        <f t="shared" ca="1" si="92"/>
        <v>-</v>
      </c>
      <c r="BY191" s="510" t="str">
        <f ca="1">IFERROR(ROUND(INDEX(Cluster,MATCH(IF(LEFT(BV191,4)="Pool",INDEX(Cluster,MATCH(INDEX(Calculation_Tab,MATCH(INDEX($BE$4:$BJ$99,MATCH(BV191,$BE$4:$BE$99,0),3),Flow_Cell_Lane,0),3),Cluster!$F$29:$F$412,0),6),BV191),Identifier_Cluster,0),19)*IF(LEFT(BV191,4)="pool",IF(LEN(INDEX($BE$4:$BJ$99,MATCH(BV191,$BE$4:$BE$99,0),3))=10,2,IF(LEN(INDEX($BE$4:$BJ$99,MATCH(BV191,$BE$4:$BE$99,0),3))&gt;10,LEN(INDEX($BE$4:$BJ$99,MATCH(BV191,$BE$4:$BE$99,0),3))-8,1)),1)*IF(LEFT(BV191,4)="pool",IF(INDEX($BE$4:$BJ$99,MATCH(BV191,$BE$4:$BE$99,0),6)&lt;1,1,INDEX($BE$4:$BJ$99,MATCH(BV191,$BE$4:$BE$99,0),6)),INDEX(Calculation_Tab,MATCH(BV191,Identifier,0),10)),1)*(1+Calculation!$Q$6),"-")</f>
        <v>-</v>
      </c>
      <c r="BZ191" s="378" t="str">
        <f ca="1">IFERROR((0.5/50)*CE191/Calculation!$AG$6*(IF(LEFT(BV191,4)="Pool",IF(LEN(INDEX($BE$4:$BJ$99,MATCH(BV191,$BE$4:$BE$99,0),3))=10,2,IF(LEN(INDEX($BE$4:$BJ$99,MATCH(BV191,$BE$4:$BE$99,0),3))&gt;10,LEN(INDEX($BE$4:$BJ$99,MATCH(BV191,$BE$4:$BE$99,0),3))-8,1)),IF(INDEX(Calculation_Tab,MATCH(BV191,Identifier,0),10)&gt;1,INDEX(Calculation_Tab,MATCH(BV191,Identifier,0),10),1)))*(1+Calculation!$Q$6),"-")</f>
        <v>-</v>
      </c>
      <c r="CA191" s="510" t="str">
        <f ca="1">IFERROR(IF((BZ191*Calculation!$AG$6/0.05)-SUM(BY191:BZ191,CC191)&gt;0,(BZ191*Calculation!$AG$6/0.05)-SUM(BY191:BZ191,CC191),0),"-")</f>
        <v>-</v>
      </c>
      <c r="CB191" s="510" t="str">
        <f ca="1">IFERROR(5/50*CE191*(IF(LEFT(BV191,4)="Pool",IF(LEN(INDEX($BE$4:$BJ$99,MATCH(BV191,$BE$4:$BE$99,0),3))=10,2,IF(LEN(INDEX($BE$4:$BJ$99,MATCH(BV191,$BE$4:$BE$99,0),3))&gt;10,LEN(INDEX($BE$4:$BJ$99,MATCH(BV191,$BE$4:$BE$99,0),3))-8,1)),IF(INDEX(Calculation_Tab,MATCH(BV191,Identifier,0),10)&gt;1,INDEX(Calculation_Tab,MATCH(BV191,Identifier,0),10),1)))*(1+Calculation!$Q$6),"-")</f>
        <v>-</v>
      </c>
      <c r="CC191" s="508" t="str">
        <f ca="1">IFERROR(ROUND(INDEX(Cluster,MATCH(IF(LEFT(BV191,4)="Pool",INDEX(Cluster,MATCH(INDEX(Calculation_Tab,MATCH(INDEX($BE$4:$BJ$99,MATCH(BV191,$BE$4:$BE$99,0),3),Flow_Cell_Lane,0),3),Cluster!$F$29:$F$412,0),6),BV191),Identifier_Cluster,0),20)*IF(LEFT(BV191,4)="pool",IF(LEN(INDEX($BE$4:$BJ$99,MATCH(BV191,$BE$4:$BE$99,0),3))=10,2,IF(LEN(INDEX($BE$4:$BJ$99,MATCH(BV191,$BE$4:$BE$99,0),3))&gt;10,LEN(INDEX($BE$4:$BJ$99,MATCH(BV191,$BE$4:$BE$99,0),3))-8,1)),1)*IF(LEFT(BV191,4)="pool",IF(INDEX($BE$4:$BJ$99,MATCH(BV191,$BE$4:$BE$99,0),6)&lt;1,1,INDEX($BE$4:$BJ$99,MATCH(BV191,$BE$4:$BE$99,0),6)),INDEX(Calculation_Tab,MATCH(BV191,Identifier,0),10)),1)*(1+Calculation!$Q$6),"-")</f>
        <v>-</v>
      </c>
      <c r="CD191" s="509" t="str">
        <f ca="1">IFERROR(INDEX(Cluster!AC:AD,MATCH(IF(LEFT(BV191,4)="Pool",INDEX(Cluster!$D$29:$AA$412,MATCH(INDEX(Calculation_Tab,MATCH(INDEX($BE$4:$BJ$99,MATCH(BV191,$BE$4:$BE$99,0),3),Flow_Cell_Lane,0),3),Cluster!$F$29:$F$412,0),24),INDEX(Cluster!$D$29:$AA$412,MATCH(BV191,Cluster!$F$29:$F$412,0),24)),Cluster!AC:AC,0),2),"-")</f>
        <v>-</v>
      </c>
      <c r="CE191" s="378" t="str">
        <f ca="1">IFERROR(IF(BV191&lt;&gt;"-",Calculation!$AK$6,"-"),"-")</f>
        <v>-</v>
      </c>
      <c r="CF191" s="378" t="str">
        <f ca="1">IF(OR(LEFT(ListAndConversion!BW191,3)="Dil",LEFT(ListAndConversion!BW191,3)="Poo"),ListAndConversion!$BT$4,IF(LEFT(ListAndConversion!BW191,3)="Sou",INDEX(ListAndConversion!$AT$3:$AV$387,MATCH(ListAndConversion!BV191,ListAndConversion!$AV$3:$AV$387,0),1),"-"))</f>
        <v>-</v>
      </c>
      <c r="CG191" s="498" t="str">
        <f ca="1">IF(OR(LEFT(ListAndConversion!BW191,3)="Dil",LEFT(ListAndConversion!BW191,3)="Poo"),ListAndConversion!BU191,IF(LEFT(ListAndConversion!BW191,3)="Sou",INDEX(ListAndConversion!$AT$4:$AV$387,MATCH(ListAndConversion!BV191,ListAndConversion!$AV$4:$AV$387,0),2),"-"))</f>
        <v>-</v>
      </c>
      <c r="CH191" s="378"/>
      <c r="CI191" s="487" t="str">
        <f t="shared" ca="1" si="93"/>
        <v>-</v>
      </c>
      <c r="CJ191" s="378" t="str">
        <f t="shared" ca="1" si="106"/>
        <v>-</v>
      </c>
      <c r="CK191" s="378" t="str">
        <f t="shared" ca="1" si="106"/>
        <v>-</v>
      </c>
      <c r="CL191" s="378" t="str">
        <f t="shared" ca="1" si="106"/>
        <v>-</v>
      </c>
      <c r="CM191" s="378" t="str">
        <f t="shared" ca="1" si="106"/>
        <v>-</v>
      </c>
      <c r="CN191" s="378" t="str">
        <f t="shared" ca="1" si="106"/>
        <v>-</v>
      </c>
      <c r="CO191" s="378" t="str">
        <f t="shared" ca="1" si="106"/>
        <v>-</v>
      </c>
      <c r="CP191" s="378" t="str">
        <f t="shared" ca="1" si="106"/>
        <v>-</v>
      </c>
      <c r="CQ191" s="378" t="str">
        <f t="shared" ca="1" si="106"/>
        <v>-</v>
      </c>
      <c r="CR191" s="510" t="str">
        <f ca="1">IFERROR(IF(LEFT(BW191,3)="Poo",INDEX($BE$4:$BJ$99,MATCH(CI191,$BG$4:$BG$99,0),6)*((15/50))*Calculation!$AK$6,INDEX(Calculation_Tab,MATCH(BV191,Identifier,0),10)/(IF(LEN(INDEX(Calculation_Tab,MATCH(BV191,Identifier,0),9))&gt;8,LEN(INDEX(Calculation_Tab,MATCH(BV191,Identifier,0),9))-8,1))*((15/50)*Calculation!$AK$6)),"-")</f>
        <v>-</v>
      </c>
      <c r="CS191" s="498" t="str">
        <f ca="1">IF(CI191="-","-",IF(COUNTIF($CI$3:CI191,CI191)&gt;1,0,IFERROR((35/50)*Calculation!$AK$6,"-")))</f>
        <v>-</v>
      </c>
    </row>
    <row r="192" spans="4:97" x14ac:dyDescent="0.5">
      <c r="D192" s="487" t="e">
        <f t="shared" si="79"/>
        <v>#DIV/0!</v>
      </c>
      <c r="E192" s="496" t="e">
        <f t="array" ref="E192">IF(IF((ROW(E192)-3)&lt;(ListAndConversion!$A$15),INDEX(Flow_Cell_Lane,MIN(IF(COUNTIF($E$2:E191,Flow_Cell_Lane)=0,ROW(Flow_Cell_Lane)-9))),"-")="","-",IF((ROW(E192)-3)&lt;(ListAndConversion!$A$15),INDEX(Flow_Cell_Lane,MIN(IF(COUNTIF($E$2:E191,Flow_Cell_Lane)=0,ROW(Flow_Cell_Lane)-9))),"-"))</f>
        <v>#DIV/0!</v>
      </c>
      <c r="F192" s="378" t="e">
        <f t="shared" si="80"/>
        <v>#DIV/0!</v>
      </c>
      <c r="G192" s="378" t="e">
        <f t="shared" si="105"/>
        <v>#DIV/0!</v>
      </c>
      <c r="H192" s="378" t="e">
        <f t="shared" si="105"/>
        <v>#DIV/0!</v>
      </c>
      <c r="I192" s="378" t="e">
        <f t="shared" si="105"/>
        <v>#DIV/0!</v>
      </c>
      <c r="J192" s="378" t="e">
        <f t="shared" si="105"/>
        <v>#DIV/0!</v>
      </c>
      <c r="K192" s="378" t="e">
        <f t="shared" si="105"/>
        <v>#DIV/0!</v>
      </c>
      <c r="L192" s="378" t="e">
        <f t="shared" si="105"/>
        <v>#DIV/0!</v>
      </c>
      <c r="M192" s="378" t="e">
        <f t="shared" si="105"/>
        <v>#DIV/0!</v>
      </c>
      <c r="N192" s="497" t="e">
        <f t="shared" si="81"/>
        <v>#DIV/0!</v>
      </c>
      <c r="O192" s="497" t="str">
        <f t="array" ref="O192">IFERROR(INDEX(Calculation!I:AN,MATCH(ListAndConversion!E192,Calculation!I:I,0),31),"-")</f>
        <v>-</v>
      </c>
      <c r="P192" s="498">
        <f>IF(COUNTIFS(Calculation!$I$10:$I$393,E192,Direct_Denaturation,"-")&lt;&gt;1,COUNTIFS(Calculation!$I$10:$I$393,E192,Direct_Denaturation,"-"),0)</f>
        <v>0</v>
      </c>
      <c r="V192" s="542" t="s">
        <v>82</v>
      </c>
      <c r="W192" s="542" t="s">
        <v>82</v>
      </c>
      <c r="X192" s="542" t="s">
        <v>82</v>
      </c>
      <c r="Y192" s="542" t="s">
        <v>82</v>
      </c>
      <c r="Z192" s="542" t="s">
        <v>82</v>
      </c>
      <c r="AA192" s="542" t="s">
        <v>82</v>
      </c>
      <c r="AB192" s="542" t="s">
        <v>82</v>
      </c>
      <c r="AC192" s="542" t="s">
        <v>82</v>
      </c>
      <c r="AD192" s="542" t="s">
        <v>82</v>
      </c>
      <c r="AE192" s="542" t="s">
        <v>82</v>
      </c>
      <c r="AF192" s="542" t="s">
        <v>82</v>
      </c>
      <c r="AG192" s="542" t="s">
        <v>82</v>
      </c>
      <c r="AH192" s="9"/>
      <c r="AI192" s="487">
        <v>189</v>
      </c>
      <c r="AJ192" s="497" t="s">
        <v>161</v>
      </c>
      <c r="AK192" s="378">
        <v>93</v>
      </c>
      <c r="AL192" s="378" t="str">
        <f t="shared" ca="1" si="82"/>
        <v>-</v>
      </c>
      <c r="AM192" s="378" t="str">
        <f t="array" aca="1" ref="AM192" ca="1">IFERROR(IF(AI192&lt;=$AB$2,"-",INDEX(Calculation_Tab,SMALL(ROW(Main_Dil)*(Main_Dil&lt;&gt;"-"),COUNTIF(Main_Dil,"-")+ROW()-3-$AB$2)-9,5)),"-")</f>
        <v>-</v>
      </c>
      <c r="AN192" s="378" t="str">
        <f t="array" aca="1" ref="AN192" ca="1">IFERROR(IF(AI192&lt;=$AB$2,"-",INDEX($A$3:$B$12,MATCH(INDEX(Calculation_Tab,SMALL(ROW(Main_Dil)*(Main_Dil&lt;&gt;"-"),COUNTIF(Main_Dil,"-")+ROW()-3-$AB$2)-9,5),$A$3:$A$12,0),2)),"-")</f>
        <v>-</v>
      </c>
      <c r="AO192" s="378" t="str">
        <f t="array" aca="1" ref="AO192" ca="1">IFERROR(IF(AI192&lt;=$AB$2,"-",INDEX(Coordinate,MATCH(INDEX(Calculation_Tab,SMALL(ROW(Main_Dil)*(Main_Dil&lt;&gt;"-"),COUNTIF(Main_Dil,"-")+ROW()-3-$AB$2)-9,6),$X$4:$X$99,0),2)),"-")</f>
        <v>-</v>
      </c>
      <c r="AP192" s="510" t="str">
        <f t="array" aca="1" ref="AP192" ca="1">IFERROR(IF(AI192&lt;=$AB$2,"-",INDEX(Calculation_Tab,SMALL(ROW(Main_Dil)*(Main_Dil&lt;&gt;"-"),COUNTIF(Main_Dil,"-")+ROW()-3-$AB$2)-9,21)),"-")</f>
        <v>-</v>
      </c>
      <c r="AQ192" s="511" t="str">
        <f t="array" aca="1" ref="AQ192" ca="1">IFERROR(IF(AI192&lt;=$AB$2,"-",INDEX(Calculation_Tab,SMALL(ROW(Main_Dil)*(Main_Dil&lt;&gt;"-"),COUNTIF(Main_Dil,"-")+ROW()-3-$AB$2)-9,22)),"-")</f>
        <v>-</v>
      </c>
      <c r="AR192" s="487" t="str">
        <f t="shared" ca="1" si="83"/>
        <v>-</v>
      </c>
      <c r="AS192" s="378">
        <v>189</v>
      </c>
      <c r="AT192" s="497" t="s">
        <v>161</v>
      </c>
      <c r="AU192" s="498">
        <v>93</v>
      </c>
      <c r="AV192" s="378" t="str">
        <f t="shared" ca="1" si="84"/>
        <v>-</v>
      </c>
      <c r="AW192" s="378" t="str">
        <f t="array" aca="1" ref="AW192" ca="1">IFERROR(IF(AS192&lt;=$AB$2+$AN$2,"-",INDEX(Calculation_Tab,SMALL(ROW(Direct_Denaturation)*(Direct_Denaturation&lt;&gt;"-"),COUNTIF(Direct_Denaturation,"-")+ROW()-3-$AB$2-$AN$2)-9,5)),"-")</f>
        <v>-</v>
      </c>
      <c r="AX192" s="378" t="str">
        <f t="array" aca="1" ref="AX192" ca="1">IFERROR(IF(AS192&lt;=$AB$2+$AN$2,"-",INDEX($A$3:$B$12,MATCH(INDEX(Calculation_Tab,SMALL(ROW(Direct_Denaturation)*(Direct_Denaturation&lt;&gt;"-"),COUNTIF(Direct_Denaturation,"-")+ROW()-3-$AB$2-$AN$2)-9,5),$A$3:$A$12,0),2)),"-")</f>
        <v>-</v>
      </c>
      <c r="AY192" s="378" t="str">
        <f t="array" aca="1" ref="AY192" ca="1">IFERROR(IF(AS192&lt;=$AB$2+$AN$2,"-",INDEX(Coordinate,MATCH(INDEX(Calculation_Tab,SMALL(ROW(Direct_Denaturation)*(Direct_Denaturation&lt;&gt;"-"),COUNTIF(Direct_Denaturation,"-")+ROW()-3-$AB$2-$AN$2)-9,6),$X$4:$X$99,0),2)),"-")</f>
        <v>-</v>
      </c>
      <c r="AZ192" s="510" t="str">
        <f t="array" aca="1" ref="AZ192" ca="1">IFERROR(IF(AS192&lt;=$AB$2+$AN$2,"-",INDEX(Calculation_Tab,SMALL(ROW(Direct_Denaturation)*(Direct_Denaturation&lt;&gt;"-"),COUNTIF(Direct_Denaturation,"-")+ROW()-3-$AB$2-$AN$2)-9,32)),"-")</f>
        <v>-</v>
      </c>
      <c r="BA192" s="510" t="str">
        <f t="array" aca="1" ref="BA192" ca="1">IFERROR(IF(AS192&lt;=$AB$2+$AN$2,"-",INDEX(Calculation_Tab,SMALL(ROW(Direct_Denaturation)*(Direct_Denaturation&lt;&gt;"-"),COUNTIF(Direct_Denaturation,"-")+ROW()-3-$AB$2-$AN$2)-9,34)),"-")</f>
        <v>-</v>
      </c>
      <c r="BB192" s="510" t="str">
        <f t="array" aca="1" ref="BB192" ca="1">IFERROR(IF(AS192&lt;=$AB$2+$AN$2,"-",INDEX(Calculation_Tab,SMALL(ROW(Direct_Denaturation)*(Direct_Denaturation&lt;&gt;"-"),COUNTIF(Direct_Denaturation,"-")+ROW()-3-$AB$2-$AN$2)-9,33)),"-")</f>
        <v>-</v>
      </c>
      <c r="BC192" s="510" t="str">
        <f t="array" aca="1" ref="BC192" ca="1">IFERROR(IF(AS192&lt;=$AB$2+$AN$2,"-",INDEX(Calculation_Tab,SMALL(ROW(Direct_Denaturation)*(Direct_Denaturation&lt;&gt;"-"),COUNTIF(Direct_Denaturation,"-")+ROW()-3-$AB$2-$AN$2)-9,35)),"-")</f>
        <v>-</v>
      </c>
      <c r="BD192" s="511" t="str">
        <f t="shared" ca="1" si="85"/>
        <v>-</v>
      </c>
      <c r="BK192" s="542" t="s">
        <v>82</v>
      </c>
      <c r="BL192" s="542" t="s">
        <v>82</v>
      </c>
      <c r="BM192" s="487" t="str">
        <f t="array" aca="1" ref="BM192" ca="1">IFERROR(INDEX(Calculation_Tab,SMALL(ROW(ToPool)*(ToPool&lt;&gt;"-"),COUNTIF(ToPool,"-")+ROW()-3)-9,3),"-")</f>
        <v>-</v>
      </c>
      <c r="BN192" s="378" t="str">
        <f t="shared" ca="1" si="86"/>
        <v>-</v>
      </c>
      <c r="BO192" s="378" t="str">
        <f t="shared" ca="1" si="87"/>
        <v>-</v>
      </c>
      <c r="BP192" s="523" t="str">
        <f t="shared" ca="1" si="88"/>
        <v>-</v>
      </c>
      <c r="BQ192" s="378" t="str">
        <f t="array" aca="1" ref="BQ192" ca="1">IFERROR(INDEX(BE:BG,MATCH(INDEX(Calculation_Tab,SMALL(ROW(ToPool)*(ToPool&lt;&gt;"-"),COUNTIF(ToPool,"-")+ROW()-3)-9,9),BG:BG,0),2),"-")</f>
        <v>-</v>
      </c>
      <c r="BR192" s="510" t="str">
        <f t="shared" ca="1" si="89"/>
        <v>-</v>
      </c>
      <c r="BS192" s="511" t="str">
        <f t="shared" ca="1" si="90"/>
        <v>-</v>
      </c>
      <c r="BT192" s="543" t="s">
        <v>82</v>
      </c>
      <c r="BU192" s="487" t="str">
        <f t="shared" ca="1" si="95"/>
        <v>-</v>
      </c>
      <c r="BV192" s="487" t="str">
        <f t="array" aca="1" ref="BV19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92" s="378" t="str">
        <f t="shared" ca="1" si="91"/>
        <v>-</v>
      </c>
      <c r="BX192" s="378" t="str">
        <f t="shared" ca="1" si="92"/>
        <v>-</v>
      </c>
      <c r="BY192" s="510" t="str">
        <f ca="1">IFERROR(ROUND(INDEX(Cluster,MATCH(IF(LEFT(BV192,4)="Pool",INDEX(Cluster,MATCH(INDEX(Calculation_Tab,MATCH(INDEX($BE$4:$BJ$99,MATCH(BV192,$BE$4:$BE$99,0),3),Flow_Cell_Lane,0),3),Cluster!$F$29:$F$412,0),6),BV192),Identifier_Cluster,0),19)*IF(LEFT(BV192,4)="pool",IF(LEN(INDEX($BE$4:$BJ$99,MATCH(BV192,$BE$4:$BE$99,0),3))=10,2,IF(LEN(INDEX($BE$4:$BJ$99,MATCH(BV192,$BE$4:$BE$99,0),3))&gt;10,LEN(INDEX($BE$4:$BJ$99,MATCH(BV192,$BE$4:$BE$99,0),3))-8,1)),1)*IF(LEFT(BV192,4)="pool",IF(INDEX($BE$4:$BJ$99,MATCH(BV192,$BE$4:$BE$99,0),6)&lt;1,1,INDEX($BE$4:$BJ$99,MATCH(BV192,$BE$4:$BE$99,0),6)),INDEX(Calculation_Tab,MATCH(BV192,Identifier,0),10)),1)*(1+Calculation!$Q$6),"-")</f>
        <v>-</v>
      </c>
      <c r="BZ192" s="378" t="str">
        <f ca="1">IFERROR((0.5/50)*CE192/Calculation!$AG$6*(IF(LEFT(BV192,4)="Pool",IF(LEN(INDEX($BE$4:$BJ$99,MATCH(BV192,$BE$4:$BE$99,0),3))=10,2,IF(LEN(INDEX($BE$4:$BJ$99,MATCH(BV192,$BE$4:$BE$99,0),3))&gt;10,LEN(INDEX($BE$4:$BJ$99,MATCH(BV192,$BE$4:$BE$99,0),3))-8,1)),IF(INDEX(Calculation_Tab,MATCH(BV192,Identifier,0),10)&gt;1,INDEX(Calculation_Tab,MATCH(BV192,Identifier,0),10),1)))*(1+Calculation!$Q$6),"-")</f>
        <v>-</v>
      </c>
      <c r="CA192" s="510" t="str">
        <f ca="1">IFERROR(IF((BZ192*Calculation!$AG$6/0.05)-SUM(BY192:BZ192,CC192)&gt;0,(BZ192*Calculation!$AG$6/0.05)-SUM(BY192:BZ192,CC192),0),"-")</f>
        <v>-</v>
      </c>
      <c r="CB192" s="510" t="str">
        <f ca="1">IFERROR(5/50*CE192*(IF(LEFT(BV192,4)="Pool",IF(LEN(INDEX($BE$4:$BJ$99,MATCH(BV192,$BE$4:$BE$99,0),3))=10,2,IF(LEN(INDEX($BE$4:$BJ$99,MATCH(BV192,$BE$4:$BE$99,0),3))&gt;10,LEN(INDEX($BE$4:$BJ$99,MATCH(BV192,$BE$4:$BE$99,0),3))-8,1)),IF(INDEX(Calculation_Tab,MATCH(BV192,Identifier,0),10)&gt;1,INDEX(Calculation_Tab,MATCH(BV192,Identifier,0),10),1)))*(1+Calculation!$Q$6),"-")</f>
        <v>-</v>
      </c>
      <c r="CC192" s="508" t="str">
        <f ca="1">IFERROR(ROUND(INDEX(Cluster,MATCH(IF(LEFT(BV192,4)="Pool",INDEX(Cluster,MATCH(INDEX(Calculation_Tab,MATCH(INDEX($BE$4:$BJ$99,MATCH(BV192,$BE$4:$BE$99,0),3),Flow_Cell_Lane,0),3),Cluster!$F$29:$F$412,0),6),BV192),Identifier_Cluster,0),20)*IF(LEFT(BV192,4)="pool",IF(LEN(INDEX($BE$4:$BJ$99,MATCH(BV192,$BE$4:$BE$99,0),3))=10,2,IF(LEN(INDEX($BE$4:$BJ$99,MATCH(BV192,$BE$4:$BE$99,0),3))&gt;10,LEN(INDEX($BE$4:$BJ$99,MATCH(BV192,$BE$4:$BE$99,0),3))-8,1)),1)*IF(LEFT(BV192,4)="pool",IF(INDEX($BE$4:$BJ$99,MATCH(BV192,$BE$4:$BE$99,0),6)&lt;1,1,INDEX($BE$4:$BJ$99,MATCH(BV192,$BE$4:$BE$99,0),6)),INDEX(Calculation_Tab,MATCH(BV192,Identifier,0),10)),1)*(1+Calculation!$Q$6),"-")</f>
        <v>-</v>
      </c>
      <c r="CD192" s="509" t="str">
        <f ca="1">IFERROR(INDEX(Cluster!AC:AD,MATCH(IF(LEFT(BV192,4)="Pool",INDEX(Cluster!$D$29:$AA$412,MATCH(INDEX(Calculation_Tab,MATCH(INDEX($BE$4:$BJ$99,MATCH(BV192,$BE$4:$BE$99,0),3),Flow_Cell_Lane,0),3),Cluster!$F$29:$F$412,0),24),INDEX(Cluster!$D$29:$AA$412,MATCH(BV192,Cluster!$F$29:$F$412,0),24)),Cluster!AC:AC,0),2),"-")</f>
        <v>-</v>
      </c>
      <c r="CE192" s="378" t="str">
        <f ca="1">IFERROR(IF(BV192&lt;&gt;"-",Calculation!$AK$6,"-"),"-")</f>
        <v>-</v>
      </c>
      <c r="CF192" s="378" t="str">
        <f ca="1">IF(OR(LEFT(ListAndConversion!BW192,3)="Dil",LEFT(ListAndConversion!BW192,3)="Poo"),ListAndConversion!$BT$4,IF(LEFT(ListAndConversion!BW192,3)="Sou",INDEX(ListAndConversion!$AT$3:$AV$387,MATCH(ListAndConversion!BV192,ListAndConversion!$AV$3:$AV$387,0),1),"-"))</f>
        <v>-</v>
      </c>
      <c r="CG192" s="498" t="str">
        <f ca="1">IF(OR(LEFT(ListAndConversion!BW192,3)="Dil",LEFT(ListAndConversion!BW192,3)="Poo"),ListAndConversion!BU192,IF(LEFT(ListAndConversion!BW192,3)="Sou",INDEX(ListAndConversion!$AT$4:$AV$387,MATCH(ListAndConversion!BV192,ListAndConversion!$AV$4:$AV$387,0),2),"-"))</f>
        <v>-</v>
      </c>
      <c r="CH192" s="378"/>
      <c r="CI192" s="487" t="str">
        <f t="shared" ca="1" si="93"/>
        <v>-</v>
      </c>
      <c r="CJ192" s="378" t="str">
        <f t="shared" ca="1" si="106"/>
        <v>-</v>
      </c>
      <c r="CK192" s="378" t="str">
        <f t="shared" ca="1" si="106"/>
        <v>-</v>
      </c>
      <c r="CL192" s="378" t="str">
        <f t="shared" ca="1" si="106"/>
        <v>-</v>
      </c>
      <c r="CM192" s="378" t="str">
        <f t="shared" ca="1" si="106"/>
        <v>-</v>
      </c>
      <c r="CN192" s="378" t="str">
        <f t="shared" ca="1" si="106"/>
        <v>-</v>
      </c>
      <c r="CO192" s="378" t="str">
        <f t="shared" ca="1" si="106"/>
        <v>-</v>
      </c>
      <c r="CP192" s="378" t="str">
        <f t="shared" ca="1" si="106"/>
        <v>-</v>
      </c>
      <c r="CQ192" s="378" t="str">
        <f t="shared" ca="1" si="106"/>
        <v>-</v>
      </c>
      <c r="CR192" s="510" t="str">
        <f ca="1">IFERROR(IF(LEFT(BW192,3)="Poo",INDEX($BE$4:$BJ$99,MATCH(CI192,$BG$4:$BG$99,0),6)*((15/50))*Calculation!$AK$6,INDEX(Calculation_Tab,MATCH(BV192,Identifier,0),10)/(IF(LEN(INDEX(Calculation_Tab,MATCH(BV192,Identifier,0),9))&gt;8,LEN(INDEX(Calculation_Tab,MATCH(BV192,Identifier,0),9))-8,1))*((15/50)*Calculation!$AK$6)),"-")</f>
        <v>-</v>
      </c>
      <c r="CS192" s="498" t="str">
        <f ca="1">IF(CI192="-","-",IF(COUNTIF($CI$3:CI192,CI192)&gt;1,0,IFERROR((35/50)*Calculation!$AK$6,"-")))</f>
        <v>-</v>
      </c>
    </row>
    <row r="193" spans="4:97" x14ac:dyDescent="0.5">
      <c r="D193" s="487" t="e">
        <f t="shared" si="79"/>
        <v>#DIV/0!</v>
      </c>
      <c r="E193" s="496" t="e">
        <f t="array" ref="E193">IF(IF((ROW(E193)-3)&lt;(ListAndConversion!$A$15),INDEX(Flow_Cell_Lane,MIN(IF(COUNTIF($E$2:E192,Flow_Cell_Lane)=0,ROW(Flow_Cell_Lane)-9))),"-")="","-",IF((ROW(E193)-3)&lt;(ListAndConversion!$A$15),INDEX(Flow_Cell_Lane,MIN(IF(COUNTIF($E$2:E192,Flow_Cell_Lane)=0,ROW(Flow_Cell_Lane)-9))),"-"))</f>
        <v>#DIV/0!</v>
      </c>
      <c r="F193" s="378" t="e">
        <f t="shared" si="80"/>
        <v>#DIV/0!</v>
      </c>
      <c r="G193" s="378" t="e">
        <f t="shared" ref="G193:M202" si="107">IF($D193&gt;8,IF($D193&gt;=(8+G$2),CONCATENATE(LEFT($E193,7),RIGHT(LEFT($E193,8+G$2),1)),""),"")</f>
        <v>#DIV/0!</v>
      </c>
      <c r="H193" s="378" t="e">
        <f t="shared" si="107"/>
        <v>#DIV/0!</v>
      </c>
      <c r="I193" s="378" t="e">
        <f t="shared" si="107"/>
        <v>#DIV/0!</v>
      </c>
      <c r="J193" s="378" t="e">
        <f t="shared" si="107"/>
        <v>#DIV/0!</v>
      </c>
      <c r="K193" s="378" t="e">
        <f t="shared" si="107"/>
        <v>#DIV/0!</v>
      </c>
      <c r="L193" s="378" t="e">
        <f t="shared" si="107"/>
        <v>#DIV/0!</v>
      </c>
      <c r="M193" s="378" t="e">
        <f t="shared" si="107"/>
        <v>#DIV/0!</v>
      </c>
      <c r="N193" s="497" t="e">
        <f t="shared" si="81"/>
        <v>#DIV/0!</v>
      </c>
      <c r="O193" s="497" t="str">
        <f t="array" ref="O193">IFERROR(INDEX(Calculation!I:AN,MATCH(ListAndConversion!E193,Calculation!I:I,0),31),"-")</f>
        <v>-</v>
      </c>
      <c r="P193" s="498">
        <f>IF(COUNTIFS(Calculation!$I$10:$I$393,E193,Direct_Denaturation,"-")&lt;&gt;1,COUNTIFS(Calculation!$I$10:$I$393,E193,Direct_Denaturation,"-"),0)</f>
        <v>0</v>
      </c>
      <c r="V193" s="542" t="s">
        <v>82</v>
      </c>
      <c r="W193" s="542" t="s">
        <v>82</v>
      </c>
      <c r="X193" s="542" t="s">
        <v>82</v>
      </c>
      <c r="Y193" s="542" t="s">
        <v>82</v>
      </c>
      <c r="Z193" s="542" t="s">
        <v>82</v>
      </c>
      <c r="AA193" s="542" t="s">
        <v>82</v>
      </c>
      <c r="AB193" s="542" t="s">
        <v>82</v>
      </c>
      <c r="AC193" s="542" t="s">
        <v>82</v>
      </c>
      <c r="AD193" s="542" t="s">
        <v>82</v>
      </c>
      <c r="AE193" s="542" t="s">
        <v>82</v>
      </c>
      <c r="AF193" s="542" t="s">
        <v>82</v>
      </c>
      <c r="AG193" s="542" t="s">
        <v>82</v>
      </c>
      <c r="AH193" s="9"/>
      <c r="AI193" s="487">
        <v>190</v>
      </c>
      <c r="AJ193" s="497" t="s">
        <v>161</v>
      </c>
      <c r="AK193" s="378">
        <v>94</v>
      </c>
      <c r="AL193" s="378" t="str">
        <f t="shared" ca="1" si="82"/>
        <v>-</v>
      </c>
      <c r="AM193" s="378" t="str">
        <f t="array" aca="1" ref="AM193" ca="1">IFERROR(IF(AI193&lt;=$AB$2,"-",INDEX(Calculation_Tab,SMALL(ROW(Main_Dil)*(Main_Dil&lt;&gt;"-"),COUNTIF(Main_Dil,"-")+ROW()-3-$AB$2)-9,5)),"-")</f>
        <v>-</v>
      </c>
      <c r="AN193" s="378" t="str">
        <f t="array" aca="1" ref="AN193" ca="1">IFERROR(IF(AI193&lt;=$AB$2,"-",INDEX($A$3:$B$12,MATCH(INDEX(Calculation_Tab,SMALL(ROW(Main_Dil)*(Main_Dil&lt;&gt;"-"),COUNTIF(Main_Dil,"-")+ROW()-3-$AB$2)-9,5),$A$3:$A$12,0),2)),"-")</f>
        <v>-</v>
      </c>
      <c r="AO193" s="378" t="str">
        <f t="array" aca="1" ref="AO193" ca="1">IFERROR(IF(AI193&lt;=$AB$2,"-",INDEX(Coordinate,MATCH(INDEX(Calculation_Tab,SMALL(ROW(Main_Dil)*(Main_Dil&lt;&gt;"-"),COUNTIF(Main_Dil,"-")+ROW()-3-$AB$2)-9,6),$X$4:$X$99,0),2)),"-")</f>
        <v>-</v>
      </c>
      <c r="AP193" s="510" t="str">
        <f t="array" aca="1" ref="AP193" ca="1">IFERROR(IF(AI193&lt;=$AB$2,"-",INDEX(Calculation_Tab,SMALL(ROW(Main_Dil)*(Main_Dil&lt;&gt;"-"),COUNTIF(Main_Dil,"-")+ROW()-3-$AB$2)-9,21)),"-")</f>
        <v>-</v>
      </c>
      <c r="AQ193" s="511" t="str">
        <f t="array" aca="1" ref="AQ193" ca="1">IFERROR(IF(AI193&lt;=$AB$2,"-",INDEX(Calculation_Tab,SMALL(ROW(Main_Dil)*(Main_Dil&lt;&gt;"-"),COUNTIF(Main_Dil,"-")+ROW()-3-$AB$2)-9,22)),"-")</f>
        <v>-</v>
      </c>
      <c r="AR193" s="487" t="str">
        <f t="shared" ca="1" si="83"/>
        <v>-</v>
      </c>
      <c r="AS193" s="378">
        <v>190</v>
      </c>
      <c r="AT193" s="497" t="s">
        <v>161</v>
      </c>
      <c r="AU193" s="498">
        <v>94</v>
      </c>
      <c r="AV193" s="378" t="str">
        <f t="shared" ca="1" si="84"/>
        <v>-</v>
      </c>
      <c r="AW193" s="378" t="str">
        <f t="array" aca="1" ref="AW193" ca="1">IFERROR(IF(AS193&lt;=$AB$2+$AN$2,"-",INDEX(Calculation_Tab,SMALL(ROW(Direct_Denaturation)*(Direct_Denaturation&lt;&gt;"-"),COUNTIF(Direct_Denaturation,"-")+ROW()-3-$AB$2-$AN$2)-9,5)),"-")</f>
        <v>-</v>
      </c>
      <c r="AX193" s="378" t="str">
        <f t="array" aca="1" ref="AX193" ca="1">IFERROR(IF(AS193&lt;=$AB$2+$AN$2,"-",INDEX($A$3:$B$12,MATCH(INDEX(Calculation_Tab,SMALL(ROW(Direct_Denaturation)*(Direct_Denaturation&lt;&gt;"-"),COUNTIF(Direct_Denaturation,"-")+ROW()-3-$AB$2-$AN$2)-9,5),$A$3:$A$12,0),2)),"-")</f>
        <v>-</v>
      </c>
      <c r="AY193" s="378" t="str">
        <f t="array" aca="1" ref="AY193" ca="1">IFERROR(IF(AS193&lt;=$AB$2+$AN$2,"-",INDEX(Coordinate,MATCH(INDEX(Calculation_Tab,SMALL(ROW(Direct_Denaturation)*(Direct_Denaturation&lt;&gt;"-"),COUNTIF(Direct_Denaturation,"-")+ROW()-3-$AB$2-$AN$2)-9,6),$X$4:$X$99,0),2)),"-")</f>
        <v>-</v>
      </c>
      <c r="AZ193" s="510" t="str">
        <f t="array" aca="1" ref="AZ193" ca="1">IFERROR(IF(AS193&lt;=$AB$2+$AN$2,"-",INDEX(Calculation_Tab,SMALL(ROW(Direct_Denaturation)*(Direct_Denaturation&lt;&gt;"-"),COUNTIF(Direct_Denaturation,"-")+ROW()-3-$AB$2-$AN$2)-9,32)),"-")</f>
        <v>-</v>
      </c>
      <c r="BA193" s="510" t="str">
        <f t="array" aca="1" ref="BA193" ca="1">IFERROR(IF(AS193&lt;=$AB$2+$AN$2,"-",INDEX(Calculation_Tab,SMALL(ROW(Direct_Denaturation)*(Direct_Denaturation&lt;&gt;"-"),COUNTIF(Direct_Denaturation,"-")+ROW()-3-$AB$2-$AN$2)-9,34)),"-")</f>
        <v>-</v>
      </c>
      <c r="BB193" s="510" t="str">
        <f t="array" aca="1" ref="BB193" ca="1">IFERROR(IF(AS193&lt;=$AB$2+$AN$2,"-",INDEX(Calculation_Tab,SMALL(ROW(Direct_Denaturation)*(Direct_Denaturation&lt;&gt;"-"),COUNTIF(Direct_Denaturation,"-")+ROW()-3-$AB$2-$AN$2)-9,33)),"-")</f>
        <v>-</v>
      </c>
      <c r="BC193" s="510" t="str">
        <f t="array" aca="1" ref="BC193" ca="1">IFERROR(IF(AS193&lt;=$AB$2+$AN$2,"-",INDEX(Calculation_Tab,SMALL(ROW(Direct_Denaturation)*(Direct_Denaturation&lt;&gt;"-"),COUNTIF(Direct_Denaturation,"-")+ROW()-3-$AB$2-$AN$2)-9,35)),"-")</f>
        <v>-</v>
      </c>
      <c r="BD193" s="511" t="str">
        <f t="shared" ca="1" si="85"/>
        <v>-</v>
      </c>
      <c r="BK193" s="542" t="s">
        <v>82</v>
      </c>
      <c r="BL193" s="542" t="s">
        <v>82</v>
      </c>
      <c r="BM193" s="487" t="str">
        <f t="array" aca="1" ref="BM193" ca="1">IFERROR(INDEX(Calculation_Tab,SMALL(ROW(ToPool)*(ToPool&lt;&gt;"-"),COUNTIF(ToPool,"-")+ROW()-3)-9,3),"-")</f>
        <v>-</v>
      </c>
      <c r="BN193" s="378" t="str">
        <f t="shared" ca="1" si="86"/>
        <v>-</v>
      </c>
      <c r="BO193" s="378" t="str">
        <f t="shared" ca="1" si="87"/>
        <v>-</v>
      </c>
      <c r="BP193" s="523" t="str">
        <f t="shared" ca="1" si="88"/>
        <v>-</v>
      </c>
      <c r="BQ193" s="378" t="str">
        <f t="array" aca="1" ref="BQ193" ca="1">IFERROR(INDEX(BE:BG,MATCH(INDEX(Calculation_Tab,SMALL(ROW(ToPool)*(ToPool&lt;&gt;"-"),COUNTIF(ToPool,"-")+ROW()-3)-9,9),BG:BG,0),2),"-")</f>
        <v>-</v>
      </c>
      <c r="BR193" s="510" t="str">
        <f t="shared" ca="1" si="89"/>
        <v>-</v>
      </c>
      <c r="BS193" s="511" t="str">
        <f t="shared" ca="1" si="90"/>
        <v>-</v>
      </c>
      <c r="BT193" s="543" t="s">
        <v>82</v>
      </c>
      <c r="BU193" s="487" t="str">
        <f t="shared" ca="1" si="95"/>
        <v>-</v>
      </c>
      <c r="BV193" s="487" t="str">
        <f t="array" aca="1" ref="BV19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93" s="378" t="str">
        <f t="shared" ca="1" si="91"/>
        <v>-</v>
      </c>
      <c r="BX193" s="378" t="str">
        <f t="shared" ca="1" si="92"/>
        <v>-</v>
      </c>
      <c r="BY193" s="510" t="str">
        <f ca="1">IFERROR(ROUND(INDEX(Cluster,MATCH(IF(LEFT(BV193,4)="Pool",INDEX(Cluster,MATCH(INDEX(Calculation_Tab,MATCH(INDEX($BE$4:$BJ$99,MATCH(BV193,$BE$4:$BE$99,0),3),Flow_Cell_Lane,0),3),Cluster!$F$29:$F$412,0),6),BV193),Identifier_Cluster,0),19)*IF(LEFT(BV193,4)="pool",IF(LEN(INDEX($BE$4:$BJ$99,MATCH(BV193,$BE$4:$BE$99,0),3))=10,2,IF(LEN(INDEX($BE$4:$BJ$99,MATCH(BV193,$BE$4:$BE$99,0),3))&gt;10,LEN(INDEX($BE$4:$BJ$99,MATCH(BV193,$BE$4:$BE$99,0),3))-8,1)),1)*IF(LEFT(BV193,4)="pool",IF(INDEX($BE$4:$BJ$99,MATCH(BV193,$BE$4:$BE$99,0),6)&lt;1,1,INDEX($BE$4:$BJ$99,MATCH(BV193,$BE$4:$BE$99,0),6)),INDEX(Calculation_Tab,MATCH(BV193,Identifier,0),10)),1)*(1+Calculation!$Q$6),"-")</f>
        <v>-</v>
      </c>
      <c r="BZ193" s="378" t="str">
        <f ca="1">IFERROR((0.5/50)*CE193/Calculation!$AG$6*(IF(LEFT(BV193,4)="Pool",IF(LEN(INDEX($BE$4:$BJ$99,MATCH(BV193,$BE$4:$BE$99,0),3))=10,2,IF(LEN(INDEX($BE$4:$BJ$99,MATCH(BV193,$BE$4:$BE$99,0),3))&gt;10,LEN(INDEX($BE$4:$BJ$99,MATCH(BV193,$BE$4:$BE$99,0),3))-8,1)),IF(INDEX(Calculation_Tab,MATCH(BV193,Identifier,0),10)&gt;1,INDEX(Calculation_Tab,MATCH(BV193,Identifier,0),10),1)))*(1+Calculation!$Q$6),"-")</f>
        <v>-</v>
      </c>
      <c r="CA193" s="510" t="str">
        <f ca="1">IFERROR(IF((BZ193*Calculation!$AG$6/0.05)-SUM(BY193:BZ193,CC193)&gt;0,(BZ193*Calculation!$AG$6/0.05)-SUM(BY193:BZ193,CC193),0),"-")</f>
        <v>-</v>
      </c>
      <c r="CB193" s="510" t="str">
        <f ca="1">IFERROR(5/50*CE193*(IF(LEFT(BV193,4)="Pool",IF(LEN(INDEX($BE$4:$BJ$99,MATCH(BV193,$BE$4:$BE$99,0),3))=10,2,IF(LEN(INDEX($BE$4:$BJ$99,MATCH(BV193,$BE$4:$BE$99,0),3))&gt;10,LEN(INDEX($BE$4:$BJ$99,MATCH(BV193,$BE$4:$BE$99,0),3))-8,1)),IF(INDEX(Calculation_Tab,MATCH(BV193,Identifier,0),10)&gt;1,INDEX(Calculation_Tab,MATCH(BV193,Identifier,0),10),1)))*(1+Calculation!$Q$6),"-")</f>
        <v>-</v>
      </c>
      <c r="CC193" s="508" t="str">
        <f ca="1">IFERROR(ROUND(INDEX(Cluster,MATCH(IF(LEFT(BV193,4)="Pool",INDEX(Cluster,MATCH(INDEX(Calculation_Tab,MATCH(INDEX($BE$4:$BJ$99,MATCH(BV193,$BE$4:$BE$99,0),3),Flow_Cell_Lane,0),3),Cluster!$F$29:$F$412,0),6),BV193),Identifier_Cluster,0),20)*IF(LEFT(BV193,4)="pool",IF(LEN(INDEX($BE$4:$BJ$99,MATCH(BV193,$BE$4:$BE$99,0),3))=10,2,IF(LEN(INDEX($BE$4:$BJ$99,MATCH(BV193,$BE$4:$BE$99,0),3))&gt;10,LEN(INDEX($BE$4:$BJ$99,MATCH(BV193,$BE$4:$BE$99,0),3))-8,1)),1)*IF(LEFT(BV193,4)="pool",IF(INDEX($BE$4:$BJ$99,MATCH(BV193,$BE$4:$BE$99,0),6)&lt;1,1,INDEX($BE$4:$BJ$99,MATCH(BV193,$BE$4:$BE$99,0),6)),INDEX(Calculation_Tab,MATCH(BV193,Identifier,0),10)),1)*(1+Calculation!$Q$6),"-")</f>
        <v>-</v>
      </c>
      <c r="CD193" s="509" t="str">
        <f ca="1">IFERROR(INDEX(Cluster!AC:AD,MATCH(IF(LEFT(BV193,4)="Pool",INDEX(Cluster!$D$29:$AA$412,MATCH(INDEX(Calculation_Tab,MATCH(INDEX($BE$4:$BJ$99,MATCH(BV193,$BE$4:$BE$99,0),3),Flow_Cell_Lane,0),3),Cluster!$F$29:$F$412,0),24),INDEX(Cluster!$D$29:$AA$412,MATCH(BV193,Cluster!$F$29:$F$412,0),24)),Cluster!AC:AC,0),2),"-")</f>
        <v>-</v>
      </c>
      <c r="CE193" s="378" t="str">
        <f ca="1">IFERROR(IF(BV193&lt;&gt;"-",Calculation!$AK$6,"-"),"-")</f>
        <v>-</v>
      </c>
      <c r="CF193" s="378" t="str">
        <f ca="1">IF(OR(LEFT(ListAndConversion!BW193,3)="Dil",LEFT(ListAndConversion!BW193,3)="Poo"),ListAndConversion!$BT$4,IF(LEFT(ListAndConversion!BW193,3)="Sou",INDEX(ListAndConversion!$AT$3:$AV$387,MATCH(ListAndConversion!BV193,ListAndConversion!$AV$3:$AV$387,0),1),"-"))</f>
        <v>-</v>
      </c>
      <c r="CG193" s="498" t="str">
        <f ca="1">IF(OR(LEFT(ListAndConversion!BW193,3)="Dil",LEFT(ListAndConversion!BW193,3)="Poo"),ListAndConversion!BU193,IF(LEFT(ListAndConversion!BW193,3)="Sou",INDEX(ListAndConversion!$AT$4:$AV$387,MATCH(ListAndConversion!BV193,ListAndConversion!$AV$4:$AV$387,0),2),"-"))</f>
        <v>-</v>
      </c>
      <c r="CH193" s="378"/>
      <c r="CI193" s="487" t="str">
        <f t="shared" ca="1" si="93"/>
        <v>-</v>
      </c>
      <c r="CJ193" s="378" t="str">
        <f t="shared" ca="1" si="106"/>
        <v>-</v>
      </c>
      <c r="CK193" s="378" t="str">
        <f t="shared" ca="1" si="106"/>
        <v>-</v>
      </c>
      <c r="CL193" s="378" t="str">
        <f t="shared" ca="1" si="106"/>
        <v>-</v>
      </c>
      <c r="CM193" s="378" t="str">
        <f t="shared" ca="1" si="106"/>
        <v>-</v>
      </c>
      <c r="CN193" s="378" t="str">
        <f t="shared" ca="1" si="106"/>
        <v>-</v>
      </c>
      <c r="CO193" s="378" t="str">
        <f t="shared" ca="1" si="106"/>
        <v>-</v>
      </c>
      <c r="CP193" s="378" t="str">
        <f t="shared" ca="1" si="106"/>
        <v>-</v>
      </c>
      <c r="CQ193" s="378" t="str">
        <f t="shared" ca="1" si="106"/>
        <v>-</v>
      </c>
      <c r="CR193" s="510" t="str">
        <f ca="1">IFERROR(IF(LEFT(BW193,3)="Poo",INDEX($BE$4:$BJ$99,MATCH(CI193,$BG$4:$BG$99,0),6)*((15/50))*Calculation!$AK$6,INDEX(Calculation_Tab,MATCH(BV193,Identifier,0),10)/(IF(LEN(INDEX(Calculation_Tab,MATCH(BV193,Identifier,0),9))&gt;8,LEN(INDEX(Calculation_Tab,MATCH(BV193,Identifier,0),9))-8,1))*((15/50)*Calculation!$AK$6)),"-")</f>
        <v>-</v>
      </c>
      <c r="CS193" s="498" t="str">
        <f ca="1">IF(CI193="-","-",IF(COUNTIF($CI$3:CI193,CI193)&gt;1,0,IFERROR((35/50)*Calculation!$AK$6,"-")))</f>
        <v>-</v>
      </c>
    </row>
    <row r="194" spans="4:97" x14ac:dyDescent="0.5">
      <c r="D194" s="487" t="e">
        <f t="shared" si="79"/>
        <v>#DIV/0!</v>
      </c>
      <c r="E194" s="496" t="e">
        <f t="array" ref="E194">IF(IF((ROW(E194)-3)&lt;(ListAndConversion!$A$15),INDEX(Flow_Cell_Lane,MIN(IF(COUNTIF($E$2:E193,Flow_Cell_Lane)=0,ROW(Flow_Cell_Lane)-9))),"-")="","-",IF((ROW(E194)-3)&lt;(ListAndConversion!$A$15),INDEX(Flow_Cell_Lane,MIN(IF(COUNTIF($E$2:E193,Flow_Cell_Lane)=0,ROW(Flow_Cell_Lane)-9))),"-"))</f>
        <v>#DIV/0!</v>
      </c>
      <c r="F194" s="378" t="e">
        <f t="shared" si="80"/>
        <v>#DIV/0!</v>
      </c>
      <c r="G194" s="378" t="e">
        <f t="shared" si="107"/>
        <v>#DIV/0!</v>
      </c>
      <c r="H194" s="378" t="e">
        <f t="shared" si="107"/>
        <v>#DIV/0!</v>
      </c>
      <c r="I194" s="378" t="e">
        <f t="shared" si="107"/>
        <v>#DIV/0!</v>
      </c>
      <c r="J194" s="378" t="e">
        <f t="shared" si="107"/>
        <v>#DIV/0!</v>
      </c>
      <c r="K194" s="378" t="e">
        <f t="shared" si="107"/>
        <v>#DIV/0!</v>
      </c>
      <c r="L194" s="378" t="e">
        <f t="shared" si="107"/>
        <v>#DIV/0!</v>
      </c>
      <c r="M194" s="378" t="e">
        <f t="shared" si="107"/>
        <v>#DIV/0!</v>
      </c>
      <c r="N194" s="497" t="e">
        <f t="shared" si="81"/>
        <v>#DIV/0!</v>
      </c>
      <c r="O194" s="497" t="str">
        <f t="array" ref="O194">IFERROR(INDEX(Calculation!I:AN,MATCH(ListAndConversion!E194,Calculation!I:I,0),31),"-")</f>
        <v>-</v>
      </c>
      <c r="P194" s="498">
        <f>IF(COUNTIFS(Calculation!$I$10:$I$393,E194,Direct_Denaturation,"-")&lt;&gt;1,COUNTIFS(Calculation!$I$10:$I$393,E194,Direct_Denaturation,"-"),0)</f>
        <v>0</v>
      </c>
      <c r="V194" s="542" t="s">
        <v>82</v>
      </c>
      <c r="W194" s="542" t="s">
        <v>82</v>
      </c>
      <c r="X194" s="542" t="s">
        <v>82</v>
      </c>
      <c r="Y194" s="542" t="s">
        <v>82</v>
      </c>
      <c r="Z194" s="542" t="s">
        <v>82</v>
      </c>
      <c r="AA194" s="542" t="s">
        <v>82</v>
      </c>
      <c r="AB194" s="542" t="s">
        <v>82</v>
      </c>
      <c r="AC194" s="542" t="s">
        <v>82</v>
      </c>
      <c r="AD194" s="542" t="s">
        <v>82</v>
      </c>
      <c r="AE194" s="542" t="s">
        <v>82</v>
      </c>
      <c r="AF194" s="542" t="s">
        <v>82</v>
      </c>
      <c r="AG194" s="542" t="s">
        <v>82</v>
      </c>
      <c r="AH194" s="9"/>
      <c r="AI194" s="487">
        <v>191</v>
      </c>
      <c r="AJ194" s="497" t="s">
        <v>161</v>
      </c>
      <c r="AK194" s="378">
        <v>95</v>
      </c>
      <c r="AL194" s="378" t="str">
        <f t="shared" ca="1" si="82"/>
        <v>-</v>
      </c>
      <c r="AM194" s="378" t="str">
        <f t="array" aca="1" ref="AM194" ca="1">IFERROR(IF(AI194&lt;=$AB$2,"-",INDEX(Calculation_Tab,SMALL(ROW(Main_Dil)*(Main_Dil&lt;&gt;"-"),COUNTIF(Main_Dil,"-")+ROW()-3-$AB$2)-9,5)),"-")</f>
        <v>-</v>
      </c>
      <c r="AN194" s="378" t="str">
        <f t="array" aca="1" ref="AN194" ca="1">IFERROR(IF(AI194&lt;=$AB$2,"-",INDEX($A$3:$B$12,MATCH(INDEX(Calculation_Tab,SMALL(ROW(Main_Dil)*(Main_Dil&lt;&gt;"-"),COUNTIF(Main_Dil,"-")+ROW()-3-$AB$2)-9,5),$A$3:$A$12,0),2)),"-")</f>
        <v>-</v>
      </c>
      <c r="AO194" s="378" t="str">
        <f t="array" aca="1" ref="AO194" ca="1">IFERROR(IF(AI194&lt;=$AB$2,"-",INDEX(Coordinate,MATCH(INDEX(Calculation_Tab,SMALL(ROW(Main_Dil)*(Main_Dil&lt;&gt;"-"),COUNTIF(Main_Dil,"-")+ROW()-3-$AB$2)-9,6),$X$4:$X$99,0),2)),"-")</f>
        <v>-</v>
      </c>
      <c r="AP194" s="510" t="str">
        <f t="array" aca="1" ref="AP194" ca="1">IFERROR(IF(AI194&lt;=$AB$2,"-",INDEX(Calculation_Tab,SMALL(ROW(Main_Dil)*(Main_Dil&lt;&gt;"-"),COUNTIF(Main_Dil,"-")+ROW()-3-$AB$2)-9,21)),"-")</f>
        <v>-</v>
      </c>
      <c r="AQ194" s="511" t="str">
        <f t="array" aca="1" ref="AQ194" ca="1">IFERROR(IF(AI194&lt;=$AB$2,"-",INDEX(Calculation_Tab,SMALL(ROW(Main_Dil)*(Main_Dil&lt;&gt;"-"),COUNTIF(Main_Dil,"-")+ROW()-3-$AB$2)-9,22)),"-")</f>
        <v>-</v>
      </c>
      <c r="AR194" s="487" t="str">
        <f t="shared" ca="1" si="83"/>
        <v>-</v>
      </c>
      <c r="AS194" s="378">
        <v>191</v>
      </c>
      <c r="AT194" s="497" t="s">
        <v>161</v>
      </c>
      <c r="AU194" s="498">
        <v>95</v>
      </c>
      <c r="AV194" s="378" t="str">
        <f t="shared" ca="1" si="84"/>
        <v>-</v>
      </c>
      <c r="AW194" s="378" t="str">
        <f t="array" aca="1" ref="AW194" ca="1">IFERROR(IF(AS194&lt;=$AB$2+$AN$2,"-",INDEX(Calculation_Tab,SMALL(ROW(Direct_Denaturation)*(Direct_Denaturation&lt;&gt;"-"),COUNTIF(Direct_Denaturation,"-")+ROW()-3-$AB$2-$AN$2)-9,5)),"-")</f>
        <v>-</v>
      </c>
      <c r="AX194" s="378" t="str">
        <f t="array" aca="1" ref="AX194" ca="1">IFERROR(IF(AS194&lt;=$AB$2+$AN$2,"-",INDEX($A$3:$B$12,MATCH(INDEX(Calculation_Tab,SMALL(ROW(Direct_Denaturation)*(Direct_Denaturation&lt;&gt;"-"),COUNTIF(Direct_Denaturation,"-")+ROW()-3-$AB$2-$AN$2)-9,5),$A$3:$A$12,0),2)),"-")</f>
        <v>-</v>
      </c>
      <c r="AY194" s="378" t="str">
        <f t="array" aca="1" ref="AY194" ca="1">IFERROR(IF(AS194&lt;=$AB$2+$AN$2,"-",INDEX(Coordinate,MATCH(INDEX(Calculation_Tab,SMALL(ROW(Direct_Denaturation)*(Direct_Denaturation&lt;&gt;"-"),COUNTIF(Direct_Denaturation,"-")+ROW()-3-$AB$2-$AN$2)-9,6),$X$4:$X$99,0),2)),"-")</f>
        <v>-</v>
      </c>
      <c r="AZ194" s="510" t="str">
        <f t="array" aca="1" ref="AZ194" ca="1">IFERROR(IF(AS194&lt;=$AB$2+$AN$2,"-",INDEX(Calculation_Tab,SMALL(ROW(Direct_Denaturation)*(Direct_Denaturation&lt;&gt;"-"),COUNTIF(Direct_Denaturation,"-")+ROW()-3-$AB$2-$AN$2)-9,32)),"-")</f>
        <v>-</v>
      </c>
      <c r="BA194" s="510" t="str">
        <f t="array" aca="1" ref="BA194" ca="1">IFERROR(IF(AS194&lt;=$AB$2+$AN$2,"-",INDEX(Calculation_Tab,SMALL(ROW(Direct_Denaturation)*(Direct_Denaturation&lt;&gt;"-"),COUNTIF(Direct_Denaturation,"-")+ROW()-3-$AB$2-$AN$2)-9,34)),"-")</f>
        <v>-</v>
      </c>
      <c r="BB194" s="510" t="str">
        <f t="array" aca="1" ref="BB194" ca="1">IFERROR(IF(AS194&lt;=$AB$2+$AN$2,"-",INDEX(Calculation_Tab,SMALL(ROW(Direct_Denaturation)*(Direct_Denaturation&lt;&gt;"-"),COUNTIF(Direct_Denaturation,"-")+ROW()-3-$AB$2-$AN$2)-9,33)),"-")</f>
        <v>-</v>
      </c>
      <c r="BC194" s="510" t="str">
        <f t="array" aca="1" ref="BC194" ca="1">IFERROR(IF(AS194&lt;=$AB$2+$AN$2,"-",INDEX(Calculation_Tab,SMALL(ROW(Direct_Denaturation)*(Direct_Denaturation&lt;&gt;"-"),COUNTIF(Direct_Denaturation,"-")+ROW()-3-$AB$2-$AN$2)-9,35)),"-")</f>
        <v>-</v>
      </c>
      <c r="BD194" s="511" t="str">
        <f t="shared" ca="1" si="85"/>
        <v>-</v>
      </c>
      <c r="BK194" s="542" t="s">
        <v>82</v>
      </c>
      <c r="BL194" s="542" t="s">
        <v>82</v>
      </c>
      <c r="BM194" s="487" t="str">
        <f t="array" aca="1" ref="BM194" ca="1">IFERROR(INDEX(Calculation_Tab,SMALL(ROW(ToPool)*(ToPool&lt;&gt;"-"),COUNTIF(ToPool,"-")+ROW()-3)-9,3),"-")</f>
        <v>-</v>
      </c>
      <c r="BN194" s="378" t="str">
        <f t="shared" ca="1" si="86"/>
        <v>-</v>
      </c>
      <c r="BO194" s="378" t="str">
        <f t="shared" ca="1" si="87"/>
        <v>-</v>
      </c>
      <c r="BP194" s="523" t="str">
        <f t="shared" ca="1" si="88"/>
        <v>-</v>
      </c>
      <c r="BQ194" s="378" t="str">
        <f t="array" aca="1" ref="BQ194" ca="1">IFERROR(INDEX(BE:BG,MATCH(INDEX(Calculation_Tab,SMALL(ROW(ToPool)*(ToPool&lt;&gt;"-"),COUNTIF(ToPool,"-")+ROW()-3)-9,9),BG:BG,0),2),"-")</f>
        <v>-</v>
      </c>
      <c r="BR194" s="510" t="str">
        <f t="shared" ca="1" si="89"/>
        <v>-</v>
      </c>
      <c r="BS194" s="511" t="str">
        <f t="shared" ca="1" si="90"/>
        <v>-</v>
      </c>
      <c r="BT194" s="543" t="s">
        <v>82</v>
      </c>
      <c r="BU194" s="487" t="str">
        <f t="shared" ca="1" si="95"/>
        <v>-</v>
      </c>
      <c r="BV194" s="487" t="str">
        <f t="array" aca="1" ref="BV19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94" s="378" t="str">
        <f t="shared" ca="1" si="91"/>
        <v>-</v>
      </c>
      <c r="BX194" s="378" t="str">
        <f t="shared" ca="1" si="92"/>
        <v>-</v>
      </c>
      <c r="BY194" s="510" t="str">
        <f ca="1">IFERROR(ROUND(INDEX(Cluster,MATCH(IF(LEFT(BV194,4)="Pool",INDEX(Cluster,MATCH(INDEX(Calculation_Tab,MATCH(INDEX($BE$4:$BJ$99,MATCH(BV194,$BE$4:$BE$99,0),3),Flow_Cell_Lane,0),3),Cluster!$F$29:$F$412,0),6),BV194),Identifier_Cluster,0),19)*IF(LEFT(BV194,4)="pool",IF(LEN(INDEX($BE$4:$BJ$99,MATCH(BV194,$BE$4:$BE$99,0),3))=10,2,IF(LEN(INDEX($BE$4:$BJ$99,MATCH(BV194,$BE$4:$BE$99,0),3))&gt;10,LEN(INDEX($BE$4:$BJ$99,MATCH(BV194,$BE$4:$BE$99,0),3))-8,1)),1)*IF(LEFT(BV194,4)="pool",IF(INDEX($BE$4:$BJ$99,MATCH(BV194,$BE$4:$BE$99,0),6)&lt;1,1,INDEX($BE$4:$BJ$99,MATCH(BV194,$BE$4:$BE$99,0),6)),INDEX(Calculation_Tab,MATCH(BV194,Identifier,0),10)),1)*(1+Calculation!$Q$6),"-")</f>
        <v>-</v>
      </c>
      <c r="BZ194" s="378" t="str">
        <f ca="1">IFERROR((0.5/50)*CE194/Calculation!$AG$6*(IF(LEFT(BV194,4)="Pool",IF(LEN(INDEX($BE$4:$BJ$99,MATCH(BV194,$BE$4:$BE$99,0),3))=10,2,IF(LEN(INDEX($BE$4:$BJ$99,MATCH(BV194,$BE$4:$BE$99,0),3))&gt;10,LEN(INDEX($BE$4:$BJ$99,MATCH(BV194,$BE$4:$BE$99,0),3))-8,1)),IF(INDEX(Calculation_Tab,MATCH(BV194,Identifier,0),10)&gt;1,INDEX(Calculation_Tab,MATCH(BV194,Identifier,0),10),1)))*(1+Calculation!$Q$6),"-")</f>
        <v>-</v>
      </c>
      <c r="CA194" s="510" t="str">
        <f ca="1">IFERROR(IF((BZ194*Calculation!$AG$6/0.05)-SUM(BY194:BZ194,CC194)&gt;0,(BZ194*Calculation!$AG$6/0.05)-SUM(BY194:BZ194,CC194),0),"-")</f>
        <v>-</v>
      </c>
      <c r="CB194" s="510" t="str">
        <f ca="1">IFERROR(5/50*CE194*(IF(LEFT(BV194,4)="Pool",IF(LEN(INDEX($BE$4:$BJ$99,MATCH(BV194,$BE$4:$BE$99,0),3))=10,2,IF(LEN(INDEX($BE$4:$BJ$99,MATCH(BV194,$BE$4:$BE$99,0),3))&gt;10,LEN(INDEX($BE$4:$BJ$99,MATCH(BV194,$BE$4:$BE$99,0),3))-8,1)),IF(INDEX(Calculation_Tab,MATCH(BV194,Identifier,0),10)&gt;1,INDEX(Calculation_Tab,MATCH(BV194,Identifier,0),10),1)))*(1+Calculation!$Q$6),"-")</f>
        <v>-</v>
      </c>
      <c r="CC194" s="508" t="str">
        <f ca="1">IFERROR(ROUND(INDEX(Cluster,MATCH(IF(LEFT(BV194,4)="Pool",INDEX(Cluster,MATCH(INDEX(Calculation_Tab,MATCH(INDEX($BE$4:$BJ$99,MATCH(BV194,$BE$4:$BE$99,0),3),Flow_Cell_Lane,0),3),Cluster!$F$29:$F$412,0),6),BV194),Identifier_Cluster,0),20)*IF(LEFT(BV194,4)="pool",IF(LEN(INDEX($BE$4:$BJ$99,MATCH(BV194,$BE$4:$BE$99,0),3))=10,2,IF(LEN(INDEX($BE$4:$BJ$99,MATCH(BV194,$BE$4:$BE$99,0),3))&gt;10,LEN(INDEX($BE$4:$BJ$99,MATCH(BV194,$BE$4:$BE$99,0),3))-8,1)),1)*IF(LEFT(BV194,4)="pool",IF(INDEX($BE$4:$BJ$99,MATCH(BV194,$BE$4:$BE$99,0),6)&lt;1,1,INDEX($BE$4:$BJ$99,MATCH(BV194,$BE$4:$BE$99,0),6)),INDEX(Calculation_Tab,MATCH(BV194,Identifier,0),10)),1)*(1+Calculation!$Q$6),"-")</f>
        <v>-</v>
      </c>
      <c r="CD194" s="509" t="str">
        <f ca="1">IFERROR(INDEX(Cluster!AC:AD,MATCH(IF(LEFT(BV194,4)="Pool",INDEX(Cluster!$D$29:$AA$412,MATCH(INDEX(Calculation_Tab,MATCH(INDEX($BE$4:$BJ$99,MATCH(BV194,$BE$4:$BE$99,0),3),Flow_Cell_Lane,0),3),Cluster!$F$29:$F$412,0),24),INDEX(Cluster!$D$29:$AA$412,MATCH(BV194,Cluster!$F$29:$F$412,0),24)),Cluster!AC:AC,0),2),"-")</f>
        <v>-</v>
      </c>
      <c r="CE194" s="378" t="str">
        <f ca="1">IFERROR(IF(BV194&lt;&gt;"-",Calculation!$AK$6,"-"),"-")</f>
        <v>-</v>
      </c>
      <c r="CF194" s="378" t="str">
        <f ca="1">IF(OR(LEFT(ListAndConversion!BW194,3)="Dil",LEFT(ListAndConversion!BW194,3)="Poo"),ListAndConversion!$BT$4,IF(LEFT(ListAndConversion!BW194,3)="Sou",INDEX(ListAndConversion!$AT$3:$AV$387,MATCH(ListAndConversion!BV194,ListAndConversion!$AV$3:$AV$387,0),1),"-"))</f>
        <v>-</v>
      </c>
      <c r="CG194" s="498" t="str">
        <f ca="1">IF(OR(LEFT(ListAndConversion!BW194,3)="Dil",LEFT(ListAndConversion!BW194,3)="Poo"),ListAndConversion!BU194,IF(LEFT(ListAndConversion!BW194,3)="Sou",INDEX(ListAndConversion!$AT$4:$AV$387,MATCH(ListAndConversion!BV194,ListAndConversion!$AV$4:$AV$387,0),2),"-"))</f>
        <v>-</v>
      </c>
      <c r="CH194" s="378"/>
      <c r="CI194" s="487" t="str">
        <f t="shared" ca="1" si="93"/>
        <v>-</v>
      </c>
      <c r="CJ194" s="378" t="str">
        <f t="shared" ref="CJ194:CQ203" ca="1" si="108">IFERROR(INDEX($R$3:$U$98,MATCH(INDEX($F$3:$M$387,MATCH($CI194,$E$3:$E$386,0),CJ$3),$S$3:$S$98,0),4),"-")</f>
        <v>-</v>
      </c>
      <c r="CK194" s="378" t="str">
        <f t="shared" ca="1" si="108"/>
        <v>-</v>
      </c>
      <c r="CL194" s="378" t="str">
        <f t="shared" ca="1" si="108"/>
        <v>-</v>
      </c>
      <c r="CM194" s="378" t="str">
        <f t="shared" ca="1" si="108"/>
        <v>-</v>
      </c>
      <c r="CN194" s="378" t="str">
        <f t="shared" ca="1" si="108"/>
        <v>-</v>
      </c>
      <c r="CO194" s="378" t="str">
        <f t="shared" ca="1" si="108"/>
        <v>-</v>
      </c>
      <c r="CP194" s="378" t="str">
        <f t="shared" ca="1" si="108"/>
        <v>-</v>
      </c>
      <c r="CQ194" s="378" t="str">
        <f t="shared" ca="1" si="108"/>
        <v>-</v>
      </c>
      <c r="CR194" s="510" t="str">
        <f ca="1">IFERROR(IF(LEFT(BW194,3)="Poo",INDEX($BE$4:$BJ$99,MATCH(CI194,$BG$4:$BG$99,0),6)*((15/50))*Calculation!$AK$6,INDEX(Calculation_Tab,MATCH(BV194,Identifier,0),10)/(IF(LEN(INDEX(Calculation_Tab,MATCH(BV194,Identifier,0),9))&gt;8,LEN(INDEX(Calculation_Tab,MATCH(BV194,Identifier,0),9))-8,1))*((15/50)*Calculation!$AK$6)),"-")</f>
        <v>-</v>
      </c>
      <c r="CS194" s="498" t="str">
        <f ca="1">IF(CI194="-","-",IF(COUNTIF($CI$3:CI194,CI194)&gt;1,0,IFERROR((35/50)*Calculation!$AK$6,"-")))</f>
        <v>-</v>
      </c>
    </row>
    <row r="195" spans="4:97" x14ac:dyDescent="0.5">
      <c r="D195" s="487" t="e">
        <f t="shared" ref="D195:D258" si="109">LEN(E195)</f>
        <v>#DIV/0!</v>
      </c>
      <c r="E195" s="496" t="e">
        <f t="array" ref="E195">IF(IF((ROW(E195)-3)&lt;(ListAndConversion!$A$15),INDEX(Flow_Cell_Lane,MIN(IF(COUNTIF($E$2:E194,Flow_Cell_Lane)=0,ROW(Flow_Cell_Lane)-9))),"-")="","-",IF((ROW(E195)-3)&lt;(ListAndConversion!$A$15),INDEX(Flow_Cell_Lane,MIN(IF(COUNTIF($E$2:E194,Flow_Cell_Lane)=0,ROW(Flow_Cell_Lane)-9))),"-"))</f>
        <v>#DIV/0!</v>
      </c>
      <c r="F195" s="378" t="e">
        <f t="shared" ref="F195:F258" si="110">IF(D195&gt;=8,LEFT(E195,8),"")</f>
        <v>#DIV/0!</v>
      </c>
      <c r="G195" s="378" t="e">
        <f t="shared" si="107"/>
        <v>#DIV/0!</v>
      </c>
      <c r="H195" s="378" t="e">
        <f t="shared" si="107"/>
        <v>#DIV/0!</v>
      </c>
      <c r="I195" s="378" t="e">
        <f t="shared" si="107"/>
        <v>#DIV/0!</v>
      </c>
      <c r="J195" s="378" t="e">
        <f t="shared" si="107"/>
        <v>#DIV/0!</v>
      </c>
      <c r="K195" s="378" t="e">
        <f t="shared" si="107"/>
        <v>#DIV/0!</v>
      </c>
      <c r="L195" s="378" t="e">
        <f t="shared" si="107"/>
        <v>#DIV/0!</v>
      </c>
      <c r="M195" s="378" t="e">
        <f t="shared" si="107"/>
        <v>#DIV/0!</v>
      </c>
      <c r="N195" s="497" t="e">
        <f t="shared" ref="N195:N258" si="111">IF(E195="-","-",RIGHT(E195,D195-7))</f>
        <v>#DIV/0!</v>
      </c>
      <c r="O195" s="497" t="str">
        <f t="array" ref="O195">IFERROR(INDEX(Calculation!I:AN,MATCH(ListAndConversion!E195,Calculation!I:I,0),31),"-")</f>
        <v>-</v>
      </c>
      <c r="P195" s="498">
        <f>IF(COUNTIFS(Calculation!$I$10:$I$393,E195,Direct_Denaturation,"-")&lt;&gt;1,COUNTIFS(Calculation!$I$10:$I$393,E195,Direct_Denaturation,"-"),0)</f>
        <v>0</v>
      </c>
      <c r="V195" s="542" t="s">
        <v>82</v>
      </c>
      <c r="W195" s="542" t="s">
        <v>82</v>
      </c>
      <c r="X195" s="542" t="s">
        <v>82</v>
      </c>
      <c r="Y195" s="542" t="s">
        <v>82</v>
      </c>
      <c r="Z195" s="542" t="s">
        <v>82</v>
      </c>
      <c r="AA195" s="542" t="s">
        <v>82</v>
      </c>
      <c r="AB195" s="542" t="s">
        <v>82</v>
      </c>
      <c r="AC195" s="542" t="s">
        <v>82</v>
      </c>
      <c r="AD195" s="542" t="s">
        <v>82</v>
      </c>
      <c r="AE195" s="542" t="s">
        <v>82</v>
      </c>
      <c r="AF195" s="542" t="s">
        <v>82</v>
      </c>
      <c r="AG195" s="542" t="s">
        <v>82</v>
      </c>
      <c r="AH195" s="9"/>
      <c r="AI195" s="487">
        <v>192</v>
      </c>
      <c r="AJ195" s="497" t="s">
        <v>161</v>
      </c>
      <c r="AK195" s="378">
        <v>96</v>
      </c>
      <c r="AL195" s="378" t="str">
        <f t="shared" ca="1" si="82"/>
        <v>-</v>
      </c>
      <c r="AM195" s="378" t="str">
        <f t="array" aca="1" ref="AM195" ca="1">IFERROR(IF(AI195&lt;=$AB$2,"-",INDEX(Calculation_Tab,SMALL(ROW(Main_Dil)*(Main_Dil&lt;&gt;"-"),COUNTIF(Main_Dil,"-")+ROW()-3-$AB$2)-9,5)),"-")</f>
        <v>-</v>
      </c>
      <c r="AN195" s="378" t="str">
        <f t="array" aca="1" ref="AN195" ca="1">IFERROR(IF(AI195&lt;=$AB$2,"-",INDEX($A$3:$B$12,MATCH(INDEX(Calculation_Tab,SMALL(ROW(Main_Dil)*(Main_Dil&lt;&gt;"-"),COUNTIF(Main_Dil,"-")+ROW()-3-$AB$2)-9,5),$A$3:$A$12,0),2)),"-")</f>
        <v>-</v>
      </c>
      <c r="AO195" s="378" t="str">
        <f t="array" aca="1" ref="AO195" ca="1">IFERROR(IF(AI195&lt;=$AB$2,"-",INDEX(Coordinate,MATCH(INDEX(Calculation_Tab,SMALL(ROW(Main_Dil)*(Main_Dil&lt;&gt;"-"),COUNTIF(Main_Dil,"-")+ROW()-3-$AB$2)-9,6),$X$4:$X$99,0),2)),"-")</f>
        <v>-</v>
      </c>
      <c r="AP195" s="510" t="str">
        <f t="array" aca="1" ref="AP195" ca="1">IFERROR(IF(AI195&lt;=$AB$2,"-",INDEX(Calculation_Tab,SMALL(ROW(Main_Dil)*(Main_Dil&lt;&gt;"-"),COUNTIF(Main_Dil,"-")+ROW()-3-$AB$2)-9,21)),"-")</f>
        <v>-</v>
      </c>
      <c r="AQ195" s="511" t="str">
        <f t="array" aca="1" ref="AQ195" ca="1">IFERROR(IF(AI195&lt;=$AB$2,"-",INDEX(Calculation_Tab,SMALL(ROW(Main_Dil)*(Main_Dil&lt;&gt;"-"),COUNTIF(Main_Dil,"-")+ROW()-3-$AB$2)-9,22)),"-")</f>
        <v>-</v>
      </c>
      <c r="AR195" s="487" t="str">
        <f t="shared" ca="1" si="83"/>
        <v>-</v>
      </c>
      <c r="AS195" s="378">
        <v>192</v>
      </c>
      <c r="AT195" s="497" t="s">
        <v>161</v>
      </c>
      <c r="AU195" s="498">
        <v>96</v>
      </c>
      <c r="AV195" s="378" t="str">
        <f t="shared" ca="1" si="84"/>
        <v>-</v>
      </c>
      <c r="AW195" s="378" t="str">
        <f t="array" aca="1" ref="AW195" ca="1">IFERROR(IF(AS195&lt;=$AB$2+$AN$2,"-",INDEX(Calculation_Tab,SMALL(ROW(Direct_Denaturation)*(Direct_Denaturation&lt;&gt;"-"),COUNTIF(Direct_Denaturation,"-")+ROW()-3-$AB$2-$AN$2)-9,5)),"-")</f>
        <v>-</v>
      </c>
      <c r="AX195" s="378" t="str">
        <f t="array" aca="1" ref="AX195" ca="1">IFERROR(IF(AS195&lt;=$AB$2+$AN$2,"-",INDEX($A$3:$B$12,MATCH(INDEX(Calculation_Tab,SMALL(ROW(Direct_Denaturation)*(Direct_Denaturation&lt;&gt;"-"),COUNTIF(Direct_Denaturation,"-")+ROW()-3-$AB$2-$AN$2)-9,5),$A$3:$A$12,0),2)),"-")</f>
        <v>-</v>
      </c>
      <c r="AY195" s="378" t="str">
        <f t="array" aca="1" ref="AY195" ca="1">IFERROR(IF(AS195&lt;=$AB$2+$AN$2,"-",INDEX(Coordinate,MATCH(INDEX(Calculation_Tab,SMALL(ROW(Direct_Denaturation)*(Direct_Denaturation&lt;&gt;"-"),COUNTIF(Direct_Denaturation,"-")+ROW()-3-$AB$2-$AN$2)-9,6),$X$4:$X$99,0),2)),"-")</f>
        <v>-</v>
      </c>
      <c r="AZ195" s="510" t="str">
        <f t="array" aca="1" ref="AZ195" ca="1">IFERROR(IF(AS195&lt;=$AB$2+$AN$2,"-",INDEX(Calculation_Tab,SMALL(ROW(Direct_Denaturation)*(Direct_Denaturation&lt;&gt;"-"),COUNTIF(Direct_Denaturation,"-")+ROW()-3-$AB$2-$AN$2)-9,32)),"-")</f>
        <v>-</v>
      </c>
      <c r="BA195" s="510" t="str">
        <f t="array" aca="1" ref="BA195" ca="1">IFERROR(IF(AS195&lt;=$AB$2+$AN$2,"-",INDEX(Calculation_Tab,SMALL(ROW(Direct_Denaturation)*(Direct_Denaturation&lt;&gt;"-"),COUNTIF(Direct_Denaturation,"-")+ROW()-3-$AB$2-$AN$2)-9,34)),"-")</f>
        <v>-</v>
      </c>
      <c r="BB195" s="510" t="str">
        <f t="array" aca="1" ref="BB195" ca="1">IFERROR(IF(AS195&lt;=$AB$2+$AN$2,"-",INDEX(Calculation_Tab,SMALL(ROW(Direct_Denaturation)*(Direct_Denaturation&lt;&gt;"-"),COUNTIF(Direct_Denaturation,"-")+ROW()-3-$AB$2-$AN$2)-9,33)),"-")</f>
        <v>-</v>
      </c>
      <c r="BC195" s="510" t="str">
        <f t="array" aca="1" ref="BC195" ca="1">IFERROR(IF(AS195&lt;=$AB$2+$AN$2,"-",INDEX(Calculation_Tab,SMALL(ROW(Direct_Denaturation)*(Direct_Denaturation&lt;&gt;"-"),COUNTIF(Direct_Denaturation,"-")+ROW()-3-$AB$2-$AN$2)-9,35)),"-")</f>
        <v>-</v>
      </c>
      <c r="BD195" s="511" t="str">
        <f t="shared" ca="1" si="85"/>
        <v>-</v>
      </c>
      <c r="BK195" s="542" t="s">
        <v>82</v>
      </c>
      <c r="BL195" s="542" t="s">
        <v>82</v>
      </c>
      <c r="BM195" s="487" t="str">
        <f t="array" aca="1" ref="BM195" ca="1">IFERROR(INDEX(Calculation_Tab,SMALL(ROW(ToPool)*(ToPool&lt;&gt;"-"),COUNTIF(ToPool,"-")+ROW()-3)-9,3),"-")</f>
        <v>-</v>
      </c>
      <c r="BN195" s="378" t="str">
        <f t="shared" ca="1" si="86"/>
        <v>-</v>
      </c>
      <c r="BO195" s="378" t="str">
        <f t="shared" ca="1" si="87"/>
        <v>-</v>
      </c>
      <c r="BP195" s="523" t="str">
        <f t="shared" ca="1" si="88"/>
        <v>-</v>
      </c>
      <c r="BQ195" s="378" t="str">
        <f t="array" aca="1" ref="BQ195" ca="1">IFERROR(INDEX(BE:BG,MATCH(INDEX(Calculation_Tab,SMALL(ROW(ToPool)*(ToPool&lt;&gt;"-"),COUNTIF(ToPool,"-")+ROW()-3)-9,9),BG:BG,0),2),"-")</f>
        <v>-</v>
      </c>
      <c r="BR195" s="510" t="str">
        <f t="shared" ca="1" si="89"/>
        <v>-</v>
      </c>
      <c r="BS195" s="511" t="str">
        <f t="shared" ca="1" si="90"/>
        <v>-</v>
      </c>
      <c r="BT195" s="543" t="s">
        <v>82</v>
      </c>
      <c r="BU195" s="487" t="str">
        <f t="shared" ca="1" si="95"/>
        <v>-</v>
      </c>
      <c r="BV195" s="487" t="str">
        <f t="array" aca="1" ref="BV19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95" s="378" t="str">
        <f t="shared" ca="1" si="91"/>
        <v>-</v>
      </c>
      <c r="BX195" s="378" t="str">
        <f t="shared" ca="1" si="92"/>
        <v>-</v>
      </c>
      <c r="BY195" s="510" t="str">
        <f ca="1">IFERROR(ROUND(INDEX(Cluster,MATCH(IF(LEFT(BV195,4)="Pool",INDEX(Cluster,MATCH(INDEX(Calculation_Tab,MATCH(INDEX($BE$4:$BJ$99,MATCH(BV195,$BE$4:$BE$99,0),3),Flow_Cell_Lane,0),3),Cluster!$F$29:$F$412,0),6),BV195),Identifier_Cluster,0),19)*IF(LEFT(BV195,4)="pool",IF(LEN(INDEX($BE$4:$BJ$99,MATCH(BV195,$BE$4:$BE$99,0),3))=10,2,IF(LEN(INDEX($BE$4:$BJ$99,MATCH(BV195,$BE$4:$BE$99,0),3))&gt;10,LEN(INDEX($BE$4:$BJ$99,MATCH(BV195,$BE$4:$BE$99,0),3))-8,1)),1)*IF(LEFT(BV195,4)="pool",IF(INDEX($BE$4:$BJ$99,MATCH(BV195,$BE$4:$BE$99,0),6)&lt;1,1,INDEX($BE$4:$BJ$99,MATCH(BV195,$BE$4:$BE$99,0),6)),INDEX(Calculation_Tab,MATCH(BV195,Identifier,0),10)),1)*(1+Calculation!$Q$6),"-")</f>
        <v>-</v>
      </c>
      <c r="BZ195" s="378" t="str">
        <f ca="1">IFERROR((0.5/50)*CE195/Calculation!$AG$6*(IF(LEFT(BV195,4)="Pool",IF(LEN(INDEX($BE$4:$BJ$99,MATCH(BV195,$BE$4:$BE$99,0),3))=10,2,IF(LEN(INDEX($BE$4:$BJ$99,MATCH(BV195,$BE$4:$BE$99,0),3))&gt;10,LEN(INDEX($BE$4:$BJ$99,MATCH(BV195,$BE$4:$BE$99,0),3))-8,1)),IF(INDEX(Calculation_Tab,MATCH(BV195,Identifier,0),10)&gt;1,INDEX(Calculation_Tab,MATCH(BV195,Identifier,0),10),1)))*(1+Calculation!$Q$6),"-")</f>
        <v>-</v>
      </c>
      <c r="CA195" s="510" t="str">
        <f ca="1">IFERROR(IF((BZ195*Calculation!$AG$6/0.05)-SUM(BY195:BZ195,CC195)&gt;0,(BZ195*Calculation!$AG$6/0.05)-SUM(BY195:BZ195,CC195),0),"-")</f>
        <v>-</v>
      </c>
      <c r="CB195" s="510" t="str">
        <f ca="1">IFERROR(5/50*CE195*(IF(LEFT(BV195,4)="Pool",IF(LEN(INDEX($BE$4:$BJ$99,MATCH(BV195,$BE$4:$BE$99,0),3))=10,2,IF(LEN(INDEX($BE$4:$BJ$99,MATCH(BV195,$BE$4:$BE$99,0),3))&gt;10,LEN(INDEX($BE$4:$BJ$99,MATCH(BV195,$BE$4:$BE$99,0),3))-8,1)),IF(INDEX(Calculation_Tab,MATCH(BV195,Identifier,0),10)&gt;1,INDEX(Calculation_Tab,MATCH(BV195,Identifier,0),10),1)))*(1+Calculation!$Q$6),"-")</f>
        <v>-</v>
      </c>
      <c r="CC195" s="508" t="str">
        <f ca="1">IFERROR(ROUND(INDEX(Cluster,MATCH(IF(LEFT(BV195,4)="Pool",INDEX(Cluster,MATCH(INDEX(Calculation_Tab,MATCH(INDEX($BE$4:$BJ$99,MATCH(BV195,$BE$4:$BE$99,0),3),Flow_Cell_Lane,0),3),Cluster!$F$29:$F$412,0),6),BV195),Identifier_Cluster,0),20)*IF(LEFT(BV195,4)="pool",IF(LEN(INDEX($BE$4:$BJ$99,MATCH(BV195,$BE$4:$BE$99,0),3))=10,2,IF(LEN(INDEX($BE$4:$BJ$99,MATCH(BV195,$BE$4:$BE$99,0),3))&gt;10,LEN(INDEX($BE$4:$BJ$99,MATCH(BV195,$BE$4:$BE$99,0),3))-8,1)),1)*IF(LEFT(BV195,4)="pool",IF(INDEX($BE$4:$BJ$99,MATCH(BV195,$BE$4:$BE$99,0),6)&lt;1,1,INDEX($BE$4:$BJ$99,MATCH(BV195,$BE$4:$BE$99,0),6)),INDEX(Calculation_Tab,MATCH(BV195,Identifier,0),10)),1)*(1+Calculation!$Q$6),"-")</f>
        <v>-</v>
      </c>
      <c r="CD195" s="509" t="str">
        <f ca="1">IFERROR(INDEX(Cluster!AC:AD,MATCH(IF(LEFT(BV195,4)="Pool",INDEX(Cluster!$D$29:$AA$412,MATCH(INDEX(Calculation_Tab,MATCH(INDEX($BE$4:$BJ$99,MATCH(BV195,$BE$4:$BE$99,0),3),Flow_Cell_Lane,0),3),Cluster!$F$29:$F$412,0),24),INDEX(Cluster!$D$29:$AA$412,MATCH(BV195,Cluster!$F$29:$F$412,0),24)),Cluster!AC:AC,0),2),"-")</f>
        <v>-</v>
      </c>
      <c r="CE195" s="378" t="str">
        <f ca="1">IFERROR(IF(BV195&lt;&gt;"-",Calculation!$AK$6,"-"),"-")</f>
        <v>-</v>
      </c>
      <c r="CF195" s="378" t="str">
        <f ca="1">IF(OR(LEFT(ListAndConversion!BW195,3)="Dil",LEFT(ListAndConversion!BW195,3)="Poo"),ListAndConversion!$BT$4,IF(LEFT(ListAndConversion!BW195,3)="Sou",INDEX(ListAndConversion!$AT$3:$AV$387,MATCH(ListAndConversion!BV195,ListAndConversion!$AV$3:$AV$387,0),1),"-"))</f>
        <v>-</v>
      </c>
      <c r="CG195" s="498" t="str">
        <f ca="1">IF(OR(LEFT(ListAndConversion!BW195,3)="Dil",LEFT(ListAndConversion!BW195,3)="Poo"),ListAndConversion!BU195,IF(LEFT(ListAndConversion!BW195,3)="Sou",INDEX(ListAndConversion!$AT$4:$AV$387,MATCH(ListAndConversion!BV195,ListAndConversion!$AV$4:$AV$387,0),2),"-"))</f>
        <v>-</v>
      </c>
      <c r="CH195" s="378"/>
      <c r="CI195" s="487" t="str">
        <f t="shared" ca="1" si="93"/>
        <v>-</v>
      </c>
      <c r="CJ195" s="378" t="str">
        <f t="shared" ca="1" si="108"/>
        <v>-</v>
      </c>
      <c r="CK195" s="378" t="str">
        <f t="shared" ca="1" si="108"/>
        <v>-</v>
      </c>
      <c r="CL195" s="378" t="str">
        <f t="shared" ca="1" si="108"/>
        <v>-</v>
      </c>
      <c r="CM195" s="378" t="str">
        <f t="shared" ca="1" si="108"/>
        <v>-</v>
      </c>
      <c r="CN195" s="378" t="str">
        <f t="shared" ca="1" si="108"/>
        <v>-</v>
      </c>
      <c r="CO195" s="378" t="str">
        <f t="shared" ca="1" si="108"/>
        <v>-</v>
      </c>
      <c r="CP195" s="378" t="str">
        <f t="shared" ca="1" si="108"/>
        <v>-</v>
      </c>
      <c r="CQ195" s="378" t="str">
        <f t="shared" ca="1" si="108"/>
        <v>-</v>
      </c>
      <c r="CR195" s="510" t="str">
        <f ca="1">IFERROR(IF(LEFT(BW195,3)="Poo",INDEX($BE$4:$BJ$99,MATCH(CI195,$BG$4:$BG$99,0),6)*((15/50))*Calculation!$AK$6,INDEX(Calculation_Tab,MATCH(BV195,Identifier,0),10)/(IF(LEN(INDEX(Calculation_Tab,MATCH(BV195,Identifier,0),9))&gt;8,LEN(INDEX(Calculation_Tab,MATCH(BV195,Identifier,0),9))-8,1))*((15/50)*Calculation!$AK$6)),"-")</f>
        <v>-</v>
      </c>
      <c r="CS195" s="498" t="str">
        <f ca="1">IF(CI195="-","-",IF(COUNTIF($CI$3:CI195,CI195)&gt;1,0,IFERROR((35/50)*Calculation!$AK$6,"-")))</f>
        <v>-</v>
      </c>
    </row>
    <row r="196" spans="4:97" x14ac:dyDescent="0.5">
      <c r="D196" s="487" t="e">
        <f t="shared" si="109"/>
        <v>#DIV/0!</v>
      </c>
      <c r="E196" s="496" t="e">
        <f t="array" ref="E196">IF(IF((ROW(E196)-3)&lt;(ListAndConversion!$A$15),INDEX(Flow_Cell_Lane,MIN(IF(COUNTIF($E$2:E195,Flow_Cell_Lane)=0,ROW(Flow_Cell_Lane)-9))),"-")="","-",IF((ROW(E196)-3)&lt;(ListAndConversion!$A$15),INDEX(Flow_Cell_Lane,MIN(IF(COUNTIF($E$2:E195,Flow_Cell_Lane)=0,ROW(Flow_Cell_Lane)-9))),"-"))</f>
        <v>#DIV/0!</v>
      </c>
      <c r="F196" s="378" t="e">
        <f t="shared" si="110"/>
        <v>#DIV/0!</v>
      </c>
      <c r="G196" s="378" t="e">
        <f t="shared" si="107"/>
        <v>#DIV/0!</v>
      </c>
      <c r="H196" s="378" t="e">
        <f t="shared" si="107"/>
        <v>#DIV/0!</v>
      </c>
      <c r="I196" s="378" t="e">
        <f t="shared" si="107"/>
        <v>#DIV/0!</v>
      </c>
      <c r="J196" s="378" t="e">
        <f t="shared" si="107"/>
        <v>#DIV/0!</v>
      </c>
      <c r="K196" s="378" t="e">
        <f t="shared" si="107"/>
        <v>#DIV/0!</v>
      </c>
      <c r="L196" s="378" t="e">
        <f t="shared" si="107"/>
        <v>#DIV/0!</v>
      </c>
      <c r="M196" s="378" t="e">
        <f t="shared" si="107"/>
        <v>#DIV/0!</v>
      </c>
      <c r="N196" s="497" t="e">
        <f t="shared" si="111"/>
        <v>#DIV/0!</v>
      </c>
      <c r="O196" s="497" t="str">
        <f t="array" ref="O196">IFERROR(INDEX(Calculation!I:AN,MATCH(ListAndConversion!E196,Calculation!I:I,0),31),"-")</f>
        <v>-</v>
      </c>
      <c r="P196" s="498">
        <f>IF(COUNTIFS(Calculation!$I$10:$I$393,E196,Direct_Denaturation,"-")&lt;&gt;1,COUNTIFS(Calculation!$I$10:$I$393,E196,Direct_Denaturation,"-"),0)</f>
        <v>0</v>
      </c>
      <c r="V196" s="542" t="s">
        <v>82</v>
      </c>
      <c r="W196" s="542" t="s">
        <v>82</v>
      </c>
      <c r="X196" s="542" t="s">
        <v>82</v>
      </c>
      <c r="Y196" s="542" t="s">
        <v>82</v>
      </c>
      <c r="Z196" s="542" t="s">
        <v>82</v>
      </c>
      <c r="AA196" s="542" t="s">
        <v>82</v>
      </c>
      <c r="AB196" s="542" t="s">
        <v>82</v>
      </c>
      <c r="AC196" s="542" t="s">
        <v>82</v>
      </c>
      <c r="AD196" s="542" t="s">
        <v>82</v>
      </c>
      <c r="AE196" s="542" t="s">
        <v>82</v>
      </c>
      <c r="AF196" s="542" t="s">
        <v>82</v>
      </c>
      <c r="AG196" s="542" t="s">
        <v>82</v>
      </c>
      <c r="AH196" s="9"/>
      <c r="AI196" s="487">
        <v>193</v>
      </c>
      <c r="AJ196" s="497" t="s">
        <v>162</v>
      </c>
      <c r="AK196" s="378">
        <v>1</v>
      </c>
      <c r="AL196" s="378" t="str">
        <f t="shared" ref="AL196:AL259" ca="1" si="112">IF(AM196&lt;&gt;"-",CONCATENATE(AM196,"-",AO196),"-")</f>
        <v>-</v>
      </c>
      <c r="AM196" s="378" t="str">
        <f t="array" aca="1" ref="AM196" ca="1">IFERROR(IF(AI196&lt;=$AB$2,"-",INDEX(Calculation_Tab,SMALL(ROW(Main_Dil)*(Main_Dil&lt;&gt;"-"),COUNTIF(Main_Dil,"-")+ROW()-3-$AB$2)-9,5)),"-")</f>
        <v>-</v>
      </c>
      <c r="AN196" s="378" t="str">
        <f t="array" aca="1" ref="AN196" ca="1">IFERROR(IF(AI196&lt;=$AB$2,"-",INDEX($A$3:$B$12,MATCH(INDEX(Calculation_Tab,SMALL(ROW(Main_Dil)*(Main_Dil&lt;&gt;"-"),COUNTIF(Main_Dil,"-")+ROW()-3-$AB$2)-9,5),$A$3:$A$12,0),2)),"-")</f>
        <v>-</v>
      </c>
      <c r="AO196" s="378" t="str">
        <f t="array" aca="1" ref="AO196" ca="1">IFERROR(IF(AI196&lt;=$AB$2,"-",INDEX(Coordinate,MATCH(INDEX(Calculation_Tab,SMALL(ROW(Main_Dil)*(Main_Dil&lt;&gt;"-"),COUNTIF(Main_Dil,"-")+ROW()-3-$AB$2)-9,6),$X$4:$X$99,0),2)),"-")</f>
        <v>-</v>
      </c>
      <c r="AP196" s="510" t="str">
        <f t="array" aca="1" ref="AP196" ca="1">IFERROR(IF(AI196&lt;=$AB$2,"-",INDEX(Calculation_Tab,SMALL(ROW(Main_Dil)*(Main_Dil&lt;&gt;"-"),COUNTIF(Main_Dil,"-")+ROW()-3-$AB$2)-9,21)),"-")</f>
        <v>-</v>
      </c>
      <c r="AQ196" s="511" t="str">
        <f t="array" aca="1" ref="AQ196" ca="1">IFERROR(IF(AI196&lt;=$AB$2,"-",INDEX(Calculation_Tab,SMALL(ROW(Main_Dil)*(Main_Dil&lt;&gt;"-"),COUNTIF(Main_Dil,"-")+ROW()-3-$AB$2)-9,22)),"-")</f>
        <v>-</v>
      </c>
      <c r="AR196" s="487" t="str">
        <f t="shared" ref="AR196:AR259" ca="1" si="113">IFERROR(INDEX(Calculation_Tab,MATCH(AV196,Identifier,0),9),"-")</f>
        <v>-</v>
      </c>
      <c r="AS196" s="378">
        <v>193</v>
      </c>
      <c r="AT196" s="497" t="s">
        <v>162</v>
      </c>
      <c r="AU196" s="498">
        <v>1</v>
      </c>
      <c r="AV196" s="378" t="str">
        <f t="shared" ref="AV196:AV259" ca="1" si="114">IF(AW196&lt;&gt;"-",CONCATENATE(AW196,"-",AY196),"-")</f>
        <v>-</v>
      </c>
      <c r="AW196" s="378" t="str">
        <f t="array" aca="1" ref="AW196" ca="1">IFERROR(IF(AS196&lt;=$AB$2+$AN$2,"-",INDEX(Calculation_Tab,SMALL(ROW(Direct_Denaturation)*(Direct_Denaturation&lt;&gt;"-"),COUNTIF(Direct_Denaturation,"-")+ROW()-3-$AB$2-$AN$2)-9,5)),"-")</f>
        <v>-</v>
      </c>
      <c r="AX196" s="378" t="str">
        <f t="array" aca="1" ref="AX196" ca="1">IFERROR(IF(AS196&lt;=$AB$2+$AN$2,"-",INDEX($A$3:$B$12,MATCH(INDEX(Calculation_Tab,SMALL(ROW(Direct_Denaturation)*(Direct_Denaturation&lt;&gt;"-"),COUNTIF(Direct_Denaturation,"-")+ROW()-3-$AB$2-$AN$2)-9,5),$A$3:$A$12,0),2)),"-")</f>
        <v>-</v>
      </c>
      <c r="AY196" s="378" t="str">
        <f t="array" aca="1" ref="AY196" ca="1">IFERROR(IF(AS196&lt;=$AB$2+$AN$2,"-",INDEX(Coordinate,MATCH(INDEX(Calculation_Tab,SMALL(ROW(Direct_Denaturation)*(Direct_Denaturation&lt;&gt;"-"),COUNTIF(Direct_Denaturation,"-")+ROW()-3-$AB$2-$AN$2)-9,6),$X$4:$X$99,0),2)),"-")</f>
        <v>-</v>
      </c>
      <c r="AZ196" s="510" t="str">
        <f t="array" aca="1" ref="AZ196" ca="1">IFERROR(IF(AS196&lt;=$AB$2+$AN$2,"-",INDEX(Calculation_Tab,SMALL(ROW(Direct_Denaturation)*(Direct_Denaturation&lt;&gt;"-"),COUNTIF(Direct_Denaturation,"-")+ROW()-3-$AB$2-$AN$2)-9,32)),"-")</f>
        <v>-</v>
      </c>
      <c r="BA196" s="510" t="str">
        <f t="array" aca="1" ref="BA196" ca="1">IFERROR(IF(AS196&lt;=$AB$2+$AN$2,"-",INDEX(Calculation_Tab,SMALL(ROW(Direct_Denaturation)*(Direct_Denaturation&lt;&gt;"-"),COUNTIF(Direct_Denaturation,"-")+ROW()-3-$AB$2-$AN$2)-9,34)),"-")</f>
        <v>-</v>
      </c>
      <c r="BB196" s="510" t="str">
        <f t="array" aca="1" ref="BB196" ca="1">IFERROR(IF(AS196&lt;=$AB$2+$AN$2,"-",INDEX(Calculation_Tab,SMALL(ROW(Direct_Denaturation)*(Direct_Denaturation&lt;&gt;"-"),COUNTIF(Direct_Denaturation,"-")+ROW()-3-$AB$2-$AN$2)-9,33)),"-")</f>
        <v>-</v>
      </c>
      <c r="BC196" s="510" t="str">
        <f t="array" aca="1" ref="BC196" ca="1">IFERROR(IF(AS196&lt;=$AB$2+$AN$2,"-",INDEX(Calculation_Tab,SMALL(ROW(Direct_Denaturation)*(Direct_Denaturation&lt;&gt;"-"),COUNTIF(Direct_Denaturation,"-")+ROW()-3-$AB$2-$AN$2)-9,35)),"-")</f>
        <v>-</v>
      </c>
      <c r="BD196" s="511" t="str">
        <f t="shared" ref="BD196:BD259" ca="1" si="115">IFERROR((INDEX(Calculation_Tab,MATCH($AV196,Identifier,0),10))/(IF(LEN(INDEX(Calculation_Tab,MATCH($AV196,Identifier,0),9))&gt;8,LEN(INDEX(Calculation_Tab,MATCH($AV196,Identifier,0),9))-8,1))*INDEX(Calculation_Tab,MATCH($AV196,Identifier,0),30),"-")</f>
        <v>-</v>
      </c>
      <c r="BK196" s="542" t="s">
        <v>82</v>
      </c>
      <c r="BL196" s="542" t="s">
        <v>82</v>
      </c>
      <c r="BM196" s="487" t="str">
        <f t="array" aca="1" ref="BM196" ca="1">IFERROR(INDEX(Calculation_Tab,SMALL(ROW(ToPool)*(ToPool&lt;&gt;"-"),COUNTIF(ToPool,"-")+ROW()-3)-9,3),"-")</f>
        <v>-</v>
      </c>
      <c r="BN196" s="378" t="str">
        <f t="shared" ref="BN196:BN259" ca="1" si="116">IF(BM196="-","-",IFERROR(IFERROR(INDEX(AI:AQ,MATCH(BM196,AL:AL,0),2),INDEX(V:AQ,MATCH(BM196,Z:Z,0),15)),"-"))</f>
        <v>-</v>
      </c>
      <c r="BO196" s="378" t="str">
        <f t="shared" ref="BO196:BO259" ca="1" si="117">IF(BM196="-","-",IFERROR(IFERROR(INDEX(AI:AQ,MATCH(BM196,AL:AL,0),3),INDEX(V:AQ,MATCH(BM196,Z:Z,0),16)),"-"))</f>
        <v>-</v>
      </c>
      <c r="BP196" s="523" t="str">
        <f t="shared" ref="BP196:BP259" ca="1" si="118">IFERROR((INDEX(Calculation_Tab,MATCH($BM196,Identifier,0),10))/(IF(LEN(INDEX(Calculation_Tab,MATCH($BM196,Identifier,0),9))&gt;8,LEN(INDEX(Calculation_Tab,MATCH($BM196,Identifier,0),9))-8,1)),"-")</f>
        <v>-</v>
      </c>
      <c r="BQ196" s="378" t="str">
        <f t="array" aca="1" ref="BQ196" ca="1">IFERROR(INDEX(BE:BG,MATCH(INDEX(Calculation_Tab,SMALL(ROW(ToPool)*(ToPool&lt;&gt;"-"),COUNTIF(ToPool,"-")+ROW()-3)-9,9),BG:BG,0),2),"-")</f>
        <v>-</v>
      </c>
      <c r="BR196" s="510" t="str">
        <f t="shared" ref="BR196:BR259" ca="1" si="119">IFERROR(BS196/SUMIF($BQ$4:$BQ$387,BQ196,$BS$4:$BS$387)*(INDEX($BE$1:$BH$99,MATCH(INDEX(Calculation_Tab,MATCH(BM196,Identifier,0),9),BG:BG,0),4)),"-")</f>
        <v>-</v>
      </c>
      <c r="BS196" s="511" t="str">
        <f t="shared" ref="BS196:BS259" ca="1" si="120">IFERROR((INDEX(Calculation_Tab,MATCH($BM196,Identifier,0),10))/(IF(LEN(INDEX(Calculation_Tab,MATCH($BM196,Identifier,0),9))&gt;8,LEN(INDEX(Calculation_Tab,MATCH($BM196,Identifier,0),9))-8,1))*INDEX(Calculation_Tab,MATCH($BM196,Identifier,0),30),"-")</f>
        <v>-</v>
      </c>
      <c r="BT196" s="543" t="s">
        <v>82</v>
      </c>
      <c r="BU196" s="487" t="str">
        <f t="shared" ca="1" si="95"/>
        <v>-</v>
      </c>
      <c r="BV196" s="487" t="str">
        <f t="array" aca="1" ref="BV19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96" s="378" t="str">
        <f t="shared" ref="BW196:BW259" ca="1" si="121">IF($BV196="-","-",IFERROR(INDEX($AJ$4:$AL$387,MATCH($BV196,$AL$4:$AL$387,0),1),IFERROR(INDEX($Y$4:$AJ$99,MATCH($BV196,$Z$4:$Z$99,0),12),IFERROR(INDEX($AV$4:$AY$387,MATCH($BV196,$AV$4:$AV$387,0),3),IFERROR(INDEX($BE$4:$BK$99,MATCH($BV196,$BE$4:$BE$99,0),7),"-")))))</f>
        <v>-</v>
      </c>
      <c r="BX196" s="378" t="str">
        <f t="shared" ref="BX196:BX259" ca="1" si="122">IF($BV196="-","-",IFERROR(INDEX($AJ$4:$AL$387,MATCH($BV196,$AL$4:$AL$387,0),2),IFERROR(INDEX($Y$4:$AJ$99,MATCH($BV196,$Z$4:$Z$99,0),1),IFERROR(INDEX($AV$4:$AY$387,MATCH($BV196,$AV$4:$AV$387,0),4),IFERROR(INDEX($BE$4:$BK$99,MATCH($BV196,$BE$4:$BE$99,0),2),"-")))))</f>
        <v>-</v>
      </c>
      <c r="BY196" s="510" t="str">
        <f ca="1">IFERROR(ROUND(INDEX(Cluster,MATCH(IF(LEFT(BV196,4)="Pool",INDEX(Cluster,MATCH(INDEX(Calculation_Tab,MATCH(INDEX($BE$4:$BJ$99,MATCH(BV196,$BE$4:$BE$99,0),3),Flow_Cell_Lane,0),3),Cluster!$F$29:$F$412,0),6),BV196),Identifier_Cluster,0),19)*IF(LEFT(BV196,4)="pool",IF(LEN(INDEX($BE$4:$BJ$99,MATCH(BV196,$BE$4:$BE$99,0),3))=10,2,IF(LEN(INDEX($BE$4:$BJ$99,MATCH(BV196,$BE$4:$BE$99,0),3))&gt;10,LEN(INDEX($BE$4:$BJ$99,MATCH(BV196,$BE$4:$BE$99,0),3))-8,1)),1)*IF(LEFT(BV196,4)="pool",IF(INDEX($BE$4:$BJ$99,MATCH(BV196,$BE$4:$BE$99,0),6)&lt;1,1,INDEX($BE$4:$BJ$99,MATCH(BV196,$BE$4:$BE$99,0),6)),INDEX(Calculation_Tab,MATCH(BV196,Identifier,0),10)),1)*(1+Calculation!$Q$6),"-")</f>
        <v>-</v>
      </c>
      <c r="BZ196" s="378" t="str">
        <f ca="1">IFERROR((0.5/50)*CE196/Calculation!$AG$6*(IF(LEFT(BV196,4)="Pool",IF(LEN(INDEX($BE$4:$BJ$99,MATCH(BV196,$BE$4:$BE$99,0),3))=10,2,IF(LEN(INDEX($BE$4:$BJ$99,MATCH(BV196,$BE$4:$BE$99,0),3))&gt;10,LEN(INDEX($BE$4:$BJ$99,MATCH(BV196,$BE$4:$BE$99,0),3))-8,1)),IF(INDEX(Calculation_Tab,MATCH(BV196,Identifier,0),10)&gt;1,INDEX(Calculation_Tab,MATCH(BV196,Identifier,0),10),1)))*(1+Calculation!$Q$6),"-")</f>
        <v>-</v>
      </c>
      <c r="CA196" s="510" t="str">
        <f ca="1">IFERROR(IF((BZ196*Calculation!$AG$6/0.05)-SUM(BY196:BZ196,CC196)&gt;0,(BZ196*Calculation!$AG$6/0.05)-SUM(BY196:BZ196,CC196),0),"-")</f>
        <v>-</v>
      </c>
      <c r="CB196" s="510" t="str">
        <f ca="1">IFERROR(5/50*CE196*(IF(LEFT(BV196,4)="Pool",IF(LEN(INDEX($BE$4:$BJ$99,MATCH(BV196,$BE$4:$BE$99,0),3))=10,2,IF(LEN(INDEX($BE$4:$BJ$99,MATCH(BV196,$BE$4:$BE$99,0),3))&gt;10,LEN(INDEX($BE$4:$BJ$99,MATCH(BV196,$BE$4:$BE$99,0),3))-8,1)),IF(INDEX(Calculation_Tab,MATCH(BV196,Identifier,0),10)&gt;1,INDEX(Calculation_Tab,MATCH(BV196,Identifier,0),10),1)))*(1+Calculation!$Q$6),"-")</f>
        <v>-</v>
      </c>
      <c r="CC196" s="508" t="str">
        <f ca="1">IFERROR(ROUND(INDEX(Cluster,MATCH(IF(LEFT(BV196,4)="Pool",INDEX(Cluster,MATCH(INDEX(Calculation_Tab,MATCH(INDEX($BE$4:$BJ$99,MATCH(BV196,$BE$4:$BE$99,0),3),Flow_Cell_Lane,0),3),Cluster!$F$29:$F$412,0),6),BV196),Identifier_Cluster,0),20)*IF(LEFT(BV196,4)="pool",IF(LEN(INDEX($BE$4:$BJ$99,MATCH(BV196,$BE$4:$BE$99,0),3))=10,2,IF(LEN(INDEX($BE$4:$BJ$99,MATCH(BV196,$BE$4:$BE$99,0),3))&gt;10,LEN(INDEX($BE$4:$BJ$99,MATCH(BV196,$BE$4:$BE$99,0),3))-8,1)),1)*IF(LEFT(BV196,4)="pool",IF(INDEX($BE$4:$BJ$99,MATCH(BV196,$BE$4:$BE$99,0),6)&lt;1,1,INDEX($BE$4:$BJ$99,MATCH(BV196,$BE$4:$BE$99,0),6)),INDEX(Calculation_Tab,MATCH(BV196,Identifier,0),10)),1)*(1+Calculation!$Q$6),"-")</f>
        <v>-</v>
      </c>
      <c r="CD196" s="509" t="str">
        <f ca="1">IFERROR(INDEX(Cluster!AC:AD,MATCH(IF(LEFT(BV196,4)="Pool",INDEX(Cluster!$D$29:$AA$412,MATCH(INDEX(Calculation_Tab,MATCH(INDEX($BE$4:$BJ$99,MATCH(BV196,$BE$4:$BE$99,0),3),Flow_Cell_Lane,0),3),Cluster!$F$29:$F$412,0),24),INDEX(Cluster!$D$29:$AA$412,MATCH(BV196,Cluster!$F$29:$F$412,0),24)),Cluster!AC:AC,0),2),"-")</f>
        <v>-</v>
      </c>
      <c r="CE196" s="378" t="str">
        <f ca="1">IFERROR(IF(BV196&lt;&gt;"-",Calculation!$AK$6,"-"),"-")</f>
        <v>-</v>
      </c>
      <c r="CF196" s="378" t="str">
        <f ca="1">IF(OR(LEFT(ListAndConversion!BW196,3)="Dil",LEFT(ListAndConversion!BW196,3)="Poo"),ListAndConversion!$BT$4,IF(LEFT(ListAndConversion!BW196,3)="Sou",INDEX(ListAndConversion!$AT$3:$AV$387,MATCH(ListAndConversion!BV196,ListAndConversion!$AV$3:$AV$387,0),1),"-"))</f>
        <v>-</v>
      </c>
      <c r="CG196" s="498" t="str">
        <f ca="1">IF(OR(LEFT(ListAndConversion!BW196,3)="Dil",LEFT(ListAndConversion!BW196,3)="Poo"),ListAndConversion!BU196,IF(LEFT(ListAndConversion!BW196,3)="Sou",INDEX(ListAndConversion!$AT$4:$AV$387,MATCH(ListAndConversion!BV196,ListAndConversion!$AV$4:$AV$387,0),2),"-"))</f>
        <v>-</v>
      </c>
      <c r="CH196" s="378"/>
      <c r="CI196" s="487" t="str">
        <f t="shared" ref="CI196:CI259" ca="1" si="123">IFERROR(IF(LEFT(BV196,3)="poo",INDEX($BE$4:$BI$99,MATCH(BV196,$BE$4:$BE$99,0),3),INDEX(Calculation_Tab,MATCH(BV196,Identifier,0),9)),"-")</f>
        <v>-</v>
      </c>
      <c r="CJ196" s="378" t="str">
        <f t="shared" ca="1" si="108"/>
        <v>-</v>
      </c>
      <c r="CK196" s="378" t="str">
        <f t="shared" ca="1" si="108"/>
        <v>-</v>
      </c>
      <c r="CL196" s="378" t="str">
        <f t="shared" ca="1" si="108"/>
        <v>-</v>
      </c>
      <c r="CM196" s="378" t="str">
        <f t="shared" ca="1" si="108"/>
        <v>-</v>
      </c>
      <c r="CN196" s="378" t="str">
        <f t="shared" ca="1" si="108"/>
        <v>-</v>
      </c>
      <c r="CO196" s="378" t="str">
        <f t="shared" ca="1" si="108"/>
        <v>-</v>
      </c>
      <c r="CP196" s="378" t="str">
        <f t="shared" ca="1" si="108"/>
        <v>-</v>
      </c>
      <c r="CQ196" s="378" t="str">
        <f t="shared" ca="1" si="108"/>
        <v>-</v>
      </c>
      <c r="CR196" s="510" t="str">
        <f ca="1">IFERROR(IF(LEFT(BW196,3)="Poo",INDEX($BE$4:$BJ$99,MATCH(CI196,$BG$4:$BG$99,0),6)*((15/50))*Calculation!$AK$6,INDEX(Calculation_Tab,MATCH(BV196,Identifier,0),10)/(IF(LEN(INDEX(Calculation_Tab,MATCH(BV196,Identifier,0),9))&gt;8,LEN(INDEX(Calculation_Tab,MATCH(BV196,Identifier,0),9))-8,1))*((15/50)*Calculation!$AK$6)),"-")</f>
        <v>-</v>
      </c>
      <c r="CS196" s="498" t="str">
        <f ca="1">IF(CI196="-","-",IF(COUNTIF($CI$3:CI196,CI196)&gt;1,0,IFERROR((35/50)*Calculation!$AK$6,"-")))</f>
        <v>-</v>
      </c>
    </row>
    <row r="197" spans="4:97" x14ac:dyDescent="0.5">
      <c r="D197" s="487" t="e">
        <f t="shared" si="109"/>
        <v>#DIV/0!</v>
      </c>
      <c r="E197" s="496" t="e">
        <f t="array" ref="E197">IF(IF((ROW(E197)-3)&lt;(ListAndConversion!$A$15),INDEX(Flow_Cell_Lane,MIN(IF(COUNTIF($E$2:E196,Flow_Cell_Lane)=0,ROW(Flow_Cell_Lane)-9))),"-")="","-",IF((ROW(E197)-3)&lt;(ListAndConversion!$A$15),INDEX(Flow_Cell_Lane,MIN(IF(COUNTIF($E$2:E196,Flow_Cell_Lane)=0,ROW(Flow_Cell_Lane)-9))),"-"))</f>
        <v>#DIV/0!</v>
      </c>
      <c r="F197" s="378" t="e">
        <f t="shared" si="110"/>
        <v>#DIV/0!</v>
      </c>
      <c r="G197" s="378" t="e">
        <f t="shared" si="107"/>
        <v>#DIV/0!</v>
      </c>
      <c r="H197" s="378" t="e">
        <f t="shared" si="107"/>
        <v>#DIV/0!</v>
      </c>
      <c r="I197" s="378" t="e">
        <f t="shared" si="107"/>
        <v>#DIV/0!</v>
      </c>
      <c r="J197" s="378" t="e">
        <f t="shared" si="107"/>
        <v>#DIV/0!</v>
      </c>
      <c r="K197" s="378" t="e">
        <f t="shared" si="107"/>
        <v>#DIV/0!</v>
      </c>
      <c r="L197" s="378" t="e">
        <f t="shared" si="107"/>
        <v>#DIV/0!</v>
      </c>
      <c r="M197" s="378" t="e">
        <f t="shared" si="107"/>
        <v>#DIV/0!</v>
      </c>
      <c r="N197" s="497" t="e">
        <f t="shared" si="111"/>
        <v>#DIV/0!</v>
      </c>
      <c r="O197" s="497" t="str">
        <f t="array" ref="O197">IFERROR(INDEX(Calculation!I:AN,MATCH(ListAndConversion!E197,Calculation!I:I,0),31),"-")</f>
        <v>-</v>
      </c>
      <c r="P197" s="498">
        <f>IF(COUNTIFS(Calculation!$I$10:$I$393,E197,Direct_Denaturation,"-")&lt;&gt;1,COUNTIFS(Calculation!$I$10:$I$393,E197,Direct_Denaturation,"-"),0)</f>
        <v>0</v>
      </c>
      <c r="V197" s="542" t="s">
        <v>82</v>
      </c>
      <c r="W197" s="542" t="s">
        <v>82</v>
      </c>
      <c r="X197" s="542" t="s">
        <v>82</v>
      </c>
      <c r="Y197" s="542" t="s">
        <v>82</v>
      </c>
      <c r="Z197" s="542" t="s">
        <v>82</v>
      </c>
      <c r="AA197" s="542" t="s">
        <v>82</v>
      </c>
      <c r="AB197" s="542" t="s">
        <v>82</v>
      </c>
      <c r="AC197" s="542" t="s">
        <v>82</v>
      </c>
      <c r="AD197" s="542" t="s">
        <v>82</v>
      </c>
      <c r="AE197" s="542" t="s">
        <v>82</v>
      </c>
      <c r="AF197" s="542" t="s">
        <v>82</v>
      </c>
      <c r="AG197" s="542" t="s">
        <v>82</v>
      </c>
      <c r="AH197" s="9"/>
      <c r="AI197" s="487">
        <v>194</v>
      </c>
      <c r="AJ197" s="497" t="s">
        <v>162</v>
      </c>
      <c r="AK197" s="378">
        <v>2</v>
      </c>
      <c r="AL197" s="378" t="str">
        <f t="shared" ca="1" si="112"/>
        <v>-</v>
      </c>
      <c r="AM197" s="378" t="str">
        <f t="array" aca="1" ref="AM197" ca="1">IFERROR(IF(AI197&lt;=$AB$2,"-",INDEX(Calculation_Tab,SMALL(ROW(Main_Dil)*(Main_Dil&lt;&gt;"-"),COUNTIF(Main_Dil,"-")+ROW()-3-$AB$2)-9,5)),"-")</f>
        <v>-</v>
      </c>
      <c r="AN197" s="378" t="str">
        <f t="array" aca="1" ref="AN197" ca="1">IFERROR(IF(AI197&lt;=$AB$2,"-",INDEX($A$3:$B$12,MATCH(INDEX(Calculation_Tab,SMALL(ROW(Main_Dil)*(Main_Dil&lt;&gt;"-"),COUNTIF(Main_Dil,"-")+ROW()-3-$AB$2)-9,5),$A$3:$A$12,0),2)),"-")</f>
        <v>-</v>
      </c>
      <c r="AO197" s="378" t="str">
        <f t="array" aca="1" ref="AO197" ca="1">IFERROR(IF(AI197&lt;=$AB$2,"-",INDEX(Coordinate,MATCH(INDEX(Calculation_Tab,SMALL(ROW(Main_Dil)*(Main_Dil&lt;&gt;"-"),COUNTIF(Main_Dil,"-")+ROW()-3-$AB$2)-9,6),$X$4:$X$99,0),2)),"-")</f>
        <v>-</v>
      </c>
      <c r="AP197" s="510" t="str">
        <f t="array" aca="1" ref="AP197" ca="1">IFERROR(IF(AI197&lt;=$AB$2,"-",INDEX(Calculation_Tab,SMALL(ROW(Main_Dil)*(Main_Dil&lt;&gt;"-"),COUNTIF(Main_Dil,"-")+ROW()-3-$AB$2)-9,21)),"-")</f>
        <v>-</v>
      </c>
      <c r="AQ197" s="511" t="str">
        <f t="array" aca="1" ref="AQ197" ca="1">IFERROR(IF(AI197&lt;=$AB$2,"-",INDEX(Calculation_Tab,SMALL(ROW(Main_Dil)*(Main_Dil&lt;&gt;"-"),COUNTIF(Main_Dil,"-")+ROW()-3-$AB$2)-9,22)),"-")</f>
        <v>-</v>
      </c>
      <c r="AR197" s="487" t="str">
        <f t="shared" ca="1" si="113"/>
        <v>-</v>
      </c>
      <c r="AS197" s="378">
        <v>194</v>
      </c>
      <c r="AT197" s="497" t="s">
        <v>162</v>
      </c>
      <c r="AU197" s="498">
        <v>2</v>
      </c>
      <c r="AV197" s="378" t="str">
        <f t="shared" ca="1" si="114"/>
        <v>-</v>
      </c>
      <c r="AW197" s="378" t="str">
        <f t="array" aca="1" ref="AW197" ca="1">IFERROR(IF(AS197&lt;=$AB$2+$AN$2,"-",INDEX(Calculation_Tab,SMALL(ROW(Direct_Denaturation)*(Direct_Denaturation&lt;&gt;"-"),COUNTIF(Direct_Denaturation,"-")+ROW()-3-$AB$2-$AN$2)-9,5)),"-")</f>
        <v>-</v>
      </c>
      <c r="AX197" s="378" t="str">
        <f t="array" aca="1" ref="AX197" ca="1">IFERROR(IF(AS197&lt;=$AB$2+$AN$2,"-",INDEX($A$3:$B$12,MATCH(INDEX(Calculation_Tab,SMALL(ROW(Direct_Denaturation)*(Direct_Denaturation&lt;&gt;"-"),COUNTIF(Direct_Denaturation,"-")+ROW()-3-$AB$2-$AN$2)-9,5),$A$3:$A$12,0),2)),"-")</f>
        <v>-</v>
      </c>
      <c r="AY197" s="378" t="str">
        <f t="array" aca="1" ref="AY197" ca="1">IFERROR(IF(AS197&lt;=$AB$2+$AN$2,"-",INDEX(Coordinate,MATCH(INDEX(Calculation_Tab,SMALL(ROW(Direct_Denaturation)*(Direct_Denaturation&lt;&gt;"-"),COUNTIF(Direct_Denaturation,"-")+ROW()-3-$AB$2-$AN$2)-9,6),$X$4:$X$99,0),2)),"-")</f>
        <v>-</v>
      </c>
      <c r="AZ197" s="510" t="str">
        <f t="array" aca="1" ref="AZ197" ca="1">IFERROR(IF(AS197&lt;=$AB$2+$AN$2,"-",INDEX(Calculation_Tab,SMALL(ROW(Direct_Denaturation)*(Direct_Denaturation&lt;&gt;"-"),COUNTIF(Direct_Denaturation,"-")+ROW()-3-$AB$2-$AN$2)-9,32)),"-")</f>
        <v>-</v>
      </c>
      <c r="BA197" s="510" t="str">
        <f t="array" aca="1" ref="BA197" ca="1">IFERROR(IF(AS197&lt;=$AB$2+$AN$2,"-",INDEX(Calculation_Tab,SMALL(ROW(Direct_Denaturation)*(Direct_Denaturation&lt;&gt;"-"),COUNTIF(Direct_Denaturation,"-")+ROW()-3-$AB$2-$AN$2)-9,34)),"-")</f>
        <v>-</v>
      </c>
      <c r="BB197" s="510" t="str">
        <f t="array" aca="1" ref="BB197" ca="1">IFERROR(IF(AS197&lt;=$AB$2+$AN$2,"-",INDEX(Calculation_Tab,SMALL(ROW(Direct_Denaturation)*(Direct_Denaturation&lt;&gt;"-"),COUNTIF(Direct_Denaturation,"-")+ROW()-3-$AB$2-$AN$2)-9,33)),"-")</f>
        <v>-</v>
      </c>
      <c r="BC197" s="510" t="str">
        <f t="array" aca="1" ref="BC197" ca="1">IFERROR(IF(AS197&lt;=$AB$2+$AN$2,"-",INDEX(Calculation_Tab,SMALL(ROW(Direct_Denaturation)*(Direct_Denaturation&lt;&gt;"-"),COUNTIF(Direct_Denaturation,"-")+ROW()-3-$AB$2-$AN$2)-9,35)),"-")</f>
        <v>-</v>
      </c>
      <c r="BD197" s="511" t="str">
        <f t="shared" ca="1" si="115"/>
        <v>-</v>
      </c>
      <c r="BK197" s="542" t="s">
        <v>82</v>
      </c>
      <c r="BL197" s="542" t="s">
        <v>82</v>
      </c>
      <c r="BM197" s="487" t="str">
        <f t="array" aca="1" ref="BM197" ca="1">IFERROR(INDEX(Calculation_Tab,SMALL(ROW(ToPool)*(ToPool&lt;&gt;"-"),COUNTIF(ToPool,"-")+ROW()-3)-9,3),"-")</f>
        <v>-</v>
      </c>
      <c r="BN197" s="378" t="str">
        <f t="shared" ca="1" si="116"/>
        <v>-</v>
      </c>
      <c r="BO197" s="378" t="str">
        <f t="shared" ca="1" si="117"/>
        <v>-</v>
      </c>
      <c r="BP197" s="523" t="str">
        <f t="shared" ca="1" si="118"/>
        <v>-</v>
      </c>
      <c r="BQ197" s="378" t="str">
        <f t="array" aca="1" ref="BQ197" ca="1">IFERROR(INDEX(BE:BG,MATCH(INDEX(Calculation_Tab,SMALL(ROW(ToPool)*(ToPool&lt;&gt;"-"),COUNTIF(ToPool,"-")+ROW()-3)-9,9),BG:BG,0),2),"-")</f>
        <v>-</v>
      </c>
      <c r="BR197" s="510" t="str">
        <f t="shared" ca="1" si="119"/>
        <v>-</v>
      </c>
      <c r="BS197" s="511" t="str">
        <f t="shared" ca="1" si="120"/>
        <v>-</v>
      </c>
      <c r="BT197" s="543" t="s">
        <v>82</v>
      </c>
      <c r="BU197" s="487" t="str">
        <f t="shared" ref="BU197:BU260" ca="1" si="124">IF(BW197="-","-",IF(OR(LEFT(BW197,3)="Dil",LEFT(BW197,3)="Poo"),BU196+1,BU196))</f>
        <v>-</v>
      </c>
      <c r="BV197" s="487" t="str">
        <f t="array" aca="1" ref="BV19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97" s="378" t="str">
        <f t="shared" ca="1" si="121"/>
        <v>-</v>
      </c>
      <c r="BX197" s="378" t="str">
        <f t="shared" ca="1" si="122"/>
        <v>-</v>
      </c>
      <c r="BY197" s="510" t="str">
        <f ca="1">IFERROR(ROUND(INDEX(Cluster,MATCH(IF(LEFT(BV197,4)="Pool",INDEX(Cluster,MATCH(INDEX(Calculation_Tab,MATCH(INDEX($BE$4:$BJ$99,MATCH(BV197,$BE$4:$BE$99,0),3),Flow_Cell_Lane,0),3),Cluster!$F$29:$F$412,0),6),BV197),Identifier_Cluster,0),19)*IF(LEFT(BV197,4)="pool",IF(LEN(INDEX($BE$4:$BJ$99,MATCH(BV197,$BE$4:$BE$99,0),3))=10,2,IF(LEN(INDEX($BE$4:$BJ$99,MATCH(BV197,$BE$4:$BE$99,0),3))&gt;10,LEN(INDEX($BE$4:$BJ$99,MATCH(BV197,$BE$4:$BE$99,0),3))-8,1)),1)*IF(LEFT(BV197,4)="pool",IF(INDEX($BE$4:$BJ$99,MATCH(BV197,$BE$4:$BE$99,0),6)&lt;1,1,INDEX($BE$4:$BJ$99,MATCH(BV197,$BE$4:$BE$99,0),6)),INDEX(Calculation_Tab,MATCH(BV197,Identifier,0),10)),1)*(1+Calculation!$Q$6),"-")</f>
        <v>-</v>
      </c>
      <c r="BZ197" s="378" t="str">
        <f ca="1">IFERROR((0.5/50)*CE197/Calculation!$AG$6*(IF(LEFT(BV197,4)="Pool",IF(LEN(INDEX($BE$4:$BJ$99,MATCH(BV197,$BE$4:$BE$99,0),3))=10,2,IF(LEN(INDEX($BE$4:$BJ$99,MATCH(BV197,$BE$4:$BE$99,0),3))&gt;10,LEN(INDEX($BE$4:$BJ$99,MATCH(BV197,$BE$4:$BE$99,0),3))-8,1)),IF(INDEX(Calculation_Tab,MATCH(BV197,Identifier,0),10)&gt;1,INDEX(Calculation_Tab,MATCH(BV197,Identifier,0),10),1)))*(1+Calculation!$Q$6),"-")</f>
        <v>-</v>
      </c>
      <c r="CA197" s="510" t="str">
        <f ca="1">IFERROR(IF((BZ197*Calculation!$AG$6/0.05)-SUM(BY197:BZ197,CC197)&gt;0,(BZ197*Calculation!$AG$6/0.05)-SUM(BY197:BZ197,CC197),0),"-")</f>
        <v>-</v>
      </c>
      <c r="CB197" s="510" t="str">
        <f ca="1">IFERROR(5/50*CE197*(IF(LEFT(BV197,4)="Pool",IF(LEN(INDEX($BE$4:$BJ$99,MATCH(BV197,$BE$4:$BE$99,0),3))=10,2,IF(LEN(INDEX($BE$4:$BJ$99,MATCH(BV197,$BE$4:$BE$99,0),3))&gt;10,LEN(INDEX($BE$4:$BJ$99,MATCH(BV197,$BE$4:$BE$99,0),3))-8,1)),IF(INDEX(Calculation_Tab,MATCH(BV197,Identifier,0),10)&gt;1,INDEX(Calculation_Tab,MATCH(BV197,Identifier,0),10),1)))*(1+Calculation!$Q$6),"-")</f>
        <v>-</v>
      </c>
      <c r="CC197" s="508" t="str">
        <f ca="1">IFERROR(ROUND(INDEX(Cluster,MATCH(IF(LEFT(BV197,4)="Pool",INDEX(Cluster,MATCH(INDEX(Calculation_Tab,MATCH(INDEX($BE$4:$BJ$99,MATCH(BV197,$BE$4:$BE$99,0),3),Flow_Cell_Lane,0),3),Cluster!$F$29:$F$412,0),6),BV197),Identifier_Cluster,0),20)*IF(LEFT(BV197,4)="pool",IF(LEN(INDEX($BE$4:$BJ$99,MATCH(BV197,$BE$4:$BE$99,0),3))=10,2,IF(LEN(INDEX($BE$4:$BJ$99,MATCH(BV197,$BE$4:$BE$99,0),3))&gt;10,LEN(INDEX($BE$4:$BJ$99,MATCH(BV197,$BE$4:$BE$99,0),3))-8,1)),1)*IF(LEFT(BV197,4)="pool",IF(INDEX($BE$4:$BJ$99,MATCH(BV197,$BE$4:$BE$99,0),6)&lt;1,1,INDEX($BE$4:$BJ$99,MATCH(BV197,$BE$4:$BE$99,0),6)),INDEX(Calculation_Tab,MATCH(BV197,Identifier,0),10)),1)*(1+Calculation!$Q$6),"-")</f>
        <v>-</v>
      </c>
      <c r="CD197" s="509" t="str">
        <f ca="1">IFERROR(INDEX(Cluster!AC:AD,MATCH(IF(LEFT(BV197,4)="Pool",INDEX(Cluster!$D$29:$AA$412,MATCH(INDEX(Calculation_Tab,MATCH(INDEX($BE$4:$BJ$99,MATCH(BV197,$BE$4:$BE$99,0),3),Flow_Cell_Lane,0),3),Cluster!$F$29:$F$412,0),24),INDEX(Cluster!$D$29:$AA$412,MATCH(BV197,Cluster!$F$29:$F$412,0),24)),Cluster!AC:AC,0),2),"-")</f>
        <v>-</v>
      </c>
      <c r="CE197" s="378" t="str">
        <f ca="1">IFERROR(IF(BV197&lt;&gt;"-",Calculation!$AK$6,"-"),"-")</f>
        <v>-</v>
      </c>
      <c r="CF197" s="378" t="str">
        <f ca="1">IF(OR(LEFT(ListAndConversion!BW197,3)="Dil",LEFT(ListAndConversion!BW197,3)="Poo"),ListAndConversion!$BT$4,IF(LEFT(ListAndConversion!BW197,3)="Sou",INDEX(ListAndConversion!$AT$3:$AV$387,MATCH(ListAndConversion!BV197,ListAndConversion!$AV$3:$AV$387,0),1),"-"))</f>
        <v>-</v>
      </c>
      <c r="CG197" s="498" t="str">
        <f ca="1">IF(OR(LEFT(ListAndConversion!BW197,3)="Dil",LEFT(ListAndConversion!BW197,3)="Poo"),ListAndConversion!BU197,IF(LEFT(ListAndConversion!BW197,3)="Sou",INDEX(ListAndConversion!$AT$4:$AV$387,MATCH(ListAndConversion!BV197,ListAndConversion!$AV$4:$AV$387,0),2),"-"))</f>
        <v>-</v>
      </c>
      <c r="CH197" s="378"/>
      <c r="CI197" s="487" t="str">
        <f t="shared" ca="1" si="123"/>
        <v>-</v>
      </c>
      <c r="CJ197" s="378" t="str">
        <f t="shared" ca="1" si="108"/>
        <v>-</v>
      </c>
      <c r="CK197" s="378" t="str">
        <f t="shared" ca="1" si="108"/>
        <v>-</v>
      </c>
      <c r="CL197" s="378" t="str">
        <f t="shared" ca="1" si="108"/>
        <v>-</v>
      </c>
      <c r="CM197" s="378" t="str">
        <f t="shared" ca="1" si="108"/>
        <v>-</v>
      </c>
      <c r="CN197" s="378" t="str">
        <f t="shared" ca="1" si="108"/>
        <v>-</v>
      </c>
      <c r="CO197" s="378" t="str">
        <f t="shared" ca="1" si="108"/>
        <v>-</v>
      </c>
      <c r="CP197" s="378" t="str">
        <f t="shared" ca="1" si="108"/>
        <v>-</v>
      </c>
      <c r="CQ197" s="378" t="str">
        <f t="shared" ca="1" si="108"/>
        <v>-</v>
      </c>
      <c r="CR197" s="510" t="str">
        <f ca="1">IFERROR(IF(LEFT(BW197,3)="Poo",INDEX($BE$4:$BJ$99,MATCH(CI197,$BG$4:$BG$99,0),6)*((15/50))*Calculation!$AK$6,INDEX(Calculation_Tab,MATCH(BV197,Identifier,0),10)/(IF(LEN(INDEX(Calculation_Tab,MATCH(BV197,Identifier,0),9))&gt;8,LEN(INDEX(Calculation_Tab,MATCH(BV197,Identifier,0),9))-8,1))*((15/50)*Calculation!$AK$6)),"-")</f>
        <v>-</v>
      </c>
      <c r="CS197" s="498" t="str">
        <f ca="1">IF(CI197="-","-",IF(COUNTIF($CI$3:CI197,CI197)&gt;1,0,IFERROR((35/50)*Calculation!$AK$6,"-")))</f>
        <v>-</v>
      </c>
    </row>
    <row r="198" spans="4:97" x14ac:dyDescent="0.5">
      <c r="D198" s="487" t="e">
        <f t="shared" si="109"/>
        <v>#DIV/0!</v>
      </c>
      <c r="E198" s="496" t="e">
        <f t="array" ref="E198">IF(IF((ROW(E198)-3)&lt;(ListAndConversion!$A$15),INDEX(Flow_Cell_Lane,MIN(IF(COUNTIF($E$2:E197,Flow_Cell_Lane)=0,ROW(Flow_Cell_Lane)-9))),"-")="","-",IF((ROW(E198)-3)&lt;(ListAndConversion!$A$15),INDEX(Flow_Cell_Lane,MIN(IF(COUNTIF($E$2:E197,Flow_Cell_Lane)=0,ROW(Flow_Cell_Lane)-9))),"-"))</f>
        <v>#DIV/0!</v>
      </c>
      <c r="F198" s="378" t="e">
        <f t="shared" si="110"/>
        <v>#DIV/0!</v>
      </c>
      <c r="G198" s="378" t="e">
        <f t="shared" si="107"/>
        <v>#DIV/0!</v>
      </c>
      <c r="H198" s="378" t="e">
        <f t="shared" si="107"/>
        <v>#DIV/0!</v>
      </c>
      <c r="I198" s="378" t="e">
        <f t="shared" si="107"/>
        <v>#DIV/0!</v>
      </c>
      <c r="J198" s="378" t="e">
        <f t="shared" si="107"/>
        <v>#DIV/0!</v>
      </c>
      <c r="K198" s="378" t="e">
        <f t="shared" si="107"/>
        <v>#DIV/0!</v>
      </c>
      <c r="L198" s="378" t="e">
        <f t="shared" si="107"/>
        <v>#DIV/0!</v>
      </c>
      <c r="M198" s="378" t="e">
        <f t="shared" si="107"/>
        <v>#DIV/0!</v>
      </c>
      <c r="N198" s="497" t="e">
        <f t="shared" si="111"/>
        <v>#DIV/0!</v>
      </c>
      <c r="O198" s="497" t="str">
        <f t="array" ref="O198">IFERROR(INDEX(Calculation!I:AN,MATCH(ListAndConversion!E198,Calculation!I:I,0),31),"-")</f>
        <v>-</v>
      </c>
      <c r="P198" s="498">
        <f>IF(COUNTIFS(Calculation!$I$10:$I$393,E198,Direct_Denaturation,"-")&lt;&gt;1,COUNTIFS(Calculation!$I$10:$I$393,E198,Direct_Denaturation,"-"),0)</f>
        <v>0</v>
      </c>
      <c r="V198" s="542" t="s">
        <v>82</v>
      </c>
      <c r="W198" s="542" t="s">
        <v>82</v>
      </c>
      <c r="X198" s="542" t="s">
        <v>82</v>
      </c>
      <c r="Y198" s="542" t="s">
        <v>82</v>
      </c>
      <c r="Z198" s="542" t="s">
        <v>82</v>
      </c>
      <c r="AA198" s="542" t="s">
        <v>82</v>
      </c>
      <c r="AB198" s="542" t="s">
        <v>82</v>
      </c>
      <c r="AC198" s="542" t="s">
        <v>82</v>
      </c>
      <c r="AD198" s="542" t="s">
        <v>82</v>
      </c>
      <c r="AE198" s="542" t="s">
        <v>82</v>
      </c>
      <c r="AF198" s="542" t="s">
        <v>82</v>
      </c>
      <c r="AG198" s="542" t="s">
        <v>82</v>
      </c>
      <c r="AH198" s="9"/>
      <c r="AI198" s="487">
        <v>195</v>
      </c>
      <c r="AJ198" s="497" t="s">
        <v>162</v>
      </c>
      <c r="AK198" s="378">
        <v>3</v>
      </c>
      <c r="AL198" s="378" t="str">
        <f t="shared" ca="1" si="112"/>
        <v>-</v>
      </c>
      <c r="AM198" s="378" t="str">
        <f t="array" aca="1" ref="AM198" ca="1">IFERROR(IF(AI198&lt;=$AB$2,"-",INDEX(Calculation_Tab,SMALL(ROW(Main_Dil)*(Main_Dil&lt;&gt;"-"),COUNTIF(Main_Dil,"-")+ROW()-3-$AB$2)-9,5)),"-")</f>
        <v>-</v>
      </c>
      <c r="AN198" s="378" t="str">
        <f t="array" aca="1" ref="AN198" ca="1">IFERROR(IF(AI198&lt;=$AB$2,"-",INDEX($A$3:$B$12,MATCH(INDEX(Calculation_Tab,SMALL(ROW(Main_Dil)*(Main_Dil&lt;&gt;"-"),COUNTIF(Main_Dil,"-")+ROW()-3-$AB$2)-9,5),$A$3:$A$12,0),2)),"-")</f>
        <v>-</v>
      </c>
      <c r="AO198" s="378" t="str">
        <f t="array" aca="1" ref="AO198" ca="1">IFERROR(IF(AI198&lt;=$AB$2,"-",INDEX(Coordinate,MATCH(INDEX(Calculation_Tab,SMALL(ROW(Main_Dil)*(Main_Dil&lt;&gt;"-"),COUNTIF(Main_Dil,"-")+ROW()-3-$AB$2)-9,6),$X$4:$X$99,0),2)),"-")</f>
        <v>-</v>
      </c>
      <c r="AP198" s="510" t="str">
        <f t="array" aca="1" ref="AP198" ca="1">IFERROR(IF(AI198&lt;=$AB$2,"-",INDEX(Calculation_Tab,SMALL(ROW(Main_Dil)*(Main_Dil&lt;&gt;"-"),COUNTIF(Main_Dil,"-")+ROW()-3-$AB$2)-9,21)),"-")</f>
        <v>-</v>
      </c>
      <c r="AQ198" s="511" t="str">
        <f t="array" aca="1" ref="AQ198" ca="1">IFERROR(IF(AI198&lt;=$AB$2,"-",INDEX(Calculation_Tab,SMALL(ROW(Main_Dil)*(Main_Dil&lt;&gt;"-"),COUNTIF(Main_Dil,"-")+ROW()-3-$AB$2)-9,22)),"-")</f>
        <v>-</v>
      </c>
      <c r="AR198" s="487" t="str">
        <f t="shared" ca="1" si="113"/>
        <v>-</v>
      </c>
      <c r="AS198" s="378">
        <v>195</v>
      </c>
      <c r="AT198" s="497" t="s">
        <v>162</v>
      </c>
      <c r="AU198" s="498">
        <v>3</v>
      </c>
      <c r="AV198" s="378" t="str">
        <f t="shared" ca="1" si="114"/>
        <v>-</v>
      </c>
      <c r="AW198" s="378" t="str">
        <f t="array" aca="1" ref="AW198" ca="1">IFERROR(IF(AS198&lt;=$AB$2+$AN$2,"-",INDEX(Calculation_Tab,SMALL(ROW(Direct_Denaturation)*(Direct_Denaturation&lt;&gt;"-"),COUNTIF(Direct_Denaturation,"-")+ROW()-3-$AB$2-$AN$2)-9,5)),"-")</f>
        <v>-</v>
      </c>
      <c r="AX198" s="378" t="str">
        <f t="array" aca="1" ref="AX198" ca="1">IFERROR(IF(AS198&lt;=$AB$2+$AN$2,"-",INDEX($A$3:$B$12,MATCH(INDEX(Calculation_Tab,SMALL(ROW(Direct_Denaturation)*(Direct_Denaturation&lt;&gt;"-"),COUNTIF(Direct_Denaturation,"-")+ROW()-3-$AB$2-$AN$2)-9,5),$A$3:$A$12,0),2)),"-")</f>
        <v>-</v>
      </c>
      <c r="AY198" s="378" t="str">
        <f t="array" aca="1" ref="AY198" ca="1">IFERROR(IF(AS198&lt;=$AB$2+$AN$2,"-",INDEX(Coordinate,MATCH(INDEX(Calculation_Tab,SMALL(ROW(Direct_Denaturation)*(Direct_Denaturation&lt;&gt;"-"),COUNTIF(Direct_Denaturation,"-")+ROW()-3-$AB$2-$AN$2)-9,6),$X$4:$X$99,0),2)),"-")</f>
        <v>-</v>
      </c>
      <c r="AZ198" s="510" t="str">
        <f t="array" aca="1" ref="AZ198" ca="1">IFERROR(IF(AS198&lt;=$AB$2+$AN$2,"-",INDEX(Calculation_Tab,SMALL(ROW(Direct_Denaturation)*(Direct_Denaturation&lt;&gt;"-"),COUNTIF(Direct_Denaturation,"-")+ROW()-3-$AB$2-$AN$2)-9,32)),"-")</f>
        <v>-</v>
      </c>
      <c r="BA198" s="510" t="str">
        <f t="array" aca="1" ref="BA198" ca="1">IFERROR(IF(AS198&lt;=$AB$2+$AN$2,"-",INDEX(Calculation_Tab,SMALL(ROW(Direct_Denaturation)*(Direct_Denaturation&lt;&gt;"-"),COUNTIF(Direct_Denaturation,"-")+ROW()-3-$AB$2-$AN$2)-9,34)),"-")</f>
        <v>-</v>
      </c>
      <c r="BB198" s="510" t="str">
        <f t="array" aca="1" ref="BB198" ca="1">IFERROR(IF(AS198&lt;=$AB$2+$AN$2,"-",INDEX(Calculation_Tab,SMALL(ROW(Direct_Denaturation)*(Direct_Denaturation&lt;&gt;"-"),COUNTIF(Direct_Denaturation,"-")+ROW()-3-$AB$2-$AN$2)-9,33)),"-")</f>
        <v>-</v>
      </c>
      <c r="BC198" s="510" t="str">
        <f t="array" aca="1" ref="BC198" ca="1">IFERROR(IF(AS198&lt;=$AB$2+$AN$2,"-",INDEX(Calculation_Tab,SMALL(ROW(Direct_Denaturation)*(Direct_Denaturation&lt;&gt;"-"),COUNTIF(Direct_Denaturation,"-")+ROW()-3-$AB$2-$AN$2)-9,35)),"-")</f>
        <v>-</v>
      </c>
      <c r="BD198" s="511" t="str">
        <f t="shared" ca="1" si="115"/>
        <v>-</v>
      </c>
      <c r="BK198" s="542" t="s">
        <v>82</v>
      </c>
      <c r="BL198" s="542" t="s">
        <v>82</v>
      </c>
      <c r="BM198" s="487" t="str">
        <f t="array" aca="1" ref="BM198" ca="1">IFERROR(INDEX(Calculation_Tab,SMALL(ROW(ToPool)*(ToPool&lt;&gt;"-"),COUNTIF(ToPool,"-")+ROW()-3)-9,3),"-")</f>
        <v>-</v>
      </c>
      <c r="BN198" s="378" t="str">
        <f t="shared" ca="1" si="116"/>
        <v>-</v>
      </c>
      <c r="BO198" s="378" t="str">
        <f t="shared" ca="1" si="117"/>
        <v>-</v>
      </c>
      <c r="BP198" s="523" t="str">
        <f t="shared" ca="1" si="118"/>
        <v>-</v>
      </c>
      <c r="BQ198" s="378" t="str">
        <f t="array" aca="1" ref="BQ198" ca="1">IFERROR(INDEX(BE:BG,MATCH(INDEX(Calculation_Tab,SMALL(ROW(ToPool)*(ToPool&lt;&gt;"-"),COUNTIF(ToPool,"-")+ROW()-3)-9,9),BG:BG,0),2),"-")</f>
        <v>-</v>
      </c>
      <c r="BR198" s="510" t="str">
        <f t="shared" ca="1" si="119"/>
        <v>-</v>
      </c>
      <c r="BS198" s="511" t="str">
        <f t="shared" ca="1" si="120"/>
        <v>-</v>
      </c>
      <c r="BT198" s="543" t="s">
        <v>82</v>
      </c>
      <c r="BU198" s="487" t="str">
        <f t="shared" ca="1" si="124"/>
        <v>-</v>
      </c>
      <c r="BV198" s="487" t="str">
        <f t="array" aca="1" ref="BV19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98" s="378" t="str">
        <f t="shared" ca="1" si="121"/>
        <v>-</v>
      </c>
      <c r="BX198" s="378" t="str">
        <f t="shared" ca="1" si="122"/>
        <v>-</v>
      </c>
      <c r="BY198" s="510" t="str">
        <f ca="1">IFERROR(ROUND(INDEX(Cluster,MATCH(IF(LEFT(BV198,4)="Pool",INDEX(Cluster,MATCH(INDEX(Calculation_Tab,MATCH(INDEX($BE$4:$BJ$99,MATCH(BV198,$BE$4:$BE$99,0),3),Flow_Cell_Lane,0),3),Cluster!$F$29:$F$412,0),6),BV198),Identifier_Cluster,0),19)*IF(LEFT(BV198,4)="pool",IF(LEN(INDEX($BE$4:$BJ$99,MATCH(BV198,$BE$4:$BE$99,0),3))=10,2,IF(LEN(INDEX($BE$4:$BJ$99,MATCH(BV198,$BE$4:$BE$99,0),3))&gt;10,LEN(INDEX($BE$4:$BJ$99,MATCH(BV198,$BE$4:$BE$99,0),3))-8,1)),1)*IF(LEFT(BV198,4)="pool",IF(INDEX($BE$4:$BJ$99,MATCH(BV198,$BE$4:$BE$99,0),6)&lt;1,1,INDEX($BE$4:$BJ$99,MATCH(BV198,$BE$4:$BE$99,0),6)),INDEX(Calculation_Tab,MATCH(BV198,Identifier,0),10)),1)*(1+Calculation!$Q$6),"-")</f>
        <v>-</v>
      </c>
      <c r="BZ198" s="378" t="str">
        <f ca="1">IFERROR((0.5/50)*CE198/Calculation!$AG$6*(IF(LEFT(BV198,4)="Pool",IF(LEN(INDEX($BE$4:$BJ$99,MATCH(BV198,$BE$4:$BE$99,0),3))=10,2,IF(LEN(INDEX($BE$4:$BJ$99,MATCH(BV198,$BE$4:$BE$99,0),3))&gt;10,LEN(INDEX($BE$4:$BJ$99,MATCH(BV198,$BE$4:$BE$99,0),3))-8,1)),IF(INDEX(Calculation_Tab,MATCH(BV198,Identifier,0),10)&gt;1,INDEX(Calculation_Tab,MATCH(BV198,Identifier,0),10),1)))*(1+Calculation!$Q$6),"-")</f>
        <v>-</v>
      </c>
      <c r="CA198" s="510" t="str">
        <f ca="1">IFERROR(IF((BZ198*Calculation!$AG$6/0.05)-SUM(BY198:BZ198,CC198)&gt;0,(BZ198*Calculation!$AG$6/0.05)-SUM(BY198:BZ198,CC198),0),"-")</f>
        <v>-</v>
      </c>
      <c r="CB198" s="510" t="str">
        <f ca="1">IFERROR(5/50*CE198*(IF(LEFT(BV198,4)="Pool",IF(LEN(INDEX($BE$4:$BJ$99,MATCH(BV198,$BE$4:$BE$99,0),3))=10,2,IF(LEN(INDEX($BE$4:$BJ$99,MATCH(BV198,$BE$4:$BE$99,0),3))&gt;10,LEN(INDEX($BE$4:$BJ$99,MATCH(BV198,$BE$4:$BE$99,0),3))-8,1)),IF(INDEX(Calculation_Tab,MATCH(BV198,Identifier,0),10)&gt;1,INDEX(Calculation_Tab,MATCH(BV198,Identifier,0),10),1)))*(1+Calculation!$Q$6),"-")</f>
        <v>-</v>
      </c>
      <c r="CC198" s="508" t="str">
        <f ca="1">IFERROR(ROUND(INDEX(Cluster,MATCH(IF(LEFT(BV198,4)="Pool",INDEX(Cluster,MATCH(INDEX(Calculation_Tab,MATCH(INDEX($BE$4:$BJ$99,MATCH(BV198,$BE$4:$BE$99,0),3),Flow_Cell_Lane,0),3),Cluster!$F$29:$F$412,0),6),BV198),Identifier_Cluster,0),20)*IF(LEFT(BV198,4)="pool",IF(LEN(INDEX($BE$4:$BJ$99,MATCH(BV198,$BE$4:$BE$99,0),3))=10,2,IF(LEN(INDEX($BE$4:$BJ$99,MATCH(BV198,$BE$4:$BE$99,0),3))&gt;10,LEN(INDEX($BE$4:$BJ$99,MATCH(BV198,$BE$4:$BE$99,0),3))-8,1)),1)*IF(LEFT(BV198,4)="pool",IF(INDEX($BE$4:$BJ$99,MATCH(BV198,$BE$4:$BE$99,0),6)&lt;1,1,INDEX($BE$4:$BJ$99,MATCH(BV198,$BE$4:$BE$99,0),6)),INDEX(Calculation_Tab,MATCH(BV198,Identifier,0),10)),1)*(1+Calculation!$Q$6),"-")</f>
        <v>-</v>
      </c>
      <c r="CD198" s="509" t="str">
        <f ca="1">IFERROR(INDEX(Cluster!AC:AD,MATCH(IF(LEFT(BV198,4)="Pool",INDEX(Cluster!$D$29:$AA$412,MATCH(INDEX(Calculation_Tab,MATCH(INDEX($BE$4:$BJ$99,MATCH(BV198,$BE$4:$BE$99,0),3),Flow_Cell_Lane,0),3),Cluster!$F$29:$F$412,0),24),INDEX(Cluster!$D$29:$AA$412,MATCH(BV198,Cluster!$F$29:$F$412,0),24)),Cluster!AC:AC,0),2),"-")</f>
        <v>-</v>
      </c>
      <c r="CE198" s="378" t="str">
        <f ca="1">IFERROR(IF(BV198&lt;&gt;"-",Calculation!$AK$6,"-"),"-")</f>
        <v>-</v>
      </c>
      <c r="CF198" s="378" t="str">
        <f ca="1">IF(OR(LEFT(ListAndConversion!BW198,3)="Dil",LEFT(ListAndConversion!BW198,3)="Poo"),ListAndConversion!$BT$4,IF(LEFT(ListAndConversion!BW198,3)="Sou",INDEX(ListAndConversion!$AT$3:$AV$387,MATCH(ListAndConversion!BV198,ListAndConversion!$AV$3:$AV$387,0),1),"-"))</f>
        <v>-</v>
      </c>
      <c r="CG198" s="498" t="str">
        <f ca="1">IF(OR(LEFT(ListAndConversion!BW198,3)="Dil",LEFT(ListAndConversion!BW198,3)="Poo"),ListAndConversion!BU198,IF(LEFT(ListAndConversion!BW198,3)="Sou",INDEX(ListAndConversion!$AT$4:$AV$387,MATCH(ListAndConversion!BV198,ListAndConversion!$AV$4:$AV$387,0),2),"-"))</f>
        <v>-</v>
      </c>
      <c r="CH198" s="378"/>
      <c r="CI198" s="487" t="str">
        <f t="shared" ca="1" si="123"/>
        <v>-</v>
      </c>
      <c r="CJ198" s="378" t="str">
        <f t="shared" ca="1" si="108"/>
        <v>-</v>
      </c>
      <c r="CK198" s="378" t="str">
        <f t="shared" ca="1" si="108"/>
        <v>-</v>
      </c>
      <c r="CL198" s="378" t="str">
        <f t="shared" ca="1" si="108"/>
        <v>-</v>
      </c>
      <c r="CM198" s="378" t="str">
        <f t="shared" ca="1" si="108"/>
        <v>-</v>
      </c>
      <c r="CN198" s="378" t="str">
        <f t="shared" ca="1" si="108"/>
        <v>-</v>
      </c>
      <c r="CO198" s="378" t="str">
        <f t="shared" ca="1" si="108"/>
        <v>-</v>
      </c>
      <c r="CP198" s="378" t="str">
        <f t="shared" ca="1" si="108"/>
        <v>-</v>
      </c>
      <c r="CQ198" s="378" t="str">
        <f t="shared" ca="1" si="108"/>
        <v>-</v>
      </c>
      <c r="CR198" s="510" t="str">
        <f ca="1">IFERROR(IF(LEFT(BW198,3)="Poo",INDEX($BE$4:$BJ$99,MATCH(CI198,$BG$4:$BG$99,0),6)*((15/50))*Calculation!$AK$6,INDEX(Calculation_Tab,MATCH(BV198,Identifier,0),10)/(IF(LEN(INDEX(Calculation_Tab,MATCH(BV198,Identifier,0),9))&gt;8,LEN(INDEX(Calculation_Tab,MATCH(BV198,Identifier,0),9))-8,1))*((15/50)*Calculation!$AK$6)),"-")</f>
        <v>-</v>
      </c>
      <c r="CS198" s="498" t="str">
        <f ca="1">IF(CI198="-","-",IF(COUNTIF($CI$3:CI198,CI198)&gt;1,0,IFERROR((35/50)*Calculation!$AK$6,"-")))</f>
        <v>-</v>
      </c>
    </row>
    <row r="199" spans="4:97" x14ac:dyDescent="0.5">
      <c r="D199" s="487" t="e">
        <f t="shared" si="109"/>
        <v>#DIV/0!</v>
      </c>
      <c r="E199" s="496" t="e">
        <f t="array" ref="E199">IF(IF((ROW(E199)-3)&lt;(ListAndConversion!$A$15),INDEX(Flow_Cell_Lane,MIN(IF(COUNTIF($E$2:E198,Flow_Cell_Lane)=0,ROW(Flow_Cell_Lane)-9))),"-")="","-",IF((ROW(E199)-3)&lt;(ListAndConversion!$A$15),INDEX(Flow_Cell_Lane,MIN(IF(COUNTIF($E$2:E198,Flow_Cell_Lane)=0,ROW(Flow_Cell_Lane)-9))),"-"))</f>
        <v>#DIV/0!</v>
      </c>
      <c r="F199" s="378" t="e">
        <f t="shared" si="110"/>
        <v>#DIV/0!</v>
      </c>
      <c r="G199" s="378" t="e">
        <f t="shared" si="107"/>
        <v>#DIV/0!</v>
      </c>
      <c r="H199" s="378" t="e">
        <f t="shared" si="107"/>
        <v>#DIV/0!</v>
      </c>
      <c r="I199" s="378" t="e">
        <f t="shared" si="107"/>
        <v>#DIV/0!</v>
      </c>
      <c r="J199" s="378" t="e">
        <f t="shared" si="107"/>
        <v>#DIV/0!</v>
      </c>
      <c r="K199" s="378" t="e">
        <f t="shared" si="107"/>
        <v>#DIV/0!</v>
      </c>
      <c r="L199" s="378" t="e">
        <f t="shared" si="107"/>
        <v>#DIV/0!</v>
      </c>
      <c r="M199" s="378" t="e">
        <f t="shared" si="107"/>
        <v>#DIV/0!</v>
      </c>
      <c r="N199" s="497" t="e">
        <f t="shared" si="111"/>
        <v>#DIV/0!</v>
      </c>
      <c r="O199" s="497" t="str">
        <f t="array" ref="O199">IFERROR(INDEX(Calculation!I:AN,MATCH(ListAndConversion!E199,Calculation!I:I,0),31),"-")</f>
        <v>-</v>
      </c>
      <c r="P199" s="498">
        <f>IF(COUNTIFS(Calculation!$I$10:$I$393,E199,Direct_Denaturation,"-")&lt;&gt;1,COUNTIFS(Calculation!$I$10:$I$393,E199,Direct_Denaturation,"-"),0)</f>
        <v>0</v>
      </c>
      <c r="V199" s="542" t="s">
        <v>82</v>
      </c>
      <c r="W199" s="542" t="s">
        <v>82</v>
      </c>
      <c r="X199" s="542" t="s">
        <v>82</v>
      </c>
      <c r="Y199" s="542" t="s">
        <v>82</v>
      </c>
      <c r="Z199" s="542" t="s">
        <v>82</v>
      </c>
      <c r="AA199" s="542" t="s">
        <v>82</v>
      </c>
      <c r="AB199" s="542" t="s">
        <v>82</v>
      </c>
      <c r="AC199" s="542" t="s">
        <v>82</v>
      </c>
      <c r="AD199" s="542" t="s">
        <v>82</v>
      </c>
      <c r="AE199" s="542" t="s">
        <v>82</v>
      </c>
      <c r="AF199" s="542" t="s">
        <v>82</v>
      </c>
      <c r="AG199" s="542" t="s">
        <v>82</v>
      </c>
      <c r="AH199" s="9"/>
      <c r="AI199" s="487">
        <v>196</v>
      </c>
      <c r="AJ199" s="497" t="s">
        <v>162</v>
      </c>
      <c r="AK199" s="378">
        <v>4</v>
      </c>
      <c r="AL199" s="378" t="str">
        <f t="shared" ca="1" si="112"/>
        <v>-</v>
      </c>
      <c r="AM199" s="378" t="str">
        <f t="array" aca="1" ref="AM199" ca="1">IFERROR(IF(AI199&lt;=$AB$2,"-",INDEX(Calculation_Tab,SMALL(ROW(Main_Dil)*(Main_Dil&lt;&gt;"-"),COUNTIF(Main_Dil,"-")+ROW()-3-$AB$2)-9,5)),"-")</f>
        <v>-</v>
      </c>
      <c r="AN199" s="378" t="str">
        <f t="array" aca="1" ref="AN199" ca="1">IFERROR(IF(AI199&lt;=$AB$2,"-",INDEX($A$3:$B$12,MATCH(INDEX(Calculation_Tab,SMALL(ROW(Main_Dil)*(Main_Dil&lt;&gt;"-"),COUNTIF(Main_Dil,"-")+ROW()-3-$AB$2)-9,5),$A$3:$A$12,0),2)),"-")</f>
        <v>-</v>
      </c>
      <c r="AO199" s="378" t="str">
        <f t="array" aca="1" ref="AO199" ca="1">IFERROR(IF(AI199&lt;=$AB$2,"-",INDEX(Coordinate,MATCH(INDEX(Calculation_Tab,SMALL(ROW(Main_Dil)*(Main_Dil&lt;&gt;"-"),COUNTIF(Main_Dil,"-")+ROW()-3-$AB$2)-9,6),$X$4:$X$99,0),2)),"-")</f>
        <v>-</v>
      </c>
      <c r="AP199" s="510" t="str">
        <f t="array" aca="1" ref="AP199" ca="1">IFERROR(IF(AI199&lt;=$AB$2,"-",INDEX(Calculation_Tab,SMALL(ROW(Main_Dil)*(Main_Dil&lt;&gt;"-"),COUNTIF(Main_Dil,"-")+ROW()-3-$AB$2)-9,21)),"-")</f>
        <v>-</v>
      </c>
      <c r="AQ199" s="511" t="str">
        <f t="array" aca="1" ref="AQ199" ca="1">IFERROR(IF(AI199&lt;=$AB$2,"-",INDEX(Calculation_Tab,SMALL(ROW(Main_Dil)*(Main_Dil&lt;&gt;"-"),COUNTIF(Main_Dil,"-")+ROW()-3-$AB$2)-9,22)),"-")</f>
        <v>-</v>
      </c>
      <c r="AR199" s="487" t="str">
        <f t="shared" ca="1" si="113"/>
        <v>-</v>
      </c>
      <c r="AS199" s="378">
        <v>196</v>
      </c>
      <c r="AT199" s="497" t="s">
        <v>162</v>
      </c>
      <c r="AU199" s="498">
        <v>4</v>
      </c>
      <c r="AV199" s="378" t="str">
        <f t="shared" ca="1" si="114"/>
        <v>-</v>
      </c>
      <c r="AW199" s="378" t="str">
        <f t="array" aca="1" ref="AW199" ca="1">IFERROR(IF(AS199&lt;=$AB$2+$AN$2,"-",INDEX(Calculation_Tab,SMALL(ROW(Direct_Denaturation)*(Direct_Denaturation&lt;&gt;"-"),COUNTIF(Direct_Denaturation,"-")+ROW()-3-$AB$2-$AN$2)-9,5)),"-")</f>
        <v>-</v>
      </c>
      <c r="AX199" s="378" t="str">
        <f t="array" aca="1" ref="AX199" ca="1">IFERROR(IF(AS199&lt;=$AB$2+$AN$2,"-",INDEX($A$3:$B$12,MATCH(INDEX(Calculation_Tab,SMALL(ROW(Direct_Denaturation)*(Direct_Denaturation&lt;&gt;"-"),COUNTIF(Direct_Denaturation,"-")+ROW()-3-$AB$2-$AN$2)-9,5),$A$3:$A$12,0),2)),"-")</f>
        <v>-</v>
      </c>
      <c r="AY199" s="378" t="str">
        <f t="array" aca="1" ref="AY199" ca="1">IFERROR(IF(AS199&lt;=$AB$2+$AN$2,"-",INDEX(Coordinate,MATCH(INDEX(Calculation_Tab,SMALL(ROW(Direct_Denaturation)*(Direct_Denaturation&lt;&gt;"-"),COUNTIF(Direct_Denaturation,"-")+ROW()-3-$AB$2-$AN$2)-9,6),$X$4:$X$99,0),2)),"-")</f>
        <v>-</v>
      </c>
      <c r="AZ199" s="510" t="str">
        <f t="array" aca="1" ref="AZ199" ca="1">IFERROR(IF(AS199&lt;=$AB$2+$AN$2,"-",INDEX(Calculation_Tab,SMALL(ROW(Direct_Denaturation)*(Direct_Denaturation&lt;&gt;"-"),COUNTIF(Direct_Denaturation,"-")+ROW()-3-$AB$2-$AN$2)-9,32)),"-")</f>
        <v>-</v>
      </c>
      <c r="BA199" s="510" t="str">
        <f t="array" aca="1" ref="BA199" ca="1">IFERROR(IF(AS199&lt;=$AB$2+$AN$2,"-",INDEX(Calculation_Tab,SMALL(ROW(Direct_Denaturation)*(Direct_Denaturation&lt;&gt;"-"),COUNTIF(Direct_Denaturation,"-")+ROW()-3-$AB$2-$AN$2)-9,34)),"-")</f>
        <v>-</v>
      </c>
      <c r="BB199" s="510" t="str">
        <f t="array" aca="1" ref="BB199" ca="1">IFERROR(IF(AS199&lt;=$AB$2+$AN$2,"-",INDEX(Calculation_Tab,SMALL(ROW(Direct_Denaturation)*(Direct_Denaturation&lt;&gt;"-"),COUNTIF(Direct_Denaturation,"-")+ROW()-3-$AB$2-$AN$2)-9,33)),"-")</f>
        <v>-</v>
      </c>
      <c r="BC199" s="510" t="str">
        <f t="array" aca="1" ref="BC199" ca="1">IFERROR(IF(AS199&lt;=$AB$2+$AN$2,"-",INDEX(Calculation_Tab,SMALL(ROW(Direct_Denaturation)*(Direct_Denaturation&lt;&gt;"-"),COUNTIF(Direct_Denaturation,"-")+ROW()-3-$AB$2-$AN$2)-9,35)),"-")</f>
        <v>-</v>
      </c>
      <c r="BD199" s="511" t="str">
        <f t="shared" ca="1" si="115"/>
        <v>-</v>
      </c>
      <c r="BK199" s="542" t="s">
        <v>82</v>
      </c>
      <c r="BL199" s="542" t="s">
        <v>82</v>
      </c>
      <c r="BM199" s="487" t="str">
        <f t="array" aca="1" ref="BM199" ca="1">IFERROR(INDEX(Calculation_Tab,SMALL(ROW(ToPool)*(ToPool&lt;&gt;"-"),COUNTIF(ToPool,"-")+ROW()-3)-9,3),"-")</f>
        <v>-</v>
      </c>
      <c r="BN199" s="378" t="str">
        <f t="shared" ca="1" si="116"/>
        <v>-</v>
      </c>
      <c r="BO199" s="378" t="str">
        <f t="shared" ca="1" si="117"/>
        <v>-</v>
      </c>
      <c r="BP199" s="523" t="str">
        <f t="shared" ca="1" si="118"/>
        <v>-</v>
      </c>
      <c r="BQ199" s="378" t="str">
        <f t="array" aca="1" ref="BQ199" ca="1">IFERROR(INDEX(BE:BG,MATCH(INDEX(Calculation_Tab,SMALL(ROW(ToPool)*(ToPool&lt;&gt;"-"),COUNTIF(ToPool,"-")+ROW()-3)-9,9),BG:BG,0),2),"-")</f>
        <v>-</v>
      </c>
      <c r="BR199" s="510" t="str">
        <f t="shared" ca="1" si="119"/>
        <v>-</v>
      </c>
      <c r="BS199" s="511" t="str">
        <f t="shared" ca="1" si="120"/>
        <v>-</v>
      </c>
      <c r="BT199" s="543" t="s">
        <v>82</v>
      </c>
      <c r="BU199" s="487" t="str">
        <f t="shared" ca="1" si="124"/>
        <v>-</v>
      </c>
      <c r="BV199" s="487" t="str">
        <f t="array" aca="1" ref="BV19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199" s="378" t="str">
        <f t="shared" ca="1" si="121"/>
        <v>-</v>
      </c>
      <c r="BX199" s="378" t="str">
        <f t="shared" ca="1" si="122"/>
        <v>-</v>
      </c>
      <c r="BY199" s="510" t="str">
        <f ca="1">IFERROR(ROUND(INDEX(Cluster,MATCH(IF(LEFT(BV199,4)="Pool",INDEX(Cluster,MATCH(INDEX(Calculation_Tab,MATCH(INDEX($BE$4:$BJ$99,MATCH(BV199,$BE$4:$BE$99,0),3),Flow_Cell_Lane,0),3),Cluster!$F$29:$F$412,0),6),BV199),Identifier_Cluster,0),19)*IF(LEFT(BV199,4)="pool",IF(LEN(INDEX($BE$4:$BJ$99,MATCH(BV199,$BE$4:$BE$99,0),3))=10,2,IF(LEN(INDEX($BE$4:$BJ$99,MATCH(BV199,$BE$4:$BE$99,0),3))&gt;10,LEN(INDEX($BE$4:$BJ$99,MATCH(BV199,$BE$4:$BE$99,0),3))-8,1)),1)*IF(LEFT(BV199,4)="pool",IF(INDEX($BE$4:$BJ$99,MATCH(BV199,$BE$4:$BE$99,0),6)&lt;1,1,INDEX($BE$4:$BJ$99,MATCH(BV199,$BE$4:$BE$99,0),6)),INDEX(Calculation_Tab,MATCH(BV199,Identifier,0),10)),1)*(1+Calculation!$Q$6),"-")</f>
        <v>-</v>
      </c>
      <c r="BZ199" s="378" t="str">
        <f ca="1">IFERROR((0.5/50)*CE199/Calculation!$AG$6*(IF(LEFT(BV199,4)="Pool",IF(LEN(INDEX($BE$4:$BJ$99,MATCH(BV199,$BE$4:$BE$99,0),3))=10,2,IF(LEN(INDEX($BE$4:$BJ$99,MATCH(BV199,$BE$4:$BE$99,0),3))&gt;10,LEN(INDEX($BE$4:$BJ$99,MATCH(BV199,$BE$4:$BE$99,0),3))-8,1)),IF(INDEX(Calculation_Tab,MATCH(BV199,Identifier,0),10)&gt;1,INDEX(Calculation_Tab,MATCH(BV199,Identifier,0),10),1)))*(1+Calculation!$Q$6),"-")</f>
        <v>-</v>
      </c>
      <c r="CA199" s="510" t="str">
        <f ca="1">IFERROR(IF((BZ199*Calculation!$AG$6/0.05)-SUM(BY199:BZ199,CC199)&gt;0,(BZ199*Calculation!$AG$6/0.05)-SUM(BY199:BZ199,CC199),0),"-")</f>
        <v>-</v>
      </c>
      <c r="CB199" s="510" t="str">
        <f ca="1">IFERROR(5/50*CE199*(IF(LEFT(BV199,4)="Pool",IF(LEN(INDEX($BE$4:$BJ$99,MATCH(BV199,$BE$4:$BE$99,0),3))=10,2,IF(LEN(INDEX($BE$4:$BJ$99,MATCH(BV199,$BE$4:$BE$99,0),3))&gt;10,LEN(INDEX($BE$4:$BJ$99,MATCH(BV199,$BE$4:$BE$99,0),3))-8,1)),IF(INDEX(Calculation_Tab,MATCH(BV199,Identifier,0),10)&gt;1,INDEX(Calculation_Tab,MATCH(BV199,Identifier,0),10),1)))*(1+Calculation!$Q$6),"-")</f>
        <v>-</v>
      </c>
      <c r="CC199" s="508" t="str">
        <f ca="1">IFERROR(ROUND(INDEX(Cluster,MATCH(IF(LEFT(BV199,4)="Pool",INDEX(Cluster,MATCH(INDEX(Calculation_Tab,MATCH(INDEX($BE$4:$BJ$99,MATCH(BV199,$BE$4:$BE$99,0),3),Flow_Cell_Lane,0),3),Cluster!$F$29:$F$412,0),6),BV199),Identifier_Cluster,0),20)*IF(LEFT(BV199,4)="pool",IF(LEN(INDEX($BE$4:$BJ$99,MATCH(BV199,$BE$4:$BE$99,0),3))=10,2,IF(LEN(INDEX($BE$4:$BJ$99,MATCH(BV199,$BE$4:$BE$99,0),3))&gt;10,LEN(INDEX($BE$4:$BJ$99,MATCH(BV199,$BE$4:$BE$99,0),3))-8,1)),1)*IF(LEFT(BV199,4)="pool",IF(INDEX($BE$4:$BJ$99,MATCH(BV199,$BE$4:$BE$99,0),6)&lt;1,1,INDEX($BE$4:$BJ$99,MATCH(BV199,$BE$4:$BE$99,0),6)),INDEX(Calculation_Tab,MATCH(BV199,Identifier,0),10)),1)*(1+Calculation!$Q$6),"-")</f>
        <v>-</v>
      </c>
      <c r="CD199" s="509" t="str">
        <f ca="1">IFERROR(INDEX(Cluster!AC:AD,MATCH(IF(LEFT(BV199,4)="Pool",INDEX(Cluster!$D$29:$AA$412,MATCH(INDEX(Calculation_Tab,MATCH(INDEX($BE$4:$BJ$99,MATCH(BV199,$BE$4:$BE$99,0),3),Flow_Cell_Lane,0),3),Cluster!$F$29:$F$412,0),24),INDEX(Cluster!$D$29:$AA$412,MATCH(BV199,Cluster!$F$29:$F$412,0),24)),Cluster!AC:AC,0),2),"-")</f>
        <v>-</v>
      </c>
      <c r="CE199" s="378" t="str">
        <f ca="1">IFERROR(IF(BV199&lt;&gt;"-",Calculation!$AK$6,"-"),"-")</f>
        <v>-</v>
      </c>
      <c r="CF199" s="378" t="str">
        <f ca="1">IF(OR(LEFT(ListAndConversion!BW199,3)="Dil",LEFT(ListAndConversion!BW199,3)="Poo"),ListAndConversion!$BT$4,IF(LEFT(ListAndConversion!BW199,3)="Sou",INDEX(ListAndConversion!$AT$3:$AV$387,MATCH(ListAndConversion!BV199,ListAndConversion!$AV$3:$AV$387,0),1),"-"))</f>
        <v>-</v>
      </c>
      <c r="CG199" s="498" t="str">
        <f ca="1">IF(OR(LEFT(ListAndConversion!BW199,3)="Dil",LEFT(ListAndConversion!BW199,3)="Poo"),ListAndConversion!BU199,IF(LEFT(ListAndConversion!BW199,3)="Sou",INDEX(ListAndConversion!$AT$4:$AV$387,MATCH(ListAndConversion!BV199,ListAndConversion!$AV$4:$AV$387,0),2),"-"))</f>
        <v>-</v>
      </c>
      <c r="CH199" s="378"/>
      <c r="CI199" s="487" t="str">
        <f t="shared" ca="1" si="123"/>
        <v>-</v>
      </c>
      <c r="CJ199" s="378" t="str">
        <f t="shared" ca="1" si="108"/>
        <v>-</v>
      </c>
      <c r="CK199" s="378" t="str">
        <f t="shared" ca="1" si="108"/>
        <v>-</v>
      </c>
      <c r="CL199" s="378" t="str">
        <f t="shared" ca="1" si="108"/>
        <v>-</v>
      </c>
      <c r="CM199" s="378" t="str">
        <f t="shared" ca="1" si="108"/>
        <v>-</v>
      </c>
      <c r="CN199" s="378" t="str">
        <f t="shared" ca="1" si="108"/>
        <v>-</v>
      </c>
      <c r="CO199" s="378" t="str">
        <f t="shared" ca="1" si="108"/>
        <v>-</v>
      </c>
      <c r="CP199" s="378" t="str">
        <f t="shared" ca="1" si="108"/>
        <v>-</v>
      </c>
      <c r="CQ199" s="378" t="str">
        <f t="shared" ca="1" si="108"/>
        <v>-</v>
      </c>
      <c r="CR199" s="510" t="str">
        <f ca="1">IFERROR(IF(LEFT(BW199,3)="Poo",INDEX($BE$4:$BJ$99,MATCH(CI199,$BG$4:$BG$99,0),6)*((15/50))*Calculation!$AK$6,INDEX(Calculation_Tab,MATCH(BV199,Identifier,0),10)/(IF(LEN(INDEX(Calculation_Tab,MATCH(BV199,Identifier,0),9))&gt;8,LEN(INDEX(Calculation_Tab,MATCH(BV199,Identifier,0),9))-8,1))*((15/50)*Calculation!$AK$6)),"-")</f>
        <v>-</v>
      </c>
      <c r="CS199" s="498" t="str">
        <f ca="1">IF(CI199="-","-",IF(COUNTIF($CI$3:CI199,CI199)&gt;1,0,IFERROR((35/50)*Calculation!$AK$6,"-")))</f>
        <v>-</v>
      </c>
    </row>
    <row r="200" spans="4:97" x14ac:dyDescent="0.5">
      <c r="D200" s="487" t="e">
        <f t="shared" si="109"/>
        <v>#DIV/0!</v>
      </c>
      <c r="E200" s="496" t="e">
        <f t="array" ref="E200">IF(IF((ROW(E200)-3)&lt;(ListAndConversion!$A$15),INDEX(Flow_Cell_Lane,MIN(IF(COUNTIF($E$2:E199,Flow_Cell_Lane)=0,ROW(Flow_Cell_Lane)-9))),"-")="","-",IF((ROW(E200)-3)&lt;(ListAndConversion!$A$15),INDEX(Flow_Cell_Lane,MIN(IF(COUNTIF($E$2:E199,Flow_Cell_Lane)=0,ROW(Flow_Cell_Lane)-9))),"-"))</f>
        <v>#DIV/0!</v>
      </c>
      <c r="F200" s="378" t="e">
        <f t="shared" si="110"/>
        <v>#DIV/0!</v>
      </c>
      <c r="G200" s="378" t="e">
        <f t="shared" si="107"/>
        <v>#DIV/0!</v>
      </c>
      <c r="H200" s="378" t="e">
        <f t="shared" si="107"/>
        <v>#DIV/0!</v>
      </c>
      <c r="I200" s="378" t="e">
        <f t="shared" si="107"/>
        <v>#DIV/0!</v>
      </c>
      <c r="J200" s="378" t="e">
        <f t="shared" si="107"/>
        <v>#DIV/0!</v>
      </c>
      <c r="K200" s="378" t="e">
        <f t="shared" si="107"/>
        <v>#DIV/0!</v>
      </c>
      <c r="L200" s="378" t="e">
        <f t="shared" si="107"/>
        <v>#DIV/0!</v>
      </c>
      <c r="M200" s="378" t="e">
        <f t="shared" si="107"/>
        <v>#DIV/0!</v>
      </c>
      <c r="N200" s="497" t="e">
        <f t="shared" si="111"/>
        <v>#DIV/0!</v>
      </c>
      <c r="O200" s="497" t="str">
        <f t="array" ref="O200">IFERROR(INDEX(Calculation!I:AN,MATCH(ListAndConversion!E200,Calculation!I:I,0),31),"-")</f>
        <v>-</v>
      </c>
      <c r="P200" s="498">
        <f>IF(COUNTIFS(Calculation!$I$10:$I$393,E200,Direct_Denaturation,"-")&lt;&gt;1,COUNTIFS(Calculation!$I$10:$I$393,E200,Direct_Denaturation,"-"),0)</f>
        <v>0</v>
      </c>
      <c r="V200" s="542" t="s">
        <v>82</v>
      </c>
      <c r="W200" s="542" t="s">
        <v>82</v>
      </c>
      <c r="X200" s="542" t="s">
        <v>82</v>
      </c>
      <c r="Y200" s="542" t="s">
        <v>82</v>
      </c>
      <c r="Z200" s="542" t="s">
        <v>82</v>
      </c>
      <c r="AA200" s="542" t="s">
        <v>82</v>
      </c>
      <c r="AB200" s="542" t="s">
        <v>82</v>
      </c>
      <c r="AC200" s="542" t="s">
        <v>82</v>
      </c>
      <c r="AD200" s="542" t="s">
        <v>82</v>
      </c>
      <c r="AE200" s="542" t="s">
        <v>82</v>
      </c>
      <c r="AF200" s="542" t="s">
        <v>82</v>
      </c>
      <c r="AG200" s="542" t="s">
        <v>82</v>
      </c>
      <c r="AH200" s="9"/>
      <c r="AI200" s="487">
        <v>197</v>
      </c>
      <c r="AJ200" s="497" t="s">
        <v>162</v>
      </c>
      <c r="AK200" s="378">
        <v>5</v>
      </c>
      <c r="AL200" s="378" t="str">
        <f t="shared" ca="1" si="112"/>
        <v>-</v>
      </c>
      <c r="AM200" s="378" t="str">
        <f t="array" aca="1" ref="AM200" ca="1">IFERROR(IF(AI200&lt;=$AB$2,"-",INDEX(Calculation_Tab,SMALL(ROW(Main_Dil)*(Main_Dil&lt;&gt;"-"),COUNTIF(Main_Dil,"-")+ROW()-3-$AB$2)-9,5)),"-")</f>
        <v>-</v>
      </c>
      <c r="AN200" s="378" t="str">
        <f t="array" aca="1" ref="AN200" ca="1">IFERROR(IF(AI200&lt;=$AB$2,"-",INDEX($A$3:$B$12,MATCH(INDEX(Calculation_Tab,SMALL(ROW(Main_Dil)*(Main_Dil&lt;&gt;"-"),COUNTIF(Main_Dil,"-")+ROW()-3-$AB$2)-9,5),$A$3:$A$12,0),2)),"-")</f>
        <v>-</v>
      </c>
      <c r="AO200" s="378" t="str">
        <f t="array" aca="1" ref="AO200" ca="1">IFERROR(IF(AI200&lt;=$AB$2,"-",INDEX(Coordinate,MATCH(INDEX(Calculation_Tab,SMALL(ROW(Main_Dil)*(Main_Dil&lt;&gt;"-"),COUNTIF(Main_Dil,"-")+ROW()-3-$AB$2)-9,6),$X$4:$X$99,0),2)),"-")</f>
        <v>-</v>
      </c>
      <c r="AP200" s="510" t="str">
        <f t="array" aca="1" ref="AP200" ca="1">IFERROR(IF(AI200&lt;=$AB$2,"-",INDEX(Calculation_Tab,SMALL(ROW(Main_Dil)*(Main_Dil&lt;&gt;"-"),COUNTIF(Main_Dil,"-")+ROW()-3-$AB$2)-9,21)),"-")</f>
        <v>-</v>
      </c>
      <c r="AQ200" s="511" t="str">
        <f t="array" aca="1" ref="AQ200" ca="1">IFERROR(IF(AI200&lt;=$AB$2,"-",INDEX(Calculation_Tab,SMALL(ROW(Main_Dil)*(Main_Dil&lt;&gt;"-"),COUNTIF(Main_Dil,"-")+ROW()-3-$AB$2)-9,22)),"-")</f>
        <v>-</v>
      </c>
      <c r="AR200" s="487" t="str">
        <f t="shared" ca="1" si="113"/>
        <v>-</v>
      </c>
      <c r="AS200" s="378">
        <v>197</v>
      </c>
      <c r="AT200" s="497" t="s">
        <v>162</v>
      </c>
      <c r="AU200" s="498">
        <v>5</v>
      </c>
      <c r="AV200" s="378" t="str">
        <f t="shared" ca="1" si="114"/>
        <v>-</v>
      </c>
      <c r="AW200" s="378" t="str">
        <f t="array" aca="1" ref="AW200" ca="1">IFERROR(IF(AS200&lt;=$AB$2+$AN$2,"-",INDEX(Calculation_Tab,SMALL(ROW(Direct_Denaturation)*(Direct_Denaturation&lt;&gt;"-"),COUNTIF(Direct_Denaturation,"-")+ROW()-3-$AB$2-$AN$2)-9,5)),"-")</f>
        <v>-</v>
      </c>
      <c r="AX200" s="378" t="str">
        <f t="array" aca="1" ref="AX200" ca="1">IFERROR(IF(AS200&lt;=$AB$2+$AN$2,"-",INDEX($A$3:$B$12,MATCH(INDEX(Calculation_Tab,SMALL(ROW(Direct_Denaturation)*(Direct_Denaturation&lt;&gt;"-"),COUNTIF(Direct_Denaturation,"-")+ROW()-3-$AB$2-$AN$2)-9,5),$A$3:$A$12,0),2)),"-")</f>
        <v>-</v>
      </c>
      <c r="AY200" s="378" t="str">
        <f t="array" aca="1" ref="AY200" ca="1">IFERROR(IF(AS200&lt;=$AB$2+$AN$2,"-",INDEX(Coordinate,MATCH(INDEX(Calculation_Tab,SMALL(ROW(Direct_Denaturation)*(Direct_Denaturation&lt;&gt;"-"),COUNTIF(Direct_Denaturation,"-")+ROW()-3-$AB$2-$AN$2)-9,6),$X$4:$X$99,0),2)),"-")</f>
        <v>-</v>
      </c>
      <c r="AZ200" s="510" t="str">
        <f t="array" aca="1" ref="AZ200" ca="1">IFERROR(IF(AS200&lt;=$AB$2+$AN$2,"-",INDEX(Calculation_Tab,SMALL(ROW(Direct_Denaturation)*(Direct_Denaturation&lt;&gt;"-"),COUNTIF(Direct_Denaturation,"-")+ROW()-3-$AB$2-$AN$2)-9,32)),"-")</f>
        <v>-</v>
      </c>
      <c r="BA200" s="510" t="str">
        <f t="array" aca="1" ref="BA200" ca="1">IFERROR(IF(AS200&lt;=$AB$2+$AN$2,"-",INDEX(Calculation_Tab,SMALL(ROW(Direct_Denaturation)*(Direct_Denaturation&lt;&gt;"-"),COUNTIF(Direct_Denaturation,"-")+ROW()-3-$AB$2-$AN$2)-9,34)),"-")</f>
        <v>-</v>
      </c>
      <c r="BB200" s="510" t="str">
        <f t="array" aca="1" ref="BB200" ca="1">IFERROR(IF(AS200&lt;=$AB$2+$AN$2,"-",INDEX(Calculation_Tab,SMALL(ROW(Direct_Denaturation)*(Direct_Denaturation&lt;&gt;"-"),COUNTIF(Direct_Denaturation,"-")+ROW()-3-$AB$2-$AN$2)-9,33)),"-")</f>
        <v>-</v>
      </c>
      <c r="BC200" s="510" t="str">
        <f t="array" aca="1" ref="BC200" ca="1">IFERROR(IF(AS200&lt;=$AB$2+$AN$2,"-",INDEX(Calculation_Tab,SMALL(ROW(Direct_Denaturation)*(Direct_Denaturation&lt;&gt;"-"),COUNTIF(Direct_Denaturation,"-")+ROW()-3-$AB$2-$AN$2)-9,35)),"-")</f>
        <v>-</v>
      </c>
      <c r="BD200" s="511" t="str">
        <f t="shared" ca="1" si="115"/>
        <v>-</v>
      </c>
      <c r="BK200" s="542" t="s">
        <v>82</v>
      </c>
      <c r="BL200" s="542" t="s">
        <v>82</v>
      </c>
      <c r="BM200" s="487" t="str">
        <f t="array" aca="1" ref="BM200" ca="1">IFERROR(INDEX(Calculation_Tab,SMALL(ROW(ToPool)*(ToPool&lt;&gt;"-"),COUNTIF(ToPool,"-")+ROW()-3)-9,3),"-")</f>
        <v>-</v>
      </c>
      <c r="BN200" s="378" t="str">
        <f t="shared" ca="1" si="116"/>
        <v>-</v>
      </c>
      <c r="BO200" s="378" t="str">
        <f t="shared" ca="1" si="117"/>
        <v>-</v>
      </c>
      <c r="BP200" s="523" t="str">
        <f t="shared" ca="1" si="118"/>
        <v>-</v>
      </c>
      <c r="BQ200" s="378" t="str">
        <f t="array" aca="1" ref="BQ200" ca="1">IFERROR(INDEX(BE:BG,MATCH(INDEX(Calculation_Tab,SMALL(ROW(ToPool)*(ToPool&lt;&gt;"-"),COUNTIF(ToPool,"-")+ROW()-3)-9,9),BG:BG,0),2),"-")</f>
        <v>-</v>
      </c>
      <c r="BR200" s="510" t="str">
        <f t="shared" ca="1" si="119"/>
        <v>-</v>
      </c>
      <c r="BS200" s="511" t="str">
        <f t="shared" ca="1" si="120"/>
        <v>-</v>
      </c>
      <c r="BT200" s="543" t="s">
        <v>82</v>
      </c>
      <c r="BU200" s="487" t="str">
        <f t="shared" ca="1" si="124"/>
        <v>-</v>
      </c>
      <c r="BV200" s="487" t="str">
        <f t="array" aca="1" ref="BV20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00" s="378" t="str">
        <f t="shared" ca="1" si="121"/>
        <v>-</v>
      </c>
      <c r="BX200" s="378" t="str">
        <f t="shared" ca="1" si="122"/>
        <v>-</v>
      </c>
      <c r="BY200" s="510" t="str">
        <f ca="1">IFERROR(ROUND(INDEX(Cluster,MATCH(IF(LEFT(BV200,4)="Pool",INDEX(Cluster,MATCH(INDEX(Calculation_Tab,MATCH(INDEX($BE$4:$BJ$99,MATCH(BV200,$BE$4:$BE$99,0),3),Flow_Cell_Lane,0),3),Cluster!$F$29:$F$412,0),6),BV200),Identifier_Cluster,0),19)*IF(LEFT(BV200,4)="pool",IF(LEN(INDEX($BE$4:$BJ$99,MATCH(BV200,$BE$4:$BE$99,0),3))=10,2,IF(LEN(INDEX($BE$4:$BJ$99,MATCH(BV200,$BE$4:$BE$99,0),3))&gt;10,LEN(INDEX($BE$4:$BJ$99,MATCH(BV200,$BE$4:$BE$99,0),3))-8,1)),1)*IF(LEFT(BV200,4)="pool",IF(INDEX($BE$4:$BJ$99,MATCH(BV200,$BE$4:$BE$99,0),6)&lt;1,1,INDEX($BE$4:$BJ$99,MATCH(BV200,$BE$4:$BE$99,0),6)),INDEX(Calculation_Tab,MATCH(BV200,Identifier,0),10)),1)*(1+Calculation!$Q$6),"-")</f>
        <v>-</v>
      </c>
      <c r="BZ200" s="378" t="str">
        <f ca="1">IFERROR((0.5/50)*CE200/Calculation!$AG$6*(IF(LEFT(BV200,4)="Pool",IF(LEN(INDEX($BE$4:$BJ$99,MATCH(BV200,$BE$4:$BE$99,0),3))=10,2,IF(LEN(INDEX($BE$4:$BJ$99,MATCH(BV200,$BE$4:$BE$99,0),3))&gt;10,LEN(INDEX($BE$4:$BJ$99,MATCH(BV200,$BE$4:$BE$99,0),3))-8,1)),IF(INDEX(Calculation_Tab,MATCH(BV200,Identifier,0),10)&gt;1,INDEX(Calculation_Tab,MATCH(BV200,Identifier,0),10),1)))*(1+Calculation!$Q$6),"-")</f>
        <v>-</v>
      </c>
      <c r="CA200" s="510" t="str">
        <f ca="1">IFERROR(IF((BZ200*Calculation!$AG$6/0.05)-SUM(BY200:BZ200,CC200)&gt;0,(BZ200*Calculation!$AG$6/0.05)-SUM(BY200:BZ200,CC200),0),"-")</f>
        <v>-</v>
      </c>
      <c r="CB200" s="510" t="str">
        <f ca="1">IFERROR(5/50*CE200*(IF(LEFT(BV200,4)="Pool",IF(LEN(INDEX($BE$4:$BJ$99,MATCH(BV200,$BE$4:$BE$99,0),3))=10,2,IF(LEN(INDEX($BE$4:$BJ$99,MATCH(BV200,$BE$4:$BE$99,0),3))&gt;10,LEN(INDEX($BE$4:$BJ$99,MATCH(BV200,$BE$4:$BE$99,0),3))-8,1)),IF(INDEX(Calculation_Tab,MATCH(BV200,Identifier,0),10)&gt;1,INDEX(Calculation_Tab,MATCH(BV200,Identifier,0),10),1)))*(1+Calculation!$Q$6),"-")</f>
        <v>-</v>
      </c>
      <c r="CC200" s="508" t="str">
        <f ca="1">IFERROR(ROUND(INDEX(Cluster,MATCH(IF(LEFT(BV200,4)="Pool",INDEX(Cluster,MATCH(INDEX(Calculation_Tab,MATCH(INDEX($BE$4:$BJ$99,MATCH(BV200,$BE$4:$BE$99,0),3),Flow_Cell_Lane,0),3),Cluster!$F$29:$F$412,0),6),BV200),Identifier_Cluster,0),20)*IF(LEFT(BV200,4)="pool",IF(LEN(INDEX($BE$4:$BJ$99,MATCH(BV200,$BE$4:$BE$99,0),3))=10,2,IF(LEN(INDEX($BE$4:$BJ$99,MATCH(BV200,$BE$4:$BE$99,0),3))&gt;10,LEN(INDEX($BE$4:$BJ$99,MATCH(BV200,$BE$4:$BE$99,0),3))-8,1)),1)*IF(LEFT(BV200,4)="pool",IF(INDEX($BE$4:$BJ$99,MATCH(BV200,$BE$4:$BE$99,0),6)&lt;1,1,INDEX($BE$4:$BJ$99,MATCH(BV200,$BE$4:$BE$99,0),6)),INDEX(Calculation_Tab,MATCH(BV200,Identifier,0),10)),1)*(1+Calculation!$Q$6),"-")</f>
        <v>-</v>
      </c>
      <c r="CD200" s="509" t="str">
        <f ca="1">IFERROR(INDEX(Cluster!AC:AD,MATCH(IF(LEFT(BV200,4)="Pool",INDEX(Cluster!$D$29:$AA$412,MATCH(INDEX(Calculation_Tab,MATCH(INDEX($BE$4:$BJ$99,MATCH(BV200,$BE$4:$BE$99,0),3),Flow_Cell_Lane,0),3),Cluster!$F$29:$F$412,0),24),INDEX(Cluster!$D$29:$AA$412,MATCH(BV200,Cluster!$F$29:$F$412,0),24)),Cluster!AC:AC,0),2),"-")</f>
        <v>-</v>
      </c>
      <c r="CE200" s="378" t="str">
        <f ca="1">IFERROR(IF(BV200&lt;&gt;"-",Calculation!$AK$6,"-"),"-")</f>
        <v>-</v>
      </c>
      <c r="CF200" s="378" t="str">
        <f ca="1">IF(OR(LEFT(ListAndConversion!BW200,3)="Dil",LEFT(ListAndConversion!BW200,3)="Poo"),ListAndConversion!$BT$4,IF(LEFT(ListAndConversion!BW200,3)="Sou",INDEX(ListAndConversion!$AT$3:$AV$387,MATCH(ListAndConversion!BV200,ListAndConversion!$AV$3:$AV$387,0),1),"-"))</f>
        <v>-</v>
      </c>
      <c r="CG200" s="498" t="str">
        <f ca="1">IF(OR(LEFT(ListAndConversion!BW200,3)="Dil",LEFT(ListAndConversion!BW200,3)="Poo"),ListAndConversion!BU200,IF(LEFT(ListAndConversion!BW200,3)="Sou",INDEX(ListAndConversion!$AT$4:$AV$387,MATCH(ListAndConversion!BV200,ListAndConversion!$AV$4:$AV$387,0),2),"-"))</f>
        <v>-</v>
      </c>
      <c r="CH200" s="378"/>
      <c r="CI200" s="487" t="str">
        <f t="shared" ca="1" si="123"/>
        <v>-</v>
      </c>
      <c r="CJ200" s="378" t="str">
        <f t="shared" ca="1" si="108"/>
        <v>-</v>
      </c>
      <c r="CK200" s="378" t="str">
        <f t="shared" ca="1" si="108"/>
        <v>-</v>
      </c>
      <c r="CL200" s="378" t="str">
        <f t="shared" ca="1" si="108"/>
        <v>-</v>
      </c>
      <c r="CM200" s="378" t="str">
        <f t="shared" ca="1" si="108"/>
        <v>-</v>
      </c>
      <c r="CN200" s="378" t="str">
        <f t="shared" ca="1" si="108"/>
        <v>-</v>
      </c>
      <c r="CO200" s="378" t="str">
        <f t="shared" ca="1" si="108"/>
        <v>-</v>
      </c>
      <c r="CP200" s="378" t="str">
        <f t="shared" ca="1" si="108"/>
        <v>-</v>
      </c>
      <c r="CQ200" s="378" t="str">
        <f t="shared" ca="1" si="108"/>
        <v>-</v>
      </c>
      <c r="CR200" s="510" t="str">
        <f ca="1">IFERROR(IF(LEFT(BW200,3)="Poo",INDEX($BE$4:$BJ$99,MATCH(CI200,$BG$4:$BG$99,0),6)*((15/50))*Calculation!$AK$6,INDEX(Calculation_Tab,MATCH(BV200,Identifier,0),10)/(IF(LEN(INDEX(Calculation_Tab,MATCH(BV200,Identifier,0),9))&gt;8,LEN(INDEX(Calculation_Tab,MATCH(BV200,Identifier,0),9))-8,1))*((15/50)*Calculation!$AK$6)),"-")</f>
        <v>-</v>
      </c>
      <c r="CS200" s="498" t="str">
        <f ca="1">IF(CI200="-","-",IF(COUNTIF($CI$3:CI200,CI200)&gt;1,0,IFERROR((35/50)*Calculation!$AK$6,"-")))</f>
        <v>-</v>
      </c>
    </row>
    <row r="201" spans="4:97" x14ac:dyDescent="0.5">
      <c r="D201" s="487" t="e">
        <f t="shared" si="109"/>
        <v>#DIV/0!</v>
      </c>
      <c r="E201" s="496" t="e">
        <f t="array" ref="E201">IF(IF((ROW(E201)-3)&lt;(ListAndConversion!$A$15),INDEX(Flow_Cell_Lane,MIN(IF(COUNTIF($E$2:E200,Flow_Cell_Lane)=0,ROW(Flow_Cell_Lane)-9))),"-")="","-",IF((ROW(E201)-3)&lt;(ListAndConversion!$A$15),INDEX(Flow_Cell_Lane,MIN(IF(COUNTIF($E$2:E200,Flow_Cell_Lane)=0,ROW(Flow_Cell_Lane)-9))),"-"))</f>
        <v>#DIV/0!</v>
      </c>
      <c r="F201" s="378" t="e">
        <f t="shared" si="110"/>
        <v>#DIV/0!</v>
      </c>
      <c r="G201" s="378" t="e">
        <f t="shared" si="107"/>
        <v>#DIV/0!</v>
      </c>
      <c r="H201" s="378" t="e">
        <f t="shared" si="107"/>
        <v>#DIV/0!</v>
      </c>
      <c r="I201" s="378" t="e">
        <f t="shared" si="107"/>
        <v>#DIV/0!</v>
      </c>
      <c r="J201" s="378" t="e">
        <f t="shared" si="107"/>
        <v>#DIV/0!</v>
      </c>
      <c r="K201" s="378" t="e">
        <f t="shared" si="107"/>
        <v>#DIV/0!</v>
      </c>
      <c r="L201" s="378" t="e">
        <f t="shared" si="107"/>
        <v>#DIV/0!</v>
      </c>
      <c r="M201" s="378" t="e">
        <f t="shared" si="107"/>
        <v>#DIV/0!</v>
      </c>
      <c r="N201" s="497" t="e">
        <f t="shared" si="111"/>
        <v>#DIV/0!</v>
      </c>
      <c r="O201" s="497" t="str">
        <f t="array" ref="O201">IFERROR(INDEX(Calculation!I:AN,MATCH(ListAndConversion!E201,Calculation!I:I,0),31),"-")</f>
        <v>-</v>
      </c>
      <c r="P201" s="498">
        <f>IF(COUNTIFS(Calculation!$I$10:$I$393,E201,Direct_Denaturation,"-")&lt;&gt;1,COUNTIFS(Calculation!$I$10:$I$393,E201,Direct_Denaturation,"-"),0)</f>
        <v>0</v>
      </c>
      <c r="V201" s="542" t="s">
        <v>82</v>
      </c>
      <c r="W201" s="542" t="s">
        <v>82</v>
      </c>
      <c r="X201" s="542" t="s">
        <v>82</v>
      </c>
      <c r="Y201" s="542" t="s">
        <v>82</v>
      </c>
      <c r="Z201" s="542" t="s">
        <v>82</v>
      </c>
      <c r="AA201" s="542" t="s">
        <v>82</v>
      </c>
      <c r="AB201" s="542" t="s">
        <v>82</v>
      </c>
      <c r="AC201" s="542" t="s">
        <v>82</v>
      </c>
      <c r="AD201" s="542" t="s">
        <v>82</v>
      </c>
      <c r="AE201" s="542" t="s">
        <v>82</v>
      </c>
      <c r="AF201" s="542" t="s">
        <v>82</v>
      </c>
      <c r="AG201" s="542" t="s">
        <v>82</v>
      </c>
      <c r="AH201" s="9"/>
      <c r="AI201" s="487">
        <v>198</v>
      </c>
      <c r="AJ201" s="497" t="s">
        <v>162</v>
      </c>
      <c r="AK201" s="378">
        <v>6</v>
      </c>
      <c r="AL201" s="378" t="str">
        <f t="shared" ca="1" si="112"/>
        <v>-</v>
      </c>
      <c r="AM201" s="378" t="str">
        <f t="array" aca="1" ref="AM201" ca="1">IFERROR(IF(AI201&lt;=$AB$2,"-",INDEX(Calculation_Tab,SMALL(ROW(Main_Dil)*(Main_Dil&lt;&gt;"-"),COUNTIF(Main_Dil,"-")+ROW()-3-$AB$2)-9,5)),"-")</f>
        <v>-</v>
      </c>
      <c r="AN201" s="378" t="str">
        <f t="array" aca="1" ref="AN201" ca="1">IFERROR(IF(AI201&lt;=$AB$2,"-",INDEX($A$3:$B$12,MATCH(INDEX(Calculation_Tab,SMALL(ROW(Main_Dil)*(Main_Dil&lt;&gt;"-"),COUNTIF(Main_Dil,"-")+ROW()-3-$AB$2)-9,5),$A$3:$A$12,0),2)),"-")</f>
        <v>-</v>
      </c>
      <c r="AO201" s="378" t="str">
        <f t="array" aca="1" ref="AO201" ca="1">IFERROR(IF(AI201&lt;=$AB$2,"-",INDEX(Coordinate,MATCH(INDEX(Calculation_Tab,SMALL(ROW(Main_Dil)*(Main_Dil&lt;&gt;"-"),COUNTIF(Main_Dil,"-")+ROW()-3-$AB$2)-9,6),$X$4:$X$99,0),2)),"-")</f>
        <v>-</v>
      </c>
      <c r="AP201" s="510" t="str">
        <f t="array" aca="1" ref="AP201" ca="1">IFERROR(IF(AI201&lt;=$AB$2,"-",INDEX(Calculation_Tab,SMALL(ROW(Main_Dil)*(Main_Dil&lt;&gt;"-"),COUNTIF(Main_Dil,"-")+ROW()-3-$AB$2)-9,21)),"-")</f>
        <v>-</v>
      </c>
      <c r="AQ201" s="511" t="str">
        <f t="array" aca="1" ref="AQ201" ca="1">IFERROR(IF(AI201&lt;=$AB$2,"-",INDEX(Calculation_Tab,SMALL(ROW(Main_Dil)*(Main_Dil&lt;&gt;"-"),COUNTIF(Main_Dil,"-")+ROW()-3-$AB$2)-9,22)),"-")</f>
        <v>-</v>
      </c>
      <c r="AR201" s="487" t="str">
        <f t="shared" ca="1" si="113"/>
        <v>-</v>
      </c>
      <c r="AS201" s="378">
        <v>198</v>
      </c>
      <c r="AT201" s="497" t="s">
        <v>162</v>
      </c>
      <c r="AU201" s="498">
        <v>6</v>
      </c>
      <c r="AV201" s="378" t="str">
        <f t="shared" ca="1" si="114"/>
        <v>-</v>
      </c>
      <c r="AW201" s="378" t="str">
        <f t="array" aca="1" ref="AW201" ca="1">IFERROR(IF(AS201&lt;=$AB$2+$AN$2,"-",INDEX(Calculation_Tab,SMALL(ROW(Direct_Denaturation)*(Direct_Denaturation&lt;&gt;"-"),COUNTIF(Direct_Denaturation,"-")+ROW()-3-$AB$2-$AN$2)-9,5)),"-")</f>
        <v>-</v>
      </c>
      <c r="AX201" s="378" t="str">
        <f t="array" aca="1" ref="AX201" ca="1">IFERROR(IF(AS201&lt;=$AB$2+$AN$2,"-",INDEX($A$3:$B$12,MATCH(INDEX(Calculation_Tab,SMALL(ROW(Direct_Denaturation)*(Direct_Denaturation&lt;&gt;"-"),COUNTIF(Direct_Denaturation,"-")+ROW()-3-$AB$2-$AN$2)-9,5),$A$3:$A$12,0),2)),"-")</f>
        <v>-</v>
      </c>
      <c r="AY201" s="378" t="str">
        <f t="array" aca="1" ref="AY201" ca="1">IFERROR(IF(AS201&lt;=$AB$2+$AN$2,"-",INDEX(Coordinate,MATCH(INDEX(Calculation_Tab,SMALL(ROW(Direct_Denaturation)*(Direct_Denaturation&lt;&gt;"-"),COUNTIF(Direct_Denaturation,"-")+ROW()-3-$AB$2-$AN$2)-9,6),$X$4:$X$99,0),2)),"-")</f>
        <v>-</v>
      </c>
      <c r="AZ201" s="510" t="str">
        <f t="array" aca="1" ref="AZ201" ca="1">IFERROR(IF(AS201&lt;=$AB$2+$AN$2,"-",INDEX(Calculation_Tab,SMALL(ROW(Direct_Denaturation)*(Direct_Denaturation&lt;&gt;"-"),COUNTIF(Direct_Denaturation,"-")+ROW()-3-$AB$2-$AN$2)-9,32)),"-")</f>
        <v>-</v>
      </c>
      <c r="BA201" s="510" t="str">
        <f t="array" aca="1" ref="BA201" ca="1">IFERROR(IF(AS201&lt;=$AB$2+$AN$2,"-",INDEX(Calculation_Tab,SMALL(ROW(Direct_Denaturation)*(Direct_Denaturation&lt;&gt;"-"),COUNTIF(Direct_Denaturation,"-")+ROW()-3-$AB$2-$AN$2)-9,34)),"-")</f>
        <v>-</v>
      </c>
      <c r="BB201" s="510" t="str">
        <f t="array" aca="1" ref="BB201" ca="1">IFERROR(IF(AS201&lt;=$AB$2+$AN$2,"-",INDEX(Calculation_Tab,SMALL(ROW(Direct_Denaturation)*(Direct_Denaturation&lt;&gt;"-"),COUNTIF(Direct_Denaturation,"-")+ROW()-3-$AB$2-$AN$2)-9,33)),"-")</f>
        <v>-</v>
      </c>
      <c r="BC201" s="510" t="str">
        <f t="array" aca="1" ref="BC201" ca="1">IFERROR(IF(AS201&lt;=$AB$2+$AN$2,"-",INDEX(Calculation_Tab,SMALL(ROW(Direct_Denaturation)*(Direct_Denaturation&lt;&gt;"-"),COUNTIF(Direct_Denaturation,"-")+ROW()-3-$AB$2-$AN$2)-9,35)),"-")</f>
        <v>-</v>
      </c>
      <c r="BD201" s="511" t="str">
        <f t="shared" ca="1" si="115"/>
        <v>-</v>
      </c>
      <c r="BK201" s="542" t="s">
        <v>82</v>
      </c>
      <c r="BL201" s="542" t="s">
        <v>82</v>
      </c>
      <c r="BM201" s="487" t="str">
        <f t="array" aca="1" ref="BM201" ca="1">IFERROR(INDEX(Calculation_Tab,SMALL(ROW(ToPool)*(ToPool&lt;&gt;"-"),COUNTIF(ToPool,"-")+ROW()-3)-9,3),"-")</f>
        <v>-</v>
      </c>
      <c r="BN201" s="378" t="str">
        <f t="shared" ca="1" si="116"/>
        <v>-</v>
      </c>
      <c r="BO201" s="378" t="str">
        <f t="shared" ca="1" si="117"/>
        <v>-</v>
      </c>
      <c r="BP201" s="523" t="str">
        <f t="shared" ca="1" si="118"/>
        <v>-</v>
      </c>
      <c r="BQ201" s="378" t="str">
        <f t="array" aca="1" ref="BQ201" ca="1">IFERROR(INDEX(BE:BG,MATCH(INDEX(Calculation_Tab,SMALL(ROW(ToPool)*(ToPool&lt;&gt;"-"),COUNTIF(ToPool,"-")+ROW()-3)-9,9),BG:BG,0),2),"-")</f>
        <v>-</v>
      </c>
      <c r="BR201" s="510" t="str">
        <f t="shared" ca="1" si="119"/>
        <v>-</v>
      </c>
      <c r="BS201" s="511" t="str">
        <f t="shared" ca="1" si="120"/>
        <v>-</v>
      </c>
      <c r="BT201" s="543" t="s">
        <v>82</v>
      </c>
      <c r="BU201" s="487" t="str">
        <f t="shared" ca="1" si="124"/>
        <v>-</v>
      </c>
      <c r="BV201" s="487" t="str">
        <f t="array" aca="1" ref="BV20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01" s="378" t="str">
        <f t="shared" ca="1" si="121"/>
        <v>-</v>
      </c>
      <c r="BX201" s="378" t="str">
        <f t="shared" ca="1" si="122"/>
        <v>-</v>
      </c>
      <c r="BY201" s="510" t="str">
        <f ca="1">IFERROR(ROUND(INDEX(Cluster,MATCH(IF(LEFT(BV201,4)="Pool",INDEX(Cluster,MATCH(INDEX(Calculation_Tab,MATCH(INDEX($BE$4:$BJ$99,MATCH(BV201,$BE$4:$BE$99,0),3),Flow_Cell_Lane,0),3),Cluster!$F$29:$F$412,0),6),BV201),Identifier_Cluster,0),19)*IF(LEFT(BV201,4)="pool",IF(LEN(INDEX($BE$4:$BJ$99,MATCH(BV201,$BE$4:$BE$99,0),3))=10,2,IF(LEN(INDEX($BE$4:$BJ$99,MATCH(BV201,$BE$4:$BE$99,0),3))&gt;10,LEN(INDEX($BE$4:$BJ$99,MATCH(BV201,$BE$4:$BE$99,0),3))-8,1)),1)*IF(LEFT(BV201,4)="pool",IF(INDEX($BE$4:$BJ$99,MATCH(BV201,$BE$4:$BE$99,0),6)&lt;1,1,INDEX($BE$4:$BJ$99,MATCH(BV201,$BE$4:$BE$99,0),6)),INDEX(Calculation_Tab,MATCH(BV201,Identifier,0),10)),1)*(1+Calculation!$Q$6),"-")</f>
        <v>-</v>
      </c>
      <c r="BZ201" s="378" t="str">
        <f ca="1">IFERROR((0.5/50)*CE201/Calculation!$AG$6*(IF(LEFT(BV201,4)="Pool",IF(LEN(INDEX($BE$4:$BJ$99,MATCH(BV201,$BE$4:$BE$99,0),3))=10,2,IF(LEN(INDEX($BE$4:$BJ$99,MATCH(BV201,$BE$4:$BE$99,0),3))&gt;10,LEN(INDEX($BE$4:$BJ$99,MATCH(BV201,$BE$4:$BE$99,0),3))-8,1)),IF(INDEX(Calculation_Tab,MATCH(BV201,Identifier,0),10)&gt;1,INDEX(Calculation_Tab,MATCH(BV201,Identifier,0),10),1)))*(1+Calculation!$Q$6),"-")</f>
        <v>-</v>
      </c>
      <c r="CA201" s="510" t="str">
        <f ca="1">IFERROR(IF((BZ201*Calculation!$AG$6/0.05)-SUM(BY201:BZ201,CC201)&gt;0,(BZ201*Calculation!$AG$6/0.05)-SUM(BY201:BZ201,CC201),0),"-")</f>
        <v>-</v>
      </c>
      <c r="CB201" s="510" t="str">
        <f ca="1">IFERROR(5/50*CE201*(IF(LEFT(BV201,4)="Pool",IF(LEN(INDEX($BE$4:$BJ$99,MATCH(BV201,$BE$4:$BE$99,0),3))=10,2,IF(LEN(INDEX($BE$4:$BJ$99,MATCH(BV201,$BE$4:$BE$99,0),3))&gt;10,LEN(INDEX($BE$4:$BJ$99,MATCH(BV201,$BE$4:$BE$99,0),3))-8,1)),IF(INDEX(Calculation_Tab,MATCH(BV201,Identifier,0),10)&gt;1,INDEX(Calculation_Tab,MATCH(BV201,Identifier,0),10),1)))*(1+Calculation!$Q$6),"-")</f>
        <v>-</v>
      </c>
      <c r="CC201" s="508" t="str">
        <f ca="1">IFERROR(ROUND(INDEX(Cluster,MATCH(IF(LEFT(BV201,4)="Pool",INDEX(Cluster,MATCH(INDEX(Calculation_Tab,MATCH(INDEX($BE$4:$BJ$99,MATCH(BV201,$BE$4:$BE$99,0),3),Flow_Cell_Lane,0),3),Cluster!$F$29:$F$412,0),6),BV201),Identifier_Cluster,0),20)*IF(LEFT(BV201,4)="pool",IF(LEN(INDEX($BE$4:$BJ$99,MATCH(BV201,$BE$4:$BE$99,0),3))=10,2,IF(LEN(INDEX($BE$4:$BJ$99,MATCH(BV201,$BE$4:$BE$99,0),3))&gt;10,LEN(INDEX($BE$4:$BJ$99,MATCH(BV201,$BE$4:$BE$99,0),3))-8,1)),1)*IF(LEFT(BV201,4)="pool",IF(INDEX($BE$4:$BJ$99,MATCH(BV201,$BE$4:$BE$99,0),6)&lt;1,1,INDEX($BE$4:$BJ$99,MATCH(BV201,$BE$4:$BE$99,0),6)),INDEX(Calculation_Tab,MATCH(BV201,Identifier,0),10)),1)*(1+Calculation!$Q$6),"-")</f>
        <v>-</v>
      </c>
      <c r="CD201" s="509" t="str">
        <f ca="1">IFERROR(INDEX(Cluster!AC:AD,MATCH(IF(LEFT(BV201,4)="Pool",INDEX(Cluster!$D$29:$AA$412,MATCH(INDEX(Calculation_Tab,MATCH(INDEX($BE$4:$BJ$99,MATCH(BV201,$BE$4:$BE$99,0),3),Flow_Cell_Lane,0),3),Cluster!$F$29:$F$412,0),24),INDEX(Cluster!$D$29:$AA$412,MATCH(BV201,Cluster!$F$29:$F$412,0),24)),Cluster!AC:AC,0),2),"-")</f>
        <v>-</v>
      </c>
      <c r="CE201" s="378" t="str">
        <f ca="1">IFERROR(IF(BV201&lt;&gt;"-",Calculation!$AK$6,"-"),"-")</f>
        <v>-</v>
      </c>
      <c r="CF201" s="378" t="str">
        <f ca="1">IF(OR(LEFT(ListAndConversion!BW201,3)="Dil",LEFT(ListAndConversion!BW201,3)="Poo"),ListAndConversion!$BT$4,IF(LEFT(ListAndConversion!BW201,3)="Sou",INDEX(ListAndConversion!$AT$3:$AV$387,MATCH(ListAndConversion!BV201,ListAndConversion!$AV$3:$AV$387,0),1),"-"))</f>
        <v>-</v>
      </c>
      <c r="CG201" s="498" t="str">
        <f ca="1">IF(OR(LEFT(ListAndConversion!BW201,3)="Dil",LEFT(ListAndConversion!BW201,3)="Poo"),ListAndConversion!BU201,IF(LEFT(ListAndConversion!BW201,3)="Sou",INDEX(ListAndConversion!$AT$4:$AV$387,MATCH(ListAndConversion!BV201,ListAndConversion!$AV$4:$AV$387,0),2),"-"))</f>
        <v>-</v>
      </c>
      <c r="CH201" s="378"/>
      <c r="CI201" s="487" t="str">
        <f t="shared" ca="1" si="123"/>
        <v>-</v>
      </c>
      <c r="CJ201" s="378" t="str">
        <f t="shared" ca="1" si="108"/>
        <v>-</v>
      </c>
      <c r="CK201" s="378" t="str">
        <f t="shared" ca="1" si="108"/>
        <v>-</v>
      </c>
      <c r="CL201" s="378" t="str">
        <f t="shared" ca="1" si="108"/>
        <v>-</v>
      </c>
      <c r="CM201" s="378" t="str">
        <f t="shared" ca="1" si="108"/>
        <v>-</v>
      </c>
      <c r="CN201" s="378" t="str">
        <f t="shared" ca="1" si="108"/>
        <v>-</v>
      </c>
      <c r="CO201" s="378" t="str">
        <f t="shared" ca="1" si="108"/>
        <v>-</v>
      </c>
      <c r="CP201" s="378" t="str">
        <f t="shared" ca="1" si="108"/>
        <v>-</v>
      </c>
      <c r="CQ201" s="378" t="str">
        <f t="shared" ca="1" si="108"/>
        <v>-</v>
      </c>
      <c r="CR201" s="510" t="str">
        <f ca="1">IFERROR(IF(LEFT(BW201,3)="Poo",INDEX($BE$4:$BJ$99,MATCH(CI201,$BG$4:$BG$99,0),6)*((15/50))*Calculation!$AK$6,INDEX(Calculation_Tab,MATCH(BV201,Identifier,0),10)/(IF(LEN(INDEX(Calculation_Tab,MATCH(BV201,Identifier,0),9))&gt;8,LEN(INDEX(Calculation_Tab,MATCH(BV201,Identifier,0),9))-8,1))*((15/50)*Calculation!$AK$6)),"-")</f>
        <v>-</v>
      </c>
      <c r="CS201" s="498" t="str">
        <f ca="1">IF(CI201="-","-",IF(COUNTIF($CI$3:CI201,CI201)&gt;1,0,IFERROR((35/50)*Calculation!$AK$6,"-")))</f>
        <v>-</v>
      </c>
    </row>
    <row r="202" spans="4:97" x14ac:dyDescent="0.5">
      <c r="D202" s="487" t="e">
        <f t="shared" si="109"/>
        <v>#DIV/0!</v>
      </c>
      <c r="E202" s="496" t="e">
        <f t="array" ref="E202">IF(IF((ROW(E202)-3)&lt;(ListAndConversion!$A$15),INDEX(Flow_Cell_Lane,MIN(IF(COUNTIF($E$2:E201,Flow_Cell_Lane)=0,ROW(Flow_Cell_Lane)-9))),"-")="","-",IF((ROW(E202)-3)&lt;(ListAndConversion!$A$15),INDEX(Flow_Cell_Lane,MIN(IF(COUNTIF($E$2:E201,Flow_Cell_Lane)=0,ROW(Flow_Cell_Lane)-9))),"-"))</f>
        <v>#DIV/0!</v>
      </c>
      <c r="F202" s="378" t="e">
        <f t="shared" si="110"/>
        <v>#DIV/0!</v>
      </c>
      <c r="G202" s="378" t="e">
        <f t="shared" si="107"/>
        <v>#DIV/0!</v>
      </c>
      <c r="H202" s="378" t="e">
        <f t="shared" si="107"/>
        <v>#DIV/0!</v>
      </c>
      <c r="I202" s="378" t="e">
        <f t="shared" si="107"/>
        <v>#DIV/0!</v>
      </c>
      <c r="J202" s="378" t="e">
        <f t="shared" si="107"/>
        <v>#DIV/0!</v>
      </c>
      <c r="K202" s="378" t="e">
        <f t="shared" si="107"/>
        <v>#DIV/0!</v>
      </c>
      <c r="L202" s="378" t="e">
        <f t="shared" si="107"/>
        <v>#DIV/0!</v>
      </c>
      <c r="M202" s="378" t="e">
        <f t="shared" si="107"/>
        <v>#DIV/0!</v>
      </c>
      <c r="N202" s="497" t="e">
        <f t="shared" si="111"/>
        <v>#DIV/0!</v>
      </c>
      <c r="O202" s="497" t="str">
        <f t="array" ref="O202">IFERROR(INDEX(Calculation!I:AN,MATCH(ListAndConversion!E202,Calculation!I:I,0),31),"-")</f>
        <v>-</v>
      </c>
      <c r="P202" s="498">
        <f>IF(COUNTIFS(Calculation!$I$10:$I$393,E202,Direct_Denaturation,"-")&lt;&gt;1,COUNTIFS(Calculation!$I$10:$I$393,E202,Direct_Denaturation,"-"),0)</f>
        <v>0</v>
      </c>
      <c r="V202" s="542" t="s">
        <v>82</v>
      </c>
      <c r="W202" s="542" t="s">
        <v>82</v>
      </c>
      <c r="X202" s="542" t="s">
        <v>82</v>
      </c>
      <c r="Y202" s="542" t="s">
        <v>82</v>
      </c>
      <c r="Z202" s="542" t="s">
        <v>82</v>
      </c>
      <c r="AA202" s="542" t="s">
        <v>82</v>
      </c>
      <c r="AB202" s="542" t="s">
        <v>82</v>
      </c>
      <c r="AC202" s="542" t="s">
        <v>82</v>
      </c>
      <c r="AD202" s="542" t="s">
        <v>82</v>
      </c>
      <c r="AE202" s="542" t="s">
        <v>82</v>
      </c>
      <c r="AF202" s="542" t="s">
        <v>82</v>
      </c>
      <c r="AG202" s="542" t="s">
        <v>82</v>
      </c>
      <c r="AH202" s="9"/>
      <c r="AI202" s="487">
        <v>199</v>
      </c>
      <c r="AJ202" s="497" t="s">
        <v>162</v>
      </c>
      <c r="AK202" s="378">
        <v>7</v>
      </c>
      <c r="AL202" s="378" t="str">
        <f t="shared" ca="1" si="112"/>
        <v>-</v>
      </c>
      <c r="AM202" s="378" t="str">
        <f t="array" aca="1" ref="AM202" ca="1">IFERROR(IF(AI202&lt;=$AB$2,"-",INDEX(Calculation_Tab,SMALL(ROW(Main_Dil)*(Main_Dil&lt;&gt;"-"),COUNTIF(Main_Dil,"-")+ROW()-3-$AB$2)-9,5)),"-")</f>
        <v>-</v>
      </c>
      <c r="AN202" s="378" t="str">
        <f t="array" aca="1" ref="AN202" ca="1">IFERROR(IF(AI202&lt;=$AB$2,"-",INDEX($A$3:$B$12,MATCH(INDEX(Calculation_Tab,SMALL(ROW(Main_Dil)*(Main_Dil&lt;&gt;"-"),COUNTIF(Main_Dil,"-")+ROW()-3-$AB$2)-9,5),$A$3:$A$12,0),2)),"-")</f>
        <v>-</v>
      </c>
      <c r="AO202" s="378" t="str">
        <f t="array" aca="1" ref="AO202" ca="1">IFERROR(IF(AI202&lt;=$AB$2,"-",INDEX(Coordinate,MATCH(INDEX(Calculation_Tab,SMALL(ROW(Main_Dil)*(Main_Dil&lt;&gt;"-"),COUNTIF(Main_Dil,"-")+ROW()-3-$AB$2)-9,6),$X$4:$X$99,0),2)),"-")</f>
        <v>-</v>
      </c>
      <c r="AP202" s="510" t="str">
        <f t="array" aca="1" ref="AP202" ca="1">IFERROR(IF(AI202&lt;=$AB$2,"-",INDEX(Calculation_Tab,SMALL(ROW(Main_Dil)*(Main_Dil&lt;&gt;"-"),COUNTIF(Main_Dil,"-")+ROW()-3-$AB$2)-9,21)),"-")</f>
        <v>-</v>
      </c>
      <c r="AQ202" s="511" t="str">
        <f t="array" aca="1" ref="AQ202" ca="1">IFERROR(IF(AI202&lt;=$AB$2,"-",INDEX(Calculation_Tab,SMALL(ROW(Main_Dil)*(Main_Dil&lt;&gt;"-"),COUNTIF(Main_Dil,"-")+ROW()-3-$AB$2)-9,22)),"-")</f>
        <v>-</v>
      </c>
      <c r="AR202" s="487" t="str">
        <f t="shared" ca="1" si="113"/>
        <v>-</v>
      </c>
      <c r="AS202" s="378">
        <v>199</v>
      </c>
      <c r="AT202" s="497" t="s">
        <v>162</v>
      </c>
      <c r="AU202" s="498">
        <v>7</v>
      </c>
      <c r="AV202" s="378" t="str">
        <f t="shared" ca="1" si="114"/>
        <v>-</v>
      </c>
      <c r="AW202" s="378" t="str">
        <f t="array" aca="1" ref="AW202" ca="1">IFERROR(IF(AS202&lt;=$AB$2+$AN$2,"-",INDEX(Calculation_Tab,SMALL(ROW(Direct_Denaturation)*(Direct_Denaturation&lt;&gt;"-"),COUNTIF(Direct_Denaturation,"-")+ROW()-3-$AB$2-$AN$2)-9,5)),"-")</f>
        <v>-</v>
      </c>
      <c r="AX202" s="378" t="str">
        <f t="array" aca="1" ref="AX202" ca="1">IFERROR(IF(AS202&lt;=$AB$2+$AN$2,"-",INDEX($A$3:$B$12,MATCH(INDEX(Calculation_Tab,SMALL(ROW(Direct_Denaturation)*(Direct_Denaturation&lt;&gt;"-"),COUNTIF(Direct_Denaturation,"-")+ROW()-3-$AB$2-$AN$2)-9,5),$A$3:$A$12,0),2)),"-")</f>
        <v>-</v>
      </c>
      <c r="AY202" s="378" t="str">
        <f t="array" aca="1" ref="AY202" ca="1">IFERROR(IF(AS202&lt;=$AB$2+$AN$2,"-",INDEX(Coordinate,MATCH(INDEX(Calculation_Tab,SMALL(ROW(Direct_Denaturation)*(Direct_Denaturation&lt;&gt;"-"),COUNTIF(Direct_Denaturation,"-")+ROW()-3-$AB$2-$AN$2)-9,6),$X$4:$X$99,0),2)),"-")</f>
        <v>-</v>
      </c>
      <c r="AZ202" s="510" t="str">
        <f t="array" aca="1" ref="AZ202" ca="1">IFERROR(IF(AS202&lt;=$AB$2+$AN$2,"-",INDEX(Calculation_Tab,SMALL(ROW(Direct_Denaturation)*(Direct_Denaturation&lt;&gt;"-"),COUNTIF(Direct_Denaturation,"-")+ROW()-3-$AB$2-$AN$2)-9,32)),"-")</f>
        <v>-</v>
      </c>
      <c r="BA202" s="510" t="str">
        <f t="array" aca="1" ref="BA202" ca="1">IFERROR(IF(AS202&lt;=$AB$2+$AN$2,"-",INDEX(Calculation_Tab,SMALL(ROW(Direct_Denaturation)*(Direct_Denaturation&lt;&gt;"-"),COUNTIF(Direct_Denaturation,"-")+ROW()-3-$AB$2-$AN$2)-9,34)),"-")</f>
        <v>-</v>
      </c>
      <c r="BB202" s="510" t="str">
        <f t="array" aca="1" ref="BB202" ca="1">IFERROR(IF(AS202&lt;=$AB$2+$AN$2,"-",INDEX(Calculation_Tab,SMALL(ROW(Direct_Denaturation)*(Direct_Denaturation&lt;&gt;"-"),COUNTIF(Direct_Denaturation,"-")+ROW()-3-$AB$2-$AN$2)-9,33)),"-")</f>
        <v>-</v>
      </c>
      <c r="BC202" s="510" t="str">
        <f t="array" aca="1" ref="BC202" ca="1">IFERROR(IF(AS202&lt;=$AB$2+$AN$2,"-",INDEX(Calculation_Tab,SMALL(ROW(Direct_Denaturation)*(Direct_Denaturation&lt;&gt;"-"),COUNTIF(Direct_Denaturation,"-")+ROW()-3-$AB$2-$AN$2)-9,35)),"-")</f>
        <v>-</v>
      </c>
      <c r="BD202" s="511" t="str">
        <f t="shared" ca="1" si="115"/>
        <v>-</v>
      </c>
      <c r="BK202" s="542" t="s">
        <v>82</v>
      </c>
      <c r="BL202" s="542" t="s">
        <v>82</v>
      </c>
      <c r="BM202" s="487" t="str">
        <f t="array" aca="1" ref="BM202" ca="1">IFERROR(INDEX(Calculation_Tab,SMALL(ROW(ToPool)*(ToPool&lt;&gt;"-"),COUNTIF(ToPool,"-")+ROW()-3)-9,3),"-")</f>
        <v>-</v>
      </c>
      <c r="BN202" s="378" t="str">
        <f t="shared" ca="1" si="116"/>
        <v>-</v>
      </c>
      <c r="BO202" s="378" t="str">
        <f t="shared" ca="1" si="117"/>
        <v>-</v>
      </c>
      <c r="BP202" s="523" t="str">
        <f t="shared" ca="1" si="118"/>
        <v>-</v>
      </c>
      <c r="BQ202" s="378" t="str">
        <f t="array" aca="1" ref="BQ202" ca="1">IFERROR(INDEX(BE:BG,MATCH(INDEX(Calculation_Tab,SMALL(ROW(ToPool)*(ToPool&lt;&gt;"-"),COUNTIF(ToPool,"-")+ROW()-3)-9,9),BG:BG,0),2),"-")</f>
        <v>-</v>
      </c>
      <c r="BR202" s="510" t="str">
        <f t="shared" ca="1" si="119"/>
        <v>-</v>
      </c>
      <c r="BS202" s="511" t="str">
        <f t="shared" ca="1" si="120"/>
        <v>-</v>
      </c>
      <c r="BT202" s="543" t="s">
        <v>82</v>
      </c>
      <c r="BU202" s="487" t="str">
        <f t="shared" ca="1" si="124"/>
        <v>-</v>
      </c>
      <c r="BV202" s="487" t="str">
        <f t="array" aca="1" ref="BV20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02" s="378" t="str">
        <f t="shared" ca="1" si="121"/>
        <v>-</v>
      </c>
      <c r="BX202" s="378" t="str">
        <f t="shared" ca="1" si="122"/>
        <v>-</v>
      </c>
      <c r="BY202" s="510" t="str">
        <f ca="1">IFERROR(ROUND(INDEX(Cluster,MATCH(IF(LEFT(BV202,4)="Pool",INDEX(Cluster,MATCH(INDEX(Calculation_Tab,MATCH(INDEX($BE$4:$BJ$99,MATCH(BV202,$BE$4:$BE$99,0),3),Flow_Cell_Lane,0),3),Cluster!$F$29:$F$412,0),6),BV202),Identifier_Cluster,0),19)*IF(LEFT(BV202,4)="pool",IF(LEN(INDEX($BE$4:$BJ$99,MATCH(BV202,$BE$4:$BE$99,0),3))=10,2,IF(LEN(INDEX($BE$4:$BJ$99,MATCH(BV202,$BE$4:$BE$99,0),3))&gt;10,LEN(INDEX($BE$4:$BJ$99,MATCH(BV202,$BE$4:$BE$99,0),3))-8,1)),1)*IF(LEFT(BV202,4)="pool",IF(INDEX($BE$4:$BJ$99,MATCH(BV202,$BE$4:$BE$99,0),6)&lt;1,1,INDEX($BE$4:$BJ$99,MATCH(BV202,$BE$4:$BE$99,0),6)),INDEX(Calculation_Tab,MATCH(BV202,Identifier,0),10)),1)*(1+Calculation!$Q$6),"-")</f>
        <v>-</v>
      </c>
      <c r="BZ202" s="378" t="str">
        <f ca="1">IFERROR((0.5/50)*CE202/Calculation!$AG$6*(IF(LEFT(BV202,4)="Pool",IF(LEN(INDEX($BE$4:$BJ$99,MATCH(BV202,$BE$4:$BE$99,0),3))=10,2,IF(LEN(INDEX($BE$4:$BJ$99,MATCH(BV202,$BE$4:$BE$99,0),3))&gt;10,LEN(INDEX($BE$4:$BJ$99,MATCH(BV202,$BE$4:$BE$99,0),3))-8,1)),IF(INDEX(Calculation_Tab,MATCH(BV202,Identifier,0),10)&gt;1,INDEX(Calculation_Tab,MATCH(BV202,Identifier,0),10),1)))*(1+Calculation!$Q$6),"-")</f>
        <v>-</v>
      </c>
      <c r="CA202" s="510" t="str">
        <f ca="1">IFERROR(IF((BZ202*Calculation!$AG$6/0.05)-SUM(BY202:BZ202,CC202)&gt;0,(BZ202*Calculation!$AG$6/0.05)-SUM(BY202:BZ202,CC202),0),"-")</f>
        <v>-</v>
      </c>
      <c r="CB202" s="510" t="str">
        <f ca="1">IFERROR(5/50*CE202*(IF(LEFT(BV202,4)="Pool",IF(LEN(INDEX($BE$4:$BJ$99,MATCH(BV202,$BE$4:$BE$99,0),3))=10,2,IF(LEN(INDEX($BE$4:$BJ$99,MATCH(BV202,$BE$4:$BE$99,0),3))&gt;10,LEN(INDEX($BE$4:$BJ$99,MATCH(BV202,$BE$4:$BE$99,0),3))-8,1)),IF(INDEX(Calculation_Tab,MATCH(BV202,Identifier,0),10)&gt;1,INDEX(Calculation_Tab,MATCH(BV202,Identifier,0),10),1)))*(1+Calculation!$Q$6),"-")</f>
        <v>-</v>
      </c>
      <c r="CC202" s="508" t="str">
        <f ca="1">IFERROR(ROUND(INDEX(Cluster,MATCH(IF(LEFT(BV202,4)="Pool",INDEX(Cluster,MATCH(INDEX(Calculation_Tab,MATCH(INDEX($BE$4:$BJ$99,MATCH(BV202,$BE$4:$BE$99,0),3),Flow_Cell_Lane,0),3),Cluster!$F$29:$F$412,0),6),BV202),Identifier_Cluster,0),20)*IF(LEFT(BV202,4)="pool",IF(LEN(INDEX($BE$4:$BJ$99,MATCH(BV202,$BE$4:$BE$99,0),3))=10,2,IF(LEN(INDEX($BE$4:$BJ$99,MATCH(BV202,$BE$4:$BE$99,0),3))&gt;10,LEN(INDEX($BE$4:$BJ$99,MATCH(BV202,$BE$4:$BE$99,0),3))-8,1)),1)*IF(LEFT(BV202,4)="pool",IF(INDEX($BE$4:$BJ$99,MATCH(BV202,$BE$4:$BE$99,0),6)&lt;1,1,INDEX($BE$4:$BJ$99,MATCH(BV202,$BE$4:$BE$99,0),6)),INDEX(Calculation_Tab,MATCH(BV202,Identifier,0),10)),1)*(1+Calculation!$Q$6),"-")</f>
        <v>-</v>
      </c>
      <c r="CD202" s="509" t="str">
        <f ca="1">IFERROR(INDEX(Cluster!AC:AD,MATCH(IF(LEFT(BV202,4)="Pool",INDEX(Cluster!$D$29:$AA$412,MATCH(INDEX(Calculation_Tab,MATCH(INDEX($BE$4:$BJ$99,MATCH(BV202,$BE$4:$BE$99,0),3),Flow_Cell_Lane,0),3),Cluster!$F$29:$F$412,0),24),INDEX(Cluster!$D$29:$AA$412,MATCH(BV202,Cluster!$F$29:$F$412,0),24)),Cluster!AC:AC,0),2),"-")</f>
        <v>-</v>
      </c>
      <c r="CE202" s="378" t="str">
        <f ca="1">IFERROR(IF(BV202&lt;&gt;"-",Calculation!$AK$6,"-"),"-")</f>
        <v>-</v>
      </c>
      <c r="CF202" s="378" t="str">
        <f ca="1">IF(OR(LEFT(ListAndConversion!BW202,3)="Dil",LEFT(ListAndConversion!BW202,3)="Poo"),ListAndConversion!$BT$4,IF(LEFT(ListAndConversion!BW202,3)="Sou",INDEX(ListAndConversion!$AT$3:$AV$387,MATCH(ListAndConversion!BV202,ListAndConversion!$AV$3:$AV$387,0),1),"-"))</f>
        <v>-</v>
      </c>
      <c r="CG202" s="498" t="str">
        <f ca="1">IF(OR(LEFT(ListAndConversion!BW202,3)="Dil",LEFT(ListAndConversion!BW202,3)="Poo"),ListAndConversion!BU202,IF(LEFT(ListAndConversion!BW202,3)="Sou",INDEX(ListAndConversion!$AT$4:$AV$387,MATCH(ListAndConversion!BV202,ListAndConversion!$AV$4:$AV$387,0),2),"-"))</f>
        <v>-</v>
      </c>
      <c r="CH202" s="378"/>
      <c r="CI202" s="487" t="str">
        <f t="shared" ca="1" si="123"/>
        <v>-</v>
      </c>
      <c r="CJ202" s="378" t="str">
        <f t="shared" ca="1" si="108"/>
        <v>-</v>
      </c>
      <c r="CK202" s="378" t="str">
        <f t="shared" ca="1" si="108"/>
        <v>-</v>
      </c>
      <c r="CL202" s="378" t="str">
        <f t="shared" ca="1" si="108"/>
        <v>-</v>
      </c>
      <c r="CM202" s="378" t="str">
        <f t="shared" ca="1" si="108"/>
        <v>-</v>
      </c>
      <c r="CN202" s="378" t="str">
        <f t="shared" ca="1" si="108"/>
        <v>-</v>
      </c>
      <c r="CO202" s="378" t="str">
        <f t="shared" ca="1" si="108"/>
        <v>-</v>
      </c>
      <c r="CP202" s="378" t="str">
        <f t="shared" ca="1" si="108"/>
        <v>-</v>
      </c>
      <c r="CQ202" s="378" t="str">
        <f t="shared" ca="1" si="108"/>
        <v>-</v>
      </c>
      <c r="CR202" s="510" t="str">
        <f ca="1">IFERROR(IF(LEFT(BW202,3)="Poo",INDEX($BE$4:$BJ$99,MATCH(CI202,$BG$4:$BG$99,0),6)*((15/50))*Calculation!$AK$6,INDEX(Calculation_Tab,MATCH(BV202,Identifier,0),10)/(IF(LEN(INDEX(Calculation_Tab,MATCH(BV202,Identifier,0),9))&gt;8,LEN(INDEX(Calculation_Tab,MATCH(BV202,Identifier,0),9))-8,1))*((15/50)*Calculation!$AK$6)),"-")</f>
        <v>-</v>
      </c>
      <c r="CS202" s="498" t="str">
        <f ca="1">IF(CI202="-","-",IF(COUNTIF($CI$3:CI202,CI202)&gt;1,0,IFERROR((35/50)*Calculation!$AK$6,"-")))</f>
        <v>-</v>
      </c>
    </row>
    <row r="203" spans="4:97" x14ac:dyDescent="0.5">
      <c r="D203" s="487" t="e">
        <f t="shared" si="109"/>
        <v>#DIV/0!</v>
      </c>
      <c r="E203" s="496" t="e">
        <f t="array" ref="E203">IF(IF((ROW(E203)-3)&lt;(ListAndConversion!$A$15),INDEX(Flow_Cell_Lane,MIN(IF(COUNTIF($E$2:E202,Flow_Cell_Lane)=0,ROW(Flow_Cell_Lane)-9))),"-")="","-",IF((ROW(E203)-3)&lt;(ListAndConversion!$A$15),INDEX(Flow_Cell_Lane,MIN(IF(COUNTIF($E$2:E202,Flow_Cell_Lane)=0,ROW(Flow_Cell_Lane)-9))),"-"))</f>
        <v>#DIV/0!</v>
      </c>
      <c r="F203" s="378" t="e">
        <f t="shared" si="110"/>
        <v>#DIV/0!</v>
      </c>
      <c r="G203" s="378" t="e">
        <f t="shared" ref="G203:M212" si="125">IF($D203&gt;8,IF($D203&gt;=(8+G$2),CONCATENATE(LEFT($E203,7),RIGHT(LEFT($E203,8+G$2),1)),""),"")</f>
        <v>#DIV/0!</v>
      </c>
      <c r="H203" s="378" t="e">
        <f t="shared" si="125"/>
        <v>#DIV/0!</v>
      </c>
      <c r="I203" s="378" t="e">
        <f t="shared" si="125"/>
        <v>#DIV/0!</v>
      </c>
      <c r="J203" s="378" t="e">
        <f t="shared" si="125"/>
        <v>#DIV/0!</v>
      </c>
      <c r="K203" s="378" t="e">
        <f t="shared" si="125"/>
        <v>#DIV/0!</v>
      </c>
      <c r="L203" s="378" t="e">
        <f t="shared" si="125"/>
        <v>#DIV/0!</v>
      </c>
      <c r="M203" s="378" t="e">
        <f t="shared" si="125"/>
        <v>#DIV/0!</v>
      </c>
      <c r="N203" s="497" t="e">
        <f t="shared" si="111"/>
        <v>#DIV/0!</v>
      </c>
      <c r="O203" s="497" t="str">
        <f t="array" ref="O203">IFERROR(INDEX(Calculation!I:AN,MATCH(ListAndConversion!E203,Calculation!I:I,0),31),"-")</f>
        <v>-</v>
      </c>
      <c r="P203" s="498">
        <f>IF(COUNTIFS(Calculation!$I$10:$I$393,E203,Direct_Denaturation,"-")&lt;&gt;1,COUNTIFS(Calculation!$I$10:$I$393,E203,Direct_Denaturation,"-"),0)</f>
        <v>0</v>
      </c>
      <c r="V203" s="542" t="s">
        <v>82</v>
      </c>
      <c r="W203" s="542" t="s">
        <v>82</v>
      </c>
      <c r="X203" s="542" t="s">
        <v>82</v>
      </c>
      <c r="Y203" s="542" t="s">
        <v>82</v>
      </c>
      <c r="Z203" s="542" t="s">
        <v>82</v>
      </c>
      <c r="AA203" s="542" t="s">
        <v>82</v>
      </c>
      <c r="AB203" s="542" t="s">
        <v>82</v>
      </c>
      <c r="AC203" s="542" t="s">
        <v>82</v>
      </c>
      <c r="AD203" s="542" t="s">
        <v>82</v>
      </c>
      <c r="AE203" s="542" t="s">
        <v>82</v>
      </c>
      <c r="AF203" s="542" t="s">
        <v>82</v>
      </c>
      <c r="AG203" s="542" t="s">
        <v>82</v>
      </c>
      <c r="AH203" s="9"/>
      <c r="AI203" s="487">
        <v>200</v>
      </c>
      <c r="AJ203" s="497" t="s">
        <v>162</v>
      </c>
      <c r="AK203" s="378">
        <v>8</v>
      </c>
      <c r="AL203" s="378" t="str">
        <f t="shared" ca="1" si="112"/>
        <v>-</v>
      </c>
      <c r="AM203" s="378" t="str">
        <f t="array" aca="1" ref="AM203" ca="1">IFERROR(IF(AI203&lt;=$AB$2,"-",INDEX(Calculation_Tab,SMALL(ROW(Main_Dil)*(Main_Dil&lt;&gt;"-"),COUNTIF(Main_Dil,"-")+ROW()-3-$AB$2)-9,5)),"-")</f>
        <v>-</v>
      </c>
      <c r="AN203" s="378" t="str">
        <f t="array" aca="1" ref="AN203" ca="1">IFERROR(IF(AI203&lt;=$AB$2,"-",INDEX($A$3:$B$12,MATCH(INDEX(Calculation_Tab,SMALL(ROW(Main_Dil)*(Main_Dil&lt;&gt;"-"),COUNTIF(Main_Dil,"-")+ROW()-3-$AB$2)-9,5),$A$3:$A$12,0),2)),"-")</f>
        <v>-</v>
      </c>
      <c r="AO203" s="378" t="str">
        <f t="array" aca="1" ref="AO203" ca="1">IFERROR(IF(AI203&lt;=$AB$2,"-",INDEX(Coordinate,MATCH(INDEX(Calculation_Tab,SMALL(ROW(Main_Dil)*(Main_Dil&lt;&gt;"-"),COUNTIF(Main_Dil,"-")+ROW()-3-$AB$2)-9,6),$X$4:$X$99,0),2)),"-")</f>
        <v>-</v>
      </c>
      <c r="AP203" s="510" t="str">
        <f t="array" aca="1" ref="AP203" ca="1">IFERROR(IF(AI203&lt;=$AB$2,"-",INDEX(Calculation_Tab,SMALL(ROW(Main_Dil)*(Main_Dil&lt;&gt;"-"),COUNTIF(Main_Dil,"-")+ROW()-3-$AB$2)-9,21)),"-")</f>
        <v>-</v>
      </c>
      <c r="AQ203" s="511" t="str">
        <f t="array" aca="1" ref="AQ203" ca="1">IFERROR(IF(AI203&lt;=$AB$2,"-",INDEX(Calculation_Tab,SMALL(ROW(Main_Dil)*(Main_Dil&lt;&gt;"-"),COUNTIF(Main_Dil,"-")+ROW()-3-$AB$2)-9,22)),"-")</f>
        <v>-</v>
      </c>
      <c r="AR203" s="487" t="str">
        <f t="shared" ca="1" si="113"/>
        <v>-</v>
      </c>
      <c r="AS203" s="378">
        <v>200</v>
      </c>
      <c r="AT203" s="497" t="s">
        <v>162</v>
      </c>
      <c r="AU203" s="498">
        <v>8</v>
      </c>
      <c r="AV203" s="378" t="str">
        <f t="shared" ca="1" si="114"/>
        <v>-</v>
      </c>
      <c r="AW203" s="378" t="str">
        <f t="array" aca="1" ref="AW203" ca="1">IFERROR(IF(AS203&lt;=$AB$2+$AN$2,"-",INDEX(Calculation_Tab,SMALL(ROW(Direct_Denaturation)*(Direct_Denaturation&lt;&gt;"-"),COUNTIF(Direct_Denaturation,"-")+ROW()-3-$AB$2-$AN$2)-9,5)),"-")</f>
        <v>-</v>
      </c>
      <c r="AX203" s="378" t="str">
        <f t="array" aca="1" ref="AX203" ca="1">IFERROR(IF(AS203&lt;=$AB$2+$AN$2,"-",INDEX($A$3:$B$12,MATCH(INDEX(Calculation_Tab,SMALL(ROW(Direct_Denaturation)*(Direct_Denaturation&lt;&gt;"-"),COUNTIF(Direct_Denaturation,"-")+ROW()-3-$AB$2-$AN$2)-9,5),$A$3:$A$12,0),2)),"-")</f>
        <v>-</v>
      </c>
      <c r="AY203" s="378" t="str">
        <f t="array" aca="1" ref="AY203" ca="1">IFERROR(IF(AS203&lt;=$AB$2+$AN$2,"-",INDEX(Coordinate,MATCH(INDEX(Calculation_Tab,SMALL(ROW(Direct_Denaturation)*(Direct_Denaturation&lt;&gt;"-"),COUNTIF(Direct_Denaturation,"-")+ROW()-3-$AB$2-$AN$2)-9,6),$X$4:$X$99,0),2)),"-")</f>
        <v>-</v>
      </c>
      <c r="AZ203" s="510" t="str">
        <f t="array" aca="1" ref="AZ203" ca="1">IFERROR(IF(AS203&lt;=$AB$2+$AN$2,"-",INDEX(Calculation_Tab,SMALL(ROW(Direct_Denaturation)*(Direct_Denaturation&lt;&gt;"-"),COUNTIF(Direct_Denaturation,"-")+ROW()-3-$AB$2-$AN$2)-9,32)),"-")</f>
        <v>-</v>
      </c>
      <c r="BA203" s="510" t="str">
        <f t="array" aca="1" ref="BA203" ca="1">IFERROR(IF(AS203&lt;=$AB$2+$AN$2,"-",INDEX(Calculation_Tab,SMALL(ROW(Direct_Denaturation)*(Direct_Denaturation&lt;&gt;"-"),COUNTIF(Direct_Denaturation,"-")+ROW()-3-$AB$2-$AN$2)-9,34)),"-")</f>
        <v>-</v>
      </c>
      <c r="BB203" s="510" t="str">
        <f t="array" aca="1" ref="BB203" ca="1">IFERROR(IF(AS203&lt;=$AB$2+$AN$2,"-",INDEX(Calculation_Tab,SMALL(ROW(Direct_Denaturation)*(Direct_Denaturation&lt;&gt;"-"),COUNTIF(Direct_Denaturation,"-")+ROW()-3-$AB$2-$AN$2)-9,33)),"-")</f>
        <v>-</v>
      </c>
      <c r="BC203" s="510" t="str">
        <f t="array" aca="1" ref="BC203" ca="1">IFERROR(IF(AS203&lt;=$AB$2+$AN$2,"-",INDEX(Calculation_Tab,SMALL(ROW(Direct_Denaturation)*(Direct_Denaturation&lt;&gt;"-"),COUNTIF(Direct_Denaturation,"-")+ROW()-3-$AB$2-$AN$2)-9,35)),"-")</f>
        <v>-</v>
      </c>
      <c r="BD203" s="511" t="str">
        <f t="shared" ca="1" si="115"/>
        <v>-</v>
      </c>
      <c r="BK203" s="542" t="s">
        <v>82</v>
      </c>
      <c r="BL203" s="542" t="s">
        <v>82</v>
      </c>
      <c r="BM203" s="487" t="str">
        <f t="array" aca="1" ref="BM203" ca="1">IFERROR(INDEX(Calculation_Tab,SMALL(ROW(ToPool)*(ToPool&lt;&gt;"-"),COUNTIF(ToPool,"-")+ROW()-3)-9,3),"-")</f>
        <v>-</v>
      </c>
      <c r="BN203" s="378" t="str">
        <f t="shared" ca="1" si="116"/>
        <v>-</v>
      </c>
      <c r="BO203" s="378" t="str">
        <f t="shared" ca="1" si="117"/>
        <v>-</v>
      </c>
      <c r="BP203" s="523" t="str">
        <f t="shared" ca="1" si="118"/>
        <v>-</v>
      </c>
      <c r="BQ203" s="378" t="str">
        <f t="array" aca="1" ref="BQ203" ca="1">IFERROR(INDEX(BE:BG,MATCH(INDEX(Calculation_Tab,SMALL(ROW(ToPool)*(ToPool&lt;&gt;"-"),COUNTIF(ToPool,"-")+ROW()-3)-9,9),BG:BG,0),2),"-")</f>
        <v>-</v>
      </c>
      <c r="BR203" s="510" t="str">
        <f t="shared" ca="1" si="119"/>
        <v>-</v>
      </c>
      <c r="BS203" s="511" t="str">
        <f t="shared" ca="1" si="120"/>
        <v>-</v>
      </c>
      <c r="BT203" s="543" t="s">
        <v>82</v>
      </c>
      <c r="BU203" s="487" t="str">
        <f t="shared" ca="1" si="124"/>
        <v>-</v>
      </c>
      <c r="BV203" s="487" t="str">
        <f t="array" aca="1" ref="BV20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03" s="378" t="str">
        <f t="shared" ca="1" si="121"/>
        <v>-</v>
      </c>
      <c r="BX203" s="378" t="str">
        <f t="shared" ca="1" si="122"/>
        <v>-</v>
      </c>
      <c r="BY203" s="510" t="str">
        <f ca="1">IFERROR(ROUND(INDEX(Cluster,MATCH(IF(LEFT(BV203,4)="Pool",INDEX(Cluster,MATCH(INDEX(Calculation_Tab,MATCH(INDEX($BE$4:$BJ$99,MATCH(BV203,$BE$4:$BE$99,0),3),Flow_Cell_Lane,0),3),Cluster!$F$29:$F$412,0),6),BV203),Identifier_Cluster,0),19)*IF(LEFT(BV203,4)="pool",IF(LEN(INDEX($BE$4:$BJ$99,MATCH(BV203,$BE$4:$BE$99,0),3))=10,2,IF(LEN(INDEX($BE$4:$BJ$99,MATCH(BV203,$BE$4:$BE$99,0),3))&gt;10,LEN(INDEX($BE$4:$BJ$99,MATCH(BV203,$BE$4:$BE$99,0),3))-8,1)),1)*IF(LEFT(BV203,4)="pool",IF(INDEX($BE$4:$BJ$99,MATCH(BV203,$BE$4:$BE$99,0),6)&lt;1,1,INDEX($BE$4:$BJ$99,MATCH(BV203,$BE$4:$BE$99,0),6)),INDEX(Calculation_Tab,MATCH(BV203,Identifier,0),10)),1)*(1+Calculation!$Q$6),"-")</f>
        <v>-</v>
      </c>
      <c r="BZ203" s="378" t="str">
        <f ca="1">IFERROR((0.5/50)*CE203/Calculation!$AG$6*(IF(LEFT(BV203,4)="Pool",IF(LEN(INDEX($BE$4:$BJ$99,MATCH(BV203,$BE$4:$BE$99,0),3))=10,2,IF(LEN(INDEX($BE$4:$BJ$99,MATCH(BV203,$BE$4:$BE$99,0),3))&gt;10,LEN(INDEX($BE$4:$BJ$99,MATCH(BV203,$BE$4:$BE$99,0),3))-8,1)),IF(INDEX(Calculation_Tab,MATCH(BV203,Identifier,0),10)&gt;1,INDEX(Calculation_Tab,MATCH(BV203,Identifier,0),10),1)))*(1+Calculation!$Q$6),"-")</f>
        <v>-</v>
      </c>
      <c r="CA203" s="510" t="str">
        <f ca="1">IFERROR(IF((BZ203*Calculation!$AG$6/0.05)-SUM(BY203:BZ203,CC203)&gt;0,(BZ203*Calculation!$AG$6/0.05)-SUM(BY203:BZ203,CC203),0),"-")</f>
        <v>-</v>
      </c>
      <c r="CB203" s="510" t="str">
        <f ca="1">IFERROR(5/50*CE203*(IF(LEFT(BV203,4)="Pool",IF(LEN(INDEX($BE$4:$BJ$99,MATCH(BV203,$BE$4:$BE$99,0),3))=10,2,IF(LEN(INDEX($BE$4:$BJ$99,MATCH(BV203,$BE$4:$BE$99,0),3))&gt;10,LEN(INDEX($BE$4:$BJ$99,MATCH(BV203,$BE$4:$BE$99,0),3))-8,1)),IF(INDEX(Calculation_Tab,MATCH(BV203,Identifier,0),10)&gt;1,INDEX(Calculation_Tab,MATCH(BV203,Identifier,0),10),1)))*(1+Calculation!$Q$6),"-")</f>
        <v>-</v>
      </c>
      <c r="CC203" s="508" t="str">
        <f ca="1">IFERROR(ROUND(INDEX(Cluster,MATCH(IF(LEFT(BV203,4)="Pool",INDEX(Cluster,MATCH(INDEX(Calculation_Tab,MATCH(INDEX($BE$4:$BJ$99,MATCH(BV203,$BE$4:$BE$99,0),3),Flow_Cell_Lane,0),3),Cluster!$F$29:$F$412,0),6),BV203),Identifier_Cluster,0),20)*IF(LEFT(BV203,4)="pool",IF(LEN(INDEX($BE$4:$BJ$99,MATCH(BV203,$BE$4:$BE$99,0),3))=10,2,IF(LEN(INDEX($BE$4:$BJ$99,MATCH(BV203,$BE$4:$BE$99,0),3))&gt;10,LEN(INDEX($BE$4:$BJ$99,MATCH(BV203,$BE$4:$BE$99,0),3))-8,1)),1)*IF(LEFT(BV203,4)="pool",IF(INDEX($BE$4:$BJ$99,MATCH(BV203,$BE$4:$BE$99,0),6)&lt;1,1,INDEX($BE$4:$BJ$99,MATCH(BV203,$BE$4:$BE$99,0),6)),INDEX(Calculation_Tab,MATCH(BV203,Identifier,0),10)),1)*(1+Calculation!$Q$6),"-")</f>
        <v>-</v>
      </c>
      <c r="CD203" s="509" t="str">
        <f ca="1">IFERROR(INDEX(Cluster!AC:AD,MATCH(IF(LEFT(BV203,4)="Pool",INDEX(Cluster!$D$29:$AA$412,MATCH(INDEX(Calculation_Tab,MATCH(INDEX($BE$4:$BJ$99,MATCH(BV203,$BE$4:$BE$99,0),3),Flow_Cell_Lane,0),3),Cluster!$F$29:$F$412,0),24),INDEX(Cluster!$D$29:$AA$412,MATCH(BV203,Cluster!$F$29:$F$412,0),24)),Cluster!AC:AC,0),2),"-")</f>
        <v>-</v>
      </c>
      <c r="CE203" s="378" t="str">
        <f ca="1">IFERROR(IF(BV203&lt;&gt;"-",Calculation!$AK$6,"-"),"-")</f>
        <v>-</v>
      </c>
      <c r="CF203" s="378" t="str">
        <f ca="1">IF(OR(LEFT(ListAndConversion!BW203,3)="Dil",LEFT(ListAndConversion!BW203,3)="Poo"),ListAndConversion!$BT$4,IF(LEFT(ListAndConversion!BW203,3)="Sou",INDEX(ListAndConversion!$AT$3:$AV$387,MATCH(ListAndConversion!BV203,ListAndConversion!$AV$3:$AV$387,0),1),"-"))</f>
        <v>-</v>
      </c>
      <c r="CG203" s="498" t="str">
        <f ca="1">IF(OR(LEFT(ListAndConversion!BW203,3)="Dil",LEFT(ListAndConversion!BW203,3)="Poo"),ListAndConversion!BU203,IF(LEFT(ListAndConversion!BW203,3)="Sou",INDEX(ListAndConversion!$AT$4:$AV$387,MATCH(ListAndConversion!BV203,ListAndConversion!$AV$4:$AV$387,0),2),"-"))</f>
        <v>-</v>
      </c>
      <c r="CH203" s="378"/>
      <c r="CI203" s="487" t="str">
        <f t="shared" ca="1" si="123"/>
        <v>-</v>
      </c>
      <c r="CJ203" s="378" t="str">
        <f t="shared" ca="1" si="108"/>
        <v>-</v>
      </c>
      <c r="CK203" s="378" t="str">
        <f t="shared" ca="1" si="108"/>
        <v>-</v>
      </c>
      <c r="CL203" s="378" t="str">
        <f t="shared" ca="1" si="108"/>
        <v>-</v>
      </c>
      <c r="CM203" s="378" t="str">
        <f t="shared" ca="1" si="108"/>
        <v>-</v>
      </c>
      <c r="CN203" s="378" t="str">
        <f t="shared" ca="1" si="108"/>
        <v>-</v>
      </c>
      <c r="CO203" s="378" t="str">
        <f t="shared" ca="1" si="108"/>
        <v>-</v>
      </c>
      <c r="CP203" s="378" t="str">
        <f t="shared" ca="1" si="108"/>
        <v>-</v>
      </c>
      <c r="CQ203" s="378" t="str">
        <f t="shared" ca="1" si="108"/>
        <v>-</v>
      </c>
      <c r="CR203" s="510" t="str">
        <f ca="1">IFERROR(IF(LEFT(BW203,3)="Poo",INDEX($BE$4:$BJ$99,MATCH(CI203,$BG$4:$BG$99,0),6)*((15/50))*Calculation!$AK$6,INDEX(Calculation_Tab,MATCH(BV203,Identifier,0),10)/(IF(LEN(INDEX(Calculation_Tab,MATCH(BV203,Identifier,0),9))&gt;8,LEN(INDEX(Calculation_Tab,MATCH(BV203,Identifier,0),9))-8,1))*((15/50)*Calculation!$AK$6)),"-")</f>
        <v>-</v>
      </c>
      <c r="CS203" s="498" t="str">
        <f ca="1">IF(CI203="-","-",IF(COUNTIF($CI$3:CI203,CI203)&gt;1,0,IFERROR((35/50)*Calculation!$AK$6,"-")))</f>
        <v>-</v>
      </c>
    </row>
    <row r="204" spans="4:97" x14ac:dyDescent="0.5">
      <c r="D204" s="487" t="e">
        <f t="shared" si="109"/>
        <v>#DIV/0!</v>
      </c>
      <c r="E204" s="496" t="e">
        <f t="array" ref="E204">IF(IF((ROW(E204)-3)&lt;(ListAndConversion!$A$15),INDEX(Flow_Cell_Lane,MIN(IF(COUNTIF($E$2:E203,Flow_Cell_Lane)=0,ROW(Flow_Cell_Lane)-9))),"-")="","-",IF((ROW(E204)-3)&lt;(ListAndConversion!$A$15),INDEX(Flow_Cell_Lane,MIN(IF(COUNTIF($E$2:E203,Flow_Cell_Lane)=0,ROW(Flow_Cell_Lane)-9))),"-"))</f>
        <v>#DIV/0!</v>
      </c>
      <c r="F204" s="378" t="e">
        <f t="shared" si="110"/>
        <v>#DIV/0!</v>
      </c>
      <c r="G204" s="378" t="e">
        <f t="shared" si="125"/>
        <v>#DIV/0!</v>
      </c>
      <c r="H204" s="378" t="e">
        <f t="shared" si="125"/>
        <v>#DIV/0!</v>
      </c>
      <c r="I204" s="378" t="e">
        <f t="shared" si="125"/>
        <v>#DIV/0!</v>
      </c>
      <c r="J204" s="378" t="e">
        <f t="shared" si="125"/>
        <v>#DIV/0!</v>
      </c>
      <c r="K204" s="378" t="e">
        <f t="shared" si="125"/>
        <v>#DIV/0!</v>
      </c>
      <c r="L204" s="378" t="e">
        <f t="shared" si="125"/>
        <v>#DIV/0!</v>
      </c>
      <c r="M204" s="378" t="e">
        <f t="shared" si="125"/>
        <v>#DIV/0!</v>
      </c>
      <c r="N204" s="497" t="e">
        <f t="shared" si="111"/>
        <v>#DIV/0!</v>
      </c>
      <c r="O204" s="497" t="str">
        <f t="array" ref="O204">IFERROR(INDEX(Calculation!I:AN,MATCH(ListAndConversion!E204,Calculation!I:I,0),31),"-")</f>
        <v>-</v>
      </c>
      <c r="P204" s="498">
        <f>IF(COUNTIFS(Calculation!$I$10:$I$393,E204,Direct_Denaturation,"-")&lt;&gt;1,COUNTIFS(Calculation!$I$10:$I$393,E204,Direct_Denaturation,"-"),0)</f>
        <v>0</v>
      </c>
      <c r="V204" s="542" t="s">
        <v>82</v>
      </c>
      <c r="W204" s="542" t="s">
        <v>82</v>
      </c>
      <c r="X204" s="542" t="s">
        <v>82</v>
      </c>
      <c r="Y204" s="542" t="s">
        <v>82</v>
      </c>
      <c r="Z204" s="542" t="s">
        <v>82</v>
      </c>
      <c r="AA204" s="542" t="s">
        <v>82</v>
      </c>
      <c r="AB204" s="542" t="s">
        <v>82</v>
      </c>
      <c r="AC204" s="542" t="s">
        <v>82</v>
      </c>
      <c r="AD204" s="542" t="s">
        <v>82</v>
      </c>
      <c r="AE204" s="542" t="s">
        <v>82</v>
      </c>
      <c r="AF204" s="542" t="s">
        <v>82</v>
      </c>
      <c r="AG204" s="542" t="s">
        <v>82</v>
      </c>
      <c r="AH204" s="9"/>
      <c r="AI204" s="487">
        <v>201</v>
      </c>
      <c r="AJ204" s="497" t="s">
        <v>162</v>
      </c>
      <c r="AK204" s="378">
        <v>9</v>
      </c>
      <c r="AL204" s="378" t="str">
        <f t="shared" ca="1" si="112"/>
        <v>-</v>
      </c>
      <c r="AM204" s="378" t="str">
        <f t="array" aca="1" ref="AM204" ca="1">IFERROR(IF(AI204&lt;=$AB$2,"-",INDEX(Calculation_Tab,SMALL(ROW(Main_Dil)*(Main_Dil&lt;&gt;"-"),COUNTIF(Main_Dil,"-")+ROW()-3-$AB$2)-9,5)),"-")</f>
        <v>-</v>
      </c>
      <c r="AN204" s="378" t="str">
        <f t="array" aca="1" ref="AN204" ca="1">IFERROR(IF(AI204&lt;=$AB$2,"-",INDEX($A$3:$B$12,MATCH(INDEX(Calculation_Tab,SMALL(ROW(Main_Dil)*(Main_Dil&lt;&gt;"-"),COUNTIF(Main_Dil,"-")+ROW()-3-$AB$2)-9,5),$A$3:$A$12,0),2)),"-")</f>
        <v>-</v>
      </c>
      <c r="AO204" s="378" t="str">
        <f t="array" aca="1" ref="AO204" ca="1">IFERROR(IF(AI204&lt;=$AB$2,"-",INDEX(Coordinate,MATCH(INDEX(Calculation_Tab,SMALL(ROW(Main_Dil)*(Main_Dil&lt;&gt;"-"),COUNTIF(Main_Dil,"-")+ROW()-3-$AB$2)-9,6),$X$4:$X$99,0),2)),"-")</f>
        <v>-</v>
      </c>
      <c r="AP204" s="510" t="str">
        <f t="array" aca="1" ref="AP204" ca="1">IFERROR(IF(AI204&lt;=$AB$2,"-",INDEX(Calculation_Tab,SMALL(ROW(Main_Dil)*(Main_Dil&lt;&gt;"-"),COUNTIF(Main_Dil,"-")+ROW()-3-$AB$2)-9,21)),"-")</f>
        <v>-</v>
      </c>
      <c r="AQ204" s="511" t="str">
        <f t="array" aca="1" ref="AQ204" ca="1">IFERROR(IF(AI204&lt;=$AB$2,"-",INDEX(Calculation_Tab,SMALL(ROW(Main_Dil)*(Main_Dil&lt;&gt;"-"),COUNTIF(Main_Dil,"-")+ROW()-3-$AB$2)-9,22)),"-")</f>
        <v>-</v>
      </c>
      <c r="AR204" s="487" t="str">
        <f t="shared" ca="1" si="113"/>
        <v>-</v>
      </c>
      <c r="AS204" s="378">
        <v>201</v>
      </c>
      <c r="AT204" s="497" t="s">
        <v>162</v>
      </c>
      <c r="AU204" s="498">
        <v>9</v>
      </c>
      <c r="AV204" s="378" t="str">
        <f t="shared" ca="1" si="114"/>
        <v>-</v>
      </c>
      <c r="AW204" s="378" t="str">
        <f t="array" aca="1" ref="AW204" ca="1">IFERROR(IF(AS204&lt;=$AB$2+$AN$2,"-",INDEX(Calculation_Tab,SMALL(ROW(Direct_Denaturation)*(Direct_Denaturation&lt;&gt;"-"),COUNTIF(Direct_Denaturation,"-")+ROW()-3-$AB$2-$AN$2)-9,5)),"-")</f>
        <v>-</v>
      </c>
      <c r="AX204" s="378" t="str">
        <f t="array" aca="1" ref="AX204" ca="1">IFERROR(IF(AS204&lt;=$AB$2+$AN$2,"-",INDEX($A$3:$B$12,MATCH(INDEX(Calculation_Tab,SMALL(ROW(Direct_Denaturation)*(Direct_Denaturation&lt;&gt;"-"),COUNTIF(Direct_Denaturation,"-")+ROW()-3-$AB$2-$AN$2)-9,5),$A$3:$A$12,0),2)),"-")</f>
        <v>-</v>
      </c>
      <c r="AY204" s="378" t="str">
        <f t="array" aca="1" ref="AY204" ca="1">IFERROR(IF(AS204&lt;=$AB$2+$AN$2,"-",INDEX(Coordinate,MATCH(INDEX(Calculation_Tab,SMALL(ROW(Direct_Denaturation)*(Direct_Denaturation&lt;&gt;"-"),COUNTIF(Direct_Denaturation,"-")+ROW()-3-$AB$2-$AN$2)-9,6),$X$4:$X$99,0),2)),"-")</f>
        <v>-</v>
      </c>
      <c r="AZ204" s="510" t="str">
        <f t="array" aca="1" ref="AZ204" ca="1">IFERROR(IF(AS204&lt;=$AB$2+$AN$2,"-",INDEX(Calculation_Tab,SMALL(ROW(Direct_Denaturation)*(Direct_Denaturation&lt;&gt;"-"),COUNTIF(Direct_Denaturation,"-")+ROW()-3-$AB$2-$AN$2)-9,32)),"-")</f>
        <v>-</v>
      </c>
      <c r="BA204" s="510" t="str">
        <f t="array" aca="1" ref="BA204" ca="1">IFERROR(IF(AS204&lt;=$AB$2+$AN$2,"-",INDEX(Calculation_Tab,SMALL(ROW(Direct_Denaturation)*(Direct_Denaturation&lt;&gt;"-"),COUNTIF(Direct_Denaturation,"-")+ROW()-3-$AB$2-$AN$2)-9,34)),"-")</f>
        <v>-</v>
      </c>
      <c r="BB204" s="510" t="str">
        <f t="array" aca="1" ref="BB204" ca="1">IFERROR(IF(AS204&lt;=$AB$2+$AN$2,"-",INDEX(Calculation_Tab,SMALL(ROW(Direct_Denaturation)*(Direct_Denaturation&lt;&gt;"-"),COUNTIF(Direct_Denaturation,"-")+ROW()-3-$AB$2-$AN$2)-9,33)),"-")</f>
        <v>-</v>
      </c>
      <c r="BC204" s="510" t="str">
        <f t="array" aca="1" ref="BC204" ca="1">IFERROR(IF(AS204&lt;=$AB$2+$AN$2,"-",INDEX(Calculation_Tab,SMALL(ROW(Direct_Denaturation)*(Direct_Denaturation&lt;&gt;"-"),COUNTIF(Direct_Denaturation,"-")+ROW()-3-$AB$2-$AN$2)-9,35)),"-")</f>
        <v>-</v>
      </c>
      <c r="BD204" s="511" t="str">
        <f t="shared" ca="1" si="115"/>
        <v>-</v>
      </c>
      <c r="BK204" s="542" t="s">
        <v>82</v>
      </c>
      <c r="BL204" s="542" t="s">
        <v>82</v>
      </c>
      <c r="BM204" s="487" t="str">
        <f t="array" aca="1" ref="BM204" ca="1">IFERROR(INDEX(Calculation_Tab,SMALL(ROW(ToPool)*(ToPool&lt;&gt;"-"),COUNTIF(ToPool,"-")+ROW()-3)-9,3),"-")</f>
        <v>-</v>
      </c>
      <c r="BN204" s="378" t="str">
        <f t="shared" ca="1" si="116"/>
        <v>-</v>
      </c>
      <c r="BO204" s="378" t="str">
        <f t="shared" ca="1" si="117"/>
        <v>-</v>
      </c>
      <c r="BP204" s="523" t="str">
        <f t="shared" ca="1" si="118"/>
        <v>-</v>
      </c>
      <c r="BQ204" s="378" t="str">
        <f t="array" aca="1" ref="BQ204" ca="1">IFERROR(INDEX(BE:BG,MATCH(INDEX(Calculation_Tab,SMALL(ROW(ToPool)*(ToPool&lt;&gt;"-"),COUNTIF(ToPool,"-")+ROW()-3)-9,9),BG:BG,0),2),"-")</f>
        <v>-</v>
      </c>
      <c r="BR204" s="510" t="str">
        <f t="shared" ca="1" si="119"/>
        <v>-</v>
      </c>
      <c r="BS204" s="511" t="str">
        <f t="shared" ca="1" si="120"/>
        <v>-</v>
      </c>
      <c r="BT204" s="543" t="s">
        <v>82</v>
      </c>
      <c r="BU204" s="487" t="str">
        <f t="shared" ca="1" si="124"/>
        <v>-</v>
      </c>
      <c r="BV204" s="487" t="str">
        <f t="array" aca="1" ref="BV20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04" s="378" t="str">
        <f t="shared" ca="1" si="121"/>
        <v>-</v>
      </c>
      <c r="BX204" s="378" t="str">
        <f t="shared" ca="1" si="122"/>
        <v>-</v>
      </c>
      <c r="BY204" s="510" t="str">
        <f ca="1">IFERROR(ROUND(INDEX(Cluster,MATCH(IF(LEFT(BV204,4)="Pool",INDEX(Cluster,MATCH(INDEX(Calculation_Tab,MATCH(INDEX($BE$4:$BJ$99,MATCH(BV204,$BE$4:$BE$99,0),3),Flow_Cell_Lane,0),3),Cluster!$F$29:$F$412,0),6),BV204),Identifier_Cluster,0),19)*IF(LEFT(BV204,4)="pool",IF(LEN(INDEX($BE$4:$BJ$99,MATCH(BV204,$BE$4:$BE$99,0),3))=10,2,IF(LEN(INDEX($BE$4:$BJ$99,MATCH(BV204,$BE$4:$BE$99,0),3))&gt;10,LEN(INDEX($BE$4:$BJ$99,MATCH(BV204,$BE$4:$BE$99,0),3))-8,1)),1)*IF(LEFT(BV204,4)="pool",IF(INDEX($BE$4:$BJ$99,MATCH(BV204,$BE$4:$BE$99,0),6)&lt;1,1,INDEX($BE$4:$BJ$99,MATCH(BV204,$BE$4:$BE$99,0),6)),INDEX(Calculation_Tab,MATCH(BV204,Identifier,0),10)),1)*(1+Calculation!$Q$6),"-")</f>
        <v>-</v>
      </c>
      <c r="BZ204" s="378" t="str">
        <f ca="1">IFERROR((0.5/50)*CE204/Calculation!$AG$6*(IF(LEFT(BV204,4)="Pool",IF(LEN(INDEX($BE$4:$BJ$99,MATCH(BV204,$BE$4:$BE$99,0),3))=10,2,IF(LEN(INDEX($BE$4:$BJ$99,MATCH(BV204,$BE$4:$BE$99,0),3))&gt;10,LEN(INDEX($BE$4:$BJ$99,MATCH(BV204,$BE$4:$BE$99,0),3))-8,1)),IF(INDEX(Calculation_Tab,MATCH(BV204,Identifier,0),10)&gt;1,INDEX(Calculation_Tab,MATCH(BV204,Identifier,0),10),1)))*(1+Calculation!$Q$6),"-")</f>
        <v>-</v>
      </c>
      <c r="CA204" s="510" t="str">
        <f ca="1">IFERROR(IF((BZ204*Calculation!$AG$6/0.05)-SUM(BY204:BZ204,CC204)&gt;0,(BZ204*Calculation!$AG$6/0.05)-SUM(BY204:BZ204,CC204),0),"-")</f>
        <v>-</v>
      </c>
      <c r="CB204" s="510" t="str">
        <f ca="1">IFERROR(5/50*CE204*(IF(LEFT(BV204,4)="Pool",IF(LEN(INDEX($BE$4:$BJ$99,MATCH(BV204,$BE$4:$BE$99,0),3))=10,2,IF(LEN(INDEX($BE$4:$BJ$99,MATCH(BV204,$BE$4:$BE$99,0),3))&gt;10,LEN(INDEX($BE$4:$BJ$99,MATCH(BV204,$BE$4:$BE$99,0),3))-8,1)),IF(INDEX(Calculation_Tab,MATCH(BV204,Identifier,0),10)&gt;1,INDEX(Calculation_Tab,MATCH(BV204,Identifier,0),10),1)))*(1+Calculation!$Q$6),"-")</f>
        <v>-</v>
      </c>
      <c r="CC204" s="508" t="str">
        <f ca="1">IFERROR(ROUND(INDEX(Cluster,MATCH(IF(LEFT(BV204,4)="Pool",INDEX(Cluster,MATCH(INDEX(Calculation_Tab,MATCH(INDEX($BE$4:$BJ$99,MATCH(BV204,$BE$4:$BE$99,0),3),Flow_Cell_Lane,0),3),Cluster!$F$29:$F$412,0),6),BV204),Identifier_Cluster,0),20)*IF(LEFT(BV204,4)="pool",IF(LEN(INDEX($BE$4:$BJ$99,MATCH(BV204,$BE$4:$BE$99,0),3))=10,2,IF(LEN(INDEX($BE$4:$BJ$99,MATCH(BV204,$BE$4:$BE$99,0),3))&gt;10,LEN(INDEX($BE$4:$BJ$99,MATCH(BV204,$BE$4:$BE$99,0),3))-8,1)),1)*IF(LEFT(BV204,4)="pool",IF(INDEX($BE$4:$BJ$99,MATCH(BV204,$BE$4:$BE$99,0),6)&lt;1,1,INDEX($BE$4:$BJ$99,MATCH(BV204,$BE$4:$BE$99,0),6)),INDEX(Calculation_Tab,MATCH(BV204,Identifier,0),10)),1)*(1+Calculation!$Q$6),"-")</f>
        <v>-</v>
      </c>
      <c r="CD204" s="509" t="str">
        <f ca="1">IFERROR(INDEX(Cluster!AC:AD,MATCH(IF(LEFT(BV204,4)="Pool",INDEX(Cluster!$D$29:$AA$412,MATCH(INDEX(Calculation_Tab,MATCH(INDEX($BE$4:$BJ$99,MATCH(BV204,$BE$4:$BE$99,0),3),Flow_Cell_Lane,0),3),Cluster!$F$29:$F$412,0),24),INDEX(Cluster!$D$29:$AA$412,MATCH(BV204,Cluster!$F$29:$F$412,0),24)),Cluster!AC:AC,0),2),"-")</f>
        <v>-</v>
      </c>
      <c r="CE204" s="378" t="str">
        <f ca="1">IFERROR(IF(BV204&lt;&gt;"-",Calculation!$AK$6,"-"),"-")</f>
        <v>-</v>
      </c>
      <c r="CF204" s="378" t="str">
        <f ca="1">IF(OR(LEFT(ListAndConversion!BW204,3)="Dil",LEFT(ListAndConversion!BW204,3)="Poo"),ListAndConversion!$BT$4,IF(LEFT(ListAndConversion!BW204,3)="Sou",INDEX(ListAndConversion!$AT$3:$AV$387,MATCH(ListAndConversion!BV204,ListAndConversion!$AV$3:$AV$387,0),1),"-"))</f>
        <v>-</v>
      </c>
      <c r="CG204" s="498" t="str">
        <f ca="1">IF(OR(LEFT(ListAndConversion!BW204,3)="Dil",LEFT(ListAndConversion!BW204,3)="Poo"),ListAndConversion!BU204,IF(LEFT(ListAndConversion!BW204,3)="Sou",INDEX(ListAndConversion!$AT$4:$AV$387,MATCH(ListAndConversion!BV204,ListAndConversion!$AV$4:$AV$387,0),2),"-"))</f>
        <v>-</v>
      </c>
      <c r="CH204" s="378"/>
      <c r="CI204" s="487" t="str">
        <f t="shared" ca="1" si="123"/>
        <v>-</v>
      </c>
      <c r="CJ204" s="378" t="str">
        <f t="shared" ref="CJ204:CQ213" ca="1" si="126">IFERROR(INDEX($R$3:$U$98,MATCH(INDEX($F$3:$M$387,MATCH($CI204,$E$3:$E$386,0),CJ$3),$S$3:$S$98,0),4),"-")</f>
        <v>-</v>
      </c>
      <c r="CK204" s="378" t="str">
        <f t="shared" ca="1" si="126"/>
        <v>-</v>
      </c>
      <c r="CL204" s="378" t="str">
        <f t="shared" ca="1" si="126"/>
        <v>-</v>
      </c>
      <c r="CM204" s="378" t="str">
        <f t="shared" ca="1" si="126"/>
        <v>-</v>
      </c>
      <c r="CN204" s="378" t="str">
        <f t="shared" ca="1" si="126"/>
        <v>-</v>
      </c>
      <c r="CO204" s="378" t="str">
        <f t="shared" ca="1" si="126"/>
        <v>-</v>
      </c>
      <c r="CP204" s="378" t="str">
        <f t="shared" ca="1" si="126"/>
        <v>-</v>
      </c>
      <c r="CQ204" s="378" t="str">
        <f t="shared" ca="1" si="126"/>
        <v>-</v>
      </c>
      <c r="CR204" s="510" t="str">
        <f ca="1">IFERROR(IF(LEFT(BW204,3)="Poo",INDEX($BE$4:$BJ$99,MATCH(CI204,$BG$4:$BG$99,0),6)*((15/50))*Calculation!$AK$6,INDEX(Calculation_Tab,MATCH(BV204,Identifier,0),10)/(IF(LEN(INDEX(Calculation_Tab,MATCH(BV204,Identifier,0),9))&gt;8,LEN(INDEX(Calculation_Tab,MATCH(BV204,Identifier,0),9))-8,1))*((15/50)*Calculation!$AK$6)),"-")</f>
        <v>-</v>
      </c>
      <c r="CS204" s="498" t="str">
        <f ca="1">IF(CI204="-","-",IF(COUNTIF($CI$3:CI204,CI204)&gt;1,0,IFERROR((35/50)*Calculation!$AK$6,"-")))</f>
        <v>-</v>
      </c>
    </row>
    <row r="205" spans="4:97" x14ac:dyDescent="0.5">
      <c r="D205" s="487" t="e">
        <f t="shared" si="109"/>
        <v>#DIV/0!</v>
      </c>
      <c r="E205" s="496" t="e">
        <f t="array" ref="E205">IF(IF((ROW(E205)-3)&lt;(ListAndConversion!$A$15),INDEX(Flow_Cell_Lane,MIN(IF(COUNTIF($E$2:E204,Flow_Cell_Lane)=0,ROW(Flow_Cell_Lane)-9))),"-")="","-",IF((ROW(E205)-3)&lt;(ListAndConversion!$A$15),INDEX(Flow_Cell_Lane,MIN(IF(COUNTIF($E$2:E204,Flow_Cell_Lane)=0,ROW(Flow_Cell_Lane)-9))),"-"))</f>
        <v>#DIV/0!</v>
      </c>
      <c r="F205" s="378" t="e">
        <f t="shared" si="110"/>
        <v>#DIV/0!</v>
      </c>
      <c r="G205" s="378" t="e">
        <f t="shared" si="125"/>
        <v>#DIV/0!</v>
      </c>
      <c r="H205" s="378" t="e">
        <f t="shared" si="125"/>
        <v>#DIV/0!</v>
      </c>
      <c r="I205" s="378" t="e">
        <f t="shared" si="125"/>
        <v>#DIV/0!</v>
      </c>
      <c r="J205" s="378" t="e">
        <f t="shared" si="125"/>
        <v>#DIV/0!</v>
      </c>
      <c r="K205" s="378" t="e">
        <f t="shared" si="125"/>
        <v>#DIV/0!</v>
      </c>
      <c r="L205" s="378" t="e">
        <f t="shared" si="125"/>
        <v>#DIV/0!</v>
      </c>
      <c r="M205" s="378" t="e">
        <f t="shared" si="125"/>
        <v>#DIV/0!</v>
      </c>
      <c r="N205" s="497" t="e">
        <f t="shared" si="111"/>
        <v>#DIV/0!</v>
      </c>
      <c r="O205" s="497" t="str">
        <f t="array" ref="O205">IFERROR(INDEX(Calculation!I:AN,MATCH(ListAndConversion!E205,Calculation!I:I,0),31),"-")</f>
        <v>-</v>
      </c>
      <c r="P205" s="498">
        <f>IF(COUNTIFS(Calculation!$I$10:$I$393,E205,Direct_Denaturation,"-")&lt;&gt;1,COUNTIFS(Calculation!$I$10:$I$393,E205,Direct_Denaturation,"-"),0)</f>
        <v>0</v>
      </c>
      <c r="V205" s="542" t="s">
        <v>82</v>
      </c>
      <c r="W205" s="542" t="s">
        <v>82</v>
      </c>
      <c r="X205" s="542" t="s">
        <v>82</v>
      </c>
      <c r="Y205" s="542" t="s">
        <v>82</v>
      </c>
      <c r="Z205" s="542" t="s">
        <v>82</v>
      </c>
      <c r="AA205" s="542" t="s">
        <v>82</v>
      </c>
      <c r="AB205" s="542" t="s">
        <v>82</v>
      </c>
      <c r="AC205" s="542" t="s">
        <v>82</v>
      </c>
      <c r="AD205" s="542" t="s">
        <v>82</v>
      </c>
      <c r="AE205" s="542" t="s">
        <v>82</v>
      </c>
      <c r="AF205" s="542" t="s">
        <v>82</v>
      </c>
      <c r="AG205" s="542" t="s">
        <v>82</v>
      </c>
      <c r="AH205" s="9"/>
      <c r="AI205" s="487">
        <v>202</v>
      </c>
      <c r="AJ205" s="497" t="s">
        <v>162</v>
      </c>
      <c r="AK205" s="378">
        <v>10</v>
      </c>
      <c r="AL205" s="378" t="str">
        <f t="shared" ca="1" si="112"/>
        <v>-</v>
      </c>
      <c r="AM205" s="378" t="str">
        <f t="array" aca="1" ref="AM205" ca="1">IFERROR(IF(AI205&lt;=$AB$2,"-",INDEX(Calculation_Tab,SMALL(ROW(Main_Dil)*(Main_Dil&lt;&gt;"-"),COUNTIF(Main_Dil,"-")+ROW()-3-$AB$2)-9,5)),"-")</f>
        <v>-</v>
      </c>
      <c r="AN205" s="378" t="str">
        <f t="array" aca="1" ref="AN205" ca="1">IFERROR(IF(AI205&lt;=$AB$2,"-",INDEX($A$3:$B$12,MATCH(INDEX(Calculation_Tab,SMALL(ROW(Main_Dil)*(Main_Dil&lt;&gt;"-"),COUNTIF(Main_Dil,"-")+ROW()-3-$AB$2)-9,5),$A$3:$A$12,0),2)),"-")</f>
        <v>-</v>
      </c>
      <c r="AO205" s="378" t="str">
        <f t="array" aca="1" ref="AO205" ca="1">IFERROR(IF(AI205&lt;=$AB$2,"-",INDEX(Coordinate,MATCH(INDEX(Calculation_Tab,SMALL(ROW(Main_Dil)*(Main_Dil&lt;&gt;"-"),COUNTIF(Main_Dil,"-")+ROW()-3-$AB$2)-9,6),$X$4:$X$99,0),2)),"-")</f>
        <v>-</v>
      </c>
      <c r="AP205" s="510" t="str">
        <f t="array" aca="1" ref="AP205" ca="1">IFERROR(IF(AI205&lt;=$AB$2,"-",INDEX(Calculation_Tab,SMALL(ROW(Main_Dil)*(Main_Dil&lt;&gt;"-"),COUNTIF(Main_Dil,"-")+ROW()-3-$AB$2)-9,21)),"-")</f>
        <v>-</v>
      </c>
      <c r="AQ205" s="511" t="str">
        <f t="array" aca="1" ref="AQ205" ca="1">IFERROR(IF(AI205&lt;=$AB$2,"-",INDEX(Calculation_Tab,SMALL(ROW(Main_Dil)*(Main_Dil&lt;&gt;"-"),COUNTIF(Main_Dil,"-")+ROW()-3-$AB$2)-9,22)),"-")</f>
        <v>-</v>
      </c>
      <c r="AR205" s="487" t="str">
        <f t="shared" ca="1" si="113"/>
        <v>-</v>
      </c>
      <c r="AS205" s="378">
        <v>202</v>
      </c>
      <c r="AT205" s="497" t="s">
        <v>162</v>
      </c>
      <c r="AU205" s="498">
        <v>10</v>
      </c>
      <c r="AV205" s="378" t="str">
        <f t="shared" ca="1" si="114"/>
        <v>-</v>
      </c>
      <c r="AW205" s="378" t="str">
        <f t="array" aca="1" ref="AW205" ca="1">IFERROR(IF(AS205&lt;=$AB$2+$AN$2,"-",INDEX(Calculation_Tab,SMALL(ROW(Direct_Denaturation)*(Direct_Denaturation&lt;&gt;"-"),COUNTIF(Direct_Denaturation,"-")+ROW()-3-$AB$2-$AN$2)-9,5)),"-")</f>
        <v>-</v>
      </c>
      <c r="AX205" s="378" t="str">
        <f t="array" aca="1" ref="AX205" ca="1">IFERROR(IF(AS205&lt;=$AB$2+$AN$2,"-",INDEX($A$3:$B$12,MATCH(INDEX(Calculation_Tab,SMALL(ROW(Direct_Denaturation)*(Direct_Denaturation&lt;&gt;"-"),COUNTIF(Direct_Denaturation,"-")+ROW()-3-$AB$2-$AN$2)-9,5),$A$3:$A$12,0),2)),"-")</f>
        <v>-</v>
      </c>
      <c r="AY205" s="378" t="str">
        <f t="array" aca="1" ref="AY205" ca="1">IFERROR(IF(AS205&lt;=$AB$2+$AN$2,"-",INDEX(Coordinate,MATCH(INDEX(Calculation_Tab,SMALL(ROW(Direct_Denaturation)*(Direct_Denaturation&lt;&gt;"-"),COUNTIF(Direct_Denaturation,"-")+ROW()-3-$AB$2-$AN$2)-9,6),$X$4:$X$99,0),2)),"-")</f>
        <v>-</v>
      </c>
      <c r="AZ205" s="510" t="str">
        <f t="array" aca="1" ref="AZ205" ca="1">IFERROR(IF(AS205&lt;=$AB$2+$AN$2,"-",INDEX(Calculation_Tab,SMALL(ROW(Direct_Denaturation)*(Direct_Denaturation&lt;&gt;"-"),COUNTIF(Direct_Denaturation,"-")+ROW()-3-$AB$2-$AN$2)-9,32)),"-")</f>
        <v>-</v>
      </c>
      <c r="BA205" s="510" t="str">
        <f t="array" aca="1" ref="BA205" ca="1">IFERROR(IF(AS205&lt;=$AB$2+$AN$2,"-",INDEX(Calculation_Tab,SMALL(ROW(Direct_Denaturation)*(Direct_Denaturation&lt;&gt;"-"),COUNTIF(Direct_Denaturation,"-")+ROW()-3-$AB$2-$AN$2)-9,34)),"-")</f>
        <v>-</v>
      </c>
      <c r="BB205" s="510" t="str">
        <f t="array" aca="1" ref="BB205" ca="1">IFERROR(IF(AS205&lt;=$AB$2+$AN$2,"-",INDEX(Calculation_Tab,SMALL(ROW(Direct_Denaturation)*(Direct_Denaturation&lt;&gt;"-"),COUNTIF(Direct_Denaturation,"-")+ROW()-3-$AB$2-$AN$2)-9,33)),"-")</f>
        <v>-</v>
      </c>
      <c r="BC205" s="510" t="str">
        <f t="array" aca="1" ref="BC205" ca="1">IFERROR(IF(AS205&lt;=$AB$2+$AN$2,"-",INDEX(Calculation_Tab,SMALL(ROW(Direct_Denaturation)*(Direct_Denaturation&lt;&gt;"-"),COUNTIF(Direct_Denaturation,"-")+ROW()-3-$AB$2-$AN$2)-9,35)),"-")</f>
        <v>-</v>
      </c>
      <c r="BD205" s="511" t="str">
        <f t="shared" ca="1" si="115"/>
        <v>-</v>
      </c>
      <c r="BK205" s="542" t="s">
        <v>82</v>
      </c>
      <c r="BL205" s="542" t="s">
        <v>82</v>
      </c>
      <c r="BM205" s="487" t="str">
        <f t="array" aca="1" ref="BM205" ca="1">IFERROR(INDEX(Calculation_Tab,SMALL(ROW(ToPool)*(ToPool&lt;&gt;"-"),COUNTIF(ToPool,"-")+ROW()-3)-9,3),"-")</f>
        <v>-</v>
      </c>
      <c r="BN205" s="378" t="str">
        <f t="shared" ca="1" si="116"/>
        <v>-</v>
      </c>
      <c r="BO205" s="378" t="str">
        <f t="shared" ca="1" si="117"/>
        <v>-</v>
      </c>
      <c r="BP205" s="523" t="str">
        <f t="shared" ca="1" si="118"/>
        <v>-</v>
      </c>
      <c r="BQ205" s="378" t="str">
        <f t="array" aca="1" ref="BQ205" ca="1">IFERROR(INDEX(BE:BG,MATCH(INDEX(Calculation_Tab,SMALL(ROW(ToPool)*(ToPool&lt;&gt;"-"),COUNTIF(ToPool,"-")+ROW()-3)-9,9),BG:BG,0),2),"-")</f>
        <v>-</v>
      </c>
      <c r="BR205" s="510" t="str">
        <f t="shared" ca="1" si="119"/>
        <v>-</v>
      </c>
      <c r="BS205" s="511" t="str">
        <f t="shared" ca="1" si="120"/>
        <v>-</v>
      </c>
      <c r="BT205" s="543" t="s">
        <v>82</v>
      </c>
      <c r="BU205" s="487" t="str">
        <f t="shared" ca="1" si="124"/>
        <v>-</v>
      </c>
      <c r="BV205" s="487" t="str">
        <f t="array" aca="1" ref="BV20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05" s="378" t="str">
        <f t="shared" ca="1" si="121"/>
        <v>-</v>
      </c>
      <c r="BX205" s="378" t="str">
        <f t="shared" ca="1" si="122"/>
        <v>-</v>
      </c>
      <c r="BY205" s="510" t="str">
        <f ca="1">IFERROR(ROUND(INDEX(Cluster,MATCH(IF(LEFT(BV205,4)="Pool",INDEX(Cluster,MATCH(INDEX(Calculation_Tab,MATCH(INDEX($BE$4:$BJ$99,MATCH(BV205,$BE$4:$BE$99,0),3),Flow_Cell_Lane,0),3),Cluster!$F$29:$F$412,0),6),BV205),Identifier_Cluster,0),19)*IF(LEFT(BV205,4)="pool",IF(LEN(INDEX($BE$4:$BJ$99,MATCH(BV205,$BE$4:$BE$99,0),3))=10,2,IF(LEN(INDEX($BE$4:$BJ$99,MATCH(BV205,$BE$4:$BE$99,0),3))&gt;10,LEN(INDEX($BE$4:$BJ$99,MATCH(BV205,$BE$4:$BE$99,0),3))-8,1)),1)*IF(LEFT(BV205,4)="pool",IF(INDEX($BE$4:$BJ$99,MATCH(BV205,$BE$4:$BE$99,0),6)&lt;1,1,INDEX($BE$4:$BJ$99,MATCH(BV205,$BE$4:$BE$99,0),6)),INDEX(Calculation_Tab,MATCH(BV205,Identifier,0),10)),1)*(1+Calculation!$Q$6),"-")</f>
        <v>-</v>
      </c>
      <c r="BZ205" s="378" t="str">
        <f ca="1">IFERROR((0.5/50)*CE205/Calculation!$AG$6*(IF(LEFT(BV205,4)="Pool",IF(LEN(INDEX($BE$4:$BJ$99,MATCH(BV205,$BE$4:$BE$99,0),3))=10,2,IF(LEN(INDEX($BE$4:$BJ$99,MATCH(BV205,$BE$4:$BE$99,0),3))&gt;10,LEN(INDEX($BE$4:$BJ$99,MATCH(BV205,$BE$4:$BE$99,0),3))-8,1)),IF(INDEX(Calculation_Tab,MATCH(BV205,Identifier,0),10)&gt;1,INDEX(Calculation_Tab,MATCH(BV205,Identifier,0),10),1)))*(1+Calculation!$Q$6),"-")</f>
        <v>-</v>
      </c>
      <c r="CA205" s="510" t="str">
        <f ca="1">IFERROR(IF((BZ205*Calculation!$AG$6/0.05)-SUM(BY205:BZ205,CC205)&gt;0,(BZ205*Calculation!$AG$6/0.05)-SUM(BY205:BZ205,CC205),0),"-")</f>
        <v>-</v>
      </c>
      <c r="CB205" s="510" t="str">
        <f ca="1">IFERROR(5/50*CE205*(IF(LEFT(BV205,4)="Pool",IF(LEN(INDEX($BE$4:$BJ$99,MATCH(BV205,$BE$4:$BE$99,0),3))=10,2,IF(LEN(INDEX($BE$4:$BJ$99,MATCH(BV205,$BE$4:$BE$99,0),3))&gt;10,LEN(INDEX($BE$4:$BJ$99,MATCH(BV205,$BE$4:$BE$99,0),3))-8,1)),IF(INDEX(Calculation_Tab,MATCH(BV205,Identifier,0),10)&gt;1,INDEX(Calculation_Tab,MATCH(BV205,Identifier,0),10),1)))*(1+Calculation!$Q$6),"-")</f>
        <v>-</v>
      </c>
      <c r="CC205" s="508" t="str">
        <f ca="1">IFERROR(ROUND(INDEX(Cluster,MATCH(IF(LEFT(BV205,4)="Pool",INDEX(Cluster,MATCH(INDEX(Calculation_Tab,MATCH(INDEX($BE$4:$BJ$99,MATCH(BV205,$BE$4:$BE$99,0),3),Flow_Cell_Lane,0),3),Cluster!$F$29:$F$412,0),6),BV205),Identifier_Cluster,0),20)*IF(LEFT(BV205,4)="pool",IF(LEN(INDEX($BE$4:$BJ$99,MATCH(BV205,$BE$4:$BE$99,0),3))=10,2,IF(LEN(INDEX($BE$4:$BJ$99,MATCH(BV205,$BE$4:$BE$99,0),3))&gt;10,LEN(INDEX($BE$4:$BJ$99,MATCH(BV205,$BE$4:$BE$99,0),3))-8,1)),1)*IF(LEFT(BV205,4)="pool",IF(INDEX($BE$4:$BJ$99,MATCH(BV205,$BE$4:$BE$99,0),6)&lt;1,1,INDEX($BE$4:$BJ$99,MATCH(BV205,$BE$4:$BE$99,0),6)),INDEX(Calculation_Tab,MATCH(BV205,Identifier,0),10)),1)*(1+Calculation!$Q$6),"-")</f>
        <v>-</v>
      </c>
      <c r="CD205" s="509" t="str">
        <f ca="1">IFERROR(INDEX(Cluster!AC:AD,MATCH(IF(LEFT(BV205,4)="Pool",INDEX(Cluster!$D$29:$AA$412,MATCH(INDEX(Calculation_Tab,MATCH(INDEX($BE$4:$BJ$99,MATCH(BV205,$BE$4:$BE$99,0),3),Flow_Cell_Lane,0),3),Cluster!$F$29:$F$412,0),24),INDEX(Cluster!$D$29:$AA$412,MATCH(BV205,Cluster!$F$29:$F$412,0),24)),Cluster!AC:AC,0),2),"-")</f>
        <v>-</v>
      </c>
      <c r="CE205" s="378" t="str">
        <f ca="1">IFERROR(IF(BV205&lt;&gt;"-",Calculation!$AK$6,"-"),"-")</f>
        <v>-</v>
      </c>
      <c r="CF205" s="378" t="str">
        <f ca="1">IF(OR(LEFT(ListAndConversion!BW205,3)="Dil",LEFT(ListAndConversion!BW205,3)="Poo"),ListAndConversion!$BT$4,IF(LEFT(ListAndConversion!BW205,3)="Sou",INDEX(ListAndConversion!$AT$3:$AV$387,MATCH(ListAndConversion!BV205,ListAndConversion!$AV$3:$AV$387,0),1),"-"))</f>
        <v>-</v>
      </c>
      <c r="CG205" s="498" t="str">
        <f ca="1">IF(OR(LEFT(ListAndConversion!BW205,3)="Dil",LEFT(ListAndConversion!BW205,3)="Poo"),ListAndConversion!BU205,IF(LEFT(ListAndConversion!BW205,3)="Sou",INDEX(ListAndConversion!$AT$4:$AV$387,MATCH(ListAndConversion!BV205,ListAndConversion!$AV$4:$AV$387,0),2),"-"))</f>
        <v>-</v>
      </c>
      <c r="CH205" s="378"/>
      <c r="CI205" s="487" t="str">
        <f t="shared" ca="1" si="123"/>
        <v>-</v>
      </c>
      <c r="CJ205" s="378" t="str">
        <f t="shared" ca="1" si="126"/>
        <v>-</v>
      </c>
      <c r="CK205" s="378" t="str">
        <f t="shared" ca="1" si="126"/>
        <v>-</v>
      </c>
      <c r="CL205" s="378" t="str">
        <f t="shared" ca="1" si="126"/>
        <v>-</v>
      </c>
      <c r="CM205" s="378" t="str">
        <f t="shared" ca="1" si="126"/>
        <v>-</v>
      </c>
      <c r="CN205" s="378" t="str">
        <f t="shared" ca="1" si="126"/>
        <v>-</v>
      </c>
      <c r="CO205" s="378" t="str">
        <f t="shared" ca="1" si="126"/>
        <v>-</v>
      </c>
      <c r="CP205" s="378" t="str">
        <f t="shared" ca="1" si="126"/>
        <v>-</v>
      </c>
      <c r="CQ205" s="378" t="str">
        <f t="shared" ca="1" si="126"/>
        <v>-</v>
      </c>
      <c r="CR205" s="510" t="str">
        <f ca="1">IFERROR(IF(LEFT(BW205,3)="Poo",INDEX($BE$4:$BJ$99,MATCH(CI205,$BG$4:$BG$99,0),6)*((15/50))*Calculation!$AK$6,INDEX(Calculation_Tab,MATCH(BV205,Identifier,0),10)/(IF(LEN(INDEX(Calculation_Tab,MATCH(BV205,Identifier,0),9))&gt;8,LEN(INDEX(Calculation_Tab,MATCH(BV205,Identifier,0),9))-8,1))*((15/50)*Calculation!$AK$6)),"-")</f>
        <v>-</v>
      </c>
      <c r="CS205" s="498" t="str">
        <f ca="1">IF(CI205="-","-",IF(COUNTIF($CI$3:CI205,CI205)&gt;1,0,IFERROR((35/50)*Calculation!$AK$6,"-")))</f>
        <v>-</v>
      </c>
    </row>
    <row r="206" spans="4:97" x14ac:dyDescent="0.5">
      <c r="D206" s="487" t="e">
        <f t="shared" si="109"/>
        <v>#DIV/0!</v>
      </c>
      <c r="E206" s="496" t="e">
        <f t="array" ref="E206">IF(IF((ROW(E206)-3)&lt;(ListAndConversion!$A$15),INDEX(Flow_Cell_Lane,MIN(IF(COUNTIF($E$2:E205,Flow_Cell_Lane)=0,ROW(Flow_Cell_Lane)-9))),"-")="","-",IF((ROW(E206)-3)&lt;(ListAndConversion!$A$15),INDEX(Flow_Cell_Lane,MIN(IF(COUNTIF($E$2:E205,Flow_Cell_Lane)=0,ROW(Flow_Cell_Lane)-9))),"-"))</f>
        <v>#DIV/0!</v>
      </c>
      <c r="F206" s="378" t="e">
        <f t="shared" si="110"/>
        <v>#DIV/0!</v>
      </c>
      <c r="G206" s="378" t="e">
        <f t="shared" si="125"/>
        <v>#DIV/0!</v>
      </c>
      <c r="H206" s="378" t="e">
        <f t="shared" si="125"/>
        <v>#DIV/0!</v>
      </c>
      <c r="I206" s="378" t="e">
        <f t="shared" si="125"/>
        <v>#DIV/0!</v>
      </c>
      <c r="J206" s="378" t="e">
        <f t="shared" si="125"/>
        <v>#DIV/0!</v>
      </c>
      <c r="K206" s="378" t="e">
        <f t="shared" si="125"/>
        <v>#DIV/0!</v>
      </c>
      <c r="L206" s="378" t="e">
        <f t="shared" si="125"/>
        <v>#DIV/0!</v>
      </c>
      <c r="M206" s="378" t="e">
        <f t="shared" si="125"/>
        <v>#DIV/0!</v>
      </c>
      <c r="N206" s="497" t="e">
        <f t="shared" si="111"/>
        <v>#DIV/0!</v>
      </c>
      <c r="O206" s="497" t="str">
        <f t="array" ref="O206">IFERROR(INDEX(Calculation!I:AN,MATCH(ListAndConversion!E206,Calculation!I:I,0),31),"-")</f>
        <v>-</v>
      </c>
      <c r="P206" s="498">
        <f>IF(COUNTIFS(Calculation!$I$10:$I$393,E206,Direct_Denaturation,"-")&lt;&gt;1,COUNTIFS(Calculation!$I$10:$I$393,E206,Direct_Denaturation,"-"),0)</f>
        <v>0</v>
      </c>
      <c r="V206" s="542" t="s">
        <v>82</v>
      </c>
      <c r="W206" s="542" t="s">
        <v>82</v>
      </c>
      <c r="X206" s="542" t="s">
        <v>82</v>
      </c>
      <c r="Y206" s="542" t="s">
        <v>82</v>
      </c>
      <c r="Z206" s="542" t="s">
        <v>82</v>
      </c>
      <c r="AA206" s="542" t="s">
        <v>82</v>
      </c>
      <c r="AB206" s="542" t="s">
        <v>82</v>
      </c>
      <c r="AC206" s="542" t="s">
        <v>82</v>
      </c>
      <c r="AD206" s="542" t="s">
        <v>82</v>
      </c>
      <c r="AE206" s="542" t="s">
        <v>82</v>
      </c>
      <c r="AF206" s="542" t="s">
        <v>82</v>
      </c>
      <c r="AG206" s="542" t="s">
        <v>82</v>
      </c>
      <c r="AH206" s="9"/>
      <c r="AI206" s="487">
        <v>203</v>
      </c>
      <c r="AJ206" s="497" t="s">
        <v>162</v>
      </c>
      <c r="AK206" s="378">
        <v>11</v>
      </c>
      <c r="AL206" s="378" t="str">
        <f t="shared" ca="1" si="112"/>
        <v>-</v>
      </c>
      <c r="AM206" s="378" t="str">
        <f t="array" aca="1" ref="AM206" ca="1">IFERROR(IF(AI206&lt;=$AB$2,"-",INDEX(Calculation_Tab,SMALL(ROW(Main_Dil)*(Main_Dil&lt;&gt;"-"),COUNTIF(Main_Dil,"-")+ROW()-3-$AB$2)-9,5)),"-")</f>
        <v>-</v>
      </c>
      <c r="AN206" s="378" t="str">
        <f t="array" aca="1" ref="AN206" ca="1">IFERROR(IF(AI206&lt;=$AB$2,"-",INDEX($A$3:$B$12,MATCH(INDEX(Calculation_Tab,SMALL(ROW(Main_Dil)*(Main_Dil&lt;&gt;"-"),COUNTIF(Main_Dil,"-")+ROW()-3-$AB$2)-9,5),$A$3:$A$12,0),2)),"-")</f>
        <v>-</v>
      </c>
      <c r="AO206" s="378" t="str">
        <f t="array" aca="1" ref="AO206" ca="1">IFERROR(IF(AI206&lt;=$AB$2,"-",INDEX(Coordinate,MATCH(INDEX(Calculation_Tab,SMALL(ROW(Main_Dil)*(Main_Dil&lt;&gt;"-"),COUNTIF(Main_Dil,"-")+ROW()-3-$AB$2)-9,6),$X$4:$X$99,0),2)),"-")</f>
        <v>-</v>
      </c>
      <c r="AP206" s="510" t="str">
        <f t="array" aca="1" ref="AP206" ca="1">IFERROR(IF(AI206&lt;=$AB$2,"-",INDEX(Calculation_Tab,SMALL(ROW(Main_Dil)*(Main_Dil&lt;&gt;"-"),COUNTIF(Main_Dil,"-")+ROW()-3-$AB$2)-9,21)),"-")</f>
        <v>-</v>
      </c>
      <c r="AQ206" s="511" t="str">
        <f t="array" aca="1" ref="AQ206" ca="1">IFERROR(IF(AI206&lt;=$AB$2,"-",INDEX(Calculation_Tab,SMALL(ROW(Main_Dil)*(Main_Dil&lt;&gt;"-"),COUNTIF(Main_Dil,"-")+ROW()-3-$AB$2)-9,22)),"-")</f>
        <v>-</v>
      </c>
      <c r="AR206" s="487" t="str">
        <f t="shared" ca="1" si="113"/>
        <v>-</v>
      </c>
      <c r="AS206" s="378">
        <v>203</v>
      </c>
      <c r="AT206" s="497" t="s">
        <v>162</v>
      </c>
      <c r="AU206" s="498">
        <v>11</v>
      </c>
      <c r="AV206" s="378" t="str">
        <f t="shared" ca="1" si="114"/>
        <v>-</v>
      </c>
      <c r="AW206" s="378" t="str">
        <f t="array" aca="1" ref="AW206" ca="1">IFERROR(IF(AS206&lt;=$AB$2+$AN$2,"-",INDEX(Calculation_Tab,SMALL(ROW(Direct_Denaturation)*(Direct_Denaturation&lt;&gt;"-"),COUNTIF(Direct_Denaturation,"-")+ROW()-3-$AB$2-$AN$2)-9,5)),"-")</f>
        <v>-</v>
      </c>
      <c r="AX206" s="378" t="str">
        <f t="array" aca="1" ref="AX206" ca="1">IFERROR(IF(AS206&lt;=$AB$2+$AN$2,"-",INDEX($A$3:$B$12,MATCH(INDEX(Calculation_Tab,SMALL(ROW(Direct_Denaturation)*(Direct_Denaturation&lt;&gt;"-"),COUNTIF(Direct_Denaturation,"-")+ROW()-3-$AB$2-$AN$2)-9,5),$A$3:$A$12,0),2)),"-")</f>
        <v>-</v>
      </c>
      <c r="AY206" s="378" t="str">
        <f t="array" aca="1" ref="AY206" ca="1">IFERROR(IF(AS206&lt;=$AB$2+$AN$2,"-",INDEX(Coordinate,MATCH(INDEX(Calculation_Tab,SMALL(ROW(Direct_Denaturation)*(Direct_Denaturation&lt;&gt;"-"),COUNTIF(Direct_Denaturation,"-")+ROW()-3-$AB$2-$AN$2)-9,6),$X$4:$X$99,0),2)),"-")</f>
        <v>-</v>
      </c>
      <c r="AZ206" s="510" t="str">
        <f t="array" aca="1" ref="AZ206" ca="1">IFERROR(IF(AS206&lt;=$AB$2+$AN$2,"-",INDEX(Calculation_Tab,SMALL(ROW(Direct_Denaturation)*(Direct_Denaturation&lt;&gt;"-"),COUNTIF(Direct_Denaturation,"-")+ROW()-3-$AB$2-$AN$2)-9,32)),"-")</f>
        <v>-</v>
      </c>
      <c r="BA206" s="510" t="str">
        <f t="array" aca="1" ref="BA206" ca="1">IFERROR(IF(AS206&lt;=$AB$2+$AN$2,"-",INDEX(Calculation_Tab,SMALL(ROW(Direct_Denaturation)*(Direct_Denaturation&lt;&gt;"-"),COUNTIF(Direct_Denaturation,"-")+ROW()-3-$AB$2-$AN$2)-9,34)),"-")</f>
        <v>-</v>
      </c>
      <c r="BB206" s="510" t="str">
        <f t="array" aca="1" ref="BB206" ca="1">IFERROR(IF(AS206&lt;=$AB$2+$AN$2,"-",INDEX(Calculation_Tab,SMALL(ROW(Direct_Denaturation)*(Direct_Denaturation&lt;&gt;"-"),COUNTIF(Direct_Denaturation,"-")+ROW()-3-$AB$2-$AN$2)-9,33)),"-")</f>
        <v>-</v>
      </c>
      <c r="BC206" s="510" t="str">
        <f t="array" aca="1" ref="BC206" ca="1">IFERROR(IF(AS206&lt;=$AB$2+$AN$2,"-",INDEX(Calculation_Tab,SMALL(ROW(Direct_Denaturation)*(Direct_Denaturation&lt;&gt;"-"),COUNTIF(Direct_Denaturation,"-")+ROW()-3-$AB$2-$AN$2)-9,35)),"-")</f>
        <v>-</v>
      </c>
      <c r="BD206" s="511" t="str">
        <f t="shared" ca="1" si="115"/>
        <v>-</v>
      </c>
      <c r="BK206" s="542" t="s">
        <v>82</v>
      </c>
      <c r="BL206" s="542" t="s">
        <v>82</v>
      </c>
      <c r="BM206" s="487" t="str">
        <f t="array" aca="1" ref="BM206" ca="1">IFERROR(INDEX(Calculation_Tab,SMALL(ROW(ToPool)*(ToPool&lt;&gt;"-"),COUNTIF(ToPool,"-")+ROW()-3)-9,3),"-")</f>
        <v>-</v>
      </c>
      <c r="BN206" s="378" t="str">
        <f t="shared" ca="1" si="116"/>
        <v>-</v>
      </c>
      <c r="BO206" s="378" t="str">
        <f t="shared" ca="1" si="117"/>
        <v>-</v>
      </c>
      <c r="BP206" s="523" t="str">
        <f t="shared" ca="1" si="118"/>
        <v>-</v>
      </c>
      <c r="BQ206" s="378" t="str">
        <f t="array" aca="1" ref="BQ206" ca="1">IFERROR(INDEX(BE:BG,MATCH(INDEX(Calculation_Tab,SMALL(ROW(ToPool)*(ToPool&lt;&gt;"-"),COUNTIF(ToPool,"-")+ROW()-3)-9,9),BG:BG,0),2),"-")</f>
        <v>-</v>
      </c>
      <c r="BR206" s="510" t="str">
        <f t="shared" ca="1" si="119"/>
        <v>-</v>
      </c>
      <c r="BS206" s="511" t="str">
        <f t="shared" ca="1" si="120"/>
        <v>-</v>
      </c>
      <c r="BT206" s="543" t="s">
        <v>82</v>
      </c>
      <c r="BU206" s="487" t="str">
        <f t="shared" ca="1" si="124"/>
        <v>-</v>
      </c>
      <c r="BV206" s="487" t="str">
        <f t="array" aca="1" ref="BV20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06" s="378" t="str">
        <f t="shared" ca="1" si="121"/>
        <v>-</v>
      </c>
      <c r="BX206" s="378" t="str">
        <f t="shared" ca="1" si="122"/>
        <v>-</v>
      </c>
      <c r="BY206" s="510" t="str">
        <f ca="1">IFERROR(ROUND(INDEX(Cluster,MATCH(IF(LEFT(BV206,4)="Pool",INDEX(Cluster,MATCH(INDEX(Calculation_Tab,MATCH(INDEX($BE$4:$BJ$99,MATCH(BV206,$BE$4:$BE$99,0),3),Flow_Cell_Lane,0),3),Cluster!$F$29:$F$412,0),6),BV206),Identifier_Cluster,0),19)*IF(LEFT(BV206,4)="pool",IF(LEN(INDEX($BE$4:$BJ$99,MATCH(BV206,$BE$4:$BE$99,0),3))=10,2,IF(LEN(INDEX($BE$4:$BJ$99,MATCH(BV206,$BE$4:$BE$99,0),3))&gt;10,LEN(INDEX($BE$4:$BJ$99,MATCH(BV206,$BE$4:$BE$99,0),3))-8,1)),1)*IF(LEFT(BV206,4)="pool",IF(INDEX($BE$4:$BJ$99,MATCH(BV206,$BE$4:$BE$99,0),6)&lt;1,1,INDEX($BE$4:$BJ$99,MATCH(BV206,$BE$4:$BE$99,0),6)),INDEX(Calculation_Tab,MATCH(BV206,Identifier,0),10)),1)*(1+Calculation!$Q$6),"-")</f>
        <v>-</v>
      </c>
      <c r="BZ206" s="378" t="str">
        <f ca="1">IFERROR((0.5/50)*CE206/Calculation!$AG$6*(IF(LEFT(BV206,4)="Pool",IF(LEN(INDEX($BE$4:$BJ$99,MATCH(BV206,$BE$4:$BE$99,0),3))=10,2,IF(LEN(INDEX($BE$4:$BJ$99,MATCH(BV206,$BE$4:$BE$99,0),3))&gt;10,LEN(INDEX($BE$4:$BJ$99,MATCH(BV206,$BE$4:$BE$99,0),3))-8,1)),IF(INDEX(Calculation_Tab,MATCH(BV206,Identifier,0),10)&gt;1,INDEX(Calculation_Tab,MATCH(BV206,Identifier,0),10),1)))*(1+Calculation!$Q$6),"-")</f>
        <v>-</v>
      </c>
      <c r="CA206" s="510" t="str">
        <f ca="1">IFERROR(IF((BZ206*Calculation!$AG$6/0.05)-SUM(BY206:BZ206,CC206)&gt;0,(BZ206*Calculation!$AG$6/0.05)-SUM(BY206:BZ206,CC206),0),"-")</f>
        <v>-</v>
      </c>
      <c r="CB206" s="510" t="str">
        <f ca="1">IFERROR(5/50*CE206*(IF(LEFT(BV206,4)="Pool",IF(LEN(INDEX($BE$4:$BJ$99,MATCH(BV206,$BE$4:$BE$99,0),3))=10,2,IF(LEN(INDEX($BE$4:$BJ$99,MATCH(BV206,$BE$4:$BE$99,0),3))&gt;10,LEN(INDEX($BE$4:$BJ$99,MATCH(BV206,$BE$4:$BE$99,0),3))-8,1)),IF(INDEX(Calculation_Tab,MATCH(BV206,Identifier,0),10)&gt;1,INDEX(Calculation_Tab,MATCH(BV206,Identifier,0),10),1)))*(1+Calculation!$Q$6),"-")</f>
        <v>-</v>
      </c>
      <c r="CC206" s="508" t="str">
        <f ca="1">IFERROR(ROUND(INDEX(Cluster,MATCH(IF(LEFT(BV206,4)="Pool",INDEX(Cluster,MATCH(INDEX(Calculation_Tab,MATCH(INDEX($BE$4:$BJ$99,MATCH(BV206,$BE$4:$BE$99,0),3),Flow_Cell_Lane,0),3),Cluster!$F$29:$F$412,0),6),BV206),Identifier_Cluster,0),20)*IF(LEFT(BV206,4)="pool",IF(LEN(INDEX($BE$4:$BJ$99,MATCH(BV206,$BE$4:$BE$99,0),3))=10,2,IF(LEN(INDEX($BE$4:$BJ$99,MATCH(BV206,$BE$4:$BE$99,0),3))&gt;10,LEN(INDEX($BE$4:$BJ$99,MATCH(BV206,$BE$4:$BE$99,0),3))-8,1)),1)*IF(LEFT(BV206,4)="pool",IF(INDEX($BE$4:$BJ$99,MATCH(BV206,$BE$4:$BE$99,0),6)&lt;1,1,INDEX($BE$4:$BJ$99,MATCH(BV206,$BE$4:$BE$99,0),6)),INDEX(Calculation_Tab,MATCH(BV206,Identifier,0),10)),1)*(1+Calculation!$Q$6),"-")</f>
        <v>-</v>
      </c>
      <c r="CD206" s="509" t="str">
        <f ca="1">IFERROR(INDEX(Cluster!AC:AD,MATCH(IF(LEFT(BV206,4)="Pool",INDEX(Cluster!$D$29:$AA$412,MATCH(INDEX(Calculation_Tab,MATCH(INDEX($BE$4:$BJ$99,MATCH(BV206,$BE$4:$BE$99,0),3),Flow_Cell_Lane,0),3),Cluster!$F$29:$F$412,0),24),INDEX(Cluster!$D$29:$AA$412,MATCH(BV206,Cluster!$F$29:$F$412,0),24)),Cluster!AC:AC,0),2),"-")</f>
        <v>-</v>
      </c>
      <c r="CE206" s="378" t="str">
        <f ca="1">IFERROR(IF(BV206&lt;&gt;"-",Calculation!$AK$6,"-"),"-")</f>
        <v>-</v>
      </c>
      <c r="CF206" s="378" t="str">
        <f ca="1">IF(OR(LEFT(ListAndConversion!BW206,3)="Dil",LEFT(ListAndConversion!BW206,3)="Poo"),ListAndConversion!$BT$4,IF(LEFT(ListAndConversion!BW206,3)="Sou",INDEX(ListAndConversion!$AT$3:$AV$387,MATCH(ListAndConversion!BV206,ListAndConversion!$AV$3:$AV$387,0),1),"-"))</f>
        <v>-</v>
      </c>
      <c r="CG206" s="498" t="str">
        <f ca="1">IF(OR(LEFT(ListAndConversion!BW206,3)="Dil",LEFT(ListAndConversion!BW206,3)="Poo"),ListAndConversion!BU206,IF(LEFT(ListAndConversion!BW206,3)="Sou",INDEX(ListAndConversion!$AT$4:$AV$387,MATCH(ListAndConversion!BV206,ListAndConversion!$AV$4:$AV$387,0),2),"-"))</f>
        <v>-</v>
      </c>
      <c r="CH206" s="378"/>
      <c r="CI206" s="487" t="str">
        <f t="shared" ca="1" si="123"/>
        <v>-</v>
      </c>
      <c r="CJ206" s="378" t="str">
        <f t="shared" ca="1" si="126"/>
        <v>-</v>
      </c>
      <c r="CK206" s="378" t="str">
        <f t="shared" ca="1" si="126"/>
        <v>-</v>
      </c>
      <c r="CL206" s="378" t="str">
        <f t="shared" ca="1" si="126"/>
        <v>-</v>
      </c>
      <c r="CM206" s="378" t="str">
        <f t="shared" ca="1" si="126"/>
        <v>-</v>
      </c>
      <c r="CN206" s="378" t="str">
        <f t="shared" ca="1" si="126"/>
        <v>-</v>
      </c>
      <c r="CO206" s="378" t="str">
        <f t="shared" ca="1" si="126"/>
        <v>-</v>
      </c>
      <c r="CP206" s="378" t="str">
        <f t="shared" ca="1" si="126"/>
        <v>-</v>
      </c>
      <c r="CQ206" s="378" t="str">
        <f t="shared" ca="1" si="126"/>
        <v>-</v>
      </c>
      <c r="CR206" s="510" t="str">
        <f ca="1">IFERROR(IF(LEFT(BW206,3)="Poo",INDEX($BE$4:$BJ$99,MATCH(CI206,$BG$4:$BG$99,0),6)*((15/50))*Calculation!$AK$6,INDEX(Calculation_Tab,MATCH(BV206,Identifier,0),10)/(IF(LEN(INDEX(Calculation_Tab,MATCH(BV206,Identifier,0),9))&gt;8,LEN(INDEX(Calculation_Tab,MATCH(BV206,Identifier,0),9))-8,1))*((15/50)*Calculation!$AK$6)),"-")</f>
        <v>-</v>
      </c>
      <c r="CS206" s="498" t="str">
        <f ca="1">IF(CI206="-","-",IF(COUNTIF($CI$3:CI206,CI206)&gt;1,0,IFERROR((35/50)*Calculation!$AK$6,"-")))</f>
        <v>-</v>
      </c>
    </row>
    <row r="207" spans="4:97" x14ac:dyDescent="0.5">
      <c r="D207" s="487" t="e">
        <f t="shared" si="109"/>
        <v>#DIV/0!</v>
      </c>
      <c r="E207" s="496" t="e">
        <f t="array" ref="E207">IF(IF((ROW(E207)-3)&lt;(ListAndConversion!$A$15),INDEX(Flow_Cell_Lane,MIN(IF(COUNTIF($E$2:E206,Flow_Cell_Lane)=0,ROW(Flow_Cell_Lane)-9))),"-")="","-",IF((ROW(E207)-3)&lt;(ListAndConversion!$A$15),INDEX(Flow_Cell_Lane,MIN(IF(COUNTIF($E$2:E206,Flow_Cell_Lane)=0,ROW(Flow_Cell_Lane)-9))),"-"))</f>
        <v>#DIV/0!</v>
      </c>
      <c r="F207" s="378" t="e">
        <f t="shared" si="110"/>
        <v>#DIV/0!</v>
      </c>
      <c r="G207" s="378" t="e">
        <f t="shared" si="125"/>
        <v>#DIV/0!</v>
      </c>
      <c r="H207" s="378" t="e">
        <f t="shared" si="125"/>
        <v>#DIV/0!</v>
      </c>
      <c r="I207" s="378" t="e">
        <f t="shared" si="125"/>
        <v>#DIV/0!</v>
      </c>
      <c r="J207" s="378" t="e">
        <f t="shared" si="125"/>
        <v>#DIV/0!</v>
      </c>
      <c r="K207" s="378" t="e">
        <f t="shared" si="125"/>
        <v>#DIV/0!</v>
      </c>
      <c r="L207" s="378" t="e">
        <f t="shared" si="125"/>
        <v>#DIV/0!</v>
      </c>
      <c r="M207" s="378" t="e">
        <f t="shared" si="125"/>
        <v>#DIV/0!</v>
      </c>
      <c r="N207" s="497" t="e">
        <f t="shared" si="111"/>
        <v>#DIV/0!</v>
      </c>
      <c r="O207" s="497" t="str">
        <f t="array" ref="O207">IFERROR(INDEX(Calculation!I:AN,MATCH(ListAndConversion!E207,Calculation!I:I,0),31),"-")</f>
        <v>-</v>
      </c>
      <c r="P207" s="498">
        <f>IF(COUNTIFS(Calculation!$I$10:$I$393,E207,Direct_Denaturation,"-")&lt;&gt;1,COUNTIFS(Calculation!$I$10:$I$393,E207,Direct_Denaturation,"-"),0)</f>
        <v>0</v>
      </c>
      <c r="V207" s="542" t="s">
        <v>82</v>
      </c>
      <c r="W207" s="542" t="s">
        <v>82</v>
      </c>
      <c r="X207" s="542" t="s">
        <v>82</v>
      </c>
      <c r="Y207" s="542" t="s">
        <v>82</v>
      </c>
      <c r="Z207" s="542" t="s">
        <v>82</v>
      </c>
      <c r="AA207" s="542" t="s">
        <v>82</v>
      </c>
      <c r="AB207" s="542" t="s">
        <v>82</v>
      </c>
      <c r="AC207" s="542" t="s">
        <v>82</v>
      </c>
      <c r="AD207" s="542" t="s">
        <v>82</v>
      </c>
      <c r="AE207" s="542" t="s">
        <v>82</v>
      </c>
      <c r="AF207" s="542" t="s">
        <v>82</v>
      </c>
      <c r="AG207" s="542" t="s">
        <v>82</v>
      </c>
      <c r="AH207" s="9"/>
      <c r="AI207" s="487">
        <v>204</v>
      </c>
      <c r="AJ207" s="497" t="s">
        <v>162</v>
      </c>
      <c r="AK207" s="378">
        <v>12</v>
      </c>
      <c r="AL207" s="378" t="str">
        <f t="shared" ca="1" si="112"/>
        <v>-</v>
      </c>
      <c r="AM207" s="378" t="str">
        <f t="array" aca="1" ref="AM207" ca="1">IFERROR(IF(AI207&lt;=$AB$2,"-",INDEX(Calculation_Tab,SMALL(ROW(Main_Dil)*(Main_Dil&lt;&gt;"-"),COUNTIF(Main_Dil,"-")+ROW()-3-$AB$2)-9,5)),"-")</f>
        <v>-</v>
      </c>
      <c r="AN207" s="378" t="str">
        <f t="array" aca="1" ref="AN207" ca="1">IFERROR(IF(AI207&lt;=$AB$2,"-",INDEX($A$3:$B$12,MATCH(INDEX(Calculation_Tab,SMALL(ROW(Main_Dil)*(Main_Dil&lt;&gt;"-"),COUNTIF(Main_Dil,"-")+ROW()-3-$AB$2)-9,5),$A$3:$A$12,0),2)),"-")</f>
        <v>-</v>
      </c>
      <c r="AO207" s="378" t="str">
        <f t="array" aca="1" ref="AO207" ca="1">IFERROR(IF(AI207&lt;=$AB$2,"-",INDEX(Coordinate,MATCH(INDEX(Calculation_Tab,SMALL(ROW(Main_Dil)*(Main_Dil&lt;&gt;"-"),COUNTIF(Main_Dil,"-")+ROW()-3-$AB$2)-9,6),$X$4:$X$99,0),2)),"-")</f>
        <v>-</v>
      </c>
      <c r="AP207" s="510" t="str">
        <f t="array" aca="1" ref="AP207" ca="1">IFERROR(IF(AI207&lt;=$AB$2,"-",INDEX(Calculation_Tab,SMALL(ROW(Main_Dil)*(Main_Dil&lt;&gt;"-"),COUNTIF(Main_Dil,"-")+ROW()-3-$AB$2)-9,21)),"-")</f>
        <v>-</v>
      </c>
      <c r="AQ207" s="511" t="str">
        <f t="array" aca="1" ref="AQ207" ca="1">IFERROR(IF(AI207&lt;=$AB$2,"-",INDEX(Calculation_Tab,SMALL(ROW(Main_Dil)*(Main_Dil&lt;&gt;"-"),COUNTIF(Main_Dil,"-")+ROW()-3-$AB$2)-9,22)),"-")</f>
        <v>-</v>
      </c>
      <c r="AR207" s="487" t="str">
        <f t="shared" ca="1" si="113"/>
        <v>-</v>
      </c>
      <c r="AS207" s="378">
        <v>204</v>
      </c>
      <c r="AT207" s="497" t="s">
        <v>162</v>
      </c>
      <c r="AU207" s="498">
        <v>12</v>
      </c>
      <c r="AV207" s="378" t="str">
        <f t="shared" ca="1" si="114"/>
        <v>-</v>
      </c>
      <c r="AW207" s="378" t="str">
        <f t="array" aca="1" ref="AW207" ca="1">IFERROR(IF(AS207&lt;=$AB$2+$AN$2,"-",INDEX(Calculation_Tab,SMALL(ROW(Direct_Denaturation)*(Direct_Denaturation&lt;&gt;"-"),COUNTIF(Direct_Denaturation,"-")+ROW()-3-$AB$2-$AN$2)-9,5)),"-")</f>
        <v>-</v>
      </c>
      <c r="AX207" s="378" t="str">
        <f t="array" aca="1" ref="AX207" ca="1">IFERROR(IF(AS207&lt;=$AB$2+$AN$2,"-",INDEX($A$3:$B$12,MATCH(INDEX(Calculation_Tab,SMALL(ROW(Direct_Denaturation)*(Direct_Denaturation&lt;&gt;"-"),COUNTIF(Direct_Denaturation,"-")+ROW()-3-$AB$2-$AN$2)-9,5),$A$3:$A$12,0),2)),"-")</f>
        <v>-</v>
      </c>
      <c r="AY207" s="378" t="str">
        <f t="array" aca="1" ref="AY207" ca="1">IFERROR(IF(AS207&lt;=$AB$2+$AN$2,"-",INDEX(Coordinate,MATCH(INDEX(Calculation_Tab,SMALL(ROW(Direct_Denaturation)*(Direct_Denaturation&lt;&gt;"-"),COUNTIF(Direct_Denaturation,"-")+ROW()-3-$AB$2-$AN$2)-9,6),$X$4:$X$99,0),2)),"-")</f>
        <v>-</v>
      </c>
      <c r="AZ207" s="510" t="str">
        <f t="array" aca="1" ref="AZ207" ca="1">IFERROR(IF(AS207&lt;=$AB$2+$AN$2,"-",INDEX(Calculation_Tab,SMALL(ROW(Direct_Denaturation)*(Direct_Denaturation&lt;&gt;"-"),COUNTIF(Direct_Denaturation,"-")+ROW()-3-$AB$2-$AN$2)-9,32)),"-")</f>
        <v>-</v>
      </c>
      <c r="BA207" s="510" t="str">
        <f t="array" aca="1" ref="BA207" ca="1">IFERROR(IF(AS207&lt;=$AB$2+$AN$2,"-",INDEX(Calculation_Tab,SMALL(ROW(Direct_Denaturation)*(Direct_Denaturation&lt;&gt;"-"),COUNTIF(Direct_Denaturation,"-")+ROW()-3-$AB$2-$AN$2)-9,34)),"-")</f>
        <v>-</v>
      </c>
      <c r="BB207" s="510" t="str">
        <f t="array" aca="1" ref="BB207" ca="1">IFERROR(IF(AS207&lt;=$AB$2+$AN$2,"-",INDEX(Calculation_Tab,SMALL(ROW(Direct_Denaturation)*(Direct_Denaturation&lt;&gt;"-"),COUNTIF(Direct_Denaturation,"-")+ROW()-3-$AB$2-$AN$2)-9,33)),"-")</f>
        <v>-</v>
      </c>
      <c r="BC207" s="510" t="str">
        <f t="array" aca="1" ref="BC207" ca="1">IFERROR(IF(AS207&lt;=$AB$2+$AN$2,"-",INDEX(Calculation_Tab,SMALL(ROW(Direct_Denaturation)*(Direct_Denaturation&lt;&gt;"-"),COUNTIF(Direct_Denaturation,"-")+ROW()-3-$AB$2-$AN$2)-9,35)),"-")</f>
        <v>-</v>
      </c>
      <c r="BD207" s="511" t="str">
        <f t="shared" ca="1" si="115"/>
        <v>-</v>
      </c>
      <c r="BK207" s="542" t="s">
        <v>82</v>
      </c>
      <c r="BL207" s="542" t="s">
        <v>82</v>
      </c>
      <c r="BM207" s="487" t="str">
        <f t="array" aca="1" ref="BM207" ca="1">IFERROR(INDEX(Calculation_Tab,SMALL(ROW(ToPool)*(ToPool&lt;&gt;"-"),COUNTIF(ToPool,"-")+ROW()-3)-9,3),"-")</f>
        <v>-</v>
      </c>
      <c r="BN207" s="378" t="str">
        <f t="shared" ca="1" si="116"/>
        <v>-</v>
      </c>
      <c r="BO207" s="378" t="str">
        <f t="shared" ca="1" si="117"/>
        <v>-</v>
      </c>
      <c r="BP207" s="523" t="str">
        <f t="shared" ca="1" si="118"/>
        <v>-</v>
      </c>
      <c r="BQ207" s="378" t="str">
        <f t="array" aca="1" ref="BQ207" ca="1">IFERROR(INDEX(BE:BG,MATCH(INDEX(Calculation_Tab,SMALL(ROW(ToPool)*(ToPool&lt;&gt;"-"),COUNTIF(ToPool,"-")+ROW()-3)-9,9),BG:BG,0),2),"-")</f>
        <v>-</v>
      </c>
      <c r="BR207" s="510" t="str">
        <f t="shared" ca="1" si="119"/>
        <v>-</v>
      </c>
      <c r="BS207" s="511" t="str">
        <f t="shared" ca="1" si="120"/>
        <v>-</v>
      </c>
      <c r="BT207" s="543" t="s">
        <v>82</v>
      </c>
      <c r="BU207" s="487" t="str">
        <f t="shared" ca="1" si="124"/>
        <v>-</v>
      </c>
      <c r="BV207" s="487" t="str">
        <f t="array" aca="1" ref="BV20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07" s="378" t="str">
        <f t="shared" ca="1" si="121"/>
        <v>-</v>
      </c>
      <c r="BX207" s="378" t="str">
        <f t="shared" ca="1" si="122"/>
        <v>-</v>
      </c>
      <c r="BY207" s="510" t="str">
        <f ca="1">IFERROR(ROUND(INDEX(Cluster,MATCH(IF(LEFT(BV207,4)="Pool",INDEX(Cluster,MATCH(INDEX(Calculation_Tab,MATCH(INDEX($BE$4:$BJ$99,MATCH(BV207,$BE$4:$BE$99,0),3),Flow_Cell_Lane,0),3),Cluster!$F$29:$F$412,0),6),BV207),Identifier_Cluster,0),19)*IF(LEFT(BV207,4)="pool",IF(LEN(INDEX($BE$4:$BJ$99,MATCH(BV207,$BE$4:$BE$99,0),3))=10,2,IF(LEN(INDEX($BE$4:$BJ$99,MATCH(BV207,$BE$4:$BE$99,0),3))&gt;10,LEN(INDEX($BE$4:$BJ$99,MATCH(BV207,$BE$4:$BE$99,0),3))-8,1)),1)*IF(LEFT(BV207,4)="pool",IF(INDEX($BE$4:$BJ$99,MATCH(BV207,$BE$4:$BE$99,0),6)&lt;1,1,INDEX($BE$4:$BJ$99,MATCH(BV207,$BE$4:$BE$99,0),6)),INDEX(Calculation_Tab,MATCH(BV207,Identifier,0),10)),1)*(1+Calculation!$Q$6),"-")</f>
        <v>-</v>
      </c>
      <c r="BZ207" s="378" t="str">
        <f ca="1">IFERROR((0.5/50)*CE207/Calculation!$AG$6*(IF(LEFT(BV207,4)="Pool",IF(LEN(INDEX($BE$4:$BJ$99,MATCH(BV207,$BE$4:$BE$99,0),3))=10,2,IF(LEN(INDEX($BE$4:$BJ$99,MATCH(BV207,$BE$4:$BE$99,0),3))&gt;10,LEN(INDEX($BE$4:$BJ$99,MATCH(BV207,$BE$4:$BE$99,0),3))-8,1)),IF(INDEX(Calculation_Tab,MATCH(BV207,Identifier,0),10)&gt;1,INDEX(Calculation_Tab,MATCH(BV207,Identifier,0),10),1)))*(1+Calculation!$Q$6),"-")</f>
        <v>-</v>
      </c>
      <c r="CA207" s="510" t="str">
        <f ca="1">IFERROR(IF((BZ207*Calculation!$AG$6/0.05)-SUM(BY207:BZ207,CC207)&gt;0,(BZ207*Calculation!$AG$6/0.05)-SUM(BY207:BZ207,CC207),0),"-")</f>
        <v>-</v>
      </c>
      <c r="CB207" s="510" t="str">
        <f ca="1">IFERROR(5/50*CE207*(IF(LEFT(BV207,4)="Pool",IF(LEN(INDEX($BE$4:$BJ$99,MATCH(BV207,$BE$4:$BE$99,0),3))=10,2,IF(LEN(INDEX($BE$4:$BJ$99,MATCH(BV207,$BE$4:$BE$99,0),3))&gt;10,LEN(INDEX($BE$4:$BJ$99,MATCH(BV207,$BE$4:$BE$99,0),3))-8,1)),IF(INDEX(Calculation_Tab,MATCH(BV207,Identifier,0),10)&gt;1,INDEX(Calculation_Tab,MATCH(BV207,Identifier,0),10),1)))*(1+Calculation!$Q$6),"-")</f>
        <v>-</v>
      </c>
      <c r="CC207" s="508" t="str">
        <f ca="1">IFERROR(ROUND(INDEX(Cluster,MATCH(IF(LEFT(BV207,4)="Pool",INDEX(Cluster,MATCH(INDEX(Calculation_Tab,MATCH(INDEX($BE$4:$BJ$99,MATCH(BV207,$BE$4:$BE$99,0),3),Flow_Cell_Lane,0),3),Cluster!$F$29:$F$412,0),6),BV207),Identifier_Cluster,0),20)*IF(LEFT(BV207,4)="pool",IF(LEN(INDEX($BE$4:$BJ$99,MATCH(BV207,$BE$4:$BE$99,0),3))=10,2,IF(LEN(INDEX($BE$4:$BJ$99,MATCH(BV207,$BE$4:$BE$99,0),3))&gt;10,LEN(INDEX($BE$4:$BJ$99,MATCH(BV207,$BE$4:$BE$99,0),3))-8,1)),1)*IF(LEFT(BV207,4)="pool",IF(INDEX($BE$4:$BJ$99,MATCH(BV207,$BE$4:$BE$99,0),6)&lt;1,1,INDEX($BE$4:$BJ$99,MATCH(BV207,$BE$4:$BE$99,0),6)),INDEX(Calculation_Tab,MATCH(BV207,Identifier,0),10)),1)*(1+Calculation!$Q$6),"-")</f>
        <v>-</v>
      </c>
      <c r="CD207" s="509" t="str">
        <f ca="1">IFERROR(INDEX(Cluster!AC:AD,MATCH(IF(LEFT(BV207,4)="Pool",INDEX(Cluster!$D$29:$AA$412,MATCH(INDEX(Calculation_Tab,MATCH(INDEX($BE$4:$BJ$99,MATCH(BV207,$BE$4:$BE$99,0),3),Flow_Cell_Lane,0),3),Cluster!$F$29:$F$412,0),24),INDEX(Cluster!$D$29:$AA$412,MATCH(BV207,Cluster!$F$29:$F$412,0),24)),Cluster!AC:AC,0),2),"-")</f>
        <v>-</v>
      </c>
      <c r="CE207" s="378" t="str">
        <f ca="1">IFERROR(IF(BV207&lt;&gt;"-",Calculation!$AK$6,"-"),"-")</f>
        <v>-</v>
      </c>
      <c r="CF207" s="378" t="str">
        <f ca="1">IF(OR(LEFT(ListAndConversion!BW207,3)="Dil",LEFT(ListAndConversion!BW207,3)="Poo"),ListAndConversion!$BT$4,IF(LEFT(ListAndConversion!BW207,3)="Sou",INDEX(ListAndConversion!$AT$3:$AV$387,MATCH(ListAndConversion!BV207,ListAndConversion!$AV$3:$AV$387,0),1),"-"))</f>
        <v>-</v>
      </c>
      <c r="CG207" s="498" t="str">
        <f ca="1">IF(OR(LEFT(ListAndConversion!BW207,3)="Dil",LEFT(ListAndConversion!BW207,3)="Poo"),ListAndConversion!BU207,IF(LEFT(ListAndConversion!BW207,3)="Sou",INDEX(ListAndConversion!$AT$4:$AV$387,MATCH(ListAndConversion!BV207,ListAndConversion!$AV$4:$AV$387,0),2),"-"))</f>
        <v>-</v>
      </c>
      <c r="CH207" s="378"/>
      <c r="CI207" s="487" t="str">
        <f t="shared" ca="1" si="123"/>
        <v>-</v>
      </c>
      <c r="CJ207" s="378" t="str">
        <f t="shared" ca="1" si="126"/>
        <v>-</v>
      </c>
      <c r="CK207" s="378" t="str">
        <f t="shared" ca="1" si="126"/>
        <v>-</v>
      </c>
      <c r="CL207" s="378" t="str">
        <f t="shared" ca="1" si="126"/>
        <v>-</v>
      </c>
      <c r="CM207" s="378" t="str">
        <f t="shared" ca="1" si="126"/>
        <v>-</v>
      </c>
      <c r="CN207" s="378" t="str">
        <f t="shared" ca="1" si="126"/>
        <v>-</v>
      </c>
      <c r="CO207" s="378" t="str">
        <f t="shared" ca="1" si="126"/>
        <v>-</v>
      </c>
      <c r="CP207" s="378" t="str">
        <f t="shared" ca="1" si="126"/>
        <v>-</v>
      </c>
      <c r="CQ207" s="378" t="str">
        <f t="shared" ca="1" si="126"/>
        <v>-</v>
      </c>
      <c r="CR207" s="510" t="str">
        <f ca="1">IFERROR(IF(LEFT(BW207,3)="Poo",INDEX($BE$4:$BJ$99,MATCH(CI207,$BG$4:$BG$99,0),6)*((15/50))*Calculation!$AK$6,INDEX(Calculation_Tab,MATCH(BV207,Identifier,0),10)/(IF(LEN(INDEX(Calculation_Tab,MATCH(BV207,Identifier,0),9))&gt;8,LEN(INDEX(Calculation_Tab,MATCH(BV207,Identifier,0),9))-8,1))*((15/50)*Calculation!$AK$6)),"-")</f>
        <v>-</v>
      </c>
      <c r="CS207" s="498" t="str">
        <f ca="1">IF(CI207="-","-",IF(COUNTIF($CI$3:CI207,CI207)&gt;1,0,IFERROR((35/50)*Calculation!$AK$6,"-")))</f>
        <v>-</v>
      </c>
    </row>
    <row r="208" spans="4:97" x14ac:dyDescent="0.5">
      <c r="D208" s="487" t="e">
        <f t="shared" si="109"/>
        <v>#DIV/0!</v>
      </c>
      <c r="E208" s="496" t="e">
        <f t="array" ref="E208">IF(IF((ROW(E208)-3)&lt;(ListAndConversion!$A$15),INDEX(Flow_Cell_Lane,MIN(IF(COUNTIF($E$2:E207,Flow_Cell_Lane)=0,ROW(Flow_Cell_Lane)-9))),"-")="","-",IF((ROW(E208)-3)&lt;(ListAndConversion!$A$15),INDEX(Flow_Cell_Lane,MIN(IF(COUNTIF($E$2:E207,Flow_Cell_Lane)=0,ROW(Flow_Cell_Lane)-9))),"-"))</f>
        <v>#DIV/0!</v>
      </c>
      <c r="F208" s="378" t="e">
        <f t="shared" si="110"/>
        <v>#DIV/0!</v>
      </c>
      <c r="G208" s="378" t="e">
        <f t="shared" si="125"/>
        <v>#DIV/0!</v>
      </c>
      <c r="H208" s="378" t="e">
        <f t="shared" si="125"/>
        <v>#DIV/0!</v>
      </c>
      <c r="I208" s="378" t="e">
        <f t="shared" si="125"/>
        <v>#DIV/0!</v>
      </c>
      <c r="J208" s="378" t="e">
        <f t="shared" si="125"/>
        <v>#DIV/0!</v>
      </c>
      <c r="K208" s="378" t="e">
        <f t="shared" si="125"/>
        <v>#DIV/0!</v>
      </c>
      <c r="L208" s="378" t="e">
        <f t="shared" si="125"/>
        <v>#DIV/0!</v>
      </c>
      <c r="M208" s="378" t="e">
        <f t="shared" si="125"/>
        <v>#DIV/0!</v>
      </c>
      <c r="N208" s="497" t="e">
        <f t="shared" si="111"/>
        <v>#DIV/0!</v>
      </c>
      <c r="O208" s="497" t="str">
        <f t="array" ref="O208">IFERROR(INDEX(Calculation!I:AN,MATCH(ListAndConversion!E208,Calculation!I:I,0),31),"-")</f>
        <v>-</v>
      </c>
      <c r="P208" s="498">
        <f>IF(COUNTIFS(Calculation!$I$10:$I$393,E208,Direct_Denaturation,"-")&lt;&gt;1,COUNTIFS(Calculation!$I$10:$I$393,E208,Direct_Denaturation,"-"),0)</f>
        <v>0</v>
      </c>
      <c r="V208" s="542" t="s">
        <v>82</v>
      </c>
      <c r="W208" s="542" t="s">
        <v>82</v>
      </c>
      <c r="X208" s="542" t="s">
        <v>82</v>
      </c>
      <c r="Y208" s="542" t="s">
        <v>82</v>
      </c>
      <c r="Z208" s="542" t="s">
        <v>82</v>
      </c>
      <c r="AA208" s="542" t="s">
        <v>82</v>
      </c>
      <c r="AB208" s="542" t="s">
        <v>82</v>
      </c>
      <c r="AC208" s="542" t="s">
        <v>82</v>
      </c>
      <c r="AD208" s="542" t="s">
        <v>82</v>
      </c>
      <c r="AE208" s="542" t="s">
        <v>82</v>
      </c>
      <c r="AF208" s="542" t="s">
        <v>82</v>
      </c>
      <c r="AG208" s="542" t="s">
        <v>82</v>
      </c>
      <c r="AH208" s="9"/>
      <c r="AI208" s="487">
        <v>205</v>
      </c>
      <c r="AJ208" s="497" t="s">
        <v>162</v>
      </c>
      <c r="AK208" s="378">
        <v>13</v>
      </c>
      <c r="AL208" s="378" t="str">
        <f t="shared" ca="1" si="112"/>
        <v>-</v>
      </c>
      <c r="AM208" s="378" t="str">
        <f t="array" aca="1" ref="AM208" ca="1">IFERROR(IF(AI208&lt;=$AB$2,"-",INDEX(Calculation_Tab,SMALL(ROW(Main_Dil)*(Main_Dil&lt;&gt;"-"),COUNTIF(Main_Dil,"-")+ROW()-3-$AB$2)-9,5)),"-")</f>
        <v>-</v>
      </c>
      <c r="AN208" s="378" t="str">
        <f t="array" aca="1" ref="AN208" ca="1">IFERROR(IF(AI208&lt;=$AB$2,"-",INDEX($A$3:$B$12,MATCH(INDEX(Calculation_Tab,SMALL(ROW(Main_Dil)*(Main_Dil&lt;&gt;"-"),COUNTIF(Main_Dil,"-")+ROW()-3-$AB$2)-9,5),$A$3:$A$12,0),2)),"-")</f>
        <v>-</v>
      </c>
      <c r="AO208" s="378" t="str">
        <f t="array" aca="1" ref="AO208" ca="1">IFERROR(IF(AI208&lt;=$AB$2,"-",INDEX(Coordinate,MATCH(INDEX(Calculation_Tab,SMALL(ROW(Main_Dil)*(Main_Dil&lt;&gt;"-"),COUNTIF(Main_Dil,"-")+ROW()-3-$AB$2)-9,6),$X$4:$X$99,0),2)),"-")</f>
        <v>-</v>
      </c>
      <c r="AP208" s="510" t="str">
        <f t="array" aca="1" ref="AP208" ca="1">IFERROR(IF(AI208&lt;=$AB$2,"-",INDEX(Calculation_Tab,SMALL(ROW(Main_Dil)*(Main_Dil&lt;&gt;"-"),COUNTIF(Main_Dil,"-")+ROW()-3-$AB$2)-9,21)),"-")</f>
        <v>-</v>
      </c>
      <c r="AQ208" s="511" t="str">
        <f t="array" aca="1" ref="AQ208" ca="1">IFERROR(IF(AI208&lt;=$AB$2,"-",INDEX(Calculation_Tab,SMALL(ROW(Main_Dil)*(Main_Dil&lt;&gt;"-"),COUNTIF(Main_Dil,"-")+ROW()-3-$AB$2)-9,22)),"-")</f>
        <v>-</v>
      </c>
      <c r="AR208" s="487" t="str">
        <f t="shared" ca="1" si="113"/>
        <v>-</v>
      </c>
      <c r="AS208" s="378">
        <v>205</v>
      </c>
      <c r="AT208" s="497" t="s">
        <v>162</v>
      </c>
      <c r="AU208" s="498">
        <v>13</v>
      </c>
      <c r="AV208" s="378" t="str">
        <f t="shared" ca="1" si="114"/>
        <v>-</v>
      </c>
      <c r="AW208" s="378" t="str">
        <f t="array" aca="1" ref="AW208" ca="1">IFERROR(IF(AS208&lt;=$AB$2+$AN$2,"-",INDEX(Calculation_Tab,SMALL(ROW(Direct_Denaturation)*(Direct_Denaturation&lt;&gt;"-"),COUNTIF(Direct_Denaturation,"-")+ROW()-3-$AB$2-$AN$2)-9,5)),"-")</f>
        <v>-</v>
      </c>
      <c r="AX208" s="378" t="str">
        <f t="array" aca="1" ref="AX208" ca="1">IFERROR(IF(AS208&lt;=$AB$2+$AN$2,"-",INDEX($A$3:$B$12,MATCH(INDEX(Calculation_Tab,SMALL(ROW(Direct_Denaturation)*(Direct_Denaturation&lt;&gt;"-"),COUNTIF(Direct_Denaturation,"-")+ROW()-3-$AB$2-$AN$2)-9,5),$A$3:$A$12,0),2)),"-")</f>
        <v>-</v>
      </c>
      <c r="AY208" s="378" t="str">
        <f t="array" aca="1" ref="AY208" ca="1">IFERROR(IF(AS208&lt;=$AB$2+$AN$2,"-",INDEX(Coordinate,MATCH(INDEX(Calculation_Tab,SMALL(ROW(Direct_Denaturation)*(Direct_Denaturation&lt;&gt;"-"),COUNTIF(Direct_Denaturation,"-")+ROW()-3-$AB$2-$AN$2)-9,6),$X$4:$X$99,0),2)),"-")</f>
        <v>-</v>
      </c>
      <c r="AZ208" s="510" t="str">
        <f t="array" aca="1" ref="AZ208" ca="1">IFERROR(IF(AS208&lt;=$AB$2+$AN$2,"-",INDEX(Calculation_Tab,SMALL(ROW(Direct_Denaturation)*(Direct_Denaturation&lt;&gt;"-"),COUNTIF(Direct_Denaturation,"-")+ROW()-3-$AB$2-$AN$2)-9,32)),"-")</f>
        <v>-</v>
      </c>
      <c r="BA208" s="510" t="str">
        <f t="array" aca="1" ref="BA208" ca="1">IFERROR(IF(AS208&lt;=$AB$2+$AN$2,"-",INDEX(Calculation_Tab,SMALL(ROW(Direct_Denaturation)*(Direct_Denaturation&lt;&gt;"-"),COUNTIF(Direct_Denaturation,"-")+ROW()-3-$AB$2-$AN$2)-9,34)),"-")</f>
        <v>-</v>
      </c>
      <c r="BB208" s="510" t="str">
        <f t="array" aca="1" ref="BB208" ca="1">IFERROR(IF(AS208&lt;=$AB$2+$AN$2,"-",INDEX(Calculation_Tab,SMALL(ROW(Direct_Denaturation)*(Direct_Denaturation&lt;&gt;"-"),COUNTIF(Direct_Denaturation,"-")+ROW()-3-$AB$2-$AN$2)-9,33)),"-")</f>
        <v>-</v>
      </c>
      <c r="BC208" s="510" t="str">
        <f t="array" aca="1" ref="BC208" ca="1">IFERROR(IF(AS208&lt;=$AB$2+$AN$2,"-",INDEX(Calculation_Tab,SMALL(ROW(Direct_Denaturation)*(Direct_Denaturation&lt;&gt;"-"),COUNTIF(Direct_Denaturation,"-")+ROW()-3-$AB$2-$AN$2)-9,35)),"-")</f>
        <v>-</v>
      </c>
      <c r="BD208" s="511" t="str">
        <f t="shared" ca="1" si="115"/>
        <v>-</v>
      </c>
      <c r="BK208" s="542" t="s">
        <v>82</v>
      </c>
      <c r="BL208" s="542" t="s">
        <v>82</v>
      </c>
      <c r="BM208" s="487" t="str">
        <f t="array" aca="1" ref="BM208" ca="1">IFERROR(INDEX(Calculation_Tab,SMALL(ROW(ToPool)*(ToPool&lt;&gt;"-"),COUNTIF(ToPool,"-")+ROW()-3)-9,3),"-")</f>
        <v>-</v>
      </c>
      <c r="BN208" s="378" t="str">
        <f t="shared" ca="1" si="116"/>
        <v>-</v>
      </c>
      <c r="BO208" s="378" t="str">
        <f t="shared" ca="1" si="117"/>
        <v>-</v>
      </c>
      <c r="BP208" s="523" t="str">
        <f t="shared" ca="1" si="118"/>
        <v>-</v>
      </c>
      <c r="BQ208" s="378" t="str">
        <f t="array" aca="1" ref="BQ208" ca="1">IFERROR(INDEX(BE:BG,MATCH(INDEX(Calculation_Tab,SMALL(ROW(ToPool)*(ToPool&lt;&gt;"-"),COUNTIF(ToPool,"-")+ROW()-3)-9,9),BG:BG,0),2),"-")</f>
        <v>-</v>
      </c>
      <c r="BR208" s="510" t="str">
        <f t="shared" ca="1" si="119"/>
        <v>-</v>
      </c>
      <c r="BS208" s="511" t="str">
        <f t="shared" ca="1" si="120"/>
        <v>-</v>
      </c>
      <c r="BT208" s="543" t="s">
        <v>82</v>
      </c>
      <c r="BU208" s="487" t="str">
        <f t="shared" ca="1" si="124"/>
        <v>-</v>
      </c>
      <c r="BV208" s="487" t="str">
        <f t="array" aca="1" ref="BV20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08" s="378" t="str">
        <f t="shared" ca="1" si="121"/>
        <v>-</v>
      </c>
      <c r="BX208" s="378" t="str">
        <f t="shared" ca="1" si="122"/>
        <v>-</v>
      </c>
      <c r="BY208" s="510" t="str">
        <f ca="1">IFERROR(ROUND(INDEX(Cluster,MATCH(IF(LEFT(BV208,4)="Pool",INDEX(Cluster,MATCH(INDEX(Calculation_Tab,MATCH(INDEX($BE$4:$BJ$99,MATCH(BV208,$BE$4:$BE$99,0),3),Flow_Cell_Lane,0),3),Cluster!$F$29:$F$412,0),6),BV208),Identifier_Cluster,0),19)*IF(LEFT(BV208,4)="pool",IF(LEN(INDEX($BE$4:$BJ$99,MATCH(BV208,$BE$4:$BE$99,0),3))=10,2,IF(LEN(INDEX($BE$4:$BJ$99,MATCH(BV208,$BE$4:$BE$99,0),3))&gt;10,LEN(INDEX($BE$4:$BJ$99,MATCH(BV208,$BE$4:$BE$99,0),3))-8,1)),1)*IF(LEFT(BV208,4)="pool",IF(INDEX($BE$4:$BJ$99,MATCH(BV208,$BE$4:$BE$99,0),6)&lt;1,1,INDEX($BE$4:$BJ$99,MATCH(BV208,$BE$4:$BE$99,0),6)),INDEX(Calculation_Tab,MATCH(BV208,Identifier,0),10)),1)*(1+Calculation!$Q$6),"-")</f>
        <v>-</v>
      </c>
      <c r="BZ208" s="378" t="str">
        <f ca="1">IFERROR((0.5/50)*CE208/Calculation!$AG$6*(IF(LEFT(BV208,4)="Pool",IF(LEN(INDEX($BE$4:$BJ$99,MATCH(BV208,$BE$4:$BE$99,0),3))=10,2,IF(LEN(INDEX($BE$4:$BJ$99,MATCH(BV208,$BE$4:$BE$99,0),3))&gt;10,LEN(INDEX($BE$4:$BJ$99,MATCH(BV208,$BE$4:$BE$99,0),3))-8,1)),IF(INDEX(Calculation_Tab,MATCH(BV208,Identifier,0),10)&gt;1,INDEX(Calculation_Tab,MATCH(BV208,Identifier,0),10),1)))*(1+Calculation!$Q$6),"-")</f>
        <v>-</v>
      </c>
      <c r="CA208" s="510" t="str">
        <f ca="1">IFERROR(IF((BZ208*Calculation!$AG$6/0.05)-SUM(BY208:BZ208,CC208)&gt;0,(BZ208*Calculation!$AG$6/0.05)-SUM(BY208:BZ208,CC208),0),"-")</f>
        <v>-</v>
      </c>
      <c r="CB208" s="510" t="str">
        <f ca="1">IFERROR(5/50*CE208*(IF(LEFT(BV208,4)="Pool",IF(LEN(INDEX($BE$4:$BJ$99,MATCH(BV208,$BE$4:$BE$99,0),3))=10,2,IF(LEN(INDEX($BE$4:$BJ$99,MATCH(BV208,$BE$4:$BE$99,0),3))&gt;10,LEN(INDEX($BE$4:$BJ$99,MATCH(BV208,$BE$4:$BE$99,0),3))-8,1)),IF(INDEX(Calculation_Tab,MATCH(BV208,Identifier,0),10)&gt;1,INDEX(Calculation_Tab,MATCH(BV208,Identifier,0),10),1)))*(1+Calculation!$Q$6),"-")</f>
        <v>-</v>
      </c>
      <c r="CC208" s="508" t="str">
        <f ca="1">IFERROR(ROUND(INDEX(Cluster,MATCH(IF(LEFT(BV208,4)="Pool",INDEX(Cluster,MATCH(INDEX(Calculation_Tab,MATCH(INDEX($BE$4:$BJ$99,MATCH(BV208,$BE$4:$BE$99,0),3),Flow_Cell_Lane,0),3),Cluster!$F$29:$F$412,0),6),BV208),Identifier_Cluster,0),20)*IF(LEFT(BV208,4)="pool",IF(LEN(INDEX($BE$4:$BJ$99,MATCH(BV208,$BE$4:$BE$99,0),3))=10,2,IF(LEN(INDEX($BE$4:$BJ$99,MATCH(BV208,$BE$4:$BE$99,0),3))&gt;10,LEN(INDEX($BE$4:$BJ$99,MATCH(BV208,$BE$4:$BE$99,0),3))-8,1)),1)*IF(LEFT(BV208,4)="pool",IF(INDEX($BE$4:$BJ$99,MATCH(BV208,$BE$4:$BE$99,0),6)&lt;1,1,INDEX($BE$4:$BJ$99,MATCH(BV208,$BE$4:$BE$99,0),6)),INDEX(Calculation_Tab,MATCH(BV208,Identifier,0),10)),1)*(1+Calculation!$Q$6),"-")</f>
        <v>-</v>
      </c>
      <c r="CD208" s="509" t="str">
        <f ca="1">IFERROR(INDEX(Cluster!AC:AD,MATCH(IF(LEFT(BV208,4)="Pool",INDEX(Cluster!$D$29:$AA$412,MATCH(INDEX(Calculation_Tab,MATCH(INDEX($BE$4:$BJ$99,MATCH(BV208,$BE$4:$BE$99,0),3),Flow_Cell_Lane,0),3),Cluster!$F$29:$F$412,0),24),INDEX(Cluster!$D$29:$AA$412,MATCH(BV208,Cluster!$F$29:$F$412,0),24)),Cluster!AC:AC,0),2),"-")</f>
        <v>-</v>
      </c>
      <c r="CE208" s="378" t="str">
        <f ca="1">IFERROR(IF(BV208&lt;&gt;"-",Calculation!$AK$6,"-"),"-")</f>
        <v>-</v>
      </c>
      <c r="CF208" s="378" t="str">
        <f ca="1">IF(OR(LEFT(ListAndConversion!BW208,3)="Dil",LEFT(ListAndConversion!BW208,3)="Poo"),ListAndConversion!$BT$4,IF(LEFT(ListAndConversion!BW208,3)="Sou",INDEX(ListAndConversion!$AT$3:$AV$387,MATCH(ListAndConversion!BV208,ListAndConversion!$AV$3:$AV$387,0),1),"-"))</f>
        <v>-</v>
      </c>
      <c r="CG208" s="498" t="str">
        <f ca="1">IF(OR(LEFT(ListAndConversion!BW208,3)="Dil",LEFT(ListAndConversion!BW208,3)="Poo"),ListAndConversion!BU208,IF(LEFT(ListAndConversion!BW208,3)="Sou",INDEX(ListAndConversion!$AT$4:$AV$387,MATCH(ListAndConversion!BV208,ListAndConversion!$AV$4:$AV$387,0),2),"-"))</f>
        <v>-</v>
      </c>
      <c r="CH208" s="378"/>
      <c r="CI208" s="487" t="str">
        <f t="shared" ca="1" si="123"/>
        <v>-</v>
      </c>
      <c r="CJ208" s="378" t="str">
        <f t="shared" ca="1" si="126"/>
        <v>-</v>
      </c>
      <c r="CK208" s="378" t="str">
        <f t="shared" ca="1" si="126"/>
        <v>-</v>
      </c>
      <c r="CL208" s="378" t="str">
        <f t="shared" ca="1" si="126"/>
        <v>-</v>
      </c>
      <c r="CM208" s="378" t="str">
        <f t="shared" ca="1" si="126"/>
        <v>-</v>
      </c>
      <c r="CN208" s="378" t="str">
        <f t="shared" ca="1" si="126"/>
        <v>-</v>
      </c>
      <c r="CO208" s="378" t="str">
        <f t="shared" ca="1" si="126"/>
        <v>-</v>
      </c>
      <c r="CP208" s="378" t="str">
        <f t="shared" ca="1" si="126"/>
        <v>-</v>
      </c>
      <c r="CQ208" s="378" t="str">
        <f t="shared" ca="1" si="126"/>
        <v>-</v>
      </c>
      <c r="CR208" s="510" t="str">
        <f ca="1">IFERROR(IF(LEFT(BW208,3)="Poo",INDEX($BE$4:$BJ$99,MATCH(CI208,$BG$4:$BG$99,0),6)*((15/50))*Calculation!$AK$6,INDEX(Calculation_Tab,MATCH(BV208,Identifier,0),10)/(IF(LEN(INDEX(Calculation_Tab,MATCH(BV208,Identifier,0),9))&gt;8,LEN(INDEX(Calculation_Tab,MATCH(BV208,Identifier,0),9))-8,1))*((15/50)*Calculation!$AK$6)),"-")</f>
        <v>-</v>
      </c>
      <c r="CS208" s="498" t="str">
        <f ca="1">IF(CI208="-","-",IF(COUNTIF($CI$3:CI208,CI208)&gt;1,0,IFERROR((35/50)*Calculation!$AK$6,"-")))</f>
        <v>-</v>
      </c>
    </row>
    <row r="209" spans="4:97" x14ac:dyDescent="0.5">
      <c r="D209" s="487" t="e">
        <f t="shared" si="109"/>
        <v>#DIV/0!</v>
      </c>
      <c r="E209" s="496" t="e">
        <f t="array" ref="E209">IF(IF((ROW(E209)-3)&lt;(ListAndConversion!$A$15),INDEX(Flow_Cell_Lane,MIN(IF(COUNTIF($E$2:E208,Flow_Cell_Lane)=0,ROW(Flow_Cell_Lane)-9))),"-")="","-",IF((ROW(E209)-3)&lt;(ListAndConversion!$A$15),INDEX(Flow_Cell_Lane,MIN(IF(COUNTIF($E$2:E208,Flow_Cell_Lane)=0,ROW(Flow_Cell_Lane)-9))),"-"))</f>
        <v>#DIV/0!</v>
      </c>
      <c r="F209" s="378" t="e">
        <f t="shared" si="110"/>
        <v>#DIV/0!</v>
      </c>
      <c r="G209" s="378" t="e">
        <f t="shared" si="125"/>
        <v>#DIV/0!</v>
      </c>
      <c r="H209" s="378" t="e">
        <f t="shared" si="125"/>
        <v>#DIV/0!</v>
      </c>
      <c r="I209" s="378" t="e">
        <f t="shared" si="125"/>
        <v>#DIV/0!</v>
      </c>
      <c r="J209" s="378" t="e">
        <f t="shared" si="125"/>
        <v>#DIV/0!</v>
      </c>
      <c r="K209" s="378" t="e">
        <f t="shared" si="125"/>
        <v>#DIV/0!</v>
      </c>
      <c r="L209" s="378" t="e">
        <f t="shared" si="125"/>
        <v>#DIV/0!</v>
      </c>
      <c r="M209" s="378" t="e">
        <f t="shared" si="125"/>
        <v>#DIV/0!</v>
      </c>
      <c r="N209" s="497" t="e">
        <f t="shared" si="111"/>
        <v>#DIV/0!</v>
      </c>
      <c r="O209" s="497" t="str">
        <f t="array" ref="O209">IFERROR(INDEX(Calculation!I:AN,MATCH(ListAndConversion!E209,Calculation!I:I,0),31),"-")</f>
        <v>-</v>
      </c>
      <c r="P209" s="498">
        <f>IF(COUNTIFS(Calculation!$I$10:$I$393,E209,Direct_Denaturation,"-")&lt;&gt;1,COUNTIFS(Calculation!$I$10:$I$393,E209,Direct_Denaturation,"-"),0)</f>
        <v>0</v>
      </c>
      <c r="V209" s="542" t="s">
        <v>82</v>
      </c>
      <c r="W209" s="542" t="s">
        <v>82</v>
      </c>
      <c r="X209" s="542" t="s">
        <v>82</v>
      </c>
      <c r="Y209" s="542" t="s">
        <v>82</v>
      </c>
      <c r="Z209" s="542" t="s">
        <v>82</v>
      </c>
      <c r="AA209" s="542" t="s">
        <v>82</v>
      </c>
      <c r="AB209" s="542" t="s">
        <v>82</v>
      </c>
      <c r="AC209" s="542" t="s">
        <v>82</v>
      </c>
      <c r="AD209" s="542" t="s">
        <v>82</v>
      </c>
      <c r="AE209" s="542" t="s">
        <v>82</v>
      </c>
      <c r="AF209" s="542" t="s">
        <v>82</v>
      </c>
      <c r="AG209" s="542" t="s">
        <v>82</v>
      </c>
      <c r="AH209" s="9"/>
      <c r="AI209" s="487">
        <v>206</v>
      </c>
      <c r="AJ209" s="497" t="s">
        <v>162</v>
      </c>
      <c r="AK209" s="378">
        <v>14</v>
      </c>
      <c r="AL209" s="378" t="str">
        <f t="shared" ca="1" si="112"/>
        <v>-</v>
      </c>
      <c r="AM209" s="378" t="str">
        <f t="array" aca="1" ref="AM209" ca="1">IFERROR(IF(AI209&lt;=$AB$2,"-",INDEX(Calculation_Tab,SMALL(ROW(Main_Dil)*(Main_Dil&lt;&gt;"-"),COUNTIF(Main_Dil,"-")+ROW()-3-$AB$2)-9,5)),"-")</f>
        <v>-</v>
      </c>
      <c r="AN209" s="378" t="str">
        <f t="array" aca="1" ref="AN209" ca="1">IFERROR(IF(AI209&lt;=$AB$2,"-",INDEX($A$3:$B$12,MATCH(INDEX(Calculation_Tab,SMALL(ROW(Main_Dil)*(Main_Dil&lt;&gt;"-"),COUNTIF(Main_Dil,"-")+ROW()-3-$AB$2)-9,5),$A$3:$A$12,0),2)),"-")</f>
        <v>-</v>
      </c>
      <c r="AO209" s="378" t="str">
        <f t="array" aca="1" ref="AO209" ca="1">IFERROR(IF(AI209&lt;=$AB$2,"-",INDEX(Coordinate,MATCH(INDEX(Calculation_Tab,SMALL(ROW(Main_Dil)*(Main_Dil&lt;&gt;"-"),COUNTIF(Main_Dil,"-")+ROW()-3-$AB$2)-9,6),$X$4:$X$99,0),2)),"-")</f>
        <v>-</v>
      </c>
      <c r="AP209" s="510" t="str">
        <f t="array" aca="1" ref="AP209" ca="1">IFERROR(IF(AI209&lt;=$AB$2,"-",INDEX(Calculation_Tab,SMALL(ROW(Main_Dil)*(Main_Dil&lt;&gt;"-"),COUNTIF(Main_Dil,"-")+ROW()-3-$AB$2)-9,21)),"-")</f>
        <v>-</v>
      </c>
      <c r="AQ209" s="511" t="str">
        <f t="array" aca="1" ref="AQ209" ca="1">IFERROR(IF(AI209&lt;=$AB$2,"-",INDEX(Calculation_Tab,SMALL(ROW(Main_Dil)*(Main_Dil&lt;&gt;"-"),COUNTIF(Main_Dil,"-")+ROW()-3-$AB$2)-9,22)),"-")</f>
        <v>-</v>
      </c>
      <c r="AR209" s="487" t="str">
        <f t="shared" ca="1" si="113"/>
        <v>-</v>
      </c>
      <c r="AS209" s="378">
        <v>206</v>
      </c>
      <c r="AT209" s="497" t="s">
        <v>162</v>
      </c>
      <c r="AU209" s="498">
        <v>14</v>
      </c>
      <c r="AV209" s="378" t="str">
        <f t="shared" ca="1" si="114"/>
        <v>-</v>
      </c>
      <c r="AW209" s="378" t="str">
        <f t="array" aca="1" ref="AW209" ca="1">IFERROR(IF(AS209&lt;=$AB$2+$AN$2,"-",INDEX(Calculation_Tab,SMALL(ROW(Direct_Denaturation)*(Direct_Denaturation&lt;&gt;"-"),COUNTIF(Direct_Denaturation,"-")+ROW()-3-$AB$2-$AN$2)-9,5)),"-")</f>
        <v>-</v>
      </c>
      <c r="AX209" s="378" t="str">
        <f t="array" aca="1" ref="AX209" ca="1">IFERROR(IF(AS209&lt;=$AB$2+$AN$2,"-",INDEX($A$3:$B$12,MATCH(INDEX(Calculation_Tab,SMALL(ROW(Direct_Denaturation)*(Direct_Denaturation&lt;&gt;"-"),COUNTIF(Direct_Denaturation,"-")+ROW()-3-$AB$2-$AN$2)-9,5),$A$3:$A$12,0),2)),"-")</f>
        <v>-</v>
      </c>
      <c r="AY209" s="378" t="str">
        <f t="array" aca="1" ref="AY209" ca="1">IFERROR(IF(AS209&lt;=$AB$2+$AN$2,"-",INDEX(Coordinate,MATCH(INDEX(Calculation_Tab,SMALL(ROW(Direct_Denaturation)*(Direct_Denaturation&lt;&gt;"-"),COUNTIF(Direct_Denaturation,"-")+ROW()-3-$AB$2-$AN$2)-9,6),$X$4:$X$99,0),2)),"-")</f>
        <v>-</v>
      </c>
      <c r="AZ209" s="510" t="str">
        <f t="array" aca="1" ref="AZ209" ca="1">IFERROR(IF(AS209&lt;=$AB$2+$AN$2,"-",INDEX(Calculation_Tab,SMALL(ROW(Direct_Denaturation)*(Direct_Denaturation&lt;&gt;"-"),COUNTIF(Direct_Denaturation,"-")+ROW()-3-$AB$2-$AN$2)-9,32)),"-")</f>
        <v>-</v>
      </c>
      <c r="BA209" s="510" t="str">
        <f t="array" aca="1" ref="BA209" ca="1">IFERROR(IF(AS209&lt;=$AB$2+$AN$2,"-",INDEX(Calculation_Tab,SMALL(ROW(Direct_Denaturation)*(Direct_Denaturation&lt;&gt;"-"),COUNTIF(Direct_Denaturation,"-")+ROW()-3-$AB$2-$AN$2)-9,34)),"-")</f>
        <v>-</v>
      </c>
      <c r="BB209" s="510" t="str">
        <f t="array" aca="1" ref="BB209" ca="1">IFERROR(IF(AS209&lt;=$AB$2+$AN$2,"-",INDEX(Calculation_Tab,SMALL(ROW(Direct_Denaturation)*(Direct_Denaturation&lt;&gt;"-"),COUNTIF(Direct_Denaturation,"-")+ROW()-3-$AB$2-$AN$2)-9,33)),"-")</f>
        <v>-</v>
      </c>
      <c r="BC209" s="510" t="str">
        <f t="array" aca="1" ref="BC209" ca="1">IFERROR(IF(AS209&lt;=$AB$2+$AN$2,"-",INDEX(Calculation_Tab,SMALL(ROW(Direct_Denaturation)*(Direct_Denaturation&lt;&gt;"-"),COUNTIF(Direct_Denaturation,"-")+ROW()-3-$AB$2-$AN$2)-9,35)),"-")</f>
        <v>-</v>
      </c>
      <c r="BD209" s="511" t="str">
        <f t="shared" ca="1" si="115"/>
        <v>-</v>
      </c>
      <c r="BK209" s="542" t="s">
        <v>82</v>
      </c>
      <c r="BL209" s="542" t="s">
        <v>82</v>
      </c>
      <c r="BM209" s="487" t="str">
        <f t="array" aca="1" ref="BM209" ca="1">IFERROR(INDEX(Calculation_Tab,SMALL(ROW(ToPool)*(ToPool&lt;&gt;"-"),COUNTIF(ToPool,"-")+ROW()-3)-9,3),"-")</f>
        <v>-</v>
      </c>
      <c r="BN209" s="378" t="str">
        <f t="shared" ca="1" si="116"/>
        <v>-</v>
      </c>
      <c r="BO209" s="378" t="str">
        <f t="shared" ca="1" si="117"/>
        <v>-</v>
      </c>
      <c r="BP209" s="523" t="str">
        <f t="shared" ca="1" si="118"/>
        <v>-</v>
      </c>
      <c r="BQ209" s="378" t="str">
        <f t="array" aca="1" ref="BQ209" ca="1">IFERROR(INDEX(BE:BG,MATCH(INDEX(Calculation_Tab,SMALL(ROW(ToPool)*(ToPool&lt;&gt;"-"),COUNTIF(ToPool,"-")+ROW()-3)-9,9),BG:BG,0),2),"-")</f>
        <v>-</v>
      </c>
      <c r="BR209" s="510" t="str">
        <f t="shared" ca="1" si="119"/>
        <v>-</v>
      </c>
      <c r="BS209" s="511" t="str">
        <f t="shared" ca="1" si="120"/>
        <v>-</v>
      </c>
      <c r="BT209" s="543" t="s">
        <v>82</v>
      </c>
      <c r="BU209" s="487" t="str">
        <f t="shared" ca="1" si="124"/>
        <v>-</v>
      </c>
      <c r="BV209" s="487" t="str">
        <f t="array" aca="1" ref="BV20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09" s="378" t="str">
        <f t="shared" ca="1" si="121"/>
        <v>-</v>
      </c>
      <c r="BX209" s="378" t="str">
        <f t="shared" ca="1" si="122"/>
        <v>-</v>
      </c>
      <c r="BY209" s="510" t="str">
        <f ca="1">IFERROR(ROUND(INDEX(Cluster,MATCH(IF(LEFT(BV209,4)="Pool",INDEX(Cluster,MATCH(INDEX(Calculation_Tab,MATCH(INDEX($BE$4:$BJ$99,MATCH(BV209,$BE$4:$BE$99,0),3),Flow_Cell_Lane,0),3),Cluster!$F$29:$F$412,0),6),BV209),Identifier_Cluster,0),19)*IF(LEFT(BV209,4)="pool",IF(LEN(INDEX($BE$4:$BJ$99,MATCH(BV209,$BE$4:$BE$99,0),3))=10,2,IF(LEN(INDEX($BE$4:$BJ$99,MATCH(BV209,$BE$4:$BE$99,0),3))&gt;10,LEN(INDEX($BE$4:$BJ$99,MATCH(BV209,$BE$4:$BE$99,0),3))-8,1)),1)*IF(LEFT(BV209,4)="pool",IF(INDEX($BE$4:$BJ$99,MATCH(BV209,$BE$4:$BE$99,0),6)&lt;1,1,INDEX($BE$4:$BJ$99,MATCH(BV209,$BE$4:$BE$99,0),6)),INDEX(Calculation_Tab,MATCH(BV209,Identifier,0),10)),1)*(1+Calculation!$Q$6),"-")</f>
        <v>-</v>
      </c>
      <c r="BZ209" s="378" t="str">
        <f ca="1">IFERROR((0.5/50)*CE209/Calculation!$AG$6*(IF(LEFT(BV209,4)="Pool",IF(LEN(INDEX($BE$4:$BJ$99,MATCH(BV209,$BE$4:$BE$99,0),3))=10,2,IF(LEN(INDEX($BE$4:$BJ$99,MATCH(BV209,$BE$4:$BE$99,0),3))&gt;10,LEN(INDEX($BE$4:$BJ$99,MATCH(BV209,$BE$4:$BE$99,0),3))-8,1)),IF(INDEX(Calculation_Tab,MATCH(BV209,Identifier,0),10)&gt;1,INDEX(Calculation_Tab,MATCH(BV209,Identifier,0),10),1)))*(1+Calculation!$Q$6),"-")</f>
        <v>-</v>
      </c>
      <c r="CA209" s="510" t="str">
        <f ca="1">IFERROR(IF((BZ209*Calculation!$AG$6/0.05)-SUM(BY209:BZ209,CC209)&gt;0,(BZ209*Calculation!$AG$6/0.05)-SUM(BY209:BZ209,CC209),0),"-")</f>
        <v>-</v>
      </c>
      <c r="CB209" s="510" t="str">
        <f ca="1">IFERROR(5/50*CE209*(IF(LEFT(BV209,4)="Pool",IF(LEN(INDEX($BE$4:$BJ$99,MATCH(BV209,$BE$4:$BE$99,0),3))=10,2,IF(LEN(INDEX($BE$4:$BJ$99,MATCH(BV209,$BE$4:$BE$99,0),3))&gt;10,LEN(INDEX($BE$4:$BJ$99,MATCH(BV209,$BE$4:$BE$99,0),3))-8,1)),IF(INDEX(Calculation_Tab,MATCH(BV209,Identifier,0),10)&gt;1,INDEX(Calculation_Tab,MATCH(BV209,Identifier,0),10),1)))*(1+Calculation!$Q$6),"-")</f>
        <v>-</v>
      </c>
      <c r="CC209" s="508" t="str">
        <f ca="1">IFERROR(ROUND(INDEX(Cluster,MATCH(IF(LEFT(BV209,4)="Pool",INDEX(Cluster,MATCH(INDEX(Calculation_Tab,MATCH(INDEX($BE$4:$BJ$99,MATCH(BV209,$BE$4:$BE$99,0),3),Flow_Cell_Lane,0),3),Cluster!$F$29:$F$412,0),6),BV209),Identifier_Cluster,0),20)*IF(LEFT(BV209,4)="pool",IF(LEN(INDEX($BE$4:$BJ$99,MATCH(BV209,$BE$4:$BE$99,0),3))=10,2,IF(LEN(INDEX($BE$4:$BJ$99,MATCH(BV209,$BE$4:$BE$99,0),3))&gt;10,LEN(INDEX($BE$4:$BJ$99,MATCH(BV209,$BE$4:$BE$99,0),3))-8,1)),1)*IF(LEFT(BV209,4)="pool",IF(INDEX($BE$4:$BJ$99,MATCH(BV209,$BE$4:$BE$99,0),6)&lt;1,1,INDEX($BE$4:$BJ$99,MATCH(BV209,$BE$4:$BE$99,0),6)),INDEX(Calculation_Tab,MATCH(BV209,Identifier,0),10)),1)*(1+Calculation!$Q$6),"-")</f>
        <v>-</v>
      </c>
      <c r="CD209" s="509" t="str">
        <f ca="1">IFERROR(INDEX(Cluster!AC:AD,MATCH(IF(LEFT(BV209,4)="Pool",INDEX(Cluster!$D$29:$AA$412,MATCH(INDEX(Calculation_Tab,MATCH(INDEX($BE$4:$BJ$99,MATCH(BV209,$BE$4:$BE$99,0),3),Flow_Cell_Lane,0),3),Cluster!$F$29:$F$412,0),24),INDEX(Cluster!$D$29:$AA$412,MATCH(BV209,Cluster!$F$29:$F$412,0),24)),Cluster!AC:AC,0),2),"-")</f>
        <v>-</v>
      </c>
      <c r="CE209" s="378" t="str">
        <f ca="1">IFERROR(IF(BV209&lt;&gt;"-",Calculation!$AK$6,"-"),"-")</f>
        <v>-</v>
      </c>
      <c r="CF209" s="378" t="str">
        <f ca="1">IF(OR(LEFT(ListAndConversion!BW209,3)="Dil",LEFT(ListAndConversion!BW209,3)="Poo"),ListAndConversion!$BT$4,IF(LEFT(ListAndConversion!BW209,3)="Sou",INDEX(ListAndConversion!$AT$3:$AV$387,MATCH(ListAndConversion!BV209,ListAndConversion!$AV$3:$AV$387,0),1),"-"))</f>
        <v>-</v>
      </c>
      <c r="CG209" s="498" t="str">
        <f ca="1">IF(OR(LEFT(ListAndConversion!BW209,3)="Dil",LEFT(ListAndConversion!BW209,3)="Poo"),ListAndConversion!BU209,IF(LEFT(ListAndConversion!BW209,3)="Sou",INDEX(ListAndConversion!$AT$4:$AV$387,MATCH(ListAndConversion!BV209,ListAndConversion!$AV$4:$AV$387,0),2),"-"))</f>
        <v>-</v>
      </c>
      <c r="CH209" s="378"/>
      <c r="CI209" s="487" t="str">
        <f t="shared" ca="1" si="123"/>
        <v>-</v>
      </c>
      <c r="CJ209" s="378" t="str">
        <f t="shared" ca="1" si="126"/>
        <v>-</v>
      </c>
      <c r="CK209" s="378" t="str">
        <f t="shared" ca="1" si="126"/>
        <v>-</v>
      </c>
      <c r="CL209" s="378" t="str">
        <f t="shared" ca="1" si="126"/>
        <v>-</v>
      </c>
      <c r="CM209" s="378" t="str">
        <f t="shared" ca="1" si="126"/>
        <v>-</v>
      </c>
      <c r="CN209" s="378" t="str">
        <f t="shared" ca="1" si="126"/>
        <v>-</v>
      </c>
      <c r="CO209" s="378" t="str">
        <f t="shared" ca="1" si="126"/>
        <v>-</v>
      </c>
      <c r="CP209" s="378" t="str">
        <f t="shared" ca="1" si="126"/>
        <v>-</v>
      </c>
      <c r="CQ209" s="378" t="str">
        <f t="shared" ca="1" si="126"/>
        <v>-</v>
      </c>
      <c r="CR209" s="510" t="str">
        <f ca="1">IFERROR(IF(LEFT(BW209,3)="Poo",INDEX($BE$4:$BJ$99,MATCH(CI209,$BG$4:$BG$99,0),6)*((15/50))*Calculation!$AK$6,INDEX(Calculation_Tab,MATCH(BV209,Identifier,0),10)/(IF(LEN(INDEX(Calculation_Tab,MATCH(BV209,Identifier,0),9))&gt;8,LEN(INDEX(Calculation_Tab,MATCH(BV209,Identifier,0),9))-8,1))*((15/50)*Calculation!$AK$6)),"-")</f>
        <v>-</v>
      </c>
      <c r="CS209" s="498" t="str">
        <f ca="1">IF(CI209="-","-",IF(COUNTIF($CI$3:CI209,CI209)&gt;1,0,IFERROR((35/50)*Calculation!$AK$6,"-")))</f>
        <v>-</v>
      </c>
    </row>
    <row r="210" spans="4:97" x14ac:dyDescent="0.5">
      <c r="D210" s="487" t="e">
        <f t="shared" si="109"/>
        <v>#DIV/0!</v>
      </c>
      <c r="E210" s="496" t="e">
        <f t="array" ref="E210">IF(IF((ROW(E210)-3)&lt;(ListAndConversion!$A$15),INDEX(Flow_Cell_Lane,MIN(IF(COUNTIF($E$2:E209,Flow_Cell_Lane)=0,ROW(Flow_Cell_Lane)-9))),"-")="","-",IF((ROW(E210)-3)&lt;(ListAndConversion!$A$15),INDEX(Flow_Cell_Lane,MIN(IF(COUNTIF($E$2:E209,Flow_Cell_Lane)=0,ROW(Flow_Cell_Lane)-9))),"-"))</f>
        <v>#DIV/0!</v>
      </c>
      <c r="F210" s="378" t="e">
        <f t="shared" si="110"/>
        <v>#DIV/0!</v>
      </c>
      <c r="G210" s="378" t="e">
        <f t="shared" si="125"/>
        <v>#DIV/0!</v>
      </c>
      <c r="H210" s="378" t="e">
        <f t="shared" si="125"/>
        <v>#DIV/0!</v>
      </c>
      <c r="I210" s="378" t="e">
        <f t="shared" si="125"/>
        <v>#DIV/0!</v>
      </c>
      <c r="J210" s="378" t="e">
        <f t="shared" si="125"/>
        <v>#DIV/0!</v>
      </c>
      <c r="K210" s="378" t="e">
        <f t="shared" si="125"/>
        <v>#DIV/0!</v>
      </c>
      <c r="L210" s="378" t="e">
        <f t="shared" si="125"/>
        <v>#DIV/0!</v>
      </c>
      <c r="M210" s="378" t="e">
        <f t="shared" si="125"/>
        <v>#DIV/0!</v>
      </c>
      <c r="N210" s="497" t="e">
        <f t="shared" si="111"/>
        <v>#DIV/0!</v>
      </c>
      <c r="O210" s="497" t="str">
        <f t="array" ref="O210">IFERROR(INDEX(Calculation!I:AN,MATCH(ListAndConversion!E210,Calculation!I:I,0),31),"-")</f>
        <v>-</v>
      </c>
      <c r="P210" s="498">
        <f>IF(COUNTIFS(Calculation!$I$10:$I$393,E210,Direct_Denaturation,"-")&lt;&gt;1,COUNTIFS(Calculation!$I$10:$I$393,E210,Direct_Denaturation,"-"),0)</f>
        <v>0</v>
      </c>
      <c r="V210" s="542" t="s">
        <v>82</v>
      </c>
      <c r="W210" s="542" t="s">
        <v>82</v>
      </c>
      <c r="X210" s="542" t="s">
        <v>82</v>
      </c>
      <c r="Y210" s="542" t="s">
        <v>82</v>
      </c>
      <c r="Z210" s="542" t="s">
        <v>82</v>
      </c>
      <c r="AA210" s="542" t="s">
        <v>82</v>
      </c>
      <c r="AB210" s="542" t="s">
        <v>82</v>
      </c>
      <c r="AC210" s="542" t="s">
        <v>82</v>
      </c>
      <c r="AD210" s="542" t="s">
        <v>82</v>
      </c>
      <c r="AE210" s="542" t="s">
        <v>82</v>
      </c>
      <c r="AF210" s="542" t="s">
        <v>82</v>
      </c>
      <c r="AG210" s="542" t="s">
        <v>82</v>
      </c>
      <c r="AH210" s="9"/>
      <c r="AI210" s="487">
        <v>207</v>
      </c>
      <c r="AJ210" s="497" t="s">
        <v>162</v>
      </c>
      <c r="AK210" s="378">
        <v>15</v>
      </c>
      <c r="AL210" s="378" t="str">
        <f t="shared" ca="1" si="112"/>
        <v>-</v>
      </c>
      <c r="AM210" s="378" t="str">
        <f t="array" aca="1" ref="AM210" ca="1">IFERROR(IF(AI210&lt;=$AB$2,"-",INDEX(Calculation_Tab,SMALL(ROW(Main_Dil)*(Main_Dil&lt;&gt;"-"),COUNTIF(Main_Dil,"-")+ROW()-3-$AB$2)-9,5)),"-")</f>
        <v>-</v>
      </c>
      <c r="AN210" s="378" t="str">
        <f t="array" aca="1" ref="AN210" ca="1">IFERROR(IF(AI210&lt;=$AB$2,"-",INDEX($A$3:$B$12,MATCH(INDEX(Calculation_Tab,SMALL(ROW(Main_Dil)*(Main_Dil&lt;&gt;"-"),COUNTIF(Main_Dil,"-")+ROW()-3-$AB$2)-9,5),$A$3:$A$12,0),2)),"-")</f>
        <v>-</v>
      </c>
      <c r="AO210" s="378" t="str">
        <f t="array" aca="1" ref="AO210" ca="1">IFERROR(IF(AI210&lt;=$AB$2,"-",INDEX(Coordinate,MATCH(INDEX(Calculation_Tab,SMALL(ROW(Main_Dil)*(Main_Dil&lt;&gt;"-"),COUNTIF(Main_Dil,"-")+ROW()-3-$AB$2)-9,6),$X$4:$X$99,0),2)),"-")</f>
        <v>-</v>
      </c>
      <c r="AP210" s="510" t="str">
        <f t="array" aca="1" ref="AP210" ca="1">IFERROR(IF(AI210&lt;=$AB$2,"-",INDEX(Calculation_Tab,SMALL(ROW(Main_Dil)*(Main_Dil&lt;&gt;"-"),COUNTIF(Main_Dil,"-")+ROW()-3-$AB$2)-9,21)),"-")</f>
        <v>-</v>
      </c>
      <c r="AQ210" s="511" t="str">
        <f t="array" aca="1" ref="AQ210" ca="1">IFERROR(IF(AI210&lt;=$AB$2,"-",INDEX(Calculation_Tab,SMALL(ROW(Main_Dil)*(Main_Dil&lt;&gt;"-"),COUNTIF(Main_Dil,"-")+ROW()-3-$AB$2)-9,22)),"-")</f>
        <v>-</v>
      </c>
      <c r="AR210" s="487" t="str">
        <f t="shared" ca="1" si="113"/>
        <v>-</v>
      </c>
      <c r="AS210" s="378">
        <v>207</v>
      </c>
      <c r="AT210" s="497" t="s">
        <v>162</v>
      </c>
      <c r="AU210" s="498">
        <v>15</v>
      </c>
      <c r="AV210" s="378" t="str">
        <f t="shared" ca="1" si="114"/>
        <v>-</v>
      </c>
      <c r="AW210" s="378" t="str">
        <f t="array" aca="1" ref="AW210" ca="1">IFERROR(IF(AS210&lt;=$AB$2+$AN$2,"-",INDEX(Calculation_Tab,SMALL(ROW(Direct_Denaturation)*(Direct_Denaturation&lt;&gt;"-"),COUNTIF(Direct_Denaturation,"-")+ROW()-3-$AB$2-$AN$2)-9,5)),"-")</f>
        <v>-</v>
      </c>
      <c r="AX210" s="378" t="str">
        <f t="array" aca="1" ref="AX210" ca="1">IFERROR(IF(AS210&lt;=$AB$2+$AN$2,"-",INDEX($A$3:$B$12,MATCH(INDEX(Calculation_Tab,SMALL(ROW(Direct_Denaturation)*(Direct_Denaturation&lt;&gt;"-"),COUNTIF(Direct_Denaturation,"-")+ROW()-3-$AB$2-$AN$2)-9,5),$A$3:$A$12,0),2)),"-")</f>
        <v>-</v>
      </c>
      <c r="AY210" s="378" t="str">
        <f t="array" aca="1" ref="AY210" ca="1">IFERROR(IF(AS210&lt;=$AB$2+$AN$2,"-",INDEX(Coordinate,MATCH(INDEX(Calculation_Tab,SMALL(ROW(Direct_Denaturation)*(Direct_Denaturation&lt;&gt;"-"),COUNTIF(Direct_Denaturation,"-")+ROW()-3-$AB$2-$AN$2)-9,6),$X$4:$X$99,0),2)),"-")</f>
        <v>-</v>
      </c>
      <c r="AZ210" s="510" t="str">
        <f t="array" aca="1" ref="AZ210" ca="1">IFERROR(IF(AS210&lt;=$AB$2+$AN$2,"-",INDEX(Calculation_Tab,SMALL(ROW(Direct_Denaturation)*(Direct_Denaturation&lt;&gt;"-"),COUNTIF(Direct_Denaturation,"-")+ROW()-3-$AB$2-$AN$2)-9,32)),"-")</f>
        <v>-</v>
      </c>
      <c r="BA210" s="510" t="str">
        <f t="array" aca="1" ref="BA210" ca="1">IFERROR(IF(AS210&lt;=$AB$2+$AN$2,"-",INDEX(Calculation_Tab,SMALL(ROW(Direct_Denaturation)*(Direct_Denaturation&lt;&gt;"-"),COUNTIF(Direct_Denaturation,"-")+ROW()-3-$AB$2-$AN$2)-9,34)),"-")</f>
        <v>-</v>
      </c>
      <c r="BB210" s="510" t="str">
        <f t="array" aca="1" ref="BB210" ca="1">IFERROR(IF(AS210&lt;=$AB$2+$AN$2,"-",INDEX(Calculation_Tab,SMALL(ROW(Direct_Denaturation)*(Direct_Denaturation&lt;&gt;"-"),COUNTIF(Direct_Denaturation,"-")+ROW()-3-$AB$2-$AN$2)-9,33)),"-")</f>
        <v>-</v>
      </c>
      <c r="BC210" s="510" t="str">
        <f t="array" aca="1" ref="BC210" ca="1">IFERROR(IF(AS210&lt;=$AB$2+$AN$2,"-",INDEX(Calculation_Tab,SMALL(ROW(Direct_Denaturation)*(Direct_Denaturation&lt;&gt;"-"),COUNTIF(Direct_Denaturation,"-")+ROW()-3-$AB$2-$AN$2)-9,35)),"-")</f>
        <v>-</v>
      </c>
      <c r="BD210" s="511" t="str">
        <f t="shared" ca="1" si="115"/>
        <v>-</v>
      </c>
      <c r="BK210" s="542" t="s">
        <v>82</v>
      </c>
      <c r="BL210" s="542" t="s">
        <v>82</v>
      </c>
      <c r="BM210" s="487" t="str">
        <f t="array" aca="1" ref="BM210" ca="1">IFERROR(INDEX(Calculation_Tab,SMALL(ROW(ToPool)*(ToPool&lt;&gt;"-"),COUNTIF(ToPool,"-")+ROW()-3)-9,3),"-")</f>
        <v>-</v>
      </c>
      <c r="BN210" s="378" t="str">
        <f t="shared" ca="1" si="116"/>
        <v>-</v>
      </c>
      <c r="BO210" s="378" t="str">
        <f t="shared" ca="1" si="117"/>
        <v>-</v>
      </c>
      <c r="BP210" s="523" t="str">
        <f t="shared" ca="1" si="118"/>
        <v>-</v>
      </c>
      <c r="BQ210" s="378" t="str">
        <f t="array" aca="1" ref="BQ210" ca="1">IFERROR(INDEX(BE:BG,MATCH(INDEX(Calculation_Tab,SMALL(ROW(ToPool)*(ToPool&lt;&gt;"-"),COUNTIF(ToPool,"-")+ROW()-3)-9,9),BG:BG,0),2),"-")</f>
        <v>-</v>
      </c>
      <c r="BR210" s="510" t="str">
        <f t="shared" ca="1" si="119"/>
        <v>-</v>
      </c>
      <c r="BS210" s="511" t="str">
        <f t="shared" ca="1" si="120"/>
        <v>-</v>
      </c>
      <c r="BT210" s="543" t="s">
        <v>82</v>
      </c>
      <c r="BU210" s="487" t="str">
        <f t="shared" ca="1" si="124"/>
        <v>-</v>
      </c>
      <c r="BV210" s="487" t="str">
        <f t="array" aca="1" ref="BV21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10" s="378" t="str">
        <f t="shared" ca="1" si="121"/>
        <v>-</v>
      </c>
      <c r="BX210" s="378" t="str">
        <f t="shared" ca="1" si="122"/>
        <v>-</v>
      </c>
      <c r="BY210" s="510" t="str">
        <f ca="1">IFERROR(ROUND(INDEX(Cluster,MATCH(IF(LEFT(BV210,4)="Pool",INDEX(Cluster,MATCH(INDEX(Calculation_Tab,MATCH(INDEX($BE$4:$BJ$99,MATCH(BV210,$BE$4:$BE$99,0),3),Flow_Cell_Lane,0),3),Cluster!$F$29:$F$412,0),6),BV210),Identifier_Cluster,0),19)*IF(LEFT(BV210,4)="pool",IF(LEN(INDEX($BE$4:$BJ$99,MATCH(BV210,$BE$4:$BE$99,0),3))=10,2,IF(LEN(INDEX($BE$4:$BJ$99,MATCH(BV210,$BE$4:$BE$99,0),3))&gt;10,LEN(INDEX($BE$4:$BJ$99,MATCH(BV210,$BE$4:$BE$99,0),3))-8,1)),1)*IF(LEFT(BV210,4)="pool",IF(INDEX($BE$4:$BJ$99,MATCH(BV210,$BE$4:$BE$99,0),6)&lt;1,1,INDEX($BE$4:$BJ$99,MATCH(BV210,$BE$4:$BE$99,0),6)),INDEX(Calculation_Tab,MATCH(BV210,Identifier,0),10)),1)*(1+Calculation!$Q$6),"-")</f>
        <v>-</v>
      </c>
      <c r="BZ210" s="378" t="str">
        <f ca="1">IFERROR((0.5/50)*CE210/Calculation!$AG$6*(IF(LEFT(BV210,4)="Pool",IF(LEN(INDEX($BE$4:$BJ$99,MATCH(BV210,$BE$4:$BE$99,0),3))=10,2,IF(LEN(INDEX($BE$4:$BJ$99,MATCH(BV210,$BE$4:$BE$99,0),3))&gt;10,LEN(INDEX($BE$4:$BJ$99,MATCH(BV210,$BE$4:$BE$99,0),3))-8,1)),IF(INDEX(Calculation_Tab,MATCH(BV210,Identifier,0),10)&gt;1,INDEX(Calculation_Tab,MATCH(BV210,Identifier,0),10),1)))*(1+Calculation!$Q$6),"-")</f>
        <v>-</v>
      </c>
      <c r="CA210" s="510" t="str">
        <f ca="1">IFERROR(IF((BZ210*Calculation!$AG$6/0.05)-SUM(BY210:BZ210,CC210)&gt;0,(BZ210*Calculation!$AG$6/0.05)-SUM(BY210:BZ210,CC210),0),"-")</f>
        <v>-</v>
      </c>
      <c r="CB210" s="510" t="str">
        <f ca="1">IFERROR(5/50*CE210*(IF(LEFT(BV210,4)="Pool",IF(LEN(INDEX($BE$4:$BJ$99,MATCH(BV210,$BE$4:$BE$99,0),3))=10,2,IF(LEN(INDEX($BE$4:$BJ$99,MATCH(BV210,$BE$4:$BE$99,0),3))&gt;10,LEN(INDEX($BE$4:$BJ$99,MATCH(BV210,$BE$4:$BE$99,0),3))-8,1)),IF(INDEX(Calculation_Tab,MATCH(BV210,Identifier,0),10)&gt;1,INDEX(Calculation_Tab,MATCH(BV210,Identifier,0),10),1)))*(1+Calculation!$Q$6),"-")</f>
        <v>-</v>
      </c>
      <c r="CC210" s="508" t="str">
        <f ca="1">IFERROR(ROUND(INDEX(Cluster,MATCH(IF(LEFT(BV210,4)="Pool",INDEX(Cluster,MATCH(INDEX(Calculation_Tab,MATCH(INDEX($BE$4:$BJ$99,MATCH(BV210,$BE$4:$BE$99,0),3),Flow_Cell_Lane,0),3),Cluster!$F$29:$F$412,0),6),BV210),Identifier_Cluster,0),20)*IF(LEFT(BV210,4)="pool",IF(LEN(INDEX($BE$4:$BJ$99,MATCH(BV210,$BE$4:$BE$99,0),3))=10,2,IF(LEN(INDEX($BE$4:$BJ$99,MATCH(BV210,$BE$4:$BE$99,0),3))&gt;10,LEN(INDEX($BE$4:$BJ$99,MATCH(BV210,$BE$4:$BE$99,0),3))-8,1)),1)*IF(LEFT(BV210,4)="pool",IF(INDEX($BE$4:$BJ$99,MATCH(BV210,$BE$4:$BE$99,0),6)&lt;1,1,INDEX($BE$4:$BJ$99,MATCH(BV210,$BE$4:$BE$99,0),6)),INDEX(Calculation_Tab,MATCH(BV210,Identifier,0),10)),1)*(1+Calculation!$Q$6),"-")</f>
        <v>-</v>
      </c>
      <c r="CD210" s="509" t="str">
        <f ca="1">IFERROR(INDEX(Cluster!AC:AD,MATCH(IF(LEFT(BV210,4)="Pool",INDEX(Cluster!$D$29:$AA$412,MATCH(INDEX(Calculation_Tab,MATCH(INDEX($BE$4:$BJ$99,MATCH(BV210,$BE$4:$BE$99,0),3),Flow_Cell_Lane,0),3),Cluster!$F$29:$F$412,0),24),INDEX(Cluster!$D$29:$AA$412,MATCH(BV210,Cluster!$F$29:$F$412,0),24)),Cluster!AC:AC,0),2),"-")</f>
        <v>-</v>
      </c>
      <c r="CE210" s="378" t="str">
        <f ca="1">IFERROR(IF(BV210&lt;&gt;"-",Calculation!$AK$6,"-"),"-")</f>
        <v>-</v>
      </c>
      <c r="CF210" s="378" t="str">
        <f ca="1">IF(OR(LEFT(ListAndConversion!BW210,3)="Dil",LEFT(ListAndConversion!BW210,3)="Poo"),ListAndConversion!$BT$4,IF(LEFT(ListAndConversion!BW210,3)="Sou",INDEX(ListAndConversion!$AT$3:$AV$387,MATCH(ListAndConversion!BV210,ListAndConversion!$AV$3:$AV$387,0),1),"-"))</f>
        <v>-</v>
      </c>
      <c r="CG210" s="498" t="str">
        <f ca="1">IF(OR(LEFT(ListAndConversion!BW210,3)="Dil",LEFT(ListAndConversion!BW210,3)="Poo"),ListAndConversion!BU210,IF(LEFT(ListAndConversion!BW210,3)="Sou",INDEX(ListAndConversion!$AT$4:$AV$387,MATCH(ListAndConversion!BV210,ListAndConversion!$AV$4:$AV$387,0),2),"-"))</f>
        <v>-</v>
      </c>
      <c r="CH210" s="378"/>
      <c r="CI210" s="487" t="str">
        <f t="shared" ca="1" si="123"/>
        <v>-</v>
      </c>
      <c r="CJ210" s="378" t="str">
        <f t="shared" ca="1" si="126"/>
        <v>-</v>
      </c>
      <c r="CK210" s="378" t="str">
        <f t="shared" ca="1" si="126"/>
        <v>-</v>
      </c>
      <c r="CL210" s="378" t="str">
        <f t="shared" ca="1" si="126"/>
        <v>-</v>
      </c>
      <c r="CM210" s="378" t="str">
        <f t="shared" ca="1" si="126"/>
        <v>-</v>
      </c>
      <c r="CN210" s="378" t="str">
        <f t="shared" ca="1" si="126"/>
        <v>-</v>
      </c>
      <c r="CO210" s="378" t="str">
        <f t="shared" ca="1" si="126"/>
        <v>-</v>
      </c>
      <c r="CP210" s="378" t="str">
        <f t="shared" ca="1" si="126"/>
        <v>-</v>
      </c>
      <c r="CQ210" s="378" t="str">
        <f t="shared" ca="1" si="126"/>
        <v>-</v>
      </c>
      <c r="CR210" s="510" t="str">
        <f ca="1">IFERROR(IF(LEFT(BW210,3)="Poo",INDEX($BE$4:$BJ$99,MATCH(CI210,$BG$4:$BG$99,0),6)*((15/50))*Calculation!$AK$6,INDEX(Calculation_Tab,MATCH(BV210,Identifier,0),10)/(IF(LEN(INDEX(Calculation_Tab,MATCH(BV210,Identifier,0),9))&gt;8,LEN(INDEX(Calculation_Tab,MATCH(BV210,Identifier,0),9))-8,1))*((15/50)*Calculation!$AK$6)),"-")</f>
        <v>-</v>
      </c>
      <c r="CS210" s="498" t="str">
        <f ca="1">IF(CI210="-","-",IF(COUNTIF($CI$3:CI210,CI210)&gt;1,0,IFERROR((35/50)*Calculation!$AK$6,"-")))</f>
        <v>-</v>
      </c>
    </row>
    <row r="211" spans="4:97" x14ac:dyDescent="0.5">
      <c r="D211" s="487" t="e">
        <f t="shared" si="109"/>
        <v>#DIV/0!</v>
      </c>
      <c r="E211" s="496" t="e">
        <f t="array" ref="E211">IF(IF((ROW(E211)-3)&lt;(ListAndConversion!$A$15),INDEX(Flow_Cell_Lane,MIN(IF(COUNTIF($E$2:E210,Flow_Cell_Lane)=0,ROW(Flow_Cell_Lane)-9))),"-")="","-",IF((ROW(E211)-3)&lt;(ListAndConversion!$A$15),INDEX(Flow_Cell_Lane,MIN(IF(COUNTIF($E$2:E210,Flow_Cell_Lane)=0,ROW(Flow_Cell_Lane)-9))),"-"))</f>
        <v>#DIV/0!</v>
      </c>
      <c r="F211" s="378" t="e">
        <f t="shared" si="110"/>
        <v>#DIV/0!</v>
      </c>
      <c r="G211" s="378" t="e">
        <f t="shared" si="125"/>
        <v>#DIV/0!</v>
      </c>
      <c r="H211" s="378" t="e">
        <f t="shared" si="125"/>
        <v>#DIV/0!</v>
      </c>
      <c r="I211" s="378" t="e">
        <f t="shared" si="125"/>
        <v>#DIV/0!</v>
      </c>
      <c r="J211" s="378" t="e">
        <f t="shared" si="125"/>
        <v>#DIV/0!</v>
      </c>
      <c r="K211" s="378" t="e">
        <f t="shared" si="125"/>
        <v>#DIV/0!</v>
      </c>
      <c r="L211" s="378" t="e">
        <f t="shared" si="125"/>
        <v>#DIV/0!</v>
      </c>
      <c r="M211" s="378" t="e">
        <f t="shared" si="125"/>
        <v>#DIV/0!</v>
      </c>
      <c r="N211" s="497" t="e">
        <f t="shared" si="111"/>
        <v>#DIV/0!</v>
      </c>
      <c r="O211" s="497" t="str">
        <f t="array" ref="O211">IFERROR(INDEX(Calculation!I:AN,MATCH(ListAndConversion!E211,Calculation!I:I,0),31),"-")</f>
        <v>-</v>
      </c>
      <c r="P211" s="498">
        <f>IF(COUNTIFS(Calculation!$I$10:$I$393,E211,Direct_Denaturation,"-")&lt;&gt;1,COUNTIFS(Calculation!$I$10:$I$393,E211,Direct_Denaturation,"-"),0)</f>
        <v>0</v>
      </c>
      <c r="V211" s="542" t="s">
        <v>82</v>
      </c>
      <c r="W211" s="542" t="s">
        <v>82</v>
      </c>
      <c r="X211" s="542" t="s">
        <v>82</v>
      </c>
      <c r="Y211" s="542" t="s">
        <v>82</v>
      </c>
      <c r="Z211" s="542" t="s">
        <v>82</v>
      </c>
      <c r="AA211" s="542" t="s">
        <v>82</v>
      </c>
      <c r="AB211" s="542" t="s">
        <v>82</v>
      </c>
      <c r="AC211" s="542" t="s">
        <v>82</v>
      </c>
      <c r="AD211" s="542" t="s">
        <v>82</v>
      </c>
      <c r="AE211" s="542" t="s">
        <v>82</v>
      </c>
      <c r="AF211" s="542" t="s">
        <v>82</v>
      </c>
      <c r="AG211" s="542" t="s">
        <v>82</v>
      </c>
      <c r="AH211" s="9"/>
      <c r="AI211" s="487">
        <v>208</v>
      </c>
      <c r="AJ211" s="497" t="s">
        <v>162</v>
      </c>
      <c r="AK211" s="378">
        <v>16</v>
      </c>
      <c r="AL211" s="378" t="str">
        <f t="shared" ca="1" si="112"/>
        <v>-</v>
      </c>
      <c r="AM211" s="378" t="str">
        <f t="array" aca="1" ref="AM211" ca="1">IFERROR(IF(AI211&lt;=$AB$2,"-",INDEX(Calculation_Tab,SMALL(ROW(Main_Dil)*(Main_Dil&lt;&gt;"-"),COUNTIF(Main_Dil,"-")+ROW()-3-$AB$2)-9,5)),"-")</f>
        <v>-</v>
      </c>
      <c r="AN211" s="378" t="str">
        <f t="array" aca="1" ref="AN211" ca="1">IFERROR(IF(AI211&lt;=$AB$2,"-",INDEX($A$3:$B$12,MATCH(INDEX(Calculation_Tab,SMALL(ROW(Main_Dil)*(Main_Dil&lt;&gt;"-"),COUNTIF(Main_Dil,"-")+ROW()-3-$AB$2)-9,5),$A$3:$A$12,0),2)),"-")</f>
        <v>-</v>
      </c>
      <c r="AO211" s="378" t="str">
        <f t="array" aca="1" ref="AO211" ca="1">IFERROR(IF(AI211&lt;=$AB$2,"-",INDEX(Coordinate,MATCH(INDEX(Calculation_Tab,SMALL(ROW(Main_Dil)*(Main_Dil&lt;&gt;"-"),COUNTIF(Main_Dil,"-")+ROW()-3-$AB$2)-9,6),$X$4:$X$99,0),2)),"-")</f>
        <v>-</v>
      </c>
      <c r="AP211" s="510" t="str">
        <f t="array" aca="1" ref="AP211" ca="1">IFERROR(IF(AI211&lt;=$AB$2,"-",INDEX(Calculation_Tab,SMALL(ROW(Main_Dil)*(Main_Dil&lt;&gt;"-"),COUNTIF(Main_Dil,"-")+ROW()-3-$AB$2)-9,21)),"-")</f>
        <v>-</v>
      </c>
      <c r="AQ211" s="511" t="str">
        <f t="array" aca="1" ref="AQ211" ca="1">IFERROR(IF(AI211&lt;=$AB$2,"-",INDEX(Calculation_Tab,SMALL(ROW(Main_Dil)*(Main_Dil&lt;&gt;"-"),COUNTIF(Main_Dil,"-")+ROW()-3-$AB$2)-9,22)),"-")</f>
        <v>-</v>
      </c>
      <c r="AR211" s="487" t="str">
        <f t="shared" ca="1" si="113"/>
        <v>-</v>
      </c>
      <c r="AS211" s="378">
        <v>208</v>
      </c>
      <c r="AT211" s="497" t="s">
        <v>162</v>
      </c>
      <c r="AU211" s="498">
        <v>16</v>
      </c>
      <c r="AV211" s="378" t="str">
        <f t="shared" ca="1" si="114"/>
        <v>-</v>
      </c>
      <c r="AW211" s="378" t="str">
        <f t="array" aca="1" ref="AW211" ca="1">IFERROR(IF(AS211&lt;=$AB$2+$AN$2,"-",INDEX(Calculation_Tab,SMALL(ROW(Direct_Denaturation)*(Direct_Denaturation&lt;&gt;"-"),COUNTIF(Direct_Denaturation,"-")+ROW()-3-$AB$2-$AN$2)-9,5)),"-")</f>
        <v>-</v>
      </c>
      <c r="AX211" s="378" t="str">
        <f t="array" aca="1" ref="AX211" ca="1">IFERROR(IF(AS211&lt;=$AB$2+$AN$2,"-",INDEX($A$3:$B$12,MATCH(INDEX(Calculation_Tab,SMALL(ROW(Direct_Denaturation)*(Direct_Denaturation&lt;&gt;"-"),COUNTIF(Direct_Denaturation,"-")+ROW()-3-$AB$2-$AN$2)-9,5),$A$3:$A$12,0),2)),"-")</f>
        <v>-</v>
      </c>
      <c r="AY211" s="378" t="str">
        <f t="array" aca="1" ref="AY211" ca="1">IFERROR(IF(AS211&lt;=$AB$2+$AN$2,"-",INDEX(Coordinate,MATCH(INDEX(Calculation_Tab,SMALL(ROW(Direct_Denaturation)*(Direct_Denaturation&lt;&gt;"-"),COUNTIF(Direct_Denaturation,"-")+ROW()-3-$AB$2-$AN$2)-9,6),$X$4:$X$99,0),2)),"-")</f>
        <v>-</v>
      </c>
      <c r="AZ211" s="510" t="str">
        <f t="array" aca="1" ref="AZ211" ca="1">IFERROR(IF(AS211&lt;=$AB$2+$AN$2,"-",INDEX(Calculation_Tab,SMALL(ROW(Direct_Denaturation)*(Direct_Denaturation&lt;&gt;"-"),COUNTIF(Direct_Denaturation,"-")+ROW()-3-$AB$2-$AN$2)-9,32)),"-")</f>
        <v>-</v>
      </c>
      <c r="BA211" s="510" t="str">
        <f t="array" aca="1" ref="BA211" ca="1">IFERROR(IF(AS211&lt;=$AB$2+$AN$2,"-",INDEX(Calculation_Tab,SMALL(ROW(Direct_Denaturation)*(Direct_Denaturation&lt;&gt;"-"),COUNTIF(Direct_Denaturation,"-")+ROW()-3-$AB$2-$AN$2)-9,34)),"-")</f>
        <v>-</v>
      </c>
      <c r="BB211" s="510" t="str">
        <f t="array" aca="1" ref="BB211" ca="1">IFERROR(IF(AS211&lt;=$AB$2+$AN$2,"-",INDEX(Calculation_Tab,SMALL(ROW(Direct_Denaturation)*(Direct_Denaturation&lt;&gt;"-"),COUNTIF(Direct_Denaturation,"-")+ROW()-3-$AB$2-$AN$2)-9,33)),"-")</f>
        <v>-</v>
      </c>
      <c r="BC211" s="510" t="str">
        <f t="array" aca="1" ref="BC211" ca="1">IFERROR(IF(AS211&lt;=$AB$2+$AN$2,"-",INDEX(Calculation_Tab,SMALL(ROW(Direct_Denaturation)*(Direct_Denaturation&lt;&gt;"-"),COUNTIF(Direct_Denaturation,"-")+ROW()-3-$AB$2-$AN$2)-9,35)),"-")</f>
        <v>-</v>
      </c>
      <c r="BD211" s="511" t="str">
        <f t="shared" ca="1" si="115"/>
        <v>-</v>
      </c>
      <c r="BK211" s="542" t="s">
        <v>82</v>
      </c>
      <c r="BL211" s="542" t="s">
        <v>82</v>
      </c>
      <c r="BM211" s="487" t="str">
        <f t="array" aca="1" ref="BM211" ca="1">IFERROR(INDEX(Calculation_Tab,SMALL(ROW(ToPool)*(ToPool&lt;&gt;"-"),COUNTIF(ToPool,"-")+ROW()-3)-9,3),"-")</f>
        <v>-</v>
      </c>
      <c r="BN211" s="378" t="str">
        <f t="shared" ca="1" si="116"/>
        <v>-</v>
      </c>
      <c r="BO211" s="378" t="str">
        <f t="shared" ca="1" si="117"/>
        <v>-</v>
      </c>
      <c r="BP211" s="523" t="str">
        <f t="shared" ca="1" si="118"/>
        <v>-</v>
      </c>
      <c r="BQ211" s="378" t="str">
        <f t="array" aca="1" ref="BQ211" ca="1">IFERROR(INDEX(BE:BG,MATCH(INDEX(Calculation_Tab,SMALL(ROW(ToPool)*(ToPool&lt;&gt;"-"),COUNTIF(ToPool,"-")+ROW()-3)-9,9),BG:BG,0),2),"-")</f>
        <v>-</v>
      </c>
      <c r="BR211" s="510" t="str">
        <f t="shared" ca="1" si="119"/>
        <v>-</v>
      </c>
      <c r="BS211" s="511" t="str">
        <f t="shared" ca="1" si="120"/>
        <v>-</v>
      </c>
      <c r="BT211" s="543" t="s">
        <v>82</v>
      </c>
      <c r="BU211" s="487" t="str">
        <f t="shared" ca="1" si="124"/>
        <v>-</v>
      </c>
      <c r="BV211" s="487" t="str">
        <f t="array" aca="1" ref="BV21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11" s="378" t="str">
        <f t="shared" ca="1" si="121"/>
        <v>-</v>
      </c>
      <c r="BX211" s="378" t="str">
        <f t="shared" ca="1" si="122"/>
        <v>-</v>
      </c>
      <c r="BY211" s="510" t="str">
        <f ca="1">IFERROR(ROUND(INDEX(Cluster,MATCH(IF(LEFT(BV211,4)="Pool",INDEX(Cluster,MATCH(INDEX(Calculation_Tab,MATCH(INDEX($BE$4:$BJ$99,MATCH(BV211,$BE$4:$BE$99,0),3),Flow_Cell_Lane,0),3),Cluster!$F$29:$F$412,0),6),BV211),Identifier_Cluster,0),19)*IF(LEFT(BV211,4)="pool",IF(LEN(INDEX($BE$4:$BJ$99,MATCH(BV211,$BE$4:$BE$99,0),3))=10,2,IF(LEN(INDEX($BE$4:$BJ$99,MATCH(BV211,$BE$4:$BE$99,0),3))&gt;10,LEN(INDEX($BE$4:$BJ$99,MATCH(BV211,$BE$4:$BE$99,0),3))-8,1)),1)*IF(LEFT(BV211,4)="pool",IF(INDEX($BE$4:$BJ$99,MATCH(BV211,$BE$4:$BE$99,0),6)&lt;1,1,INDEX($BE$4:$BJ$99,MATCH(BV211,$BE$4:$BE$99,0),6)),INDEX(Calculation_Tab,MATCH(BV211,Identifier,0),10)),1)*(1+Calculation!$Q$6),"-")</f>
        <v>-</v>
      </c>
      <c r="BZ211" s="378" t="str">
        <f ca="1">IFERROR((0.5/50)*CE211/Calculation!$AG$6*(IF(LEFT(BV211,4)="Pool",IF(LEN(INDEX($BE$4:$BJ$99,MATCH(BV211,$BE$4:$BE$99,0),3))=10,2,IF(LEN(INDEX($BE$4:$BJ$99,MATCH(BV211,$BE$4:$BE$99,0),3))&gt;10,LEN(INDEX($BE$4:$BJ$99,MATCH(BV211,$BE$4:$BE$99,0),3))-8,1)),IF(INDEX(Calculation_Tab,MATCH(BV211,Identifier,0),10)&gt;1,INDEX(Calculation_Tab,MATCH(BV211,Identifier,0),10),1)))*(1+Calculation!$Q$6),"-")</f>
        <v>-</v>
      </c>
      <c r="CA211" s="510" t="str">
        <f ca="1">IFERROR(IF((BZ211*Calculation!$AG$6/0.05)-SUM(BY211:BZ211,CC211)&gt;0,(BZ211*Calculation!$AG$6/0.05)-SUM(BY211:BZ211,CC211),0),"-")</f>
        <v>-</v>
      </c>
      <c r="CB211" s="510" t="str">
        <f ca="1">IFERROR(5/50*CE211*(IF(LEFT(BV211,4)="Pool",IF(LEN(INDEX($BE$4:$BJ$99,MATCH(BV211,$BE$4:$BE$99,0),3))=10,2,IF(LEN(INDEX($BE$4:$BJ$99,MATCH(BV211,$BE$4:$BE$99,0),3))&gt;10,LEN(INDEX($BE$4:$BJ$99,MATCH(BV211,$BE$4:$BE$99,0),3))-8,1)),IF(INDEX(Calculation_Tab,MATCH(BV211,Identifier,0),10)&gt;1,INDEX(Calculation_Tab,MATCH(BV211,Identifier,0),10),1)))*(1+Calculation!$Q$6),"-")</f>
        <v>-</v>
      </c>
      <c r="CC211" s="508" t="str">
        <f ca="1">IFERROR(ROUND(INDEX(Cluster,MATCH(IF(LEFT(BV211,4)="Pool",INDEX(Cluster,MATCH(INDEX(Calculation_Tab,MATCH(INDEX($BE$4:$BJ$99,MATCH(BV211,$BE$4:$BE$99,0),3),Flow_Cell_Lane,0),3),Cluster!$F$29:$F$412,0),6),BV211),Identifier_Cluster,0),20)*IF(LEFT(BV211,4)="pool",IF(LEN(INDEX($BE$4:$BJ$99,MATCH(BV211,$BE$4:$BE$99,0),3))=10,2,IF(LEN(INDEX($BE$4:$BJ$99,MATCH(BV211,$BE$4:$BE$99,0),3))&gt;10,LEN(INDEX($BE$4:$BJ$99,MATCH(BV211,$BE$4:$BE$99,0),3))-8,1)),1)*IF(LEFT(BV211,4)="pool",IF(INDEX($BE$4:$BJ$99,MATCH(BV211,$BE$4:$BE$99,0),6)&lt;1,1,INDEX($BE$4:$BJ$99,MATCH(BV211,$BE$4:$BE$99,0),6)),INDEX(Calculation_Tab,MATCH(BV211,Identifier,0),10)),1)*(1+Calculation!$Q$6),"-")</f>
        <v>-</v>
      </c>
      <c r="CD211" s="509" t="str">
        <f ca="1">IFERROR(INDEX(Cluster!AC:AD,MATCH(IF(LEFT(BV211,4)="Pool",INDEX(Cluster!$D$29:$AA$412,MATCH(INDEX(Calculation_Tab,MATCH(INDEX($BE$4:$BJ$99,MATCH(BV211,$BE$4:$BE$99,0),3),Flow_Cell_Lane,0),3),Cluster!$F$29:$F$412,0),24),INDEX(Cluster!$D$29:$AA$412,MATCH(BV211,Cluster!$F$29:$F$412,0),24)),Cluster!AC:AC,0),2),"-")</f>
        <v>-</v>
      </c>
      <c r="CE211" s="378" t="str">
        <f ca="1">IFERROR(IF(BV211&lt;&gt;"-",Calculation!$AK$6,"-"),"-")</f>
        <v>-</v>
      </c>
      <c r="CF211" s="378" t="str">
        <f ca="1">IF(OR(LEFT(ListAndConversion!BW211,3)="Dil",LEFT(ListAndConversion!BW211,3)="Poo"),ListAndConversion!$BT$4,IF(LEFT(ListAndConversion!BW211,3)="Sou",INDEX(ListAndConversion!$AT$3:$AV$387,MATCH(ListAndConversion!BV211,ListAndConversion!$AV$3:$AV$387,0),1),"-"))</f>
        <v>-</v>
      </c>
      <c r="CG211" s="498" t="str">
        <f ca="1">IF(OR(LEFT(ListAndConversion!BW211,3)="Dil",LEFT(ListAndConversion!BW211,3)="Poo"),ListAndConversion!BU211,IF(LEFT(ListAndConversion!BW211,3)="Sou",INDEX(ListAndConversion!$AT$4:$AV$387,MATCH(ListAndConversion!BV211,ListAndConversion!$AV$4:$AV$387,0),2),"-"))</f>
        <v>-</v>
      </c>
      <c r="CH211" s="378"/>
      <c r="CI211" s="487" t="str">
        <f t="shared" ca="1" si="123"/>
        <v>-</v>
      </c>
      <c r="CJ211" s="378" t="str">
        <f t="shared" ca="1" si="126"/>
        <v>-</v>
      </c>
      <c r="CK211" s="378" t="str">
        <f t="shared" ca="1" si="126"/>
        <v>-</v>
      </c>
      <c r="CL211" s="378" t="str">
        <f t="shared" ca="1" si="126"/>
        <v>-</v>
      </c>
      <c r="CM211" s="378" t="str">
        <f t="shared" ca="1" si="126"/>
        <v>-</v>
      </c>
      <c r="CN211" s="378" t="str">
        <f t="shared" ca="1" si="126"/>
        <v>-</v>
      </c>
      <c r="CO211" s="378" t="str">
        <f t="shared" ca="1" si="126"/>
        <v>-</v>
      </c>
      <c r="CP211" s="378" t="str">
        <f t="shared" ca="1" si="126"/>
        <v>-</v>
      </c>
      <c r="CQ211" s="378" t="str">
        <f t="shared" ca="1" si="126"/>
        <v>-</v>
      </c>
      <c r="CR211" s="510" t="str">
        <f ca="1">IFERROR(IF(LEFT(BW211,3)="Poo",INDEX($BE$4:$BJ$99,MATCH(CI211,$BG$4:$BG$99,0),6)*((15/50))*Calculation!$AK$6,INDEX(Calculation_Tab,MATCH(BV211,Identifier,0),10)/(IF(LEN(INDEX(Calculation_Tab,MATCH(BV211,Identifier,0),9))&gt;8,LEN(INDEX(Calculation_Tab,MATCH(BV211,Identifier,0),9))-8,1))*((15/50)*Calculation!$AK$6)),"-")</f>
        <v>-</v>
      </c>
      <c r="CS211" s="498" t="str">
        <f ca="1">IF(CI211="-","-",IF(COUNTIF($CI$3:CI211,CI211)&gt;1,0,IFERROR((35/50)*Calculation!$AK$6,"-")))</f>
        <v>-</v>
      </c>
    </row>
    <row r="212" spans="4:97" x14ac:dyDescent="0.5">
      <c r="D212" s="487" t="e">
        <f t="shared" si="109"/>
        <v>#DIV/0!</v>
      </c>
      <c r="E212" s="496" t="e">
        <f t="array" ref="E212">IF(IF((ROW(E212)-3)&lt;(ListAndConversion!$A$15),INDEX(Flow_Cell_Lane,MIN(IF(COUNTIF($E$2:E211,Flow_Cell_Lane)=0,ROW(Flow_Cell_Lane)-9))),"-")="","-",IF((ROW(E212)-3)&lt;(ListAndConversion!$A$15),INDEX(Flow_Cell_Lane,MIN(IF(COUNTIF($E$2:E211,Flow_Cell_Lane)=0,ROW(Flow_Cell_Lane)-9))),"-"))</f>
        <v>#DIV/0!</v>
      </c>
      <c r="F212" s="378" t="e">
        <f t="shared" si="110"/>
        <v>#DIV/0!</v>
      </c>
      <c r="G212" s="378" t="e">
        <f t="shared" si="125"/>
        <v>#DIV/0!</v>
      </c>
      <c r="H212" s="378" t="e">
        <f t="shared" si="125"/>
        <v>#DIV/0!</v>
      </c>
      <c r="I212" s="378" t="e">
        <f t="shared" si="125"/>
        <v>#DIV/0!</v>
      </c>
      <c r="J212" s="378" t="e">
        <f t="shared" si="125"/>
        <v>#DIV/0!</v>
      </c>
      <c r="K212" s="378" t="e">
        <f t="shared" si="125"/>
        <v>#DIV/0!</v>
      </c>
      <c r="L212" s="378" t="e">
        <f t="shared" si="125"/>
        <v>#DIV/0!</v>
      </c>
      <c r="M212" s="378" t="e">
        <f t="shared" si="125"/>
        <v>#DIV/0!</v>
      </c>
      <c r="N212" s="497" t="e">
        <f t="shared" si="111"/>
        <v>#DIV/0!</v>
      </c>
      <c r="O212" s="497" t="str">
        <f t="array" ref="O212">IFERROR(INDEX(Calculation!I:AN,MATCH(ListAndConversion!E212,Calculation!I:I,0),31),"-")</f>
        <v>-</v>
      </c>
      <c r="P212" s="498">
        <f>IF(COUNTIFS(Calculation!$I$10:$I$393,E212,Direct_Denaturation,"-")&lt;&gt;1,COUNTIFS(Calculation!$I$10:$I$393,E212,Direct_Denaturation,"-"),0)</f>
        <v>0</v>
      </c>
      <c r="V212" s="542" t="s">
        <v>82</v>
      </c>
      <c r="W212" s="542" t="s">
        <v>82</v>
      </c>
      <c r="X212" s="542" t="s">
        <v>82</v>
      </c>
      <c r="Y212" s="542" t="s">
        <v>82</v>
      </c>
      <c r="Z212" s="542" t="s">
        <v>82</v>
      </c>
      <c r="AA212" s="542" t="s">
        <v>82</v>
      </c>
      <c r="AB212" s="542" t="s">
        <v>82</v>
      </c>
      <c r="AC212" s="542" t="s">
        <v>82</v>
      </c>
      <c r="AD212" s="542" t="s">
        <v>82</v>
      </c>
      <c r="AE212" s="542" t="s">
        <v>82</v>
      </c>
      <c r="AF212" s="542" t="s">
        <v>82</v>
      </c>
      <c r="AG212" s="542" t="s">
        <v>82</v>
      </c>
      <c r="AH212" s="9"/>
      <c r="AI212" s="487">
        <v>209</v>
      </c>
      <c r="AJ212" s="497" t="s">
        <v>162</v>
      </c>
      <c r="AK212" s="378">
        <v>17</v>
      </c>
      <c r="AL212" s="378" t="str">
        <f t="shared" ca="1" si="112"/>
        <v>-</v>
      </c>
      <c r="AM212" s="378" t="str">
        <f t="array" aca="1" ref="AM212" ca="1">IFERROR(IF(AI212&lt;=$AB$2,"-",INDEX(Calculation_Tab,SMALL(ROW(Main_Dil)*(Main_Dil&lt;&gt;"-"),COUNTIF(Main_Dil,"-")+ROW()-3-$AB$2)-9,5)),"-")</f>
        <v>-</v>
      </c>
      <c r="AN212" s="378" t="str">
        <f t="array" aca="1" ref="AN212" ca="1">IFERROR(IF(AI212&lt;=$AB$2,"-",INDEX($A$3:$B$12,MATCH(INDEX(Calculation_Tab,SMALL(ROW(Main_Dil)*(Main_Dil&lt;&gt;"-"),COUNTIF(Main_Dil,"-")+ROW()-3-$AB$2)-9,5),$A$3:$A$12,0),2)),"-")</f>
        <v>-</v>
      </c>
      <c r="AO212" s="378" t="str">
        <f t="array" aca="1" ref="AO212" ca="1">IFERROR(IF(AI212&lt;=$AB$2,"-",INDEX(Coordinate,MATCH(INDEX(Calculation_Tab,SMALL(ROW(Main_Dil)*(Main_Dil&lt;&gt;"-"),COUNTIF(Main_Dil,"-")+ROW()-3-$AB$2)-9,6),$X$4:$X$99,0),2)),"-")</f>
        <v>-</v>
      </c>
      <c r="AP212" s="510" t="str">
        <f t="array" aca="1" ref="AP212" ca="1">IFERROR(IF(AI212&lt;=$AB$2,"-",INDEX(Calculation_Tab,SMALL(ROW(Main_Dil)*(Main_Dil&lt;&gt;"-"),COUNTIF(Main_Dil,"-")+ROW()-3-$AB$2)-9,21)),"-")</f>
        <v>-</v>
      </c>
      <c r="AQ212" s="511" t="str">
        <f t="array" aca="1" ref="AQ212" ca="1">IFERROR(IF(AI212&lt;=$AB$2,"-",INDEX(Calculation_Tab,SMALL(ROW(Main_Dil)*(Main_Dil&lt;&gt;"-"),COUNTIF(Main_Dil,"-")+ROW()-3-$AB$2)-9,22)),"-")</f>
        <v>-</v>
      </c>
      <c r="AR212" s="487" t="str">
        <f t="shared" ca="1" si="113"/>
        <v>-</v>
      </c>
      <c r="AS212" s="378">
        <v>209</v>
      </c>
      <c r="AT212" s="497" t="s">
        <v>162</v>
      </c>
      <c r="AU212" s="498">
        <v>17</v>
      </c>
      <c r="AV212" s="378" t="str">
        <f t="shared" ca="1" si="114"/>
        <v>-</v>
      </c>
      <c r="AW212" s="378" t="str">
        <f t="array" aca="1" ref="AW212" ca="1">IFERROR(IF(AS212&lt;=$AB$2+$AN$2,"-",INDEX(Calculation_Tab,SMALL(ROW(Direct_Denaturation)*(Direct_Denaturation&lt;&gt;"-"),COUNTIF(Direct_Denaturation,"-")+ROW()-3-$AB$2-$AN$2)-9,5)),"-")</f>
        <v>-</v>
      </c>
      <c r="AX212" s="378" t="str">
        <f t="array" aca="1" ref="AX212" ca="1">IFERROR(IF(AS212&lt;=$AB$2+$AN$2,"-",INDEX($A$3:$B$12,MATCH(INDEX(Calculation_Tab,SMALL(ROW(Direct_Denaturation)*(Direct_Denaturation&lt;&gt;"-"),COUNTIF(Direct_Denaturation,"-")+ROW()-3-$AB$2-$AN$2)-9,5),$A$3:$A$12,0),2)),"-")</f>
        <v>-</v>
      </c>
      <c r="AY212" s="378" t="str">
        <f t="array" aca="1" ref="AY212" ca="1">IFERROR(IF(AS212&lt;=$AB$2+$AN$2,"-",INDEX(Coordinate,MATCH(INDEX(Calculation_Tab,SMALL(ROW(Direct_Denaturation)*(Direct_Denaturation&lt;&gt;"-"),COUNTIF(Direct_Denaturation,"-")+ROW()-3-$AB$2-$AN$2)-9,6),$X$4:$X$99,0),2)),"-")</f>
        <v>-</v>
      </c>
      <c r="AZ212" s="510" t="str">
        <f t="array" aca="1" ref="AZ212" ca="1">IFERROR(IF(AS212&lt;=$AB$2+$AN$2,"-",INDEX(Calculation_Tab,SMALL(ROW(Direct_Denaturation)*(Direct_Denaturation&lt;&gt;"-"),COUNTIF(Direct_Denaturation,"-")+ROW()-3-$AB$2-$AN$2)-9,32)),"-")</f>
        <v>-</v>
      </c>
      <c r="BA212" s="510" t="str">
        <f t="array" aca="1" ref="BA212" ca="1">IFERROR(IF(AS212&lt;=$AB$2+$AN$2,"-",INDEX(Calculation_Tab,SMALL(ROW(Direct_Denaturation)*(Direct_Denaturation&lt;&gt;"-"),COUNTIF(Direct_Denaturation,"-")+ROW()-3-$AB$2-$AN$2)-9,34)),"-")</f>
        <v>-</v>
      </c>
      <c r="BB212" s="510" t="str">
        <f t="array" aca="1" ref="BB212" ca="1">IFERROR(IF(AS212&lt;=$AB$2+$AN$2,"-",INDEX(Calculation_Tab,SMALL(ROW(Direct_Denaturation)*(Direct_Denaturation&lt;&gt;"-"),COUNTIF(Direct_Denaturation,"-")+ROW()-3-$AB$2-$AN$2)-9,33)),"-")</f>
        <v>-</v>
      </c>
      <c r="BC212" s="510" t="str">
        <f t="array" aca="1" ref="BC212" ca="1">IFERROR(IF(AS212&lt;=$AB$2+$AN$2,"-",INDEX(Calculation_Tab,SMALL(ROW(Direct_Denaturation)*(Direct_Denaturation&lt;&gt;"-"),COUNTIF(Direct_Denaturation,"-")+ROW()-3-$AB$2-$AN$2)-9,35)),"-")</f>
        <v>-</v>
      </c>
      <c r="BD212" s="511" t="str">
        <f t="shared" ca="1" si="115"/>
        <v>-</v>
      </c>
      <c r="BK212" s="542" t="s">
        <v>82</v>
      </c>
      <c r="BL212" s="542" t="s">
        <v>82</v>
      </c>
      <c r="BM212" s="487" t="str">
        <f t="array" aca="1" ref="BM212" ca="1">IFERROR(INDEX(Calculation_Tab,SMALL(ROW(ToPool)*(ToPool&lt;&gt;"-"),COUNTIF(ToPool,"-")+ROW()-3)-9,3),"-")</f>
        <v>-</v>
      </c>
      <c r="BN212" s="378" t="str">
        <f t="shared" ca="1" si="116"/>
        <v>-</v>
      </c>
      <c r="BO212" s="378" t="str">
        <f t="shared" ca="1" si="117"/>
        <v>-</v>
      </c>
      <c r="BP212" s="523" t="str">
        <f t="shared" ca="1" si="118"/>
        <v>-</v>
      </c>
      <c r="BQ212" s="378" t="str">
        <f t="array" aca="1" ref="BQ212" ca="1">IFERROR(INDEX(BE:BG,MATCH(INDEX(Calculation_Tab,SMALL(ROW(ToPool)*(ToPool&lt;&gt;"-"),COUNTIF(ToPool,"-")+ROW()-3)-9,9),BG:BG,0),2),"-")</f>
        <v>-</v>
      </c>
      <c r="BR212" s="510" t="str">
        <f t="shared" ca="1" si="119"/>
        <v>-</v>
      </c>
      <c r="BS212" s="511" t="str">
        <f t="shared" ca="1" si="120"/>
        <v>-</v>
      </c>
      <c r="BT212" s="543" t="s">
        <v>82</v>
      </c>
      <c r="BU212" s="487" t="str">
        <f t="shared" ca="1" si="124"/>
        <v>-</v>
      </c>
      <c r="BV212" s="487" t="str">
        <f t="array" aca="1" ref="BV21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12" s="378" t="str">
        <f t="shared" ca="1" si="121"/>
        <v>-</v>
      </c>
      <c r="BX212" s="378" t="str">
        <f t="shared" ca="1" si="122"/>
        <v>-</v>
      </c>
      <c r="BY212" s="510" t="str">
        <f ca="1">IFERROR(ROUND(INDEX(Cluster,MATCH(IF(LEFT(BV212,4)="Pool",INDEX(Cluster,MATCH(INDEX(Calculation_Tab,MATCH(INDEX($BE$4:$BJ$99,MATCH(BV212,$BE$4:$BE$99,0),3),Flow_Cell_Lane,0),3),Cluster!$F$29:$F$412,0),6),BV212),Identifier_Cluster,0),19)*IF(LEFT(BV212,4)="pool",IF(LEN(INDEX($BE$4:$BJ$99,MATCH(BV212,$BE$4:$BE$99,0),3))=10,2,IF(LEN(INDEX($BE$4:$BJ$99,MATCH(BV212,$BE$4:$BE$99,0),3))&gt;10,LEN(INDEX($BE$4:$BJ$99,MATCH(BV212,$BE$4:$BE$99,0),3))-8,1)),1)*IF(LEFT(BV212,4)="pool",IF(INDEX($BE$4:$BJ$99,MATCH(BV212,$BE$4:$BE$99,0),6)&lt;1,1,INDEX($BE$4:$BJ$99,MATCH(BV212,$BE$4:$BE$99,0),6)),INDEX(Calculation_Tab,MATCH(BV212,Identifier,0),10)),1)*(1+Calculation!$Q$6),"-")</f>
        <v>-</v>
      </c>
      <c r="BZ212" s="378" t="str">
        <f ca="1">IFERROR((0.5/50)*CE212/Calculation!$AG$6*(IF(LEFT(BV212,4)="Pool",IF(LEN(INDEX($BE$4:$BJ$99,MATCH(BV212,$BE$4:$BE$99,0),3))=10,2,IF(LEN(INDEX($BE$4:$BJ$99,MATCH(BV212,$BE$4:$BE$99,0),3))&gt;10,LEN(INDEX($BE$4:$BJ$99,MATCH(BV212,$BE$4:$BE$99,0),3))-8,1)),IF(INDEX(Calculation_Tab,MATCH(BV212,Identifier,0),10)&gt;1,INDEX(Calculation_Tab,MATCH(BV212,Identifier,0),10),1)))*(1+Calculation!$Q$6),"-")</f>
        <v>-</v>
      </c>
      <c r="CA212" s="510" t="str">
        <f ca="1">IFERROR(IF((BZ212*Calculation!$AG$6/0.05)-SUM(BY212:BZ212,CC212)&gt;0,(BZ212*Calculation!$AG$6/0.05)-SUM(BY212:BZ212,CC212),0),"-")</f>
        <v>-</v>
      </c>
      <c r="CB212" s="510" t="str">
        <f ca="1">IFERROR(5/50*CE212*(IF(LEFT(BV212,4)="Pool",IF(LEN(INDEX($BE$4:$BJ$99,MATCH(BV212,$BE$4:$BE$99,0),3))=10,2,IF(LEN(INDEX($BE$4:$BJ$99,MATCH(BV212,$BE$4:$BE$99,0),3))&gt;10,LEN(INDEX($BE$4:$BJ$99,MATCH(BV212,$BE$4:$BE$99,0),3))-8,1)),IF(INDEX(Calculation_Tab,MATCH(BV212,Identifier,0),10)&gt;1,INDEX(Calculation_Tab,MATCH(BV212,Identifier,0),10),1)))*(1+Calculation!$Q$6),"-")</f>
        <v>-</v>
      </c>
      <c r="CC212" s="508" t="str">
        <f ca="1">IFERROR(ROUND(INDEX(Cluster,MATCH(IF(LEFT(BV212,4)="Pool",INDEX(Cluster,MATCH(INDEX(Calculation_Tab,MATCH(INDEX($BE$4:$BJ$99,MATCH(BV212,$BE$4:$BE$99,0),3),Flow_Cell_Lane,0),3),Cluster!$F$29:$F$412,0),6),BV212),Identifier_Cluster,0),20)*IF(LEFT(BV212,4)="pool",IF(LEN(INDEX($BE$4:$BJ$99,MATCH(BV212,$BE$4:$BE$99,0),3))=10,2,IF(LEN(INDEX($BE$4:$BJ$99,MATCH(BV212,$BE$4:$BE$99,0),3))&gt;10,LEN(INDEX($BE$4:$BJ$99,MATCH(BV212,$BE$4:$BE$99,0),3))-8,1)),1)*IF(LEFT(BV212,4)="pool",IF(INDEX($BE$4:$BJ$99,MATCH(BV212,$BE$4:$BE$99,0),6)&lt;1,1,INDEX($BE$4:$BJ$99,MATCH(BV212,$BE$4:$BE$99,0),6)),INDEX(Calculation_Tab,MATCH(BV212,Identifier,0),10)),1)*(1+Calculation!$Q$6),"-")</f>
        <v>-</v>
      </c>
      <c r="CD212" s="509" t="str">
        <f ca="1">IFERROR(INDEX(Cluster!AC:AD,MATCH(IF(LEFT(BV212,4)="Pool",INDEX(Cluster!$D$29:$AA$412,MATCH(INDEX(Calculation_Tab,MATCH(INDEX($BE$4:$BJ$99,MATCH(BV212,$BE$4:$BE$99,0),3),Flow_Cell_Lane,0),3),Cluster!$F$29:$F$412,0),24),INDEX(Cluster!$D$29:$AA$412,MATCH(BV212,Cluster!$F$29:$F$412,0),24)),Cluster!AC:AC,0),2),"-")</f>
        <v>-</v>
      </c>
      <c r="CE212" s="378" t="str">
        <f ca="1">IFERROR(IF(BV212&lt;&gt;"-",Calculation!$AK$6,"-"),"-")</f>
        <v>-</v>
      </c>
      <c r="CF212" s="378" t="str">
        <f ca="1">IF(OR(LEFT(ListAndConversion!BW212,3)="Dil",LEFT(ListAndConversion!BW212,3)="Poo"),ListAndConversion!$BT$4,IF(LEFT(ListAndConversion!BW212,3)="Sou",INDEX(ListAndConversion!$AT$3:$AV$387,MATCH(ListAndConversion!BV212,ListAndConversion!$AV$3:$AV$387,0),1),"-"))</f>
        <v>-</v>
      </c>
      <c r="CG212" s="498" t="str">
        <f ca="1">IF(OR(LEFT(ListAndConversion!BW212,3)="Dil",LEFT(ListAndConversion!BW212,3)="Poo"),ListAndConversion!BU212,IF(LEFT(ListAndConversion!BW212,3)="Sou",INDEX(ListAndConversion!$AT$4:$AV$387,MATCH(ListAndConversion!BV212,ListAndConversion!$AV$4:$AV$387,0),2),"-"))</f>
        <v>-</v>
      </c>
      <c r="CH212" s="378"/>
      <c r="CI212" s="487" t="str">
        <f t="shared" ca="1" si="123"/>
        <v>-</v>
      </c>
      <c r="CJ212" s="378" t="str">
        <f t="shared" ca="1" si="126"/>
        <v>-</v>
      </c>
      <c r="CK212" s="378" t="str">
        <f t="shared" ca="1" si="126"/>
        <v>-</v>
      </c>
      <c r="CL212" s="378" t="str">
        <f t="shared" ca="1" si="126"/>
        <v>-</v>
      </c>
      <c r="CM212" s="378" t="str">
        <f t="shared" ca="1" si="126"/>
        <v>-</v>
      </c>
      <c r="CN212" s="378" t="str">
        <f t="shared" ca="1" si="126"/>
        <v>-</v>
      </c>
      <c r="CO212" s="378" t="str">
        <f t="shared" ca="1" si="126"/>
        <v>-</v>
      </c>
      <c r="CP212" s="378" t="str">
        <f t="shared" ca="1" si="126"/>
        <v>-</v>
      </c>
      <c r="CQ212" s="378" t="str">
        <f t="shared" ca="1" si="126"/>
        <v>-</v>
      </c>
      <c r="CR212" s="510" t="str">
        <f ca="1">IFERROR(IF(LEFT(BW212,3)="Poo",INDEX($BE$4:$BJ$99,MATCH(CI212,$BG$4:$BG$99,0),6)*((15/50))*Calculation!$AK$6,INDEX(Calculation_Tab,MATCH(BV212,Identifier,0),10)/(IF(LEN(INDEX(Calculation_Tab,MATCH(BV212,Identifier,0),9))&gt;8,LEN(INDEX(Calculation_Tab,MATCH(BV212,Identifier,0),9))-8,1))*((15/50)*Calculation!$AK$6)),"-")</f>
        <v>-</v>
      </c>
      <c r="CS212" s="498" t="str">
        <f ca="1">IF(CI212="-","-",IF(COUNTIF($CI$3:CI212,CI212)&gt;1,0,IFERROR((35/50)*Calculation!$AK$6,"-")))</f>
        <v>-</v>
      </c>
    </row>
    <row r="213" spans="4:97" x14ac:dyDescent="0.5">
      <c r="D213" s="487" t="e">
        <f t="shared" si="109"/>
        <v>#DIV/0!</v>
      </c>
      <c r="E213" s="496" t="e">
        <f t="array" ref="E213">IF(IF((ROW(E213)-3)&lt;(ListAndConversion!$A$15),INDEX(Flow_Cell_Lane,MIN(IF(COUNTIF($E$2:E212,Flow_Cell_Lane)=0,ROW(Flow_Cell_Lane)-9))),"-")="","-",IF((ROW(E213)-3)&lt;(ListAndConversion!$A$15),INDEX(Flow_Cell_Lane,MIN(IF(COUNTIF($E$2:E212,Flow_Cell_Lane)=0,ROW(Flow_Cell_Lane)-9))),"-"))</f>
        <v>#DIV/0!</v>
      </c>
      <c r="F213" s="378" t="e">
        <f t="shared" si="110"/>
        <v>#DIV/0!</v>
      </c>
      <c r="G213" s="378" t="e">
        <f t="shared" ref="G213:M222" si="127">IF($D213&gt;8,IF($D213&gt;=(8+G$2),CONCATENATE(LEFT($E213,7),RIGHT(LEFT($E213,8+G$2),1)),""),"")</f>
        <v>#DIV/0!</v>
      </c>
      <c r="H213" s="378" t="e">
        <f t="shared" si="127"/>
        <v>#DIV/0!</v>
      </c>
      <c r="I213" s="378" t="e">
        <f t="shared" si="127"/>
        <v>#DIV/0!</v>
      </c>
      <c r="J213" s="378" t="e">
        <f t="shared" si="127"/>
        <v>#DIV/0!</v>
      </c>
      <c r="K213" s="378" t="e">
        <f t="shared" si="127"/>
        <v>#DIV/0!</v>
      </c>
      <c r="L213" s="378" t="e">
        <f t="shared" si="127"/>
        <v>#DIV/0!</v>
      </c>
      <c r="M213" s="378" t="e">
        <f t="shared" si="127"/>
        <v>#DIV/0!</v>
      </c>
      <c r="N213" s="497" t="e">
        <f t="shared" si="111"/>
        <v>#DIV/0!</v>
      </c>
      <c r="O213" s="497" t="str">
        <f t="array" ref="O213">IFERROR(INDEX(Calculation!I:AN,MATCH(ListAndConversion!E213,Calculation!I:I,0),31),"-")</f>
        <v>-</v>
      </c>
      <c r="P213" s="498">
        <f>IF(COUNTIFS(Calculation!$I$10:$I$393,E213,Direct_Denaturation,"-")&lt;&gt;1,COUNTIFS(Calculation!$I$10:$I$393,E213,Direct_Denaturation,"-"),0)</f>
        <v>0</v>
      </c>
      <c r="V213" s="542" t="s">
        <v>82</v>
      </c>
      <c r="W213" s="542" t="s">
        <v>82</v>
      </c>
      <c r="X213" s="542" t="s">
        <v>82</v>
      </c>
      <c r="Y213" s="542" t="s">
        <v>82</v>
      </c>
      <c r="Z213" s="542" t="s">
        <v>82</v>
      </c>
      <c r="AA213" s="542" t="s">
        <v>82</v>
      </c>
      <c r="AB213" s="542" t="s">
        <v>82</v>
      </c>
      <c r="AC213" s="542" t="s">
        <v>82</v>
      </c>
      <c r="AD213" s="542" t="s">
        <v>82</v>
      </c>
      <c r="AE213" s="542" t="s">
        <v>82</v>
      </c>
      <c r="AF213" s="542" t="s">
        <v>82</v>
      </c>
      <c r="AG213" s="542" t="s">
        <v>82</v>
      </c>
      <c r="AH213" s="9"/>
      <c r="AI213" s="487">
        <v>210</v>
      </c>
      <c r="AJ213" s="497" t="s">
        <v>162</v>
      </c>
      <c r="AK213" s="378">
        <v>18</v>
      </c>
      <c r="AL213" s="378" t="str">
        <f t="shared" ca="1" si="112"/>
        <v>-</v>
      </c>
      <c r="AM213" s="378" t="str">
        <f t="array" aca="1" ref="AM213" ca="1">IFERROR(IF(AI213&lt;=$AB$2,"-",INDEX(Calculation_Tab,SMALL(ROW(Main_Dil)*(Main_Dil&lt;&gt;"-"),COUNTIF(Main_Dil,"-")+ROW()-3-$AB$2)-9,5)),"-")</f>
        <v>-</v>
      </c>
      <c r="AN213" s="378" t="str">
        <f t="array" aca="1" ref="AN213" ca="1">IFERROR(IF(AI213&lt;=$AB$2,"-",INDEX($A$3:$B$12,MATCH(INDEX(Calculation_Tab,SMALL(ROW(Main_Dil)*(Main_Dil&lt;&gt;"-"),COUNTIF(Main_Dil,"-")+ROW()-3-$AB$2)-9,5),$A$3:$A$12,0),2)),"-")</f>
        <v>-</v>
      </c>
      <c r="AO213" s="378" t="str">
        <f t="array" aca="1" ref="AO213" ca="1">IFERROR(IF(AI213&lt;=$AB$2,"-",INDEX(Coordinate,MATCH(INDEX(Calculation_Tab,SMALL(ROW(Main_Dil)*(Main_Dil&lt;&gt;"-"),COUNTIF(Main_Dil,"-")+ROW()-3-$AB$2)-9,6),$X$4:$X$99,0),2)),"-")</f>
        <v>-</v>
      </c>
      <c r="AP213" s="510" t="str">
        <f t="array" aca="1" ref="AP213" ca="1">IFERROR(IF(AI213&lt;=$AB$2,"-",INDEX(Calculation_Tab,SMALL(ROW(Main_Dil)*(Main_Dil&lt;&gt;"-"),COUNTIF(Main_Dil,"-")+ROW()-3-$AB$2)-9,21)),"-")</f>
        <v>-</v>
      </c>
      <c r="AQ213" s="511" t="str">
        <f t="array" aca="1" ref="AQ213" ca="1">IFERROR(IF(AI213&lt;=$AB$2,"-",INDEX(Calculation_Tab,SMALL(ROW(Main_Dil)*(Main_Dil&lt;&gt;"-"),COUNTIF(Main_Dil,"-")+ROW()-3-$AB$2)-9,22)),"-")</f>
        <v>-</v>
      </c>
      <c r="AR213" s="487" t="str">
        <f t="shared" ca="1" si="113"/>
        <v>-</v>
      </c>
      <c r="AS213" s="378">
        <v>210</v>
      </c>
      <c r="AT213" s="497" t="s">
        <v>162</v>
      </c>
      <c r="AU213" s="498">
        <v>18</v>
      </c>
      <c r="AV213" s="378" t="str">
        <f t="shared" ca="1" si="114"/>
        <v>-</v>
      </c>
      <c r="AW213" s="378" t="str">
        <f t="array" aca="1" ref="AW213" ca="1">IFERROR(IF(AS213&lt;=$AB$2+$AN$2,"-",INDEX(Calculation_Tab,SMALL(ROW(Direct_Denaturation)*(Direct_Denaturation&lt;&gt;"-"),COUNTIF(Direct_Denaturation,"-")+ROW()-3-$AB$2-$AN$2)-9,5)),"-")</f>
        <v>-</v>
      </c>
      <c r="AX213" s="378" t="str">
        <f t="array" aca="1" ref="AX213" ca="1">IFERROR(IF(AS213&lt;=$AB$2+$AN$2,"-",INDEX($A$3:$B$12,MATCH(INDEX(Calculation_Tab,SMALL(ROW(Direct_Denaturation)*(Direct_Denaturation&lt;&gt;"-"),COUNTIF(Direct_Denaturation,"-")+ROW()-3-$AB$2-$AN$2)-9,5),$A$3:$A$12,0),2)),"-")</f>
        <v>-</v>
      </c>
      <c r="AY213" s="378" t="str">
        <f t="array" aca="1" ref="AY213" ca="1">IFERROR(IF(AS213&lt;=$AB$2+$AN$2,"-",INDEX(Coordinate,MATCH(INDEX(Calculation_Tab,SMALL(ROW(Direct_Denaturation)*(Direct_Denaturation&lt;&gt;"-"),COUNTIF(Direct_Denaturation,"-")+ROW()-3-$AB$2-$AN$2)-9,6),$X$4:$X$99,0),2)),"-")</f>
        <v>-</v>
      </c>
      <c r="AZ213" s="510" t="str">
        <f t="array" aca="1" ref="AZ213" ca="1">IFERROR(IF(AS213&lt;=$AB$2+$AN$2,"-",INDEX(Calculation_Tab,SMALL(ROW(Direct_Denaturation)*(Direct_Denaturation&lt;&gt;"-"),COUNTIF(Direct_Denaturation,"-")+ROW()-3-$AB$2-$AN$2)-9,32)),"-")</f>
        <v>-</v>
      </c>
      <c r="BA213" s="510" t="str">
        <f t="array" aca="1" ref="BA213" ca="1">IFERROR(IF(AS213&lt;=$AB$2+$AN$2,"-",INDEX(Calculation_Tab,SMALL(ROW(Direct_Denaturation)*(Direct_Denaturation&lt;&gt;"-"),COUNTIF(Direct_Denaturation,"-")+ROW()-3-$AB$2-$AN$2)-9,34)),"-")</f>
        <v>-</v>
      </c>
      <c r="BB213" s="510" t="str">
        <f t="array" aca="1" ref="BB213" ca="1">IFERROR(IF(AS213&lt;=$AB$2+$AN$2,"-",INDEX(Calculation_Tab,SMALL(ROW(Direct_Denaturation)*(Direct_Denaturation&lt;&gt;"-"),COUNTIF(Direct_Denaturation,"-")+ROW()-3-$AB$2-$AN$2)-9,33)),"-")</f>
        <v>-</v>
      </c>
      <c r="BC213" s="510" t="str">
        <f t="array" aca="1" ref="BC213" ca="1">IFERROR(IF(AS213&lt;=$AB$2+$AN$2,"-",INDEX(Calculation_Tab,SMALL(ROW(Direct_Denaturation)*(Direct_Denaturation&lt;&gt;"-"),COUNTIF(Direct_Denaturation,"-")+ROW()-3-$AB$2-$AN$2)-9,35)),"-")</f>
        <v>-</v>
      </c>
      <c r="BD213" s="511" t="str">
        <f t="shared" ca="1" si="115"/>
        <v>-</v>
      </c>
      <c r="BK213" s="542" t="s">
        <v>82</v>
      </c>
      <c r="BL213" s="542" t="s">
        <v>82</v>
      </c>
      <c r="BM213" s="487" t="str">
        <f t="array" aca="1" ref="BM213" ca="1">IFERROR(INDEX(Calculation_Tab,SMALL(ROW(ToPool)*(ToPool&lt;&gt;"-"),COUNTIF(ToPool,"-")+ROW()-3)-9,3),"-")</f>
        <v>-</v>
      </c>
      <c r="BN213" s="378" t="str">
        <f t="shared" ca="1" si="116"/>
        <v>-</v>
      </c>
      <c r="BO213" s="378" t="str">
        <f t="shared" ca="1" si="117"/>
        <v>-</v>
      </c>
      <c r="BP213" s="523" t="str">
        <f t="shared" ca="1" si="118"/>
        <v>-</v>
      </c>
      <c r="BQ213" s="378" t="str">
        <f t="array" aca="1" ref="BQ213" ca="1">IFERROR(INDEX(BE:BG,MATCH(INDEX(Calculation_Tab,SMALL(ROW(ToPool)*(ToPool&lt;&gt;"-"),COUNTIF(ToPool,"-")+ROW()-3)-9,9),BG:BG,0),2),"-")</f>
        <v>-</v>
      </c>
      <c r="BR213" s="510" t="str">
        <f t="shared" ca="1" si="119"/>
        <v>-</v>
      </c>
      <c r="BS213" s="511" t="str">
        <f t="shared" ca="1" si="120"/>
        <v>-</v>
      </c>
      <c r="BT213" s="543" t="s">
        <v>82</v>
      </c>
      <c r="BU213" s="487" t="str">
        <f t="shared" ca="1" si="124"/>
        <v>-</v>
      </c>
      <c r="BV213" s="487" t="str">
        <f t="array" aca="1" ref="BV21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13" s="378" t="str">
        <f t="shared" ca="1" si="121"/>
        <v>-</v>
      </c>
      <c r="BX213" s="378" t="str">
        <f t="shared" ca="1" si="122"/>
        <v>-</v>
      </c>
      <c r="BY213" s="510" t="str">
        <f ca="1">IFERROR(ROUND(INDEX(Cluster,MATCH(IF(LEFT(BV213,4)="Pool",INDEX(Cluster,MATCH(INDEX(Calculation_Tab,MATCH(INDEX($BE$4:$BJ$99,MATCH(BV213,$BE$4:$BE$99,0),3),Flow_Cell_Lane,0),3),Cluster!$F$29:$F$412,0),6),BV213),Identifier_Cluster,0),19)*IF(LEFT(BV213,4)="pool",IF(LEN(INDEX($BE$4:$BJ$99,MATCH(BV213,$BE$4:$BE$99,0),3))=10,2,IF(LEN(INDEX($BE$4:$BJ$99,MATCH(BV213,$BE$4:$BE$99,0),3))&gt;10,LEN(INDEX($BE$4:$BJ$99,MATCH(BV213,$BE$4:$BE$99,0),3))-8,1)),1)*IF(LEFT(BV213,4)="pool",IF(INDEX($BE$4:$BJ$99,MATCH(BV213,$BE$4:$BE$99,0),6)&lt;1,1,INDEX($BE$4:$BJ$99,MATCH(BV213,$BE$4:$BE$99,0),6)),INDEX(Calculation_Tab,MATCH(BV213,Identifier,0),10)),1)*(1+Calculation!$Q$6),"-")</f>
        <v>-</v>
      </c>
      <c r="BZ213" s="378" t="str">
        <f ca="1">IFERROR((0.5/50)*CE213/Calculation!$AG$6*(IF(LEFT(BV213,4)="Pool",IF(LEN(INDEX($BE$4:$BJ$99,MATCH(BV213,$BE$4:$BE$99,0),3))=10,2,IF(LEN(INDEX($BE$4:$BJ$99,MATCH(BV213,$BE$4:$BE$99,0),3))&gt;10,LEN(INDEX($BE$4:$BJ$99,MATCH(BV213,$BE$4:$BE$99,0),3))-8,1)),IF(INDEX(Calculation_Tab,MATCH(BV213,Identifier,0),10)&gt;1,INDEX(Calculation_Tab,MATCH(BV213,Identifier,0),10),1)))*(1+Calculation!$Q$6),"-")</f>
        <v>-</v>
      </c>
      <c r="CA213" s="510" t="str">
        <f ca="1">IFERROR(IF((BZ213*Calculation!$AG$6/0.05)-SUM(BY213:BZ213,CC213)&gt;0,(BZ213*Calculation!$AG$6/0.05)-SUM(BY213:BZ213,CC213),0),"-")</f>
        <v>-</v>
      </c>
      <c r="CB213" s="510" t="str">
        <f ca="1">IFERROR(5/50*CE213*(IF(LEFT(BV213,4)="Pool",IF(LEN(INDEX($BE$4:$BJ$99,MATCH(BV213,$BE$4:$BE$99,0),3))=10,2,IF(LEN(INDEX($BE$4:$BJ$99,MATCH(BV213,$BE$4:$BE$99,0),3))&gt;10,LEN(INDEX($BE$4:$BJ$99,MATCH(BV213,$BE$4:$BE$99,0),3))-8,1)),IF(INDEX(Calculation_Tab,MATCH(BV213,Identifier,0),10)&gt;1,INDEX(Calculation_Tab,MATCH(BV213,Identifier,0),10),1)))*(1+Calculation!$Q$6),"-")</f>
        <v>-</v>
      </c>
      <c r="CC213" s="508" t="str">
        <f ca="1">IFERROR(ROUND(INDEX(Cluster,MATCH(IF(LEFT(BV213,4)="Pool",INDEX(Cluster,MATCH(INDEX(Calculation_Tab,MATCH(INDEX($BE$4:$BJ$99,MATCH(BV213,$BE$4:$BE$99,0),3),Flow_Cell_Lane,0),3),Cluster!$F$29:$F$412,0),6),BV213),Identifier_Cluster,0),20)*IF(LEFT(BV213,4)="pool",IF(LEN(INDEX($BE$4:$BJ$99,MATCH(BV213,$BE$4:$BE$99,0),3))=10,2,IF(LEN(INDEX($BE$4:$BJ$99,MATCH(BV213,$BE$4:$BE$99,0),3))&gt;10,LEN(INDEX($BE$4:$BJ$99,MATCH(BV213,$BE$4:$BE$99,0),3))-8,1)),1)*IF(LEFT(BV213,4)="pool",IF(INDEX($BE$4:$BJ$99,MATCH(BV213,$BE$4:$BE$99,0),6)&lt;1,1,INDEX($BE$4:$BJ$99,MATCH(BV213,$BE$4:$BE$99,0),6)),INDEX(Calculation_Tab,MATCH(BV213,Identifier,0),10)),1)*(1+Calculation!$Q$6),"-")</f>
        <v>-</v>
      </c>
      <c r="CD213" s="509" t="str">
        <f ca="1">IFERROR(INDEX(Cluster!AC:AD,MATCH(IF(LEFT(BV213,4)="Pool",INDEX(Cluster!$D$29:$AA$412,MATCH(INDEX(Calculation_Tab,MATCH(INDEX($BE$4:$BJ$99,MATCH(BV213,$BE$4:$BE$99,0),3),Flow_Cell_Lane,0),3),Cluster!$F$29:$F$412,0),24),INDEX(Cluster!$D$29:$AA$412,MATCH(BV213,Cluster!$F$29:$F$412,0),24)),Cluster!AC:AC,0),2),"-")</f>
        <v>-</v>
      </c>
      <c r="CE213" s="378" t="str">
        <f ca="1">IFERROR(IF(BV213&lt;&gt;"-",Calculation!$AK$6,"-"),"-")</f>
        <v>-</v>
      </c>
      <c r="CF213" s="378" t="str">
        <f ca="1">IF(OR(LEFT(ListAndConversion!BW213,3)="Dil",LEFT(ListAndConversion!BW213,3)="Poo"),ListAndConversion!$BT$4,IF(LEFT(ListAndConversion!BW213,3)="Sou",INDEX(ListAndConversion!$AT$3:$AV$387,MATCH(ListAndConversion!BV213,ListAndConversion!$AV$3:$AV$387,0),1),"-"))</f>
        <v>-</v>
      </c>
      <c r="CG213" s="498" t="str">
        <f ca="1">IF(OR(LEFT(ListAndConversion!BW213,3)="Dil",LEFT(ListAndConversion!BW213,3)="Poo"),ListAndConversion!BU213,IF(LEFT(ListAndConversion!BW213,3)="Sou",INDEX(ListAndConversion!$AT$4:$AV$387,MATCH(ListAndConversion!BV213,ListAndConversion!$AV$4:$AV$387,0),2),"-"))</f>
        <v>-</v>
      </c>
      <c r="CH213" s="378"/>
      <c r="CI213" s="487" t="str">
        <f t="shared" ca="1" si="123"/>
        <v>-</v>
      </c>
      <c r="CJ213" s="378" t="str">
        <f t="shared" ca="1" si="126"/>
        <v>-</v>
      </c>
      <c r="CK213" s="378" t="str">
        <f t="shared" ca="1" si="126"/>
        <v>-</v>
      </c>
      <c r="CL213" s="378" t="str">
        <f t="shared" ca="1" si="126"/>
        <v>-</v>
      </c>
      <c r="CM213" s="378" t="str">
        <f t="shared" ca="1" si="126"/>
        <v>-</v>
      </c>
      <c r="CN213" s="378" t="str">
        <f t="shared" ca="1" si="126"/>
        <v>-</v>
      </c>
      <c r="CO213" s="378" t="str">
        <f t="shared" ca="1" si="126"/>
        <v>-</v>
      </c>
      <c r="CP213" s="378" t="str">
        <f t="shared" ca="1" si="126"/>
        <v>-</v>
      </c>
      <c r="CQ213" s="378" t="str">
        <f t="shared" ca="1" si="126"/>
        <v>-</v>
      </c>
      <c r="CR213" s="510" t="str">
        <f ca="1">IFERROR(IF(LEFT(BW213,3)="Poo",INDEX($BE$4:$BJ$99,MATCH(CI213,$BG$4:$BG$99,0),6)*((15/50))*Calculation!$AK$6,INDEX(Calculation_Tab,MATCH(BV213,Identifier,0),10)/(IF(LEN(INDEX(Calculation_Tab,MATCH(BV213,Identifier,0),9))&gt;8,LEN(INDEX(Calculation_Tab,MATCH(BV213,Identifier,0),9))-8,1))*((15/50)*Calculation!$AK$6)),"-")</f>
        <v>-</v>
      </c>
      <c r="CS213" s="498" t="str">
        <f ca="1">IF(CI213="-","-",IF(COUNTIF($CI$3:CI213,CI213)&gt;1,0,IFERROR((35/50)*Calculation!$AK$6,"-")))</f>
        <v>-</v>
      </c>
    </row>
    <row r="214" spans="4:97" x14ac:dyDescent="0.5">
      <c r="D214" s="487" t="e">
        <f t="shared" si="109"/>
        <v>#DIV/0!</v>
      </c>
      <c r="E214" s="496" t="e">
        <f t="array" ref="E214">IF(IF((ROW(E214)-3)&lt;(ListAndConversion!$A$15),INDEX(Flow_Cell_Lane,MIN(IF(COUNTIF($E$2:E213,Flow_Cell_Lane)=0,ROW(Flow_Cell_Lane)-9))),"-")="","-",IF((ROW(E214)-3)&lt;(ListAndConversion!$A$15),INDEX(Flow_Cell_Lane,MIN(IF(COUNTIF($E$2:E213,Flow_Cell_Lane)=0,ROW(Flow_Cell_Lane)-9))),"-"))</f>
        <v>#DIV/0!</v>
      </c>
      <c r="F214" s="378" t="e">
        <f t="shared" si="110"/>
        <v>#DIV/0!</v>
      </c>
      <c r="G214" s="378" t="e">
        <f t="shared" si="127"/>
        <v>#DIV/0!</v>
      </c>
      <c r="H214" s="378" t="e">
        <f t="shared" si="127"/>
        <v>#DIV/0!</v>
      </c>
      <c r="I214" s="378" t="e">
        <f t="shared" si="127"/>
        <v>#DIV/0!</v>
      </c>
      <c r="J214" s="378" t="e">
        <f t="shared" si="127"/>
        <v>#DIV/0!</v>
      </c>
      <c r="K214" s="378" t="e">
        <f t="shared" si="127"/>
        <v>#DIV/0!</v>
      </c>
      <c r="L214" s="378" t="e">
        <f t="shared" si="127"/>
        <v>#DIV/0!</v>
      </c>
      <c r="M214" s="378" t="e">
        <f t="shared" si="127"/>
        <v>#DIV/0!</v>
      </c>
      <c r="N214" s="497" t="e">
        <f t="shared" si="111"/>
        <v>#DIV/0!</v>
      </c>
      <c r="O214" s="497" t="str">
        <f t="array" ref="O214">IFERROR(INDEX(Calculation!I:AN,MATCH(ListAndConversion!E214,Calculation!I:I,0),31),"-")</f>
        <v>-</v>
      </c>
      <c r="P214" s="498">
        <f>IF(COUNTIFS(Calculation!$I$10:$I$393,E214,Direct_Denaturation,"-")&lt;&gt;1,COUNTIFS(Calculation!$I$10:$I$393,E214,Direct_Denaturation,"-"),0)</f>
        <v>0</v>
      </c>
      <c r="V214" s="542" t="s">
        <v>82</v>
      </c>
      <c r="W214" s="542" t="s">
        <v>82</v>
      </c>
      <c r="X214" s="542" t="s">
        <v>82</v>
      </c>
      <c r="Y214" s="542" t="s">
        <v>82</v>
      </c>
      <c r="Z214" s="542" t="s">
        <v>82</v>
      </c>
      <c r="AA214" s="542" t="s">
        <v>82</v>
      </c>
      <c r="AB214" s="542" t="s">
        <v>82</v>
      </c>
      <c r="AC214" s="542" t="s">
        <v>82</v>
      </c>
      <c r="AD214" s="542" t="s">
        <v>82</v>
      </c>
      <c r="AE214" s="542" t="s">
        <v>82</v>
      </c>
      <c r="AF214" s="542" t="s">
        <v>82</v>
      </c>
      <c r="AG214" s="542" t="s">
        <v>82</v>
      </c>
      <c r="AH214" s="9"/>
      <c r="AI214" s="487">
        <v>211</v>
      </c>
      <c r="AJ214" s="497" t="s">
        <v>162</v>
      </c>
      <c r="AK214" s="378">
        <v>19</v>
      </c>
      <c r="AL214" s="378" t="str">
        <f t="shared" ca="1" si="112"/>
        <v>-</v>
      </c>
      <c r="AM214" s="378" t="str">
        <f t="array" aca="1" ref="AM214" ca="1">IFERROR(IF(AI214&lt;=$AB$2,"-",INDEX(Calculation_Tab,SMALL(ROW(Main_Dil)*(Main_Dil&lt;&gt;"-"),COUNTIF(Main_Dil,"-")+ROW()-3-$AB$2)-9,5)),"-")</f>
        <v>-</v>
      </c>
      <c r="AN214" s="378" t="str">
        <f t="array" aca="1" ref="AN214" ca="1">IFERROR(IF(AI214&lt;=$AB$2,"-",INDEX($A$3:$B$12,MATCH(INDEX(Calculation_Tab,SMALL(ROW(Main_Dil)*(Main_Dil&lt;&gt;"-"),COUNTIF(Main_Dil,"-")+ROW()-3-$AB$2)-9,5),$A$3:$A$12,0),2)),"-")</f>
        <v>-</v>
      </c>
      <c r="AO214" s="378" t="str">
        <f t="array" aca="1" ref="AO214" ca="1">IFERROR(IF(AI214&lt;=$AB$2,"-",INDEX(Coordinate,MATCH(INDEX(Calculation_Tab,SMALL(ROW(Main_Dil)*(Main_Dil&lt;&gt;"-"),COUNTIF(Main_Dil,"-")+ROW()-3-$AB$2)-9,6),$X$4:$X$99,0),2)),"-")</f>
        <v>-</v>
      </c>
      <c r="AP214" s="510" t="str">
        <f t="array" aca="1" ref="AP214" ca="1">IFERROR(IF(AI214&lt;=$AB$2,"-",INDEX(Calculation_Tab,SMALL(ROW(Main_Dil)*(Main_Dil&lt;&gt;"-"),COUNTIF(Main_Dil,"-")+ROW()-3-$AB$2)-9,21)),"-")</f>
        <v>-</v>
      </c>
      <c r="AQ214" s="511" t="str">
        <f t="array" aca="1" ref="AQ214" ca="1">IFERROR(IF(AI214&lt;=$AB$2,"-",INDEX(Calculation_Tab,SMALL(ROW(Main_Dil)*(Main_Dil&lt;&gt;"-"),COUNTIF(Main_Dil,"-")+ROW()-3-$AB$2)-9,22)),"-")</f>
        <v>-</v>
      </c>
      <c r="AR214" s="487" t="str">
        <f t="shared" ca="1" si="113"/>
        <v>-</v>
      </c>
      <c r="AS214" s="378">
        <v>211</v>
      </c>
      <c r="AT214" s="497" t="s">
        <v>162</v>
      </c>
      <c r="AU214" s="498">
        <v>19</v>
      </c>
      <c r="AV214" s="378" t="str">
        <f t="shared" ca="1" si="114"/>
        <v>-</v>
      </c>
      <c r="AW214" s="378" t="str">
        <f t="array" aca="1" ref="AW214" ca="1">IFERROR(IF(AS214&lt;=$AB$2+$AN$2,"-",INDEX(Calculation_Tab,SMALL(ROW(Direct_Denaturation)*(Direct_Denaturation&lt;&gt;"-"),COUNTIF(Direct_Denaturation,"-")+ROW()-3-$AB$2-$AN$2)-9,5)),"-")</f>
        <v>-</v>
      </c>
      <c r="AX214" s="378" t="str">
        <f t="array" aca="1" ref="AX214" ca="1">IFERROR(IF(AS214&lt;=$AB$2+$AN$2,"-",INDEX($A$3:$B$12,MATCH(INDEX(Calculation_Tab,SMALL(ROW(Direct_Denaturation)*(Direct_Denaturation&lt;&gt;"-"),COUNTIF(Direct_Denaturation,"-")+ROW()-3-$AB$2-$AN$2)-9,5),$A$3:$A$12,0),2)),"-")</f>
        <v>-</v>
      </c>
      <c r="AY214" s="378" t="str">
        <f t="array" aca="1" ref="AY214" ca="1">IFERROR(IF(AS214&lt;=$AB$2+$AN$2,"-",INDEX(Coordinate,MATCH(INDEX(Calculation_Tab,SMALL(ROW(Direct_Denaturation)*(Direct_Denaturation&lt;&gt;"-"),COUNTIF(Direct_Denaturation,"-")+ROW()-3-$AB$2-$AN$2)-9,6),$X$4:$X$99,0),2)),"-")</f>
        <v>-</v>
      </c>
      <c r="AZ214" s="510" t="str">
        <f t="array" aca="1" ref="AZ214" ca="1">IFERROR(IF(AS214&lt;=$AB$2+$AN$2,"-",INDEX(Calculation_Tab,SMALL(ROW(Direct_Denaturation)*(Direct_Denaturation&lt;&gt;"-"),COUNTIF(Direct_Denaturation,"-")+ROW()-3-$AB$2-$AN$2)-9,32)),"-")</f>
        <v>-</v>
      </c>
      <c r="BA214" s="510" t="str">
        <f t="array" aca="1" ref="BA214" ca="1">IFERROR(IF(AS214&lt;=$AB$2+$AN$2,"-",INDEX(Calculation_Tab,SMALL(ROW(Direct_Denaturation)*(Direct_Denaturation&lt;&gt;"-"),COUNTIF(Direct_Denaturation,"-")+ROW()-3-$AB$2-$AN$2)-9,34)),"-")</f>
        <v>-</v>
      </c>
      <c r="BB214" s="510" t="str">
        <f t="array" aca="1" ref="BB214" ca="1">IFERROR(IF(AS214&lt;=$AB$2+$AN$2,"-",INDEX(Calculation_Tab,SMALL(ROW(Direct_Denaturation)*(Direct_Denaturation&lt;&gt;"-"),COUNTIF(Direct_Denaturation,"-")+ROW()-3-$AB$2-$AN$2)-9,33)),"-")</f>
        <v>-</v>
      </c>
      <c r="BC214" s="510" t="str">
        <f t="array" aca="1" ref="BC214" ca="1">IFERROR(IF(AS214&lt;=$AB$2+$AN$2,"-",INDEX(Calculation_Tab,SMALL(ROW(Direct_Denaturation)*(Direct_Denaturation&lt;&gt;"-"),COUNTIF(Direct_Denaturation,"-")+ROW()-3-$AB$2-$AN$2)-9,35)),"-")</f>
        <v>-</v>
      </c>
      <c r="BD214" s="511" t="str">
        <f t="shared" ca="1" si="115"/>
        <v>-</v>
      </c>
      <c r="BK214" s="542" t="s">
        <v>82</v>
      </c>
      <c r="BL214" s="542" t="s">
        <v>82</v>
      </c>
      <c r="BM214" s="487" t="str">
        <f t="array" aca="1" ref="BM214" ca="1">IFERROR(INDEX(Calculation_Tab,SMALL(ROW(ToPool)*(ToPool&lt;&gt;"-"),COUNTIF(ToPool,"-")+ROW()-3)-9,3),"-")</f>
        <v>-</v>
      </c>
      <c r="BN214" s="378" t="str">
        <f t="shared" ca="1" si="116"/>
        <v>-</v>
      </c>
      <c r="BO214" s="378" t="str">
        <f t="shared" ca="1" si="117"/>
        <v>-</v>
      </c>
      <c r="BP214" s="523" t="str">
        <f t="shared" ca="1" si="118"/>
        <v>-</v>
      </c>
      <c r="BQ214" s="378" t="str">
        <f t="array" aca="1" ref="BQ214" ca="1">IFERROR(INDEX(BE:BG,MATCH(INDEX(Calculation_Tab,SMALL(ROW(ToPool)*(ToPool&lt;&gt;"-"),COUNTIF(ToPool,"-")+ROW()-3)-9,9),BG:BG,0),2),"-")</f>
        <v>-</v>
      </c>
      <c r="BR214" s="510" t="str">
        <f t="shared" ca="1" si="119"/>
        <v>-</v>
      </c>
      <c r="BS214" s="511" t="str">
        <f t="shared" ca="1" si="120"/>
        <v>-</v>
      </c>
      <c r="BT214" s="543" t="s">
        <v>82</v>
      </c>
      <c r="BU214" s="487" t="str">
        <f t="shared" ca="1" si="124"/>
        <v>-</v>
      </c>
      <c r="BV214" s="487" t="str">
        <f t="array" aca="1" ref="BV21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14" s="378" t="str">
        <f t="shared" ca="1" si="121"/>
        <v>-</v>
      </c>
      <c r="BX214" s="378" t="str">
        <f t="shared" ca="1" si="122"/>
        <v>-</v>
      </c>
      <c r="BY214" s="510" t="str">
        <f ca="1">IFERROR(ROUND(INDEX(Cluster,MATCH(IF(LEFT(BV214,4)="Pool",INDEX(Cluster,MATCH(INDEX(Calculation_Tab,MATCH(INDEX($BE$4:$BJ$99,MATCH(BV214,$BE$4:$BE$99,0),3),Flow_Cell_Lane,0),3),Cluster!$F$29:$F$412,0),6),BV214),Identifier_Cluster,0),19)*IF(LEFT(BV214,4)="pool",IF(LEN(INDEX($BE$4:$BJ$99,MATCH(BV214,$BE$4:$BE$99,0),3))=10,2,IF(LEN(INDEX($BE$4:$BJ$99,MATCH(BV214,$BE$4:$BE$99,0),3))&gt;10,LEN(INDEX($BE$4:$BJ$99,MATCH(BV214,$BE$4:$BE$99,0),3))-8,1)),1)*IF(LEFT(BV214,4)="pool",IF(INDEX($BE$4:$BJ$99,MATCH(BV214,$BE$4:$BE$99,0),6)&lt;1,1,INDEX($BE$4:$BJ$99,MATCH(BV214,$BE$4:$BE$99,0),6)),INDEX(Calculation_Tab,MATCH(BV214,Identifier,0),10)),1)*(1+Calculation!$Q$6),"-")</f>
        <v>-</v>
      </c>
      <c r="BZ214" s="378" t="str">
        <f ca="1">IFERROR((0.5/50)*CE214/Calculation!$AG$6*(IF(LEFT(BV214,4)="Pool",IF(LEN(INDEX($BE$4:$BJ$99,MATCH(BV214,$BE$4:$BE$99,0),3))=10,2,IF(LEN(INDEX($BE$4:$BJ$99,MATCH(BV214,$BE$4:$BE$99,0),3))&gt;10,LEN(INDEX($BE$4:$BJ$99,MATCH(BV214,$BE$4:$BE$99,0),3))-8,1)),IF(INDEX(Calculation_Tab,MATCH(BV214,Identifier,0),10)&gt;1,INDEX(Calculation_Tab,MATCH(BV214,Identifier,0),10),1)))*(1+Calculation!$Q$6),"-")</f>
        <v>-</v>
      </c>
      <c r="CA214" s="510" t="str">
        <f ca="1">IFERROR(IF((BZ214*Calculation!$AG$6/0.05)-SUM(BY214:BZ214,CC214)&gt;0,(BZ214*Calculation!$AG$6/0.05)-SUM(BY214:BZ214,CC214),0),"-")</f>
        <v>-</v>
      </c>
      <c r="CB214" s="510" t="str">
        <f ca="1">IFERROR(5/50*CE214*(IF(LEFT(BV214,4)="Pool",IF(LEN(INDEX($BE$4:$BJ$99,MATCH(BV214,$BE$4:$BE$99,0),3))=10,2,IF(LEN(INDEX($BE$4:$BJ$99,MATCH(BV214,$BE$4:$BE$99,0),3))&gt;10,LEN(INDEX($BE$4:$BJ$99,MATCH(BV214,$BE$4:$BE$99,0),3))-8,1)),IF(INDEX(Calculation_Tab,MATCH(BV214,Identifier,0),10)&gt;1,INDEX(Calculation_Tab,MATCH(BV214,Identifier,0),10),1)))*(1+Calculation!$Q$6),"-")</f>
        <v>-</v>
      </c>
      <c r="CC214" s="508" t="str">
        <f ca="1">IFERROR(ROUND(INDEX(Cluster,MATCH(IF(LEFT(BV214,4)="Pool",INDEX(Cluster,MATCH(INDEX(Calculation_Tab,MATCH(INDEX($BE$4:$BJ$99,MATCH(BV214,$BE$4:$BE$99,0),3),Flow_Cell_Lane,0),3),Cluster!$F$29:$F$412,0),6),BV214),Identifier_Cluster,0),20)*IF(LEFT(BV214,4)="pool",IF(LEN(INDEX($BE$4:$BJ$99,MATCH(BV214,$BE$4:$BE$99,0),3))=10,2,IF(LEN(INDEX($BE$4:$BJ$99,MATCH(BV214,$BE$4:$BE$99,0),3))&gt;10,LEN(INDEX($BE$4:$BJ$99,MATCH(BV214,$BE$4:$BE$99,0),3))-8,1)),1)*IF(LEFT(BV214,4)="pool",IF(INDEX($BE$4:$BJ$99,MATCH(BV214,$BE$4:$BE$99,0),6)&lt;1,1,INDEX($BE$4:$BJ$99,MATCH(BV214,$BE$4:$BE$99,0),6)),INDEX(Calculation_Tab,MATCH(BV214,Identifier,0),10)),1)*(1+Calculation!$Q$6),"-")</f>
        <v>-</v>
      </c>
      <c r="CD214" s="509" t="str">
        <f ca="1">IFERROR(INDEX(Cluster!AC:AD,MATCH(IF(LEFT(BV214,4)="Pool",INDEX(Cluster!$D$29:$AA$412,MATCH(INDEX(Calculation_Tab,MATCH(INDEX($BE$4:$BJ$99,MATCH(BV214,$BE$4:$BE$99,0),3),Flow_Cell_Lane,0),3),Cluster!$F$29:$F$412,0),24),INDEX(Cluster!$D$29:$AA$412,MATCH(BV214,Cluster!$F$29:$F$412,0),24)),Cluster!AC:AC,0),2),"-")</f>
        <v>-</v>
      </c>
      <c r="CE214" s="378" t="str">
        <f ca="1">IFERROR(IF(BV214&lt;&gt;"-",Calculation!$AK$6,"-"),"-")</f>
        <v>-</v>
      </c>
      <c r="CF214" s="378" t="str">
        <f ca="1">IF(OR(LEFT(ListAndConversion!BW214,3)="Dil",LEFT(ListAndConversion!BW214,3)="Poo"),ListAndConversion!$BT$4,IF(LEFT(ListAndConversion!BW214,3)="Sou",INDEX(ListAndConversion!$AT$3:$AV$387,MATCH(ListAndConversion!BV214,ListAndConversion!$AV$3:$AV$387,0),1),"-"))</f>
        <v>-</v>
      </c>
      <c r="CG214" s="498" t="str">
        <f ca="1">IF(OR(LEFT(ListAndConversion!BW214,3)="Dil",LEFT(ListAndConversion!BW214,3)="Poo"),ListAndConversion!BU214,IF(LEFT(ListAndConversion!BW214,3)="Sou",INDEX(ListAndConversion!$AT$4:$AV$387,MATCH(ListAndConversion!BV214,ListAndConversion!$AV$4:$AV$387,0),2),"-"))</f>
        <v>-</v>
      </c>
      <c r="CH214" s="378"/>
      <c r="CI214" s="487" t="str">
        <f t="shared" ca="1" si="123"/>
        <v>-</v>
      </c>
      <c r="CJ214" s="378" t="str">
        <f t="shared" ref="CJ214:CQ223" ca="1" si="128">IFERROR(INDEX($R$3:$U$98,MATCH(INDEX($F$3:$M$387,MATCH($CI214,$E$3:$E$386,0),CJ$3),$S$3:$S$98,0),4),"-")</f>
        <v>-</v>
      </c>
      <c r="CK214" s="378" t="str">
        <f t="shared" ca="1" si="128"/>
        <v>-</v>
      </c>
      <c r="CL214" s="378" t="str">
        <f t="shared" ca="1" si="128"/>
        <v>-</v>
      </c>
      <c r="CM214" s="378" t="str">
        <f t="shared" ca="1" si="128"/>
        <v>-</v>
      </c>
      <c r="CN214" s="378" t="str">
        <f t="shared" ca="1" si="128"/>
        <v>-</v>
      </c>
      <c r="CO214" s="378" t="str">
        <f t="shared" ca="1" si="128"/>
        <v>-</v>
      </c>
      <c r="CP214" s="378" t="str">
        <f t="shared" ca="1" si="128"/>
        <v>-</v>
      </c>
      <c r="CQ214" s="378" t="str">
        <f t="shared" ca="1" si="128"/>
        <v>-</v>
      </c>
      <c r="CR214" s="510" t="str">
        <f ca="1">IFERROR(IF(LEFT(BW214,3)="Poo",INDEX($BE$4:$BJ$99,MATCH(CI214,$BG$4:$BG$99,0),6)*((15/50))*Calculation!$AK$6,INDEX(Calculation_Tab,MATCH(BV214,Identifier,0),10)/(IF(LEN(INDEX(Calculation_Tab,MATCH(BV214,Identifier,0),9))&gt;8,LEN(INDEX(Calculation_Tab,MATCH(BV214,Identifier,0),9))-8,1))*((15/50)*Calculation!$AK$6)),"-")</f>
        <v>-</v>
      </c>
      <c r="CS214" s="498" t="str">
        <f ca="1">IF(CI214="-","-",IF(COUNTIF($CI$3:CI214,CI214)&gt;1,0,IFERROR((35/50)*Calculation!$AK$6,"-")))</f>
        <v>-</v>
      </c>
    </row>
    <row r="215" spans="4:97" x14ac:dyDescent="0.5">
      <c r="D215" s="487" t="e">
        <f t="shared" si="109"/>
        <v>#DIV/0!</v>
      </c>
      <c r="E215" s="496" t="e">
        <f t="array" ref="E215">IF(IF((ROW(E215)-3)&lt;(ListAndConversion!$A$15),INDEX(Flow_Cell_Lane,MIN(IF(COUNTIF($E$2:E214,Flow_Cell_Lane)=0,ROW(Flow_Cell_Lane)-9))),"-")="","-",IF((ROW(E215)-3)&lt;(ListAndConversion!$A$15),INDEX(Flow_Cell_Lane,MIN(IF(COUNTIF($E$2:E214,Flow_Cell_Lane)=0,ROW(Flow_Cell_Lane)-9))),"-"))</f>
        <v>#DIV/0!</v>
      </c>
      <c r="F215" s="378" t="e">
        <f t="shared" si="110"/>
        <v>#DIV/0!</v>
      </c>
      <c r="G215" s="378" t="e">
        <f t="shared" si="127"/>
        <v>#DIV/0!</v>
      </c>
      <c r="H215" s="378" t="e">
        <f t="shared" si="127"/>
        <v>#DIV/0!</v>
      </c>
      <c r="I215" s="378" t="e">
        <f t="shared" si="127"/>
        <v>#DIV/0!</v>
      </c>
      <c r="J215" s="378" t="e">
        <f t="shared" si="127"/>
        <v>#DIV/0!</v>
      </c>
      <c r="K215" s="378" t="e">
        <f t="shared" si="127"/>
        <v>#DIV/0!</v>
      </c>
      <c r="L215" s="378" t="e">
        <f t="shared" si="127"/>
        <v>#DIV/0!</v>
      </c>
      <c r="M215" s="378" t="e">
        <f t="shared" si="127"/>
        <v>#DIV/0!</v>
      </c>
      <c r="N215" s="497" t="e">
        <f t="shared" si="111"/>
        <v>#DIV/0!</v>
      </c>
      <c r="O215" s="497" t="str">
        <f t="array" ref="O215">IFERROR(INDEX(Calculation!I:AN,MATCH(ListAndConversion!E215,Calculation!I:I,0),31),"-")</f>
        <v>-</v>
      </c>
      <c r="P215" s="498">
        <f>IF(COUNTIFS(Calculation!$I$10:$I$393,E215,Direct_Denaturation,"-")&lt;&gt;1,COUNTIFS(Calculation!$I$10:$I$393,E215,Direct_Denaturation,"-"),0)</f>
        <v>0</v>
      </c>
      <c r="V215" s="542" t="s">
        <v>82</v>
      </c>
      <c r="W215" s="542" t="s">
        <v>82</v>
      </c>
      <c r="X215" s="542" t="s">
        <v>82</v>
      </c>
      <c r="Y215" s="542" t="s">
        <v>82</v>
      </c>
      <c r="Z215" s="542" t="s">
        <v>82</v>
      </c>
      <c r="AA215" s="542" t="s">
        <v>82</v>
      </c>
      <c r="AB215" s="542" t="s">
        <v>82</v>
      </c>
      <c r="AC215" s="542" t="s">
        <v>82</v>
      </c>
      <c r="AD215" s="542" t="s">
        <v>82</v>
      </c>
      <c r="AE215" s="542" t="s">
        <v>82</v>
      </c>
      <c r="AF215" s="542" t="s">
        <v>82</v>
      </c>
      <c r="AG215" s="542" t="s">
        <v>82</v>
      </c>
      <c r="AH215" s="9"/>
      <c r="AI215" s="487">
        <v>212</v>
      </c>
      <c r="AJ215" s="497" t="s">
        <v>162</v>
      </c>
      <c r="AK215" s="378">
        <v>20</v>
      </c>
      <c r="AL215" s="378" t="str">
        <f t="shared" ca="1" si="112"/>
        <v>-</v>
      </c>
      <c r="AM215" s="378" t="str">
        <f t="array" aca="1" ref="AM215" ca="1">IFERROR(IF(AI215&lt;=$AB$2,"-",INDEX(Calculation_Tab,SMALL(ROW(Main_Dil)*(Main_Dil&lt;&gt;"-"),COUNTIF(Main_Dil,"-")+ROW()-3-$AB$2)-9,5)),"-")</f>
        <v>-</v>
      </c>
      <c r="AN215" s="378" t="str">
        <f t="array" aca="1" ref="AN215" ca="1">IFERROR(IF(AI215&lt;=$AB$2,"-",INDEX($A$3:$B$12,MATCH(INDEX(Calculation_Tab,SMALL(ROW(Main_Dil)*(Main_Dil&lt;&gt;"-"),COUNTIF(Main_Dil,"-")+ROW()-3-$AB$2)-9,5),$A$3:$A$12,0),2)),"-")</f>
        <v>-</v>
      </c>
      <c r="AO215" s="378" t="str">
        <f t="array" aca="1" ref="AO215" ca="1">IFERROR(IF(AI215&lt;=$AB$2,"-",INDEX(Coordinate,MATCH(INDEX(Calculation_Tab,SMALL(ROW(Main_Dil)*(Main_Dil&lt;&gt;"-"),COUNTIF(Main_Dil,"-")+ROW()-3-$AB$2)-9,6),$X$4:$X$99,0),2)),"-")</f>
        <v>-</v>
      </c>
      <c r="AP215" s="510" t="str">
        <f t="array" aca="1" ref="AP215" ca="1">IFERROR(IF(AI215&lt;=$AB$2,"-",INDEX(Calculation_Tab,SMALL(ROW(Main_Dil)*(Main_Dil&lt;&gt;"-"),COUNTIF(Main_Dil,"-")+ROW()-3-$AB$2)-9,21)),"-")</f>
        <v>-</v>
      </c>
      <c r="AQ215" s="511" t="str">
        <f t="array" aca="1" ref="AQ215" ca="1">IFERROR(IF(AI215&lt;=$AB$2,"-",INDEX(Calculation_Tab,SMALL(ROW(Main_Dil)*(Main_Dil&lt;&gt;"-"),COUNTIF(Main_Dil,"-")+ROW()-3-$AB$2)-9,22)),"-")</f>
        <v>-</v>
      </c>
      <c r="AR215" s="487" t="str">
        <f t="shared" ca="1" si="113"/>
        <v>-</v>
      </c>
      <c r="AS215" s="378">
        <v>212</v>
      </c>
      <c r="AT215" s="497" t="s">
        <v>162</v>
      </c>
      <c r="AU215" s="498">
        <v>20</v>
      </c>
      <c r="AV215" s="378" t="str">
        <f t="shared" ca="1" si="114"/>
        <v>-</v>
      </c>
      <c r="AW215" s="378" t="str">
        <f t="array" aca="1" ref="AW215" ca="1">IFERROR(IF(AS215&lt;=$AB$2+$AN$2,"-",INDEX(Calculation_Tab,SMALL(ROW(Direct_Denaturation)*(Direct_Denaturation&lt;&gt;"-"),COUNTIF(Direct_Denaturation,"-")+ROW()-3-$AB$2-$AN$2)-9,5)),"-")</f>
        <v>-</v>
      </c>
      <c r="AX215" s="378" t="str">
        <f t="array" aca="1" ref="AX215" ca="1">IFERROR(IF(AS215&lt;=$AB$2+$AN$2,"-",INDEX($A$3:$B$12,MATCH(INDEX(Calculation_Tab,SMALL(ROW(Direct_Denaturation)*(Direct_Denaturation&lt;&gt;"-"),COUNTIF(Direct_Denaturation,"-")+ROW()-3-$AB$2-$AN$2)-9,5),$A$3:$A$12,0),2)),"-")</f>
        <v>-</v>
      </c>
      <c r="AY215" s="378" t="str">
        <f t="array" aca="1" ref="AY215" ca="1">IFERROR(IF(AS215&lt;=$AB$2+$AN$2,"-",INDEX(Coordinate,MATCH(INDEX(Calculation_Tab,SMALL(ROW(Direct_Denaturation)*(Direct_Denaturation&lt;&gt;"-"),COUNTIF(Direct_Denaturation,"-")+ROW()-3-$AB$2-$AN$2)-9,6),$X$4:$X$99,0),2)),"-")</f>
        <v>-</v>
      </c>
      <c r="AZ215" s="510" t="str">
        <f t="array" aca="1" ref="AZ215" ca="1">IFERROR(IF(AS215&lt;=$AB$2+$AN$2,"-",INDEX(Calculation_Tab,SMALL(ROW(Direct_Denaturation)*(Direct_Denaturation&lt;&gt;"-"),COUNTIF(Direct_Denaturation,"-")+ROW()-3-$AB$2-$AN$2)-9,32)),"-")</f>
        <v>-</v>
      </c>
      <c r="BA215" s="510" t="str">
        <f t="array" aca="1" ref="BA215" ca="1">IFERROR(IF(AS215&lt;=$AB$2+$AN$2,"-",INDEX(Calculation_Tab,SMALL(ROW(Direct_Denaturation)*(Direct_Denaturation&lt;&gt;"-"),COUNTIF(Direct_Denaturation,"-")+ROW()-3-$AB$2-$AN$2)-9,34)),"-")</f>
        <v>-</v>
      </c>
      <c r="BB215" s="510" t="str">
        <f t="array" aca="1" ref="BB215" ca="1">IFERROR(IF(AS215&lt;=$AB$2+$AN$2,"-",INDEX(Calculation_Tab,SMALL(ROW(Direct_Denaturation)*(Direct_Denaturation&lt;&gt;"-"),COUNTIF(Direct_Denaturation,"-")+ROW()-3-$AB$2-$AN$2)-9,33)),"-")</f>
        <v>-</v>
      </c>
      <c r="BC215" s="510" t="str">
        <f t="array" aca="1" ref="BC215" ca="1">IFERROR(IF(AS215&lt;=$AB$2+$AN$2,"-",INDEX(Calculation_Tab,SMALL(ROW(Direct_Denaturation)*(Direct_Denaturation&lt;&gt;"-"),COUNTIF(Direct_Denaturation,"-")+ROW()-3-$AB$2-$AN$2)-9,35)),"-")</f>
        <v>-</v>
      </c>
      <c r="BD215" s="511" t="str">
        <f t="shared" ca="1" si="115"/>
        <v>-</v>
      </c>
      <c r="BK215" s="542" t="s">
        <v>82</v>
      </c>
      <c r="BL215" s="542" t="s">
        <v>82</v>
      </c>
      <c r="BM215" s="487" t="str">
        <f t="array" aca="1" ref="BM215" ca="1">IFERROR(INDEX(Calculation_Tab,SMALL(ROW(ToPool)*(ToPool&lt;&gt;"-"),COUNTIF(ToPool,"-")+ROW()-3)-9,3),"-")</f>
        <v>-</v>
      </c>
      <c r="BN215" s="378" t="str">
        <f t="shared" ca="1" si="116"/>
        <v>-</v>
      </c>
      <c r="BO215" s="378" t="str">
        <f t="shared" ca="1" si="117"/>
        <v>-</v>
      </c>
      <c r="BP215" s="523" t="str">
        <f t="shared" ca="1" si="118"/>
        <v>-</v>
      </c>
      <c r="BQ215" s="378" t="str">
        <f t="array" aca="1" ref="BQ215" ca="1">IFERROR(INDEX(BE:BG,MATCH(INDEX(Calculation_Tab,SMALL(ROW(ToPool)*(ToPool&lt;&gt;"-"),COUNTIF(ToPool,"-")+ROW()-3)-9,9),BG:BG,0),2),"-")</f>
        <v>-</v>
      </c>
      <c r="BR215" s="510" t="str">
        <f t="shared" ca="1" si="119"/>
        <v>-</v>
      </c>
      <c r="BS215" s="511" t="str">
        <f t="shared" ca="1" si="120"/>
        <v>-</v>
      </c>
      <c r="BT215" s="543" t="s">
        <v>82</v>
      </c>
      <c r="BU215" s="487" t="str">
        <f t="shared" ca="1" si="124"/>
        <v>-</v>
      </c>
      <c r="BV215" s="487" t="str">
        <f t="array" aca="1" ref="BV21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15" s="378" t="str">
        <f t="shared" ca="1" si="121"/>
        <v>-</v>
      </c>
      <c r="BX215" s="378" t="str">
        <f t="shared" ca="1" si="122"/>
        <v>-</v>
      </c>
      <c r="BY215" s="510" t="str">
        <f ca="1">IFERROR(ROUND(INDEX(Cluster,MATCH(IF(LEFT(BV215,4)="Pool",INDEX(Cluster,MATCH(INDEX(Calculation_Tab,MATCH(INDEX($BE$4:$BJ$99,MATCH(BV215,$BE$4:$BE$99,0),3),Flow_Cell_Lane,0),3),Cluster!$F$29:$F$412,0),6),BV215),Identifier_Cluster,0),19)*IF(LEFT(BV215,4)="pool",IF(LEN(INDEX($BE$4:$BJ$99,MATCH(BV215,$BE$4:$BE$99,0),3))=10,2,IF(LEN(INDEX($BE$4:$BJ$99,MATCH(BV215,$BE$4:$BE$99,0),3))&gt;10,LEN(INDEX($BE$4:$BJ$99,MATCH(BV215,$BE$4:$BE$99,0),3))-8,1)),1)*IF(LEFT(BV215,4)="pool",IF(INDEX($BE$4:$BJ$99,MATCH(BV215,$BE$4:$BE$99,0),6)&lt;1,1,INDEX($BE$4:$BJ$99,MATCH(BV215,$BE$4:$BE$99,0),6)),INDEX(Calculation_Tab,MATCH(BV215,Identifier,0),10)),1)*(1+Calculation!$Q$6),"-")</f>
        <v>-</v>
      </c>
      <c r="BZ215" s="378" t="str">
        <f ca="1">IFERROR((0.5/50)*CE215/Calculation!$AG$6*(IF(LEFT(BV215,4)="Pool",IF(LEN(INDEX($BE$4:$BJ$99,MATCH(BV215,$BE$4:$BE$99,0),3))=10,2,IF(LEN(INDEX($BE$4:$BJ$99,MATCH(BV215,$BE$4:$BE$99,0),3))&gt;10,LEN(INDEX($BE$4:$BJ$99,MATCH(BV215,$BE$4:$BE$99,0),3))-8,1)),IF(INDEX(Calculation_Tab,MATCH(BV215,Identifier,0),10)&gt;1,INDEX(Calculation_Tab,MATCH(BV215,Identifier,0),10),1)))*(1+Calculation!$Q$6),"-")</f>
        <v>-</v>
      </c>
      <c r="CA215" s="510" t="str">
        <f ca="1">IFERROR(IF((BZ215*Calculation!$AG$6/0.05)-SUM(BY215:BZ215,CC215)&gt;0,(BZ215*Calculation!$AG$6/0.05)-SUM(BY215:BZ215,CC215),0),"-")</f>
        <v>-</v>
      </c>
      <c r="CB215" s="510" t="str">
        <f ca="1">IFERROR(5/50*CE215*(IF(LEFT(BV215,4)="Pool",IF(LEN(INDEX($BE$4:$BJ$99,MATCH(BV215,$BE$4:$BE$99,0),3))=10,2,IF(LEN(INDEX($BE$4:$BJ$99,MATCH(BV215,$BE$4:$BE$99,0),3))&gt;10,LEN(INDEX($BE$4:$BJ$99,MATCH(BV215,$BE$4:$BE$99,0),3))-8,1)),IF(INDEX(Calculation_Tab,MATCH(BV215,Identifier,0),10)&gt;1,INDEX(Calculation_Tab,MATCH(BV215,Identifier,0),10),1)))*(1+Calculation!$Q$6),"-")</f>
        <v>-</v>
      </c>
      <c r="CC215" s="508" t="str">
        <f ca="1">IFERROR(ROUND(INDEX(Cluster,MATCH(IF(LEFT(BV215,4)="Pool",INDEX(Cluster,MATCH(INDEX(Calculation_Tab,MATCH(INDEX($BE$4:$BJ$99,MATCH(BV215,$BE$4:$BE$99,0),3),Flow_Cell_Lane,0),3),Cluster!$F$29:$F$412,0),6),BV215),Identifier_Cluster,0),20)*IF(LEFT(BV215,4)="pool",IF(LEN(INDEX($BE$4:$BJ$99,MATCH(BV215,$BE$4:$BE$99,0),3))=10,2,IF(LEN(INDEX($BE$4:$BJ$99,MATCH(BV215,$BE$4:$BE$99,0),3))&gt;10,LEN(INDEX($BE$4:$BJ$99,MATCH(BV215,$BE$4:$BE$99,0),3))-8,1)),1)*IF(LEFT(BV215,4)="pool",IF(INDEX($BE$4:$BJ$99,MATCH(BV215,$BE$4:$BE$99,0),6)&lt;1,1,INDEX($BE$4:$BJ$99,MATCH(BV215,$BE$4:$BE$99,0),6)),INDEX(Calculation_Tab,MATCH(BV215,Identifier,0),10)),1)*(1+Calculation!$Q$6),"-")</f>
        <v>-</v>
      </c>
      <c r="CD215" s="509" t="str">
        <f ca="1">IFERROR(INDEX(Cluster!AC:AD,MATCH(IF(LEFT(BV215,4)="Pool",INDEX(Cluster!$D$29:$AA$412,MATCH(INDEX(Calculation_Tab,MATCH(INDEX($BE$4:$BJ$99,MATCH(BV215,$BE$4:$BE$99,0),3),Flow_Cell_Lane,0),3),Cluster!$F$29:$F$412,0),24),INDEX(Cluster!$D$29:$AA$412,MATCH(BV215,Cluster!$F$29:$F$412,0),24)),Cluster!AC:AC,0),2),"-")</f>
        <v>-</v>
      </c>
      <c r="CE215" s="378" t="str">
        <f ca="1">IFERROR(IF(BV215&lt;&gt;"-",Calculation!$AK$6,"-"),"-")</f>
        <v>-</v>
      </c>
      <c r="CF215" s="378" t="str">
        <f ca="1">IF(OR(LEFT(ListAndConversion!BW215,3)="Dil",LEFT(ListAndConversion!BW215,3)="Poo"),ListAndConversion!$BT$4,IF(LEFT(ListAndConversion!BW215,3)="Sou",INDEX(ListAndConversion!$AT$3:$AV$387,MATCH(ListAndConversion!BV215,ListAndConversion!$AV$3:$AV$387,0),1),"-"))</f>
        <v>-</v>
      </c>
      <c r="CG215" s="498" t="str">
        <f ca="1">IF(OR(LEFT(ListAndConversion!BW215,3)="Dil",LEFT(ListAndConversion!BW215,3)="Poo"),ListAndConversion!BU215,IF(LEFT(ListAndConversion!BW215,3)="Sou",INDEX(ListAndConversion!$AT$4:$AV$387,MATCH(ListAndConversion!BV215,ListAndConversion!$AV$4:$AV$387,0),2),"-"))</f>
        <v>-</v>
      </c>
      <c r="CH215" s="378"/>
      <c r="CI215" s="487" t="str">
        <f t="shared" ca="1" si="123"/>
        <v>-</v>
      </c>
      <c r="CJ215" s="378" t="str">
        <f t="shared" ca="1" si="128"/>
        <v>-</v>
      </c>
      <c r="CK215" s="378" t="str">
        <f t="shared" ca="1" si="128"/>
        <v>-</v>
      </c>
      <c r="CL215" s="378" t="str">
        <f t="shared" ca="1" si="128"/>
        <v>-</v>
      </c>
      <c r="CM215" s="378" t="str">
        <f t="shared" ca="1" si="128"/>
        <v>-</v>
      </c>
      <c r="CN215" s="378" t="str">
        <f t="shared" ca="1" si="128"/>
        <v>-</v>
      </c>
      <c r="CO215" s="378" t="str">
        <f t="shared" ca="1" si="128"/>
        <v>-</v>
      </c>
      <c r="CP215" s="378" t="str">
        <f t="shared" ca="1" si="128"/>
        <v>-</v>
      </c>
      <c r="CQ215" s="378" t="str">
        <f t="shared" ca="1" si="128"/>
        <v>-</v>
      </c>
      <c r="CR215" s="510" t="str">
        <f ca="1">IFERROR(IF(LEFT(BW215,3)="Poo",INDEX($BE$4:$BJ$99,MATCH(CI215,$BG$4:$BG$99,0),6)*((15/50))*Calculation!$AK$6,INDEX(Calculation_Tab,MATCH(BV215,Identifier,0),10)/(IF(LEN(INDEX(Calculation_Tab,MATCH(BV215,Identifier,0),9))&gt;8,LEN(INDEX(Calculation_Tab,MATCH(BV215,Identifier,0),9))-8,1))*((15/50)*Calculation!$AK$6)),"-")</f>
        <v>-</v>
      </c>
      <c r="CS215" s="498" t="str">
        <f ca="1">IF(CI215="-","-",IF(COUNTIF($CI$3:CI215,CI215)&gt;1,0,IFERROR((35/50)*Calculation!$AK$6,"-")))</f>
        <v>-</v>
      </c>
    </row>
    <row r="216" spans="4:97" x14ac:dyDescent="0.5">
      <c r="D216" s="487" t="e">
        <f t="shared" si="109"/>
        <v>#DIV/0!</v>
      </c>
      <c r="E216" s="496" t="e">
        <f t="array" ref="E216">IF(IF((ROW(E216)-3)&lt;(ListAndConversion!$A$15),INDEX(Flow_Cell_Lane,MIN(IF(COUNTIF($E$2:E215,Flow_Cell_Lane)=0,ROW(Flow_Cell_Lane)-9))),"-")="","-",IF((ROW(E216)-3)&lt;(ListAndConversion!$A$15),INDEX(Flow_Cell_Lane,MIN(IF(COUNTIF($E$2:E215,Flow_Cell_Lane)=0,ROW(Flow_Cell_Lane)-9))),"-"))</f>
        <v>#DIV/0!</v>
      </c>
      <c r="F216" s="378" t="e">
        <f t="shared" si="110"/>
        <v>#DIV/0!</v>
      </c>
      <c r="G216" s="378" t="e">
        <f t="shared" si="127"/>
        <v>#DIV/0!</v>
      </c>
      <c r="H216" s="378" t="e">
        <f t="shared" si="127"/>
        <v>#DIV/0!</v>
      </c>
      <c r="I216" s="378" t="e">
        <f t="shared" si="127"/>
        <v>#DIV/0!</v>
      </c>
      <c r="J216" s="378" t="e">
        <f t="shared" si="127"/>
        <v>#DIV/0!</v>
      </c>
      <c r="K216" s="378" t="e">
        <f t="shared" si="127"/>
        <v>#DIV/0!</v>
      </c>
      <c r="L216" s="378" t="e">
        <f t="shared" si="127"/>
        <v>#DIV/0!</v>
      </c>
      <c r="M216" s="378" t="e">
        <f t="shared" si="127"/>
        <v>#DIV/0!</v>
      </c>
      <c r="N216" s="497" t="e">
        <f t="shared" si="111"/>
        <v>#DIV/0!</v>
      </c>
      <c r="O216" s="497" t="str">
        <f t="array" ref="O216">IFERROR(INDEX(Calculation!I:AN,MATCH(ListAndConversion!E216,Calculation!I:I,0),31),"-")</f>
        <v>-</v>
      </c>
      <c r="P216" s="498">
        <f>IF(COUNTIFS(Calculation!$I$10:$I$393,E216,Direct_Denaturation,"-")&lt;&gt;1,COUNTIFS(Calculation!$I$10:$I$393,E216,Direct_Denaturation,"-"),0)</f>
        <v>0</v>
      </c>
      <c r="V216" s="542" t="s">
        <v>82</v>
      </c>
      <c r="W216" s="542" t="s">
        <v>82</v>
      </c>
      <c r="X216" s="542" t="s">
        <v>82</v>
      </c>
      <c r="Y216" s="542" t="s">
        <v>82</v>
      </c>
      <c r="Z216" s="542" t="s">
        <v>82</v>
      </c>
      <c r="AA216" s="542" t="s">
        <v>82</v>
      </c>
      <c r="AB216" s="542" t="s">
        <v>82</v>
      </c>
      <c r="AC216" s="542" t="s">
        <v>82</v>
      </c>
      <c r="AD216" s="542" t="s">
        <v>82</v>
      </c>
      <c r="AE216" s="542" t="s">
        <v>82</v>
      </c>
      <c r="AF216" s="542" t="s">
        <v>82</v>
      </c>
      <c r="AG216" s="542" t="s">
        <v>82</v>
      </c>
      <c r="AH216" s="9"/>
      <c r="AI216" s="487">
        <v>213</v>
      </c>
      <c r="AJ216" s="497" t="s">
        <v>162</v>
      </c>
      <c r="AK216" s="378">
        <v>21</v>
      </c>
      <c r="AL216" s="378" t="str">
        <f t="shared" ca="1" si="112"/>
        <v>-</v>
      </c>
      <c r="AM216" s="378" t="str">
        <f t="array" aca="1" ref="AM216" ca="1">IFERROR(IF(AI216&lt;=$AB$2,"-",INDEX(Calculation_Tab,SMALL(ROW(Main_Dil)*(Main_Dil&lt;&gt;"-"),COUNTIF(Main_Dil,"-")+ROW()-3-$AB$2)-9,5)),"-")</f>
        <v>-</v>
      </c>
      <c r="AN216" s="378" t="str">
        <f t="array" aca="1" ref="AN216" ca="1">IFERROR(IF(AI216&lt;=$AB$2,"-",INDEX($A$3:$B$12,MATCH(INDEX(Calculation_Tab,SMALL(ROW(Main_Dil)*(Main_Dil&lt;&gt;"-"),COUNTIF(Main_Dil,"-")+ROW()-3-$AB$2)-9,5),$A$3:$A$12,0),2)),"-")</f>
        <v>-</v>
      </c>
      <c r="AO216" s="378" t="str">
        <f t="array" aca="1" ref="AO216" ca="1">IFERROR(IF(AI216&lt;=$AB$2,"-",INDEX(Coordinate,MATCH(INDEX(Calculation_Tab,SMALL(ROW(Main_Dil)*(Main_Dil&lt;&gt;"-"),COUNTIF(Main_Dil,"-")+ROW()-3-$AB$2)-9,6),$X$4:$X$99,0),2)),"-")</f>
        <v>-</v>
      </c>
      <c r="AP216" s="510" t="str">
        <f t="array" aca="1" ref="AP216" ca="1">IFERROR(IF(AI216&lt;=$AB$2,"-",INDEX(Calculation_Tab,SMALL(ROW(Main_Dil)*(Main_Dil&lt;&gt;"-"),COUNTIF(Main_Dil,"-")+ROW()-3-$AB$2)-9,21)),"-")</f>
        <v>-</v>
      </c>
      <c r="AQ216" s="511" t="str">
        <f t="array" aca="1" ref="AQ216" ca="1">IFERROR(IF(AI216&lt;=$AB$2,"-",INDEX(Calculation_Tab,SMALL(ROW(Main_Dil)*(Main_Dil&lt;&gt;"-"),COUNTIF(Main_Dil,"-")+ROW()-3-$AB$2)-9,22)),"-")</f>
        <v>-</v>
      </c>
      <c r="AR216" s="487" t="str">
        <f t="shared" ca="1" si="113"/>
        <v>-</v>
      </c>
      <c r="AS216" s="378">
        <v>213</v>
      </c>
      <c r="AT216" s="497" t="s">
        <v>162</v>
      </c>
      <c r="AU216" s="498">
        <v>21</v>
      </c>
      <c r="AV216" s="378" t="str">
        <f t="shared" ca="1" si="114"/>
        <v>-</v>
      </c>
      <c r="AW216" s="378" t="str">
        <f t="array" aca="1" ref="AW216" ca="1">IFERROR(IF(AS216&lt;=$AB$2+$AN$2,"-",INDEX(Calculation_Tab,SMALL(ROW(Direct_Denaturation)*(Direct_Denaturation&lt;&gt;"-"),COUNTIF(Direct_Denaturation,"-")+ROW()-3-$AB$2-$AN$2)-9,5)),"-")</f>
        <v>-</v>
      </c>
      <c r="AX216" s="378" t="str">
        <f t="array" aca="1" ref="AX216" ca="1">IFERROR(IF(AS216&lt;=$AB$2+$AN$2,"-",INDEX($A$3:$B$12,MATCH(INDEX(Calculation_Tab,SMALL(ROW(Direct_Denaturation)*(Direct_Denaturation&lt;&gt;"-"),COUNTIF(Direct_Denaturation,"-")+ROW()-3-$AB$2-$AN$2)-9,5),$A$3:$A$12,0),2)),"-")</f>
        <v>-</v>
      </c>
      <c r="AY216" s="378" t="str">
        <f t="array" aca="1" ref="AY216" ca="1">IFERROR(IF(AS216&lt;=$AB$2+$AN$2,"-",INDEX(Coordinate,MATCH(INDEX(Calculation_Tab,SMALL(ROW(Direct_Denaturation)*(Direct_Denaturation&lt;&gt;"-"),COUNTIF(Direct_Denaturation,"-")+ROW()-3-$AB$2-$AN$2)-9,6),$X$4:$X$99,0),2)),"-")</f>
        <v>-</v>
      </c>
      <c r="AZ216" s="510" t="str">
        <f t="array" aca="1" ref="AZ216" ca="1">IFERROR(IF(AS216&lt;=$AB$2+$AN$2,"-",INDEX(Calculation_Tab,SMALL(ROW(Direct_Denaturation)*(Direct_Denaturation&lt;&gt;"-"),COUNTIF(Direct_Denaturation,"-")+ROW()-3-$AB$2-$AN$2)-9,32)),"-")</f>
        <v>-</v>
      </c>
      <c r="BA216" s="510" t="str">
        <f t="array" aca="1" ref="BA216" ca="1">IFERROR(IF(AS216&lt;=$AB$2+$AN$2,"-",INDEX(Calculation_Tab,SMALL(ROW(Direct_Denaturation)*(Direct_Denaturation&lt;&gt;"-"),COUNTIF(Direct_Denaturation,"-")+ROW()-3-$AB$2-$AN$2)-9,34)),"-")</f>
        <v>-</v>
      </c>
      <c r="BB216" s="510" t="str">
        <f t="array" aca="1" ref="BB216" ca="1">IFERROR(IF(AS216&lt;=$AB$2+$AN$2,"-",INDEX(Calculation_Tab,SMALL(ROW(Direct_Denaturation)*(Direct_Denaturation&lt;&gt;"-"),COUNTIF(Direct_Denaturation,"-")+ROW()-3-$AB$2-$AN$2)-9,33)),"-")</f>
        <v>-</v>
      </c>
      <c r="BC216" s="510" t="str">
        <f t="array" aca="1" ref="BC216" ca="1">IFERROR(IF(AS216&lt;=$AB$2+$AN$2,"-",INDEX(Calculation_Tab,SMALL(ROW(Direct_Denaturation)*(Direct_Denaturation&lt;&gt;"-"),COUNTIF(Direct_Denaturation,"-")+ROW()-3-$AB$2-$AN$2)-9,35)),"-")</f>
        <v>-</v>
      </c>
      <c r="BD216" s="511" t="str">
        <f t="shared" ca="1" si="115"/>
        <v>-</v>
      </c>
      <c r="BK216" s="542" t="s">
        <v>82</v>
      </c>
      <c r="BL216" s="542" t="s">
        <v>82</v>
      </c>
      <c r="BM216" s="487" t="str">
        <f t="array" aca="1" ref="BM216" ca="1">IFERROR(INDEX(Calculation_Tab,SMALL(ROW(ToPool)*(ToPool&lt;&gt;"-"),COUNTIF(ToPool,"-")+ROW()-3)-9,3),"-")</f>
        <v>-</v>
      </c>
      <c r="BN216" s="378" t="str">
        <f t="shared" ca="1" si="116"/>
        <v>-</v>
      </c>
      <c r="BO216" s="378" t="str">
        <f t="shared" ca="1" si="117"/>
        <v>-</v>
      </c>
      <c r="BP216" s="523" t="str">
        <f t="shared" ca="1" si="118"/>
        <v>-</v>
      </c>
      <c r="BQ216" s="378" t="str">
        <f t="array" aca="1" ref="BQ216" ca="1">IFERROR(INDEX(BE:BG,MATCH(INDEX(Calculation_Tab,SMALL(ROW(ToPool)*(ToPool&lt;&gt;"-"),COUNTIF(ToPool,"-")+ROW()-3)-9,9),BG:BG,0),2),"-")</f>
        <v>-</v>
      </c>
      <c r="BR216" s="510" t="str">
        <f t="shared" ca="1" si="119"/>
        <v>-</v>
      </c>
      <c r="BS216" s="511" t="str">
        <f t="shared" ca="1" si="120"/>
        <v>-</v>
      </c>
      <c r="BT216" s="543" t="s">
        <v>82</v>
      </c>
      <c r="BU216" s="487" t="str">
        <f t="shared" ca="1" si="124"/>
        <v>-</v>
      </c>
      <c r="BV216" s="487" t="str">
        <f t="array" aca="1" ref="BV21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16" s="378" t="str">
        <f t="shared" ca="1" si="121"/>
        <v>-</v>
      </c>
      <c r="BX216" s="378" t="str">
        <f t="shared" ca="1" si="122"/>
        <v>-</v>
      </c>
      <c r="BY216" s="510" t="str">
        <f ca="1">IFERROR(ROUND(INDEX(Cluster,MATCH(IF(LEFT(BV216,4)="Pool",INDEX(Cluster,MATCH(INDEX(Calculation_Tab,MATCH(INDEX($BE$4:$BJ$99,MATCH(BV216,$BE$4:$BE$99,0),3),Flow_Cell_Lane,0),3),Cluster!$F$29:$F$412,0),6),BV216),Identifier_Cluster,0),19)*IF(LEFT(BV216,4)="pool",IF(LEN(INDEX($BE$4:$BJ$99,MATCH(BV216,$BE$4:$BE$99,0),3))=10,2,IF(LEN(INDEX($BE$4:$BJ$99,MATCH(BV216,$BE$4:$BE$99,0),3))&gt;10,LEN(INDEX($BE$4:$BJ$99,MATCH(BV216,$BE$4:$BE$99,0),3))-8,1)),1)*IF(LEFT(BV216,4)="pool",IF(INDEX($BE$4:$BJ$99,MATCH(BV216,$BE$4:$BE$99,0),6)&lt;1,1,INDEX($BE$4:$BJ$99,MATCH(BV216,$BE$4:$BE$99,0),6)),INDEX(Calculation_Tab,MATCH(BV216,Identifier,0),10)),1)*(1+Calculation!$Q$6),"-")</f>
        <v>-</v>
      </c>
      <c r="BZ216" s="378" t="str">
        <f ca="1">IFERROR((0.5/50)*CE216/Calculation!$AG$6*(IF(LEFT(BV216,4)="Pool",IF(LEN(INDEX($BE$4:$BJ$99,MATCH(BV216,$BE$4:$BE$99,0),3))=10,2,IF(LEN(INDEX($BE$4:$BJ$99,MATCH(BV216,$BE$4:$BE$99,0),3))&gt;10,LEN(INDEX($BE$4:$BJ$99,MATCH(BV216,$BE$4:$BE$99,0),3))-8,1)),IF(INDEX(Calculation_Tab,MATCH(BV216,Identifier,0),10)&gt;1,INDEX(Calculation_Tab,MATCH(BV216,Identifier,0),10),1)))*(1+Calculation!$Q$6),"-")</f>
        <v>-</v>
      </c>
      <c r="CA216" s="510" t="str">
        <f ca="1">IFERROR(IF((BZ216*Calculation!$AG$6/0.05)-SUM(BY216:BZ216,CC216)&gt;0,(BZ216*Calculation!$AG$6/0.05)-SUM(BY216:BZ216,CC216),0),"-")</f>
        <v>-</v>
      </c>
      <c r="CB216" s="510" t="str">
        <f ca="1">IFERROR(5/50*CE216*(IF(LEFT(BV216,4)="Pool",IF(LEN(INDEX($BE$4:$BJ$99,MATCH(BV216,$BE$4:$BE$99,0),3))=10,2,IF(LEN(INDEX($BE$4:$BJ$99,MATCH(BV216,$BE$4:$BE$99,0),3))&gt;10,LEN(INDEX($BE$4:$BJ$99,MATCH(BV216,$BE$4:$BE$99,0),3))-8,1)),IF(INDEX(Calculation_Tab,MATCH(BV216,Identifier,0),10)&gt;1,INDEX(Calculation_Tab,MATCH(BV216,Identifier,0),10),1)))*(1+Calculation!$Q$6),"-")</f>
        <v>-</v>
      </c>
      <c r="CC216" s="508" t="str">
        <f ca="1">IFERROR(ROUND(INDEX(Cluster,MATCH(IF(LEFT(BV216,4)="Pool",INDEX(Cluster,MATCH(INDEX(Calculation_Tab,MATCH(INDEX($BE$4:$BJ$99,MATCH(BV216,$BE$4:$BE$99,0),3),Flow_Cell_Lane,0),3),Cluster!$F$29:$F$412,0),6),BV216),Identifier_Cluster,0),20)*IF(LEFT(BV216,4)="pool",IF(LEN(INDEX($BE$4:$BJ$99,MATCH(BV216,$BE$4:$BE$99,0),3))=10,2,IF(LEN(INDEX($BE$4:$BJ$99,MATCH(BV216,$BE$4:$BE$99,0),3))&gt;10,LEN(INDEX($BE$4:$BJ$99,MATCH(BV216,$BE$4:$BE$99,0),3))-8,1)),1)*IF(LEFT(BV216,4)="pool",IF(INDEX($BE$4:$BJ$99,MATCH(BV216,$BE$4:$BE$99,0),6)&lt;1,1,INDEX($BE$4:$BJ$99,MATCH(BV216,$BE$4:$BE$99,0),6)),INDEX(Calculation_Tab,MATCH(BV216,Identifier,0),10)),1)*(1+Calculation!$Q$6),"-")</f>
        <v>-</v>
      </c>
      <c r="CD216" s="509" t="str">
        <f ca="1">IFERROR(INDEX(Cluster!AC:AD,MATCH(IF(LEFT(BV216,4)="Pool",INDEX(Cluster!$D$29:$AA$412,MATCH(INDEX(Calculation_Tab,MATCH(INDEX($BE$4:$BJ$99,MATCH(BV216,$BE$4:$BE$99,0),3),Flow_Cell_Lane,0),3),Cluster!$F$29:$F$412,0),24),INDEX(Cluster!$D$29:$AA$412,MATCH(BV216,Cluster!$F$29:$F$412,0),24)),Cluster!AC:AC,0),2),"-")</f>
        <v>-</v>
      </c>
      <c r="CE216" s="378" t="str">
        <f ca="1">IFERROR(IF(BV216&lt;&gt;"-",Calculation!$AK$6,"-"),"-")</f>
        <v>-</v>
      </c>
      <c r="CF216" s="378" t="str">
        <f ca="1">IF(OR(LEFT(ListAndConversion!BW216,3)="Dil",LEFT(ListAndConversion!BW216,3)="Poo"),ListAndConversion!$BT$4,IF(LEFT(ListAndConversion!BW216,3)="Sou",INDEX(ListAndConversion!$AT$3:$AV$387,MATCH(ListAndConversion!BV216,ListAndConversion!$AV$3:$AV$387,0),1),"-"))</f>
        <v>-</v>
      </c>
      <c r="CG216" s="498" t="str">
        <f ca="1">IF(OR(LEFT(ListAndConversion!BW216,3)="Dil",LEFT(ListAndConversion!BW216,3)="Poo"),ListAndConversion!BU216,IF(LEFT(ListAndConversion!BW216,3)="Sou",INDEX(ListAndConversion!$AT$4:$AV$387,MATCH(ListAndConversion!BV216,ListAndConversion!$AV$4:$AV$387,0),2),"-"))</f>
        <v>-</v>
      </c>
      <c r="CH216" s="378"/>
      <c r="CI216" s="487" t="str">
        <f t="shared" ca="1" si="123"/>
        <v>-</v>
      </c>
      <c r="CJ216" s="378" t="str">
        <f t="shared" ca="1" si="128"/>
        <v>-</v>
      </c>
      <c r="CK216" s="378" t="str">
        <f t="shared" ca="1" si="128"/>
        <v>-</v>
      </c>
      <c r="CL216" s="378" t="str">
        <f t="shared" ca="1" si="128"/>
        <v>-</v>
      </c>
      <c r="CM216" s="378" t="str">
        <f t="shared" ca="1" si="128"/>
        <v>-</v>
      </c>
      <c r="CN216" s="378" t="str">
        <f t="shared" ca="1" si="128"/>
        <v>-</v>
      </c>
      <c r="CO216" s="378" t="str">
        <f t="shared" ca="1" si="128"/>
        <v>-</v>
      </c>
      <c r="CP216" s="378" t="str">
        <f t="shared" ca="1" si="128"/>
        <v>-</v>
      </c>
      <c r="CQ216" s="378" t="str">
        <f t="shared" ca="1" si="128"/>
        <v>-</v>
      </c>
      <c r="CR216" s="510" t="str">
        <f ca="1">IFERROR(IF(LEFT(BW216,3)="Poo",INDEX($BE$4:$BJ$99,MATCH(CI216,$BG$4:$BG$99,0),6)*((15/50))*Calculation!$AK$6,INDEX(Calculation_Tab,MATCH(BV216,Identifier,0),10)/(IF(LEN(INDEX(Calculation_Tab,MATCH(BV216,Identifier,0),9))&gt;8,LEN(INDEX(Calculation_Tab,MATCH(BV216,Identifier,0),9))-8,1))*((15/50)*Calculation!$AK$6)),"-")</f>
        <v>-</v>
      </c>
      <c r="CS216" s="498" t="str">
        <f ca="1">IF(CI216="-","-",IF(COUNTIF($CI$3:CI216,CI216)&gt;1,0,IFERROR((35/50)*Calculation!$AK$6,"-")))</f>
        <v>-</v>
      </c>
    </row>
    <row r="217" spans="4:97" x14ac:dyDescent="0.5">
      <c r="D217" s="487" t="e">
        <f t="shared" si="109"/>
        <v>#DIV/0!</v>
      </c>
      <c r="E217" s="496" t="e">
        <f t="array" ref="E217">IF(IF((ROW(E217)-3)&lt;(ListAndConversion!$A$15),INDEX(Flow_Cell_Lane,MIN(IF(COUNTIF($E$2:E216,Flow_Cell_Lane)=0,ROW(Flow_Cell_Lane)-9))),"-")="","-",IF((ROW(E217)-3)&lt;(ListAndConversion!$A$15),INDEX(Flow_Cell_Lane,MIN(IF(COUNTIF($E$2:E216,Flow_Cell_Lane)=0,ROW(Flow_Cell_Lane)-9))),"-"))</f>
        <v>#DIV/0!</v>
      </c>
      <c r="F217" s="378" t="e">
        <f t="shared" si="110"/>
        <v>#DIV/0!</v>
      </c>
      <c r="G217" s="378" t="e">
        <f t="shared" si="127"/>
        <v>#DIV/0!</v>
      </c>
      <c r="H217" s="378" t="e">
        <f t="shared" si="127"/>
        <v>#DIV/0!</v>
      </c>
      <c r="I217" s="378" t="e">
        <f t="shared" si="127"/>
        <v>#DIV/0!</v>
      </c>
      <c r="J217" s="378" t="e">
        <f t="shared" si="127"/>
        <v>#DIV/0!</v>
      </c>
      <c r="K217" s="378" t="e">
        <f t="shared" si="127"/>
        <v>#DIV/0!</v>
      </c>
      <c r="L217" s="378" t="e">
        <f t="shared" si="127"/>
        <v>#DIV/0!</v>
      </c>
      <c r="M217" s="378" t="e">
        <f t="shared" si="127"/>
        <v>#DIV/0!</v>
      </c>
      <c r="N217" s="497" t="e">
        <f t="shared" si="111"/>
        <v>#DIV/0!</v>
      </c>
      <c r="O217" s="497" t="str">
        <f t="array" ref="O217">IFERROR(INDEX(Calculation!I:AN,MATCH(ListAndConversion!E217,Calculation!I:I,0),31),"-")</f>
        <v>-</v>
      </c>
      <c r="P217" s="498">
        <f>IF(COUNTIFS(Calculation!$I$10:$I$393,E217,Direct_Denaturation,"-")&lt;&gt;1,COUNTIFS(Calculation!$I$10:$I$393,E217,Direct_Denaturation,"-"),0)</f>
        <v>0</v>
      </c>
      <c r="V217" s="542" t="s">
        <v>82</v>
      </c>
      <c r="W217" s="542" t="s">
        <v>82</v>
      </c>
      <c r="X217" s="542" t="s">
        <v>82</v>
      </c>
      <c r="Y217" s="542" t="s">
        <v>82</v>
      </c>
      <c r="Z217" s="542" t="s">
        <v>82</v>
      </c>
      <c r="AA217" s="542" t="s">
        <v>82</v>
      </c>
      <c r="AB217" s="542" t="s">
        <v>82</v>
      </c>
      <c r="AC217" s="542" t="s">
        <v>82</v>
      </c>
      <c r="AD217" s="542" t="s">
        <v>82</v>
      </c>
      <c r="AE217" s="542" t="s">
        <v>82</v>
      </c>
      <c r="AF217" s="542" t="s">
        <v>82</v>
      </c>
      <c r="AG217" s="542" t="s">
        <v>82</v>
      </c>
      <c r="AH217" s="9"/>
      <c r="AI217" s="487">
        <v>214</v>
      </c>
      <c r="AJ217" s="497" t="s">
        <v>162</v>
      </c>
      <c r="AK217" s="378">
        <v>22</v>
      </c>
      <c r="AL217" s="378" t="str">
        <f t="shared" ca="1" si="112"/>
        <v>-</v>
      </c>
      <c r="AM217" s="378" t="str">
        <f t="array" aca="1" ref="AM217" ca="1">IFERROR(IF(AI217&lt;=$AB$2,"-",INDEX(Calculation_Tab,SMALL(ROW(Main_Dil)*(Main_Dil&lt;&gt;"-"),COUNTIF(Main_Dil,"-")+ROW()-3-$AB$2)-9,5)),"-")</f>
        <v>-</v>
      </c>
      <c r="AN217" s="378" t="str">
        <f t="array" aca="1" ref="AN217" ca="1">IFERROR(IF(AI217&lt;=$AB$2,"-",INDEX($A$3:$B$12,MATCH(INDEX(Calculation_Tab,SMALL(ROW(Main_Dil)*(Main_Dil&lt;&gt;"-"),COUNTIF(Main_Dil,"-")+ROW()-3-$AB$2)-9,5),$A$3:$A$12,0),2)),"-")</f>
        <v>-</v>
      </c>
      <c r="AO217" s="378" t="str">
        <f t="array" aca="1" ref="AO217" ca="1">IFERROR(IF(AI217&lt;=$AB$2,"-",INDEX(Coordinate,MATCH(INDEX(Calculation_Tab,SMALL(ROW(Main_Dil)*(Main_Dil&lt;&gt;"-"),COUNTIF(Main_Dil,"-")+ROW()-3-$AB$2)-9,6),$X$4:$X$99,0),2)),"-")</f>
        <v>-</v>
      </c>
      <c r="AP217" s="510" t="str">
        <f t="array" aca="1" ref="AP217" ca="1">IFERROR(IF(AI217&lt;=$AB$2,"-",INDEX(Calculation_Tab,SMALL(ROW(Main_Dil)*(Main_Dil&lt;&gt;"-"),COUNTIF(Main_Dil,"-")+ROW()-3-$AB$2)-9,21)),"-")</f>
        <v>-</v>
      </c>
      <c r="AQ217" s="511" t="str">
        <f t="array" aca="1" ref="AQ217" ca="1">IFERROR(IF(AI217&lt;=$AB$2,"-",INDEX(Calculation_Tab,SMALL(ROW(Main_Dil)*(Main_Dil&lt;&gt;"-"),COUNTIF(Main_Dil,"-")+ROW()-3-$AB$2)-9,22)),"-")</f>
        <v>-</v>
      </c>
      <c r="AR217" s="487" t="str">
        <f t="shared" ca="1" si="113"/>
        <v>-</v>
      </c>
      <c r="AS217" s="378">
        <v>214</v>
      </c>
      <c r="AT217" s="497" t="s">
        <v>162</v>
      </c>
      <c r="AU217" s="498">
        <v>22</v>
      </c>
      <c r="AV217" s="378" t="str">
        <f t="shared" ca="1" si="114"/>
        <v>-</v>
      </c>
      <c r="AW217" s="378" t="str">
        <f t="array" aca="1" ref="AW217" ca="1">IFERROR(IF(AS217&lt;=$AB$2+$AN$2,"-",INDEX(Calculation_Tab,SMALL(ROW(Direct_Denaturation)*(Direct_Denaturation&lt;&gt;"-"),COUNTIF(Direct_Denaturation,"-")+ROW()-3-$AB$2-$AN$2)-9,5)),"-")</f>
        <v>-</v>
      </c>
      <c r="AX217" s="378" t="str">
        <f t="array" aca="1" ref="AX217" ca="1">IFERROR(IF(AS217&lt;=$AB$2+$AN$2,"-",INDEX($A$3:$B$12,MATCH(INDEX(Calculation_Tab,SMALL(ROW(Direct_Denaturation)*(Direct_Denaturation&lt;&gt;"-"),COUNTIF(Direct_Denaturation,"-")+ROW()-3-$AB$2-$AN$2)-9,5),$A$3:$A$12,0),2)),"-")</f>
        <v>-</v>
      </c>
      <c r="AY217" s="378" t="str">
        <f t="array" aca="1" ref="AY217" ca="1">IFERROR(IF(AS217&lt;=$AB$2+$AN$2,"-",INDEX(Coordinate,MATCH(INDEX(Calculation_Tab,SMALL(ROW(Direct_Denaturation)*(Direct_Denaturation&lt;&gt;"-"),COUNTIF(Direct_Denaturation,"-")+ROW()-3-$AB$2-$AN$2)-9,6),$X$4:$X$99,0),2)),"-")</f>
        <v>-</v>
      </c>
      <c r="AZ217" s="510" t="str">
        <f t="array" aca="1" ref="AZ217" ca="1">IFERROR(IF(AS217&lt;=$AB$2+$AN$2,"-",INDEX(Calculation_Tab,SMALL(ROW(Direct_Denaturation)*(Direct_Denaturation&lt;&gt;"-"),COUNTIF(Direct_Denaturation,"-")+ROW()-3-$AB$2-$AN$2)-9,32)),"-")</f>
        <v>-</v>
      </c>
      <c r="BA217" s="510" t="str">
        <f t="array" aca="1" ref="BA217" ca="1">IFERROR(IF(AS217&lt;=$AB$2+$AN$2,"-",INDEX(Calculation_Tab,SMALL(ROW(Direct_Denaturation)*(Direct_Denaturation&lt;&gt;"-"),COUNTIF(Direct_Denaturation,"-")+ROW()-3-$AB$2-$AN$2)-9,34)),"-")</f>
        <v>-</v>
      </c>
      <c r="BB217" s="510" t="str">
        <f t="array" aca="1" ref="BB217" ca="1">IFERROR(IF(AS217&lt;=$AB$2+$AN$2,"-",INDEX(Calculation_Tab,SMALL(ROW(Direct_Denaturation)*(Direct_Denaturation&lt;&gt;"-"),COUNTIF(Direct_Denaturation,"-")+ROW()-3-$AB$2-$AN$2)-9,33)),"-")</f>
        <v>-</v>
      </c>
      <c r="BC217" s="510" t="str">
        <f t="array" aca="1" ref="BC217" ca="1">IFERROR(IF(AS217&lt;=$AB$2+$AN$2,"-",INDEX(Calculation_Tab,SMALL(ROW(Direct_Denaturation)*(Direct_Denaturation&lt;&gt;"-"),COUNTIF(Direct_Denaturation,"-")+ROW()-3-$AB$2-$AN$2)-9,35)),"-")</f>
        <v>-</v>
      </c>
      <c r="BD217" s="511" t="str">
        <f t="shared" ca="1" si="115"/>
        <v>-</v>
      </c>
      <c r="BK217" s="542" t="s">
        <v>82</v>
      </c>
      <c r="BL217" s="542" t="s">
        <v>82</v>
      </c>
      <c r="BM217" s="487" t="str">
        <f t="array" aca="1" ref="BM217" ca="1">IFERROR(INDEX(Calculation_Tab,SMALL(ROW(ToPool)*(ToPool&lt;&gt;"-"),COUNTIF(ToPool,"-")+ROW()-3)-9,3),"-")</f>
        <v>-</v>
      </c>
      <c r="BN217" s="378" t="str">
        <f t="shared" ca="1" si="116"/>
        <v>-</v>
      </c>
      <c r="BO217" s="378" t="str">
        <f t="shared" ca="1" si="117"/>
        <v>-</v>
      </c>
      <c r="BP217" s="523" t="str">
        <f t="shared" ca="1" si="118"/>
        <v>-</v>
      </c>
      <c r="BQ217" s="378" t="str">
        <f t="array" aca="1" ref="BQ217" ca="1">IFERROR(INDEX(BE:BG,MATCH(INDEX(Calculation_Tab,SMALL(ROW(ToPool)*(ToPool&lt;&gt;"-"),COUNTIF(ToPool,"-")+ROW()-3)-9,9),BG:BG,0),2),"-")</f>
        <v>-</v>
      </c>
      <c r="BR217" s="510" t="str">
        <f t="shared" ca="1" si="119"/>
        <v>-</v>
      </c>
      <c r="BS217" s="511" t="str">
        <f t="shared" ca="1" si="120"/>
        <v>-</v>
      </c>
      <c r="BT217" s="543" t="s">
        <v>82</v>
      </c>
      <c r="BU217" s="487" t="str">
        <f t="shared" ca="1" si="124"/>
        <v>-</v>
      </c>
      <c r="BV217" s="487" t="str">
        <f t="array" aca="1" ref="BV21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17" s="378" t="str">
        <f t="shared" ca="1" si="121"/>
        <v>-</v>
      </c>
      <c r="BX217" s="378" t="str">
        <f t="shared" ca="1" si="122"/>
        <v>-</v>
      </c>
      <c r="BY217" s="510" t="str">
        <f ca="1">IFERROR(ROUND(INDEX(Cluster,MATCH(IF(LEFT(BV217,4)="Pool",INDEX(Cluster,MATCH(INDEX(Calculation_Tab,MATCH(INDEX($BE$4:$BJ$99,MATCH(BV217,$BE$4:$BE$99,0),3),Flow_Cell_Lane,0),3),Cluster!$F$29:$F$412,0),6),BV217),Identifier_Cluster,0),19)*IF(LEFT(BV217,4)="pool",IF(LEN(INDEX($BE$4:$BJ$99,MATCH(BV217,$BE$4:$BE$99,0),3))=10,2,IF(LEN(INDEX($BE$4:$BJ$99,MATCH(BV217,$BE$4:$BE$99,0),3))&gt;10,LEN(INDEX($BE$4:$BJ$99,MATCH(BV217,$BE$4:$BE$99,0),3))-8,1)),1)*IF(LEFT(BV217,4)="pool",IF(INDEX($BE$4:$BJ$99,MATCH(BV217,$BE$4:$BE$99,0),6)&lt;1,1,INDEX($BE$4:$BJ$99,MATCH(BV217,$BE$4:$BE$99,0),6)),INDEX(Calculation_Tab,MATCH(BV217,Identifier,0),10)),1)*(1+Calculation!$Q$6),"-")</f>
        <v>-</v>
      </c>
      <c r="BZ217" s="378" t="str">
        <f ca="1">IFERROR((0.5/50)*CE217/Calculation!$AG$6*(IF(LEFT(BV217,4)="Pool",IF(LEN(INDEX($BE$4:$BJ$99,MATCH(BV217,$BE$4:$BE$99,0),3))=10,2,IF(LEN(INDEX($BE$4:$BJ$99,MATCH(BV217,$BE$4:$BE$99,0),3))&gt;10,LEN(INDEX($BE$4:$BJ$99,MATCH(BV217,$BE$4:$BE$99,0),3))-8,1)),IF(INDEX(Calculation_Tab,MATCH(BV217,Identifier,0),10)&gt;1,INDEX(Calculation_Tab,MATCH(BV217,Identifier,0),10),1)))*(1+Calculation!$Q$6),"-")</f>
        <v>-</v>
      </c>
      <c r="CA217" s="510" t="str">
        <f ca="1">IFERROR(IF((BZ217*Calculation!$AG$6/0.05)-SUM(BY217:BZ217,CC217)&gt;0,(BZ217*Calculation!$AG$6/0.05)-SUM(BY217:BZ217,CC217),0),"-")</f>
        <v>-</v>
      </c>
      <c r="CB217" s="510" t="str">
        <f ca="1">IFERROR(5/50*CE217*(IF(LEFT(BV217,4)="Pool",IF(LEN(INDEX($BE$4:$BJ$99,MATCH(BV217,$BE$4:$BE$99,0),3))=10,2,IF(LEN(INDEX($BE$4:$BJ$99,MATCH(BV217,$BE$4:$BE$99,0),3))&gt;10,LEN(INDEX($BE$4:$BJ$99,MATCH(BV217,$BE$4:$BE$99,0),3))-8,1)),IF(INDEX(Calculation_Tab,MATCH(BV217,Identifier,0),10)&gt;1,INDEX(Calculation_Tab,MATCH(BV217,Identifier,0),10),1)))*(1+Calculation!$Q$6),"-")</f>
        <v>-</v>
      </c>
      <c r="CC217" s="508" t="str">
        <f ca="1">IFERROR(ROUND(INDEX(Cluster,MATCH(IF(LEFT(BV217,4)="Pool",INDEX(Cluster,MATCH(INDEX(Calculation_Tab,MATCH(INDEX($BE$4:$BJ$99,MATCH(BV217,$BE$4:$BE$99,0),3),Flow_Cell_Lane,0),3),Cluster!$F$29:$F$412,0),6),BV217),Identifier_Cluster,0),20)*IF(LEFT(BV217,4)="pool",IF(LEN(INDEX($BE$4:$BJ$99,MATCH(BV217,$BE$4:$BE$99,0),3))=10,2,IF(LEN(INDEX($BE$4:$BJ$99,MATCH(BV217,$BE$4:$BE$99,0),3))&gt;10,LEN(INDEX($BE$4:$BJ$99,MATCH(BV217,$BE$4:$BE$99,0),3))-8,1)),1)*IF(LEFT(BV217,4)="pool",IF(INDEX($BE$4:$BJ$99,MATCH(BV217,$BE$4:$BE$99,0),6)&lt;1,1,INDEX($BE$4:$BJ$99,MATCH(BV217,$BE$4:$BE$99,0),6)),INDEX(Calculation_Tab,MATCH(BV217,Identifier,0),10)),1)*(1+Calculation!$Q$6),"-")</f>
        <v>-</v>
      </c>
      <c r="CD217" s="509" t="str">
        <f ca="1">IFERROR(INDEX(Cluster!AC:AD,MATCH(IF(LEFT(BV217,4)="Pool",INDEX(Cluster!$D$29:$AA$412,MATCH(INDEX(Calculation_Tab,MATCH(INDEX($BE$4:$BJ$99,MATCH(BV217,$BE$4:$BE$99,0),3),Flow_Cell_Lane,0),3),Cluster!$F$29:$F$412,0),24),INDEX(Cluster!$D$29:$AA$412,MATCH(BV217,Cluster!$F$29:$F$412,0),24)),Cluster!AC:AC,0),2),"-")</f>
        <v>-</v>
      </c>
      <c r="CE217" s="378" t="str">
        <f ca="1">IFERROR(IF(BV217&lt;&gt;"-",Calculation!$AK$6,"-"),"-")</f>
        <v>-</v>
      </c>
      <c r="CF217" s="378" t="str">
        <f ca="1">IF(OR(LEFT(ListAndConversion!BW217,3)="Dil",LEFT(ListAndConversion!BW217,3)="Poo"),ListAndConversion!$BT$4,IF(LEFT(ListAndConversion!BW217,3)="Sou",INDEX(ListAndConversion!$AT$3:$AV$387,MATCH(ListAndConversion!BV217,ListAndConversion!$AV$3:$AV$387,0),1),"-"))</f>
        <v>-</v>
      </c>
      <c r="CG217" s="498" t="str">
        <f ca="1">IF(OR(LEFT(ListAndConversion!BW217,3)="Dil",LEFT(ListAndConversion!BW217,3)="Poo"),ListAndConversion!BU217,IF(LEFT(ListAndConversion!BW217,3)="Sou",INDEX(ListAndConversion!$AT$4:$AV$387,MATCH(ListAndConversion!BV217,ListAndConversion!$AV$4:$AV$387,0),2),"-"))</f>
        <v>-</v>
      </c>
      <c r="CH217" s="378"/>
      <c r="CI217" s="487" t="str">
        <f t="shared" ca="1" si="123"/>
        <v>-</v>
      </c>
      <c r="CJ217" s="378" t="str">
        <f t="shared" ca="1" si="128"/>
        <v>-</v>
      </c>
      <c r="CK217" s="378" t="str">
        <f t="shared" ca="1" si="128"/>
        <v>-</v>
      </c>
      <c r="CL217" s="378" t="str">
        <f t="shared" ca="1" si="128"/>
        <v>-</v>
      </c>
      <c r="CM217" s="378" t="str">
        <f t="shared" ca="1" si="128"/>
        <v>-</v>
      </c>
      <c r="CN217" s="378" t="str">
        <f t="shared" ca="1" si="128"/>
        <v>-</v>
      </c>
      <c r="CO217" s="378" t="str">
        <f t="shared" ca="1" si="128"/>
        <v>-</v>
      </c>
      <c r="CP217" s="378" t="str">
        <f t="shared" ca="1" si="128"/>
        <v>-</v>
      </c>
      <c r="CQ217" s="378" t="str">
        <f t="shared" ca="1" si="128"/>
        <v>-</v>
      </c>
      <c r="CR217" s="510" t="str">
        <f ca="1">IFERROR(IF(LEFT(BW217,3)="Poo",INDEX($BE$4:$BJ$99,MATCH(CI217,$BG$4:$BG$99,0),6)*((15/50))*Calculation!$AK$6,INDEX(Calculation_Tab,MATCH(BV217,Identifier,0),10)/(IF(LEN(INDEX(Calculation_Tab,MATCH(BV217,Identifier,0),9))&gt;8,LEN(INDEX(Calculation_Tab,MATCH(BV217,Identifier,0),9))-8,1))*((15/50)*Calculation!$AK$6)),"-")</f>
        <v>-</v>
      </c>
      <c r="CS217" s="498" t="str">
        <f ca="1">IF(CI217="-","-",IF(COUNTIF($CI$3:CI217,CI217)&gt;1,0,IFERROR((35/50)*Calculation!$AK$6,"-")))</f>
        <v>-</v>
      </c>
    </row>
    <row r="218" spans="4:97" x14ac:dyDescent="0.5">
      <c r="D218" s="487" t="e">
        <f t="shared" si="109"/>
        <v>#DIV/0!</v>
      </c>
      <c r="E218" s="496" t="e">
        <f t="array" ref="E218">IF(IF((ROW(E218)-3)&lt;(ListAndConversion!$A$15),INDEX(Flow_Cell_Lane,MIN(IF(COUNTIF($E$2:E217,Flow_Cell_Lane)=0,ROW(Flow_Cell_Lane)-9))),"-")="","-",IF((ROW(E218)-3)&lt;(ListAndConversion!$A$15),INDEX(Flow_Cell_Lane,MIN(IF(COUNTIF($E$2:E217,Flow_Cell_Lane)=0,ROW(Flow_Cell_Lane)-9))),"-"))</f>
        <v>#DIV/0!</v>
      </c>
      <c r="F218" s="378" t="e">
        <f t="shared" si="110"/>
        <v>#DIV/0!</v>
      </c>
      <c r="G218" s="378" t="e">
        <f t="shared" si="127"/>
        <v>#DIV/0!</v>
      </c>
      <c r="H218" s="378" t="e">
        <f t="shared" si="127"/>
        <v>#DIV/0!</v>
      </c>
      <c r="I218" s="378" t="e">
        <f t="shared" si="127"/>
        <v>#DIV/0!</v>
      </c>
      <c r="J218" s="378" t="e">
        <f t="shared" si="127"/>
        <v>#DIV/0!</v>
      </c>
      <c r="K218" s="378" t="e">
        <f t="shared" si="127"/>
        <v>#DIV/0!</v>
      </c>
      <c r="L218" s="378" t="e">
        <f t="shared" si="127"/>
        <v>#DIV/0!</v>
      </c>
      <c r="M218" s="378" t="e">
        <f t="shared" si="127"/>
        <v>#DIV/0!</v>
      </c>
      <c r="N218" s="497" t="e">
        <f t="shared" si="111"/>
        <v>#DIV/0!</v>
      </c>
      <c r="O218" s="497" t="str">
        <f t="array" ref="O218">IFERROR(INDEX(Calculation!I:AN,MATCH(ListAndConversion!E218,Calculation!I:I,0),31),"-")</f>
        <v>-</v>
      </c>
      <c r="P218" s="498">
        <f>IF(COUNTIFS(Calculation!$I$10:$I$393,E218,Direct_Denaturation,"-")&lt;&gt;1,COUNTIFS(Calculation!$I$10:$I$393,E218,Direct_Denaturation,"-"),0)</f>
        <v>0</v>
      </c>
      <c r="V218" s="542" t="s">
        <v>82</v>
      </c>
      <c r="W218" s="542" t="s">
        <v>82</v>
      </c>
      <c r="X218" s="542" t="s">
        <v>82</v>
      </c>
      <c r="Y218" s="542" t="s">
        <v>82</v>
      </c>
      <c r="Z218" s="542" t="s">
        <v>82</v>
      </c>
      <c r="AA218" s="542" t="s">
        <v>82</v>
      </c>
      <c r="AB218" s="542" t="s">
        <v>82</v>
      </c>
      <c r="AC218" s="542" t="s">
        <v>82</v>
      </c>
      <c r="AD218" s="542" t="s">
        <v>82</v>
      </c>
      <c r="AE218" s="542" t="s">
        <v>82</v>
      </c>
      <c r="AF218" s="542" t="s">
        <v>82</v>
      </c>
      <c r="AG218" s="542" t="s">
        <v>82</v>
      </c>
      <c r="AH218" s="9"/>
      <c r="AI218" s="487">
        <v>215</v>
      </c>
      <c r="AJ218" s="497" t="s">
        <v>162</v>
      </c>
      <c r="AK218" s="378">
        <v>23</v>
      </c>
      <c r="AL218" s="378" t="str">
        <f t="shared" ca="1" si="112"/>
        <v>-</v>
      </c>
      <c r="AM218" s="378" t="str">
        <f t="array" aca="1" ref="AM218" ca="1">IFERROR(IF(AI218&lt;=$AB$2,"-",INDEX(Calculation_Tab,SMALL(ROW(Main_Dil)*(Main_Dil&lt;&gt;"-"),COUNTIF(Main_Dil,"-")+ROW()-3-$AB$2)-9,5)),"-")</f>
        <v>-</v>
      </c>
      <c r="AN218" s="378" t="str">
        <f t="array" aca="1" ref="AN218" ca="1">IFERROR(IF(AI218&lt;=$AB$2,"-",INDEX($A$3:$B$12,MATCH(INDEX(Calculation_Tab,SMALL(ROW(Main_Dil)*(Main_Dil&lt;&gt;"-"),COUNTIF(Main_Dil,"-")+ROW()-3-$AB$2)-9,5),$A$3:$A$12,0),2)),"-")</f>
        <v>-</v>
      </c>
      <c r="AO218" s="378" t="str">
        <f t="array" aca="1" ref="AO218" ca="1">IFERROR(IF(AI218&lt;=$AB$2,"-",INDEX(Coordinate,MATCH(INDEX(Calculation_Tab,SMALL(ROW(Main_Dil)*(Main_Dil&lt;&gt;"-"),COUNTIF(Main_Dil,"-")+ROW()-3-$AB$2)-9,6),$X$4:$X$99,0),2)),"-")</f>
        <v>-</v>
      </c>
      <c r="AP218" s="510" t="str">
        <f t="array" aca="1" ref="AP218" ca="1">IFERROR(IF(AI218&lt;=$AB$2,"-",INDEX(Calculation_Tab,SMALL(ROW(Main_Dil)*(Main_Dil&lt;&gt;"-"),COUNTIF(Main_Dil,"-")+ROW()-3-$AB$2)-9,21)),"-")</f>
        <v>-</v>
      </c>
      <c r="AQ218" s="511" t="str">
        <f t="array" aca="1" ref="AQ218" ca="1">IFERROR(IF(AI218&lt;=$AB$2,"-",INDEX(Calculation_Tab,SMALL(ROW(Main_Dil)*(Main_Dil&lt;&gt;"-"),COUNTIF(Main_Dil,"-")+ROW()-3-$AB$2)-9,22)),"-")</f>
        <v>-</v>
      </c>
      <c r="AR218" s="487" t="str">
        <f t="shared" ca="1" si="113"/>
        <v>-</v>
      </c>
      <c r="AS218" s="378">
        <v>215</v>
      </c>
      <c r="AT218" s="497" t="s">
        <v>162</v>
      </c>
      <c r="AU218" s="498">
        <v>23</v>
      </c>
      <c r="AV218" s="378" t="str">
        <f t="shared" ca="1" si="114"/>
        <v>-</v>
      </c>
      <c r="AW218" s="378" t="str">
        <f t="array" aca="1" ref="AW218" ca="1">IFERROR(IF(AS218&lt;=$AB$2+$AN$2,"-",INDEX(Calculation_Tab,SMALL(ROW(Direct_Denaturation)*(Direct_Denaturation&lt;&gt;"-"),COUNTIF(Direct_Denaturation,"-")+ROW()-3-$AB$2-$AN$2)-9,5)),"-")</f>
        <v>-</v>
      </c>
      <c r="AX218" s="378" t="str">
        <f t="array" aca="1" ref="AX218" ca="1">IFERROR(IF(AS218&lt;=$AB$2+$AN$2,"-",INDEX($A$3:$B$12,MATCH(INDEX(Calculation_Tab,SMALL(ROW(Direct_Denaturation)*(Direct_Denaturation&lt;&gt;"-"),COUNTIF(Direct_Denaturation,"-")+ROW()-3-$AB$2-$AN$2)-9,5),$A$3:$A$12,0),2)),"-")</f>
        <v>-</v>
      </c>
      <c r="AY218" s="378" t="str">
        <f t="array" aca="1" ref="AY218" ca="1">IFERROR(IF(AS218&lt;=$AB$2+$AN$2,"-",INDEX(Coordinate,MATCH(INDEX(Calculation_Tab,SMALL(ROW(Direct_Denaturation)*(Direct_Denaturation&lt;&gt;"-"),COUNTIF(Direct_Denaturation,"-")+ROW()-3-$AB$2-$AN$2)-9,6),$X$4:$X$99,0),2)),"-")</f>
        <v>-</v>
      </c>
      <c r="AZ218" s="510" t="str">
        <f t="array" aca="1" ref="AZ218" ca="1">IFERROR(IF(AS218&lt;=$AB$2+$AN$2,"-",INDEX(Calculation_Tab,SMALL(ROW(Direct_Denaturation)*(Direct_Denaturation&lt;&gt;"-"),COUNTIF(Direct_Denaturation,"-")+ROW()-3-$AB$2-$AN$2)-9,32)),"-")</f>
        <v>-</v>
      </c>
      <c r="BA218" s="510" t="str">
        <f t="array" aca="1" ref="BA218" ca="1">IFERROR(IF(AS218&lt;=$AB$2+$AN$2,"-",INDEX(Calculation_Tab,SMALL(ROW(Direct_Denaturation)*(Direct_Denaturation&lt;&gt;"-"),COUNTIF(Direct_Denaturation,"-")+ROW()-3-$AB$2-$AN$2)-9,34)),"-")</f>
        <v>-</v>
      </c>
      <c r="BB218" s="510" t="str">
        <f t="array" aca="1" ref="BB218" ca="1">IFERROR(IF(AS218&lt;=$AB$2+$AN$2,"-",INDEX(Calculation_Tab,SMALL(ROW(Direct_Denaturation)*(Direct_Denaturation&lt;&gt;"-"),COUNTIF(Direct_Denaturation,"-")+ROW()-3-$AB$2-$AN$2)-9,33)),"-")</f>
        <v>-</v>
      </c>
      <c r="BC218" s="510" t="str">
        <f t="array" aca="1" ref="BC218" ca="1">IFERROR(IF(AS218&lt;=$AB$2+$AN$2,"-",INDEX(Calculation_Tab,SMALL(ROW(Direct_Denaturation)*(Direct_Denaturation&lt;&gt;"-"),COUNTIF(Direct_Denaturation,"-")+ROW()-3-$AB$2-$AN$2)-9,35)),"-")</f>
        <v>-</v>
      </c>
      <c r="BD218" s="511" t="str">
        <f t="shared" ca="1" si="115"/>
        <v>-</v>
      </c>
      <c r="BK218" s="542" t="s">
        <v>82</v>
      </c>
      <c r="BL218" s="542" t="s">
        <v>82</v>
      </c>
      <c r="BM218" s="487" t="str">
        <f t="array" aca="1" ref="BM218" ca="1">IFERROR(INDEX(Calculation_Tab,SMALL(ROW(ToPool)*(ToPool&lt;&gt;"-"),COUNTIF(ToPool,"-")+ROW()-3)-9,3),"-")</f>
        <v>-</v>
      </c>
      <c r="BN218" s="378" t="str">
        <f t="shared" ca="1" si="116"/>
        <v>-</v>
      </c>
      <c r="BO218" s="378" t="str">
        <f t="shared" ca="1" si="117"/>
        <v>-</v>
      </c>
      <c r="BP218" s="523" t="str">
        <f t="shared" ca="1" si="118"/>
        <v>-</v>
      </c>
      <c r="BQ218" s="378" t="str">
        <f t="array" aca="1" ref="BQ218" ca="1">IFERROR(INDEX(BE:BG,MATCH(INDEX(Calculation_Tab,SMALL(ROW(ToPool)*(ToPool&lt;&gt;"-"),COUNTIF(ToPool,"-")+ROW()-3)-9,9),BG:BG,0),2),"-")</f>
        <v>-</v>
      </c>
      <c r="BR218" s="510" t="str">
        <f t="shared" ca="1" si="119"/>
        <v>-</v>
      </c>
      <c r="BS218" s="511" t="str">
        <f t="shared" ca="1" si="120"/>
        <v>-</v>
      </c>
      <c r="BT218" s="543" t="s">
        <v>82</v>
      </c>
      <c r="BU218" s="487" t="str">
        <f t="shared" ca="1" si="124"/>
        <v>-</v>
      </c>
      <c r="BV218" s="487" t="str">
        <f t="array" aca="1" ref="BV21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18" s="378" t="str">
        <f t="shared" ca="1" si="121"/>
        <v>-</v>
      </c>
      <c r="BX218" s="378" t="str">
        <f t="shared" ca="1" si="122"/>
        <v>-</v>
      </c>
      <c r="BY218" s="510" t="str">
        <f ca="1">IFERROR(ROUND(INDEX(Cluster,MATCH(IF(LEFT(BV218,4)="Pool",INDEX(Cluster,MATCH(INDEX(Calculation_Tab,MATCH(INDEX($BE$4:$BJ$99,MATCH(BV218,$BE$4:$BE$99,0),3),Flow_Cell_Lane,0),3),Cluster!$F$29:$F$412,0),6),BV218),Identifier_Cluster,0),19)*IF(LEFT(BV218,4)="pool",IF(LEN(INDEX($BE$4:$BJ$99,MATCH(BV218,$BE$4:$BE$99,0),3))=10,2,IF(LEN(INDEX($BE$4:$BJ$99,MATCH(BV218,$BE$4:$BE$99,0),3))&gt;10,LEN(INDEX($BE$4:$BJ$99,MATCH(BV218,$BE$4:$BE$99,0),3))-8,1)),1)*IF(LEFT(BV218,4)="pool",IF(INDEX($BE$4:$BJ$99,MATCH(BV218,$BE$4:$BE$99,0),6)&lt;1,1,INDEX($BE$4:$BJ$99,MATCH(BV218,$BE$4:$BE$99,0),6)),INDEX(Calculation_Tab,MATCH(BV218,Identifier,0),10)),1)*(1+Calculation!$Q$6),"-")</f>
        <v>-</v>
      </c>
      <c r="BZ218" s="378" t="str">
        <f ca="1">IFERROR((0.5/50)*CE218/Calculation!$AG$6*(IF(LEFT(BV218,4)="Pool",IF(LEN(INDEX($BE$4:$BJ$99,MATCH(BV218,$BE$4:$BE$99,0),3))=10,2,IF(LEN(INDEX($BE$4:$BJ$99,MATCH(BV218,$BE$4:$BE$99,0),3))&gt;10,LEN(INDEX($BE$4:$BJ$99,MATCH(BV218,$BE$4:$BE$99,0),3))-8,1)),IF(INDEX(Calculation_Tab,MATCH(BV218,Identifier,0),10)&gt;1,INDEX(Calculation_Tab,MATCH(BV218,Identifier,0),10),1)))*(1+Calculation!$Q$6),"-")</f>
        <v>-</v>
      </c>
      <c r="CA218" s="510" t="str">
        <f ca="1">IFERROR(IF((BZ218*Calculation!$AG$6/0.05)-SUM(BY218:BZ218,CC218)&gt;0,(BZ218*Calculation!$AG$6/0.05)-SUM(BY218:BZ218,CC218),0),"-")</f>
        <v>-</v>
      </c>
      <c r="CB218" s="510" t="str">
        <f ca="1">IFERROR(5/50*CE218*(IF(LEFT(BV218,4)="Pool",IF(LEN(INDEX($BE$4:$BJ$99,MATCH(BV218,$BE$4:$BE$99,0),3))=10,2,IF(LEN(INDEX($BE$4:$BJ$99,MATCH(BV218,$BE$4:$BE$99,0),3))&gt;10,LEN(INDEX($BE$4:$BJ$99,MATCH(BV218,$BE$4:$BE$99,0),3))-8,1)),IF(INDEX(Calculation_Tab,MATCH(BV218,Identifier,0),10)&gt;1,INDEX(Calculation_Tab,MATCH(BV218,Identifier,0),10),1)))*(1+Calculation!$Q$6),"-")</f>
        <v>-</v>
      </c>
      <c r="CC218" s="508" t="str">
        <f ca="1">IFERROR(ROUND(INDEX(Cluster,MATCH(IF(LEFT(BV218,4)="Pool",INDEX(Cluster,MATCH(INDEX(Calculation_Tab,MATCH(INDEX($BE$4:$BJ$99,MATCH(BV218,$BE$4:$BE$99,0),3),Flow_Cell_Lane,0),3),Cluster!$F$29:$F$412,0),6),BV218),Identifier_Cluster,0),20)*IF(LEFT(BV218,4)="pool",IF(LEN(INDEX($BE$4:$BJ$99,MATCH(BV218,$BE$4:$BE$99,0),3))=10,2,IF(LEN(INDEX($BE$4:$BJ$99,MATCH(BV218,$BE$4:$BE$99,0),3))&gt;10,LEN(INDEX($BE$4:$BJ$99,MATCH(BV218,$BE$4:$BE$99,0),3))-8,1)),1)*IF(LEFT(BV218,4)="pool",IF(INDEX($BE$4:$BJ$99,MATCH(BV218,$BE$4:$BE$99,0),6)&lt;1,1,INDEX($BE$4:$BJ$99,MATCH(BV218,$BE$4:$BE$99,0),6)),INDEX(Calculation_Tab,MATCH(BV218,Identifier,0),10)),1)*(1+Calculation!$Q$6),"-")</f>
        <v>-</v>
      </c>
      <c r="CD218" s="509" t="str">
        <f ca="1">IFERROR(INDEX(Cluster!AC:AD,MATCH(IF(LEFT(BV218,4)="Pool",INDEX(Cluster!$D$29:$AA$412,MATCH(INDEX(Calculation_Tab,MATCH(INDEX($BE$4:$BJ$99,MATCH(BV218,$BE$4:$BE$99,0),3),Flow_Cell_Lane,0),3),Cluster!$F$29:$F$412,0),24),INDEX(Cluster!$D$29:$AA$412,MATCH(BV218,Cluster!$F$29:$F$412,0),24)),Cluster!AC:AC,0),2),"-")</f>
        <v>-</v>
      </c>
      <c r="CE218" s="378" t="str">
        <f ca="1">IFERROR(IF(BV218&lt;&gt;"-",Calculation!$AK$6,"-"),"-")</f>
        <v>-</v>
      </c>
      <c r="CF218" s="378" t="str">
        <f ca="1">IF(OR(LEFT(ListAndConversion!BW218,3)="Dil",LEFT(ListAndConversion!BW218,3)="Poo"),ListAndConversion!$BT$4,IF(LEFT(ListAndConversion!BW218,3)="Sou",INDEX(ListAndConversion!$AT$3:$AV$387,MATCH(ListAndConversion!BV218,ListAndConversion!$AV$3:$AV$387,0),1),"-"))</f>
        <v>-</v>
      </c>
      <c r="CG218" s="498" t="str">
        <f ca="1">IF(OR(LEFT(ListAndConversion!BW218,3)="Dil",LEFT(ListAndConversion!BW218,3)="Poo"),ListAndConversion!BU218,IF(LEFT(ListAndConversion!BW218,3)="Sou",INDEX(ListAndConversion!$AT$4:$AV$387,MATCH(ListAndConversion!BV218,ListAndConversion!$AV$4:$AV$387,0),2),"-"))</f>
        <v>-</v>
      </c>
      <c r="CH218" s="378"/>
      <c r="CI218" s="487" t="str">
        <f t="shared" ca="1" si="123"/>
        <v>-</v>
      </c>
      <c r="CJ218" s="378" t="str">
        <f t="shared" ca="1" si="128"/>
        <v>-</v>
      </c>
      <c r="CK218" s="378" t="str">
        <f t="shared" ca="1" si="128"/>
        <v>-</v>
      </c>
      <c r="CL218" s="378" t="str">
        <f t="shared" ca="1" si="128"/>
        <v>-</v>
      </c>
      <c r="CM218" s="378" t="str">
        <f t="shared" ca="1" si="128"/>
        <v>-</v>
      </c>
      <c r="CN218" s="378" t="str">
        <f t="shared" ca="1" si="128"/>
        <v>-</v>
      </c>
      <c r="CO218" s="378" t="str">
        <f t="shared" ca="1" si="128"/>
        <v>-</v>
      </c>
      <c r="CP218" s="378" t="str">
        <f t="shared" ca="1" si="128"/>
        <v>-</v>
      </c>
      <c r="CQ218" s="378" t="str">
        <f t="shared" ca="1" si="128"/>
        <v>-</v>
      </c>
      <c r="CR218" s="510" t="str">
        <f ca="1">IFERROR(IF(LEFT(BW218,3)="Poo",INDEX($BE$4:$BJ$99,MATCH(CI218,$BG$4:$BG$99,0),6)*((15/50))*Calculation!$AK$6,INDEX(Calculation_Tab,MATCH(BV218,Identifier,0),10)/(IF(LEN(INDEX(Calculation_Tab,MATCH(BV218,Identifier,0),9))&gt;8,LEN(INDEX(Calculation_Tab,MATCH(BV218,Identifier,0),9))-8,1))*((15/50)*Calculation!$AK$6)),"-")</f>
        <v>-</v>
      </c>
      <c r="CS218" s="498" t="str">
        <f ca="1">IF(CI218="-","-",IF(COUNTIF($CI$3:CI218,CI218)&gt;1,0,IFERROR((35/50)*Calculation!$AK$6,"-")))</f>
        <v>-</v>
      </c>
    </row>
    <row r="219" spans="4:97" x14ac:dyDescent="0.5">
      <c r="D219" s="487" t="e">
        <f t="shared" si="109"/>
        <v>#DIV/0!</v>
      </c>
      <c r="E219" s="496" t="e">
        <f t="array" ref="E219">IF(IF((ROW(E219)-3)&lt;(ListAndConversion!$A$15),INDEX(Flow_Cell_Lane,MIN(IF(COUNTIF($E$2:E218,Flow_Cell_Lane)=0,ROW(Flow_Cell_Lane)-9))),"-")="","-",IF((ROW(E219)-3)&lt;(ListAndConversion!$A$15),INDEX(Flow_Cell_Lane,MIN(IF(COUNTIF($E$2:E218,Flow_Cell_Lane)=0,ROW(Flow_Cell_Lane)-9))),"-"))</f>
        <v>#DIV/0!</v>
      </c>
      <c r="F219" s="378" t="e">
        <f t="shared" si="110"/>
        <v>#DIV/0!</v>
      </c>
      <c r="G219" s="378" t="e">
        <f t="shared" si="127"/>
        <v>#DIV/0!</v>
      </c>
      <c r="H219" s="378" t="e">
        <f t="shared" si="127"/>
        <v>#DIV/0!</v>
      </c>
      <c r="I219" s="378" t="e">
        <f t="shared" si="127"/>
        <v>#DIV/0!</v>
      </c>
      <c r="J219" s="378" t="e">
        <f t="shared" si="127"/>
        <v>#DIV/0!</v>
      </c>
      <c r="K219" s="378" t="e">
        <f t="shared" si="127"/>
        <v>#DIV/0!</v>
      </c>
      <c r="L219" s="378" t="e">
        <f t="shared" si="127"/>
        <v>#DIV/0!</v>
      </c>
      <c r="M219" s="378" t="e">
        <f t="shared" si="127"/>
        <v>#DIV/0!</v>
      </c>
      <c r="N219" s="497" t="e">
        <f t="shared" si="111"/>
        <v>#DIV/0!</v>
      </c>
      <c r="O219" s="497" t="str">
        <f t="array" ref="O219">IFERROR(INDEX(Calculation!I:AN,MATCH(ListAndConversion!E219,Calculation!I:I,0),31),"-")</f>
        <v>-</v>
      </c>
      <c r="P219" s="498">
        <f>IF(COUNTIFS(Calculation!$I$10:$I$393,E219,Direct_Denaturation,"-")&lt;&gt;1,COUNTIFS(Calculation!$I$10:$I$393,E219,Direct_Denaturation,"-"),0)</f>
        <v>0</v>
      </c>
      <c r="V219" s="542" t="s">
        <v>82</v>
      </c>
      <c r="W219" s="542" t="s">
        <v>82</v>
      </c>
      <c r="X219" s="542" t="s">
        <v>82</v>
      </c>
      <c r="Y219" s="542" t="s">
        <v>82</v>
      </c>
      <c r="Z219" s="542" t="s">
        <v>82</v>
      </c>
      <c r="AA219" s="542" t="s">
        <v>82</v>
      </c>
      <c r="AB219" s="542" t="s">
        <v>82</v>
      </c>
      <c r="AC219" s="542" t="s">
        <v>82</v>
      </c>
      <c r="AD219" s="542" t="s">
        <v>82</v>
      </c>
      <c r="AE219" s="542" t="s">
        <v>82</v>
      </c>
      <c r="AF219" s="542" t="s">
        <v>82</v>
      </c>
      <c r="AG219" s="542" t="s">
        <v>82</v>
      </c>
      <c r="AH219" s="9"/>
      <c r="AI219" s="487">
        <v>216</v>
      </c>
      <c r="AJ219" s="497" t="s">
        <v>162</v>
      </c>
      <c r="AK219" s="378">
        <v>24</v>
      </c>
      <c r="AL219" s="378" t="str">
        <f t="shared" ca="1" si="112"/>
        <v>-</v>
      </c>
      <c r="AM219" s="378" t="str">
        <f t="array" aca="1" ref="AM219" ca="1">IFERROR(IF(AI219&lt;=$AB$2,"-",INDEX(Calculation_Tab,SMALL(ROW(Main_Dil)*(Main_Dil&lt;&gt;"-"),COUNTIF(Main_Dil,"-")+ROW()-3-$AB$2)-9,5)),"-")</f>
        <v>-</v>
      </c>
      <c r="AN219" s="378" t="str">
        <f t="array" aca="1" ref="AN219" ca="1">IFERROR(IF(AI219&lt;=$AB$2,"-",INDEX($A$3:$B$12,MATCH(INDEX(Calculation_Tab,SMALL(ROW(Main_Dil)*(Main_Dil&lt;&gt;"-"),COUNTIF(Main_Dil,"-")+ROW()-3-$AB$2)-9,5),$A$3:$A$12,0),2)),"-")</f>
        <v>-</v>
      </c>
      <c r="AO219" s="378" t="str">
        <f t="array" aca="1" ref="AO219" ca="1">IFERROR(IF(AI219&lt;=$AB$2,"-",INDEX(Coordinate,MATCH(INDEX(Calculation_Tab,SMALL(ROW(Main_Dil)*(Main_Dil&lt;&gt;"-"),COUNTIF(Main_Dil,"-")+ROW()-3-$AB$2)-9,6),$X$4:$X$99,0),2)),"-")</f>
        <v>-</v>
      </c>
      <c r="AP219" s="510" t="str">
        <f t="array" aca="1" ref="AP219" ca="1">IFERROR(IF(AI219&lt;=$AB$2,"-",INDEX(Calculation_Tab,SMALL(ROW(Main_Dil)*(Main_Dil&lt;&gt;"-"),COUNTIF(Main_Dil,"-")+ROW()-3-$AB$2)-9,21)),"-")</f>
        <v>-</v>
      </c>
      <c r="AQ219" s="511" t="str">
        <f t="array" aca="1" ref="AQ219" ca="1">IFERROR(IF(AI219&lt;=$AB$2,"-",INDEX(Calculation_Tab,SMALL(ROW(Main_Dil)*(Main_Dil&lt;&gt;"-"),COUNTIF(Main_Dil,"-")+ROW()-3-$AB$2)-9,22)),"-")</f>
        <v>-</v>
      </c>
      <c r="AR219" s="487" t="str">
        <f t="shared" ca="1" si="113"/>
        <v>-</v>
      </c>
      <c r="AS219" s="378">
        <v>216</v>
      </c>
      <c r="AT219" s="497" t="s">
        <v>162</v>
      </c>
      <c r="AU219" s="498">
        <v>24</v>
      </c>
      <c r="AV219" s="378" t="str">
        <f t="shared" ca="1" si="114"/>
        <v>-</v>
      </c>
      <c r="AW219" s="378" t="str">
        <f t="array" aca="1" ref="AW219" ca="1">IFERROR(IF(AS219&lt;=$AB$2+$AN$2,"-",INDEX(Calculation_Tab,SMALL(ROW(Direct_Denaturation)*(Direct_Denaturation&lt;&gt;"-"),COUNTIF(Direct_Denaturation,"-")+ROW()-3-$AB$2-$AN$2)-9,5)),"-")</f>
        <v>-</v>
      </c>
      <c r="AX219" s="378" t="str">
        <f t="array" aca="1" ref="AX219" ca="1">IFERROR(IF(AS219&lt;=$AB$2+$AN$2,"-",INDEX($A$3:$B$12,MATCH(INDEX(Calculation_Tab,SMALL(ROW(Direct_Denaturation)*(Direct_Denaturation&lt;&gt;"-"),COUNTIF(Direct_Denaturation,"-")+ROW()-3-$AB$2-$AN$2)-9,5),$A$3:$A$12,0),2)),"-")</f>
        <v>-</v>
      </c>
      <c r="AY219" s="378" t="str">
        <f t="array" aca="1" ref="AY219" ca="1">IFERROR(IF(AS219&lt;=$AB$2+$AN$2,"-",INDEX(Coordinate,MATCH(INDEX(Calculation_Tab,SMALL(ROW(Direct_Denaturation)*(Direct_Denaturation&lt;&gt;"-"),COUNTIF(Direct_Denaturation,"-")+ROW()-3-$AB$2-$AN$2)-9,6),$X$4:$X$99,0),2)),"-")</f>
        <v>-</v>
      </c>
      <c r="AZ219" s="510" t="str">
        <f t="array" aca="1" ref="AZ219" ca="1">IFERROR(IF(AS219&lt;=$AB$2+$AN$2,"-",INDEX(Calculation_Tab,SMALL(ROW(Direct_Denaturation)*(Direct_Denaturation&lt;&gt;"-"),COUNTIF(Direct_Denaturation,"-")+ROW()-3-$AB$2-$AN$2)-9,32)),"-")</f>
        <v>-</v>
      </c>
      <c r="BA219" s="510" t="str">
        <f t="array" aca="1" ref="BA219" ca="1">IFERROR(IF(AS219&lt;=$AB$2+$AN$2,"-",INDEX(Calculation_Tab,SMALL(ROW(Direct_Denaturation)*(Direct_Denaturation&lt;&gt;"-"),COUNTIF(Direct_Denaturation,"-")+ROW()-3-$AB$2-$AN$2)-9,34)),"-")</f>
        <v>-</v>
      </c>
      <c r="BB219" s="510" t="str">
        <f t="array" aca="1" ref="BB219" ca="1">IFERROR(IF(AS219&lt;=$AB$2+$AN$2,"-",INDEX(Calculation_Tab,SMALL(ROW(Direct_Denaturation)*(Direct_Denaturation&lt;&gt;"-"),COUNTIF(Direct_Denaturation,"-")+ROW()-3-$AB$2-$AN$2)-9,33)),"-")</f>
        <v>-</v>
      </c>
      <c r="BC219" s="510" t="str">
        <f t="array" aca="1" ref="BC219" ca="1">IFERROR(IF(AS219&lt;=$AB$2+$AN$2,"-",INDEX(Calculation_Tab,SMALL(ROW(Direct_Denaturation)*(Direct_Denaturation&lt;&gt;"-"),COUNTIF(Direct_Denaturation,"-")+ROW()-3-$AB$2-$AN$2)-9,35)),"-")</f>
        <v>-</v>
      </c>
      <c r="BD219" s="511" t="str">
        <f t="shared" ca="1" si="115"/>
        <v>-</v>
      </c>
      <c r="BK219" s="542" t="s">
        <v>82</v>
      </c>
      <c r="BL219" s="542" t="s">
        <v>82</v>
      </c>
      <c r="BM219" s="487" t="str">
        <f t="array" aca="1" ref="BM219" ca="1">IFERROR(INDEX(Calculation_Tab,SMALL(ROW(ToPool)*(ToPool&lt;&gt;"-"),COUNTIF(ToPool,"-")+ROW()-3)-9,3),"-")</f>
        <v>-</v>
      </c>
      <c r="BN219" s="378" t="str">
        <f t="shared" ca="1" si="116"/>
        <v>-</v>
      </c>
      <c r="BO219" s="378" t="str">
        <f t="shared" ca="1" si="117"/>
        <v>-</v>
      </c>
      <c r="BP219" s="523" t="str">
        <f t="shared" ca="1" si="118"/>
        <v>-</v>
      </c>
      <c r="BQ219" s="378" t="str">
        <f t="array" aca="1" ref="BQ219" ca="1">IFERROR(INDEX(BE:BG,MATCH(INDEX(Calculation_Tab,SMALL(ROW(ToPool)*(ToPool&lt;&gt;"-"),COUNTIF(ToPool,"-")+ROW()-3)-9,9),BG:BG,0),2),"-")</f>
        <v>-</v>
      </c>
      <c r="BR219" s="510" t="str">
        <f t="shared" ca="1" si="119"/>
        <v>-</v>
      </c>
      <c r="BS219" s="511" t="str">
        <f t="shared" ca="1" si="120"/>
        <v>-</v>
      </c>
      <c r="BT219" s="543" t="s">
        <v>82</v>
      </c>
      <c r="BU219" s="487" t="str">
        <f t="shared" ca="1" si="124"/>
        <v>-</v>
      </c>
      <c r="BV219" s="487" t="str">
        <f t="array" aca="1" ref="BV21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19" s="378" t="str">
        <f t="shared" ca="1" si="121"/>
        <v>-</v>
      </c>
      <c r="BX219" s="378" t="str">
        <f t="shared" ca="1" si="122"/>
        <v>-</v>
      </c>
      <c r="BY219" s="510" t="str">
        <f ca="1">IFERROR(ROUND(INDEX(Cluster,MATCH(IF(LEFT(BV219,4)="Pool",INDEX(Cluster,MATCH(INDEX(Calculation_Tab,MATCH(INDEX($BE$4:$BJ$99,MATCH(BV219,$BE$4:$BE$99,0),3),Flow_Cell_Lane,0),3),Cluster!$F$29:$F$412,0),6),BV219),Identifier_Cluster,0),19)*IF(LEFT(BV219,4)="pool",IF(LEN(INDEX($BE$4:$BJ$99,MATCH(BV219,$BE$4:$BE$99,0),3))=10,2,IF(LEN(INDEX($BE$4:$BJ$99,MATCH(BV219,$BE$4:$BE$99,0),3))&gt;10,LEN(INDEX($BE$4:$BJ$99,MATCH(BV219,$BE$4:$BE$99,0),3))-8,1)),1)*IF(LEFT(BV219,4)="pool",IF(INDEX($BE$4:$BJ$99,MATCH(BV219,$BE$4:$BE$99,0),6)&lt;1,1,INDEX($BE$4:$BJ$99,MATCH(BV219,$BE$4:$BE$99,0),6)),INDEX(Calculation_Tab,MATCH(BV219,Identifier,0),10)),1)*(1+Calculation!$Q$6),"-")</f>
        <v>-</v>
      </c>
      <c r="BZ219" s="378" t="str">
        <f ca="1">IFERROR((0.5/50)*CE219/Calculation!$AG$6*(IF(LEFT(BV219,4)="Pool",IF(LEN(INDEX($BE$4:$BJ$99,MATCH(BV219,$BE$4:$BE$99,0),3))=10,2,IF(LEN(INDEX($BE$4:$BJ$99,MATCH(BV219,$BE$4:$BE$99,0),3))&gt;10,LEN(INDEX($BE$4:$BJ$99,MATCH(BV219,$BE$4:$BE$99,0),3))-8,1)),IF(INDEX(Calculation_Tab,MATCH(BV219,Identifier,0),10)&gt;1,INDEX(Calculation_Tab,MATCH(BV219,Identifier,0),10),1)))*(1+Calculation!$Q$6),"-")</f>
        <v>-</v>
      </c>
      <c r="CA219" s="510" t="str">
        <f ca="1">IFERROR(IF((BZ219*Calculation!$AG$6/0.05)-SUM(BY219:BZ219,CC219)&gt;0,(BZ219*Calculation!$AG$6/0.05)-SUM(BY219:BZ219,CC219),0),"-")</f>
        <v>-</v>
      </c>
      <c r="CB219" s="510" t="str">
        <f ca="1">IFERROR(5/50*CE219*(IF(LEFT(BV219,4)="Pool",IF(LEN(INDEX($BE$4:$BJ$99,MATCH(BV219,$BE$4:$BE$99,0),3))=10,2,IF(LEN(INDEX($BE$4:$BJ$99,MATCH(BV219,$BE$4:$BE$99,0),3))&gt;10,LEN(INDEX($BE$4:$BJ$99,MATCH(BV219,$BE$4:$BE$99,0),3))-8,1)),IF(INDEX(Calculation_Tab,MATCH(BV219,Identifier,0),10)&gt;1,INDEX(Calculation_Tab,MATCH(BV219,Identifier,0),10),1)))*(1+Calculation!$Q$6),"-")</f>
        <v>-</v>
      </c>
      <c r="CC219" s="508" t="str">
        <f ca="1">IFERROR(ROUND(INDEX(Cluster,MATCH(IF(LEFT(BV219,4)="Pool",INDEX(Cluster,MATCH(INDEX(Calculation_Tab,MATCH(INDEX($BE$4:$BJ$99,MATCH(BV219,$BE$4:$BE$99,0),3),Flow_Cell_Lane,0),3),Cluster!$F$29:$F$412,0),6),BV219),Identifier_Cluster,0),20)*IF(LEFT(BV219,4)="pool",IF(LEN(INDEX($BE$4:$BJ$99,MATCH(BV219,$BE$4:$BE$99,0),3))=10,2,IF(LEN(INDEX($BE$4:$BJ$99,MATCH(BV219,$BE$4:$BE$99,0),3))&gt;10,LEN(INDEX($BE$4:$BJ$99,MATCH(BV219,$BE$4:$BE$99,0),3))-8,1)),1)*IF(LEFT(BV219,4)="pool",IF(INDEX($BE$4:$BJ$99,MATCH(BV219,$BE$4:$BE$99,0),6)&lt;1,1,INDEX($BE$4:$BJ$99,MATCH(BV219,$BE$4:$BE$99,0),6)),INDEX(Calculation_Tab,MATCH(BV219,Identifier,0),10)),1)*(1+Calculation!$Q$6),"-")</f>
        <v>-</v>
      </c>
      <c r="CD219" s="509" t="str">
        <f ca="1">IFERROR(INDEX(Cluster!AC:AD,MATCH(IF(LEFT(BV219,4)="Pool",INDEX(Cluster!$D$29:$AA$412,MATCH(INDEX(Calculation_Tab,MATCH(INDEX($BE$4:$BJ$99,MATCH(BV219,$BE$4:$BE$99,0),3),Flow_Cell_Lane,0),3),Cluster!$F$29:$F$412,0),24),INDEX(Cluster!$D$29:$AA$412,MATCH(BV219,Cluster!$F$29:$F$412,0),24)),Cluster!AC:AC,0),2),"-")</f>
        <v>-</v>
      </c>
      <c r="CE219" s="378" t="str">
        <f ca="1">IFERROR(IF(BV219&lt;&gt;"-",Calculation!$AK$6,"-"),"-")</f>
        <v>-</v>
      </c>
      <c r="CF219" s="378" t="str">
        <f ca="1">IF(OR(LEFT(ListAndConversion!BW219,3)="Dil",LEFT(ListAndConversion!BW219,3)="Poo"),ListAndConversion!$BT$4,IF(LEFT(ListAndConversion!BW219,3)="Sou",INDEX(ListAndConversion!$AT$3:$AV$387,MATCH(ListAndConversion!BV219,ListAndConversion!$AV$3:$AV$387,0),1),"-"))</f>
        <v>-</v>
      </c>
      <c r="CG219" s="498" t="str">
        <f ca="1">IF(OR(LEFT(ListAndConversion!BW219,3)="Dil",LEFT(ListAndConversion!BW219,3)="Poo"),ListAndConversion!BU219,IF(LEFT(ListAndConversion!BW219,3)="Sou",INDEX(ListAndConversion!$AT$4:$AV$387,MATCH(ListAndConversion!BV219,ListAndConversion!$AV$4:$AV$387,0),2),"-"))</f>
        <v>-</v>
      </c>
      <c r="CH219" s="378"/>
      <c r="CI219" s="487" t="str">
        <f t="shared" ca="1" si="123"/>
        <v>-</v>
      </c>
      <c r="CJ219" s="378" t="str">
        <f t="shared" ca="1" si="128"/>
        <v>-</v>
      </c>
      <c r="CK219" s="378" t="str">
        <f t="shared" ca="1" si="128"/>
        <v>-</v>
      </c>
      <c r="CL219" s="378" t="str">
        <f t="shared" ca="1" si="128"/>
        <v>-</v>
      </c>
      <c r="CM219" s="378" t="str">
        <f t="shared" ca="1" si="128"/>
        <v>-</v>
      </c>
      <c r="CN219" s="378" t="str">
        <f t="shared" ca="1" si="128"/>
        <v>-</v>
      </c>
      <c r="CO219" s="378" t="str">
        <f t="shared" ca="1" si="128"/>
        <v>-</v>
      </c>
      <c r="CP219" s="378" t="str">
        <f t="shared" ca="1" si="128"/>
        <v>-</v>
      </c>
      <c r="CQ219" s="378" t="str">
        <f t="shared" ca="1" si="128"/>
        <v>-</v>
      </c>
      <c r="CR219" s="510" t="str">
        <f ca="1">IFERROR(IF(LEFT(BW219,3)="Poo",INDEX($BE$4:$BJ$99,MATCH(CI219,$BG$4:$BG$99,0),6)*((15/50))*Calculation!$AK$6,INDEX(Calculation_Tab,MATCH(BV219,Identifier,0),10)/(IF(LEN(INDEX(Calculation_Tab,MATCH(BV219,Identifier,0),9))&gt;8,LEN(INDEX(Calculation_Tab,MATCH(BV219,Identifier,0),9))-8,1))*((15/50)*Calculation!$AK$6)),"-")</f>
        <v>-</v>
      </c>
      <c r="CS219" s="498" t="str">
        <f ca="1">IF(CI219="-","-",IF(COUNTIF($CI$3:CI219,CI219)&gt;1,0,IFERROR((35/50)*Calculation!$AK$6,"-")))</f>
        <v>-</v>
      </c>
    </row>
    <row r="220" spans="4:97" x14ac:dyDescent="0.5">
      <c r="D220" s="487" t="e">
        <f t="shared" si="109"/>
        <v>#DIV/0!</v>
      </c>
      <c r="E220" s="496" t="e">
        <f t="array" ref="E220">IF(IF((ROW(E220)-3)&lt;(ListAndConversion!$A$15),INDEX(Flow_Cell_Lane,MIN(IF(COUNTIF($E$2:E219,Flow_Cell_Lane)=0,ROW(Flow_Cell_Lane)-9))),"-")="","-",IF((ROW(E220)-3)&lt;(ListAndConversion!$A$15),INDEX(Flow_Cell_Lane,MIN(IF(COUNTIF($E$2:E219,Flow_Cell_Lane)=0,ROW(Flow_Cell_Lane)-9))),"-"))</f>
        <v>#DIV/0!</v>
      </c>
      <c r="F220" s="378" t="e">
        <f t="shared" si="110"/>
        <v>#DIV/0!</v>
      </c>
      <c r="G220" s="378" t="e">
        <f t="shared" si="127"/>
        <v>#DIV/0!</v>
      </c>
      <c r="H220" s="378" t="e">
        <f t="shared" si="127"/>
        <v>#DIV/0!</v>
      </c>
      <c r="I220" s="378" t="e">
        <f t="shared" si="127"/>
        <v>#DIV/0!</v>
      </c>
      <c r="J220" s="378" t="e">
        <f t="shared" si="127"/>
        <v>#DIV/0!</v>
      </c>
      <c r="K220" s="378" t="e">
        <f t="shared" si="127"/>
        <v>#DIV/0!</v>
      </c>
      <c r="L220" s="378" t="e">
        <f t="shared" si="127"/>
        <v>#DIV/0!</v>
      </c>
      <c r="M220" s="378" t="e">
        <f t="shared" si="127"/>
        <v>#DIV/0!</v>
      </c>
      <c r="N220" s="497" t="e">
        <f t="shared" si="111"/>
        <v>#DIV/0!</v>
      </c>
      <c r="O220" s="497" t="str">
        <f t="array" ref="O220">IFERROR(INDEX(Calculation!I:AN,MATCH(ListAndConversion!E220,Calculation!I:I,0),31),"-")</f>
        <v>-</v>
      </c>
      <c r="P220" s="498">
        <f>IF(COUNTIFS(Calculation!$I$10:$I$393,E220,Direct_Denaturation,"-")&lt;&gt;1,COUNTIFS(Calculation!$I$10:$I$393,E220,Direct_Denaturation,"-"),0)</f>
        <v>0</v>
      </c>
      <c r="V220" s="542" t="s">
        <v>82</v>
      </c>
      <c r="W220" s="542" t="s">
        <v>82</v>
      </c>
      <c r="X220" s="542" t="s">
        <v>82</v>
      </c>
      <c r="Y220" s="542" t="s">
        <v>82</v>
      </c>
      <c r="Z220" s="542" t="s">
        <v>82</v>
      </c>
      <c r="AA220" s="542" t="s">
        <v>82</v>
      </c>
      <c r="AB220" s="542" t="s">
        <v>82</v>
      </c>
      <c r="AC220" s="542" t="s">
        <v>82</v>
      </c>
      <c r="AD220" s="542" t="s">
        <v>82</v>
      </c>
      <c r="AE220" s="542" t="s">
        <v>82</v>
      </c>
      <c r="AF220" s="542" t="s">
        <v>82</v>
      </c>
      <c r="AG220" s="542" t="s">
        <v>82</v>
      </c>
      <c r="AH220" s="9"/>
      <c r="AI220" s="487">
        <v>217</v>
      </c>
      <c r="AJ220" s="497" t="s">
        <v>162</v>
      </c>
      <c r="AK220" s="378">
        <v>25</v>
      </c>
      <c r="AL220" s="378" t="str">
        <f t="shared" ca="1" si="112"/>
        <v>-</v>
      </c>
      <c r="AM220" s="378" t="str">
        <f t="array" aca="1" ref="AM220" ca="1">IFERROR(IF(AI220&lt;=$AB$2,"-",INDEX(Calculation_Tab,SMALL(ROW(Main_Dil)*(Main_Dil&lt;&gt;"-"),COUNTIF(Main_Dil,"-")+ROW()-3-$AB$2)-9,5)),"-")</f>
        <v>-</v>
      </c>
      <c r="AN220" s="378" t="str">
        <f t="array" aca="1" ref="AN220" ca="1">IFERROR(IF(AI220&lt;=$AB$2,"-",INDEX($A$3:$B$12,MATCH(INDEX(Calculation_Tab,SMALL(ROW(Main_Dil)*(Main_Dil&lt;&gt;"-"),COUNTIF(Main_Dil,"-")+ROW()-3-$AB$2)-9,5),$A$3:$A$12,0),2)),"-")</f>
        <v>-</v>
      </c>
      <c r="AO220" s="378" t="str">
        <f t="array" aca="1" ref="AO220" ca="1">IFERROR(IF(AI220&lt;=$AB$2,"-",INDEX(Coordinate,MATCH(INDEX(Calculation_Tab,SMALL(ROW(Main_Dil)*(Main_Dil&lt;&gt;"-"),COUNTIF(Main_Dil,"-")+ROW()-3-$AB$2)-9,6),$X$4:$X$99,0),2)),"-")</f>
        <v>-</v>
      </c>
      <c r="AP220" s="510" t="str">
        <f t="array" aca="1" ref="AP220" ca="1">IFERROR(IF(AI220&lt;=$AB$2,"-",INDEX(Calculation_Tab,SMALL(ROW(Main_Dil)*(Main_Dil&lt;&gt;"-"),COUNTIF(Main_Dil,"-")+ROW()-3-$AB$2)-9,21)),"-")</f>
        <v>-</v>
      </c>
      <c r="AQ220" s="511" t="str">
        <f t="array" aca="1" ref="AQ220" ca="1">IFERROR(IF(AI220&lt;=$AB$2,"-",INDEX(Calculation_Tab,SMALL(ROW(Main_Dil)*(Main_Dil&lt;&gt;"-"),COUNTIF(Main_Dil,"-")+ROW()-3-$AB$2)-9,22)),"-")</f>
        <v>-</v>
      </c>
      <c r="AR220" s="487" t="str">
        <f t="shared" ca="1" si="113"/>
        <v>-</v>
      </c>
      <c r="AS220" s="378">
        <v>217</v>
      </c>
      <c r="AT220" s="497" t="s">
        <v>162</v>
      </c>
      <c r="AU220" s="498">
        <v>25</v>
      </c>
      <c r="AV220" s="378" t="str">
        <f t="shared" ca="1" si="114"/>
        <v>-</v>
      </c>
      <c r="AW220" s="378" t="str">
        <f t="array" aca="1" ref="AW220" ca="1">IFERROR(IF(AS220&lt;=$AB$2+$AN$2,"-",INDEX(Calculation_Tab,SMALL(ROW(Direct_Denaturation)*(Direct_Denaturation&lt;&gt;"-"),COUNTIF(Direct_Denaturation,"-")+ROW()-3-$AB$2-$AN$2)-9,5)),"-")</f>
        <v>-</v>
      </c>
      <c r="AX220" s="378" t="str">
        <f t="array" aca="1" ref="AX220" ca="1">IFERROR(IF(AS220&lt;=$AB$2+$AN$2,"-",INDEX($A$3:$B$12,MATCH(INDEX(Calculation_Tab,SMALL(ROW(Direct_Denaturation)*(Direct_Denaturation&lt;&gt;"-"),COUNTIF(Direct_Denaturation,"-")+ROW()-3-$AB$2-$AN$2)-9,5),$A$3:$A$12,0),2)),"-")</f>
        <v>-</v>
      </c>
      <c r="AY220" s="378" t="str">
        <f t="array" aca="1" ref="AY220" ca="1">IFERROR(IF(AS220&lt;=$AB$2+$AN$2,"-",INDEX(Coordinate,MATCH(INDEX(Calculation_Tab,SMALL(ROW(Direct_Denaturation)*(Direct_Denaturation&lt;&gt;"-"),COUNTIF(Direct_Denaturation,"-")+ROW()-3-$AB$2-$AN$2)-9,6),$X$4:$X$99,0),2)),"-")</f>
        <v>-</v>
      </c>
      <c r="AZ220" s="510" t="str">
        <f t="array" aca="1" ref="AZ220" ca="1">IFERROR(IF(AS220&lt;=$AB$2+$AN$2,"-",INDEX(Calculation_Tab,SMALL(ROW(Direct_Denaturation)*(Direct_Denaturation&lt;&gt;"-"),COUNTIF(Direct_Denaturation,"-")+ROW()-3-$AB$2-$AN$2)-9,32)),"-")</f>
        <v>-</v>
      </c>
      <c r="BA220" s="510" t="str">
        <f t="array" aca="1" ref="BA220" ca="1">IFERROR(IF(AS220&lt;=$AB$2+$AN$2,"-",INDEX(Calculation_Tab,SMALL(ROW(Direct_Denaturation)*(Direct_Denaturation&lt;&gt;"-"),COUNTIF(Direct_Denaturation,"-")+ROW()-3-$AB$2-$AN$2)-9,34)),"-")</f>
        <v>-</v>
      </c>
      <c r="BB220" s="510" t="str">
        <f t="array" aca="1" ref="BB220" ca="1">IFERROR(IF(AS220&lt;=$AB$2+$AN$2,"-",INDEX(Calculation_Tab,SMALL(ROW(Direct_Denaturation)*(Direct_Denaturation&lt;&gt;"-"),COUNTIF(Direct_Denaturation,"-")+ROW()-3-$AB$2-$AN$2)-9,33)),"-")</f>
        <v>-</v>
      </c>
      <c r="BC220" s="510" t="str">
        <f t="array" aca="1" ref="BC220" ca="1">IFERROR(IF(AS220&lt;=$AB$2+$AN$2,"-",INDEX(Calculation_Tab,SMALL(ROW(Direct_Denaturation)*(Direct_Denaturation&lt;&gt;"-"),COUNTIF(Direct_Denaturation,"-")+ROW()-3-$AB$2-$AN$2)-9,35)),"-")</f>
        <v>-</v>
      </c>
      <c r="BD220" s="511" t="str">
        <f t="shared" ca="1" si="115"/>
        <v>-</v>
      </c>
      <c r="BK220" s="542" t="s">
        <v>82</v>
      </c>
      <c r="BL220" s="542" t="s">
        <v>82</v>
      </c>
      <c r="BM220" s="487" t="str">
        <f t="array" aca="1" ref="BM220" ca="1">IFERROR(INDEX(Calculation_Tab,SMALL(ROW(ToPool)*(ToPool&lt;&gt;"-"),COUNTIF(ToPool,"-")+ROW()-3)-9,3),"-")</f>
        <v>-</v>
      </c>
      <c r="BN220" s="378" t="str">
        <f t="shared" ca="1" si="116"/>
        <v>-</v>
      </c>
      <c r="BO220" s="378" t="str">
        <f t="shared" ca="1" si="117"/>
        <v>-</v>
      </c>
      <c r="BP220" s="523" t="str">
        <f t="shared" ca="1" si="118"/>
        <v>-</v>
      </c>
      <c r="BQ220" s="378" t="str">
        <f t="array" aca="1" ref="BQ220" ca="1">IFERROR(INDEX(BE:BG,MATCH(INDEX(Calculation_Tab,SMALL(ROW(ToPool)*(ToPool&lt;&gt;"-"),COUNTIF(ToPool,"-")+ROW()-3)-9,9),BG:BG,0),2),"-")</f>
        <v>-</v>
      </c>
      <c r="BR220" s="510" t="str">
        <f t="shared" ca="1" si="119"/>
        <v>-</v>
      </c>
      <c r="BS220" s="511" t="str">
        <f t="shared" ca="1" si="120"/>
        <v>-</v>
      </c>
      <c r="BT220" s="543" t="s">
        <v>82</v>
      </c>
      <c r="BU220" s="487" t="str">
        <f t="shared" ca="1" si="124"/>
        <v>-</v>
      </c>
      <c r="BV220" s="487" t="str">
        <f t="array" aca="1" ref="BV22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20" s="378" t="str">
        <f t="shared" ca="1" si="121"/>
        <v>-</v>
      </c>
      <c r="BX220" s="378" t="str">
        <f t="shared" ca="1" si="122"/>
        <v>-</v>
      </c>
      <c r="BY220" s="510" t="str">
        <f ca="1">IFERROR(ROUND(INDEX(Cluster,MATCH(IF(LEFT(BV220,4)="Pool",INDEX(Cluster,MATCH(INDEX(Calculation_Tab,MATCH(INDEX($BE$4:$BJ$99,MATCH(BV220,$BE$4:$BE$99,0),3),Flow_Cell_Lane,0),3),Cluster!$F$29:$F$412,0),6),BV220),Identifier_Cluster,0),19)*IF(LEFT(BV220,4)="pool",IF(LEN(INDEX($BE$4:$BJ$99,MATCH(BV220,$BE$4:$BE$99,0),3))=10,2,IF(LEN(INDEX($BE$4:$BJ$99,MATCH(BV220,$BE$4:$BE$99,0),3))&gt;10,LEN(INDEX($BE$4:$BJ$99,MATCH(BV220,$BE$4:$BE$99,0),3))-8,1)),1)*IF(LEFT(BV220,4)="pool",IF(INDEX($BE$4:$BJ$99,MATCH(BV220,$BE$4:$BE$99,0),6)&lt;1,1,INDEX($BE$4:$BJ$99,MATCH(BV220,$BE$4:$BE$99,0),6)),INDEX(Calculation_Tab,MATCH(BV220,Identifier,0),10)),1)*(1+Calculation!$Q$6),"-")</f>
        <v>-</v>
      </c>
      <c r="BZ220" s="378" t="str">
        <f ca="1">IFERROR((0.5/50)*CE220/Calculation!$AG$6*(IF(LEFT(BV220,4)="Pool",IF(LEN(INDEX($BE$4:$BJ$99,MATCH(BV220,$BE$4:$BE$99,0),3))=10,2,IF(LEN(INDEX($BE$4:$BJ$99,MATCH(BV220,$BE$4:$BE$99,0),3))&gt;10,LEN(INDEX($BE$4:$BJ$99,MATCH(BV220,$BE$4:$BE$99,0),3))-8,1)),IF(INDEX(Calculation_Tab,MATCH(BV220,Identifier,0),10)&gt;1,INDEX(Calculation_Tab,MATCH(BV220,Identifier,0),10),1)))*(1+Calculation!$Q$6),"-")</f>
        <v>-</v>
      </c>
      <c r="CA220" s="510" t="str">
        <f ca="1">IFERROR(IF((BZ220*Calculation!$AG$6/0.05)-SUM(BY220:BZ220,CC220)&gt;0,(BZ220*Calculation!$AG$6/0.05)-SUM(BY220:BZ220,CC220),0),"-")</f>
        <v>-</v>
      </c>
      <c r="CB220" s="510" t="str">
        <f ca="1">IFERROR(5/50*CE220*(IF(LEFT(BV220,4)="Pool",IF(LEN(INDEX($BE$4:$BJ$99,MATCH(BV220,$BE$4:$BE$99,0),3))=10,2,IF(LEN(INDEX($BE$4:$BJ$99,MATCH(BV220,$BE$4:$BE$99,0),3))&gt;10,LEN(INDEX($BE$4:$BJ$99,MATCH(BV220,$BE$4:$BE$99,0),3))-8,1)),IF(INDEX(Calculation_Tab,MATCH(BV220,Identifier,0),10)&gt;1,INDEX(Calculation_Tab,MATCH(BV220,Identifier,0),10),1)))*(1+Calculation!$Q$6),"-")</f>
        <v>-</v>
      </c>
      <c r="CC220" s="508" t="str">
        <f ca="1">IFERROR(ROUND(INDEX(Cluster,MATCH(IF(LEFT(BV220,4)="Pool",INDEX(Cluster,MATCH(INDEX(Calculation_Tab,MATCH(INDEX($BE$4:$BJ$99,MATCH(BV220,$BE$4:$BE$99,0),3),Flow_Cell_Lane,0),3),Cluster!$F$29:$F$412,0),6),BV220),Identifier_Cluster,0),20)*IF(LEFT(BV220,4)="pool",IF(LEN(INDEX($BE$4:$BJ$99,MATCH(BV220,$BE$4:$BE$99,0),3))=10,2,IF(LEN(INDEX($BE$4:$BJ$99,MATCH(BV220,$BE$4:$BE$99,0),3))&gt;10,LEN(INDEX($BE$4:$BJ$99,MATCH(BV220,$BE$4:$BE$99,0),3))-8,1)),1)*IF(LEFT(BV220,4)="pool",IF(INDEX($BE$4:$BJ$99,MATCH(BV220,$BE$4:$BE$99,0),6)&lt;1,1,INDEX($BE$4:$BJ$99,MATCH(BV220,$BE$4:$BE$99,0),6)),INDEX(Calculation_Tab,MATCH(BV220,Identifier,0),10)),1)*(1+Calculation!$Q$6),"-")</f>
        <v>-</v>
      </c>
      <c r="CD220" s="509" t="str">
        <f ca="1">IFERROR(INDEX(Cluster!AC:AD,MATCH(IF(LEFT(BV220,4)="Pool",INDEX(Cluster!$D$29:$AA$412,MATCH(INDEX(Calculation_Tab,MATCH(INDEX($BE$4:$BJ$99,MATCH(BV220,$BE$4:$BE$99,0),3),Flow_Cell_Lane,0),3),Cluster!$F$29:$F$412,0),24),INDEX(Cluster!$D$29:$AA$412,MATCH(BV220,Cluster!$F$29:$F$412,0),24)),Cluster!AC:AC,0),2),"-")</f>
        <v>-</v>
      </c>
      <c r="CE220" s="378" t="str">
        <f ca="1">IFERROR(IF(BV220&lt;&gt;"-",Calculation!$AK$6,"-"),"-")</f>
        <v>-</v>
      </c>
      <c r="CF220" s="378" t="str">
        <f ca="1">IF(OR(LEFT(ListAndConversion!BW220,3)="Dil",LEFT(ListAndConversion!BW220,3)="Poo"),ListAndConversion!$BT$4,IF(LEFT(ListAndConversion!BW220,3)="Sou",INDEX(ListAndConversion!$AT$3:$AV$387,MATCH(ListAndConversion!BV220,ListAndConversion!$AV$3:$AV$387,0),1),"-"))</f>
        <v>-</v>
      </c>
      <c r="CG220" s="498" t="str">
        <f ca="1">IF(OR(LEFT(ListAndConversion!BW220,3)="Dil",LEFT(ListAndConversion!BW220,3)="Poo"),ListAndConversion!BU220,IF(LEFT(ListAndConversion!BW220,3)="Sou",INDEX(ListAndConversion!$AT$4:$AV$387,MATCH(ListAndConversion!BV220,ListAndConversion!$AV$4:$AV$387,0),2),"-"))</f>
        <v>-</v>
      </c>
      <c r="CH220" s="378"/>
      <c r="CI220" s="487" t="str">
        <f t="shared" ca="1" si="123"/>
        <v>-</v>
      </c>
      <c r="CJ220" s="378" t="str">
        <f t="shared" ca="1" si="128"/>
        <v>-</v>
      </c>
      <c r="CK220" s="378" t="str">
        <f t="shared" ca="1" si="128"/>
        <v>-</v>
      </c>
      <c r="CL220" s="378" t="str">
        <f t="shared" ca="1" si="128"/>
        <v>-</v>
      </c>
      <c r="CM220" s="378" t="str">
        <f t="shared" ca="1" si="128"/>
        <v>-</v>
      </c>
      <c r="CN220" s="378" t="str">
        <f t="shared" ca="1" si="128"/>
        <v>-</v>
      </c>
      <c r="CO220" s="378" t="str">
        <f t="shared" ca="1" si="128"/>
        <v>-</v>
      </c>
      <c r="CP220" s="378" t="str">
        <f t="shared" ca="1" si="128"/>
        <v>-</v>
      </c>
      <c r="CQ220" s="378" t="str">
        <f t="shared" ca="1" si="128"/>
        <v>-</v>
      </c>
      <c r="CR220" s="510" t="str">
        <f ca="1">IFERROR(IF(LEFT(BW220,3)="Poo",INDEX($BE$4:$BJ$99,MATCH(CI220,$BG$4:$BG$99,0),6)*((15/50))*Calculation!$AK$6,INDEX(Calculation_Tab,MATCH(BV220,Identifier,0),10)/(IF(LEN(INDEX(Calculation_Tab,MATCH(BV220,Identifier,0),9))&gt;8,LEN(INDEX(Calculation_Tab,MATCH(BV220,Identifier,0),9))-8,1))*((15/50)*Calculation!$AK$6)),"-")</f>
        <v>-</v>
      </c>
      <c r="CS220" s="498" t="str">
        <f ca="1">IF(CI220="-","-",IF(COUNTIF($CI$3:CI220,CI220)&gt;1,0,IFERROR((35/50)*Calculation!$AK$6,"-")))</f>
        <v>-</v>
      </c>
    </row>
    <row r="221" spans="4:97" x14ac:dyDescent="0.5">
      <c r="D221" s="487" t="e">
        <f t="shared" si="109"/>
        <v>#DIV/0!</v>
      </c>
      <c r="E221" s="496" t="e">
        <f t="array" ref="E221">IF(IF((ROW(E221)-3)&lt;(ListAndConversion!$A$15),INDEX(Flow_Cell_Lane,MIN(IF(COUNTIF($E$2:E220,Flow_Cell_Lane)=0,ROW(Flow_Cell_Lane)-9))),"-")="","-",IF((ROW(E221)-3)&lt;(ListAndConversion!$A$15),INDEX(Flow_Cell_Lane,MIN(IF(COUNTIF($E$2:E220,Flow_Cell_Lane)=0,ROW(Flow_Cell_Lane)-9))),"-"))</f>
        <v>#DIV/0!</v>
      </c>
      <c r="F221" s="378" t="e">
        <f t="shared" si="110"/>
        <v>#DIV/0!</v>
      </c>
      <c r="G221" s="378" t="e">
        <f t="shared" si="127"/>
        <v>#DIV/0!</v>
      </c>
      <c r="H221" s="378" t="e">
        <f t="shared" si="127"/>
        <v>#DIV/0!</v>
      </c>
      <c r="I221" s="378" t="e">
        <f t="shared" si="127"/>
        <v>#DIV/0!</v>
      </c>
      <c r="J221" s="378" t="e">
        <f t="shared" si="127"/>
        <v>#DIV/0!</v>
      </c>
      <c r="K221" s="378" t="e">
        <f t="shared" si="127"/>
        <v>#DIV/0!</v>
      </c>
      <c r="L221" s="378" t="e">
        <f t="shared" si="127"/>
        <v>#DIV/0!</v>
      </c>
      <c r="M221" s="378" t="e">
        <f t="shared" si="127"/>
        <v>#DIV/0!</v>
      </c>
      <c r="N221" s="497" t="e">
        <f t="shared" si="111"/>
        <v>#DIV/0!</v>
      </c>
      <c r="O221" s="497" t="str">
        <f t="array" ref="O221">IFERROR(INDEX(Calculation!I:AN,MATCH(ListAndConversion!E221,Calculation!I:I,0),31),"-")</f>
        <v>-</v>
      </c>
      <c r="P221" s="498">
        <f>IF(COUNTIFS(Calculation!$I$10:$I$393,E221,Direct_Denaturation,"-")&lt;&gt;1,COUNTIFS(Calculation!$I$10:$I$393,E221,Direct_Denaturation,"-"),0)</f>
        <v>0</v>
      </c>
      <c r="V221" s="542" t="s">
        <v>82</v>
      </c>
      <c r="W221" s="542" t="s">
        <v>82</v>
      </c>
      <c r="X221" s="542" t="s">
        <v>82</v>
      </c>
      <c r="Y221" s="542" t="s">
        <v>82</v>
      </c>
      <c r="Z221" s="542" t="s">
        <v>82</v>
      </c>
      <c r="AA221" s="542" t="s">
        <v>82</v>
      </c>
      <c r="AB221" s="542" t="s">
        <v>82</v>
      </c>
      <c r="AC221" s="542" t="s">
        <v>82</v>
      </c>
      <c r="AD221" s="542" t="s">
        <v>82</v>
      </c>
      <c r="AE221" s="542" t="s">
        <v>82</v>
      </c>
      <c r="AF221" s="542" t="s">
        <v>82</v>
      </c>
      <c r="AG221" s="542" t="s">
        <v>82</v>
      </c>
      <c r="AH221" s="9"/>
      <c r="AI221" s="487">
        <v>218</v>
      </c>
      <c r="AJ221" s="497" t="s">
        <v>162</v>
      </c>
      <c r="AK221" s="378">
        <v>26</v>
      </c>
      <c r="AL221" s="378" t="str">
        <f t="shared" ca="1" si="112"/>
        <v>-</v>
      </c>
      <c r="AM221" s="378" t="str">
        <f t="array" aca="1" ref="AM221" ca="1">IFERROR(IF(AI221&lt;=$AB$2,"-",INDEX(Calculation_Tab,SMALL(ROW(Main_Dil)*(Main_Dil&lt;&gt;"-"),COUNTIF(Main_Dil,"-")+ROW()-3-$AB$2)-9,5)),"-")</f>
        <v>-</v>
      </c>
      <c r="AN221" s="378" t="str">
        <f t="array" aca="1" ref="AN221" ca="1">IFERROR(IF(AI221&lt;=$AB$2,"-",INDEX($A$3:$B$12,MATCH(INDEX(Calculation_Tab,SMALL(ROW(Main_Dil)*(Main_Dil&lt;&gt;"-"),COUNTIF(Main_Dil,"-")+ROW()-3-$AB$2)-9,5),$A$3:$A$12,0),2)),"-")</f>
        <v>-</v>
      </c>
      <c r="AO221" s="378" t="str">
        <f t="array" aca="1" ref="AO221" ca="1">IFERROR(IF(AI221&lt;=$AB$2,"-",INDEX(Coordinate,MATCH(INDEX(Calculation_Tab,SMALL(ROW(Main_Dil)*(Main_Dil&lt;&gt;"-"),COUNTIF(Main_Dil,"-")+ROW()-3-$AB$2)-9,6),$X$4:$X$99,0),2)),"-")</f>
        <v>-</v>
      </c>
      <c r="AP221" s="510" t="str">
        <f t="array" aca="1" ref="AP221" ca="1">IFERROR(IF(AI221&lt;=$AB$2,"-",INDEX(Calculation_Tab,SMALL(ROW(Main_Dil)*(Main_Dil&lt;&gt;"-"),COUNTIF(Main_Dil,"-")+ROW()-3-$AB$2)-9,21)),"-")</f>
        <v>-</v>
      </c>
      <c r="AQ221" s="511" t="str">
        <f t="array" aca="1" ref="AQ221" ca="1">IFERROR(IF(AI221&lt;=$AB$2,"-",INDEX(Calculation_Tab,SMALL(ROW(Main_Dil)*(Main_Dil&lt;&gt;"-"),COUNTIF(Main_Dil,"-")+ROW()-3-$AB$2)-9,22)),"-")</f>
        <v>-</v>
      </c>
      <c r="AR221" s="487" t="str">
        <f t="shared" ca="1" si="113"/>
        <v>-</v>
      </c>
      <c r="AS221" s="378">
        <v>218</v>
      </c>
      <c r="AT221" s="497" t="s">
        <v>162</v>
      </c>
      <c r="AU221" s="498">
        <v>26</v>
      </c>
      <c r="AV221" s="378" t="str">
        <f t="shared" ca="1" si="114"/>
        <v>-</v>
      </c>
      <c r="AW221" s="378" t="str">
        <f t="array" aca="1" ref="AW221" ca="1">IFERROR(IF(AS221&lt;=$AB$2+$AN$2,"-",INDEX(Calculation_Tab,SMALL(ROW(Direct_Denaturation)*(Direct_Denaturation&lt;&gt;"-"),COUNTIF(Direct_Denaturation,"-")+ROW()-3-$AB$2-$AN$2)-9,5)),"-")</f>
        <v>-</v>
      </c>
      <c r="AX221" s="378" t="str">
        <f t="array" aca="1" ref="AX221" ca="1">IFERROR(IF(AS221&lt;=$AB$2+$AN$2,"-",INDEX($A$3:$B$12,MATCH(INDEX(Calculation_Tab,SMALL(ROW(Direct_Denaturation)*(Direct_Denaturation&lt;&gt;"-"),COUNTIF(Direct_Denaturation,"-")+ROW()-3-$AB$2-$AN$2)-9,5),$A$3:$A$12,0),2)),"-")</f>
        <v>-</v>
      </c>
      <c r="AY221" s="378" t="str">
        <f t="array" aca="1" ref="AY221" ca="1">IFERROR(IF(AS221&lt;=$AB$2+$AN$2,"-",INDEX(Coordinate,MATCH(INDEX(Calculation_Tab,SMALL(ROW(Direct_Denaturation)*(Direct_Denaturation&lt;&gt;"-"),COUNTIF(Direct_Denaturation,"-")+ROW()-3-$AB$2-$AN$2)-9,6),$X$4:$X$99,0),2)),"-")</f>
        <v>-</v>
      </c>
      <c r="AZ221" s="510" t="str">
        <f t="array" aca="1" ref="AZ221" ca="1">IFERROR(IF(AS221&lt;=$AB$2+$AN$2,"-",INDEX(Calculation_Tab,SMALL(ROW(Direct_Denaturation)*(Direct_Denaturation&lt;&gt;"-"),COUNTIF(Direct_Denaturation,"-")+ROW()-3-$AB$2-$AN$2)-9,32)),"-")</f>
        <v>-</v>
      </c>
      <c r="BA221" s="510" t="str">
        <f t="array" aca="1" ref="BA221" ca="1">IFERROR(IF(AS221&lt;=$AB$2+$AN$2,"-",INDEX(Calculation_Tab,SMALL(ROW(Direct_Denaturation)*(Direct_Denaturation&lt;&gt;"-"),COUNTIF(Direct_Denaturation,"-")+ROW()-3-$AB$2-$AN$2)-9,34)),"-")</f>
        <v>-</v>
      </c>
      <c r="BB221" s="510" t="str">
        <f t="array" aca="1" ref="BB221" ca="1">IFERROR(IF(AS221&lt;=$AB$2+$AN$2,"-",INDEX(Calculation_Tab,SMALL(ROW(Direct_Denaturation)*(Direct_Denaturation&lt;&gt;"-"),COUNTIF(Direct_Denaturation,"-")+ROW()-3-$AB$2-$AN$2)-9,33)),"-")</f>
        <v>-</v>
      </c>
      <c r="BC221" s="510" t="str">
        <f t="array" aca="1" ref="BC221" ca="1">IFERROR(IF(AS221&lt;=$AB$2+$AN$2,"-",INDEX(Calculation_Tab,SMALL(ROW(Direct_Denaturation)*(Direct_Denaturation&lt;&gt;"-"),COUNTIF(Direct_Denaturation,"-")+ROW()-3-$AB$2-$AN$2)-9,35)),"-")</f>
        <v>-</v>
      </c>
      <c r="BD221" s="511" t="str">
        <f t="shared" ca="1" si="115"/>
        <v>-</v>
      </c>
      <c r="BK221" s="542" t="s">
        <v>82</v>
      </c>
      <c r="BL221" s="542" t="s">
        <v>82</v>
      </c>
      <c r="BM221" s="487" t="str">
        <f t="array" aca="1" ref="BM221" ca="1">IFERROR(INDEX(Calculation_Tab,SMALL(ROW(ToPool)*(ToPool&lt;&gt;"-"),COUNTIF(ToPool,"-")+ROW()-3)-9,3),"-")</f>
        <v>-</v>
      </c>
      <c r="BN221" s="378" t="str">
        <f t="shared" ca="1" si="116"/>
        <v>-</v>
      </c>
      <c r="BO221" s="378" t="str">
        <f t="shared" ca="1" si="117"/>
        <v>-</v>
      </c>
      <c r="BP221" s="523" t="str">
        <f t="shared" ca="1" si="118"/>
        <v>-</v>
      </c>
      <c r="BQ221" s="378" t="str">
        <f t="array" aca="1" ref="BQ221" ca="1">IFERROR(INDEX(BE:BG,MATCH(INDEX(Calculation_Tab,SMALL(ROW(ToPool)*(ToPool&lt;&gt;"-"),COUNTIF(ToPool,"-")+ROW()-3)-9,9),BG:BG,0),2),"-")</f>
        <v>-</v>
      </c>
      <c r="BR221" s="510" t="str">
        <f t="shared" ca="1" si="119"/>
        <v>-</v>
      </c>
      <c r="BS221" s="511" t="str">
        <f t="shared" ca="1" si="120"/>
        <v>-</v>
      </c>
      <c r="BT221" s="543" t="s">
        <v>82</v>
      </c>
      <c r="BU221" s="487" t="str">
        <f t="shared" ca="1" si="124"/>
        <v>-</v>
      </c>
      <c r="BV221" s="487" t="str">
        <f t="array" aca="1" ref="BV22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21" s="378" t="str">
        <f t="shared" ca="1" si="121"/>
        <v>-</v>
      </c>
      <c r="BX221" s="378" t="str">
        <f t="shared" ca="1" si="122"/>
        <v>-</v>
      </c>
      <c r="BY221" s="510" t="str">
        <f ca="1">IFERROR(ROUND(INDEX(Cluster,MATCH(IF(LEFT(BV221,4)="Pool",INDEX(Cluster,MATCH(INDEX(Calculation_Tab,MATCH(INDEX($BE$4:$BJ$99,MATCH(BV221,$BE$4:$BE$99,0),3),Flow_Cell_Lane,0),3),Cluster!$F$29:$F$412,0),6),BV221),Identifier_Cluster,0),19)*IF(LEFT(BV221,4)="pool",IF(LEN(INDEX($BE$4:$BJ$99,MATCH(BV221,$BE$4:$BE$99,0),3))=10,2,IF(LEN(INDEX($BE$4:$BJ$99,MATCH(BV221,$BE$4:$BE$99,0),3))&gt;10,LEN(INDEX($BE$4:$BJ$99,MATCH(BV221,$BE$4:$BE$99,0),3))-8,1)),1)*IF(LEFT(BV221,4)="pool",IF(INDEX($BE$4:$BJ$99,MATCH(BV221,$BE$4:$BE$99,0),6)&lt;1,1,INDEX($BE$4:$BJ$99,MATCH(BV221,$BE$4:$BE$99,0),6)),INDEX(Calculation_Tab,MATCH(BV221,Identifier,0),10)),1)*(1+Calculation!$Q$6),"-")</f>
        <v>-</v>
      </c>
      <c r="BZ221" s="378" t="str">
        <f ca="1">IFERROR((0.5/50)*CE221/Calculation!$AG$6*(IF(LEFT(BV221,4)="Pool",IF(LEN(INDEX($BE$4:$BJ$99,MATCH(BV221,$BE$4:$BE$99,0),3))=10,2,IF(LEN(INDEX($BE$4:$BJ$99,MATCH(BV221,$BE$4:$BE$99,0),3))&gt;10,LEN(INDEX($BE$4:$BJ$99,MATCH(BV221,$BE$4:$BE$99,0),3))-8,1)),IF(INDEX(Calculation_Tab,MATCH(BV221,Identifier,0),10)&gt;1,INDEX(Calculation_Tab,MATCH(BV221,Identifier,0),10),1)))*(1+Calculation!$Q$6),"-")</f>
        <v>-</v>
      </c>
      <c r="CA221" s="510" t="str">
        <f ca="1">IFERROR(IF((BZ221*Calculation!$AG$6/0.05)-SUM(BY221:BZ221,CC221)&gt;0,(BZ221*Calculation!$AG$6/0.05)-SUM(BY221:BZ221,CC221),0),"-")</f>
        <v>-</v>
      </c>
      <c r="CB221" s="510" t="str">
        <f ca="1">IFERROR(5/50*CE221*(IF(LEFT(BV221,4)="Pool",IF(LEN(INDEX($BE$4:$BJ$99,MATCH(BV221,$BE$4:$BE$99,0),3))=10,2,IF(LEN(INDEX($BE$4:$BJ$99,MATCH(BV221,$BE$4:$BE$99,0),3))&gt;10,LEN(INDEX($BE$4:$BJ$99,MATCH(BV221,$BE$4:$BE$99,0),3))-8,1)),IF(INDEX(Calculation_Tab,MATCH(BV221,Identifier,0),10)&gt;1,INDEX(Calculation_Tab,MATCH(BV221,Identifier,0),10),1)))*(1+Calculation!$Q$6),"-")</f>
        <v>-</v>
      </c>
      <c r="CC221" s="508" t="str">
        <f ca="1">IFERROR(ROUND(INDEX(Cluster,MATCH(IF(LEFT(BV221,4)="Pool",INDEX(Cluster,MATCH(INDEX(Calculation_Tab,MATCH(INDEX($BE$4:$BJ$99,MATCH(BV221,$BE$4:$BE$99,0),3),Flow_Cell_Lane,0),3),Cluster!$F$29:$F$412,0),6),BV221),Identifier_Cluster,0),20)*IF(LEFT(BV221,4)="pool",IF(LEN(INDEX($BE$4:$BJ$99,MATCH(BV221,$BE$4:$BE$99,0),3))=10,2,IF(LEN(INDEX($BE$4:$BJ$99,MATCH(BV221,$BE$4:$BE$99,0),3))&gt;10,LEN(INDEX($BE$4:$BJ$99,MATCH(BV221,$BE$4:$BE$99,0),3))-8,1)),1)*IF(LEFT(BV221,4)="pool",IF(INDEX($BE$4:$BJ$99,MATCH(BV221,$BE$4:$BE$99,0),6)&lt;1,1,INDEX($BE$4:$BJ$99,MATCH(BV221,$BE$4:$BE$99,0),6)),INDEX(Calculation_Tab,MATCH(BV221,Identifier,0),10)),1)*(1+Calculation!$Q$6),"-")</f>
        <v>-</v>
      </c>
      <c r="CD221" s="509" t="str">
        <f ca="1">IFERROR(INDEX(Cluster!AC:AD,MATCH(IF(LEFT(BV221,4)="Pool",INDEX(Cluster!$D$29:$AA$412,MATCH(INDEX(Calculation_Tab,MATCH(INDEX($BE$4:$BJ$99,MATCH(BV221,$BE$4:$BE$99,0),3),Flow_Cell_Lane,0),3),Cluster!$F$29:$F$412,0),24),INDEX(Cluster!$D$29:$AA$412,MATCH(BV221,Cluster!$F$29:$F$412,0),24)),Cluster!AC:AC,0),2),"-")</f>
        <v>-</v>
      </c>
      <c r="CE221" s="378" t="str">
        <f ca="1">IFERROR(IF(BV221&lt;&gt;"-",Calculation!$AK$6,"-"),"-")</f>
        <v>-</v>
      </c>
      <c r="CF221" s="378" t="str">
        <f ca="1">IF(OR(LEFT(ListAndConversion!BW221,3)="Dil",LEFT(ListAndConversion!BW221,3)="Poo"),ListAndConversion!$BT$4,IF(LEFT(ListAndConversion!BW221,3)="Sou",INDEX(ListAndConversion!$AT$3:$AV$387,MATCH(ListAndConversion!BV221,ListAndConversion!$AV$3:$AV$387,0),1),"-"))</f>
        <v>-</v>
      </c>
      <c r="CG221" s="498" t="str">
        <f ca="1">IF(OR(LEFT(ListAndConversion!BW221,3)="Dil",LEFT(ListAndConversion!BW221,3)="Poo"),ListAndConversion!BU221,IF(LEFT(ListAndConversion!BW221,3)="Sou",INDEX(ListAndConversion!$AT$4:$AV$387,MATCH(ListAndConversion!BV221,ListAndConversion!$AV$4:$AV$387,0),2),"-"))</f>
        <v>-</v>
      </c>
      <c r="CH221" s="378"/>
      <c r="CI221" s="487" t="str">
        <f t="shared" ca="1" si="123"/>
        <v>-</v>
      </c>
      <c r="CJ221" s="378" t="str">
        <f t="shared" ca="1" si="128"/>
        <v>-</v>
      </c>
      <c r="CK221" s="378" t="str">
        <f t="shared" ca="1" si="128"/>
        <v>-</v>
      </c>
      <c r="CL221" s="378" t="str">
        <f t="shared" ca="1" si="128"/>
        <v>-</v>
      </c>
      <c r="CM221" s="378" t="str">
        <f t="shared" ca="1" si="128"/>
        <v>-</v>
      </c>
      <c r="CN221" s="378" t="str">
        <f t="shared" ca="1" si="128"/>
        <v>-</v>
      </c>
      <c r="CO221" s="378" t="str">
        <f t="shared" ca="1" si="128"/>
        <v>-</v>
      </c>
      <c r="CP221" s="378" t="str">
        <f t="shared" ca="1" si="128"/>
        <v>-</v>
      </c>
      <c r="CQ221" s="378" t="str">
        <f t="shared" ca="1" si="128"/>
        <v>-</v>
      </c>
      <c r="CR221" s="510" t="str">
        <f ca="1">IFERROR(IF(LEFT(BW221,3)="Poo",INDEX($BE$4:$BJ$99,MATCH(CI221,$BG$4:$BG$99,0),6)*((15/50))*Calculation!$AK$6,INDEX(Calculation_Tab,MATCH(BV221,Identifier,0),10)/(IF(LEN(INDEX(Calculation_Tab,MATCH(BV221,Identifier,0),9))&gt;8,LEN(INDEX(Calculation_Tab,MATCH(BV221,Identifier,0),9))-8,1))*((15/50)*Calculation!$AK$6)),"-")</f>
        <v>-</v>
      </c>
      <c r="CS221" s="498" t="str">
        <f ca="1">IF(CI221="-","-",IF(COUNTIF($CI$3:CI221,CI221)&gt;1,0,IFERROR((35/50)*Calculation!$AK$6,"-")))</f>
        <v>-</v>
      </c>
    </row>
    <row r="222" spans="4:97" x14ac:dyDescent="0.5">
      <c r="D222" s="487" t="e">
        <f t="shared" si="109"/>
        <v>#DIV/0!</v>
      </c>
      <c r="E222" s="496" t="e">
        <f t="array" ref="E222">IF(IF((ROW(E222)-3)&lt;(ListAndConversion!$A$15),INDEX(Flow_Cell_Lane,MIN(IF(COUNTIF($E$2:E221,Flow_Cell_Lane)=0,ROW(Flow_Cell_Lane)-9))),"-")="","-",IF((ROW(E222)-3)&lt;(ListAndConversion!$A$15),INDEX(Flow_Cell_Lane,MIN(IF(COUNTIF($E$2:E221,Flow_Cell_Lane)=0,ROW(Flow_Cell_Lane)-9))),"-"))</f>
        <v>#DIV/0!</v>
      </c>
      <c r="F222" s="378" t="e">
        <f t="shared" si="110"/>
        <v>#DIV/0!</v>
      </c>
      <c r="G222" s="378" t="e">
        <f t="shared" si="127"/>
        <v>#DIV/0!</v>
      </c>
      <c r="H222" s="378" t="e">
        <f t="shared" si="127"/>
        <v>#DIV/0!</v>
      </c>
      <c r="I222" s="378" t="e">
        <f t="shared" si="127"/>
        <v>#DIV/0!</v>
      </c>
      <c r="J222" s="378" t="e">
        <f t="shared" si="127"/>
        <v>#DIV/0!</v>
      </c>
      <c r="K222" s="378" t="e">
        <f t="shared" si="127"/>
        <v>#DIV/0!</v>
      </c>
      <c r="L222" s="378" t="e">
        <f t="shared" si="127"/>
        <v>#DIV/0!</v>
      </c>
      <c r="M222" s="378" t="e">
        <f t="shared" si="127"/>
        <v>#DIV/0!</v>
      </c>
      <c r="N222" s="497" t="e">
        <f t="shared" si="111"/>
        <v>#DIV/0!</v>
      </c>
      <c r="O222" s="497" t="str">
        <f t="array" ref="O222">IFERROR(INDEX(Calculation!I:AN,MATCH(ListAndConversion!E222,Calculation!I:I,0),31),"-")</f>
        <v>-</v>
      </c>
      <c r="P222" s="498">
        <f>IF(COUNTIFS(Calculation!$I$10:$I$393,E222,Direct_Denaturation,"-")&lt;&gt;1,COUNTIFS(Calculation!$I$10:$I$393,E222,Direct_Denaturation,"-"),0)</f>
        <v>0</v>
      </c>
      <c r="V222" s="542" t="s">
        <v>82</v>
      </c>
      <c r="W222" s="542" t="s">
        <v>82</v>
      </c>
      <c r="X222" s="542" t="s">
        <v>82</v>
      </c>
      <c r="Y222" s="542" t="s">
        <v>82</v>
      </c>
      <c r="Z222" s="542" t="s">
        <v>82</v>
      </c>
      <c r="AA222" s="542" t="s">
        <v>82</v>
      </c>
      <c r="AB222" s="542" t="s">
        <v>82</v>
      </c>
      <c r="AC222" s="542" t="s">
        <v>82</v>
      </c>
      <c r="AD222" s="542" t="s">
        <v>82</v>
      </c>
      <c r="AE222" s="542" t="s">
        <v>82</v>
      </c>
      <c r="AF222" s="542" t="s">
        <v>82</v>
      </c>
      <c r="AG222" s="542" t="s">
        <v>82</v>
      </c>
      <c r="AH222" s="9"/>
      <c r="AI222" s="487">
        <v>219</v>
      </c>
      <c r="AJ222" s="497" t="s">
        <v>162</v>
      </c>
      <c r="AK222" s="378">
        <v>27</v>
      </c>
      <c r="AL222" s="378" t="str">
        <f t="shared" ca="1" si="112"/>
        <v>-</v>
      </c>
      <c r="AM222" s="378" t="str">
        <f t="array" aca="1" ref="AM222" ca="1">IFERROR(IF(AI222&lt;=$AB$2,"-",INDEX(Calculation_Tab,SMALL(ROW(Main_Dil)*(Main_Dil&lt;&gt;"-"),COUNTIF(Main_Dil,"-")+ROW()-3-$AB$2)-9,5)),"-")</f>
        <v>-</v>
      </c>
      <c r="AN222" s="378" t="str">
        <f t="array" aca="1" ref="AN222" ca="1">IFERROR(IF(AI222&lt;=$AB$2,"-",INDEX($A$3:$B$12,MATCH(INDEX(Calculation_Tab,SMALL(ROW(Main_Dil)*(Main_Dil&lt;&gt;"-"),COUNTIF(Main_Dil,"-")+ROW()-3-$AB$2)-9,5),$A$3:$A$12,0),2)),"-")</f>
        <v>-</v>
      </c>
      <c r="AO222" s="378" t="str">
        <f t="array" aca="1" ref="AO222" ca="1">IFERROR(IF(AI222&lt;=$AB$2,"-",INDEX(Coordinate,MATCH(INDEX(Calculation_Tab,SMALL(ROW(Main_Dil)*(Main_Dil&lt;&gt;"-"),COUNTIF(Main_Dil,"-")+ROW()-3-$AB$2)-9,6),$X$4:$X$99,0),2)),"-")</f>
        <v>-</v>
      </c>
      <c r="AP222" s="510" t="str">
        <f t="array" aca="1" ref="AP222" ca="1">IFERROR(IF(AI222&lt;=$AB$2,"-",INDEX(Calculation_Tab,SMALL(ROW(Main_Dil)*(Main_Dil&lt;&gt;"-"),COUNTIF(Main_Dil,"-")+ROW()-3-$AB$2)-9,21)),"-")</f>
        <v>-</v>
      </c>
      <c r="AQ222" s="511" t="str">
        <f t="array" aca="1" ref="AQ222" ca="1">IFERROR(IF(AI222&lt;=$AB$2,"-",INDEX(Calculation_Tab,SMALL(ROW(Main_Dil)*(Main_Dil&lt;&gt;"-"),COUNTIF(Main_Dil,"-")+ROW()-3-$AB$2)-9,22)),"-")</f>
        <v>-</v>
      </c>
      <c r="AR222" s="487" t="str">
        <f t="shared" ca="1" si="113"/>
        <v>-</v>
      </c>
      <c r="AS222" s="378">
        <v>219</v>
      </c>
      <c r="AT222" s="497" t="s">
        <v>162</v>
      </c>
      <c r="AU222" s="498">
        <v>27</v>
      </c>
      <c r="AV222" s="378" t="str">
        <f t="shared" ca="1" si="114"/>
        <v>-</v>
      </c>
      <c r="AW222" s="378" t="str">
        <f t="array" aca="1" ref="AW222" ca="1">IFERROR(IF(AS222&lt;=$AB$2+$AN$2,"-",INDEX(Calculation_Tab,SMALL(ROW(Direct_Denaturation)*(Direct_Denaturation&lt;&gt;"-"),COUNTIF(Direct_Denaturation,"-")+ROW()-3-$AB$2-$AN$2)-9,5)),"-")</f>
        <v>-</v>
      </c>
      <c r="AX222" s="378" t="str">
        <f t="array" aca="1" ref="AX222" ca="1">IFERROR(IF(AS222&lt;=$AB$2+$AN$2,"-",INDEX($A$3:$B$12,MATCH(INDEX(Calculation_Tab,SMALL(ROW(Direct_Denaturation)*(Direct_Denaturation&lt;&gt;"-"),COUNTIF(Direct_Denaturation,"-")+ROW()-3-$AB$2-$AN$2)-9,5),$A$3:$A$12,0),2)),"-")</f>
        <v>-</v>
      </c>
      <c r="AY222" s="378" t="str">
        <f t="array" aca="1" ref="AY222" ca="1">IFERROR(IF(AS222&lt;=$AB$2+$AN$2,"-",INDEX(Coordinate,MATCH(INDEX(Calculation_Tab,SMALL(ROW(Direct_Denaturation)*(Direct_Denaturation&lt;&gt;"-"),COUNTIF(Direct_Denaturation,"-")+ROW()-3-$AB$2-$AN$2)-9,6),$X$4:$X$99,0),2)),"-")</f>
        <v>-</v>
      </c>
      <c r="AZ222" s="510" t="str">
        <f t="array" aca="1" ref="AZ222" ca="1">IFERROR(IF(AS222&lt;=$AB$2+$AN$2,"-",INDEX(Calculation_Tab,SMALL(ROW(Direct_Denaturation)*(Direct_Denaturation&lt;&gt;"-"),COUNTIF(Direct_Denaturation,"-")+ROW()-3-$AB$2-$AN$2)-9,32)),"-")</f>
        <v>-</v>
      </c>
      <c r="BA222" s="510" t="str">
        <f t="array" aca="1" ref="BA222" ca="1">IFERROR(IF(AS222&lt;=$AB$2+$AN$2,"-",INDEX(Calculation_Tab,SMALL(ROW(Direct_Denaturation)*(Direct_Denaturation&lt;&gt;"-"),COUNTIF(Direct_Denaturation,"-")+ROW()-3-$AB$2-$AN$2)-9,34)),"-")</f>
        <v>-</v>
      </c>
      <c r="BB222" s="510" t="str">
        <f t="array" aca="1" ref="BB222" ca="1">IFERROR(IF(AS222&lt;=$AB$2+$AN$2,"-",INDEX(Calculation_Tab,SMALL(ROW(Direct_Denaturation)*(Direct_Denaturation&lt;&gt;"-"),COUNTIF(Direct_Denaturation,"-")+ROW()-3-$AB$2-$AN$2)-9,33)),"-")</f>
        <v>-</v>
      </c>
      <c r="BC222" s="510" t="str">
        <f t="array" aca="1" ref="BC222" ca="1">IFERROR(IF(AS222&lt;=$AB$2+$AN$2,"-",INDEX(Calculation_Tab,SMALL(ROW(Direct_Denaturation)*(Direct_Denaturation&lt;&gt;"-"),COUNTIF(Direct_Denaturation,"-")+ROW()-3-$AB$2-$AN$2)-9,35)),"-")</f>
        <v>-</v>
      </c>
      <c r="BD222" s="511" t="str">
        <f t="shared" ca="1" si="115"/>
        <v>-</v>
      </c>
      <c r="BK222" s="542" t="s">
        <v>82</v>
      </c>
      <c r="BL222" s="542" t="s">
        <v>82</v>
      </c>
      <c r="BM222" s="487" t="str">
        <f t="array" aca="1" ref="BM222" ca="1">IFERROR(INDEX(Calculation_Tab,SMALL(ROW(ToPool)*(ToPool&lt;&gt;"-"),COUNTIF(ToPool,"-")+ROW()-3)-9,3),"-")</f>
        <v>-</v>
      </c>
      <c r="BN222" s="378" t="str">
        <f t="shared" ca="1" si="116"/>
        <v>-</v>
      </c>
      <c r="BO222" s="378" t="str">
        <f t="shared" ca="1" si="117"/>
        <v>-</v>
      </c>
      <c r="BP222" s="523" t="str">
        <f t="shared" ca="1" si="118"/>
        <v>-</v>
      </c>
      <c r="BQ222" s="378" t="str">
        <f t="array" aca="1" ref="BQ222" ca="1">IFERROR(INDEX(BE:BG,MATCH(INDEX(Calculation_Tab,SMALL(ROW(ToPool)*(ToPool&lt;&gt;"-"),COUNTIF(ToPool,"-")+ROW()-3)-9,9),BG:BG,0),2),"-")</f>
        <v>-</v>
      </c>
      <c r="BR222" s="510" t="str">
        <f t="shared" ca="1" si="119"/>
        <v>-</v>
      </c>
      <c r="BS222" s="511" t="str">
        <f t="shared" ca="1" si="120"/>
        <v>-</v>
      </c>
      <c r="BT222" s="543" t="s">
        <v>82</v>
      </c>
      <c r="BU222" s="487" t="str">
        <f t="shared" ca="1" si="124"/>
        <v>-</v>
      </c>
      <c r="BV222" s="487" t="str">
        <f t="array" aca="1" ref="BV22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22" s="378" t="str">
        <f t="shared" ca="1" si="121"/>
        <v>-</v>
      </c>
      <c r="BX222" s="378" t="str">
        <f t="shared" ca="1" si="122"/>
        <v>-</v>
      </c>
      <c r="BY222" s="510" t="str">
        <f ca="1">IFERROR(ROUND(INDEX(Cluster,MATCH(IF(LEFT(BV222,4)="Pool",INDEX(Cluster,MATCH(INDEX(Calculation_Tab,MATCH(INDEX($BE$4:$BJ$99,MATCH(BV222,$BE$4:$BE$99,0),3),Flow_Cell_Lane,0),3),Cluster!$F$29:$F$412,0),6),BV222),Identifier_Cluster,0),19)*IF(LEFT(BV222,4)="pool",IF(LEN(INDEX($BE$4:$BJ$99,MATCH(BV222,$BE$4:$BE$99,0),3))=10,2,IF(LEN(INDEX($BE$4:$BJ$99,MATCH(BV222,$BE$4:$BE$99,0),3))&gt;10,LEN(INDEX($BE$4:$BJ$99,MATCH(BV222,$BE$4:$BE$99,0),3))-8,1)),1)*IF(LEFT(BV222,4)="pool",IF(INDEX($BE$4:$BJ$99,MATCH(BV222,$BE$4:$BE$99,0),6)&lt;1,1,INDEX($BE$4:$BJ$99,MATCH(BV222,$BE$4:$BE$99,0),6)),INDEX(Calculation_Tab,MATCH(BV222,Identifier,0),10)),1)*(1+Calculation!$Q$6),"-")</f>
        <v>-</v>
      </c>
      <c r="BZ222" s="378" t="str">
        <f ca="1">IFERROR((0.5/50)*CE222/Calculation!$AG$6*(IF(LEFT(BV222,4)="Pool",IF(LEN(INDEX($BE$4:$BJ$99,MATCH(BV222,$BE$4:$BE$99,0),3))=10,2,IF(LEN(INDEX($BE$4:$BJ$99,MATCH(BV222,$BE$4:$BE$99,0),3))&gt;10,LEN(INDEX($BE$4:$BJ$99,MATCH(BV222,$BE$4:$BE$99,0),3))-8,1)),IF(INDEX(Calculation_Tab,MATCH(BV222,Identifier,0),10)&gt;1,INDEX(Calculation_Tab,MATCH(BV222,Identifier,0),10),1)))*(1+Calculation!$Q$6),"-")</f>
        <v>-</v>
      </c>
      <c r="CA222" s="510" t="str">
        <f ca="1">IFERROR(IF((BZ222*Calculation!$AG$6/0.05)-SUM(BY222:BZ222,CC222)&gt;0,(BZ222*Calculation!$AG$6/0.05)-SUM(BY222:BZ222,CC222),0),"-")</f>
        <v>-</v>
      </c>
      <c r="CB222" s="510" t="str">
        <f ca="1">IFERROR(5/50*CE222*(IF(LEFT(BV222,4)="Pool",IF(LEN(INDEX($BE$4:$BJ$99,MATCH(BV222,$BE$4:$BE$99,0),3))=10,2,IF(LEN(INDEX($BE$4:$BJ$99,MATCH(BV222,$BE$4:$BE$99,0),3))&gt;10,LEN(INDEX($BE$4:$BJ$99,MATCH(BV222,$BE$4:$BE$99,0),3))-8,1)),IF(INDEX(Calculation_Tab,MATCH(BV222,Identifier,0),10)&gt;1,INDEX(Calculation_Tab,MATCH(BV222,Identifier,0),10),1)))*(1+Calculation!$Q$6),"-")</f>
        <v>-</v>
      </c>
      <c r="CC222" s="508" t="str">
        <f ca="1">IFERROR(ROUND(INDEX(Cluster,MATCH(IF(LEFT(BV222,4)="Pool",INDEX(Cluster,MATCH(INDEX(Calculation_Tab,MATCH(INDEX($BE$4:$BJ$99,MATCH(BV222,$BE$4:$BE$99,0),3),Flow_Cell_Lane,0),3),Cluster!$F$29:$F$412,0),6),BV222),Identifier_Cluster,0),20)*IF(LEFT(BV222,4)="pool",IF(LEN(INDEX($BE$4:$BJ$99,MATCH(BV222,$BE$4:$BE$99,0),3))=10,2,IF(LEN(INDEX($BE$4:$BJ$99,MATCH(BV222,$BE$4:$BE$99,0),3))&gt;10,LEN(INDEX($BE$4:$BJ$99,MATCH(BV222,$BE$4:$BE$99,0),3))-8,1)),1)*IF(LEFT(BV222,4)="pool",IF(INDEX($BE$4:$BJ$99,MATCH(BV222,$BE$4:$BE$99,0),6)&lt;1,1,INDEX($BE$4:$BJ$99,MATCH(BV222,$BE$4:$BE$99,0),6)),INDEX(Calculation_Tab,MATCH(BV222,Identifier,0),10)),1)*(1+Calculation!$Q$6),"-")</f>
        <v>-</v>
      </c>
      <c r="CD222" s="509" t="str">
        <f ca="1">IFERROR(INDEX(Cluster!AC:AD,MATCH(IF(LEFT(BV222,4)="Pool",INDEX(Cluster!$D$29:$AA$412,MATCH(INDEX(Calculation_Tab,MATCH(INDEX($BE$4:$BJ$99,MATCH(BV222,$BE$4:$BE$99,0),3),Flow_Cell_Lane,0),3),Cluster!$F$29:$F$412,0),24),INDEX(Cluster!$D$29:$AA$412,MATCH(BV222,Cluster!$F$29:$F$412,0),24)),Cluster!AC:AC,0),2),"-")</f>
        <v>-</v>
      </c>
      <c r="CE222" s="378" t="str">
        <f ca="1">IFERROR(IF(BV222&lt;&gt;"-",Calculation!$AK$6,"-"),"-")</f>
        <v>-</v>
      </c>
      <c r="CF222" s="378" t="str">
        <f ca="1">IF(OR(LEFT(ListAndConversion!BW222,3)="Dil",LEFT(ListAndConversion!BW222,3)="Poo"),ListAndConversion!$BT$4,IF(LEFT(ListAndConversion!BW222,3)="Sou",INDEX(ListAndConversion!$AT$3:$AV$387,MATCH(ListAndConversion!BV222,ListAndConversion!$AV$3:$AV$387,0),1),"-"))</f>
        <v>-</v>
      </c>
      <c r="CG222" s="498" t="str">
        <f ca="1">IF(OR(LEFT(ListAndConversion!BW222,3)="Dil",LEFT(ListAndConversion!BW222,3)="Poo"),ListAndConversion!BU222,IF(LEFT(ListAndConversion!BW222,3)="Sou",INDEX(ListAndConversion!$AT$4:$AV$387,MATCH(ListAndConversion!BV222,ListAndConversion!$AV$4:$AV$387,0),2),"-"))</f>
        <v>-</v>
      </c>
      <c r="CH222" s="378"/>
      <c r="CI222" s="487" t="str">
        <f t="shared" ca="1" si="123"/>
        <v>-</v>
      </c>
      <c r="CJ222" s="378" t="str">
        <f t="shared" ca="1" si="128"/>
        <v>-</v>
      </c>
      <c r="CK222" s="378" t="str">
        <f t="shared" ca="1" si="128"/>
        <v>-</v>
      </c>
      <c r="CL222" s="378" t="str">
        <f t="shared" ca="1" si="128"/>
        <v>-</v>
      </c>
      <c r="CM222" s="378" t="str">
        <f t="shared" ca="1" si="128"/>
        <v>-</v>
      </c>
      <c r="CN222" s="378" t="str">
        <f t="shared" ca="1" si="128"/>
        <v>-</v>
      </c>
      <c r="CO222" s="378" t="str">
        <f t="shared" ca="1" si="128"/>
        <v>-</v>
      </c>
      <c r="CP222" s="378" t="str">
        <f t="shared" ca="1" si="128"/>
        <v>-</v>
      </c>
      <c r="CQ222" s="378" t="str">
        <f t="shared" ca="1" si="128"/>
        <v>-</v>
      </c>
      <c r="CR222" s="510" t="str">
        <f ca="1">IFERROR(IF(LEFT(BW222,3)="Poo",INDEX($BE$4:$BJ$99,MATCH(CI222,$BG$4:$BG$99,0),6)*((15/50))*Calculation!$AK$6,INDEX(Calculation_Tab,MATCH(BV222,Identifier,0),10)/(IF(LEN(INDEX(Calculation_Tab,MATCH(BV222,Identifier,0),9))&gt;8,LEN(INDEX(Calculation_Tab,MATCH(BV222,Identifier,0),9))-8,1))*((15/50)*Calculation!$AK$6)),"-")</f>
        <v>-</v>
      </c>
      <c r="CS222" s="498" t="str">
        <f ca="1">IF(CI222="-","-",IF(COUNTIF($CI$3:CI222,CI222)&gt;1,0,IFERROR((35/50)*Calculation!$AK$6,"-")))</f>
        <v>-</v>
      </c>
    </row>
    <row r="223" spans="4:97" x14ac:dyDescent="0.5">
      <c r="D223" s="487" t="e">
        <f t="shared" si="109"/>
        <v>#DIV/0!</v>
      </c>
      <c r="E223" s="496" t="e">
        <f t="array" ref="E223">IF(IF((ROW(E223)-3)&lt;(ListAndConversion!$A$15),INDEX(Flow_Cell_Lane,MIN(IF(COUNTIF($E$2:E222,Flow_Cell_Lane)=0,ROW(Flow_Cell_Lane)-9))),"-")="","-",IF((ROW(E223)-3)&lt;(ListAndConversion!$A$15),INDEX(Flow_Cell_Lane,MIN(IF(COUNTIF($E$2:E222,Flow_Cell_Lane)=0,ROW(Flow_Cell_Lane)-9))),"-"))</f>
        <v>#DIV/0!</v>
      </c>
      <c r="F223" s="378" t="e">
        <f t="shared" si="110"/>
        <v>#DIV/0!</v>
      </c>
      <c r="G223" s="378" t="e">
        <f t="shared" ref="G223:M232" si="129">IF($D223&gt;8,IF($D223&gt;=(8+G$2),CONCATENATE(LEFT($E223,7),RIGHT(LEFT($E223,8+G$2),1)),""),"")</f>
        <v>#DIV/0!</v>
      </c>
      <c r="H223" s="378" t="e">
        <f t="shared" si="129"/>
        <v>#DIV/0!</v>
      </c>
      <c r="I223" s="378" t="e">
        <f t="shared" si="129"/>
        <v>#DIV/0!</v>
      </c>
      <c r="J223" s="378" t="e">
        <f t="shared" si="129"/>
        <v>#DIV/0!</v>
      </c>
      <c r="K223" s="378" t="e">
        <f t="shared" si="129"/>
        <v>#DIV/0!</v>
      </c>
      <c r="L223" s="378" t="e">
        <f t="shared" si="129"/>
        <v>#DIV/0!</v>
      </c>
      <c r="M223" s="378" t="e">
        <f t="shared" si="129"/>
        <v>#DIV/0!</v>
      </c>
      <c r="N223" s="497" t="e">
        <f t="shared" si="111"/>
        <v>#DIV/0!</v>
      </c>
      <c r="O223" s="497" t="str">
        <f t="array" ref="O223">IFERROR(INDEX(Calculation!I:AN,MATCH(ListAndConversion!E223,Calculation!I:I,0),31),"-")</f>
        <v>-</v>
      </c>
      <c r="P223" s="498">
        <f>IF(COUNTIFS(Calculation!$I$10:$I$393,E223,Direct_Denaturation,"-")&lt;&gt;1,COUNTIFS(Calculation!$I$10:$I$393,E223,Direct_Denaturation,"-"),0)</f>
        <v>0</v>
      </c>
      <c r="V223" s="542" t="s">
        <v>82</v>
      </c>
      <c r="W223" s="542" t="s">
        <v>82</v>
      </c>
      <c r="X223" s="542" t="s">
        <v>82</v>
      </c>
      <c r="Y223" s="542" t="s">
        <v>82</v>
      </c>
      <c r="Z223" s="542" t="s">
        <v>82</v>
      </c>
      <c r="AA223" s="542" t="s">
        <v>82</v>
      </c>
      <c r="AB223" s="542" t="s">
        <v>82</v>
      </c>
      <c r="AC223" s="542" t="s">
        <v>82</v>
      </c>
      <c r="AD223" s="542" t="s">
        <v>82</v>
      </c>
      <c r="AE223" s="542" t="s">
        <v>82</v>
      </c>
      <c r="AF223" s="542" t="s">
        <v>82</v>
      </c>
      <c r="AG223" s="542" t="s">
        <v>82</v>
      </c>
      <c r="AH223" s="9"/>
      <c r="AI223" s="487">
        <v>220</v>
      </c>
      <c r="AJ223" s="497" t="s">
        <v>162</v>
      </c>
      <c r="AK223" s="378">
        <v>28</v>
      </c>
      <c r="AL223" s="378" t="str">
        <f t="shared" ca="1" si="112"/>
        <v>-</v>
      </c>
      <c r="AM223" s="378" t="str">
        <f t="array" aca="1" ref="AM223" ca="1">IFERROR(IF(AI223&lt;=$AB$2,"-",INDEX(Calculation_Tab,SMALL(ROW(Main_Dil)*(Main_Dil&lt;&gt;"-"),COUNTIF(Main_Dil,"-")+ROW()-3-$AB$2)-9,5)),"-")</f>
        <v>-</v>
      </c>
      <c r="AN223" s="378" t="str">
        <f t="array" aca="1" ref="AN223" ca="1">IFERROR(IF(AI223&lt;=$AB$2,"-",INDEX($A$3:$B$12,MATCH(INDEX(Calculation_Tab,SMALL(ROW(Main_Dil)*(Main_Dil&lt;&gt;"-"),COUNTIF(Main_Dil,"-")+ROW()-3-$AB$2)-9,5),$A$3:$A$12,0),2)),"-")</f>
        <v>-</v>
      </c>
      <c r="AO223" s="378" t="str">
        <f t="array" aca="1" ref="AO223" ca="1">IFERROR(IF(AI223&lt;=$AB$2,"-",INDEX(Coordinate,MATCH(INDEX(Calculation_Tab,SMALL(ROW(Main_Dil)*(Main_Dil&lt;&gt;"-"),COUNTIF(Main_Dil,"-")+ROW()-3-$AB$2)-9,6),$X$4:$X$99,0),2)),"-")</f>
        <v>-</v>
      </c>
      <c r="AP223" s="510" t="str">
        <f t="array" aca="1" ref="AP223" ca="1">IFERROR(IF(AI223&lt;=$AB$2,"-",INDEX(Calculation_Tab,SMALL(ROW(Main_Dil)*(Main_Dil&lt;&gt;"-"),COUNTIF(Main_Dil,"-")+ROW()-3-$AB$2)-9,21)),"-")</f>
        <v>-</v>
      </c>
      <c r="AQ223" s="511" t="str">
        <f t="array" aca="1" ref="AQ223" ca="1">IFERROR(IF(AI223&lt;=$AB$2,"-",INDEX(Calculation_Tab,SMALL(ROW(Main_Dil)*(Main_Dil&lt;&gt;"-"),COUNTIF(Main_Dil,"-")+ROW()-3-$AB$2)-9,22)),"-")</f>
        <v>-</v>
      </c>
      <c r="AR223" s="487" t="str">
        <f t="shared" ca="1" si="113"/>
        <v>-</v>
      </c>
      <c r="AS223" s="378">
        <v>220</v>
      </c>
      <c r="AT223" s="497" t="s">
        <v>162</v>
      </c>
      <c r="AU223" s="498">
        <v>28</v>
      </c>
      <c r="AV223" s="378" t="str">
        <f t="shared" ca="1" si="114"/>
        <v>-</v>
      </c>
      <c r="AW223" s="378" t="str">
        <f t="array" aca="1" ref="AW223" ca="1">IFERROR(IF(AS223&lt;=$AB$2+$AN$2,"-",INDEX(Calculation_Tab,SMALL(ROW(Direct_Denaturation)*(Direct_Denaturation&lt;&gt;"-"),COUNTIF(Direct_Denaturation,"-")+ROW()-3-$AB$2-$AN$2)-9,5)),"-")</f>
        <v>-</v>
      </c>
      <c r="AX223" s="378" t="str">
        <f t="array" aca="1" ref="AX223" ca="1">IFERROR(IF(AS223&lt;=$AB$2+$AN$2,"-",INDEX($A$3:$B$12,MATCH(INDEX(Calculation_Tab,SMALL(ROW(Direct_Denaturation)*(Direct_Denaturation&lt;&gt;"-"),COUNTIF(Direct_Denaturation,"-")+ROW()-3-$AB$2-$AN$2)-9,5),$A$3:$A$12,0),2)),"-")</f>
        <v>-</v>
      </c>
      <c r="AY223" s="378" t="str">
        <f t="array" aca="1" ref="AY223" ca="1">IFERROR(IF(AS223&lt;=$AB$2+$AN$2,"-",INDEX(Coordinate,MATCH(INDEX(Calculation_Tab,SMALL(ROW(Direct_Denaturation)*(Direct_Denaturation&lt;&gt;"-"),COUNTIF(Direct_Denaturation,"-")+ROW()-3-$AB$2-$AN$2)-9,6),$X$4:$X$99,0),2)),"-")</f>
        <v>-</v>
      </c>
      <c r="AZ223" s="510" t="str">
        <f t="array" aca="1" ref="AZ223" ca="1">IFERROR(IF(AS223&lt;=$AB$2+$AN$2,"-",INDEX(Calculation_Tab,SMALL(ROW(Direct_Denaturation)*(Direct_Denaturation&lt;&gt;"-"),COUNTIF(Direct_Denaturation,"-")+ROW()-3-$AB$2-$AN$2)-9,32)),"-")</f>
        <v>-</v>
      </c>
      <c r="BA223" s="510" t="str">
        <f t="array" aca="1" ref="BA223" ca="1">IFERROR(IF(AS223&lt;=$AB$2+$AN$2,"-",INDEX(Calculation_Tab,SMALL(ROW(Direct_Denaturation)*(Direct_Denaturation&lt;&gt;"-"),COUNTIF(Direct_Denaturation,"-")+ROW()-3-$AB$2-$AN$2)-9,34)),"-")</f>
        <v>-</v>
      </c>
      <c r="BB223" s="510" t="str">
        <f t="array" aca="1" ref="BB223" ca="1">IFERROR(IF(AS223&lt;=$AB$2+$AN$2,"-",INDEX(Calculation_Tab,SMALL(ROW(Direct_Denaturation)*(Direct_Denaturation&lt;&gt;"-"),COUNTIF(Direct_Denaturation,"-")+ROW()-3-$AB$2-$AN$2)-9,33)),"-")</f>
        <v>-</v>
      </c>
      <c r="BC223" s="510" t="str">
        <f t="array" aca="1" ref="BC223" ca="1">IFERROR(IF(AS223&lt;=$AB$2+$AN$2,"-",INDEX(Calculation_Tab,SMALL(ROW(Direct_Denaturation)*(Direct_Denaturation&lt;&gt;"-"),COUNTIF(Direct_Denaturation,"-")+ROW()-3-$AB$2-$AN$2)-9,35)),"-")</f>
        <v>-</v>
      </c>
      <c r="BD223" s="511" t="str">
        <f t="shared" ca="1" si="115"/>
        <v>-</v>
      </c>
      <c r="BK223" s="542" t="s">
        <v>82</v>
      </c>
      <c r="BL223" s="542" t="s">
        <v>82</v>
      </c>
      <c r="BM223" s="487" t="str">
        <f t="array" aca="1" ref="BM223" ca="1">IFERROR(INDEX(Calculation_Tab,SMALL(ROW(ToPool)*(ToPool&lt;&gt;"-"),COUNTIF(ToPool,"-")+ROW()-3)-9,3),"-")</f>
        <v>-</v>
      </c>
      <c r="BN223" s="378" t="str">
        <f t="shared" ca="1" si="116"/>
        <v>-</v>
      </c>
      <c r="BO223" s="378" t="str">
        <f t="shared" ca="1" si="117"/>
        <v>-</v>
      </c>
      <c r="BP223" s="523" t="str">
        <f t="shared" ca="1" si="118"/>
        <v>-</v>
      </c>
      <c r="BQ223" s="378" t="str">
        <f t="array" aca="1" ref="BQ223" ca="1">IFERROR(INDEX(BE:BG,MATCH(INDEX(Calculation_Tab,SMALL(ROW(ToPool)*(ToPool&lt;&gt;"-"),COUNTIF(ToPool,"-")+ROW()-3)-9,9),BG:BG,0),2),"-")</f>
        <v>-</v>
      </c>
      <c r="BR223" s="510" t="str">
        <f t="shared" ca="1" si="119"/>
        <v>-</v>
      </c>
      <c r="BS223" s="511" t="str">
        <f t="shared" ca="1" si="120"/>
        <v>-</v>
      </c>
      <c r="BT223" s="543" t="s">
        <v>82</v>
      </c>
      <c r="BU223" s="487" t="str">
        <f t="shared" ca="1" si="124"/>
        <v>-</v>
      </c>
      <c r="BV223" s="487" t="str">
        <f t="array" aca="1" ref="BV22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23" s="378" t="str">
        <f t="shared" ca="1" si="121"/>
        <v>-</v>
      </c>
      <c r="BX223" s="378" t="str">
        <f t="shared" ca="1" si="122"/>
        <v>-</v>
      </c>
      <c r="BY223" s="510" t="str">
        <f ca="1">IFERROR(ROUND(INDEX(Cluster,MATCH(IF(LEFT(BV223,4)="Pool",INDEX(Cluster,MATCH(INDEX(Calculation_Tab,MATCH(INDEX($BE$4:$BJ$99,MATCH(BV223,$BE$4:$BE$99,0),3),Flow_Cell_Lane,0),3),Cluster!$F$29:$F$412,0),6),BV223),Identifier_Cluster,0),19)*IF(LEFT(BV223,4)="pool",IF(LEN(INDEX($BE$4:$BJ$99,MATCH(BV223,$BE$4:$BE$99,0),3))=10,2,IF(LEN(INDEX($BE$4:$BJ$99,MATCH(BV223,$BE$4:$BE$99,0),3))&gt;10,LEN(INDEX($BE$4:$BJ$99,MATCH(BV223,$BE$4:$BE$99,0),3))-8,1)),1)*IF(LEFT(BV223,4)="pool",IF(INDEX($BE$4:$BJ$99,MATCH(BV223,$BE$4:$BE$99,0),6)&lt;1,1,INDEX($BE$4:$BJ$99,MATCH(BV223,$BE$4:$BE$99,0),6)),INDEX(Calculation_Tab,MATCH(BV223,Identifier,0),10)),1)*(1+Calculation!$Q$6),"-")</f>
        <v>-</v>
      </c>
      <c r="BZ223" s="378" t="str">
        <f ca="1">IFERROR((0.5/50)*CE223/Calculation!$AG$6*(IF(LEFT(BV223,4)="Pool",IF(LEN(INDEX($BE$4:$BJ$99,MATCH(BV223,$BE$4:$BE$99,0),3))=10,2,IF(LEN(INDEX($BE$4:$BJ$99,MATCH(BV223,$BE$4:$BE$99,0),3))&gt;10,LEN(INDEX($BE$4:$BJ$99,MATCH(BV223,$BE$4:$BE$99,0),3))-8,1)),IF(INDEX(Calculation_Tab,MATCH(BV223,Identifier,0),10)&gt;1,INDEX(Calculation_Tab,MATCH(BV223,Identifier,0),10),1)))*(1+Calculation!$Q$6),"-")</f>
        <v>-</v>
      </c>
      <c r="CA223" s="510" t="str">
        <f ca="1">IFERROR(IF((BZ223*Calculation!$AG$6/0.05)-SUM(BY223:BZ223,CC223)&gt;0,(BZ223*Calculation!$AG$6/0.05)-SUM(BY223:BZ223,CC223),0),"-")</f>
        <v>-</v>
      </c>
      <c r="CB223" s="510" t="str">
        <f ca="1">IFERROR(5/50*CE223*(IF(LEFT(BV223,4)="Pool",IF(LEN(INDEX($BE$4:$BJ$99,MATCH(BV223,$BE$4:$BE$99,0),3))=10,2,IF(LEN(INDEX($BE$4:$BJ$99,MATCH(BV223,$BE$4:$BE$99,0),3))&gt;10,LEN(INDEX($BE$4:$BJ$99,MATCH(BV223,$BE$4:$BE$99,0),3))-8,1)),IF(INDEX(Calculation_Tab,MATCH(BV223,Identifier,0),10)&gt;1,INDEX(Calculation_Tab,MATCH(BV223,Identifier,0),10),1)))*(1+Calculation!$Q$6),"-")</f>
        <v>-</v>
      </c>
      <c r="CC223" s="508" t="str">
        <f ca="1">IFERROR(ROUND(INDEX(Cluster,MATCH(IF(LEFT(BV223,4)="Pool",INDEX(Cluster,MATCH(INDEX(Calculation_Tab,MATCH(INDEX($BE$4:$BJ$99,MATCH(BV223,$BE$4:$BE$99,0),3),Flow_Cell_Lane,0),3),Cluster!$F$29:$F$412,0),6),BV223),Identifier_Cluster,0),20)*IF(LEFT(BV223,4)="pool",IF(LEN(INDEX($BE$4:$BJ$99,MATCH(BV223,$BE$4:$BE$99,0),3))=10,2,IF(LEN(INDEX($BE$4:$BJ$99,MATCH(BV223,$BE$4:$BE$99,0),3))&gt;10,LEN(INDEX($BE$4:$BJ$99,MATCH(BV223,$BE$4:$BE$99,0),3))-8,1)),1)*IF(LEFT(BV223,4)="pool",IF(INDEX($BE$4:$BJ$99,MATCH(BV223,$BE$4:$BE$99,0),6)&lt;1,1,INDEX($BE$4:$BJ$99,MATCH(BV223,$BE$4:$BE$99,0),6)),INDEX(Calculation_Tab,MATCH(BV223,Identifier,0),10)),1)*(1+Calculation!$Q$6),"-")</f>
        <v>-</v>
      </c>
      <c r="CD223" s="509" t="str">
        <f ca="1">IFERROR(INDEX(Cluster!AC:AD,MATCH(IF(LEFT(BV223,4)="Pool",INDEX(Cluster!$D$29:$AA$412,MATCH(INDEX(Calculation_Tab,MATCH(INDEX($BE$4:$BJ$99,MATCH(BV223,$BE$4:$BE$99,0),3),Flow_Cell_Lane,0),3),Cluster!$F$29:$F$412,0),24),INDEX(Cluster!$D$29:$AA$412,MATCH(BV223,Cluster!$F$29:$F$412,0),24)),Cluster!AC:AC,0),2),"-")</f>
        <v>-</v>
      </c>
      <c r="CE223" s="378" t="str">
        <f ca="1">IFERROR(IF(BV223&lt;&gt;"-",Calculation!$AK$6,"-"),"-")</f>
        <v>-</v>
      </c>
      <c r="CF223" s="378" t="str">
        <f ca="1">IF(OR(LEFT(ListAndConversion!BW223,3)="Dil",LEFT(ListAndConversion!BW223,3)="Poo"),ListAndConversion!$BT$4,IF(LEFT(ListAndConversion!BW223,3)="Sou",INDEX(ListAndConversion!$AT$3:$AV$387,MATCH(ListAndConversion!BV223,ListAndConversion!$AV$3:$AV$387,0),1),"-"))</f>
        <v>-</v>
      </c>
      <c r="CG223" s="498" t="str">
        <f ca="1">IF(OR(LEFT(ListAndConversion!BW223,3)="Dil",LEFT(ListAndConversion!BW223,3)="Poo"),ListAndConversion!BU223,IF(LEFT(ListAndConversion!BW223,3)="Sou",INDEX(ListAndConversion!$AT$4:$AV$387,MATCH(ListAndConversion!BV223,ListAndConversion!$AV$4:$AV$387,0),2),"-"))</f>
        <v>-</v>
      </c>
      <c r="CH223" s="378"/>
      <c r="CI223" s="487" t="str">
        <f t="shared" ca="1" si="123"/>
        <v>-</v>
      </c>
      <c r="CJ223" s="378" t="str">
        <f t="shared" ca="1" si="128"/>
        <v>-</v>
      </c>
      <c r="CK223" s="378" t="str">
        <f t="shared" ca="1" si="128"/>
        <v>-</v>
      </c>
      <c r="CL223" s="378" t="str">
        <f t="shared" ca="1" si="128"/>
        <v>-</v>
      </c>
      <c r="CM223" s="378" t="str">
        <f t="shared" ca="1" si="128"/>
        <v>-</v>
      </c>
      <c r="CN223" s="378" t="str">
        <f t="shared" ca="1" si="128"/>
        <v>-</v>
      </c>
      <c r="CO223" s="378" t="str">
        <f t="shared" ca="1" si="128"/>
        <v>-</v>
      </c>
      <c r="CP223" s="378" t="str">
        <f t="shared" ca="1" si="128"/>
        <v>-</v>
      </c>
      <c r="CQ223" s="378" t="str">
        <f t="shared" ca="1" si="128"/>
        <v>-</v>
      </c>
      <c r="CR223" s="510" t="str">
        <f ca="1">IFERROR(IF(LEFT(BW223,3)="Poo",INDEX($BE$4:$BJ$99,MATCH(CI223,$BG$4:$BG$99,0),6)*((15/50))*Calculation!$AK$6,INDEX(Calculation_Tab,MATCH(BV223,Identifier,0),10)/(IF(LEN(INDEX(Calculation_Tab,MATCH(BV223,Identifier,0),9))&gt;8,LEN(INDEX(Calculation_Tab,MATCH(BV223,Identifier,0),9))-8,1))*((15/50)*Calculation!$AK$6)),"-")</f>
        <v>-</v>
      </c>
      <c r="CS223" s="498" t="str">
        <f ca="1">IF(CI223="-","-",IF(COUNTIF($CI$3:CI223,CI223)&gt;1,0,IFERROR((35/50)*Calculation!$AK$6,"-")))</f>
        <v>-</v>
      </c>
    </row>
    <row r="224" spans="4:97" x14ac:dyDescent="0.5">
      <c r="D224" s="487" t="e">
        <f t="shared" si="109"/>
        <v>#DIV/0!</v>
      </c>
      <c r="E224" s="496" t="e">
        <f t="array" ref="E224">IF(IF((ROW(E224)-3)&lt;(ListAndConversion!$A$15),INDEX(Flow_Cell_Lane,MIN(IF(COUNTIF($E$2:E223,Flow_Cell_Lane)=0,ROW(Flow_Cell_Lane)-9))),"-")="","-",IF((ROW(E224)-3)&lt;(ListAndConversion!$A$15),INDEX(Flow_Cell_Lane,MIN(IF(COUNTIF($E$2:E223,Flow_Cell_Lane)=0,ROW(Flow_Cell_Lane)-9))),"-"))</f>
        <v>#DIV/0!</v>
      </c>
      <c r="F224" s="378" t="e">
        <f t="shared" si="110"/>
        <v>#DIV/0!</v>
      </c>
      <c r="G224" s="378" t="e">
        <f t="shared" si="129"/>
        <v>#DIV/0!</v>
      </c>
      <c r="H224" s="378" t="e">
        <f t="shared" si="129"/>
        <v>#DIV/0!</v>
      </c>
      <c r="I224" s="378" t="e">
        <f t="shared" si="129"/>
        <v>#DIV/0!</v>
      </c>
      <c r="J224" s="378" t="e">
        <f t="shared" si="129"/>
        <v>#DIV/0!</v>
      </c>
      <c r="K224" s="378" t="e">
        <f t="shared" si="129"/>
        <v>#DIV/0!</v>
      </c>
      <c r="L224" s="378" t="e">
        <f t="shared" si="129"/>
        <v>#DIV/0!</v>
      </c>
      <c r="M224" s="378" t="e">
        <f t="shared" si="129"/>
        <v>#DIV/0!</v>
      </c>
      <c r="N224" s="497" t="e">
        <f t="shared" si="111"/>
        <v>#DIV/0!</v>
      </c>
      <c r="O224" s="497" t="str">
        <f t="array" ref="O224">IFERROR(INDEX(Calculation!I:AN,MATCH(ListAndConversion!E224,Calculation!I:I,0),31),"-")</f>
        <v>-</v>
      </c>
      <c r="P224" s="498">
        <f>IF(COUNTIFS(Calculation!$I$10:$I$393,E224,Direct_Denaturation,"-")&lt;&gt;1,COUNTIFS(Calculation!$I$10:$I$393,E224,Direct_Denaturation,"-"),0)</f>
        <v>0</v>
      </c>
      <c r="V224" s="542" t="s">
        <v>82</v>
      </c>
      <c r="W224" s="542" t="s">
        <v>82</v>
      </c>
      <c r="X224" s="542" t="s">
        <v>82</v>
      </c>
      <c r="Y224" s="542" t="s">
        <v>82</v>
      </c>
      <c r="Z224" s="542" t="s">
        <v>82</v>
      </c>
      <c r="AA224" s="542" t="s">
        <v>82</v>
      </c>
      <c r="AB224" s="542" t="s">
        <v>82</v>
      </c>
      <c r="AC224" s="542" t="s">
        <v>82</v>
      </c>
      <c r="AD224" s="542" t="s">
        <v>82</v>
      </c>
      <c r="AE224" s="542" t="s">
        <v>82</v>
      </c>
      <c r="AF224" s="542" t="s">
        <v>82</v>
      </c>
      <c r="AG224" s="542" t="s">
        <v>82</v>
      </c>
      <c r="AH224" s="9"/>
      <c r="AI224" s="487">
        <v>221</v>
      </c>
      <c r="AJ224" s="497" t="s">
        <v>162</v>
      </c>
      <c r="AK224" s="378">
        <v>29</v>
      </c>
      <c r="AL224" s="378" t="str">
        <f t="shared" ca="1" si="112"/>
        <v>-</v>
      </c>
      <c r="AM224" s="378" t="str">
        <f t="array" aca="1" ref="AM224" ca="1">IFERROR(IF(AI224&lt;=$AB$2,"-",INDEX(Calculation_Tab,SMALL(ROW(Main_Dil)*(Main_Dil&lt;&gt;"-"),COUNTIF(Main_Dil,"-")+ROW()-3-$AB$2)-9,5)),"-")</f>
        <v>-</v>
      </c>
      <c r="AN224" s="378" t="str">
        <f t="array" aca="1" ref="AN224" ca="1">IFERROR(IF(AI224&lt;=$AB$2,"-",INDEX($A$3:$B$12,MATCH(INDEX(Calculation_Tab,SMALL(ROW(Main_Dil)*(Main_Dil&lt;&gt;"-"),COUNTIF(Main_Dil,"-")+ROW()-3-$AB$2)-9,5),$A$3:$A$12,0),2)),"-")</f>
        <v>-</v>
      </c>
      <c r="AO224" s="378" t="str">
        <f t="array" aca="1" ref="AO224" ca="1">IFERROR(IF(AI224&lt;=$AB$2,"-",INDEX(Coordinate,MATCH(INDEX(Calculation_Tab,SMALL(ROW(Main_Dil)*(Main_Dil&lt;&gt;"-"),COUNTIF(Main_Dil,"-")+ROW()-3-$AB$2)-9,6),$X$4:$X$99,0),2)),"-")</f>
        <v>-</v>
      </c>
      <c r="AP224" s="510" t="str">
        <f t="array" aca="1" ref="AP224" ca="1">IFERROR(IF(AI224&lt;=$AB$2,"-",INDEX(Calculation_Tab,SMALL(ROW(Main_Dil)*(Main_Dil&lt;&gt;"-"),COUNTIF(Main_Dil,"-")+ROW()-3-$AB$2)-9,21)),"-")</f>
        <v>-</v>
      </c>
      <c r="AQ224" s="511" t="str">
        <f t="array" aca="1" ref="AQ224" ca="1">IFERROR(IF(AI224&lt;=$AB$2,"-",INDEX(Calculation_Tab,SMALL(ROW(Main_Dil)*(Main_Dil&lt;&gt;"-"),COUNTIF(Main_Dil,"-")+ROW()-3-$AB$2)-9,22)),"-")</f>
        <v>-</v>
      </c>
      <c r="AR224" s="487" t="str">
        <f t="shared" ca="1" si="113"/>
        <v>-</v>
      </c>
      <c r="AS224" s="378">
        <v>221</v>
      </c>
      <c r="AT224" s="497" t="s">
        <v>162</v>
      </c>
      <c r="AU224" s="498">
        <v>29</v>
      </c>
      <c r="AV224" s="378" t="str">
        <f t="shared" ca="1" si="114"/>
        <v>-</v>
      </c>
      <c r="AW224" s="378" t="str">
        <f t="array" aca="1" ref="AW224" ca="1">IFERROR(IF(AS224&lt;=$AB$2+$AN$2,"-",INDEX(Calculation_Tab,SMALL(ROW(Direct_Denaturation)*(Direct_Denaturation&lt;&gt;"-"),COUNTIF(Direct_Denaturation,"-")+ROW()-3-$AB$2-$AN$2)-9,5)),"-")</f>
        <v>-</v>
      </c>
      <c r="AX224" s="378" t="str">
        <f t="array" aca="1" ref="AX224" ca="1">IFERROR(IF(AS224&lt;=$AB$2+$AN$2,"-",INDEX($A$3:$B$12,MATCH(INDEX(Calculation_Tab,SMALL(ROW(Direct_Denaturation)*(Direct_Denaturation&lt;&gt;"-"),COUNTIF(Direct_Denaturation,"-")+ROW()-3-$AB$2-$AN$2)-9,5),$A$3:$A$12,0),2)),"-")</f>
        <v>-</v>
      </c>
      <c r="AY224" s="378" t="str">
        <f t="array" aca="1" ref="AY224" ca="1">IFERROR(IF(AS224&lt;=$AB$2+$AN$2,"-",INDEX(Coordinate,MATCH(INDEX(Calculation_Tab,SMALL(ROW(Direct_Denaturation)*(Direct_Denaturation&lt;&gt;"-"),COUNTIF(Direct_Denaturation,"-")+ROW()-3-$AB$2-$AN$2)-9,6),$X$4:$X$99,0),2)),"-")</f>
        <v>-</v>
      </c>
      <c r="AZ224" s="510" t="str">
        <f t="array" aca="1" ref="AZ224" ca="1">IFERROR(IF(AS224&lt;=$AB$2+$AN$2,"-",INDEX(Calculation_Tab,SMALL(ROW(Direct_Denaturation)*(Direct_Denaturation&lt;&gt;"-"),COUNTIF(Direct_Denaturation,"-")+ROW()-3-$AB$2-$AN$2)-9,32)),"-")</f>
        <v>-</v>
      </c>
      <c r="BA224" s="510" t="str">
        <f t="array" aca="1" ref="BA224" ca="1">IFERROR(IF(AS224&lt;=$AB$2+$AN$2,"-",INDEX(Calculation_Tab,SMALL(ROW(Direct_Denaturation)*(Direct_Denaturation&lt;&gt;"-"),COUNTIF(Direct_Denaturation,"-")+ROW()-3-$AB$2-$AN$2)-9,34)),"-")</f>
        <v>-</v>
      </c>
      <c r="BB224" s="510" t="str">
        <f t="array" aca="1" ref="BB224" ca="1">IFERROR(IF(AS224&lt;=$AB$2+$AN$2,"-",INDEX(Calculation_Tab,SMALL(ROW(Direct_Denaturation)*(Direct_Denaturation&lt;&gt;"-"),COUNTIF(Direct_Denaturation,"-")+ROW()-3-$AB$2-$AN$2)-9,33)),"-")</f>
        <v>-</v>
      </c>
      <c r="BC224" s="510" t="str">
        <f t="array" aca="1" ref="BC224" ca="1">IFERROR(IF(AS224&lt;=$AB$2+$AN$2,"-",INDEX(Calculation_Tab,SMALL(ROW(Direct_Denaturation)*(Direct_Denaturation&lt;&gt;"-"),COUNTIF(Direct_Denaturation,"-")+ROW()-3-$AB$2-$AN$2)-9,35)),"-")</f>
        <v>-</v>
      </c>
      <c r="BD224" s="511" t="str">
        <f t="shared" ca="1" si="115"/>
        <v>-</v>
      </c>
      <c r="BK224" s="542" t="s">
        <v>82</v>
      </c>
      <c r="BL224" s="542" t="s">
        <v>82</v>
      </c>
      <c r="BM224" s="487" t="str">
        <f t="array" aca="1" ref="BM224" ca="1">IFERROR(INDEX(Calculation_Tab,SMALL(ROW(ToPool)*(ToPool&lt;&gt;"-"),COUNTIF(ToPool,"-")+ROW()-3)-9,3),"-")</f>
        <v>-</v>
      </c>
      <c r="BN224" s="378" t="str">
        <f t="shared" ca="1" si="116"/>
        <v>-</v>
      </c>
      <c r="BO224" s="378" t="str">
        <f t="shared" ca="1" si="117"/>
        <v>-</v>
      </c>
      <c r="BP224" s="523" t="str">
        <f t="shared" ca="1" si="118"/>
        <v>-</v>
      </c>
      <c r="BQ224" s="378" t="str">
        <f t="array" aca="1" ref="BQ224" ca="1">IFERROR(INDEX(BE:BG,MATCH(INDEX(Calculation_Tab,SMALL(ROW(ToPool)*(ToPool&lt;&gt;"-"),COUNTIF(ToPool,"-")+ROW()-3)-9,9),BG:BG,0),2),"-")</f>
        <v>-</v>
      </c>
      <c r="BR224" s="510" t="str">
        <f t="shared" ca="1" si="119"/>
        <v>-</v>
      </c>
      <c r="BS224" s="511" t="str">
        <f t="shared" ca="1" si="120"/>
        <v>-</v>
      </c>
      <c r="BT224" s="543" t="s">
        <v>82</v>
      </c>
      <c r="BU224" s="487" t="str">
        <f t="shared" ca="1" si="124"/>
        <v>-</v>
      </c>
      <c r="BV224" s="487" t="str">
        <f t="array" aca="1" ref="BV22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24" s="378" t="str">
        <f t="shared" ca="1" si="121"/>
        <v>-</v>
      </c>
      <c r="BX224" s="378" t="str">
        <f t="shared" ca="1" si="122"/>
        <v>-</v>
      </c>
      <c r="BY224" s="510" t="str">
        <f ca="1">IFERROR(ROUND(INDEX(Cluster,MATCH(IF(LEFT(BV224,4)="Pool",INDEX(Cluster,MATCH(INDEX(Calculation_Tab,MATCH(INDEX($BE$4:$BJ$99,MATCH(BV224,$BE$4:$BE$99,0),3),Flow_Cell_Lane,0),3),Cluster!$F$29:$F$412,0),6),BV224),Identifier_Cluster,0),19)*IF(LEFT(BV224,4)="pool",IF(LEN(INDEX($BE$4:$BJ$99,MATCH(BV224,$BE$4:$BE$99,0),3))=10,2,IF(LEN(INDEX($BE$4:$BJ$99,MATCH(BV224,$BE$4:$BE$99,0),3))&gt;10,LEN(INDEX($BE$4:$BJ$99,MATCH(BV224,$BE$4:$BE$99,0),3))-8,1)),1)*IF(LEFT(BV224,4)="pool",IF(INDEX($BE$4:$BJ$99,MATCH(BV224,$BE$4:$BE$99,0),6)&lt;1,1,INDEX($BE$4:$BJ$99,MATCH(BV224,$BE$4:$BE$99,0),6)),INDEX(Calculation_Tab,MATCH(BV224,Identifier,0),10)),1)*(1+Calculation!$Q$6),"-")</f>
        <v>-</v>
      </c>
      <c r="BZ224" s="378" t="str">
        <f ca="1">IFERROR((0.5/50)*CE224/Calculation!$AG$6*(IF(LEFT(BV224,4)="Pool",IF(LEN(INDEX($BE$4:$BJ$99,MATCH(BV224,$BE$4:$BE$99,0),3))=10,2,IF(LEN(INDEX($BE$4:$BJ$99,MATCH(BV224,$BE$4:$BE$99,0),3))&gt;10,LEN(INDEX($BE$4:$BJ$99,MATCH(BV224,$BE$4:$BE$99,0),3))-8,1)),IF(INDEX(Calculation_Tab,MATCH(BV224,Identifier,0),10)&gt;1,INDEX(Calculation_Tab,MATCH(BV224,Identifier,0),10),1)))*(1+Calculation!$Q$6),"-")</f>
        <v>-</v>
      </c>
      <c r="CA224" s="510" t="str">
        <f ca="1">IFERROR(IF((BZ224*Calculation!$AG$6/0.05)-SUM(BY224:BZ224,CC224)&gt;0,(BZ224*Calculation!$AG$6/0.05)-SUM(BY224:BZ224,CC224),0),"-")</f>
        <v>-</v>
      </c>
      <c r="CB224" s="510" t="str">
        <f ca="1">IFERROR(5/50*CE224*(IF(LEFT(BV224,4)="Pool",IF(LEN(INDEX($BE$4:$BJ$99,MATCH(BV224,$BE$4:$BE$99,0),3))=10,2,IF(LEN(INDEX($BE$4:$BJ$99,MATCH(BV224,$BE$4:$BE$99,0),3))&gt;10,LEN(INDEX($BE$4:$BJ$99,MATCH(BV224,$BE$4:$BE$99,0),3))-8,1)),IF(INDEX(Calculation_Tab,MATCH(BV224,Identifier,0),10)&gt;1,INDEX(Calculation_Tab,MATCH(BV224,Identifier,0),10),1)))*(1+Calculation!$Q$6),"-")</f>
        <v>-</v>
      </c>
      <c r="CC224" s="508" t="str">
        <f ca="1">IFERROR(ROUND(INDEX(Cluster,MATCH(IF(LEFT(BV224,4)="Pool",INDEX(Cluster,MATCH(INDEX(Calculation_Tab,MATCH(INDEX($BE$4:$BJ$99,MATCH(BV224,$BE$4:$BE$99,0),3),Flow_Cell_Lane,0),3),Cluster!$F$29:$F$412,0),6),BV224),Identifier_Cluster,0),20)*IF(LEFT(BV224,4)="pool",IF(LEN(INDEX($BE$4:$BJ$99,MATCH(BV224,$BE$4:$BE$99,0),3))=10,2,IF(LEN(INDEX($BE$4:$BJ$99,MATCH(BV224,$BE$4:$BE$99,0),3))&gt;10,LEN(INDEX($BE$4:$BJ$99,MATCH(BV224,$BE$4:$BE$99,0),3))-8,1)),1)*IF(LEFT(BV224,4)="pool",IF(INDEX($BE$4:$BJ$99,MATCH(BV224,$BE$4:$BE$99,0),6)&lt;1,1,INDEX($BE$4:$BJ$99,MATCH(BV224,$BE$4:$BE$99,0),6)),INDEX(Calculation_Tab,MATCH(BV224,Identifier,0),10)),1)*(1+Calculation!$Q$6),"-")</f>
        <v>-</v>
      </c>
      <c r="CD224" s="509" t="str">
        <f ca="1">IFERROR(INDEX(Cluster!AC:AD,MATCH(IF(LEFT(BV224,4)="Pool",INDEX(Cluster!$D$29:$AA$412,MATCH(INDEX(Calculation_Tab,MATCH(INDEX($BE$4:$BJ$99,MATCH(BV224,$BE$4:$BE$99,0),3),Flow_Cell_Lane,0),3),Cluster!$F$29:$F$412,0),24),INDEX(Cluster!$D$29:$AA$412,MATCH(BV224,Cluster!$F$29:$F$412,0),24)),Cluster!AC:AC,0),2),"-")</f>
        <v>-</v>
      </c>
      <c r="CE224" s="378" t="str">
        <f ca="1">IFERROR(IF(BV224&lt;&gt;"-",Calculation!$AK$6,"-"),"-")</f>
        <v>-</v>
      </c>
      <c r="CF224" s="378" t="str">
        <f ca="1">IF(OR(LEFT(ListAndConversion!BW224,3)="Dil",LEFT(ListAndConversion!BW224,3)="Poo"),ListAndConversion!$BT$4,IF(LEFT(ListAndConversion!BW224,3)="Sou",INDEX(ListAndConversion!$AT$3:$AV$387,MATCH(ListAndConversion!BV224,ListAndConversion!$AV$3:$AV$387,0),1),"-"))</f>
        <v>-</v>
      </c>
      <c r="CG224" s="498" t="str">
        <f ca="1">IF(OR(LEFT(ListAndConversion!BW224,3)="Dil",LEFT(ListAndConversion!BW224,3)="Poo"),ListAndConversion!BU224,IF(LEFT(ListAndConversion!BW224,3)="Sou",INDEX(ListAndConversion!$AT$4:$AV$387,MATCH(ListAndConversion!BV224,ListAndConversion!$AV$4:$AV$387,0),2),"-"))</f>
        <v>-</v>
      </c>
      <c r="CH224" s="378"/>
      <c r="CI224" s="487" t="str">
        <f t="shared" ca="1" si="123"/>
        <v>-</v>
      </c>
      <c r="CJ224" s="378" t="str">
        <f t="shared" ref="CJ224:CQ233" ca="1" si="130">IFERROR(INDEX($R$3:$U$98,MATCH(INDEX($F$3:$M$387,MATCH($CI224,$E$3:$E$386,0),CJ$3),$S$3:$S$98,0),4),"-")</f>
        <v>-</v>
      </c>
      <c r="CK224" s="378" t="str">
        <f t="shared" ca="1" si="130"/>
        <v>-</v>
      </c>
      <c r="CL224" s="378" t="str">
        <f t="shared" ca="1" si="130"/>
        <v>-</v>
      </c>
      <c r="CM224" s="378" t="str">
        <f t="shared" ca="1" si="130"/>
        <v>-</v>
      </c>
      <c r="CN224" s="378" t="str">
        <f t="shared" ca="1" si="130"/>
        <v>-</v>
      </c>
      <c r="CO224" s="378" t="str">
        <f t="shared" ca="1" si="130"/>
        <v>-</v>
      </c>
      <c r="CP224" s="378" t="str">
        <f t="shared" ca="1" si="130"/>
        <v>-</v>
      </c>
      <c r="CQ224" s="378" t="str">
        <f t="shared" ca="1" si="130"/>
        <v>-</v>
      </c>
      <c r="CR224" s="510" t="str">
        <f ca="1">IFERROR(IF(LEFT(BW224,3)="Poo",INDEX($BE$4:$BJ$99,MATCH(CI224,$BG$4:$BG$99,0),6)*((15/50))*Calculation!$AK$6,INDEX(Calculation_Tab,MATCH(BV224,Identifier,0),10)/(IF(LEN(INDEX(Calculation_Tab,MATCH(BV224,Identifier,0),9))&gt;8,LEN(INDEX(Calculation_Tab,MATCH(BV224,Identifier,0),9))-8,1))*((15/50)*Calculation!$AK$6)),"-")</f>
        <v>-</v>
      </c>
      <c r="CS224" s="498" t="str">
        <f ca="1">IF(CI224="-","-",IF(COUNTIF($CI$3:CI224,CI224)&gt;1,0,IFERROR((35/50)*Calculation!$AK$6,"-")))</f>
        <v>-</v>
      </c>
    </row>
    <row r="225" spans="4:97" x14ac:dyDescent="0.5">
      <c r="D225" s="487" t="e">
        <f t="shared" si="109"/>
        <v>#DIV/0!</v>
      </c>
      <c r="E225" s="496" t="e">
        <f t="array" ref="E225">IF(IF((ROW(E225)-3)&lt;(ListAndConversion!$A$15),INDEX(Flow_Cell_Lane,MIN(IF(COUNTIF($E$2:E224,Flow_Cell_Lane)=0,ROW(Flow_Cell_Lane)-9))),"-")="","-",IF((ROW(E225)-3)&lt;(ListAndConversion!$A$15),INDEX(Flow_Cell_Lane,MIN(IF(COUNTIF($E$2:E224,Flow_Cell_Lane)=0,ROW(Flow_Cell_Lane)-9))),"-"))</f>
        <v>#DIV/0!</v>
      </c>
      <c r="F225" s="378" t="e">
        <f t="shared" si="110"/>
        <v>#DIV/0!</v>
      </c>
      <c r="G225" s="378" t="e">
        <f t="shared" si="129"/>
        <v>#DIV/0!</v>
      </c>
      <c r="H225" s="378" t="e">
        <f t="shared" si="129"/>
        <v>#DIV/0!</v>
      </c>
      <c r="I225" s="378" t="e">
        <f t="shared" si="129"/>
        <v>#DIV/0!</v>
      </c>
      <c r="J225" s="378" t="e">
        <f t="shared" si="129"/>
        <v>#DIV/0!</v>
      </c>
      <c r="K225" s="378" t="e">
        <f t="shared" si="129"/>
        <v>#DIV/0!</v>
      </c>
      <c r="L225" s="378" t="e">
        <f t="shared" si="129"/>
        <v>#DIV/0!</v>
      </c>
      <c r="M225" s="378" t="e">
        <f t="shared" si="129"/>
        <v>#DIV/0!</v>
      </c>
      <c r="N225" s="497" t="e">
        <f t="shared" si="111"/>
        <v>#DIV/0!</v>
      </c>
      <c r="O225" s="497" t="str">
        <f t="array" ref="O225">IFERROR(INDEX(Calculation!I:AN,MATCH(ListAndConversion!E225,Calculation!I:I,0),31),"-")</f>
        <v>-</v>
      </c>
      <c r="P225" s="498">
        <f>IF(COUNTIFS(Calculation!$I$10:$I$393,E225,Direct_Denaturation,"-")&lt;&gt;1,COUNTIFS(Calculation!$I$10:$I$393,E225,Direct_Denaturation,"-"),0)</f>
        <v>0</v>
      </c>
      <c r="V225" s="542" t="s">
        <v>82</v>
      </c>
      <c r="W225" s="542" t="s">
        <v>82</v>
      </c>
      <c r="X225" s="542" t="s">
        <v>82</v>
      </c>
      <c r="Y225" s="542" t="s">
        <v>82</v>
      </c>
      <c r="Z225" s="542" t="s">
        <v>82</v>
      </c>
      <c r="AA225" s="542" t="s">
        <v>82</v>
      </c>
      <c r="AB225" s="542" t="s">
        <v>82</v>
      </c>
      <c r="AC225" s="542" t="s">
        <v>82</v>
      </c>
      <c r="AD225" s="542" t="s">
        <v>82</v>
      </c>
      <c r="AE225" s="542" t="s">
        <v>82</v>
      </c>
      <c r="AF225" s="542" t="s">
        <v>82</v>
      </c>
      <c r="AG225" s="542" t="s">
        <v>82</v>
      </c>
      <c r="AH225" s="9"/>
      <c r="AI225" s="487">
        <v>222</v>
      </c>
      <c r="AJ225" s="497" t="s">
        <v>162</v>
      </c>
      <c r="AK225" s="378">
        <v>30</v>
      </c>
      <c r="AL225" s="378" t="str">
        <f t="shared" ca="1" si="112"/>
        <v>-</v>
      </c>
      <c r="AM225" s="378" t="str">
        <f t="array" aca="1" ref="AM225" ca="1">IFERROR(IF(AI225&lt;=$AB$2,"-",INDEX(Calculation_Tab,SMALL(ROW(Main_Dil)*(Main_Dil&lt;&gt;"-"),COUNTIF(Main_Dil,"-")+ROW()-3-$AB$2)-9,5)),"-")</f>
        <v>-</v>
      </c>
      <c r="AN225" s="378" t="str">
        <f t="array" aca="1" ref="AN225" ca="1">IFERROR(IF(AI225&lt;=$AB$2,"-",INDEX($A$3:$B$12,MATCH(INDEX(Calculation_Tab,SMALL(ROW(Main_Dil)*(Main_Dil&lt;&gt;"-"),COUNTIF(Main_Dil,"-")+ROW()-3-$AB$2)-9,5),$A$3:$A$12,0),2)),"-")</f>
        <v>-</v>
      </c>
      <c r="AO225" s="378" t="str">
        <f t="array" aca="1" ref="AO225" ca="1">IFERROR(IF(AI225&lt;=$AB$2,"-",INDEX(Coordinate,MATCH(INDEX(Calculation_Tab,SMALL(ROW(Main_Dil)*(Main_Dil&lt;&gt;"-"),COUNTIF(Main_Dil,"-")+ROW()-3-$AB$2)-9,6),$X$4:$X$99,0),2)),"-")</f>
        <v>-</v>
      </c>
      <c r="AP225" s="510" t="str">
        <f t="array" aca="1" ref="AP225" ca="1">IFERROR(IF(AI225&lt;=$AB$2,"-",INDEX(Calculation_Tab,SMALL(ROW(Main_Dil)*(Main_Dil&lt;&gt;"-"),COUNTIF(Main_Dil,"-")+ROW()-3-$AB$2)-9,21)),"-")</f>
        <v>-</v>
      </c>
      <c r="AQ225" s="511" t="str">
        <f t="array" aca="1" ref="AQ225" ca="1">IFERROR(IF(AI225&lt;=$AB$2,"-",INDEX(Calculation_Tab,SMALL(ROW(Main_Dil)*(Main_Dil&lt;&gt;"-"),COUNTIF(Main_Dil,"-")+ROW()-3-$AB$2)-9,22)),"-")</f>
        <v>-</v>
      </c>
      <c r="AR225" s="487" t="str">
        <f t="shared" ca="1" si="113"/>
        <v>-</v>
      </c>
      <c r="AS225" s="378">
        <v>222</v>
      </c>
      <c r="AT225" s="497" t="s">
        <v>162</v>
      </c>
      <c r="AU225" s="498">
        <v>30</v>
      </c>
      <c r="AV225" s="378" t="str">
        <f t="shared" ca="1" si="114"/>
        <v>-</v>
      </c>
      <c r="AW225" s="378" t="str">
        <f t="array" aca="1" ref="AW225" ca="1">IFERROR(IF(AS225&lt;=$AB$2+$AN$2,"-",INDEX(Calculation_Tab,SMALL(ROW(Direct_Denaturation)*(Direct_Denaturation&lt;&gt;"-"),COUNTIF(Direct_Denaturation,"-")+ROW()-3-$AB$2-$AN$2)-9,5)),"-")</f>
        <v>-</v>
      </c>
      <c r="AX225" s="378" t="str">
        <f t="array" aca="1" ref="AX225" ca="1">IFERROR(IF(AS225&lt;=$AB$2+$AN$2,"-",INDEX($A$3:$B$12,MATCH(INDEX(Calculation_Tab,SMALL(ROW(Direct_Denaturation)*(Direct_Denaturation&lt;&gt;"-"),COUNTIF(Direct_Denaturation,"-")+ROW()-3-$AB$2-$AN$2)-9,5),$A$3:$A$12,0),2)),"-")</f>
        <v>-</v>
      </c>
      <c r="AY225" s="378" t="str">
        <f t="array" aca="1" ref="AY225" ca="1">IFERROR(IF(AS225&lt;=$AB$2+$AN$2,"-",INDEX(Coordinate,MATCH(INDEX(Calculation_Tab,SMALL(ROW(Direct_Denaturation)*(Direct_Denaturation&lt;&gt;"-"),COUNTIF(Direct_Denaturation,"-")+ROW()-3-$AB$2-$AN$2)-9,6),$X$4:$X$99,0),2)),"-")</f>
        <v>-</v>
      </c>
      <c r="AZ225" s="510" t="str">
        <f t="array" aca="1" ref="AZ225" ca="1">IFERROR(IF(AS225&lt;=$AB$2+$AN$2,"-",INDEX(Calculation_Tab,SMALL(ROW(Direct_Denaturation)*(Direct_Denaturation&lt;&gt;"-"),COUNTIF(Direct_Denaturation,"-")+ROW()-3-$AB$2-$AN$2)-9,32)),"-")</f>
        <v>-</v>
      </c>
      <c r="BA225" s="510" t="str">
        <f t="array" aca="1" ref="BA225" ca="1">IFERROR(IF(AS225&lt;=$AB$2+$AN$2,"-",INDEX(Calculation_Tab,SMALL(ROW(Direct_Denaturation)*(Direct_Denaturation&lt;&gt;"-"),COUNTIF(Direct_Denaturation,"-")+ROW()-3-$AB$2-$AN$2)-9,34)),"-")</f>
        <v>-</v>
      </c>
      <c r="BB225" s="510" t="str">
        <f t="array" aca="1" ref="BB225" ca="1">IFERROR(IF(AS225&lt;=$AB$2+$AN$2,"-",INDEX(Calculation_Tab,SMALL(ROW(Direct_Denaturation)*(Direct_Denaturation&lt;&gt;"-"),COUNTIF(Direct_Denaturation,"-")+ROW()-3-$AB$2-$AN$2)-9,33)),"-")</f>
        <v>-</v>
      </c>
      <c r="BC225" s="510" t="str">
        <f t="array" aca="1" ref="BC225" ca="1">IFERROR(IF(AS225&lt;=$AB$2+$AN$2,"-",INDEX(Calculation_Tab,SMALL(ROW(Direct_Denaturation)*(Direct_Denaturation&lt;&gt;"-"),COUNTIF(Direct_Denaturation,"-")+ROW()-3-$AB$2-$AN$2)-9,35)),"-")</f>
        <v>-</v>
      </c>
      <c r="BD225" s="511" t="str">
        <f t="shared" ca="1" si="115"/>
        <v>-</v>
      </c>
      <c r="BK225" s="542" t="s">
        <v>82</v>
      </c>
      <c r="BL225" s="542" t="s">
        <v>82</v>
      </c>
      <c r="BM225" s="487" t="str">
        <f t="array" aca="1" ref="BM225" ca="1">IFERROR(INDEX(Calculation_Tab,SMALL(ROW(ToPool)*(ToPool&lt;&gt;"-"),COUNTIF(ToPool,"-")+ROW()-3)-9,3),"-")</f>
        <v>-</v>
      </c>
      <c r="BN225" s="378" t="str">
        <f t="shared" ca="1" si="116"/>
        <v>-</v>
      </c>
      <c r="BO225" s="378" t="str">
        <f t="shared" ca="1" si="117"/>
        <v>-</v>
      </c>
      <c r="BP225" s="523" t="str">
        <f t="shared" ca="1" si="118"/>
        <v>-</v>
      </c>
      <c r="BQ225" s="378" t="str">
        <f t="array" aca="1" ref="BQ225" ca="1">IFERROR(INDEX(BE:BG,MATCH(INDEX(Calculation_Tab,SMALL(ROW(ToPool)*(ToPool&lt;&gt;"-"),COUNTIF(ToPool,"-")+ROW()-3)-9,9),BG:BG,0),2),"-")</f>
        <v>-</v>
      </c>
      <c r="BR225" s="510" t="str">
        <f t="shared" ca="1" si="119"/>
        <v>-</v>
      </c>
      <c r="BS225" s="511" t="str">
        <f t="shared" ca="1" si="120"/>
        <v>-</v>
      </c>
      <c r="BT225" s="543" t="s">
        <v>82</v>
      </c>
      <c r="BU225" s="487" t="str">
        <f t="shared" ca="1" si="124"/>
        <v>-</v>
      </c>
      <c r="BV225" s="487" t="str">
        <f t="array" aca="1" ref="BV22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25" s="378" t="str">
        <f t="shared" ca="1" si="121"/>
        <v>-</v>
      </c>
      <c r="BX225" s="378" t="str">
        <f t="shared" ca="1" si="122"/>
        <v>-</v>
      </c>
      <c r="BY225" s="510" t="str">
        <f ca="1">IFERROR(ROUND(INDEX(Cluster,MATCH(IF(LEFT(BV225,4)="Pool",INDEX(Cluster,MATCH(INDEX(Calculation_Tab,MATCH(INDEX($BE$4:$BJ$99,MATCH(BV225,$BE$4:$BE$99,0),3),Flow_Cell_Lane,0),3),Cluster!$F$29:$F$412,0),6),BV225),Identifier_Cluster,0),19)*IF(LEFT(BV225,4)="pool",IF(LEN(INDEX($BE$4:$BJ$99,MATCH(BV225,$BE$4:$BE$99,0),3))=10,2,IF(LEN(INDEX($BE$4:$BJ$99,MATCH(BV225,$BE$4:$BE$99,0),3))&gt;10,LEN(INDEX($BE$4:$BJ$99,MATCH(BV225,$BE$4:$BE$99,0),3))-8,1)),1)*IF(LEFT(BV225,4)="pool",IF(INDEX($BE$4:$BJ$99,MATCH(BV225,$BE$4:$BE$99,0),6)&lt;1,1,INDEX($BE$4:$BJ$99,MATCH(BV225,$BE$4:$BE$99,0),6)),INDEX(Calculation_Tab,MATCH(BV225,Identifier,0),10)),1)*(1+Calculation!$Q$6),"-")</f>
        <v>-</v>
      </c>
      <c r="BZ225" s="378" t="str">
        <f ca="1">IFERROR((0.5/50)*CE225/Calculation!$AG$6*(IF(LEFT(BV225,4)="Pool",IF(LEN(INDEX($BE$4:$BJ$99,MATCH(BV225,$BE$4:$BE$99,0),3))=10,2,IF(LEN(INDEX($BE$4:$BJ$99,MATCH(BV225,$BE$4:$BE$99,0),3))&gt;10,LEN(INDEX($BE$4:$BJ$99,MATCH(BV225,$BE$4:$BE$99,0),3))-8,1)),IF(INDEX(Calculation_Tab,MATCH(BV225,Identifier,0),10)&gt;1,INDEX(Calculation_Tab,MATCH(BV225,Identifier,0),10),1)))*(1+Calculation!$Q$6),"-")</f>
        <v>-</v>
      </c>
      <c r="CA225" s="510" t="str">
        <f ca="1">IFERROR(IF((BZ225*Calculation!$AG$6/0.05)-SUM(BY225:BZ225,CC225)&gt;0,(BZ225*Calculation!$AG$6/0.05)-SUM(BY225:BZ225,CC225),0),"-")</f>
        <v>-</v>
      </c>
      <c r="CB225" s="510" t="str">
        <f ca="1">IFERROR(5/50*CE225*(IF(LEFT(BV225,4)="Pool",IF(LEN(INDEX($BE$4:$BJ$99,MATCH(BV225,$BE$4:$BE$99,0),3))=10,2,IF(LEN(INDEX($BE$4:$BJ$99,MATCH(BV225,$BE$4:$BE$99,0),3))&gt;10,LEN(INDEX($BE$4:$BJ$99,MATCH(BV225,$BE$4:$BE$99,0),3))-8,1)),IF(INDEX(Calculation_Tab,MATCH(BV225,Identifier,0),10)&gt;1,INDEX(Calculation_Tab,MATCH(BV225,Identifier,0),10),1)))*(1+Calculation!$Q$6),"-")</f>
        <v>-</v>
      </c>
      <c r="CC225" s="508" t="str">
        <f ca="1">IFERROR(ROUND(INDEX(Cluster,MATCH(IF(LEFT(BV225,4)="Pool",INDEX(Cluster,MATCH(INDEX(Calculation_Tab,MATCH(INDEX($BE$4:$BJ$99,MATCH(BV225,$BE$4:$BE$99,0),3),Flow_Cell_Lane,0),3),Cluster!$F$29:$F$412,0),6),BV225),Identifier_Cluster,0),20)*IF(LEFT(BV225,4)="pool",IF(LEN(INDEX($BE$4:$BJ$99,MATCH(BV225,$BE$4:$BE$99,0),3))=10,2,IF(LEN(INDEX($BE$4:$BJ$99,MATCH(BV225,$BE$4:$BE$99,0),3))&gt;10,LEN(INDEX($BE$4:$BJ$99,MATCH(BV225,$BE$4:$BE$99,0),3))-8,1)),1)*IF(LEFT(BV225,4)="pool",IF(INDEX($BE$4:$BJ$99,MATCH(BV225,$BE$4:$BE$99,0),6)&lt;1,1,INDEX($BE$4:$BJ$99,MATCH(BV225,$BE$4:$BE$99,0),6)),INDEX(Calculation_Tab,MATCH(BV225,Identifier,0),10)),1)*(1+Calculation!$Q$6),"-")</f>
        <v>-</v>
      </c>
      <c r="CD225" s="509" t="str">
        <f ca="1">IFERROR(INDEX(Cluster!AC:AD,MATCH(IF(LEFT(BV225,4)="Pool",INDEX(Cluster!$D$29:$AA$412,MATCH(INDEX(Calculation_Tab,MATCH(INDEX($BE$4:$BJ$99,MATCH(BV225,$BE$4:$BE$99,0),3),Flow_Cell_Lane,0),3),Cluster!$F$29:$F$412,0),24),INDEX(Cluster!$D$29:$AA$412,MATCH(BV225,Cluster!$F$29:$F$412,0),24)),Cluster!AC:AC,0),2),"-")</f>
        <v>-</v>
      </c>
      <c r="CE225" s="378" t="str">
        <f ca="1">IFERROR(IF(BV225&lt;&gt;"-",Calculation!$AK$6,"-"),"-")</f>
        <v>-</v>
      </c>
      <c r="CF225" s="378" t="str">
        <f ca="1">IF(OR(LEFT(ListAndConversion!BW225,3)="Dil",LEFT(ListAndConversion!BW225,3)="Poo"),ListAndConversion!$BT$4,IF(LEFT(ListAndConversion!BW225,3)="Sou",INDEX(ListAndConversion!$AT$3:$AV$387,MATCH(ListAndConversion!BV225,ListAndConversion!$AV$3:$AV$387,0),1),"-"))</f>
        <v>-</v>
      </c>
      <c r="CG225" s="498" t="str">
        <f ca="1">IF(OR(LEFT(ListAndConversion!BW225,3)="Dil",LEFT(ListAndConversion!BW225,3)="Poo"),ListAndConversion!BU225,IF(LEFT(ListAndConversion!BW225,3)="Sou",INDEX(ListAndConversion!$AT$4:$AV$387,MATCH(ListAndConversion!BV225,ListAndConversion!$AV$4:$AV$387,0),2),"-"))</f>
        <v>-</v>
      </c>
      <c r="CH225" s="378"/>
      <c r="CI225" s="487" t="str">
        <f t="shared" ca="1" si="123"/>
        <v>-</v>
      </c>
      <c r="CJ225" s="378" t="str">
        <f t="shared" ca="1" si="130"/>
        <v>-</v>
      </c>
      <c r="CK225" s="378" t="str">
        <f t="shared" ca="1" si="130"/>
        <v>-</v>
      </c>
      <c r="CL225" s="378" t="str">
        <f t="shared" ca="1" si="130"/>
        <v>-</v>
      </c>
      <c r="CM225" s="378" t="str">
        <f t="shared" ca="1" si="130"/>
        <v>-</v>
      </c>
      <c r="CN225" s="378" t="str">
        <f t="shared" ca="1" si="130"/>
        <v>-</v>
      </c>
      <c r="CO225" s="378" t="str">
        <f t="shared" ca="1" si="130"/>
        <v>-</v>
      </c>
      <c r="CP225" s="378" t="str">
        <f t="shared" ca="1" si="130"/>
        <v>-</v>
      </c>
      <c r="CQ225" s="378" t="str">
        <f t="shared" ca="1" si="130"/>
        <v>-</v>
      </c>
      <c r="CR225" s="510" t="str">
        <f ca="1">IFERROR(IF(LEFT(BW225,3)="Poo",INDEX($BE$4:$BJ$99,MATCH(CI225,$BG$4:$BG$99,0),6)*((15/50))*Calculation!$AK$6,INDEX(Calculation_Tab,MATCH(BV225,Identifier,0),10)/(IF(LEN(INDEX(Calculation_Tab,MATCH(BV225,Identifier,0),9))&gt;8,LEN(INDEX(Calculation_Tab,MATCH(BV225,Identifier,0),9))-8,1))*((15/50)*Calculation!$AK$6)),"-")</f>
        <v>-</v>
      </c>
      <c r="CS225" s="498" t="str">
        <f ca="1">IF(CI225="-","-",IF(COUNTIF($CI$3:CI225,CI225)&gt;1,0,IFERROR((35/50)*Calculation!$AK$6,"-")))</f>
        <v>-</v>
      </c>
    </row>
    <row r="226" spans="4:97" x14ac:dyDescent="0.5">
      <c r="D226" s="487" t="e">
        <f t="shared" si="109"/>
        <v>#DIV/0!</v>
      </c>
      <c r="E226" s="496" t="e">
        <f t="array" ref="E226">IF(IF((ROW(E226)-3)&lt;(ListAndConversion!$A$15),INDEX(Flow_Cell_Lane,MIN(IF(COUNTIF($E$2:E225,Flow_Cell_Lane)=0,ROW(Flow_Cell_Lane)-9))),"-")="","-",IF((ROW(E226)-3)&lt;(ListAndConversion!$A$15),INDEX(Flow_Cell_Lane,MIN(IF(COUNTIF($E$2:E225,Flow_Cell_Lane)=0,ROW(Flow_Cell_Lane)-9))),"-"))</f>
        <v>#DIV/0!</v>
      </c>
      <c r="F226" s="378" t="e">
        <f t="shared" si="110"/>
        <v>#DIV/0!</v>
      </c>
      <c r="G226" s="378" t="e">
        <f t="shared" si="129"/>
        <v>#DIV/0!</v>
      </c>
      <c r="H226" s="378" t="e">
        <f t="shared" si="129"/>
        <v>#DIV/0!</v>
      </c>
      <c r="I226" s="378" t="e">
        <f t="shared" si="129"/>
        <v>#DIV/0!</v>
      </c>
      <c r="J226" s="378" t="e">
        <f t="shared" si="129"/>
        <v>#DIV/0!</v>
      </c>
      <c r="K226" s="378" t="e">
        <f t="shared" si="129"/>
        <v>#DIV/0!</v>
      </c>
      <c r="L226" s="378" t="e">
        <f t="shared" si="129"/>
        <v>#DIV/0!</v>
      </c>
      <c r="M226" s="378" t="e">
        <f t="shared" si="129"/>
        <v>#DIV/0!</v>
      </c>
      <c r="N226" s="497" t="e">
        <f t="shared" si="111"/>
        <v>#DIV/0!</v>
      </c>
      <c r="O226" s="497" t="str">
        <f t="array" ref="O226">IFERROR(INDEX(Calculation!I:AN,MATCH(ListAndConversion!E226,Calculation!I:I,0),31),"-")</f>
        <v>-</v>
      </c>
      <c r="P226" s="498">
        <f>IF(COUNTIFS(Calculation!$I$10:$I$393,E226,Direct_Denaturation,"-")&lt;&gt;1,COUNTIFS(Calculation!$I$10:$I$393,E226,Direct_Denaturation,"-"),0)</f>
        <v>0</v>
      </c>
      <c r="V226" s="542" t="s">
        <v>82</v>
      </c>
      <c r="W226" s="542" t="s">
        <v>82</v>
      </c>
      <c r="X226" s="542" t="s">
        <v>82</v>
      </c>
      <c r="Y226" s="542" t="s">
        <v>82</v>
      </c>
      <c r="Z226" s="542" t="s">
        <v>82</v>
      </c>
      <c r="AA226" s="542" t="s">
        <v>82</v>
      </c>
      <c r="AB226" s="542" t="s">
        <v>82</v>
      </c>
      <c r="AC226" s="542" t="s">
        <v>82</v>
      </c>
      <c r="AD226" s="542" t="s">
        <v>82</v>
      </c>
      <c r="AE226" s="542" t="s">
        <v>82</v>
      </c>
      <c r="AF226" s="542" t="s">
        <v>82</v>
      </c>
      <c r="AG226" s="542" t="s">
        <v>82</v>
      </c>
      <c r="AH226" s="9"/>
      <c r="AI226" s="487">
        <v>223</v>
      </c>
      <c r="AJ226" s="497" t="s">
        <v>162</v>
      </c>
      <c r="AK226" s="378">
        <v>31</v>
      </c>
      <c r="AL226" s="378" t="str">
        <f t="shared" ca="1" si="112"/>
        <v>-</v>
      </c>
      <c r="AM226" s="378" t="str">
        <f t="array" aca="1" ref="AM226" ca="1">IFERROR(IF(AI226&lt;=$AB$2,"-",INDEX(Calculation_Tab,SMALL(ROW(Main_Dil)*(Main_Dil&lt;&gt;"-"),COUNTIF(Main_Dil,"-")+ROW()-3-$AB$2)-9,5)),"-")</f>
        <v>-</v>
      </c>
      <c r="AN226" s="378" t="str">
        <f t="array" aca="1" ref="AN226" ca="1">IFERROR(IF(AI226&lt;=$AB$2,"-",INDEX($A$3:$B$12,MATCH(INDEX(Calculation_Tab,SMALL(ROW(Main_Dil)*(Main_Dil&lt;&gt;"-"),COUNTIF(Main_Dil,"-")+ROW()-3-$AB$2)-9,5),$A$3:$A$12,0),2)),"-")</f>
        <v>-</v>
      </c>
      <c r="AO226" s="378" t="str">
        <f t="array" aca="1" ref="AO226" ca="1">IFERROR(IF(AI226&lt;=$AB$2,"-",INDEX(Coordinate,MATCH(INDEX(Calculation_Tab,SMALL(ROW(Main_Dil)*(Main_Dil&lt;&gt;"-"),COUNTIF(Main_Dil,"-")+ROW()-3-$AB$2)-9,6),$X$4:$X$99,0),2)),"-")</f>
        <v>-</v>
      </c>
      <c r="AP226" s="510" t="str">
        <f t="array" aca="1" ref="AP226" ca="1">IFERROR(IF(AI226&lt;=$AB$2,"-",INDEX(Calculation_Tab,SMALL(ROW(Main_Dil)*(Main_Dil&lt;&gt;"-"),COUNTIF(Main_Dil,"-")+ROW()-3-$AB$2)-9,21)),"-")</f>
        <v>-</v>
      </c>
      <c r="AQ226" s="511" t="str">
        <f t="array" aca="1" ref="AQ226" ca="1">IFERROR(IF(AI226&lt;=$AB$2,"-",INDEX(Calculation_Tab,SMALL(ROW(Main_Dil)*(Main_Dil&lt;&gt;"-"),COUNTIF(Main_Dil,"-")+ROW()-3-$AB$2)-9,22)),"-")</f>
        <v>-</v>
      </c>
      <c r="AR226" s="487" t="str">
        <f t="shared" ca="1" si="113"/>
        <v>-</v>
      </c>
      <c r="AS226" s="378">
        <v>223</v>
      </c>
      <c r="AT226" s="497" t="s">
        <v>162</v>
      </c>
      <c r="AU226" s="498">
        <v>31</v>
      </c>
      <c r="AV226" s="378" t="str">
        <f t="shared" ca="1" si="114"/>
        <v>-</v>
      </c>
      <c r="AW226" s="378" t="str">
        <f t="array" aca="1" ref="AW226" ca="1">IFERROR(IF(AS226&lt;=$AB$2+$AN$2,"-",INDEX(Calculation_Tab,SMALL(ROW(Direct_Denaturation)*(Direct_Denaturation&lt;&gt;"-"),COUNTIF(Direct_Denaturation,"-")+ROW()-3-$AB$2-$AN$2)-9,5)),"-")</f>
        <v>-</v>
      </c>
      <c r="AX226" s="378" t="str">
        <f t="array" aca="1" ref="AX226" ca="1">IFERROR(IF(AS226&lt;=$AB$2+$AN$2,"-",INDEX($A$3:$B$12,MATCH(INDEX(Calculation_Tab,SMALL(ROW(Direct_Denaturation)*(Direct_Denaturation&lt;&gt;"-"),COUNTIF(Direct_Denaturation,"-")+ROW()-3-$AB$2-$AN$2)-9,5),$A$3:$A$12,0),2)),"-")</f>
        <v>-</v>
      </c>
      <c r="AY226" s="378" t="str">
        <f t="array" aca="1" ref="AY226" ca="1">IFERROR(IF(AS226&lt;=$AB$2+$AN$2,"-",INDEX(Coordinate,MATCH(INDEX(Calculation_Tab,SMALL(ROW(Direct_Denaturation)*(Direct_Denaturation&lt;&gt;"-"),COUNTIF(Direct_Denaturation,"-")+ROW()-3-$AB$2-$AN$2)-9,6),$X$4:$X$99,0),2)),"-")</f>
        <v>-</v>
      </c>
      <c r="AZ226" s="510" t="str">
        <f t="array" aca="1" ref="AZ226" ca="1">IFERROR(IF(AS226&lt;=$AB$2+$AN$2,"-",INDEX(Calculation_Tab,SMALL(ROW(Direct_Denaturation)*(Direct_Denaturation&lt;&gt;"-"),COUNTIF(Direct_Denaturation,"-")+ROW()-3-$AB$2-$AN$2)-9,32)),"-")</f>
        <v>-</v>
      </c>
      <c r="BA226" s="510" t="str">
        <f t="array" aca="1" ref="BA226" ca="1">IFERROR(IF(AS226&lt;=$AB$2+$AN$2,"-",INDEX(Calculation_Tab,SMALL(ROW(Direct_Denaturation)*(Direct_Denaturation&lt;&gt;"-"),COUNTIF(Direct_Denaturation,"-")+ROW()-3-$AB$2-$AN$2)-9,34)),"-")</f>
        <v>-</v>
      </c>
      <c r="BB226" s="510" t="str">
        <f t="array" aca="1" ref="BB226" ca="1">IFERROR(IF(AS226&lt;=$AB$2+$AN$2,"-",INDEX(Calculation_Tab,SMALL(ROW(Direct_Denaturation)*(Direct_Denaturation&lt;&gt;"-"),COUNTIF(Direct_Denaturation,"-")+ROW()-3-$AB$2-$AN$2)-9,33)),"-")</f>
        <v>-</v>
      </c>
      <c r="BC226" s="510" t="str">
        <f t="array" aca="1" ref="BC226" ca="1">IFERROR(IF(AS226&lt;=$AB$2+$AN$2,"-",INDEX(Calculation_Tab,SMALL(ROW(Direct_Denaturation)*(Direct_Denaturation&lt;&gt;"-"),COUNTIF(Direct_Denaturation,"-")+ROW()-3-$AB$2-$AN$2)-9,35)),"-")</f>
        <v>-</v>
      </c>
      <c r="BD226" s="511" t="str">
        <f t="shared" ca="1" si="115"/>
        <v>-</v>
      </c>
      <c r="BK226" s="542" t="s">
        <v>82</v>
      </c>
      <c r="BL226" s="542" t="s">
        <v>82</v>
      </c>
      <c r="BM226" s="487" t="str">
        <f t="array" aca="1" ref="BM226" ca="1">IFERROR(INDEX(Calculation_Tab,SMALL(ROW(ToPool)*(ToPool&lt;&gt;"-"),COUNTIF(ToPool,"-")+ROW()-3)-9,3),"-")</f>
        <v>-</v>
      </c>
      <c r="BN226" s="378" t="str">
        <f t="shared" ca="1" si="116"/>
        <v>-</v>
      </c>
      <c r="BO226" s="378" t="str">
        <f t="shared" ca="1" si="117"/>
        <v>-</v>
      </c>
      <c r="BP226" s="523" t="str">
        <f t="shared" ca="1" si="118"/>
        <v>-</v>
      </c>
      <c r="BQ226" s="378" t="str">
        <f t="array" aca="1" ref="BQ226" ca="1">IFERROR(INDEX(BE:BG,MATCH(INDEX(Calculation_Tab,SMALL(ROW(ToPool)*(ToPool&lt;&gt;"-"),COUNTIF(ToPool,"-")+ROW()-3)-9,9),BG:BG,0),2),"-")</f>
        <v>-</v>
      </c>
      <c r="BR226" s="510" t="str">
        <f t="shared" ca="1" si="119"/>
        <v>-</v>
      </c>
      <c r="BS226" s="511" t="str">
        <f t="shared" ca="1" si="120"/>
        <v>-</v>
      </c>
      <c r="BT226" s="543" t="s">
        <v>82</v>
      </c>
      <c r="BU226" s="487" t="str">
        <f t="shared" ca="1" si="124"/>
        <v>-</v>
      </c>
      <c r="BV226" s="487" t="str">
        <f t="array" aca="1" ref="BV22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26" s="378" t="str">
        <f t="shared" ca="1" si="121"/>
        <v>-</v>
      </c>
      <c r="BX226" s="378" t="str">
        <f t="shared" ca="1" si="122"/>
        <v>-</v>
      </c>
      <c r="BY226" s="510" t="str">
        <f ca="1">IFERROR(ROUND(INDEX(Cluster,MATCH(IF(LEFT(BV226,4)="Pool",INDEX(Cluster,MATCH(INDEX(Calculation_Tab,MATCH(INDEX($BE$4:$BJ$99,MATCH(BV226,$BE$4:$BE$99,0),3),Flow_Cell_Lane,0),3),Cluster!$F$29:$F$412,0),6),BV226),Identifier_Cluster,0),19)*IF(LEFT(BV226,4)="pool",IF(LEN(INDEX($BE$4:$BJ$99,MATCH(BV226,$BE$4:$BE$99,0),3))=10,2,IF(LEN(INDEX($BE$4:$BJ$99,MATCH(BV226,$BE$4:$BE$99,0),3))&gt;10,LEN(INDEX($BE$4:$BJ$99,MATCH(BV226,$BE$4:$BE$99,0),3))-8,1)),1)*IF(LEFT(BV226,4)="pool",IF(INDEX($BE$4:$BJ$99,MATCH(BV226,$BE$4:$BE$99,0),6)&lt;1,1,INDEX($BE$4:$BJ$99,MATCH(BV226,$BE$4:$BE$99,0),6)),INDEX(Calculation_Tab,MATCH(BV226,Identifier,0),10)),1)*(1+Calculation!$Q$6),"-")</f>
        <v>-</v>
      </c>
      <c r="BZ226" s="378" t="str">
        <f ca="1">IFERROR((0.5/50)*CE226/Calculation!$AG$6*(IF(LEFT(BV226,4)="Pool",IF(LEN(INDEX($BE$4:$BJ$99,MATCH(BV226,$BE$4:$BE$99,0),3))=10,2,IF(LEN(INDEX($BE$4:$BJ$99,MATCH(BV226,$BE$4:$BE$99,0),3))&gt;10,LEN(INDEX($BE$4:$BJ$99,MATCH(BV226,$BE$4:$BE$99,0),3))-8,1)),IF(INDEX(Calculation_Tab,MATCH(BV226,Identifier,0),10)&gt;1,INDEX(Calculation_Tab,MATCH(BV226,Identifier,0),10),1)))*(1+Calculation!$Q$6),"-")</f>
        <v>-</v>
      </c>
      <c r="CA226" s="510" t="str">
        <f ca="1">IFERROR(IF((BZ226*Calculation!$AG$6/0.05)-SUM(BY226:BZ226,CC226)&gt;0,(BZ226*Calculation!$AG$6/0.05)-SUM(BY226:BZ226,CC226),0),"-")</f>
        <v>-</v>
      </c>
      <c r="CB226" s="510" t="str">
        <f ca="1">IFERROR(5/50*CE226*(IF(LEFT(BV226,4)="Pool",IF(LEN(INDEX($BE$4:$BJ$99,MATCH(BV226,$BE$4:$BE$99,0),3))=10,2,IF(LEN(INDEX($BE$4:$BJ$99,MATCH(BV226,$BE$4:$BE$99,0),3))&gt;10,LEN(INDEX($BE$4:$BJ$99,MATCH(BV226,$BE$4:$BE$99,0),3))-8,1)),IF(INDEX(Calculation_Tab,MATCH(BV226,Identifier,0),10)&gt;1,INDEX(Calculation_Tab,MATCH(BV226,Identifier,0),10),1)))*(1+Calculation!$Q$6),"-")</f>
        <v>-</v>
      </c>
      <c r="CC226" s="508" t="str">
        <f ca="1">IFERROR(ROUND(INDEX(Cluster,MATCH(IF(LEFT(BV226,4)="Pool",INDEX(Cluster,MATCH(INDEX(Calculation_Tab,MATCH(INDEX($BE$4:$BJ$99,MATCH(BV226,$BE$4:$BE$99,0),3),Flow_Cell_Lane,0),3),Cluster!$F$29:$F$412,0),6),BV226),Identifier_Cluster,0),20)*IF(LEFT(BV226,4)="pool",IF(LEN(INDEX($BE$4:$BJ$99,MATCH(BV226,$BE$4:$BE$99,0),3))=10,2,IF(LEN(INDEX($BE$4:$BJ$99,MATCH(BV226,$BE$4:$BE$99,0),3))&gt;10,LEN(INDEX($BE$4:$BJ$99,MATCH(BV226,$BE$4:$BE$99,0),3))-8,1)),1)*IF(LEFT(BV226,4)="pool",IF(INDEX($BE$4:$BJ$99,MATCH(BV226,$BE$4:$BE$99,0),6)&lt;1,1,INDEX($BE$4:$BJ$99,MATCH(BV226,$BE$4:$BE$99,0),6)),INDEX(Calculation_Tab,MATCH(BV226,Identifier,0),10)),1)*(1+Calculation!$Q$6),"-")</f>
        <v>-</v>
      </c>
      <c r="CD226" s="509" t="str">
        <f ca="1">IFERROR(INDEX(Cluster!AC:AD,MATCH(IF(LEFT(BV226,4)="Pool",INDEX(Cluster!$D$29:$AA$412,MATCH(INDEX(Calculation_Tab,MATCH(INDEX($BE$4:$BJ$99,MATCH(BV226,$BE$4:$BE$99,0),3),Flow_Cell_Lane,0),3),Cluster!$F$29:$F$412,0),24),INDEX(Cluster!$D$29:$AA$412,MATCH(BV226,Cluster!$F$29:$F$412,0),24)),Cluster!AC:AC,0),2),"-")</f>
        <v>-</v>
      </c>
      <c r="CE226" s="378" t="str">
        <f ca="1">IFERROR(IF(BV226&lt;&gt;"-",Calculation!$AK$6,"-"),"-")</f>
        <v>-</v>
      </c>
      <c r="CF226" s="378" t="str">
        <f ca="1">IF(OR(LEFT(ListAndConversion!BW226,3)="Dil",LEFT(ListAndConversion!BW226,3)="Poo"),ListAndConversion!$BT$4,IF(LEFT(ListAndConversion!BW226,3)="Sou",INDEX(ListAndConversion!$AT$3:$AV$387,MATCH(ListAndConversion!BV226,ListAndConversion!$AV$3:$AV$387,0),1),"-"))</f>
        <v>-</v>
      </c>
      <c r="CG226" s="498" t="str">
        <f ca="1">IF(OR(LEFT(ListAndConversion!BW226,3)="Dil",LEFT(ListAndConversion!BW226,3)="Poo"),ListAndConversion!BU226,IF(LEFT(ListAndConversion!BW226,3)="Sou",INDEX(ListAndConversion!$AT$4:$AV$387,MATCH(ListAndConversion!BV226,ListAndConversion!$AV$4:$AV$387,0),2),"-"))</f>
        <v>-</v>
      </c>
      <c r="CH226" s="378"/>
      <c r="CI226" s="487" t="str">
        <f t="shared" ca="1" si="123"/>
        <v>-</v>
      </c>
      <c r="CJ226" s="378" t="str">
        <f t="shared" ca="1" si="130"/>
        <v>-</v>
      </c>
      <c r="CK226" s="378" t="str">
        <f t="shared" ca="1" si="130"/>
        <v>-</v>
      </c>
      <c r="CL226" s="378" t="str">
        <f t="shared" ca="1" si="130"/>
        <v>-</v>
      </c>
      <c r="CM226" s="378" t="str">
        <f t="shared" ca="1" si="130"/>
        <v>-</v>
      </c>
      <c r="CN226" s="378" t="str">
        <f t="shared" ca="1" si="130"/>
        <v>-</v>
      </c>
      <c r="CO226" s="378" t="str">
        <f t="shared" ca="1" si="130"/>
        <v>-</v>
      </c>
      <c r="CP226" s="378" t="str">
        <f t="shared" ca="1" si="130"/>
        <v>-</v>
      </c>
      <c r="CQ226" s="378" t="str">
        <f t="shared" ca="1" si="130"/>
        <v>-</v>
      </c>
      <c r="CR226" s="510" t="str">
        <f ca="1">IFERROR(IF(LEFT(BW226,3)="Poo",INDEX($BE$4:$BJ$99,MATCH(CI226,$BG$4:$BG$99,0),6)*((15/50))*Calculation!$AK$6,INDEX(Calculation_Tab,MATCH(BV226,Identifier,0),10)/(IF(LEN(INDEX(Calculation_Tab,MATCH(BV226,Identifier,0),9))&gt;8,LEN(INDEX(Calculation_Tab,MATCH(BV226,Identifier,0),9))-8,1))*((15/50)*Calculation!$AK$6)),"-")</f>
        <v>-</v>
      </c>
      <c r="CS226" s="498" t="str">
        <f ca="1">IF(CI226="-","-",IF(COUNTIF($CI$3:CI226,CI226)&gt;1,0,IFERROR((35/50)*Calculation!$AK$6,"-")))</f>
        <v>-</v>
      </c>
    </row>
    <row r="227" spans="4:97" x14ac:dyDescent="0.5">
      <c r="D227" s="487" t="e">
        <f t="shared" si="109"/>
        <v>#DIV/0!</v>
      </c>
      <c r="E227" s="496" t="e">
        <f t="array" ref="E227">IF(IF((ROW(E227)-3)&lt;(ListAndConversion!$A$15),INDEX(Flow_Cell_Lane,MIN(IF(COUNTIF($E$2:E226,Flow_Cell_Lane)=0,ROW(Flow_Cell_Lane)-9))),"-")="","-",IF((ROW(E227)-3)&lt;(ListAndConversion!$A$15),INDEX(Flow_Cell_Lane,MIN(IF(COUNTIF($E$2:E226,Flow_Cell_Lane)=0,ROW(Flow_Cell_Lane)-9))),"-"))</f>
        <v>#DIV/0!</v>
      </c>
      <c r="F227" s="378" t="e">
        <f t="shared" si="110"/>
        <v>#DIV/0!</v>
      </c>
      <c r="G227" s="378" t="e">
        <f t="shared" si="129"/>
        <v>#DIV/0!</v>
      </c>
      <c r="H227" s="378" t="e">
        <f t="shared" si="129"/>
        <v>#DIV/0!</v>
      </c>
      <c r="I227" s="378" t="e">
        <f t="shared" si="129"/>
        <v>#DIV/0!</v>
      </c>
      <c r="J227" s="378" t="e">
        <f t="shared" si="129"/>
        <v>#DIV/0!</v>
      </c>
      <c r="K227" s="378" t="e">
        <f t="shared" si="129"/>
        <v>#DIV/0!</v>
      </c>
      <c r="L227" s="378" t="e">
        <f t="shared" si="129"/>
        <v>#DIV/0!</v>
      </c>
      <c r="M227" s="378" t="e">
        <f t="shared" si="129"/>
        <v>#DIV/0!</v>
      </c>
      <c r="N227" s="497" t="e">
        <f t="shared" si="111"/>
        <v>#DIV/0!</v>
      </c>
      <c r="O227" s="497" t="str">
        <f t="array" ref="O227">IFERROR(INDEX(Calculation!I:AN,MATCH(ListAndConversion!E227,Calculation!I:I,0),31),"-")</f>
        <v>-</v>
      </c>
      <c r="P227" s="498">
        <f>IF(COUNTIFS(Calculation!$I$10:$I$393,E227,Direct_Denaturation,"-")&lt;&gt;1,COUNTIFS(Calculation!$I$10:$I$393,E227,Direct_Denaturation,"-"),0)</f>
        <v>0</v>
      </c>
      <c r="V227" s="542" t="s">
        <v>82</v>
      </c>
      <c r="W227" s="542" t="s">
        <v>82</v>
      </c>
      <c r="X227" s="542" t="s">
        <v>82</v>
      </c>
      <c r="Y227" s="542" t="s">
        <v>82</v>
      </c>
      <c r="Z227" s="542" t="s">
        <v>82</v>
      </c>
      <c r="AA227" s="542" t="s">
        <v>82</v>
      </c>
      <c r="AB227" s="542" t="s">
        <v>82</v>
      </c>
      <c r="AC227" s="542" t="s">
        <v>82</v>
      </c>
      <c r="AD227" s="542" t="s">
        <v>82</v>
      </c>
      <c r="AE227" s="542" t="s">
        <v>82</v>
      </c>
      <c r="AF227" s="542" t="s">
        <v>82</v>
      </c>
      <c r="AG227" s="542" t="s">
        <v>82</v>
      </c>
      <c r="AH227" s="9"/>
      <c r="AI227" s="487">
        <v>224</v>
      </c>
      <c r="AJ227" s="497" t="s">
        <v>162</v>
      </c>
      <c r="AK227" s="378">
        <v>32</v>
      </c>
      <c r="AL227" s="378" t="str">
        <f t="shared" ca="1" si="112"/>
        <v>-</v>
      </c>
      <c r="AM227" s="378" t="str">
        <f t="array" aca="1" ref="AM227" ca="1">IFERROR(IF(AI227&lt;=$AB$2,"-",INDEX(Calculation_Tab,SMALL(ROW(Main_Dil)*(Main_Dil&lt;&gt;"-"),COUNTIF(Main_Dil,"-")+ROW()-3-$AB$2)-9,5)),"-")</f>
        <v>-</v>
      </c>
      <c r="AN227" s="378" t="str">
        <f t="array" aca="1" ref="AN227" ca="1">IFERROR(IF(AI227&lt;=$AB$2,"-",INDEX($A$3:$B$12,MATCH(INDEX(Calculation_Tab,SMALL(ROW(Main_Dil)*(Main_Dil&lt;&gt;"-"),COUNTIF(Main_Dil,"-")+ROW()-3-$AB$2)-9,5),$A$3:$A$12,0),2)),"-")</f>
        <v>-</v>
      </c>
      <c r="AO227" s="378" t="str">
        <f t="array" aca="1" ref="AO227" ca="1">IFERROR(IF(AI227&lt;=$AB$2,"-",INDEX(Coordinate,MATCH(INDEX(Calculation_Tab,SMALL(ROW(Main_Dil)*(Main_Dil&lt;&gt;"-"),COUNTIF(Main_Dil,"-")+ROW()-3-$AB$2)-9,6),$X$4:$X$99,0),2)),"-")</f>
        <v>-</v>
      </c>
      <c r="AP227" s="510" t="str">
        <f t="array" aca="1" ref="AP227" ca="1">IFERROR(IF(AI227&lt;=$AB$2,"-",INDEX(Calculation_Tab,SMALL(ROW(Main_Dil)*(Main_Dil&lt;&gt;"-"),COUNTIF(Main_Dil,"-")+ROW()-3-$AB$2)-9,21)),"-")</f>
        <v>-</v>
      </c>
      <c r="AQ227" s="511" t="str">
        <f t="array" aca="1" ref="AQ227" ca="1">IFERROR(IF(AI227&lt;=$AB$2,"-",INDEX(Calculation_Tab,SMALL(ROW(Main_Dil)*(Main_Dil&lt;&gt;"-"),COUNTIF(Main_Dil,"-")+ROW()-3-$AB$2)-9,22)),"-")</f>
        <v>-</v>
      </c>
      <c r="AR227" s="487" t="str">
        <f t="shared" ca="1" si="113"/>
        <v>-</v>
      </c>
      <c r="AS227" s="378">
        <v>224</v>
      </c>
      <c r="AT227" s="497" t="s">
        <v>162</v>
      </c>
      <c r="AU227" s="498">
        <v>32</v>
      </c>
      <c r="AV227" s="378" t="str">
        <f t="shared" ca="1" si="114"/>
        <v>-</v>
      </c>
      <c r="AW227" s="378" t="str">
        <f t="array" aca="1" ref="AW227" ca="1">IFERROR(IF(AS227&lt;=$AB$2+$AN$2,"-",INDEX(Calculation_Tab,SMALL(ROW(Direct_Denaturation)*(Direct_Denaturation&lt;&gt;"-"),COUNTIF(Direct_Denaturation,"-")+ROW()-3-$AB$2-$AN$2)-9,5)),"-")</f>
        <v>-</v>
      </c>
      <c r="AX227" s="378" t="str">
        <f t="array" aca="1" ref="AX227" ca="1">IFERROR(IF(AS227&lt;=$AB$2+$AN$2,"-",INDEX($A$3:$B$12,MATCH(INDEX(Calculation_Tab,SMALL(ROW(Direct_Denaturation)*(Direct_Denaturation&lt;&gt;"-"),COUNTIF(Direct_Denaturation,"-")+ROW()-3-$AB$2-$AN$2)-9,5),$A$3:$A$12,0),2)),"-")</f>
        <v>-</v>
      </c>
      <c r="AY227" s="378" t="str">
        <f t="array" aca="1" ref="AY227" ca="1">IFERROR(IF(AS227&lt;=$AB$2+$AN$2,"-",INDEX(Coordinate,MATCH(INDEX(Calculation_Tab,SMALL(ROW(Direct_Denaturation)*(Direct_Denaturation&lt;&gt;"-"),COUNTIF(Direct_Denaturation,"-")+ROW()-3-$AB$2-$AN$2)-9,6),$X$4:$X$99,0),2)),"-")</f>
        <v>-</v>
      </c>
      <c r="AZ227" s="510" t="str">
        <f t="array" aca="1" ref="AZ227" ca="1">IFERROR(IF(AS227&lt;=$AB$2+$AN$2,"-",INDEX(Calculation_Tab,SMALL(ROW(Direct_Denaturation)*(Direct_Denaturation&lt;&gt;"-"),COUNTIF(Direct_Denaturation,"-")+ROW()-3-$AB$2-$AN$2)-9,32)),"-")</f>
        <v>-</v>
      </c>
      <c r="BA227" s="510" t="str">
        <f t="array" aca="1" ref="BA227" ca="1">IFERROR(IF(AS227&lt;=$AB$2+$AN$2,"-",INDEX(Calculation_Tab,SMALL(ROW(Direct_Denaturation)*(Direct_Denaturation&lt;&gt;"-"),COUNTIF(Direct_Denaturation,"-")+ROW()-3-$AB$2-$AN$2)-9,34)),"-")</f>
        <v>-</v>
      </c>
      <c r="BB227" s="510" t="str">
        <f t="array" aca="1" ref="BB227" ca="1">IFERROR(IF(AS227&lt;=$AB$2+$AN$2,"-",INDEX(Calculation_Tab,SMALL(ROW(Direct_Denaturation)*(Direct_Denaturation&lt;&gt;"-"),COUNTIF(Direct_Denaturation,"-")+ROW()-3-$AB$2-$AN$2)-9,33)),"-")</f>
        <v>-</v>
      </c>
      <c r="BC227" s="510" t="str">
        <f t="array" aca="1" ref="BC227" ca="1">IFERROR(IF(AS227&lt;=$AB$2+$AN$2,"-",INDEX(Calculation_Tab,SMALL(ROW(Direct_Denaturation)*(Direct_Denaturation&lt;&gt;"-"),COUNTIF(Direct_Denaturation,"-")+ROW()-3-$AB$2-$AN$2)-9,35)),"-")</f>
        <v>-</v>
      </c>
      <c r="BD227" s="511" t="str">
        <f t="shared" ca="1" si="115"/>
        <v>-</v>
      </c>
      <c r="BK227" s="542" t="s">
        <v>82</v>
      </c>
      <c r="BL227" s="542" t="s">
        <v>82</v>
      </c>
      <c r="BM227" s="487" t="str">
        <f t="array" aca="1" ref="BM227" ca="1">IFERROR(INDEX(Calculation_Tab,SMALL(ROW(ToPool)*(ToPool&lt;&gt;"-"),COUNTIF(ToPool,"-")+ROW()-3)-9,3),"-")</f>
        <v>-</v>
      </c>
      <c r="BN227" s="378" t="str">
        <f t="shared" ca="1" si="116"/>
        <v>-</v>
      </c>
      <c r="BO227" s="378" t="str">
        <f t="shared" ca="1" si="117"/>
        <v>-</v>
      </c>
      <c r="BP227" s="523" t="str">
        <f t="shared" ca="1" si="118"/>
        <v>-</v>
      </c>
      <c r="BQ227" s="378" t="str">
        <f t="array" aca="1" ref="BQ227" ca="1">IFERROR(INDEX(BE:BG,MATCH(INDEX(Calculation_Tab,SMALL(ROW(ToPool)*(ToPool&lt;&gt;"-"),COUNTIF(ToPool,"-")+ROW()-3)-9,9),BG:BG,0),2),"-")</f>
        <v>-</v>
      </c>
      <c r="BR227" s="510" t="str">
        <f t="shared" ca="1" si="119"/>
        <v>-</v>
      </c>
      <c r="BS227" s="511" t="str">
        <f t="shared" ca="1" si="120"/>
        <v>-</v>
      </c>
      <c r="BT227" s="543" t="s">
        <v>82</v>
      </c>
      <c r="BU227" s="487" t="str">
        <f t="shared" ca="1" si="124"/>
        <v>-</v>
      </c>
      <c r="BV227" s="487" t="str">
        <f t="array" aca="1" ref="BV22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27" s="378" t="str">
        <f t="shared" ca="1" si="121"/>
        <v>-</v>
      </c>
      <c r="BX227" s="378" t="str">
        <f t="shared" ca="1" si="122"/>
        <v>-</v>
      </c>
      <c r="BY227" s="510" t="str">
        <f ca="1">IFERROR(ROUND(INDEX(Cluster,MATCH(IF(LEFT(BV227,4)="Pool",INDEX(Cluster,MATCH(INDEX(Calculation_Tab,MATCH(INDEX($BE$4:$BJ$99,MATCH(BV227,$BE$4:$BE$99,0),3),Flow_Cell_Lane,0),3),Cluster!$F$29:$F$412,0),6),BV227),Identifier_Cluster,0),19)*IF(LEFT(BV227,4)="pool",IF(LEN(INDEX($BE$4:$BJ$99,MATCH(BV227,$BE$4:$BE$99,0),3))=10,2,IF(LEN(INDEX($BE$4:$BJ$99,MATCH(BV227,$BE$4:$BE$99,0),3))&gt;10,LEN(INDEX($BE$4:$BJ$99,MATCH(BV227,$BE$4:$BE$99,0),3))-8,1)),1)*IF(LEFT(BV227,4)="pool",IF(INDEX($BE$4:$BJ$99,MATCH(BV227,$BE$4:$BE$99,0),6)&lt;1,1,INDEX($BE$4:$BJ$99,MATCH(BV227,$BE$4:$BE$99,0),6)),INDEX(Calculation_Tab,MATCH(BV227,Identifier,0),10)),1)*(1+Calculation!$Q$6),"-")</f>
        <v>-</v>
      </c>
      <c r="BZ227" s="378" t="str">
        <f ca="1">IFERROR((0.5/50)*CE227/Calculation!$AG$6*(IF(LEFT(BV227,4)="Pool",IF(LEN(INDEX($BE$4:$BJ$99,MATCH(BV227,$BE$4:$BE$99,0),3))=10,2,IF(LEN(INDEX($BE$4:$BJ$99,MATCH(BV227,$BE$4:$BE$99,0),3))&gt;10,LEN(INDEX($BE$4:$BJ$99,MATCH(BV227,$BE$4:$BE$99,0),3))-8,1)),IF(INDEX(Calculation_Tab,MATCH(BV227,Identifier,0),10)&gt;1,INDEX(Calculation_Tab,MATCH(BV227,Identifier,0),10),1)))*(1+Calculation!$Q$6),"-")</f>
        <v>-</v>
      </c>
      <c r="CA227" s="510" t="str">
        <f ca="1">IFERROR(IF((BZ227*Calculation!$AG$6/0.05)-SUM(BY227:BZ227,CC227)&gt;0,(BZ227*Calculation!$AG$6/0.05)-SUM(BY227:BZ227,CC227),0),"-")</f>
        <v>-</v>
      </c>
      <c r="CB227" s="510" t="str">
        <f ca="1">IFERROR(5/50*CE227*(IF(LEFT(BV227,4)="Pool",IF(LEN(INDEX($BE$4:$BJ$99,MATCH(BV227,$BE$4:$BE$99,0),3))=10,2,IF(LEN(INDEX($BE$4:$BJ$99,MATCH(BV227,$BE$4:$BE$99,0),3))&gt;10,LEN(INDEX($BE$4:$BJ$99,MATCH(BV227,$BE$4:$BE$99,0),3))-8,1)),IF(INDEX(Calculation_Tab,MATCH(BV227,Identifier,0),10)&gt;1,INDEX(Calculation_Tab,MATCH(BV227,Identifier,0),10),1)))*(1+Calculation!$Q$6),"-")</f>
        <v>-</v>
      </c>
      <c r="CC227" s="508" t="str">
        <f ca="1">IFERROR(ROUND(INDEX(Cluster,MATCH(IF(LEFT(BV227,4)="Pool",INDEX(Cluster,MATCH(INDEX(Calculation_Tab,MATCH(INDEX($BE$4:$BJ$99,MATCH(BV227,$BE$4:$BE$99,0),3),Flow_Cell_Lane,0),3),Cluster!$F$29:$F$412,0),6),BV227),Identifier_Cluster,0),20)*IF(LEFT(BV227,4)="pool",IF(LEN(INDEX($BE$4:$BJ$99,MATCH(BV227,$BE$4:$BE$99,0),3))=10,2,IF(LEN(INDEX($BE$4:$BJ$99,MATCH(BV227,$BE$4:$BE$99,0),3))&gt;10,LEN(INDEX($BE$4:$BJ$99,MATCH(BV227,$BE$4:$BE$99,0),3))-8,1)),1)*IF(LEFT(BV227,4)="pool",IF(INDEX($BE$4:$BJ$99,MATCH(BV227,$BE$4:$BE$99,0),6)&lt;1,1,INDEX($BE$4:$BJ$99,MATCH(BV227,$BE$4:$BE$99,0),6)),INDEX(Calculation_Tab,MATCH(BV227,Identifier,0),10)),1)*(1+Calculation!$Q$6),"-")</f>
        <v>-</v>
      </c>
      <c r="CD227" s="509" t="str">
        <f ca="1">IFERROR(INDEX(Cluster!AC:AD,MATCH(IF(LEFT(BV227,4)="Pool",INDEX(Cluster!$D$29:$AA$412,MATCH(INDEX(Calculation_Tab,MATCH(INDEX($BE$4:$BJ$99,MATCH(BV227,$BE$4:$BE$99,0),3),Flow_Cell_Lane,0),3),Cluster!$F$29:$F$412,0),24),INDEX(Cluster!$D$29:$AA$412,MATCH(BV227,Cluster!$F$29:$F$412,0),24)),Cluster!AC:AC,0),2),"-")</f>
        <v>-</v>
      </c>
      <c r="CE227" s="378" t="str">
        <f ca="1">IFERROR(IF(BV227&lt;&gt;"-",Calculation!$AK$6,"-"),"-")</f>
        <v>-</v>
      </c>
      <c r="CF227" s="378" t="str">
        <f ca="1">IF(OR(LEFT(ListAndConversion!BW227,3)="Dil",LEFT(ListAndConversion!BW227,3)="Poo"),ListAndConversion!$BT$4,IF(LEFT(ListAndConversion!BW227,3)="Sou",INDEX(ListAndConversion!$AT$3:$AV$387,MATCH(ListAndConversion!BV227,ListAndConversion!$AV$3:$AV$387,0),1),"-"))</f>
        <v>-</v>
      </c>
      <c r="CG227" s="498" t="str">
        <f ca="1">IF(OR(LEFT(ListAndConversion!BW227,3)="Dil",LEFT(ListAndConversion!BW227,3)="Poo"),ListAndConversion!BU227,IF(LEFT(ListAndConversion!BW227,3)="Sou",INDEX(ListAndConversion!$AT$4:$AV$387,MATCH(ListAndConversion!BV227,ListAndConversion!$AV$4:$AV$387,0),2),"-"))</f>
        <v>-</v>
      </c>
      <c r="CH227" s="378"/>
      <c r="CI227" s="487" t="str">
        <f t="shared" ca="1" si="123"/>
        <v>-</v>
      </c>
      <c r="CJ227" s="378" t="str">
        <f t="shared" ca="1" si="130"/>
        <v>-</v>
      </c>
      <c r="CK227" s="378" t="str">
        <f t="shared" ca="1" si="130"/>
        <v>-</v>
      </c>
      <c r="CL227" s="378" t="str">
        <f t="shared" ca="1" si="130"/>
        <v>-</v>
      </c>
      <c r="CM227" s="378" t="str">
        <f t="shared" ca="1" si="130"/>
        <v>-</v>
      </c>
      <c r="CN227" s="378" t="str">
        <f t="shared" ca="1" si="130"/>
        <v>-</v>
      </c>
      <c r="CO227" s="378" t="str">
        <f t="shared" ca="1" si="130"/>
        <v>-</v>
      </c>
      <c r="CP227" s="378" t="str">
        <f t="shared" ca="1" si="130"/>
        <v>-</v>
      </c>
      <c r="CQ227" s="378" t="str">
        <f t="shared" ca="1" si="130"/>
        <v>-</v>
      </c>
      <c r="CR227" s="510" t="str">
        <f ca="1">IFERROR(IF(LEFT(BW227,3)="Poo",INDEX($BE$4:$BJ$99,MATCH(CI227,$BG$4:$BG$99,0),6)*((15/50))*Calculation!$AK$6,INDEX(Calculation_Tab,MATCH(BV227,Identifier,0),10)/(IF(LEN(INDEX(Calculation_Tab,MATCH(BV227,Identifier,0),9))&gt;8,LEN(INDEX(Calculation_Tab,MATCH(BV227,Identifier,0),9))-8,1))*((15/50)*Calculation!$AK$6)),"-")</f>
        <v>-</v>
      </c>
      <c r="CS227" s="498" t="str">
        <f ca="1">IF(CI227="-","-",IF(COUNTIF($CI$3:CI227,CI227)&gt;1,0,IFERROR((35/50)*Calculation!$AK$6,"-")))</f>
        <v>-</v>
      </c>
    </row>
    <row r="228" spans="4:97" x14ac:dyDescent="0.5">
      <c r="D228" s="487" t="e">
        <f t="shared" si="109"/>
        <v>#DIV/0!</v>
      </c>
      <c r="E228" s="496" t="e">
        <f t="array" ref="E228">IF(IF((ROW(E228)-3)&lt;(ListAndConversion!$A$15),INDEX(Flow_Cell_Lane,MIN(IF(COUNTIF($E$2:E227,Flow_Cell_Lane)=0,ROW(Flow_Cell_Lane)-9))),"-")="","-",IF((ROW(E228)-3)&lt;(ListAndConversion!$A$15),INDEX(Flow_Cell_Lane,MIN(IF(COUNTIF($E$2:E227,Flow_Cell_Lane)=0,ROW(Flow_Cell_Lane)-9))),"-"))</f>
        <v>#DIV/0!</v>
      </c>
      <c r="F228" s="378" t="e">
        <f t="shared" si="110"/>
        <v>#DIV/0!</v>
      </c>
      <c r="G228" s="378" t="e">
        <f t="shared" si="129"/>
        <v>#DIV/0!</v>
      </c>
      <c r="H228" s="378" t="e">
        <f t="shared" si="129"/>
        <v>#DIV/0!</v>
      </c>
      <c r="I228" s="378" t="e">
        <f t="shared" si="129"/>
        <v>#DIV/0!</v>
      </c>
      <c r="J228" s="378" t="e">
        <f t="shared" si="129"/>
        <v>#DIV/0!</v>
      </c>
      <c r="K228" s="378" t="e">
        <f t="shared" si="129"/>
        <v>#DIV/0!</v>
      </c>
      <c r="L228" s="378" t="e">
        <f t="shared" si="129"/>
        <v>#DIV/0!</v>
      </c>
      <c r="M228" s="378" t="e">
        <f t="shared" si="129"/>
        <v>#DIV/0!</v>
      </c>
      <c r="N228" s="497" t="e">
        <f t="shared" si="111"/>
        <v>#DIV/0!</v>
      </c>
      <c r="O228" s="497" t="str">
        <f t="array" ref="O228">IFERROR(INDEX(Calculation!I:AN,MATCH(ListAndConversion!E228,Calculation!I:I,0),31),"-")</f>
        <v>-</v>
      </c>
      <c r="P228" s="498">
        <f>IF(COUNTIFS(Calculation!$I$10:$I$393,E228,Direct_Denaturation,"-")&lt;&gt;1,COUNTIFS(Calculation!$I$10:$I$393,E228,Direct_Denaturation,"-"),0)</f>
        <v>0</v>
      </c>
      <c r="V228" s="542" t="s">
        <v>82</v>
      </c>
      <c r="W228" s="542" t="s">
        <v>82</v>
      </c>
      <c r="X228" s="542" t="s">
        <v>82</v>
      </c>
      <c r="Y228" s="542" t="s">
        <v>82</v>
      </c>
      <c r="Z228" s="542" t="s">
        <v>82</v>
      </c>
      <c r="AA228" s="542" t="s">
        <v>82</v>
      </c>
      <c r="AB228" s="542" t="s">
        <v>82</v>
      </c>
      <c r="AC228" s="542" t="s">
        <v>82</v>
      </c>
      <c r="AD228" s="542" t="s">
        <v>82</v>
      </c>
      <c r="AE228" s="542" t="s">
        <v>82</v>
      </c>
      <c r="AF228" s="542" t="s">
        <v>82</v>
      </c>
      <c r="AG228" s="542" t="s">
        <v>82</v>
      </c>
      <c r="AH228" s="9"/>
      <c r="AI228" s="487">
        <v>225</v>
      </c>
      <c r="AJ228" s="497" t="s">
        <v>162</v>
      </c>
      <c r="AK228" s="378">
        <v>33</v>
      </c>
      <c r="AL228" s="378" t="str">
        <f t="shared" ca="1" si="112"/>
        <v>-</v>
      </c>
      <c r="AM228" s="378" t="str">
        <f t="array" aca="1" ref="AM228" ca="1">IFERROR(IF(AI228&lt;=$AB$2,"-",INDEX(Calculation_Tab,SMALL(ROW(Main_Dil)*(Main_Dil&lt;&gt;"-"),COUNTIF(Main_Dil,"-")+ROW()-3-$AB$2)-9,5)),"-")</f>
        <v>-</v>
      </c>
      <c r="AN228" s="378" t="str">
        <f t="array" aca="1" ref="AN228" ca="1">IFERROR(IF(AI228&lt;=$AB$2,"-",INDEX($A$3:$B$12,MATCH(INDEX(Calculation_Tab,SMALL(ROW(Main_Dil)*(Main_Dil&lt;&gt;"-"),COUNTIF(Main_Dil,"-")+ROW()-3-$AB$2)-9,5),$A$3:$A$12,0),2)),"-")</f>
        <v>-</v>
      </c>
      <c r="AO228" s="378" t="str">
        <f t="array" aca="1" ref="AO228" ca="1">IFERROR(IF(AI228&lt;=$AB$2,"-",INDEX(Coordinate,MATCH(INDEX(Calculation_Tab,SMALL(ROW(Main_Dil)*(Main_Dil&lt;&gt;"-"),COUNTIF(Main_Dil,"-")+ROW()-3-$AB$2)-9,6),$X$4:$X$99,0),2)),"-")</f>
        <v>-</v>
      </c>
      <c r="AP228" s="510" t="str">
        <f t="array" aca="1" ref="AP228" ca="1">IFERROR(IF(AI228&lt;=$AB$2,"-",INDEX(Calculation_Tab,SMALL(ROW(Main_Dil)*(Main_Dil&lt;&gt;"-"),COUNTIF(Main_Dil,"-")+ROW()-3-$AB$2)-9,21)),"-")</f>
        <v>-</v>
      </c>
      <c r="AQ228" s="511" t="str">
        <f t="array" aca="1" ref="AQ228" ca="1">IFERROR(IF(AI228&lt;=$AB$2,"-",INDEX(Calculation_Tab,SMALL(ROW(Main_Dil)*(Main_Dil&lt;&gt;"-"),COUNTIF(Main_Dil,"-")+ROW()-3-$AB$2)-9,22)),"-")</f>
        <v>-</v>
      </c>
      <c r="AR228" s="487" t="str">
        <f t="shared" ca="1" si="113"/>
        <v>-</v>
      </c>
      <c r="AS228" s="378">
        <v>225</v>
      </c>
      <c r="AT228" s="497" t="s">
        <v>162</v>
      </c>
      <c r="AU228" s="498">
        <v>33</v>
      </c>
      <c r="AV228" s="378" t="str">
        <f t="shared" ca="1" si="114"/>
        <v>-</v>
      </c>
      <c r="AW228" s="378" t="str">
        <f t="array" aca="1" ref="AW228" ca="1">IFERROR(IF(AS228&lt;=$AB$2+$AN$2,"-",INDEX(Calculation_Tab,SMALL(ROW(Direct_Denaturation)*(Direct_Denaturation&lt;&gt;"-"),COUNTIF(Direct_Denaturation,"-")+ROW()-3-$AB$2-$AN$2)-9,5)),"-")</f>
        <v>-</v>
      </c>
      <c r="AX228" s="378" t="str">
        <f t="array" aca="1" ref="AX228" ca="1">IFERROR(IF(AS228&lt;=$AB$2+$AN$2,"-",INDEX($A$3:$B$12,MATCH(INDEX(Calculation_Tab,SMALL(ROW(Direct_Denaturation)*(Direct_Denaturation&lt;&gt;"-"),COUNTIF(Direct_Denaturation,"-")+ROW()-3-$AB$2-$AN$2)-9,5),$A$3:$A$12,0),2)),"-")</f>
        <v>-</v>
      </c>
      <c r="AY228" s="378" t="str">
        <f t="array" aca="1" ref="AY228" ca="1">IFERROR(IF(AS228&lt;=$AB$2+$AN$2,"-",INDEX(Coordinate,MATCH(INDEX(Calculation_Tab,SMALL(ROW(Direct_Denaturation)*(Direct_Denaturation&lt;&gt;"-"),COUNTIF(Direct_Denaturation,"-")+ROW()-3-$AB$2-$AN$2)-9,6),$X$4:$X$99,0),2)),"-")</f>
        <v>-</v>
      </c>
      <c r="AZ228" s="510" t="str">
        <f t="array" aca="1" ref="AZ228" ca="1">IFERROR(IF(AS228&lt;=$AB$2+$AN$2,"-",INDEX(Calculation_Tab,SMALL(ROW(Direct_Denaturation)*(Direct_Denaturation&lt;&gt;"-"),COUNTIF(Direct_Denaturation,"-")+ROW()-3-$AB$2-$AN$2)-9,32)),"-")</f>
        <v>-</v>
      </c>
      <c r="BA228" s="510" t="str">
        <f t="array" aca="1" ref="BA228" ca="1">IFERROR(IF(AS228&lt;=$AB$2+$AN$2,"-",INDEX(Calculation_Tab,SMALL(ROW(Direct_Denaturation)*(Direct_Denaturation&lt;&gt;"-"),COUNTIF(Direct_Denaturation,"-")+ROW()-3-$AB$2-$AN$2)-9,34)),"-")</f>
        <v>-</v>
      </c>
      <c r="BB228" s="510" t="str">
        <f t="array" aca="1" ref="BB228" ca="1">IFERROR(IF(AS228&lt;=$AB$2+$AN$2,"-",INDEX(Calculation_Tab,SMALL(ROW(Direct_Denaturation)*(Direct_Denaturation&lt;&gt;"-"),COUNTIF(Direct_Denaturation,"-")+ROW()-3-$AB$2-$AN$2)-9,33)),"-")</f>
        <v>-</v>
      </c>
      <c r="BC228" s="510" t="str">
        <f t="array" aca="1" ref="BC228" ca="1">IFERROR(IF(AS228&lt;=$AB$2+$AN$2,"-",INDEX(Calculation_Tab,SMALL(ROW(Direct_Denaturation)*(Direct_Denaturation&lt;&gt;"-"),COUNTIF(Direct_Denaturation,"-")+ROW()-3-$AB$2-$AN$2)-9,35)),"-")</f>
        <v>-</v>
      </c>
      <c r="BD228" s="511" t="str">
        <f t="shared" ca="1" si="115"/>
        <v>-</v>
      </c>
      <c r="BK228" s="542" t="s">
        <v>82</v>
      </c>
      <c r="BL228" s="542" t="s">
        <v>82</v>
      </c>
      <c r="BM228" s="487" t="str">
        <f t="array" aca="1" ref="BM228" ca="1">IFERROR(INDEX(Calculation_Tab,SMALL(ROW(ToPool)*(ToPool&lt;&gt;"-"),COUNTIF(ToPool,"-")+ROW()-3)-9,3),"-")</f>
        <v>-</v>
      </c>
      <c r="BN228" s="378" t="str">
        <f t="shared" ca="1" si="116"/>
        <v>-</v>
      </c>
      <c r="BO228" s="378" t="str">
        <f t="shared" ca="1" si="117"/>
        <v>-</v>
      </c>
      <c r="BP228" s="523" t="str">
        <f t="shared" ca="1" si="118"/>
        <v>-</v>
      </c>
      <c r="BQ228" s="378" t="str">
        <f t="array" aca="1" ref="BQ228" ca="1">IFERROR(INDEX(BE:BG,MATCH(INDEX(Calculation_Tab,SMALL(ROW(ToPool)*(ToPool&lt;&gt;"-"),COUNTIF(ToPool,"-")+ROW()-3)-9,9),BG:BG,0),2),"-")</f>
        <v>-</v>
      </c>
      <c r="BR228" s="510" t="str">
        <f t="shared" ca="1" si="119"/>
        <v>-</v>
      </c>
      <c r="BS228" s="511" t="str">
        <f t="shared" ca="1" si="120"/>
        <v>-</v>
      </c>
      <c r="BT228" s="543" t="s">
        <v>82</v>
      </c>
      <c r="BU228" s="487" t="str">
        <f t="shared" ca="1" si="124"/>
        <v>-</v>
      </c>
      <c r="BV228" s="487" t="str">
        <f t="array" aca="1" ref="BV22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28" s="378" t="str">
        <f t="shared" ca="1" si="121"/>
        <v>-</v>
      </c>
      <c r="BX228" s="378" t="str">
        <f t="shared" ca="1" si="122"/>
        <v>-</v>
      </c>
      <c r="BY228" s="510" t="str">
        <f ca="1">IFERROR(ROUND(INDEX(Cluster,MATCH(IF(LEFT(BV228,4)="Pool",INDEX(Cluster,MATCH(INDEX(Calculation_Tab,MATCH(INDEX($BE$4:$BJ$99,MATCH(BV228,$BE$4:$BE$99,0),3),Flow_Cell_Lane,0),3),Cluster!$F$29:$F$412,0),6),BV228),Identifier_Cluster,0),19)*IF(LEFT(BV228,4)="pool",IF(LEN(INDEX($BE$4:$BJ$99,MATCH(BV228,$BE$4:$BE$99,0),3))=10,2,IF(LEN(INDEX($BE$4:$BJ$99,MATCH(BV228,$BE$4:$BE$99,0),3))&gt;10,LEN(INDEX($BE$4:$BJ$99,MATCH(BV228,$BE$4:$BE$99,0),3))-8,1)),1)*IF(LEFT(BV228,4)="pool",IF(INDEX($BE$4:$BJ$99,MATCH(BV228,$BE$4:$BE$99,0),6)&lt;1,1,INDEX($BE$4:$BJ$99,MATCH(BV228,$BE$4:$BE$99,0),6)),INDEX(Calculation_Tab,MATCH(BV228,Identifier,0),10)),1)*(1+Calculation!$Q$6),"-")</f>
        <v>-</v>
      </c>
      <c r="BZ228" s="378" t="str">
        <f ca="1">IFERROR((0.5/50)*CE228/Calculation!$AG$6*(IF(LEFT(BV228,4)="Pool",IF(LEN(INDEX($BE$4:$BJ$99,MATCH(BV228,$BE$4:$BE$99,0),3))=10,2,IF(LEN(INDEX($BE$4:$BJ$99,MATCH(BV228,$BE$4:$BE$99,0),3))&gt;10,LEN(INDEX($BE$4:$BJ$99,MATCH(BV228,$BE$4:$BE$99,0),3))-8,1)),IF(INDEX(Calculation_Tab,MATCH(BV228,Identifier,0),10)&gt;1,INDEX(Calculation_Tab,MATCH(BV228,Identifier,0),10),1)))*(1+Calculation!$Q$6),"-")</f>
        <v>-</v>
      </c>
      <c r="CA228" s="510" t="str">
        <f ca="1">IFERROR(IF((BZ228*Calculation!$AG$6/0.05)-SUM(BY228:BZ228,CC228)&gt;0,(BZ228*Calculation!$AG$6/0.05)-SUM(BY228:BZ228,CC228),0),"-")</f>
        <v>-</v>
      </c>
      <c r="CB228" s="510" t="str">
        <f ca="1">IFERROR(5/50*CE228*(IF(LEFT(BV228,4)="Pool",IF(LEN(INDEX($BE$4:$BJ$99,MATCH(BV228,$BE$4:$BE$99,0),3))=10,2,IF(LEN(INDEX($BE$4:$BJ$99,MATCH(BV228,$BE$4:$BE$99,0),3))&gt;10,LEN(INDEX($BE$4:$BJ$99,MATCH(BV228,$BE$4:$BE$99,0),3))-8,1)),IF(INDEX(Calculation_Tab,MATCH(BV228,Identifier,0),10)&gt;1,INDEX(Calculation_Tab,MATCH(BV228,Identifier,0),10),1)))*(1+Calculation!$Q$6),"-")</f>
        <v>-</v>
      </c>
      <c r="CC228" s="508" t="str">
        <f ca="1">IFERROR(ROUND(INDEX(Cluster,MATCH(IF(LEFT(BV228,4)="Pool",INDEX(Cluster,MATCH(INDEX(Calculation_Tab,MATCH(INDEX($BE$4:$BJ$99,MATCH(BV228,$BE$4:$BE$99,0),3),Flow_Cell_Lane,0),3),Cluster!$F$29:$F$412,0),6),BV228),Identifier_Cluster,0),20)*IF(LEFT(BV228,4)="pool",IF(LEN(INDEX($BE$4:$BJ$99,MATCH(BV228,$BE$4:$BE$99,0),3))=10,2,IF(LEN(INDEX($BE$4:$BJ$99,MATCH(BV228,$BE$4:$BE$99,0),3))&gt;10,LEN(INDEX($BE$4:$BJ$99,MATCH(BV228,$BE$4:$BE$99,0),3))-8,1)),1)*IF(LEFT(BV228,4)="pool",IF(INDEX($BE$4:$BJ$99,MATCH(BV228,$BE$4:$BE$99,0),6)&lt;1,1,INDEX($BE$4:$BJ$99,MATCH(BV228,$BE$4:$BE$99,0),6)),INDEX(Calculation_Tab,MATCH(BV228,Identifier,0),10)),1)*(1+Calculation!$Q$6),"-")</f>
        <v>-</v>
      </c>
      <c r="CD228" s="509" t="str">
        <f ca="1">IFERROR(INDEX(Cluster!AC:AD,MATCH(IF(LEFT(BV228,4)="Pool",INDEX(Cluster!$D$29:$AA$412,MATCH(INDEX(Calculation_Tab,MATCH(INDEX($BE$4:$BJ$99,MATCH(BV228,$BE$4:$BE$99,0),3),Flow_Cell_Lane,0),3),Cluster!$F$29:$F$412,0),24),INDEX(Cluster!$D$29:$AA$412,MATCH(BV228,Cluster!$F$29:$F$412,0),24)),Cluster!AC:AC,0),2),"-")</f>
        <v>-</v>
      </c>
      <c r="CE228" s="378" t="str">
        <f ca="1">IFERROR(IF(BV228&lt;&gt;"-",Calculation!$AK$6,"-"),"-")</f>
        <v>-</v>
      </c>
      <c r="CF228" s="378" t="str">
        <f ca="1">IF(OR(LEFT(ListAndConversion!BW228,3)="Dil",LEFT(ListAndConversion!BW228,3)="Poo"),ListAndConversion!$BT$4,IF(LEFT(ListAndConversion!BW228,3)="Sou",INDEX(ListAndConversion!$AT$3:$AV$387,MATCH(ListAndConversion!BV228,ListAndConversion!$AV$3:$AV$387,0),1),"-"))</f>
        <v>-</v>
      </c>
      <c r="CG228" s="498" t="str">
        <f ca="1">IF(OR(LEFT(ListAndConversion!BW228,3)="Dil",LEFT(ListAndConversion!BW228,3)="Poo"),ListAndConversion!BU228,IF(LEFT(ListAndConversion!BW228,3)="Sou",INDEX(ListAndConversion!$AT$4:$AV$387,MATCH(ListAndConversion!BV228,ListAndConversion!$AV$4:$AV$387,0),2),"-"))</f>
        <v>-</v>
      </c>
      <c r="CH228" s="378"/>
      <c r="CI228" s="487" t="str">
        <f t="shared" ca="1" si="123"/>
        <v>-</v>
      </c>
      <c r="CJ228" s="378" t="str">
        <f t="shared" ca="1" si="130"/>
        <v>-</v>
      </c>
      <c r="CK228" s="378" t="str">
        <f t="shared" ca="1" si="130"/>
        <v>-</v>
      </c>
      <c r="CL228" s="378" t="str">
        <f t="shared" ca="1" si="130"/>
        <v>-</v>
      </c>
      <c r="CM228" s="378" t="str">
        <f t="shared" ca="1" si="130"/>
        <v>-</v>
      </c>
      <c r="CN228" s="378" t="str">
        <f t="shared" ca="1" si="130"/>
        <v>-</v>
      </c>
      <c r="CO228" s="378" t="str">
        <f t="shared" ca="1" si="130"/>
        <v>-</v>
      </c>
      <c r="CP228" s="378" t="str">
        <f t="shared" ca="1" si="130"/>
        <v>-</v>
      </c>
      <c r="CQ228" s="378" t="str">
        <f t="shared" ca="1" si="130"/>
        <v>-</v>
      </c>
      <c r="CR228" s="510" t="str">
        <f ca="1">IFERROR(IF(LEFT(BW228,3)="Poo",INDEX($BE$4:$BJ$99,MATCH(CI228,$BG$4:$BG$99,0),6)*((15/50))*Calculation!$AK$6,INDEX(Calculation_Tab,MATCH(BV228,Identifier,0),10)/(IF(LEN(INDEX(Calculation_Tab,MATCH(BV228,Identifier,0),9))&gt;8,LEN(INDEX(Calculation_Tab,MATCH(BV228,Identifier,0),9))-8,1))*((15/50)*Calculation!$AK$6)),"-")</f>
        <v>-</v>
      </c>
      <c r="CS228" s="498" t="str">
        <f ca="1">IF(CI228="-","-",IF(COUNTIF($CI$3:CI228,CI228)&gt;1,0,IFERROR((35/50)*Calculation!$AK$6,"-")))</f>
        <v>-</v>
      </c>
    </row>
    <row r="229" spans="4:97" x14ac:dyDescent="0.5">
      <c r="D229" s="487" t="e">
        <f t="shared" si="109"/>
        <v>#DIV/0!</v>
      </c>
      <c r="E229" s="496" t="e">
        <f t="array" ref="E229">IF(IF((ROW(E229)-3)&lt;(ListAndConversion!$A$15),INDEX(Flow_Cell_Lane,MIN(IF(COUNTIF($E$2:E228,Flow_Cell_Lane)=0,ROW(Flow_Cell_Lane)-9))),"-")="","-",IF((ROW(E229)-3)&lt;(ListAndConversion!$A$15),INDEX(Flow_Cell_Lane,MIN(IF(COUNTIF($E$2:E228,Flow_Cell_Lane)=0,ROW(Flow_Cell_Lane)-9))),"-"))</f>
        <v>#DIV/0!</v>
      </c>
      <c r="F229" s="378" t="e">
        <f t="shared" si="110"/>
        <v>#DIV/0!</v>
      </c>
      <c r="G229" s="378" t="e">
        <f t="shared" si="129"/>
        <v>#DIV/0!</v>
      </c>
      <c r="H229" s="378" t="e">
        <f t="shared" si="129"/>
        <v>#DIV/0!</v>
      </c>
      <c r="I229" s="378" t="e">
        <f t="shared" si="129"/>
        <v>#DIV/0!</v>
      </c>
      <c r="J229" s="378" t="e">
        <f t="shared" si="129"/>
        <v>#DIV/0!</v>
      </c>
      <c r="K229" s="378" t="e">
        <f t="shared" si="129"/>
        <v>#DIV/0!</v>
      </c>
      <c r="L229" s="378" t="e">
        <f t="shared" si="129"/>
        <v>#DIV/0!</v>
      </c>
      <c r="M229" s="378" t="e">
        <f t="shared" si="129"/>
        <v>#DIV/0!</v>
      </c>
      <c r="N229" s="497" t="e">
        <f t="shared" si="111"/>
        <v>#DIV/0!</v>
      </c>
      <c r="O229" s="497" t="str">
        <f t="array" ref="O229">IFERROR(INDEX(Calculation!I:AN,MATCH(ListAndConversion!E229,Calculation!I:I,0),31),"-")</f>
        <v>-</v>
      </c>
      <c r="P229" s="498">
        <f>IF(COUNTIFS(Calculation!$I$10:$I$393,E229,Direct_Denaturation,"-")&lt;&gt;1,COUNTIFS(Calculation!$I$10:$I$393,E229,Direct_Denaturation,"-"),0)</f>
        <v>0</v>
      </c>
      <c r="V229" s="542" t="s">
        <v>82</v>
      </c>
      <c r="W229" s="542" t="s">
        <v>82</v>
      </c>
      <c r="X229" s="542" t="s">
        <v>82</v>
      </c>
      <c r="Y229" s="542" t="s">
        <v>82</v>
      </c>
      <c r="Z229" s="542" t="s">
        <v>82</v>
      </c>
      <c r="AA229" s="542" t="s">
        <v>82</v>
      </c>
      <c r="AB229" s="542" t="s">
        <v>82</v>
      </c>
      <c r="AC229" s="542" t="s">
        <v>82</v>
      </c>
      <c r="AD229" s="542" t="s">
        <v>82</v>
      </c>
      <c r="AE229" s="542" t="s">
        <v>82</v>
      </c>
      <c r="AF229" s="542" t="s">
        <v>82</v>
      </c>
      <c r="AG229" s="542" t="s">
        <v>82</v>
      </c>
      <c r="AH229" s="9"/>
      <c r="AI229" s="487">
        <v>226</v>
      </c>
      <c r="AJ229" s="497" t="s">
        <v>162</v>
      </c>
      <c r="AK229" s="378">
        <v>34</v>
      </c>
      <c r="AL229" s="378" t="str">
        <f t="shared" ca="1" si="112"/>
        <v>-</v>
      </c>
      <c r="AM229" s="378" t="str">
        <f t="array" aca="1" ref="AM229" ca="1">IFERROR(IF(AI229&lt;=$AB$2,"-",INDEX(Calculation_Tab,SMALL(ROW(Main_Dil)*(Main_Dil&lt;&gt;"-"),COUNTIF(Main_Dil,"-")+ROW()-3-$AB$2)-9,5)),"-")</f>
        <v>-</v>
      </c>
      <c r="AN229" s="378" t="str">
        <f t="array" aca="1" ref="AN229" ca="1">IFERROR(IF(AI229&lt;=$AB$2,"-",INDEX($A$3:$B$12,MATCH(INDEX(Calculation_Tab,SMALL(ROW(Main_Dil)*(Main_Dil&lt;&gt;"-"),COUNTIF(Main_Dil,"-")+ROW()-3-$AB$2)-9,5),$A$3:$A$12,0),2)),"-")</f>
        <v>-</v>
      </c>
      <c r="AO229" s="378" t="str">
        <f t="array" aca="1" ref="AO229" ca="1">IFERROR(IF(AI229&lt;=$AB$2,"-",INDEX(Coordinate,MATCH(INDEX(Calculation_Tab,SMALL(ROW(Main_Dil)*(Main_Dil&lt;&gt;"-"),COUNTIF(Main_Dil,"-")+ROW()-3-$AB$2)-9,6),$X$4:$X$99,0),2)),"-")</f>
        <v>-</v>
      </c>
      <c r="AP229" s="510" t="str">
        <f t="array" aca="1" ref="AP229" ca="1">IFERROR(IF(AI229&lt;=$AB$2,"-",INDEX(Calculation_Tab,SMALL(ROW(Main_Dil)*(Main_Dil&lt;&gt;"-"),COUNTIF(Main_Dil,"-")+ROW()-3-$AB$2)-9,21)),"-")</f>
        <v>-</v>
      </c>
      <c r="AQ229" s="511" t="str">
        <f t="array" aca="1" ref="AQ229" ca="1">IFERROR(IF(AI229&lt;=$AB$2,"-",INDEX(Calculation_Tab,SMALL(ROW(Main_Dil)*(Main_Dil&lt;&gt;"-"),COUNTIF(Main_Dil,"-")+ROW()-3-$AB$2)-9,22)),"-")</f>
        <v>-</v>
      </c>
      <c r="AR229" s="487" t="str">
        <f t="shared" ca="1" si="113"/>
        <v>-</v>
      </c>
      <c r="AS229" s="378">
        <v>226</v>
      </c>
      <c r="AT229" s="497" t="s">
        <v>162</v>
      </c>
      <c r="AU229" s="498">
        <v>34</v>
      </c>
      <c r="AV229" s="378" t="str">
        <f t="shared" ca="1" si="114"/>
        <v>-</v>
      </c>
      <c r="AW229" s="378" t="str">
        <f t="array" aca="1" ref="AW229" ca="1">IFERROR(IF(AS229&lt;=$AB$2+$AN$2,"-",INDEX(Calculation_Tab,SMALL(ROW(Direct_Denaturation)*(Direct_Denaturation&lt;&gt;"-"),COUNTIF(Direct_Denaturation,"-")+ROW()-3-$AB$2-$AN$2)-9,5)),"-")</f>
        <v>-</v>
      </c>
      <c r="AX229" s="378" t="str">
        <f t="array" aca="1" ref="AX229" ca="1">IFERROR(IF(AS229&lt;=$AB$2+$AN$2,"-",INDEX($A$3:$B$12,MATCH(INDEX(Calculation_Tab,SMALL(ROW(Direct_Denaturation)*(Direct_Denaturation&lt;&gt;"-"),COUNTIF(Direct_Denaturation,"-")+ROW()-3-$AB$2-$AN$2)-9,5),$A$3:$A$12,0),2)),"-")</f>
        <v>-</v>
      </c>
      <c r="AY229" s="378" t="str">
        <f t="array" aca="1" ref="AY229" ca="1">IFERROR(IF(AS229&lt;=$AB$2+$AN$2,"-",INDEX(Coordinate,MATCH(INDEX(Calculation_Tab,SMALL(ROW(Direct_Denaturation)*(Direct_Denaturation&lt;&gt;"-"),COUNTIF(Direct_Denaturation,"-")+ROW()-3-$AB$2-$AN$2)-9,6),$X$4:$X$99,0),2)),"-")</f>
        <v>-</v>
      </c>
      <c r="AZ229" s="510" t="str">
        <f t="array" aca="1" ref="AZ229" ca="1">IFERROR(IF(AS229&lt;=$AB$2+$AN$2,"-",INDEX(Calculation_Tab,SMALL(ROW(Direct_Denaturation)*(Direct_Denaturation&lt;&gt;"-"),COUNTIF(Direct_Denaturation,"-")+ROW()-3-$AB$2-$AN$2)-9,32)),"-")</f>
        <v>-</v>
      </c>
      <c r="BA229" s="510" t="str">
        <f t="array" aca="1" ref="BA229" ca="1">IFERROR(IF(AS229&lt;=$AB$2+$AN$2,"-",INDEX(Calculation_Tab,SMALL(ROW(Direct_Denaturation)*(Direct_Denaturation&lt;&gt;"-"),COUNTIF(Direct_Denaturation,"-")+ROW()-3-$AB$2-$AN$2)-9,34)),"-")</f>
        <v>-</v>
      </c>
      <c r="BB229" s="510" t="str">
        <f t="array" aca="1" ref="BB229" ca="1">IFERROR(IF(AS229&lt;=$AB$2+$AN$2,"-",INDEX(Calculation_Tab,SMALL(ROW(Direct_Denaturation)*(Direct_Denaturation&lt;&gt;"-"),COUNTIF(Direct_Denaturation,"-")+ROW()-3-$AB$2-$AN$2)-9,33)),"-")</f>
        <v>-</v>
      </c>
      <c r="BC229" s="510" t="str">
        <f t="array" aca="1" ref="BC229" ca="1">IFERROR(IF(AS229&lt;=$AB$2+$AN$2,"-",INDEX(Calculation_Tab,SMALL(ROW(Direct_Denaturation)*(Direct_Denaturation&lt;&gt;"-"),COUNTIF(Direct_Denaturation,"-")+ROW()-3-$AB$2-$AN$2)-9,35)),"-")</f>
        <v>-</v>
      </c>
      <c r="BD229" s="511" t="str">
        <f t="shared" ca="1" si="115"/>
        <v>-</v>
      </c>
      <c r="BK229" s="542" t="s">
        <v>82</v>
      </c>
      <c r="BL229" s="542" t="s">
        <v>82</v>
      </c>
      <c r="BM229" s="487" t="str">
        <f t="array" aca="1" ref="BM229" ca="1">IFERROR(INDEX(Calculation_Tab,SMALL(ROW(ToPool)*(ToPool&lt;&gt;"-"),COUNTIF(ToPool,"-")+ROW()-3)-9,3),"-")</f>
        <v>-</v>
      </c>
      <c r="BN229" s="378" t="str">
        <f t="shared" ca="1" si="116"/>
        <v>-</v>
      </c>
      <c r="BO229" s="378" t="str">
        <f t="shared" ca="1" si="117"/>
        <v>-</v>
      </c>
      <c r="BP229" s="523" t="str">
        <f t="shared" ca="1" si="118"/>
        <v>-</v>
      </c>
      <c r="BQ229" s="378" t="str">
        <f t="array" aca="1" ref="BQ229" ca="1">IFERROR(INDEX(BE:BG,MATCH(INDEX(Calculation_Tab,SMALL(ROW(ToPool)*(ToPool&lt;&gt;"-"),COUNTIF(ToPool,"-")+ROW()-3)-9,9),BG:BG,0),2),"-")</f>
        <v>-</v>
      </c>
      <c r="BR229" s="510" t="str">
        <f t="shared" ca="1" si="119"/>
        <v>-</v>
      </c>
      <c r="BS229" s="511" t="str">
        <f t="shared" ca="1" si="120"/>
        <v>-</v>
      </c>
      <c r="BT229" s="543" t="s">
        <v>82</v>
      </c>
      <c r="BU229" s="487" t="str">
        <f t="shared" ca="1" si="124"/>
        <v>-</v>
      </c>
      <c r="BV229" s="487" t="str">
        <f t="array" aca="1" ref="BV22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29" s="378" t="str">
        <f t="shared" ca="1" si="121"/>
        <v>-</v>
      </c>
      <c r="BX229" s="378" t="str">
        <f t="shared" ca="1" si="122"/>
        <v>-</v>
      </c>
      <c r="BY229" s="510" t="str">
        <f ca="1">IFERROR(ROUND(INDEX(Cluster,MATCH(IF(LEFT(BV229,4)="Pool",INDEX(Cluster,MATCH(INDEX(Calculation_Tab,MATCH(INDEX($BE$4:$BJ$99,MATCH(BV229,$BE$4:$BE$99,0),3),Flow_Cell_Lane,0),3),Cluster!$F$29:$F$412,0),6),BV229),Identifier_Cluster,0),19)*IF(LEFT(BV229,4)="pool",IF(LEN(INDEX($BE$4:$BJ$99,MATCH(BV229,$BE$4:$BE$99,0),3))=10,2,IF(LEN(INDEX($BE$4:$BJ$99,MATCH(BV229,$BE$4:$BE$99,0),3))&gt;10,LEN(INDEX($BE$4:$BJ$99,MATCH(BV229,$BE$4:$BE$99,0),3))-8,1)),1)*IF(LEFT(BV229,4)="pool",IF(INDEX($BE$4:$BJ$99,MATCH(BV229,$BE$4:$BE$99,0),6)&lt;1,1,INDEX($BE$4:$BJ$99,MATCH(BV229,$BE$4:$BE$99,0),6)),INDEX(Calculation_Tab,MATCH(BV229,Identifier,0),10)),1)*(1+Calculation!$Q$6),"-")</f>
        <v>-</v>
      </c>
      <c r="BZ229" s="378" t="str">
        <f ca="1">IFERROR((0.5/50)*CE229/Calculation!$AG$6*(IF(LEFT(BV229,4)="Pool",IF(LEN(INDEX($BE$4:$BJ$99,MATCH(BV229,$BE$4:$BE$99,0),3))=10,2,IF(LEN(INDEX($BE$4:$BJ$99,MATCH(BV229,$BE$4:$BE$99,0),3))&gt;10,LEN(INDEX($BE$4:$BJ$99,MATCH(BV229,$BE$4:$BE$99,0),3))-8,1)),IF(INDEX(Calculation_Tab,MATCH(BV229,Identifier,0),10)&gt;1,INDEX(Calculation_Tab,MATCH(BV229,Identifier,0),10),1)))*(1+Calculation!$Q$6),"-")</f>
        <v>-</v>
      </c>
      <c r="CA229" s="510" t="str">
        <f ca="1">IFERROR(IF((BZ229*Calculation!$AG$6/0.05)-SUM(BY229:BZ229,CC229)&gt;0,(BZ229*Calculation!$AG$6/0.05)-SUM(BY229:BZ229,CC229),0),"-")</f>
        <v>-</v>
      </c>
      <c r="CB229" s="510" t="str">
        <f ca="1">IFERROR(5/50*CE229*(IF(LEFT(BV229,4)="Pool",IF(LEN(INDEX($BE$4:$BJ$99,MATCH(BV229,$BE$4:$BE$99,0),3))=10,2,IF(LEN(INDEX($BE$4:$BJ$99,MATCH(BV229,$BE$4:$BE$99,0),3))&gt;10,LEN(INDEX($BE$4:$BJ$99,MATCH(BV229,$BE$4:$BE$99,0),3))-8,1)),IF(INDEX(Calculation_Tab,MATCH(BV229,Identifier,0),10)&gt;1,INDEX(Calculation_Tab,MATCH(BV229,Identifier,0),10),1)))*(1+Calculation!$Q$6),"-")</f>
        <v>-</v>
      </c>
      <c r="CC229" s="508" t="str">
        <f ca="1">IFERROR(ROUND(INDEX(Cluster,MATCH(IF(LEFT(BV229,4)="Pool",INDEX(Cluster,MATCH(INDEX(Calculation_Tab,MATCH(INDEX($BE$4:$BJ$99,MATCH(BV229,$BE$4:$BE$99,0),3),Flow_Cell_Lane,0),3),Cluster!$F$29:$F$412,0),6),BV229),Identifier_Cluster,0),20)*IF(LEFT(BV229,4)="pool",IF(LEN(INDEX($BE$4:$BJ$99,MATCH(BV229,$BE$4:$BE$99,0),3))=10,2,IF(LEN(INDEX($BE$4:$BJ$99,MATCH(BV229,$BE$4:$BE$99,0),3))&gt;10,LEN(INDEX($BE$4:$BJ$99,MATCH(BV229,$BE$4:$BE$99,0),3))-8,1)),1)*IF(LEFT(BV229,4)="pool",IF(INDEX($BE$4:$BJ$99,MATCH(BV229,$BE$4:$BE$99,0),6)&lt;1,1,INDEX($BE$4:$BJ$99,MATCH(BV229,$BE$4:$BE$99,0),6)),INDEX(Calculation_Tab,MATCH(BV229,Identifier,0),10)),1)*(1+Calculation!$Q$6),"-")</f>
        <v>-</v>
      </c>
      <c r="CD229" s="509" t="str">
        <f ca="1">IFERROR(INDEX(Cluster!AC:AD,MATCH(IF(LEFT(BV229,4)="Pool",INDEX(Cluster!$D$29:$AA$412,MATCH(INDEX(Calculation_Tab,MATCH(INDEX($BE$4:$BJ$99,MATCH(BV229,$BE$4:$BE$99,0),3),Flow_Cell_Lane,0),3),Cluster!$F$29:$F$412,0),24),INDEX(Cluster!$D$29:$AA$412,MATCH(BV229,Cluster!$F$29:$F$412,0),24)),Cluster!AC:AC,0),2),"-")</f>
        <v>-</v>
      </c>
      <c r="CE229" s="378" t="str">
        <f ca="1">IFERROR(IF(BV229&lt;&gt;"-",Calculation!$AK$6,"-"),"-")</f>
        <v>-</v>
      </c>
      <c r="CF229" s="378" t="str">
        <f ca="1">IF(OR(LEFT(ListAndConversion!BW229,3)="Dil",LEFT(ListAndConversion!BW229,3)="Poo"),ListAndConversion!$BT$4,IF(LEFT(ListAndConversion!BW229,3)="Sou",INDEX(ListAndConversion!$AT$3:$AV$387,MATCH(ListAndConversion!BV229,ListAndConversion!$AV$3:$AV$387,0),1),"-"))</f>
        <v>-</v>
      </c>
      <c r="CG229" s="498" t="str">
        <f ca="1">IF(OR(LEFT(ListAndConversion!BW229,3)="Dil",LEFT(ListAndConversion!BW229,3)="Poo"),ListAndConversion!BU229,IF(LEFT(ListAndConversion!BW229,3)="Sou",INDEX(ListAndConversion!$AT$4:$AV$387,MATCH(ListAndConversion!BV229,ListAndConversion!$AV$4:$AV$387,0),2),"-"))</f>
        <v>-</v>
      </c>
      <c r="CH229" s="378"/>
      <c r="CI229" s="487" t="str">
        <f t="shared" ca="1" si="123"/>
        <v>-</v>
      </c>
      <c r="CJ229" s="378" t="str">
        <f t="shared" ca="1" si="130"/>
        <v>-</v>
      </c>
      <c r="CK229" s="378" t="str">
        <f t="shared" ca="1" si="130"/>
        <v>-</v>
      </c>
      <c r="CL229" s="378" t="str">
        <f t="shared" ca="1" si="130"/>
        <v>-</v>
      </c>
      <c r="CM229" s="378" t="str">
        <f t="shared" ca="1" si="130"/>
        <v>-</v>
      </c>
      <c r="CN229" s="378" t="str">
        <f t="shared" ca="1" si="130"/>
        <v>-</v>
      </c>
      <c r="CO229" s="378" t="str">
        <f t="shared" ca="1" si="130"/>
        <v>-</v>
      </c>
      <c r="CP229" s="378" t="str">
        <f t="shared" ca="1" si="130"/>
        <v>-</v>
      </c>
      <c r="CQ229" s="378" t="str">
        <f t="shared" ca="1" si="130"/>
        <v>-</v>
      </c>
      <c r="CR229" s="510" t="str">
        <f ca="1">IFERROR(IF(LEFT(BW229,3)="Poo",INDEX($BE$4:$BJ$99,MATCH(CI229,$BG$4:$BG$99,0),6)*((15/50))*Calculation!$AK$6,INDEX(Calculation_Tab,MATCH(BV229,Identifier,0),10)/(IF(LEN(INDEX(Calculation_Tab,MATCH(BV229,Identifier,0),9))&gt;8,LEN(INDEX(Calculation_Tab,MATCH(BV229,Identifier,0),9))-8,1))*((15/50)*Calculation!$AK$6)),"-")</f>
        <v>-</v>
      </c>
      <c r="CS229" s="498" t="str">
        <f ca="1">IF(CI229="-","-",IF(COUNTIF($CI$3:CI229,CI229)&gt;1,0,IFERROR((35/50)*Calculation!$AK$6,"-")))</f>
        <v>-</v>
      </c>
    </row>
    <row r="230" spans="4:97" x14ac:dyDescent="0.5">
      <c r="D230" s="487" t="e">
        <f t="shared" si="109"/>
        <v>#DIV/0!</v>
      </c>
      <c r="E230" s="496" t="e">
        <f t="array" ref="E230">IF(IF((ROW(E230)-3)&lt;(ListAndConversion!$A$15),INDEX(Flow_Cell_Lane,MIN(IF(COUNTIF($E$2:E229,Flow_Cell_Lane)=0,ROW(Flow_Cell_Lane)-9))),"-")="","-",IF((ROW(E230)-3)&lt;(ListAndConversion!$A$15),INDEX(Flow_Cell_Lane,MIN(IF(COUNTIF($E$2:E229,Flow_Cell_Lane)=0,ROW(Flow_Cell_Lane)-9))),"-"))</f>
        <v>#DIV/0!</v>
      </c>
      <c r="F230" s="378" t="e">
        <f t="shared" si="110"/>
        <v>#DIV/0!</v>
      </c>
      <c r="G230" s="378" t="e">
        <f t="shared" si="129"/>
        <v>#DIV/0!</v>
      </c>
      <c r="H230" s="378" t="e">
        <f t="shared" si="129"/>
        <v>#DIV/0!</v>
      </c>
      <c r="I230" s="378" t="e">
        <f t="shared" si="129"/>
        <v>#DIV/0!</v>
      </c>
      <c r="J230" s="378" t="e">
        <f t="shared" si="129"/>
        <v>#DIV/0!</v>
      </c>
      <c r="K230" s="378" t="e">
        <f t="shared" si="129"/>
        <v>#DIV/0!</v>
      </c>
      <c r="L230" s="378" t="e">
        <f t="shared" si="129"/>
        <v>#DIV/0!</v>
      </c>
      <c r="M230" s="378" t="e">
        <f t="shared" si="129"/>
        <v>#DIV/0!</v>
      </c>
      <c r="N230" s="497" t="e">
        <f t="shared" si="111"/>
        <v>#DIV/0!</v>
      </c>
      <c r="O230" s="497" t="str">
        <f t="array" ref="O230">IFERROR(INDEX(Calculation!I:AN,MATCH(ListAndConversion!E230,Calculation!I:I,0),31),"-")</f>
        <v>-</v>
      </c>
      <c r="P230" s="498">
        <f>IF(COUNTIFS(Calculation!$I$10:$I$393,E230,Direct_Denaturation,"-")&lt;&gt;1,COUNTIFS(Calculation!$I$10:$I$393,E230,Direct_Denaturation,"-"),0)</f>
        <v>0</v>
      </c>
      <c r="V230" s="542" t="s">
        <v>82</v>
      </c>
      <c r="W230" s="542" t="s">
        <v>82</v>
      </c>
      <c r="X230" s="542" t="s">
        <v>82</v>
      </c>
      <c r="Y230" s="542" t="s">
        <v>82</v>
      </c>
      <c r="Z230" s="542" t="s">
        <v>82</v>
      </c>
      <c r="AA230" s="542" t="s">
        <v>82</v>
      </c>
      <c r="AB230" s="542" t="s">
        <v>82</v>
      </c>
      <c r="AC230" s="542" t="s">
        <v>82</v>
      </c>
      <c r="AD230" s="542" t="s">
        <v>82</v>
      </c>
      <c r="AE230" s="542" t="s">
        <v>82</v>
      </c>
      <c r="AF230" s="542" t="s">
        <v>82</v>
      </c>
      <c r="AG230" s="542" t="s">
        <v>82</v>
      </c>
      <c r="AH230" s="9"/>
      <c r="AI230" s="487">
        <v>227</v>
      </c>
      <c r="AJ230" s="497" t="s">
        <v>162</v>
      </c>
      <c r="AK230" s="378">
        <v>35</v>
      </c>
      <c r="AL230" s="378" t="str">
        <f t="shared" ca="1" si="112"/>
        <v>-</v>
      </c>
      <c r="AM230" s="378" t="str">
        <f t="array" aca="1" ref="AM230" ca="1">IFERROR(IF(AI230&lt;=$AB$2,"-",INDEX(Calculation_Tab,SMALL(ROW(Main_Dil)*(Main_Dil&lt;&gt;"-"),COUNTIF(Main_Dil,"-")+ROW()-3-$AB$2)-9,5)),"-")</f>
        <v>-</v>
      </c>
      <c r="AN230" s="378" t="str">
        <f t="array" aca="1" ref="AN230" ca="1">IFERROR(IF(AI230&lt;=$AB$2,"-",INDEX($A$3:$B$12,MATCH(INDEX(Calculation_Tab,SMALL(ROW(Main_Dil)*(Main_Dil&lt;&gt;"-"),COUNTIF(Main_Dil,"-")+ROW()-3-$AB$2)-9,5),$A$3:$A$12,0),2)),"-")</f>
        <v>-</v>
      </c>
      <c r="AO230" s="378" t="str">
        <f t="array" aca="1" ref="AO230" ca="1">IFERROR(IF(AI230&lt;=$AB$2,"-",INDEX(Coordinate,MATCH(INDEX(Calculation_Tab,SMALL(ROW(Main_Dil)*(Main_Dil&lt;&gt;"-"),COUNTIF(Main_Dil,"-")+ROW()-3-$AB$2)-9,6),$X$4:$X$99,0),2)),"-")</f>
        <v>-</v>
      </c>
      <c r="AP230" s="510" t="str">
        <f t="array" aca="1" ref="AP230" ca="1">IFERROR(IF(AI230&lt;=$AB$2,"-",INDEX(Calculation_Tab,SMALL(ROW(Main_Dil)*(Main_Dil&lt;&gt;"-"),COUNTIF(Main_Dil,"-")+ROW()-3-$AB$2)-9,21)),"-")</f>
        <v>-</v>
      </c>
      <c r="AQ230" s="511" t="str">
        <f t="array" aca="1" ref="AQ230" ca="1">IFERROR(IF(AI230&lt;=$AB$2,"-",INDEX(Calculation_Tab,SMALL(ROW(Main_Dil)*(Main_Dil&lt;&gt;"-"),COUNTIF(Main_Dil,"-")+ROW()-3-$AB$2)-9,22)),"-")</f>
        <v>-</v>
      </c>
      <c r="AR230" s="487" t="str">
        <f t="shared" ca="1" si="113"/>
        <v>-</v>
      </c>
      <c r="AS230" s="378">
        <v>227</v>
      </c>
      <c r="AT230" s="497" t="s">
        <v>162</v>
      </c>
      <c r="AU230" s="498">
        <v>35</v>
      </c>
      <c r="AV230" s="378" t="str">
        <f t="shared" ca="1" si="114"/>
        <v>-</v>
      </c>
      <c r="AW230" s="378" t="str">
        <f t="array" aca="1" ref="AW230" ca="1">IFERROR(IF(AS230&lt;=$AB$2+$AN$2,"-",INDEX(Calculation_Tab,SMALL(ROW(Direct_Denaturation)*(Direct_Denaturation&lt;&gt;"-"),COUNTIF(Direct_Denaturation,"-")+ROW()-3-$AB$2-$AN$2)-9,5)),"-")</f>
        <v>-</v>
      </c>
      <c r="AX230" s="378" t="str">
        <f t="array" aca="1" ref="AX230" ca="1">IFERROR(IF(AS230&lt;=$AB$2+$AN$2,"-",INDEX($A$3:$B$12,MATCH(INDEX(Calculation_Tab,SMALL(ROW(Direct_Denaturation)*(Direct_Denaturation&lt;&gt;"-"),COUNTIF(Direct_Denaturation,"-")+ROW()-3-$AB$2-$AN$2)-9,5),$A$3:$A$12,0),2)),"-")</f>
        <v>-</v>
      </c>
      <c r="AY230" s="378" t="str">
        <f t="array" aca="1" ref="AY230" ca="1">IFERROR(IF(AS230&lt;=$AB$2+$AN$2,"-",INDEX(Coordinate,MATCH(INDEX(Calculation_Tab,SMALL(ROW(Direct_Denaturation)*(Direct_Denaturation&lt;&gt;"-"),COUNTIF(Direct_Denaturation,"-")+ROW()-3-$AB$2-$AN$2)-9,6),$X$4:$X$99,0),2)),"-")</f>
        <v>-</v>
      </c>
      <c r="AZ230" s="510" t="str">
        <f t="array" aca="1" ref="AZ230" ca="1">IFERROR(IF(AS230&lt;=$AB$2+$AN$2,"-",INDEX(Calculation_Tab,SMALL(ROW(Direct_Denaturation)*(Direct_Denaturation&lt;&gt;"-"),COUNTIF(Direct_Denaturation,"-")+ROW()-3-$AB$2-$AN$2)-9,32)),"-")</f>
        <v>-</v>
      </c>
      <c r="BA230" s="510" t="str">
        <f t="array" aca="1" ref="BA230" ca="1">IFERROR(IF(AS230&lt;=$AB$2+$AN$2,"-",INDEX(Calculation_Tab,SMALL(ROW(Direct_Denaturation)*(Direct_Denaturation&lt;&gt;"-"),COUNTIF(Direct_Denaturation,"-")+ROW()-3-$AB$2-$AN$2)-9,34)),"-")</f>
        <v>-</v>
      </c>
      <c r="BB230" s="510" t="str">
        <f t="array" aca="1" ref="BB230" ca="1">IFERROR(IF(AS230&lt;=$AB$2+$AN$2,"-",INDEX(Calculation_Tab,SMALL(ROW(Direct_Denaturation)*(Direct_Denaturation&lt;&gt;"-"),COUNTIF(Direct_Denaturation,"-")+ROW()-3-$AB$2-$AN$2)-9,33)),"-")</f>
        <v>-</v>
      </c>
      <c r="BC230" s="510" t="str">
        <f t="array" aca="1" ref="BC230" ca="1">IFERROR(IF(AS230&lt;=$AB$2+$AN$2,"-",INDEX(Calculation_Tab,SMALL(ROW(Direct_Denaturation)*(Direct_Denaturation&lt;&gt;"-"),COUNTIF(Direct_Denaturation,"-")+ROW()-3-$AB$2-$AN$2)-9,35)),"-")</f>
        <v>-</v>
      </c>
      <c r="BD230" s="511" t="str">
        <f t="shared" ca="1" si="115"/>
        <v>-</v>
      </c>
      <c r="BK230" s="542" t="s">
        <v>82</v>
      </c>
      <c r="BL230" s="542" t="s">
        <v>82</v>
      </c>
      <c r="BM230" s="487" t="str">
        <f t="array" aca="1" ref="BM230" ca="1">IFERROR(INDEX(Calculation_Tab,SMALL(ROW(ToPool)*(ToPool&lt;&gt;"-"),COUNTIF(ToPool,"-")+ROW()-3)-9,3),"-")</f>
        <v>-</v>
      </c>
      <c r="BN230" s="378" t="str">
        <f t="shared" ca="1" si="116"/>
        <v>-</v>
      </c>
      <c r="BO230" s="378" t="str">
        <f t="shared" ca="1" si="117"/>
        <v>-</v>
      </c>
      <c r="BP230" s="523" t="str">
        <f t="shared" ca="1" si="118"/>
        <v>-</v>
      </c>
      <c r="BQ230" s="378" t="str">
        <f t="array" aca="1" ref="BQ230" ca="1">IFERROR(INDEX(BE:BG,MATCH(INDEX(Calculation_Tab,SMALL(ROW(ToPool)*(ToPool&lt;&gt;"-"),COUNTIF(ToPool,"-")+ROW()-3)-9,9),BG:BG,0),2),"-")</f>
        <v>-</v>
      </c>
      <c r="BR230" s="510" t="str">
        <f t="shared" ca="1" si="119"/>
        <v>-</v>
      </c>
      <c r="BS230" s="511" t="str">
        <f t="shared" ca="1" si="120"/>
        <v>-</v>
      </c>
      <c r="BT230" s="543" t="s">
        <v>82</v>
      </c>
      <c r="BU230" s="487" t="str">
        <f t="shared" ca="1" si="124"/>
        <v>-</v>
      </c>
      <c r="BV230" s="487" t="str">
        <f t="array" aca="1" ref="BV23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30" s="378" t="str">
        <f t="shared" ca="1" si="121"/>
        <v>-</v>
      </c>
      <c r="BX230" s="378" t="str">
        <f t="shared" ca="1" si="122"/>
        <v>-</v>
      </c>
      <c r="BY230" s="510" t="str">
        <f ca="1">IFERROR(ROUND(INDEX(Cluster,MATCH(IF(LEFT(BV230,4)="Pool",INDEX(Cluster,MATCH(INDEX(Calculation_Tab,MATCH(INDEX($BE$4:$BJ$99,MATCH(BV230,$BE$4:$BE$99,0),3),Flow_Cell_Lane,0),3),Cluster!$F$29:$F$412,0),6),BV230),Identifier_Cluster,0),19)*IF(LEFT(BV230,4)="pool",IF(LEN(INDEX($BE$4:$BJ$99,MATCH(BV230,$BE$4:$BE$99,0),3))=10,2,IF(LEN(INDEX($BE$4:$BJ$99,MATCH(BV230,$BE$4:$BE$99,0),3))&gt;10,LEN(INDEX($BE$4:$BJ$99,MATCH(BV230,$BE$4:$BE$99,0),3))-8,1)),1)*IF(LEFT(BV230,4)="pool",IF(INDEX($BE$4:$BJ$99,MATCH(BV230,$BE$4:$BE$99,0),6)&lt;1,1,INDEX($BE$4:$BJ$99,MATCH(BV230,$BE$4:$BE$99,0),6)),INDEX(Calculation_Tab,MATCH(BV230,Identifier,0),10)),1)*(1+Calculation!$Q$6),"-")</f>
        <v>-</v>
      </c>
      <c r="BZ230" s="378" t="str">
        <f ca="1">IFERROR((0.5/50)*CE230/Calculation!$AG$6*(IF(LEFT(BV230,4)="Pool",IF(LEN(INDEX($BE$4:$BJ$99,MATCH(BV230,$BE$4:$BE$99,0),3))=10,2,IF(LEN(INDEX($BE$4:$BJ$99,MATCH(BV230,$BE$4:$BE$99,0),3))&gt;10,LEN(INDEX($BE$4:$BJ$99,MATCH(BV230,$BE$4:$BE$99,0),3))-8,1)),IF(INDEX(Calculation_Tab,MATCH(BV230,Identifier,0),10)&gt;1,INDEX(Calculation_Tab,MATCH(BV230,Identifier,0),10),1)))*(1+Calculation!$Q$6),"-")</f>
        <v>-</v>
      </c>
      <c r="CA230" s="510" t="str">
        <f ca="1">IFERROR(IF((BZ230*Calculation!$AG$6/0.05)-SUM(BY230:BZ230,CC230)&gt;0,(BZ230*Calculation!$AG$6/0.05)-SUM(BY230:BZ230,CC230),0),"-")</f>
        <v>-</v>
      </c>
      <c r="CB230" s="510" t="str">
        <f ca="1">IFERROR(5/50*CE230*(IF(LEFT(BV230,4)="Pool",IF(LEN(INDEX($BE$4:$BJ$99,MATCH(BV230,$BE$4:$BE$99,0),3))=10,2,IF(LEN(INDEX($BE$4:$BJ$99,MATCH(BV230,$BE$4:$BE$99,0),3))&gt;10,LEN(INDEX($BE$4:$BJ$99,MATCH(BV230,$BE$4:$BE$99,0),3))-8,1)),IF(INDEX(Calculation_Tab,MATCH(BV230,Identifier,0),10)&gt;1,INDEX(Calculation_Tab,MATCH(BV230,Identifier,0),10),1)))*(1+Calculation!$Q$6),"-")</f>
        <v>-</v>
      </c>
      <c r="CC230" s="508" t="str">
        <f ca="1">IFERROR(ROUND(INDEX(Cluster,MATCH(IF(LEFT(BV230,4)="Pool",INDEX(Cluster,MATCH(INDEX(Calculation_Tab,MATCH(INDEX($BE$4:$BJ$99,MATCH(BV230,$BE$4:$BE$99,0),3),Flow_Cell_Lane,0),3),Cluster!$F$29:$F$412,0),6),BV230),Identifier_Cluster,0),20)*IF(LEFT(BV230,4)="pool",IF(LEN(INDEX($BE$4:$BJ$99,MATCH(BV230,$BE$4:$BE$99,0),3))=10,2,IF(LEN(INDEX($BE$4:$BJ$99,MATCH(BV230,$BE$4:$BE$99,0),3))&gt;10,LEN(INDEX($BE$4:$BJ$99,MATCH(BV230,$BE$4:$BE$99,0),3))-8,1)),1)*IF(LEFT(BV230,4)="pool",IF(INDEX($BE$4:$BJ$99,MATCH(BV230,$BE$4:$BE$99,0),6)&lt;1,1,INDEX($BE$4:$BJ$99,MATCH(BV230,$BE$4:$BE$99,0),6)),INDEX(Calculation_Tab,MATCH(BV230,Identifier,0),10)),1)*(1+Calculation!$Q$6),"-")</f>
        <v>-</v>
      </c>
      <c r="CD230" s="509" t="str">
        <f ca="1">IFERROR(INDEX(Cluster!AC:AD,MATCH(IF(LEFT(BV230,4)="Pool",INDEX(Cluster!$D$29:$AA$412,MATCH(INDEX(Calculation_Tab,MATCH(INDEX($BE$4:$BJ$99,MATCH(BV230,$BE$4:$BE$99,0),3),Flow_Cell_Lane,0),3),Cluster!$F$29:$F$412,0),24),INDEX(Cluster!$D$29:$AA$412,MATCH(BV230,Cluster!$F$29:$F$412,0),24)),Cluster!AC:AC,0),2),"-")</f>
        <v>-</v>
      </c>
      <c r="CE230" s="378" t="str">
        <f ca="1">IFERROR(IF(BV230&lt;&gt;"-",Calculation!$AK$6,"-"),"-")</f>
        <v>-</v>
      </c>
      <c r="CF230" s="378" t="str">
        <f ca="1">IF(OR(LEFT(ListAndConversion!BW230,3)="Dil",LEFT(ListAndConversion!BW230,3)="Poo"),ListAndConversion!$BT$4,IF(LEFT(ListAndConversion!BW230,3)="Sou",INDEX(ListAndConversion!$AT$3:$AV$387,MATCH(ListAndConversion!BV230,ListAndConversion!$AV$3:$AV$387,0),1),"-"))</f>
        <v>-</v>
      </c>
      <c r="CG230" s="498" t="str">
        <f ca="1">IF(OR(LEFT(ListAndConversion!BW230,3)="Dil",LEFT(ListAndConversion!BW230,3)="Poo"),ListAndConversion!BU230,IF(LEFT(ListAndConversion!BW230,3)="Sou",INDEX(ListAndConversion!$AT$4:$AV$387,MATCH(ListAndConversion!BV230,ListAndConversion!$AV$4:$AV$387,0),2),"-"))</f>
        <v>-</v>
      </c>
      <c r="CH230" s="378"/>
      <c r="CI230" s="487" t="str">
        <f t="shared" ca="1" si="123"/>
        <v>-</v>
      </c>
      <c r="CJ230" s="378" t="str">
        <f t="shared" ca="1" si="130"/>
        <v>-</v>
      </c>
      <c r="CK230" s="378" t="str">
        <f t="shared" ca="1" si="130"/>
        <v>-</v>
      </c>
      <c r="CL230" s="378" t="str">
        <f t="shared" ca="1" si="130"/>
        <v>-</v>
      </c>
      <c r="CM230" s="378" t="str">
        <f t="shared" ca="1" si="130"/>
        <v>-</v>
      </c>
      <c r="CN230" s="378" t="str">
        <f t="shared" ca="1" si="130"/>
        <v>-</v>
      </c>
      <c r="CO230" s="378" t="str">
        <f t="shared" ca="1" si="130"/>
        <v>-</v>
      </c>
      <c r="CP230" s="378" t="str">
        <f t="shared" ca="1" si="130"/>
        <v>-</v>
      </c>
      <c r="CQ230" s="378" t="str">
        <f t="shared" ca="1" si="130"/>
        <v>-</v>
      </c>
      <c r="CR230" s="510" t="str">
        <f ca="1">IFERROR(IF(LEFT(BW230,3)="Poo",INDEX($BE$4:$BJ$99,MATCH(CI230,$BG$4:$BG$99,0),6)*((15/50))*Calculation!$AK$6,INDEX(Calculation_Tab,MATCH(BV230,Identifier,0),10)/(IF(LEN(INDEX(Calculation_Tab,MATCH(BV230,Identifier,0),9))&gt;8,LEN(INDEX(Calculation_Tab,MATCH(BV230,Identifier,0),9))-8,1))*((15/50)*Calculation!$AK$6)),"-")</f>
        <v>-</v>
      </c>
      <c r="CS230" s="498" t="str">
        <f ca="1">IF(CI230="-","-",IF(COUNTIF($CI$3:CI230,CI230)&gt;1,0,IFERROR((35/50)*Calculation!$AK$6,"-")))</f>
        <v>-</v>
      </c>
    </row>
    <row r="231" spans="4:97" x14ac:dyDescent="0.5">
      <c r="D231" s="487" t="e">
        <f t="shared" si="109"/>
        <v>#DIV/0!</v>
      </c>
      <c r="E231" s="496" t="e">
        <f t="array" ref="E231">IF(IF((ROW(E231)-3)&lt;(ListAndConversion!$A$15),INDEX(Flow_Cell_Lane,MIN(IF(COUNTIF($E$2:E230,Flow_Cell_Lane)=0,ROW(Flow_Cell_Lane)-9))),"-")="","-",IF((ROW(E231)-3)&lt;(ListAndConversion!$A$15),INDEX(Flow_Cell_Lane,MIN(IF(COUNTIF($E$2:E230,Flow_Cell_Lane)=0,ROW(Flow_Cell_Lane)-9))),"-"))</f>
        <v>#DIV/0!</v>
      </c>
      <c r="F231" s="378" t="e">
        <f t="shared" si="110"/>
        <v>#DIV/0!</v>
      </c>
      <c r="G231" s="378" t="e">
        <f t="shared" si="129"/>
        <v>#DIV/0!</v>
      </c>
      <c r="H231" s="378" t="e">
        <f t="shared" si="129"/>
        <v>#DIV/0!</v>
      </c>
      <c r="I231" s="378" t="e">
        <f t="shared" si="129"/>
        <v>#DIV/0!</v>
      </c>
      <c r="J231" s="378" t="e">
        <f t="shared" si="129"/>
        <v>#DIV/0!</v>
      </c>
      <c r="K231" s="378" t="e">
        <f t="shared" si="129"/>
        <v>#DIV/0!</v>
      </c>
      <c r="L231" s="378" t="e">
        <f t="shared" si="129"/>
        <v>#DIV/0!</v>
      </c>
      <c r="M231" s="378" t="e">
        <f t="shared" si="129"/>
        <v>#DIV/0!</v>
      </c>
      <c r="N231" s="497" t="e">
        <f t="shared" si="111"/>
        <v>#DIV/0!</v>
      </c>
      <c r="O231" s="497" t="str">
        <f t="array" ref="O231">IFERROR(INDEX(Calculation!I:AN,MATCH(ListAndConversion!E231,Calculation!I:I,0),31),"-")</f>
        <v>-</v>
      </c>
      <c r="P231" s="498">
        <f>IF(COUNTIFS(Calculation!$I$10:$I$393,E231,Direct_Denaturation,"-")&lt;&gt;1,COUNTIFS(Calculation!$I$10:$I$393,E231,Direct_Denaturation,"-"),0)</f>
        <v>0</v>
      </c>
      <c r="V231" s="542" t="s">
        <v>82</v>
      </c>
      <c r="W231" s="542" t="s">
        <v>82</v>
      </c>
      <c r="X231" s="542" t="s">
        <v>82</v>
      </c>
      <c r="Y231" s="542" t="s">
        <v>82</v>
      </c>
      <c r="Z231" s="542" t="s">
        <v>82</v>
      </c>
      <c r="AA231" s="542" t="s">
        <v>82</v>
      </c>
      <c r="AB231" s="542" t="s">
        <v>82</v>
      </c>
      <c r="AC231" s="542" t="s">
        <v>82</v>
      </c>
      <c r="AD231" s="542" t="s">
        <v>82</v>
      </c>
      <c r="AE231" s="542" t="s">
        <v>82</v>
      </c>
      <c r="AF231" s="542" t="s">
        <v>82</v>
      </c>
      <c r="AG231" s="542" t="s">
        <v>82</v>
      </c>
      <c r="AH231" s="9"/>
      <c r="AI231" s="487">
        <v>228</v>
      </c>
      <c r="AJ231" s="497" t="s">
        <v>162</v>
      </c>
      <c r="AK231" s="378">
        <v>36</v>
      </c>
      <c r="AL231" s="378" t="str">
        <f t="shared" ca="1" si="112"/>
        <v>-</v>
      </c>
      <c r="AM231" s="378" t="str">
        <f t="array" aca="1" ref="AM231" ca="1">IFERROR(IF(AI231&lt;=$AB$2,"-",INDEX(Calculation_Tab,SMALL(ROW(Main_Dil)*(Main_Dil&lt;&gt;"-"),COUNTIF(Main_Dil,"-")+ROW()-3-$AB$2)-9,5)),"-")</f>
        <v>-</v>
      </c>
      <c r="AN231" s="378" t="str">
        <f t="array" aca="1" ref="AN231" ca="1">IFERROR(IF(AI231&lt;=$AB$2,"-",INDEX($A$3:$B$12,MATCH(INDEX(Calculation_Tab,SMALL(ROW(Main_Dil)*(Main_Dil&lt;&gt;"-"),COUNTIF(Main_Dil,"-")+ROW()-3-$AB$2)-9,5),$A$3:$A$12,0),2)),"-")</f>
        <v>-</v>
      </c>
      <c r="AO231" s="378" t="str">
        <f t="array" aca="1" ref="AO231" ca="1">IFERROR(IF(AI231&lt;=$AB$2,"-",INDEX(Coordinate,MATCH(INDEX(Calculation_Tab,SMALL(ROW(Main_Dil)*(Main_Dil&lt;&gt;"-"),COUNTIF(Main_Dil,"-")+ROW()-3-$AB$2)-9,6),$X$4:$X$99,0),2)),"-")</f>
        <v>-</v>
      </c>
      <c r="AP231" s="510" t="str">
        <f t="array" aca="1" ref="AP231" ca="1">IFERROR(IF(AI231&lt;=$AB$2,"-",INDEX(Calculation_Tab,SMALL(ROW(Main_Dil)*(Main_Dil&lt;&gt;"-"),COUNTIF(Main_Dil,"-")+ROW()-3-$AB$2)-9,21)),"-")</f>
        <v>-</v>
      </c>
      <c r="AQ231" s="511" t="str">
        <f t="array" aca="1" ref="AQ231" ca="1">IFERROR(IF(AI231&lt;=$AB$2,"-",INDEX(Calculation_Tab,SMALL(ROW(Main_Dil)*(Main_Dil&lt;&gt;"-"),COUNTIF(Main_Dil,"-")+ROW()-3-$AB$2)-9,22)),"-")</f>
        <v>-</v>
      </c>
      <c r="AR231" s="487" t="str">
        <f t="shared" ca="1" si="113"/>
        <v>-</v>
      </c>
      <c r="AS231" s="378">
        <v>228</v>
      </c>
      <c r="AT231" s="497" t="s">
        <v>162</v>
      </c>
      <c r="AU231" s="498">
        <v>36</v>
      </c>
      <c r="AV231" s="378" t="str">
        <f t="shared" ca="1" si="114"/>
        <v>-</v>
      </c>
      <c r="AW231" s="378" t="str">
        <f t="array" aca="1" ref="AW231" ca="1">IFERROR(IF(AS231&lt;=$AB$2+$AN$2,"-",INDEX(Calculation_Tab,SMALL(ROW(Direct_Denaturation)*(Direct_Denaturation&lt;&gt;"-"),COUNTIF(Direct_Denaturation,"-")+ROW()-3-$AB$2-$AN$2)-9,5)),"-")</f>
        <v>-</v>
      </c>
      <c r="AX231" s="378" t="str">
        <f t="array" aca="1" ref="AX231" ca="1">IFERROR(IF(AS231&lt;=$AB$2+$AN$2,"-",INDEX($A$3:$B$12,MATCH(INDEX(Calculation_Tab,SMALL(ROW(Direct_Denaturation)*(Direct_Denaturation&lt;&gt;"-"),COUNTIF(Direct_Denaturation,"-")+ROW()-3-$AB$2-$AN$2)-9,5),$A$3:$A$12,0),2)),"-")</f>
        <v>-</v>
      </c>
      <c r="AY231" s="378" t="str">
        <f t="array" aca="1" ref="AY231" ca="1">IFERROR(IF(AS231&lt;=$AB$2+$AN$2,"-",INDEX(Coordinate,MATCH(INDEX(Calculation_Tab,SMALL(ROW(Direct_Denaturation)*(Direct_Denaturation&lt;&gt;"-"),COUNTIF(Direct_Denaturation,"-")+ROW()-3-$AB$2-$AN$2)-9,6),$X$4:$X$99,0),2)),"-")</f>
        <v>-</v>
      </c>
      <c r="AZ231" s="510" t="str">
        <f t="array" aca="1" ref="AZ231" ca="1">IFERROR(IF(AS231&lt;=$AB$2+$AN$2,"-",INDEX(Calculation_Tab,SMALL(ROW(Direct_Denaturation)*(Direct_Denaturation&lt;&gt;"-"),COUNTIF(Direct_Denaturation,"-")+ROW()-3-$AB$2-$AN$2)-9,32)),"-")</f>
        <v>-</v>
      </c>
      <c r="BA231" s="510" t="str">
        <f t="array" aca="1" ref="BA231" ca="1">IFERROR(IF(AS231&lt;=$AB$2+$AN$2,"-",INDEX(Calculation_Tab,SMALL(ROW(Direct_Denaturation)*(Direct_Denaturation&lt;&gt;"-"),COUNTIF(Direct_Denaturation,"-")+ROW()-3-$AB$2-$AN$2)-9,34)),"-")</f>
        <v>-</v>
      </c>
      <c r="BB231" s="510" t="str">
        <f t="array" aca="1" ref="BB231" ca="1">IFERROR(IF(AS231&lt;=$AB$2+$AN$2,"-",INDEX(Calculation_Tab,SMALL(ROW(Direct_Denaturation)*(Direct_Denaturation&lt;&gt;"-"),COUNTIF(Direct_Denaturation,"-")+ROW()-3-$AB$2-$AN$2)-9,33)),"-")</f>
        <v>-</v>
      </c>
      <c r="BC231" s="510" t="str">
        <f t="array" aca="1" ref="BC231" ca="1">IFERROR(IF(AS231&lt;=$AB$2+$AN$2,"-",INDEX(Calculation_Tab,SMALL(ROW(Direct_Denaturation)*(Direct_Denaturation&lt;&gt;"-"),COUNTIF(Direct_Denaturation,"-")+ROW()-3-$AB$2-$AN$2)-9,35)),"-")</f>
        <v>-</v>
      </c>
      <c r="BD231" s="511" t="str">
        <f t="shared" ca="1" si="115"/>
        <v>-</v>
      </c>
      <c r="BK231" s="542" t="s">
        <v>82</v>
      </c>
      <c r="BL231" s="542" t="s">
        <v>82</v>
      </c>
      <c r="BM231" s="487" t="str">
        <f t="array" aca="1" ref="BM231" ca="1">IFERROR(INDEX(Calculation_Tab,SMALL(ROW(ToPool)*(ToPool&lt;&gt;"-"),COUNTIF(ToPool,"-")+ROW()-3)-9,3),"-")</f>
        <v>-</v>
      </c>
      <c r="BN231" s="378" t="str">
        <f t="shared" ca="1" si="116"/>
        <v>-</v>
      </c>
      <c r="BO231" s="378" t="str">
        <f t="shared" ca="1" si="117"/>
        <v>-</v>
      </c>
      <c r="BP231" s="523" t="str">
        <f t="shared" ca="1" si="118"/>
        <v>-</v>
      </c>
      <c r="BQ231" s="378" t="str">
        <f t="array" aca="1" ref="BQ231" ca="1">IFERROR(INDEX(BE:BG,MATCH(INDEX(Calculation_Tab,SMALL(ROW(ToPool)*(ToPool&lt;&gt;"-"),COUNTIF(ToPool,"-")+ROW()-3)-9,9),BG:BG,0),2),"-")</f>
        <v>-</v>
      </c>
      <c r="BR231" s="510" t="str">
        <f t="shared" ca="1" si="119"/>
        <v>-</v>
      </c>
      <c r="BS231" s="511" t="str">
        <f t="shared" ca="1" si="120"/>
        <v>-</v>
      </c>
      <c r="BT231" s="543" t="s">
        <v>82</v>
      </c>
      <c r="BU231" s="487" t="str">
        <f t="shared" ca="1" si="124"/>
        <v>-</v>
      </c>
      <c r="BV231" s="487" t="str">
        <f t="array" aca="1" ref="BV23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31" s="378" t="str">
        <f t="shared" ca="1" si="121"/>
        <v>-</v>
      </c>
      <c r="BX231" s="378" t="str">
        <f t="shared" ca="1" si="122"/>
        <v>-</v>
      </c>
      <c r="BY231" s="510" t="str">
        <f ca="1">IFERROR(ROUND(INDEX(Cluster,MATCH(IF(LEFT(BV231,4)="Pool",INDEX(Cluster,MATCH(INDEX(Calculation_Tab,MATCH(INDEX($BE$4:$BJ$99,MATCH(BV231,$BE$4:$BE$99,0),3),Flow_Cell_Lane,0),3),Cluster!$F$29:$F$412,0),6),BV231),Identifier_Cluster,0),19)*IF(LEFT(BV231,4)="pool",IF(LEN(INDEX($BE$4:$BJ$99,MATCH(BV231,$BE$4:$BE$99,0),3))=10,2,IF(LEN(INDEX($BE$4:$BJ$99,MATCH(BV231,$BE$4:$BE$99,0),3))&gt;10,LEN(INDEX($BE$4:$BJ$99,MATCH(BV231,$BE$4:$BE$99,0),3))-8,1)),1)*IF(LEFT(BV231,4)="pool",IF(INDEX($BE$4:$BJ$99,MATCH(BV231,$BE$4:$BE$99,0),6)&lt;1,1,INDEX($BE$4:$BJ$99,MATCH(BV231,$BE$4:$BE$99,0),6)),INDEX(Calculation_Tab,MATCH(BV231,Identifier,0),10)),1)*(1+Calculation!$Q$6),"-")</f>
        <v>-</v>
      </c>
      <c r="BZ231" s="378" t="str">
        <f ca="1">IFERROR((0.5/50)*CE231/Calculation!$AG$6*(IF(LEFT(BV231,4)="Pool",IF(LEN(INDEX($BE$4:$BJ$99,MATCH(BV231,$BE$4:$BE$99,0),3))=10,2,IF(LEN(INDEX($BE$4:$BJ$99,MATCH(BV231,$BE$4:$BE$99,0),3))&gt;10,LEN(INDEX($BE$4:$BJ$99,MATCH(BV231,$BE$4:$BE$99,0),3))-8,1)),IF(INDEX(Calculation_Tab,MATCH(BV231,Identifier,0),10)&gt;1,INDEX(Calculation_Tab,MATCH(BV231,Identifier,0),10),1)))*(1+Calculation!$Q$6),"-")</f>
        <v>-</v>
      </c>
      <c r="CA231" s="510" t="str">
        <f ca="1">IFERROR(IF((BZ231*Calculation!$AG$6/0.05)-SUM(BY231:BZ231,CC231)&gt;0,(BZ231*Calculation!$AG$6/0.05)-SUM(BY231:BZ231,CC231),0),"-")</f>
        <v>-</v>
      </c>
      <c r="CB231" s="510" t="str">
        <f ca="1">IFERROR(5/50*CE231*(IF(LEFT(BV231,4)="Pool",IF(LEN(INDEX($BE$4:$BJ$99,MATCH(BV231,$BE$4:$BE$99,0),3))=10,2,IF(LEN(INDEX($BE$4:$BJ$99,MATCH(BV231,$BE$4:$BE$99,0),3))&gt;10,LEN(INDEX($BE$4:$BJ$99,MATCH(BV231,$BE$4:$BE$99,0),3))-8,1)),IF(INDEX(Calculation_Tab,MATCH(BV231,Identifier,0),10)&gt;1,INDEX(Calculation_Tab,MATCH(BV231,Identifier,0),10),1)))*(1+Calculation!$Q$6),"-")</f>
        <v>-</v>
      </c>
      <c r="CC231" s="508" t="str">
        <f ca="1">IFERROR(ROUND(INDEX(Cluster,MATCH(IF(LEFT(BV231,4)="Pool",INDEX(Cluster,MATCH(INDEX(Calculation_Tab,MATCH(INDEX($BE$4:$BJ$99,MATCH(BV231,$BE$4:$BE$99,0),3),Flow_Cell_Lane,0),3),Cluster!$F$29:$F$412,0),6),BV231),Identifier_Cluster,0),20)*IF(LEFT(BV231,4)="pool",IF(LEN(INDEX($BE$4:$BJ$99,MATCH(BV231,$BE$4:$BE$99,0),3))=10,2,IF(LEN(INDEX($BE$4:$BJ$99,MATCH(BV231,$BE$4:$BE$99,0),3))&gt;10,LEN(INDEX($BE$4:$BJ$99,MATCH(BV231,$BE$4:$BE$99,0),3))-8,1)),1)*IF(LEFT(BV231,4)="pool",IF(INDEX($BE$4:$BJ$99,MATCH(BV231,$BE$4:$BE$99,0),6)&lt;1,1,INDEX($BE$4:$BJ$99,MATCH(BV231,$BE$4:$BE$99,0),6)),INDEX(Calculation_Tab,MATCH(BV231,Identifier,0),10)),1)*(1+Calculation!$Q$6),"-")</f>
        <v>-</v>
      </c>
      <c r="CD231" s="509" t="str">
        <f ca="1">IFERROR(INDEX(Cluster!AC:AD,MATCH(IF(LEFT(BV231,4)="Pool",INDEX(Cluster!$D$29:$AA$412,MATCH(INDEX(Calculation_Tab,MATCH(INDEX($BE$4:$BJ$99,MATCH(BV231,$BE$4:$BE$99,0),3),Flow_Cell_Lane,0),3),Cluster!$F$29:$F$412,0),24),INDEX(Cluster!$D$29:$AA$412,MATCH(BV231,Cluster!$F$29:$F$412,0),24)),Cluster!AC:AC,0),2),"-")</f>
        <v>-</v>
      </c>
      <c r="CE231" s="378" t="str">
        <f ca="1">IFERROR(IF(BV231&lt;&gt;"-",Calculation!$AK$6,"-"),"-")</f>
        <v>-</v>
      </c>
      <c r="CF231" s="378" t="str">
        <f ca="1">IF(OR(LEFT(ListAndConversion!BW231,3)="Dil",LEFT(ListAndConversion!BW231,3)="Poo"),ListAndConversion!$BT$4,IF(LEFT(ListAndConversion!BW231,3)="Sou",INDEX(ListAndConversion!$AT$3:$AV$387,MATCH(ListAndConversion!BV231,ListAndConversion!$AV$3:$AV$387,0),1),"-"))</f>
        <v>-</v>
      </c>
      <c r="CG231" s="498" t="str">
        <f ca="1">IF(OR(LEFT(ListAndConversion!BW231,3)="Dil",LEFT(ListAndConversion!BW231,3)="Poo"),ListAndConversion!BU231,IF(LEFT(ListAndConversion!BW231,3)="Sou",INDEX(ListAndConversion!$AT$4:$AV$387,MATCH(ListAndConversion!BV231,ListAndConversion!$AV$4:$AV$387,0),2),"-"))</f>
        <v>-</v>
      </c>
      <c r="CH231" s="378"/>
      <c r="CI231" s="487" t="str">
        <f t="shared" ca="1" si="123"/>
        <v>-</v>
      </c>
      <c r="CJ231" s="378" t="str">
        <f t="shared" ca="1" si="130"/>
        <v>-</v>
      </c>
      <c r="CK231" s="378" t="str">
        <f t="shared" ca="1" si="130"/>
        <v>-</v>
      </c>
      <c r="CL231" s="378" t="str">
        <f t="shared" ca="1" si="130"/>
        <v>-</v>
      </c>
      <c r="CM231" s="378" t="str">
        <f t="shared" ca="1" si="130"/>
        <v>-</v>
      </c>
      <c r="CN231" s="378" t="str">
        <f t="shared" ca="1" si="130"/>
        <v>-</v>
      </c>
      <c r="CO231" s="378" t="str">
        <f t="shared" ca="1" si="130"/>
        <v>-</v>
      </c>
      <c r="CP231" s="378" t="str">
        <f t="shared" ca="1" si="130"/>
        <v>-</v>
      </c>
      <c r="CQ231" s="378" t="str">
        <f t="shared" ca="1" si="130"/>
        <v>-</v>
      </c>
      <c r="CR231" s="510" t="str">
        <f ca="1">IFERROR(IF(LEFT(BW231,3)="Poo",INDEX($BE$4:$BJ$99,MATCH(CI231,$BG$4:$BG$99,0),6)*((15/50))*Calculation!$AK$6,INDEX(Calculation_Tab,MATCH(BV231,Identifier,0),10)/(IF(LEN(INDEX(Calculation_Tab,MATCH(BV231,Identifier,0),9))&gt;8,LEN(INDEX(Calculation_Tab,MATCH(BV231,Identifier,0),9))-8,1))*((15/50)*Calculation!$AK$6)),"-")</f>
        <v>-</v>
      </c>
      <c r="CS231" s="498" t="str">
        <f ca="1">IF(CI231="-","-",IF(COUNTIF($CI$3:CI231,CI231)&gt;1,0,IFERROR((35/50)*Calculation!$AK$6,"-")))</f>
        <v>-</v>
      </c>
    </row>
    <row r="232" spans="4:97" x14ac:dyDescent="0.5">
      <c r="D232" s="487" t="e">
        <f t="shared" si="109"/>
        <v>#DIV/0!</v>
      </c>
      <c r="E232" s="496" t="e">
        <f t="array" ref="E232">IF(IF((ROW(E232)-3)&lt;(ListAndConversion!$A$15),INDEX(Flow_Cell_Lane,MIN(IF(COUNTIF($E$2:E231,Flow_Cell_Lane)=0,ROW(Flow_Cell_Lane)-9))),"-")="","-",IF((ROW(E232)-3)&lt;(ListAndConversion!$A$15),INDEX(Flow_Cell_Lane,MIN(IF(COUNTIF($E$2:E231,Flow_Cell_Lane)=0,ROW(Flow_Cell_Lane)-9))),"-"))</f>
        <v>#DIV/0!</v>
      </c>
      <c r="F232" s="378" t="e">
        <f t="shared" si="110"/>
        <v>#DIV/0!</v>
      </c>
      <c r="G232" s="378" t="e">
        <f t="shared" si="129"/>
        <v>#DIV/0!</v>
      </c>
      <c r="H232" s="378" t="e">
        <f t="shared" si="129"/>
        <v>#DIV/0!</v>
      </c>
      <c r="I232" s="378" t="e">
        <f t="shared" si="129"/>
        <v>#DIV/0!</v>
      </c>
      <c r="J232" s="378" t="e">
        <f t="shared" si="129"/>
        <v>#DIV/0!</v>
      </c>
      <c r="K232" s="378" t="e">
        <f t="shared" si="129"/>
        <v>#DIV/0!</v>
      </c>
      <c r="L232" s="378" t="e">
        <f t="shared" si="129"/>
        <v>#DIV/0!</v>
      </c>
      <c r="M232" s="378" t="e">
        <f t="shared" si="129"/>
        <v>#DIV/0!</v>
      </c>
      <c r="N232" s="497" t="e">
        <f t="shared" si="111"/>
        <v>#DIV/0!</v>
      </c>
      <c r="O232" s="497" t="str">
        <f t="array" ref="O232">IFERROR(INDEX(Calculation!I:AN,MATCH(ListAndConversion!E232,Calculation!I:I,0),31),"-")</f>
        <v>-</v>
      </c>
      <c r="P232" s="498">
        <f>IF(COUNTIFS(Calculation!$I$10:$I$393,E232,Direct_Denaturation,"-")&lt;&gt;1,COUNTIFS(Calculation!$I$10:$I$393,E232,Direct_Denaturation,"-"),0)</f>
        <v>0</v>
      </c>
      <c r="V232" s="542" t="s">
        <v>82</v>
      </c>
      <c r="W232" s="542" t="s">
        <v>82</v>
      </c>
      <c r="X232" s="542" t="s">
        <v>82</v>
      </c>
      <c r="Y232" s="542" t="s">
        <v>82</v>
      </c>
      <c r="Z232" s="542" t="s">
        <v>82</v>
      </c>
      <c r="AA232" s="542" t="s">
        <v>82</v>
      </c>
      <c r="AB232" s="542" t="s">
        <v>82</v>
      </c>
      <c r="AC232" s="542" t="s">
        <v>82</v>
      </c>
      <c r="AD232" s="542" t="s">
        <v>82</v>
      </c>
      <c r="AE232" s="542" t="s">
        <v>82</v>
      </c>
      <c r="AF232" s="542" t="s">
        <v>82</v>
      </c>
      <c r="AG232" s="542" t="s">
        <v>82</v>
      </c>
      <c r="AH232" s="9"/>
      <c r="AI232" s="487">
        <v>229</v>
      </c>
      <c r="AJ232" s="497" t="s">
        <v>162</v>
      </c>
      <c r="AK232" s="378">
        <v>37</v>
      </c>
      <c r="AL232" s="378" t="str">
        <f t="shared" ca="1" si="112"/>
        <v>-</v>
      </c>
      <c r="AM232" s="378" t="str">
        <f t="array" aca="1" ref="AM232" ca="1">IFERROR(IF(AI232&lt;=$AB$2,"-",INDEX(Calculation_Tab,SMALL(ROW(Main_Dil)*(Main_Dil&lt;&gt;"-"),COUNTIF(Main_Dil,"-")+ROW()-3-$AB$2)-9,5)),"-")</f>
        <v>-</v>
      </c>
      <c r="AN232" s="378" t="str">
        <f t="array" aca="1" ref="AN232" ca="1">IFERROR(IF(AI232&lt;=$AB$2,"-",INDEX($A$3:$B$12,MATCH(INDEX(Calculation_Tab,SMALL(ROW(Main_Dil)*(Main_Dil&lt;&gt;"-"),COUNTIF(Main_Dil,"-")+ROW()-3-$AB$2)-9,5),$A$3:$A$12,0),2)),"-")</f>
        <v>-</v>
      </c>
      <c r="AO232" s="378" t="str">
        <f t="array" aca="1" ref="AO232" ca="1">IFERROR(IF(AI232&lt;=$AB$2,"-",INDEX(Coordinate,MATCH(INDEX(Calculation_Tab,SMALL(ROW(Main_Dil)*(Main_Dil&lt;&gt;"-"),COUNTIF(Main_Dil,"-")+ROW()-3-$AB$2)-9,6),$X$4:$X$99,0),2)),"-")</f>
        <v>-</v>
      </c>
      <c r="AP232" s="510" t="str">
        <f t="array" aca="1" ref="AP232" ca="1">IFERROR(IF(AI232&lt;=$AB$2,"-",INDEX(Calculation_Tab,SMALL(ROW(Main_Dil)*(Main_Dil&lt;&gt;"-"),COUNTIF(Main_Dil,"-")+ROW()-3-$AB$2)-9,21)),"-")</f>
        <v>-</v>
      </c>
      <c r="AQ232" s="511" t="str">
        <f t="array" aca="1" ref="AQ232" ca="1">IFERROR(IF(AI232&lt;=$AB$2,"-",INDEX(Calculation_Tab,SMALL(ROW(Main_Dil)*(Main_Dil&lt;&gt;"-"),COUNTIF(Main_Dil,"-")+ROW()-3-$AB$2)-9,22)),"-")</f>
        <v>-</v>
      </c>
      <c r="AR232" s="487" t="str">
        <f t="shared" ca="1" si="113"/>
        <v>-</v>
      </c>
      <c r="AS232" s="378">
        <v>229</v>
      </c>
      <c r="AT232" s="497" t="s">
        <v>162</v>
      </c>
      <c r="AU232" s="498">
        <v>37</v>
      </c>
      <c r="AV232" s="378" t="str">
        <f t="shared" ca="1" si="114"/>
        <v>-</v>
      </c>
      <c r="AW232" s="378" t="str">
        <f t="array" aca="1" ref="AW232" ca="1">IFERROR(IF(AS232&lt;=$AB$2+$AN$2,"-",INDEX(Calculation_Tab,SMALL(ROW(Direct_Denaturation)*(Direct_Denaturation&lt;&gt;"-"),COUNTIF(Direct_Denaturation,"-")+ROW()-3-$AB$2-$AN$2)-9,5)),"-")</f>
        <v>-</v>
      </c>
      <c r="AX232" s="378" t="str">
        <f t="array" aca="1" ref="AX232" ca="1">IFERROR(IF(AS232&lt;=$AB$2+$AN$2,"-",INDEX($A$3:$B$12,MATCH(INDEX(Calculation_Tab,SMALL(ROW(Direct_Denaturation)*(Direct_Denaturation&lt;&gt;"-"),COUNTIF(Direct_Denaturation,"-")+ROW()-3-$AB$2-$AN$2)-9,5),$A$3:$A$12,0),2)),"-")</f>
        <v>-</v>
      </c>
      <c r="AY232" s="378" t="str">
        <f t="array" aca="1" ref="AY232" ca="1">IFERROR(IF(AS232&lt;=$AB$2+$AN$2,"-",INDEX(Coordinate,MATCH(INDEX(Calculation_Tab,SMALL(ROW(Direct_Denaturation)*(Direct_Denaturation&lt;&gt;"-"),COUNTIF(Direct_Denaturation,"-")+ROW()-3-$AB$2-$AN$2)-9,6),$X$4:$X$99,0),2)),"-")</f>
        <v>-</v>
      </c>
      <c r="AZ232" s="510" t="str">
        <f t="array" aca="1" ref="AZ232" ca="1">IFERROR(IF(AS232&lt;=$AB$2+$AN$2,"-",INDEX(Calculation_Tab,SMALL(ROW(Direct_Denaturation)*(Direct_Denaturation&lt;&gt;"-"),COUNTIF(Direct_Denaturation,"-")+ROW()-3-$AB$2-$AN$2)-9,32)),"-")</f>
        <v>-</v>
      </c>
      <c r="BA232" s="510" t="str">
        <f t="array" aca="1" ref="BA232" ca="1">IFERROR(IF(AS232&lt;=$AB$2+$AN$2,"-",INDEX(Calculation_Tab,SMALL(ROW(Direct_Denaturation)*(Direct_Denaturation&lt;&gt;"-"),COUNTIF(Direct_Denaturation,"-")+ROW()-3-$AB$2-$AN$2)-9,34)),"-")</f>
        <v>-</v>
      </c>
      <c r="BB232" s="510" t="str">
        <f t="array" aca="1" ref="BB232" ca="1">IFERROR(IF(AS232&lt;=$AB$2+$AN$2,"-",INDEX(Calculation_Tab,SMALL(ROW(Direct_Denaturation)*(Direct_Denaturation&lt;&gt;"-"),COUNTIF(Direct_Denaturation,"-")+ROW()-3-$AB$2-$AN$2)-9,33)),"-")</f>
        <v>-</v>
      </c>
      <c r="BC232" s="510" t="str">
        <f t="array" aca="1" ref="BC232" ca="1">IFERROR(IF(AS232&lt;=$AB$2+$AN$2,"-",INDEX(Calculation_Tab,SMALL(ROW(Direct_Denaturation)*(Direct_Denaturation&lt;&gt;"-"),COUNTIF(Direct_Denaturation,"-")+ROW()-3-$AB$2-$AN$2)-9,35)),"-")</f>
        <v>-</v>
      </c>
      <c r="BD232" s="511" t="str">
        <f t="shared" ca="1" si="115"/>
        <v>-</v>
      </c>
      <c r="BK232" s="542" t="s">
        <v>82</v>
      </c>
      <c r="BL232" s="542" t="s">
        <v>82</v>
      </c>
      <c r="BM232" s="487" t="str">
        <f t="array" aca="1" ref="BM232" ca="1">IFERROR(INDEX(Calculation_Tab,SMALL(ROW(ToPool)*(ToPool&lt;&gt;"-"),COUNTIF(ToPool,"-")+ROW()-3)-9,3),"-")</f>
        <v>-</v>
      </c>
      <c r="BN232" s="378" t="str">
        <f t="shared" ca="1" si="116"/>
        <v>-</v>
      </c>
      <c r="BO232" s="378" t="str">
        <f t="shared" ca="1" si="117"/>
        <v>-</v>
      </c>
      <c r="BP232" s="523" t="str">
        <f t="shared" ca="1" si="118"/>
        <v>-</v>
      </c>
      <c r="BQ232" s="378" t="str">
        <f t="array" aca="1" ref="BQ232" ca="1">IFERROR(INDEX(BE:BG,MATCH(INDEX(Calculation_Tab,SMALL(ROW(ToPool)*(ToPool&lt;&gt;"-"),COUNTIF(ToPool,"-")+ROW()-3)-9,9),BG:BG,0),2),"-")</f>
        <v>-</v>
      </c>
      <c r="BR232" s="510" t="str">
        <f t="shared" ca="1" si="119"/>
        <v>-</v>
      </c>
      <c r="BS232" s="511" t="str">
        <f t="shared" ca="1" si="120"/>
        <v>-</v>
      </c>
      <c r="BT232" s="543" t="s">
        <v>82</v>
      </c>
      <c r="BU232" s="487" t="str">
        <f t="shared" ca="1" si="124"/>
        <v>-</v>
      </c>
      <c r="BV232" s="487" t="str">
        <f t="array" aca="1" ref="BV23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32" s="378" t="str">
        <f t="shared" ca="1" si="121"/>
        <v>-</v>
      </c>
      <c r="BX232" s="378" t="str">
        <f t="shared" ca="1" si="122"/>
        <v>-</v>
      </c>
      <c r="BY232" s="510" t="str">
        <f ca="1">IFERROR(ROUND(INDEX(Cluster,MATCH(IF(LEFT(BV232,4)="Pool",INDEX(Cluster,MATCH(INDEX(Calculation_Tab,MATCH(INDEX($BE$4:$BJ$99,MATCH(BV232,$BE$4:$BE$99,0),3),Flow_Cell_Lane,0),3),Cluster!$F$29:$F$412,0),6),BV232),Identifier_Cluster,0),19)*IF(LEFT(BV232,4)="pool",IF(LEN(INDEX($BE$4:$BJ$99,MATCH(BV232,$BE$4:$BE$99,0),3))=10,2,IF(LEN(INDEX($BE$4:$BJ$99,MATCH(BV232,$BE$4:$BE$99,0),3))&gt;10,LEN(INDEX($BE$4:$BJ$99,MATCH(BV232,$BE$4:$BE$99,0),3))-8,1)),1)*IF(LEFT(BV232,4)="pool",IF(INDEX($BE$4:$BJ$99,MATCH(BV232,$BE$4:$BE$99,0),6)&lt;1,1,INDEX($BE$4:$BJ$99,MATCH(BV232,$BE$4:$BE$99,0),6)),INDEX(Calculation_Tab,MATCH(BV232,Identifier,0),10)),1)*(1+Calculation!$Q$6),"-")</f>
        <v>-</v>
      </c>
      <c r="BZ232" s="378" t="str">
        <f ca="1">IFERROR((0.5/50)*CE232/Calculation!$AG$6*(IF(LEFT(BV232,4)="Pool",IF(LEN(INDEX($BE$4:$BJ$99,MATCH(BV232,$BE$4:$BE$99,0),3))=10,2,IF(LEN(INDEX($BE$4:$BJ$99,MATCH(BV232,$BE$4:$BE$99,0),3))&gt;10,LEN(INDEX($BE$4:$BJ$99,MATCH(BV232,$BE$4:$BE$99,0),3))-8,1)),IF(INDEX(Calculation_Tab,MATCH(BV232,Identifier,0),10)&gt;1,INDEX(Calculation_Tab,MATCH(BV232,Identifier,0),10),1)))*(1+Calculation!$Q$6),"-")</f>
        <v>-</v>
      </c>
      <c r="CA232" s="510" t="str">
        <f ca="1">IFERROR(IF((BZ232*Calculation!$AG$6/0.05)-SUM(BY232:BZ232,CC232)&gt;0,(BZ232*Calculation!$AG$6/0.05)-SUM(BY232:BZ232,CC232),0),"-")</f>
        <v>-</v>
      </c>
      <c r="CB232" s="510" t="str">
        <f ca="1">IFERROR(5/50*CE232*(IF(LEFT(BV232,4)="Pool",IF(LEN(INDEX($BE$4:$BJ$99,MATCH(BV232,$BE$4:$BE$99,0),3))=10,2,IF(LEN(INDEX($BE$4:$BJ$99,MATCH(BV232,$BE$4:$BE$99,0),3))&gt;10,LEN(INDEX($BE$4:$BJ$99,MATCH(BV232,$BE$4:$BE$99,0),3))-8,1)),IF(INDEX(Calculation_Tab,MATCH(BV232,Identifier,0),10)&gt;1,INDEX(Calculation_Tab,MATCH(BV232,Identifier,0),10),1)))*(1+Calculation!$Q$6),"-")</f>
        <v>-</v>
      </c>
      <c r="CC232" s="508" t="str">
        <f ca="1">IFERROR(ROUND(INDEX(Cluster,MATCH(IF(LEFT(BV232,4)="Pool",INDEX(Cluster,MATCH(INDEX(Calculation_Tab,MATCH(INDEX($BE$4:$BJ$99,MATCH(BV232,$BE$4:$BE$99,0),3),Flow_Cell_Lane,0),3),Cluster!$F$29:$F$412,0),6),BV232),Identifier_Cluster,0),20)*IF(LEFT(BV232,4)="pool",IF(LEN(INDEX($BE$4:$BJ$99,MATCH(BV232,$BE$4:$BE$99,0),3))=10,2,IF(LEN(INDEX($BE$4:$BJ$99,MATCH(BV232,$BE$4:$BE$99,0),3))&gt;10,LEN(INDEX($BE$4:$BJ$99,MATCH(BV232,$BE$4:$BE$99,0),3))-8,1)),1)*IF(LEFT(BV232,4)="pool",IF(INDEX($BE$4:$BJ$99,MATCH(BV232,$BE$4:$BE$99,0),6)&lt;1,1,INDEX($BE$4:$BJ$99,MATCH(BV232,$BE$4:$BE$99,0),6)),INDEX(Calculation_Tab,MATCH(BV232,Identifier,0),10)),1)*(1+Calculation!$Q$6),"-")</f>
        <v>-</v>
      </c>
      <c r="CD232" s="509" t="str">
        <f ca="1">IFERROR(INDEX(Cluster!AC:AD,MATCH(IF(LEFT(BV232,4)="Pool",INDEX(Cluster!$D$29:$AA$412,MATCH(INDEX(Calculation_Tab,MATCH(INDEX($BE$4:$BJ$99,MATCH(BV232,$BE$4:$BE$99,0),3),Flow_Cell_Lane,0),3),Cluster!$F$29:$F$412,0),24),INDEX(Cluster!$D$29:$AA$412,MATCH(BV232,Cluster!$F$29:$F$412,0),24)),Cluster!AC:AC,0),2),"-")</f>
        <v>-</v>
      </c>
      <c r="CE232" s="378" t="str">
        <f ca="1">IFERROR(IF(BV232&lt;&gt;"-",Calculation!$AK$6,"-"),"-")</f>
        <v>-</v>
      </c>
      <c r="CF232" s="378" t="str">
        <f ca="1">IF(OR(LEFT(ListAndConversion!BW232,3)="Dil",LEFT(ListAndConversion!BW232,3)="Poo"),ListAndConversion!$BT$4,IF(LEFT(ListAndConversion!BW232,3)="Sou",INDEX(ListAndConversion!$AT$3:$AV$387,MATCH(ListAndConversion!BV232,ListAndConversion!$AV$3:$AV$387,0),1),"-"))</f>
        <v>-</v>
      </c>
      <c r="CG232" s="498" t="str">
        <f ca="1">IF(OR(LEFT(ListAndConversion!BW232,3)="Dil",LEFT(ListAndConversion!BW232,3)="Poo"),ListAndConversion!BU232,IF(LEFT(ListAndConversion!BW232,3)="Sou",INDEX(ListAndConversion!$AT$4:$AV$387,MATCH(ListAndConversion!BV232,ListAndConversion!$AV$4:$AV$387,0),2),"-"))</f>
        <v>-</v>
      </c>
      <c r="CH232" s="378"/>
      <c r="CI232" s="487" t="str">
        <f t="shared" ca="1" si="123"/>
        <v>-</v>
      </c>
      <c r="CJ232" s="378" t="str">
        <f t="shared" ca="1" si="130"/>
        <v>-</v>
      </c>
      <c r="CK232" s="378" t="str">
        <f t="shared" ca="1" si="130"/>
        <v>-</v>
      </c>
      <c r="CL232" s="378" t="str">
        <f t="shared" ca="1" si="130"/>
        <v>-</v>
      </c>
      <c r="CM232" s="378" t="str">
        <f t="shared" ca="1" si="130"/>
        <v>-</v>
      </c>
      <c r="CN232" s="378" t="str">
        <f t="shared" ca="1" si="130"/>
        <v>-</v>
      </c>
      <c r="CO232" s="378" t="str">
        <f t="shared" ca="1" si="130"/>
        <v>-</v>
      </c>
      <c r="CP232" s="378" t="str">
        <f t="shared" ca="1" si="130"/>
        <v>-</v>
      </c>
      <c r="CQ232" s="378" t="str">
        <f t="shared" ca="1" si="130"/>
        <v>-</v>
      </c>
      <c r="CR232" s="510" t="str">
        <f ca="1">IFERROR(IF(LEFT(BW232,3)="Poo",INDEX($BE$4:$BJ$99,MATCH(CI232,$BG$4:$BG$99,0),6)*((15/50))*Calculation!$AK$6,INDEX(Calculation_Tab,MATCH(BV232,Identifier,0),10)/(IF(LEN(INDEX(Calculation_Tab,MATCH(BV232,Identifier,0),9))&gt;8,LEN(INDEX(Calculation_Tab,MATCH(BV232,Identifier,0),9))-8,1))*((15/50)*Calculation!$AK$6)),"-")</f>
        <v>-</v>
      </c>
      <c r="CS232" s="498" t="str">
        <f ca="1">IF(CI232="-","-",IF(COUNTIF($CI$3:CI232,CI232)&gt;1,0,IFERROR((35/50)*Calculation!$AK$6,"-")))</f>
        <v>-</v>
      </c>
    </row>
    <row r="233" spans="4:97" x14ac:dyDescent="0.5">
      <c r="D233" s="487" t="e">
        <f t="shared" si="109"/>
        <v>#DIV/0!</v>
      </c>
      <c r="E233" s="496" t="e">
        <f t="array" ref="E233">IF(IF((ROW(E233)-3)&lt;(ListAndConversion!$A$15),INDEX(Flow_Cell_Lane,MIN(IF(COUNTIF($E$2:E232,Flow_Cell_Lane)=0,ROW(Flow_Cell_Lane)-9))),"-")="","-",IF((ROW(E233)-3)&lt;(ListAndConversion!$A$15),INDEX(Flow_Cell_Lane,MIN(IF(COUNTIF($E$2:E232,Flow_Cell_Lane)=0,ROW(Flow_Cell_Lane)-9))),"-"))</f>
        <v>#DIV/0!</v>
      </c>
      <c r="F233" s="378" t="e">
        <f t="shared" si="110"/>
        <v>#DIV/0!</v>
      </c>
      <c r="G233" s="378" t="e">
        <f t="shared" ref="G233:M242" si="131">IF($D233&gt;8,IF($D233&gt;=(8+G$2),CONCATENATE(LEFT($E233,7),RIGHT(LEFT($E233,8+G$2),1)),""),"")</f>
        <v>#DIV/0!</v>
      </c>
      <c r="H233" s="378" t="e">
        <f t="shared" si="131"/>
        <v>#DIV/0!</v>
      </c>
      <c r="I233" s="378" t="e">
        <f t="shared" si="131"/>
        <v>#DIV/0!</v>
      </c>
      <c r="J233" s="378" t="e">
        <f t="shared" si="131"/>
        <v>#DIV/0!</v>
      </c>
      <c r="K233" s="378" t="e">
        <f t="shared" si="131"/>
        <v>#DIV/0!</v>
      </c>
      <c r="L233" s="378" t="e">
        <f t="shared" si="131"/>
        <v>#DIV/0!</v>
      </c>
      <c r="M233" s="378" t="e">
        <f t="shared" si="131"/>
        <v>#DIV/0!</v>
      </c>
      <c r="N233" s="497" t="e">
        <f t="shared" si="111"/>
        <v>#DIV/0!</v>
      </c>
      <c r="O233" s="497" t="str">
        <f t="array" ref="O233">IFERROR(INDEX(Calculation!I:AN,MATCH(ListAndConversion!E233,Calculation!I:I,0),31),"-")</f>
        <v>-</v>
      </c>
      <c r="P233" s="498">
        <f>IF(COUNTIFS(Calculation!$I$10:$I$393,E233,Direct_Denaturation,"-")&lt;&gt;1,COUNTIFS(Calculation!$I$10:$I$393,E233,Direct_Denaturation,"-"),0)</f>
        <v>0</v>
      </c>
      <c r="V233" s="542" t="s">
        <v>82</v>
      </c>
      <c r="W233" s="542" t="s">
        <v>82</v>
      </c>
      <c r="X233" s="542" t="s">
        <v>82</v>
      </c>
      <c r="Y233" s="542" t="s">
        <v>82</v>
      </c>
      <c r="Z233" s="542" t="s">
        <v>82</v>
      </c>
      <c r="AA233" s="542" t="s">
        <v>82</v>
      </c>
      <c r="AB233" s="542" t="s">
        <v>82</v>
      </c>
      <c r="AC233" s="542" t="s">
        <v>82</v>
      </c>
      <c r="AD233" s="542" t="s">
        <v>82</v>
      </c>
      <c r="AE233" s="542" t="s">
        <v>82</v>
      </c>
      <c r="AF233" s="542" t="s">
        <v>82</v>
      </c>
      <c r="AG233" s="542" t="s">
        <v>82</v>
      </c>
      <c r="AH233" s="9"/>
      <c r="AI233" s="487">
        <v>230</v>
      </c>
      <c r="AJ233" s="497" t="s">
        <v>162</v>
      </c>
      <c r="AK233" s="378">
        <v>38</v>
      </c>
      <c r="AL233" s="378" t="str">
        <f t="shared" ca="1" si="112"/>
        <v>-</v>
      </c>
      <c r="AM233" s="378" t="str">
        <f t="array" aca="1" ref="AM233" ca="1">IFERROR(IF(AI233&lt;=$AB$2,"-",INDEX(Calculation_Tab,SMALL(ROW(Main_Dil)*(Main_Dil&lt;&gt;"-"),COUNTIF(Main_Dil,"-")+ROW()-3-$AB$2)-9,5)),"-")</f>
        <v>-</v>
      </c>
      <c r="AN233" s="378" t="str">
        <f t="array" aca="1" ref="AN233" ca="1">IFERROR(IF(AI233&lt;=$AB$2,"-",INDEX($A$3:$B$12,MATCH(INDEX(Calculation_Tab,SMALL(ROW(Main_Dil)*(Main_Dil&lt;&gt;"-"),COUNTIF(Main_Dil,"-")+ROW()-3-$AB$2)-9,5),$A$3:$A$12,0),2)),"-")</f>
        <v>-</v>
      </c>
      <c r="AO233" s="378" t="str">
        <f t="array" aca="1" ref="AO233" ca="1">IFERROR(IF(AI233&lt;=$AB$2,"-",INDEX(Coordinate,MATCH(INDEX(Calculation_Tab,SMALL(ROW(Main_Dil)*(Main_Dil&lt;&gt;"-"),COUNTIF(Main_Dil,"-")+ROW()-3-$AB$2)-9,6),$X$4:$X$99,0),2)),"-")</f>
        <v>-</v>
      </c>
      <c r="AP233" s="510" t="str">
        <f t="array" aca="1" ref="AP233" ca="1">IFERROR(IF(AI233&lt;=$AB$2,"-",INDEX(Calculation_Tab,SMALL(ROW(Main_Dil)*(Main_Dil&lt;&gt;"-"),COUNTIF(Main_Dil,"-")+ROW()-3-$AB$2)-9,21)),"-")</f>
        <v>-</v>
      </c>
      <c r="AQ233" s="511" t="str">
        <f t="array" aca="1" ref="AQ233" ca="1">IFERROR(IF(AI233&lt;=$AB$2,"-",INDEX(Calculation_Tab,SMALL(ROW(Main_Dil)*(Main_Dil&lt;&gt;"-"),COUNTIF(Main_Dil,"-")+ROW()-3-$AB$2)-9,22)),"-")</f>
        <v>-</v>
      </c>
      <c r="AR233" s="487" t="str">
        <f t="shared" ca="1" si="113"/>
        <v>-</v>
      </c>
      <c r="AS233" s="378">
        <v>230</v>
      </c>
      <c r="AT233" s="497" t="s">
        <v>162</v>
      </c>
      <c r="AU233" s="498">
        <v>38</v>
      </c>
      <c r="AV233" s="378" t="str">
        <f t="shared" ca="1" si="114"/>
        <v>-</v>
      </c>
      <c r="AW233" s="378" t="str">
        <f t="array" aca="1" ref="AW233" ca="1">IFERROR(IF(AS233&lt;=$AB$2+$AN$2,"-",INDEX(Calculation_Tab,SMALL(ROW(Direct_Denaturation)*(Direct_Denaturation&lt;&gt;"-"),COUNTIF(Direct_Denaturation,"-")+ROW()-3-$AB$2-$AN$2)-9,5)),"-")</f>
        <v>-</v>
      </c>
      <c r="AX233" s="378" t="str">
        <f t="array" aca="1" ref="AX233" ca="1">IFERROR(IF(AS233&lt;=$AB$2+$AN$2,"-",INDEX($A$3:$B$12,MATCH(INDEX(Calculation_Tab,SMALL(ROW(Direct_Denaturation)*(Direct_Denaturation&lt;&gt;"-"),COUNTIF(Direct_Denaturation,"-")+ROW()-3-$AB$2-$AN$2)-9,5),$A$3:$A$12,0),2)),"-")</f>
        <v>-</v>
      </c>
      <c r="AY233" s="378" t="str">
        <f t="array" aca="1" ref="AY233" ca="1">IFERROR(IF(AS233&lt;=$AB$2+$AN$2,"-",INDEX(Coordinate,MATCH(INDEX(Calculation_Tab,SMALL(ROW(Direct_Denaturation)*(Direct_Denaturation&lt;&gt;"-"),COUNTIF(Direct_Denaturation,"-")+ROW()-3-$AB$2-$AN$2)-9,6),$X$4:$X$99,0),2)),"-")</f>
        <v>-</v>
      </c>
      <c r="AZ233" s="510" t="str">
        <f t="array" aca="1" ref="AZ233" ca="1">IFERROR(IF(AS233&lt;=$AB$2+$AN$2,"-",INDEX(Calculation_Tab,SMALL(ROW(Direct_Denaturation)*(Direct_Denaturation&lt;&gt;"-"),COUNTIF(Direct_Denaturation,"-")+ROW()-3-$AB$2-$AN$2)-9,32)),"-")</f>
        <v>-</v>
      </c>
      <c r="BA233" s="510" t="str">
        <f t="array" aca="1" ref="BA233" ca="1">IFERROR(IF(AS233&lt;=$AB$2+$AN$2,"-",INDEX(Calculation_Tab,SMALL(ROW(Direct_Denaturation)*(Direct_Denaturation&lt;&gt;"-"),COUNTIF(Direct_Denaturation,"-")+ROW()-3-$AB$2-$AN$2)-9,34)),"-")</f>
        <v>-</v>
      </c>
      <c r="BB233" s="510" t="str">
        <f t="array" aca="1" ref="BB233" ca="1">IFERROR(IF(AS233&lt;=$AB$2+$AN$2,"-",INDEX(Calculation_Tab,SMALL(ROW(Direct_Denaturation)*(Direct_Denaturation&lt;&gt;"-"),COUNTIF(Direct_Denaturation,"-")+ROW()-3-$AB$2-$AN$2)-9,33)),"-")</f>
        <v>-</v>
      </c>
      <c r="BC233" s="510" t="str">
        <f t="array" aca="1" ref="BC233" ca="1">IFERROR(IF(AS233&lt;=$AB$2+$AN$2,"-",INDEX(Calculation_Tab,SMALL(ROW(Direct_Denaturation)*(Direct_Denaturation&lt;&gt;"-"),COUNTIF(Direct_Denaturation,"-")+ROW()-3-$AB$2-$AN$2)-9,35)),"-")</f>
        <v>-</v>
      </c>
      <c r="BD233" s="511" t="str">
        <f t="shared" ca="1" si="115"/>
        <v>-</v>
      </c>
      <c r="BK233" s="542" t="s">
        <v>82</v>
      </c>
      <c r="BL233" s="542" t="s">
        <v>82</v>
      </c>
      <c r="BM233" s="487" t="str">
        <f t="array" aca="1" ref="BM233" ca="1">IFERROR(INDEX(Calculation_Tab,SMALL(ROW(ToPool)*(ToPool&lt;&gt;"-"),COUNTIF(ToPool,"-")+ROW()-3)-9,3),"-")</f>
        <v>-</v>
      </c>
      <c r="BN233" s="378" t="str">
        <f t="shared" ca="1" si="116"/>
        <v>-</v>
      </c>
      <c r="BO233" s="378" t="str">
        <f t="shared" ca="1" si="117"/>
        <v>-</v>
      </c>
      <c r="BP233" s="523" t="str">
        <f t="shared" ca="1" si="118"/>
        <v>-</v>
      </c>
      <c r="BQ233" s="378" t="str">
        <f t="array" aca="1" ref="BQ233" ca="1">IFERROR(INDEX(BE:BG,MATCH(INDEX(Calculation_Tab,SMALL(ROW(ToPool)*(ToPool&lt;&gt;"-"),COUNTIF(ToPool,"-")+ROW()-3)-9,9),BG:BG,0),2),"-")</f>
        <v>-</v>
      </c>
      <c r="BR233" s="510" t="str">
        <f t="shared" ca="1" si="119"/>
        <v>-</v>
      </c>
      <c r="BS233" s="511" t="str">
        <f t="shared" ca="1" si="120"/>
        <v>-</v>
      </c>
      <c r="BT233" s="543" t="s">
        <v>82</v>
      </c>
      <c r="BU233" s="487" t="str">
        <f t="shared" ca="1" si="124"/>
        <v>-</v>
      </c>
      <c r="BV233" s="487" t="str">
        <f t="array" aca="1" ref="BV23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33" s="378" t="str">
        <f t="shared" ca="1" si="121"/>
        <v>-</v>
      </c>
      <c r="BX233" s="378" t="str">
        <f t="shared" ca="1" si="122"/>
        <v>-</v>
      </c>
      <c r="BY233" s="510" t="str">
        <f ca="1">IFERROR(ROUND(INDEX(Cluster,MATCH(IF(LEFT(BV233,4)="Pool",INDEX(Cluster,MATCH(INDEX(Calculation_Tab,MATCH(INDEX($BE$4:$BJ$99,MATCH(BV233,$BE$4:$BE$99,0),3),Flow_Cell_Lane,0),3),Cluster!$F$29:$F$412,0),6),BV233),Identifier_Cluster,0),19)*IF(LEFT(BV233,4)="pool",IF(LEN(INDEX($BE$4:$BJ$99,MATCH(BV233,$BE$4:$BE$99,0),3))=10,2,IF(LEN(INDEX($BE$4:$BJ$99,MATCH(BV233,$BE$4:$BE$99,0),3))&gt;10,LEN(INDEX($BE$4:$BJ$99,MATCH(BV233,$BE$4:$BE$99,0),3))-8,1)),1)*IF(LEFT(BV233,4)="pool",IF(INDEX($BE$4:$BJ$99,MATCH(BV233,$BE$4:$BE$99,0),6)&lt;1,1,INDEX($BE$4:$BJ$99,MATCH(BV233,$BE$4:$BE$99,0),6)),INDEX(Calculation_Tab,MATCH(BV233,Identifier,0),10)),1)*(1+Calculation!$Q$6),"-")</f>
        <v>-</v>
      </c>
      <c r="BZ233" s="378" t="str">
        <f ca="1">IFERROR((0.5/50)*CE233/Calculation!$AG$6*(IF(LEFT(BV233,4)="Pool",IF(LEN(INDEX($BE$4:$BJ$99,MATCH(BV233,$BE$4:$BE$99,0),3))=10,2,IF(LEN(INDEX($BE$4:$BJ$99,MATCH(BV233,$BE$4:$BE$99,0),3))&gt;10,LEN(INDEX($BE$4:$BJ$99,MATCH(BV233,$BE$4:$BE$99,0),3))-8,1)),IF(INDEX(Calculation_Tab,MATCH(BV233,Identifier,0),10)&gt;1,INDEX(Calculation_Tab,MATCH(BV233,Identifier,0),10),1)))*(1+Calculation!$Q$6),"-")</f>
        <v>-</v>
      </c>
      <c r="CA233" s="510" t="str">
        <f ca="1">IFERROR(IF((BZ233*Calculation!$AG$6/0.05)-SUM(BY233:BZ233,CC233)&gt;0,(BZ233*Calculation!$AG$6/0.05)-SUM(BY233:BZ233,CC233),0),"-")</f>
        <v>-</v>
      </c>
      <c r="CB233" s="510" t="str">
        <f ca="1">IFERROR(5/50*CE233*(IF(LEFT(BV233,4)="Pool",IF(LEN(INDEX($BE$4:$BJ$99,MATCH(BV233,$BE$4:$BE$99,0),3))=10,2,IF(LEN(INDEX($BE$4:$BJ$99,MATCH(BV233,$BE$4:$BE$99,0),3))&gt;10,LEN(INDEX($BE$4:$BJ$99,MATCH(BV233,$BE$4:$BE$99,0),3))-8,1)),IF(INDEX(Calculation_Tab,MATCH(BV233,Identifier,0),10)&gt;1,INDEX(Calculation_Tab,MATCH(BV233,Identifier,0),10),1)))*(1+Calculation!$Q$6),"-")</f>
        <v>-</v>
      </c>
      <c r="CC233" s="508" t="str">
        <f ca="1">IFERROR(ROUND(INDEX(Cluster,MATCH(IF(LEFT(BV233,4)="Pool",INDEX(Cluster,MATCH(INDEX(Calculation_Tab,MATCH(INDEX($BE$4:$BJ$99,MATCH(BV233,$BE$4:$BE$99,0),3),Flow_Cell_Lane,0),3),Cluster!$F$29:$F$412,0),6),BV233),Identifier_Cluster,0),20)*IF(LEFT(BV233,4)="pool",IF(LEN(INDEX($BE$4:$BJ$99,MATCH(BV233,$BE$4:$BE$99,0),3))=10,2,IF(LEN(INDEX($BE$4:$BJ$99,MATCH(BV233,$BE$4:$BE$99,0),3))&gt;10,LEN(INDEX($BE$4:$BJ$99,MATCH(BV233,$BE$4:$BE$99,0),3))-8,1)),1)*IF(LEFT(BV233,4)="pool",IF(INDEX($BE$4:$BJ$99,MATCH(BV233,$BE$4:$BE$99,0),6)&lt;1,1,INDEX($BE$4:$BJ$99,MATCH(BV233,$BE$4:$BE$99,0),6)),INDEX(Calculation_Tab,MATCH(BV233,Identifier,0),10)),1)*(1+Calculation!$Q$6),"-")</f>
        <v>-</v>
      </c>
      <c r="CD233" s="509" t="str">
        <f ca="1">IFERROR(INDEX(Cluster!AC:AD,MATCH(IF(LEFT(BV233,4)="Pool",INDEX(Cluster!$D$29:$AA$412,MATCH(INDEX(Calculation_Tab,MATCH(INDEX($BE$4:$BJ$99,MATCH(BV233,$BE$4:$BE$99,0),3),Flow_Cell_Lane,0),3),Cluster!$F$29:$F$412,0),24),INDEX(Cluster!$D$29:$AA$412,MATCH(BV233,Cluster!$F$29:$F$412,0),24)),Cluster!AC:AC,0),2),"-")</f>
        <v>-</v>
      </c>
      <c r="CE233" s="378" t="str">
        <f ca="1">IFERROR(IF(BV233&lt;&gt;"-",Calculation!$AK$6,"-"),"-")</f>
        <v>-</v>
      </c>
      <c r="CF233" s="378" t="str">
        <f ca="1">IF(OR(LEFT(ListAndConversion!BW233,3)="Dil",LEFT(ListAndConversion!BW233,3)="Poo"),ListAndConversion!$BT$4,IF(LEFT(ListAndConversion!BW233,3)="Sou",INDEX(ListAndConversion!$AT$3:$AV$387,MATCH(ListAndConversion!BV233,ListAndConversion!$AV$3:$AV$387,0),1),"-"))</f>
        <v>-</v>
      </c>
      <c r="CG233" s="498" t="str">
        <f ca="1">IF(OR(LEFT(ListAndConversion!BW233,3)="Dil",LEFT(ListAndConversion!BW233,3)="Poo"),ListAndConversion!BU233,IF(LEFT(ListAndConversion!BW233,3)="Sou",INDEX(ListAndConversion!$AT$4:$AV$387,MATCH(ListAndConversion!BV233,ListAndConversion!$AV$4:$AV$387,0),2),"-"))</f>
        <v>-</v>
      </c>
      <c r="CH233" s="378"/>
      <c r="CI233" s="487" t="str">
        <f t="shared" ca="1" si="123"/>
        <v>-</v>
      </c>
      <c r="CJ233" s="378" t="str">
        <f t="shared" ca="1" si="130"/>
        <v>-</v>
      </c>
      <c r="CK233" s="378" t="str">
        <f t="shared" ca="1" si="130"/>
        <v>-</v>
      </c>
      <c r="CL233" s="378" t="str">
        <f t="shared" ca="1" si="130"/>
        <v>-</v>
      </c>
      <c r="CM233" s="378" t="str">
        <f t="shared" ca="1" si="130"/>
        <v>-</v>
      </c>
      <c r="CN233" s="378" t="str">
        <f t="shared" ca="1" si="130"/>
        <v>-</v>
      </c>
      <c r="CO233" s="378" t="str">
        <f t="shared" ca="1" si="130"/>
        <v>-</v>
      </c>
      <c r="CP233" s="378" t="str">
        <f t="shared" ca="1" si="130"/>
        <v>-</v>
      </c>
      <c r="CQ233" s="378" t="str">
        <f t="shared" ca="1" si="130"/>
        <v>-</v>
      </c>
      <c r="CR233" s="510" t="str">
        <f ca="1">IFERROR(IF(LEFT(BW233,3)="Poo",INDEX($BE$4:$BJ$99,MATCH(CI233,$BG$4:$BG$99,0),6)*((15/50))*Calculation!$AK$6,INDEX(Calculation_Tab,MATCH(BV233,Identifier,0),10)/(IF(LEN(INDEX(Calculation_Tab,MATCH(BV233,Identifier,0),9))&gt;8,LEN(INDEX(Calculation_Tab,MATCH(BV233,Identifier,0),9))-8,1))*((15/50)*Calculation!$AK$6)),"-")</f>
        <v>-</v>
      </c>
      <c r="CS233" s="498" t="str">
        <f ca="1">IF(CI233="-","-",IF(COUNTIF($CI$3:CI233,CI233)&gt;1,0,IFERROR((35/50)*Calculation!$AK$6,"-")))</f>
        <v>-</v>
      </c>
    </row>
    <row r="234" spans="4:97" x14ac:dyDescent="0.5">
      <c r="D234" s="487" t="e">
        <f t="shared" si="109"/>
        <v>#DIV/0!</v>
      </c>
      <c r="E234" s="496" t="e">
        <f t="array" ref="E234">IF(IF((ROW(E234)-3)&lt;(ListAndConversion!$A$15),INDEX(Flow_Cell_Lane,MIN(IF(COUNTIF($E$2:E233,Flow_Cell_Lane)=0,ROW(Flow_Cell_Lane)-9))),"-")="","-",IF((ROW(E234)-3)&lt;(ListAndConversion!$A$15),INDEX(Flow_Cell_Lane,MIN(IF(COUNTIF($E$2:E233,Flow_Cell_Lane)=0,ROW(Flow_Cell_Lane)-9))),"-"))</f>
        <v>#DIV/0!</v>
      </c>
      <c r="F234" s="378" t="e">
        <f t="shared" si="110"/>
        <v>#DIV/0!</v>
      </c>
      <c r="G234" s="378" t="e">
        <f t="shared" si="131"/>
        <v>#DIV/0!</v>
      </c>
      <c r="H234" s="378" t="e">
        <f t="shared" si="131"/>
        <v>#DIV/0!</v>
      </c>
      <c r="I234" s="378" t="e">
        <f t="shared" si="131"/>
        <v>#DIV/0!</v>
      </c>
      <c r="J234" s="378" t="e">
        <f t="shared" si="131"/>
        <v>#DIV/0!</v>
      </c>
      <c r="K234" s="378" t="e">
        <f t="shared" si="131"/>
        <v>#DIV/0!</v>
      </c>
      <c r="L234" s="378" t="e">
        <f t="shared" si="131"/>
        <v>#DIV/0!</v>
      </c>
      <c r="M234" s="378" t="e">
        <f t="shared" si="131"/>
        <v>#DIV/0!</v>
      </c>
      <c r="N234" s="497" t="e">
        <f t="shared" si="111"/>
        <v>#DIV/0!</v>
      </c>
      <c r="O234" s="497" t="str">
        <f t="array" ref="O234">IFERROR(INDEX(Calculation!I:AN,MATCH(ListAndConversion!E234,Calculation!I:I,0),31),"-")</f>
        <v>-</v>
      </c>
      <c r="P234" s="498">
        <f>IF(COUNTIFS(Calculation!$I$10:$I$393,E234,Direct_Denaturation,"-")&lt;&gt;1,COUNTIFS(Calculation!$I$10:$I$393,E234,Direct_Denaturation,"-"),0)</f>
        <v>0</v>
      </c>
      <c r="V234" s="542" t="s">
        <v>82</v>
      </c>
      <c r="W234" s="542" t="s">
        <v>82</v>
      </c>
      <c r="X234" s="542" t="s">
        <v>82</v>
      </c>
      <c r="Y234" s="542" t="s">
        <v>82</v>
      </c>
      <c r="Z234" s="542" t="s">
        <v>82</v>
      </c>
      <c r="AA234" s="542" t="s">
        <v>82</v>
      </c>
      <c r="AB234" s="542" t="s">
        <v>82</v>
      </c>
      <c r="AC234" s="542" t="s">
        <v>82</v>
      </c>
      <c r="AD234" s="542" t="s">
        <v>82</v>
      </c>
      <c r="AE234" s="542" t="s">
        <v>82</v>
      </c>
      <c r="AF234" s="542" t="s">
        <v>82</v>
      </c>
      <c r="AG234" s="542" t="s">
        <v>82</v>
      </c>
      <c r="AH234" s="9"/>
      <c r="AI234" s="487">
        <v>231</v>
      </c>
      <c r="AJ234" s="497" t="s">
        <v>162</v>
      </c>
      <c r="AK234" s="378">
        <v>39</v>
      </c>
      <c r="AL234" s="378" t="str">
        <f t="shared" ca="1" si="112"/>
        <v>-</v>
      </c>
      <c r="AM234" s="378" t="str">
        <f t="array" aca="1" ref="AM234" ca="1">IFERROR(IF(AI234&lt;=$AB$2,"-",INDEX(Calculation_Tab,SMALL(ROW(Main_Dil)*(Main_Dil&lt;&gt;"-"),COUNTIF(Main_Dil,"-")+ROW()-3-$AB$2)-9,5)),"-")</f>
        <v>-</v>
      </c>
      <c r="AN234" s="378" t="str">
        <f t="array" aca="1" ref="AN234" ca="1">IFERROR(IF(AI234&lt;=$AB$2,"-",INDEX($A$3:$B$12,MATCH(INDEX(Calculation_Tab,SMALL(ROW(Main_Dil)*(Main_Dil&lt;&gt;"-"),COUNTIF(Main_Dil,"-")+ROW()-3-$AB$2)-9,5),$A$3:$A$12,0),2)),"-")</f>
        <v>-</v>
      </c>
      <c r="AO234" s="378" t="str">
        <f t="array" aca="1" ref="AO234" ca="1">IFERROR(IF(AI234&lt;=$AB$2,"-",INDEX(Coordinate,MATCH(INDEX(Calculation_Tab,SMALL(ROW(Main_Dil)*(Main_Dil&lt;&gt;"-"),COUNTIF(Main_Dil,"-")+ROW()-3-$AB$2)-9,6),$X$4:$X$99,0),2)),"-")</f>
        <v>-</v>
      </c>
      <c r="AP234" s="510" t="str">
        <f t="array" aca="1" ref="AP234" ca="1">IFERROR(IF(AI234&lt;=$AB$2,"-",INDEX(Calculation_Tab,SMALL(ROW(Main_Dil)*(Main_Dil&lt;&gt;"-"),COUNTIF(Main_Dil,"-")+ROW()-3-$AB$2)-9,21)),"-")</f>
        <v>-</v>
      </c>
      <c r="AQ234" s="511" t="str">
        <f t="array" aca="1" ref="AQ234" ca="1">IFERROR(IF(AI234&lt;=$AB$2,"-",INDEX(Calculation_Tab,SMALL(ROW(Main_Dil)*(Main_Dil&lt;&gt;"-"),COUNTIF(Main_Dil,"-")+ROW()-3-$AB$2)-9,22)),"-")</f>
        <v>-</v>
      </c>
      <c r="AR234" s="487" t="str">
        <f t="shared" ca="1" si="113"/>
        <v>-</v>
      </c>
      <c r="AS234" s="378">
        <v>231</v>
      </c>
      <c r="AT234" s="497" t="s">
        <v>162</v>
      </c>
      <c r="AU234" s="498">
        <v>39</v>
      </c>
      <c r="AV234" s="378" t="str">
        <f t="shared" ca="1" si="114"/>
        <v>-</v>
      </c>
      <c r="AW234" s="378" t="str">
        <f t="array" aca="1" ref="AW234" ca="1">IFERROR(IF(AS234&lt;=$AB$2+$AN$2,"-",INDEX(Calculation_Tab,SMALL(ROW(Direct_Denaturation)*(Direct_Denaturation&lt;&gt;"-"),COUNTIF(Direct_Denaturation,"-")+ROW()-3-$AB$2-$AN$2)-9,5)),"-")</f>
        <v>-</v>
      </c>
      <c r="AX234" s="378" t="str">
        <f t="array" aca="1" ref="AX234" ca="1">IFERROR(IF(AS234&lt;=$AB$2+$AN$2,"-",INDEX($A$3:$B$12,MATCH(INDEX(Calculation_Tab,SMALL(ROW(Direct_Denaturation)*(Direct_Denaturation&lt;&gt;"-"),COUNTIF(Direct_Denaturation,"-")+ROW()-3-$AB$2-$AN$2)-9,5),$A$3:$A$12,0),2)),"-")</f>
        <v>-</v>
      </c>
      <c r="AY234" s="378" t="str">
        <f t="array" aca="1" ref="AY234" ca="1">IFERROR(IF(AS234&lt;=$AB$2+$AN$2,"-",INDEX(Coordinate,MATCH(INDEX(Calculation_Tab,SMALL(ROW(Direct_Denaturation)*(Direct_Denaturation&lt;&gt;"-"),COUNTIF(Direct_Denaturation,"-")+ROW()-3-$AB$2-$AN$2)-9,6),$X$4:$X$99,0),2)),"-")</f>
        <v>-</v>
      </c>
      <c r="AZ234" s="510" t="str">
        <f t="array" aca="1" ref="AZ234" ca="1">IFERROR(IF(AS234&lt;=$AB$2+$AN$2,"-",INDEX(Calculation_Tab,SMALL(ROW(Direct_Denaturation)*(Direct_Denaturation&lt;&gt;"-"),COUNTIF(Direct_Denaturation,"-")+ROW()-3-$AB$2-$AN$2)-9,32)),"-")</f>
        <v>-</v>
      </c>
      <c r="BA234" s="510" t="str">
        <f t="array" aca="1" ref="BA234" ca="1">IFERROR(IF(AS234&lt;=$AB$2+$AN$2,"-",INDEX(Calculation_Tab,SMALL(ROW(Direct_Denaturation)*(Direct_Denaturation&lt;&gt;"-"),COUNTIF(Direct_Denaturation,"-")+ROW()-3-$AB$2-$AN$2)-9,34)),"-")</f>
        <v>-</v>
      </c>
      <c r="BB234" s="510" t="str">
        <f t="array" aca="1" ref="BB234" ca="1">IFERROR(IF(AS234&lt;=$AB$2+$AN$2,"-",INDEX(Calculation_Tab,SMALL(ROW(Direct_Denaturation)*(Direct_Denaturation&lt;&gt;"-"),COUNTIF(Direct_Denaturation,"-")+ROW()-3-$AB$2-$AN$2)-9,33)),"-")</f>
        <v>-</v>
      </c>
      <c r="BC234" s="510" t="str">
        <f t="array" aca="1" ref="BC234" ca="1">IFERROR(IF(AS234&lt;=$AB$2+$AN$2,"-",INDEX(Calculation_Tab,SMALL(ROW(Direct_Denaturation)*(Direct_Denaturation&lt;&gt;"-"),COUNTIF(Direct_Denaturation,"-")+ROW()-3-$AB$2-$AN$2)-9,35)),"-")</f>
        <v>-</v>
      </c>
      <c r="BD234" s="511" t="str">
        <f t="shared" ca="1" si="115"/>
        <v>-</v>
      </c>
      <c r="BK234" s="542" t="s">
        <v>82</v>
      </c>
      <c r="BL234" s="542" t="s">
        <v>82</v>
      </c>
      <c r="BM234" s="487" t="str">
        <f t="array" aca="1" ref="BM234" ca="1">IFERROR(INDEX(Calculation_Tab,SMALL(ROW(ToPool)*(ToPool&lt;&gt;"-"),COUNTIF(ToPool,"-")+ROW()-3)-9,3),"-")</f>
        <v>-</v>
      </c>
      <c r="BN234" s="378" t="str">
        <f t="shared" ca="1" si="116"/>
        <v>-</v>
      </c>
      <c r="BO234" s="378" t="str">
        <f t="shared" ca="1" si="117"/>
        <v>-</v>
      </c>
      <c r="BP234" s="523" t="str">
        <f t="shared" ca="1" si="118"/>
        <v>-</v>
      </c>
      <c r="BQ234" s="378" t="str">
        <f t="array" aca="1" ref="BQ234" ca="1">IFERROR(INDEX(BE:BG,MATCH(INDEX(Calculation_Tab,SMALL(ROW(ToPool)*(ToPool&lt;&gt;"-"),COUNTIF(ToPool,"-")+ROW()-3)-9,9),BG:BG,0),2),"-")</f>
        <v>-</v>
      </c>
      <c r="BR234" s="510" t="str">
        <f t="shared" ca="1" si="119"/>
        <v>-</v>
      </c>
      <c r="BS234" s="511" t="str">
        <f t="shared" ca="1" si="120"/>
        <v>-</v>
      </c>
      <c r="BT234" s="543" t="s">
        <v>82</v>
      </c>
      <c r="BU234" s="487" t="str">
        <f t="shared" ca="1" si="124"/>
        <v>-</v>
      </c>
      <c r="BV234" s="487" t="str">
        <f t="array" aca="1" ref="BV23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34" s="378" t="str">
        <f t="shared" ca="1" si="121"/>
        <v>-</v>
      </c>
      <c r="BX234" s="378" t="str">
        <f t="shared" ca="1" si="122"/>
        <v>-</v>
      </c>
      <c r="BY234" s="510" t="str">
        <f ca="1">IFERROR(ROUND(INDEX(Cluster,MATCH(IF(LEFT(BV234,4)="Pool",INDEX(Cluster,MATCH(INDEX(Calculation_Tab,MATCH(INDEX($BE$4:$BJ$99,MATCH(BV234,$BE$4:$BE$99,0),3),Flow_Cell_Lane,0),3),Cluster!$F$29:$F$412,0),6),BV234),Identifier_Cluster,0),19)*IF(LEFT(BV234,4)="pool",IF(LEN(INDEX($BE$4:$BJ$99,MATCH(BV234,$BE$4:$BE$99,0),3))=10,2,IF(LEN(INDEX($BE$4:$BJ$99,MATCH(BV234,$BE$4:$BE$99,0),3))&gt;10,LEN(INDEX($BE$4:$BJ$99,MATCH(BV234,$BE$4:$BE$99,0),3))-8,1)),1)*IF(LEFT(BV234,4)="pool",IF(INDEX($BE$4:$BJ$99,MATCH(BV234,$BE$4:$BE$99,0),6)&lt;1,1,INDEX($BE$4:$BJ$99,MATCH(BV234,$BE$4:$BE$99,0),6)),INDEX(Calculation_Tab,MATCH(BV234,Identifier,0),10)),1)*(1+Calculation!$Q$6),"-")</f>
        <v>-</v>
      </c>
      <c r="BZ234" s="378" t="str">
        <f ca="1">IFERROR((0.5/50)*CE234/Calculation!$AG$6*(IF(LEFT(BV234,4)="Pool",IF(LEN(INDEX($BE$4:$BJ$99,MATCH(BV234,$BE$4:$BE$99,0),3))=10,2,IF(LEN(INDEX($BE$4:$BJ$99,MATCH(BV234,$BE$4:$BE$99,0),3))&gt;10,LEN(INDEX($BE$4:$BJ$99,MATCH(BV234,$BE$4:$BE$99,0),3))-8,1)),IF(INDEX(Calculation_Tab,MATCH(BV234,Identifier,0),10)&gt;1,INDEX(Calculation_Tab,MATCH(BV234,Identifier,0),10),1)))*(1+Calculation!$Q$6),"-")</f>
        <v>-</v>
      </c>
      <c r="CA234" s="510" t="str">
        <f ca="1">IFERROR(IF((BZ234*Calculation!$AG$6/0.05)-SUM(BY234:BZ234,CC234)&gt;0,(BZ234*Calculation!$AG$6/0.05)-SUM(BY234:BZ234,CC234),0),"-")</f>
        <v>-</v>
      </c>
      <c r="CB234" s="510" t="str">
        <f ca="1">IFERROR(5/50*CE234*(IF(LEFT(BV234,4)="Pool",IF(LEN(INDEX($BE$4:$BJ$99,MATCH(BV234,$BE$4:$BE$99,0),3))=10,2,IF(LEN(INDEX($BE$4:$BJ$99,MATCH(BV234,$BE$4:$BE$99,0),3))&gt;10,LEN(INDEX($BE$4:$BJ$99,MATCH(BV234,$BE$4:$BE$99,0),3))-8,1)),IF(INDEX(Calculation_Tab,MATCH(BV234,Identifier,0),10)&gt;1,INDEX(Calculation_Tab,MATCH(BV234,Identifier,0),10),1)))*(1+Calculation!$Q$6),"-")</f>
        <v>-</v>
      </c>
      <c r="CC234" s="508" t="str">
        <f ca="1">IFERROR(ROUND(INDEX(Cluster,MATCH(IF(LEFT(BV234,4)="Pool",INDEX(Cluster,MATCH(INDEX(Calculation_Tab,MATCH(INDEX($BE$4:$BJ$99,MATCH(BV234,$BE$4:$BE$99,0),3),Flow_Cell_Lane,0),3),Cluster!$F$29:$F$412,0),6),BV234),Identifier_Cluster,0),20)*IF(LEFT(BV234,4)="pool",IF(LEN(INDEX($BE$4:$BJ$99,MATCH(BV234,$BE$4:$BE$99,0),3))=10,2,IF(LEN(INDEX($BE$4:$BJ$99,MATCH(BV234,$BE$4:$BE$99,0),3))&gt;10,LEN(INDEX($BE$4:$BJ$99,MATCH(BV234,$BE$4:$BE$99,0),3))-8,1)),1)*IF(LEFT(BV234,4)="pool",IF(INDEX($BE$4:$BJ$99,MATCH(BV234,$BE$4:$BE$99,0),6)&lt;1,1,INDEX($BE$4:$BJ$99,MATCH(BV234,$BE$4:$BE$99,0),6)),INDEX(Calculation_Tab,MATCH(BV234,Identifier,0),10)),1)*(1+Calculation!$Q$6),"-")</f>
        <v>-</v>
      </c>
      <c r="CD234" s="509" t="str">
        <f ca="1">IFERROR(INDEX(Cluster!AC:AD,MATCH(IF(LEFT(BV234,4)="Pool",INDEX(Cluster!$D$29:$AA$412,MATCH(INDEX(Calculation_Tab,MATCH(INDEX($BE$4:$BJ$99,MATCH(BV234,$BE$4:$BE$99,0),3),Flow_Cell_Lane,0),3),Cluster!$F$29:$F$412,0),24),INDEX(Cluster!$D$29:$AA$412,MATCH(BV234,Cluster!$F$29:$F$412,0),24)),Cluster!AC:AC,0),2),"-")</f>
        <v>-</v>
      </c>
      <c r="CE234" s="378" t="str">
        <f ca="1">IFERROR(IF(BV234&lt;&gt;"-",Calculation!$AK$6,"-"),"-")</f>
        <v>-</v>
      </c>
      <c r="CF234" s="378" t="str">
        <f ca="1">IF(OR(LEFT(ListAndConversion!BW234,3)="Dil",LEFT(ListAndConversion!BW234,3)="Poo"),ListAndConversion!$BT$4,IF(LEFT(ListAndConversion!BW234,3)="Sou",INDEX(ListAndConversion!$AT$3:$AV$387,MATCH(ListAndConversion!BV234,ListAndConversion!$AV$3:$AV$387,0),1),"-"))</f>
        <v>-</v>
      </c>
      <c r="CG234" s="498" t="str">
        <f ca="1">IF(OR(LEFT(ListAndConversion!BW234,3)="Dil",LEFT(ListAndConversion!BW234,3)="Poo"),ListAndConversion!BU234,IF(LEFT(ListAndConversion!BW234,3)="Sou",INDEX(ListAndConversion!$AT$4:$AV$387,MATCH(ListAndConversion!BV234,ListAndConversion!$AV$4:$AV$387,0),2),"-"))</f>
        <v>-</v>
      </c>
      <c r="CH234" s="378"/>
      <c r="CI234" s="487" t="str">
        <f t="shared" ca="1" si="123"/>
        <v>-</v>
      </c>
      <c r="CJ234" s="378" t="str">
        <f t="shared" ref="CJ234:CQ243" ca="1" si="132">IFERROR(INDEX($R$3:$U$98,MATCH(INDEX($F$3:$M$387,MATCH($CI234,$E$3:$E$386,0),CJ$3),$S$3:$S$98,0),4),"-")</f>
        <v>-</v>
      </c>
      <c r="CK234" s="378" t="str">
        <f t="shared" ca="1" si="132"/>
        <v>-</v>
      </c>
      <c r="CL234" s="378" t="str">
        <f t="shared" ca="1" si="132"/>
        <v>-</v>
      </c>
      <c r="CM234" s="378" t="str">
        <f t="shared" ca="1" si="132"/>
        <v>-</v>
      </c>
      <c r="CN234" s="378" t="str">
        <f t="shared" ca="1" si="132"/>
        <v>-</v>
      </c>
      <c r="CO234" s="378" t="str">
        <f t="shared" ca="1" si="132"/>
        <v>-</v>
      </c>
      <c r="CP234" s="378" t="str">
        <f t="shared" ca="1" si="132"/>
        <v>-</v>
      </c>
      <c r="CQ234" s="378" t="str">
        <f t="shared" ca="1" si="132"/>
        <v>-</v>
      </c>
      <c r="CR234" s="510" t="str">
        <f ca="1">IFERROR(IF(LEFT(BW234,3)="Poo",INDEX($BE$4:$BJ$99,MATCH(CI234,$BG$4:$BG$99,0),6)*((15/50))*Calculation!$AK$6,INDEX(Calculation_Tab,MATCH(BV234,Identifier,0),10)/(IF(LEN(INDEX(Calculation_Tab,MATCH(BV234,Identifier,0),9))&gt;8,LEN(INDEX(Calculation_Tab,MATCH(BV234,Identifier,0),9))-8,1))*((15/50)*Calculation!$AK$6)),"-")</f>
        <v>-</v>
      </c>
      <c r="CS234" s="498" t="str">
        <f ca="1">IF(CI234="-","-",IF(COUNTIF($CI$3:CI234,CI234)&gt;1,0,IFERROR((35/50)*Calculation!$AK$6,"-")))</f>
        <v>-</v>
      </c>
    </row>
    <row r="235" spans="4:97" x14ac:dyDescent="0.5">
      <c r="D235" s="487" t="e">
        <f t="shared" si="109"/>
        <v>#DIV/0!</v>
      </c>
      <c r="E235" s="496" t="e">
        <f t="array" ref="E235">IF(IF((ROW(E235)-3)&lt;(ListAndConversion!$A$15),INDEX(Flow_Cell_Lane,MIN(IF(COUNTIF($E$2:E234,Flow_Cell_Lane)=0,ROW(Flow_Cell_Lane)-9))),"-")="","-",IF((ROW(E235)-3)&lt;(ListAndConversion!$A$15),INDEX(Flow_Cell_Lane,MIN(IF(COUNTIF($E$2:E234,Flow_Cell_Lane)=0,ROW(Flow_Cell_Lane)-9))),"-"))</f>
        <v>#DIV/0!</v>
      </c>
      <c r="F235" s="378" t="e">
        <f t="shared" si="110"/>
        <v>#DIV/0!</v>
      </c>
      <c r="G235" s="378" t="e">
        <f t="shared" si="131"/>
        <v>#DIV/0!</v>
      </c>
      <c r="H235" s="378" t="e">
        <f t="shared" si="131"/>
        <v>#DIV/0!</v>
      </c>
      <c r="I235" s="378" t="e">
        <f t="shared" si="131"/>
        <v>#DIV/0!</v>
      </c>
      <c r="J235" s="378" t="e">
        <f t="shared" si="131"/>
        <v>#DIV/0!</v>
      </c>
      <c r="K235" s="378" t="e">
        <f t="shared" si="131"/>
        <v>#DIV/0!</v>
      </c>
      <c r="L235" s="378" t="e">
        <f t="shared" si="131"/>
        <v>#DIV/0!</v>
      </c>
      <c r="M235" s="378" t="e">
        <f t="shared" si="131"/>
        <v>#DIV/0!</v>
      </c>
      <c r="N235" s="497" t="e">
        <f t="shared" si="111"/>
        <v>#DIV/0!</v>
      </c>
      <c r="O235" s="497" t="str">
        <f t="array" ref="O235">IFERROR(INDEX(Calculation!I:AN,MATCH(ListAndConversion!E235,Calculation!I:I,0),31),"-")</f>
        <v>-</v>
      </c>
      <c r="P235" s="498">
        <f>IF(COUNTIFS(Calculation!$I$10:$I$393,E235,Direct_Denaturation,"-")&lt;&gt;1,COUNTIFS(Calculation!$I$10:$I$393,E235,Direct_Denaturation,"-"),0)</f>
        <v>0</v>
      </c>
      <c r="V235" s="542" t="s">
        <v>82</v>
      </c>
      <c r="W235" s="542" t="s">
        <v>82</v>
      </c>
      <c r="X235" s="542" t="s">
        <v>82</v>
      </c>
      <c r="Y235" s="542" t="s">
        <v>82</v>
      </c>
      <c r="Z235" s="542" t="s">
        <v>82</v>
      </c>
      <c r="AA235" s="542" t="s">
        <v>82</v>
      </c>
      <c r="AB235" s="542" t="s">
        <v>82</v>
      </c>
      <c r="AC235" s="542" t="s">
        <v>82</v>
      </c>
      <c r="AD235" s="542" t="s">
        <v>82</v>
      </c>
      <c r="AE235" s="542" t="s">
        <v>82</v>
      </c>
      <c r="AF235" s="542" t="s">
        <v>82</v>
      </c>
      <c r="AG235" s="542" t="s">
        <v>82</v>
      </c>
      <c r="AH235" s="9"/>
      <c r="AI235" s="487">
        <v>232</v>
      </c>
      <c r="AJ235" s="497" t="s">
        <v>162</v>
      </c>
      <c r="AK235" s="378">
        <v>40</v>
      </c>
      <c r="AL235" s="378" t="str">
        <f t="shared" ca="1" si="112"/>
        <v>-</v>
      </c>
      <c r="AM235" s="378" t="str">
        <f t="array" aca="1" ref="AM235" ca="1">IFERROR(IF(AI235&lt;=$AB$2,"-",INDEX(Calculation_Tab,SMALL(ROW(Main_Dil)*(Main_Dil&lt;&gt;"-"),COUNTIF(Main_Dil,"-")+ROW()-3-$AB$2)-9,5)),"-")</f>
        <v>-</v>
      </c>
      <c r="AN235" s="378" t="str">
        <f t="array" aca="1" ref="AN235" ca="1">IFERROR(IF(AI235&lt;=$AB$2,"-",INDEX($A$3:$B$12,MATCH(INDEX(Calculation_Tab,SMALL(ROW(Main_Dil)*(Main_Dil&lt;&gt;"-"),COUNTIF(Main_Dil,"-")+ROW()-3-$AB$2)-9,5),$A$3:$A$12,0),2)),"-")</f>
        <v>-</v>
      </c>
      <c r="AO235" s="378" t="str">
        <f t="array" aca="1" ref="AO235" ca="1">IFERROR(IF(AI235&lt;=$AB$2,"-",INDEX(Coordinate,MATCH(INDEX(Calculation_Tab,SMALL(ROW(Main_Dil)*(Main_Dil&lt;&gt;"-"),COUNTIF(Main_Dil,"-")+ROW()-3-$AB$2)-9,6),$X$4:$X$99,0),2)),"-")</f>
        <v>-</v>
      </c>
      <c r="AP235" s="510" t="str">
        <f t="array" aca="1" ref="AP235" ca="1">IFERROR(IF(AI235&lt;=$AB$2,"-",INDEX(Calculation_Tab,SMALL(ROW(Main_Dil)*(Main_Dil&lt;&gt;"-"),COUNTIF(Main_Dil,"-")+ROW()-3-$AB$2)-9,21)),"-")</f>
        <v>-</v>
      </c>
      <c r="AQ235" s="511" t="str">
        <f t="array" aca="1" ref="AQ235" ca="1">IFERROR(IF(AI235&lt;=$AB$2,"-",INDEX(Calculation_Tab,SMALL(ROW(Main_Dil)*(Main_Dil&lt;&gt;"-"),COUNTIF(Main_Dil,"-")+ROW()-3-$AB$2)-9,22)),"-")</f>
        <v>-</v>
      </c>
      <c r="AR235" s="487" t="str">
        <f t="shared" ca="1" si="113"/>
        <v>-</v>
      </c>
      <c r="AS235" s="378">
        <v>232</v>
      </c>
      <c r="AT235" s="497" t="s">
        <v>162</v>
      </c>
      <c r="AU235" s="498">
        <v>40</v>
      </c>
      <c r="AV235" s="378" t="str">
        <f t="shared" ca="1" si="114"/>
        <v>-</v>
      </c>
      <c r="AW235" s="378" t="str">
        <f t="array" aca="1" ref="AW235" ca="1">IFERROR(IF(AS235&lt;=$AB$2+$AN$2,"-",INDEX(Calculation_Tab,SMALL(ROW(Direct_Denaturation)*(Direct_Denaturation&lt;&gt;"-"),COUNTIF(Direct_Denaturation,"-")+ROW()-3-$AB$2-$AN$2)-9,5)),"-")</f>
        <v>-</v>
      </c>
      <c r="AX235" s="378" t="str">
        <f t="array" aca="1" ref="AX235" ca="1">IFERROR(IF(AS235&lt;=$AB$2+$AN$2,"-",INDEX($A$3:$B$12,MATCH(INDEX(Calculation_Tab,SMALL(ROW(Direct_Denaturation)*(Direct_Denaturation&lt;&gt;"-"),COUNTIF(Direct_Denaturation,"-")+ROW()-3-$AB$2-$AN$2)-9,5),$A$3:$A$12,0),2)),"-")</f>
        <v>-</v>
      </c>
      <c r="AY235" s="378" t="str">
        <f t="array" aca="1" ref="AY235" ca="1">IFERROR(IF(AS235&lt;=$AB$2+$AN$2,"-",INDEX(Coordinate,MATCH(INDEX(Calculation_Tab,SMALL(ROW(Direct_Denaturation)*(Direct_Denaturation&lt;&gt;"-"),COUNTIF(Direct_Denaturation,"-")+ROW()-3-$AB$2-$AN$2)-9,6),$X$4:$X$99,0),2)),"-")</f>
        <v>-</v>
      </c>
      <c r="AZ235" s="510" t="str">
        <f t="array" aca="1" ref="AZ235" ca="1">IFERROR(IF(AS235&lt;=$AB$2+$AN$2,"-",INDEX(Calculation_Tab,SMALL(ROW(Direct_Denaturation)*(Direct_Denaturation&lt;&gt;"-"),COUNTIF(Direct_Denaturation,"-")+ROW()-3-$AB$2-$AN$2)-9,32)),"-")</f>
        <v>-</v>
      </c>
      <c r="BA235" s="510" t="str">
        <f t="array" aca="1" ref="BA235" ca="1">IFERROR(IF(AS235&lt;=$AB$2+$AN$2,"-",INDEX(Calculation_Tab,SMALL(ROW(Direct_Denaturation)*(Direct_Denaturation&lt;&gt;"-"),COUNTIF(Direct_Denaturation,"-")+ROW()-3-$AB$2-$AN$2)-9,34)),"-")</f>
        <v>-</v>
      </c>
      <c r="BB235" s="510" t="str">
        <f t="array" aca="1" ref="BB235" ca="1">IFERROR(IF(AS235&lt;=$AB$2+$AN$2,"-",INDEX(Calculation_Tab,SMALL(ROW(Direct_Denaturation)*(Direct_Denaturation&lt;&gt;"-"),COUNTIF(Direct_Denaturation,"-")+ROW()-3-$AB$2-$AN$2)-9,33)),"-")</f>
        <v>-</v>
      </c>
      <c r="BC235" s="510" t="str">
        <f t="array" aca="1" ref="BC235" ca="1">IFERROR(IF(AS235&lt;=$AB$2+$AN$2,"-",INDEX(Calculation_Tab,SMALL(ROW(Direct_Denaturation)*(Direct_Denaturation&lt;&gt;"-"),COUNTIF(Direct_Denaturation,"-")+ROW()-3-$AB$2-$AN$2)-9,35)),"-")</f>
        <v>-</v>
      </c>
      <c r="BD235" s="511" t="str">
        <f t="shared" ca="1" si="115"/>
        <v>-</v>
      </c>
      <c r="BK235" s="542" t="s">
        <v>82</v>
      </c>
      <c r="BL235" s="542" t="s">
        <v>82</v>
      </c>
      <c r="BM235" s="487" t="str">
        <f t="array" aca="1" ref="BM235" ca="1">IFERROR(INDEX(Calculation_Tab,SMALL(ROW(ToPool)*(ToPool&lt;&gt;"-"),COUNTIF(ToPool,"-")+ROW()-3)-9,3),"-")</f>
        <v>-</v>
      </c>
      <c r="BN235" s="378" t="str">
        <f t="shared" ca="1" si="116"/>
        <v>-</v>
      </c>
      <c r="BO235" s="378" t="str">
        <f t="shared" ca="1" si="117"/>
        <v>-</v>
      </c>
      <c r="BP235" s="523" t="str">
        <f t="shared" ca="1" si="118"/>
        <v>-</v>
      </c>
      <c r="BQ235" s="378" t="str">
        <f t="array" aca="1" ref="BQ235" ca="1">IFERROR(INDEX(BE:BG,MATCH(INDEX(Calculation_Tab,SMALL(ROW(ToPool)*(ToPool&lt;&gt;"-"),COUNTIF(ToPool,"-")+ROW()-3)-9,9),BG:BG,0),2),"-")</f>
        <v>-</v>
      </c>
      <c r="BR235" s="510" t="str">
        <f t="shared" ca="1" si="119"/>
        <v>-</v>
      </c>
      <c r="BS235" s="511" t="str">
        <f t="shared" ca="1" si="120"/>
        <v>-</v>
      </c>
      <c r="BT235" s="543" t="s">
        <v>82</v>
      </c>
      <c r="BU235" s="487" t="str">
        <f t="shared" ca="1" si="124"/>
        <v>-</v>
      </c>
      <c r="BV235" s="487" t="str">
        <f t="array" aca="1" ref="BV23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35" s="378" t="str">
        <f t="shared" ca="1" si="121"/>
        <v>-</v>
      </c>
      <c r="BX235" s="378" t="str">
        <f t="shared" ca="1" si="122"/>
        <v>-</v>
      </c>
      <c r="BY235" s="510" t="str">
        <f ca="1">IFERROR(ROUND(INDEX(Cluster,MATCH(IF(LEFT(BV235,4)="Pool",INDEX(Cluster,MATCH(INDEX(Calculation_Tab,MATCH(INDEX($BE$4:$BJ$99,MATCH(BV235,$BE$4:$BE$99,0),3),Flow_Cell_Lane,0),3),Cluster!$F$29:$F$412,0),6),BV235),Identifier_Cluster,0),19)*IF(LEFT(BV235,4)="pool",IF(LEN(INDEX($BE$4:$BJ$99,MATCH(BV235,$BE$4:$BE$99,0),3))=10,2,IF(LEN(INDEX($BE$4:$BJ$99,MATCH(BV235,$BE$4:$BE$99,0),3))&gt;10,LEN(INDEX($BE$4:$BJ$99,MATCH(BV235,$BE$4:$BE$99,0),3))-8,1)),1)*IF(LEFT(BV235,4)="pool",IF(INDEX($BE$4:$BJ$99,MATCH(BV235,$BE$4:$BE$99,0),6)&lt;1,1,INDEX($BE$4:$BJ$99,MATCH(BV235,$BE$4:$BE$99,0),6)),INDEX(Calculation_Tab,MATCH(BV235,Identifier,0),10)),1)*(1+Calculation!$Q$6),"-")</f>
        <v>-</v>
      </c>
      <c r="BZ235" s="378" t="str">
        <f ca="1">IFERROR((0.5/50)*CE235/Calculation!$AG$6*(IF(LEFT(BV235,4)="Pool",IF(LEN(INDEX($BE$4:$BJ$99,MATCH(BV235,$BE$4:$BE$99,0),3))=10,2,IF(LEN(INDEX($BE$4:$BJ$99,MATCH(BV235,$BE$4:$BE$99,0),3))&gt;10,LEN(INDEX($BE$4:$BJ$99,MATCH(BV235,$BE$4:$BE$99,0),3))-8,1)),IF(INDEX(Calculation_Tab,MATCH(BV235,Identifier,0),10)&gt;1,INDEX(Calculation_Tab,MATCH(BV235,Identifier,0),10),1)))*(1+Calculation!$Q$6),"-")</f>
        <v>-</v>
      </c>
      <c r="CA235" s="510" t="str">
        <f ca="1">IFERROR(IF((BZ235*Calculation!$AG$6/0.05)-SUM(BY235:BZ235,CC235)&gt;0,(BZ235*Calculation!$AG$6/0.05)-SUM(BY235:BZ235,CC235),0),"-")</f>
        <v>-</v>
      </c>
      <c r="CB235" s="510" t="str">
        <f ca="1">IFERROR(5/50*CE235*(IF(LEFT(BV235,4)="Pool",IF(LEN(INDEX($BE$4:$BJ$99,MATCH(BV235,$BE$4:$BE$99,0),3))=10,2,IF(LEN(INDEX($BE$4:$BJ$99,MATCH(BV235,$BE$4:$BE$99,0),3))&gt;10,LEN(INDEX($BE$4:$BJ$99,MATCH(BV235,$BE$4:$BE$99,0),3))-8,1)),IF(INDEX(Calculation_Tab,MATCH(BV235,Identifier,0),10)&gt;1,INDEX(Calculation_Tab,MATCH(BV235,Identifier,0),10),1)))*(1+Calculation!$Q$6),"-")</f>
        <v>-</v>
      </c>
      <c r="CC235" s="508" t="str">
        <f ca="1">IFERROR(ROUND(INDEX(Cluster,MATCH(IF(LEFT(BV235,4)="Pool",INDEX(Cluster,MATCH(INDEX(Calculation_Tab,MATCH(INDEX($BE$4:$BJ$99,MATCH(BV235,$BE$4:$BE$99,0),3),Flow_Cell_Lane,0),3),Cluster!$F$29:$F$412,0),6),BV235),Identifier_Cluster,0),20)*IF(LEFT(BV235,4)="pool",IF(LEN(INDEX($BE$4:$BJ$99,MATCH(BV235,$BE$4:$BE$99,0),3))=10,2,IF(LEN(INDEX($BE$4:$BJ$99,MATCH(BV235,$BE$4:$BE$99,0),3))&gt;10,LEN(INDEX($BE$4:$BJ$99,MATCH(BV235,$BE$4:$BE$99,0),3))-8,1)),1)*IF(LEFT(BV235,4)="pool",IF(INDEX($BE$4:$BJ$99,MATCH(BV235,$BE$4:$BE$99,0),6)&lt;1,1,INDEX($BE$4:$BJ$99,MATCH(BV235,$BE$4:$BE$99,0),6)),INDEX(Calculation_Tab,MATCH(BV235,Identifier,0),10)),1)*(1+Calculation!$Q$6),"-")</f>
        <v>-</v>
      </c>
      <c r="CD235" s="509" t="str">
        <f ca="1">IFERROR(INDEX(Cluster!AC:AD,MATCH(IF(LEFT(BV235,4)="Pool",INDEX(Cluster!$D$29:$AA$412,MATCH(INDEX(Calculation_Tab,MATCH(INDEX($BE$4:$BJ$99,MATCH(BV235,$BE$4:$BE$99,0),3),Flow_Cell_Lane,0),3),Cluster!$F$29:$F$412,0),24),INDEX(Cluster!$D$29:$AA$412,MATCH(BV235,Cluster!$F$29:$F$412,0),24)),Cluster!AC:AC,0),2),"-")</f>
        <v>-</v>
      </c>
      <c r="CE235" s="378" t="str">
        <f ca="1">IFERROR(IF(BV235&lt;&gt;"-",Calculation!$AK$6,"-"),"-")</f>
        <v>-</v>
      </c>
      <c r="CF235" s="378" t="str">
        <f ca="1">IF(OR(LEFT(ListAndConversion!BW235,3)="Dil",LEFT(ListAndConversion!BW235,3)="Poo"),ListAndConversion!$BT$4,IF(LEFT(ListAndConversion!BW235,3)="Sou",INDEX(ListAndConversion!$AT$3:$AV$387,MATCH(ListAndConversion!BV235,ListAndConversion!$AV$3:$AV$387,0),1),"-"))</f>
        <v>-</v>
      </c>
      <c r="CG235" s="498" t="str">
        <f ca="1">IF(OR(LEFT(ListAndConversion!BW235,3)="Dil",LEFT(ListAndConversion!BW235,3)="Poo"),ListAndConversion!BU235,IF(LEFT(ListAndConversion!BW235,3)="Sou",INDEX(ListAndConversion!$AT$4:$AV$387,MATCH(ListAndConversion!BV235,ListAndConversion!$AV$4:$AV$387,0),2),"-"))</f>
        <v>-</v>
      </c>
      <c r="CH235" s="378"/>
      <c r="CI235" s="487" t="str">
        <f t="shared" ca="1" si="123"/>
        <v>-</v>
      </c>
      <c r="CJ235" s="378" t="str">
        <f t="shared" ca="1" si="132"/>
        <v>-</v>
      </c>
      <c r="CK235" s="378" t="str">
        <f t="shared" ca="1" si="132"/>
        <v>-</v>
      </c>
      <c r="CL235" s="378" t="str">
        <f t="shared" ca="1" si="132"/>
        <v>-</v>
      </c>
      <c r="CM235" s="378" t="str">
        <f t="shared" ca="1" si="132"/>
        <v>-</v>
      </c>
      <c r="CN235" s="378" t="str">
        <f t="shared" ca="1" si="132"/>
        <v>-</v>
      </c>
      <c r="CO235" s="378" t="str">
        <f t="shared" ca="1" si="132"/>
        <v>-</v>
      </c>
      <c r="CP235" s="378" t="str">
        <f t="shared" ca="1" si="132"/>
        <v>-</v>
      </c>
      <c r="CQ235" s="378" t="str">
        <f t="shared" ca="1" si="132"/>
        <v>-</v>
      </c>
      <c r="CR235" s="510" t="str">
        <f ca="1">IFERROR(IF(LEFT(BW235,3)="Poo",INDEX($BE$4:$BJ$99,MATCH(CI235,$BG$4:$BG$99,0),6)*((15/50))*Calculation!$AK$6,INDEX(Calculation_Tab,MATCH(BV235,Identifier,0),10)/(IF(LEN(INDEX(Calculation_Tab,MATCH(BV235,Identifier,0),9))&gt;8,LEN(INDEX(Calculation_Tab,MATCH(BV235,Identifier,0),9))-8,1))*((15/50)*Calculation!$AK$6)),"-")</f>
        <v>-</v>
      </c>
      <c r="CS235" s="498" t="str">
        <f ca="1">IF(CI235="-","-",IF(COUNTIF($CI$3:CI235,CI235)&gt;1,0,IFERROR((35/50)*Calculation!$AK$6,"-")))</f>
        <v>-</v>
      </c>
    </row>
    <row r="236" spans="4:97" x14ac:dyDescent="0.5">
      <c r="D236" s="487" t="e">
        <f t="shared" si="109"/>
        <v>#DIV/0!</v>
      </c>
      <c r="E236" s="496" t="e">
        <f t="array" ref="E236">IF(IF((ROW(E236)-3)&lt;(ListAndConversion!$A$15),INDEX(Flow_Cell_Lane,MIN(IF(COUNTIF($E$2:E235,Flow_Cell_Lane)=0,ROW(Flow_Cell_Lane)-9))),"-")="","-",IF((ROW(E236)-3)&lt;(ListAndConversion!$A$15),INDEX(Flow_Cell_Lane,MIN(IF(COUNTIF($E$2:E235,Flow_Cell_Lane)=0,ROW(Flow_Cell_Lane)-9))),"-"))</f>
        <v>#DIV/0!</v>
      </c>
      <c r="F236" s="378" t="e">
        <f t="shared" si="110"/>
        <v>#DIV/0!</v>
      </c>
      <c r="G236" s="378" t="e">
        <f t="shared" si="131"/>
        <v>#DIV/0!</v>
      </c>
      <c r="H236" s="378" t="e">
        <f t="shared" si="131"/>
        <v>#DIV/0!</v>
      </c>
      <c r="I236" s="378" t="e">
        <f t="shared" si="131"/>
        <v>#DIV/0!</v>
      </c>
      <c r="J236" s="378" t="e">
        <f t="shared" si="131"/>
        <v>#DIV/0!</v>
      </c>
      <c r="K236" s="378" t="e">
        <f t="shared" si="131"/>
        <v>#DIV/0!</v>
      </c>
      <c r="L236" s="378" t="e">
        <f t="shared" si="131"/>
        <v>#DIV/0!</v>
      </c>
      <c r="M236" s="378" t="e">
        <f t="shared" si="131"/>
        <v>#DIV/0!</v>
      </c>
      <c r="N236" s="497" t="e">
        <f t="shared" si="111"/>
        <v>#DIV/0!</v>
      </c>
      <c r="O236" s="497" t="str">
        <f t="array" ref="O236">IFERROR(INDEX(Calculation!I:AN,MATCH(ListAndConversion!E236,Calculation!I:I,0),31),"-")</f>
        <v>-</v>
      </c>
      <c r="P236" s="498">
        <f>IF(COUNTIFS(Calculation!$I$10:$I$393,E236,Direct_Denaturation,"-")&lt;&gt;1,COUNTIFS(Calculation!$I$10:$I$393,E236,Direct_Denaturation,"-"),0)</f>
        <v>0</v>
      </c>
      <c r="V236" s="542" t="s">
        <v>82</v>
      </c>
      <c r="W236" s="542" t="s">
        <v>82</v>
      </c>
      <c r="X236" s="542" t="s">
        <v>82</v>
      </c>
      <c r="Y236" s="542" t="s">
        <v>82</v>
      </c>
      <c r="Z236" s="542" t="s">
        <v>82</v>
      </c>
      <c r="AA236" s="542" t="s">
        <v>82</v>
      </c>
      <c r="AB236" s="542" t="s">
        <v>82</v>
      </c>
      <c r="AC236" s="542" t="s">
        <v>82</v>
      </c>
      <c r="AD236" s="542" t="s">
        <v>82</v>
      </c>
      <c r="AE236" s="542" t="s">
        <v>82</v>
      </c>
      <c r="AF236" s="542" t="s">
        <v>82</v>
      </c>
      <c r="AG236" s="542" t="s">
        <v>82</v>
      </c>
      <c r="AH236" s="9"/>
      <c r="AI236" s="487">
        <v>233</v>
      </c>
      <c r="AJ236" s="497" t="s">
        <v>162</v>
      </c>
      <c r="AK236" s="378">
        <v>41</v>
      </c>
      <c r="AL236" s="378" t="str">
        <f t="shared" ca="1" si="112"/>
        <v>-</v>
      </c>
      <c r="AM236" s="378" t="str">
        <f t="array" aca="1" ref="AM236" ca="1">IFERROR(IF(AI236&lt;=$AB$2,"-",INDEX(Calculation_Tab,SMALL(ROW(Main_Dil)*(Main_Dil&lt;&gt;"-"),COUNTIF(Main_Dil,"-")+ROW()-3-$AB$2)-9,5)),"-")</f>
        <v>-</v>
      </c>
      <c r="AN236" s="378" t="str">
        <f t="array" aca="1" ref="AN236" ca="1">IFERROR(IF(AI236&lt;=$AB$2,"-",INDEX($A$3:$B$12,MATCH(INDEX(Calculation_Tab,SMALL(ROW(Main_Dil)*(Main_Dil&lt;&gt;"-"),COUNTIF(Main_Dil,"-")+ROW()-3-$AB$2)-9,5),$A$3:$A$12,0),2)),"-")</f>
        <v>-</v>
      </c>
      <c r="AO236" s="378" t="str">
        <f t="array" aca="1" ref="AO236" ca="1">IFERROR(IF(AI236&lt;=$AB$2,"-",INDEX(Coordinate,MATCH(INDEX(Calculation_Tab,SMALL(ROW(Main_Dil)*(Main_Dil&lt;&gt;"-"),COUNTIF(Main_Dil,"-")+ROW()-3-$AB$2)-9,6),$X$4:$X$99,0),2)),"-")</f>
        <v>-</v>
      </c>
      <c r="AP236" s="510" t="str">
        <f t="array" aca="1" ref="AP236" ca="1">IFERROR(IF(AI236&lt;=$AB$2,"-",INDEX(Calculation_Tab,SMALL(ROW(Main_Dil)*(Main_Dil&lt;&gt;"-"),COUNTIF(Main_Dil,"-")+ROW()-3-$AB$2)-9,21)),"-")</f>
        <v>-</v>
      </c>
      <c r="AQ236" s="511" t="str">
        <f t="array" aca="1" ref="AQ236" ca="1">IFERROR(IF(AI236&lt;=$AB$2,"-",INDEX(Calculation_Tab,SMALL(ROW(Main_Dil)*(Main_Dil&lt;&gt;"-"),COUNTIF(Main_Dil,"-")+ROW()-3-$AB$2)-9,22)),"-")</f>
        <v>-</v>
      </c>
      <c r="AR236" s="487" t="str">
        <f t="shared" ca="1" si="113"/>
        <v>-</v>
      </c>
      <c r="AS236" s="378">
        <v>233</v>
      </c>
      <c r="AT236" s="497" t="s">
        <v>162</v>
      </c>
      <c r="AU236" s="498">
        <v>41</v>
      </c>
      <c r="AV236" s="378" t="str">
        <f t="shared" ca="1" si="114"/>
        <v>-</v>
      </c>
      <c r="AW236" s="378" t="str">
        <f t="array" aca="1" ref="AW236" ca="1">IFERROR(IF(AS236&lt;=$AB$2+$AN$2,"-",INDEX(Calculation_Tab,SMALL(ROW(Direct_Denaturation)*(Direct_Denaturation&lt;&gt;"-"),COUNTIF(Direct_Denaturation,"-")+ROW()-3-$AB$2-$AN$2)-9,5)),"-")</f>
        <v>-</v>
      </c>
      <c r="AX236" s="378" t="str">
        <f t="array" aca="1" ref="AX236" ca="1">IFERROR(IF(AS236&lt;=$AB$2+$AN$2,"-",INDEX($A$3:$B$12,MATCH(INDEX(Calculation_Tab,SMALL(ROW(Direct_Denaturation)*(Direct_Denaturation&lt;&gt;"-"),COUNTIF(Direct_Denaturation,"-")+ROW()-3-$AB$2-$AN$2)-9,5),$A$3:$A$12,0),2)),"-")</f>
        <v>-</v>
      </c>
      <c r="AY236" s="378" t="str">
        <f t="array" aca="1" ref="AY236" ca="1">IFERROR(IF(AS236&lt;=$AB$2+$AN$2,"-",INDEX(Coordinate,MATCH(INDEX(Calculation_Tab,SMALL(ROW(Direct_Denaturation)*(Direct_Denaturation&lt;&gt;"-"),COUNTIF(Direct_Denaturation,"-")+ROW()-3-$AB$2-$AN$2)-9,6),$X$4:$X$99,0),2)),"-")</f>
        <v>-</v>
      </c>
      <c r="AZ236" s="510" t="str">
        <f t="array" aca="1" ref="AZ236" ca="1">IFERROR(IF(AS236&lt;=$AB$2+$AN$2,"-",INDEX(Calculation_Tab,SMALL(ROW(Direct_Denaturation)*(Direct_Denaturation&lt;&gt;"-"),COUNTIF(Direct_Denaturation,"-")+ROW()-3-$AB$2-$AN$2)-9,32)),"-")</f>
        <v>-</v>
      </c>
      <c r="BA236" s="510" t="str">
        <f t="array" aca="1" ref="BA236" ca="1">IFERROR(IF(AS236&lt;=$AB$2+$AN$2,"-",INDEX(Calculation_Tab,SMALL(ROW(Direct_Denaturation)*(Direct_Denaturation&lt;&gt;"-"),COUNTIF(Direct_Denaturation,"-")+ROW()-3-$AB$2-$AN$2)-9,34)),"-")</f>
        <v>-</v>
      </c>
      <c r="BB236" s="510" t="str">
        <f t="array" aca="1" ref="BB236" ca="1">IFERROR(IF(AS236&lt;=$AB$2+$AN$2,"-",INDEX(Calculation_Tab,SMALL(ROW(Direct_Denaturation)*(Direct_Denaturation&lt;&gt;"-"),COUNTIF(Direct_Denaturation,"-")+ROW()-3-$AB$2-$AN$2)-9,33)),"-")</f>
        <v>-</v>
      </c>
      <c r="BC236" s="510" t="str">
        <f t="array" aca="1" ref="BC236" ca="1">IFERROR(IF(AS236&lt;=$AB$2+$AN$2,"-",INDEX(Calculation_Tab,SMALL(ROW(Direct_Denaturation)*(Direct_Denaturation&lt;&gt;"-"),COUNTIF(Direct_Denaturation,"-")+ROW()-3-$AB$2-$AN$2)-9,35)),"-")</f>
        <v>-</v>
      </c>
      <c r="BD236" s="511" t="str">
        <f t="shared" ca="1" si="115"/>
        <v>-</v>
      </c>
      <c r="BK236" s="542" t="s">
        <v>82</v>
      </c>
      <c r="BL236" s="542" t="s">
        <v>82</v>
      </c>
      <c r="BM236" s="487" t="str">
        <f t="array" aca="1" ref="BM236" ca="1">IFERROR(INDEX(Calculation_Tab,SMALL(ROW(ToPool)*(ToPool&lt;&gt;"-"),COUNTIF(ToPool,"-")+ROW()-3)-9,3),"-")</f>
        <v>-</v>
      </c>
      <c r="BN236" s="378" t="str">
        <f t="shared" ca="1" si="116"/>
        <v>-</v>
      </c>
      <c r="BO236" s="378" t="str">
        <f t="shared" ca="1" si="117"/>
        <v>-</v>
      </c>
      <c r="BP236" s="523" t="str">
        <f t="shared" ca="1" si="118"/>
        <v>-</v>
      </c>
      <c r="BQ236" s="378" t="str">
        <f t="array" aca="1" ref="BQ236" ca="1">IFERROR(INDEX(BE:BG,MATCH(INDEX(Calculation_Tab,SMALL(ROW(ToPool)*(ToPool&lt;&gt;"-"),COUNTIF(ToPool,"-")+ROW()-3)-9,9),BG:BG,0),2),"-")</f>
        <v>-</v>
      </c>
      <c r="BR236" s="510" t="str">
        <f t="shared" ca="1" si="119"/>
        <v>-</v>
      </c>
      <c r="BS236" s="511" t="str">
        <f t="shared" ca="1" si="120"/>
        <v>-</v>
      </c>
      <c r="BT236" s="543" t="s">
        <v>82</v>
      </c>
      <c r="BU236" s="487" t="str">
        <f t="shared" ca="1" si="124"/>
        <v>-</v>
      </c>
      <c r="BV236" s="487" t="str">
        <f t="array" aca="1" ref="BV23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36" s="378" t="str">
        <f t="shared" ca="1" si="121"/>
        <v>-</v>
      </c>
      <c r="BX236" s="378" t="str">
        <f t="shared" ca="1" si="122"/>
        <v>-</v>
      </c>
      <c r="BY236" s="510" t="str">
        <f ca="1">IFERROR(ROUND(INDEX(Cluster,MATCH(IF(LEFT(BV236,4)="Pool",INDEX(Cluster,MATCH(INDEX(Calculation_Tab,MATCH(INDEX($BE$4:$BJ$99,MATCH(BV236,$BE$4:$BE$99,0),3),Flow_Cell_Lane,0),3),Cluster!$F$29:$F$412,0),6),BV236),Identifier_Cluster,0),19)*IF(LEFT(BV236,4)="pool",IF(LEN(INDEX($BE$4:$BJ$99,MATCH(BV236,$BE$4:$BE$99,0),3))=10,2,IF(LEN(INDEX($BE$4:$BJ$99,MATCH(BV236,$BE$4:$BE$99,0),3))&gt;10,LEN(INDEX($BE$4:$BJ$99,MATCH(BV236,$BE$4:$BE$99,0),3))-8,1)),1)*IF(LEFT(BV236,4)="pool",IF(INDEX($BE$4:$BJ$99,MATCH(BV236,$BE$4:$BE$99,0),6)&lt;1,1,INDEX($BE$4:$BJ$99,MATCH(BV236,$BE$4:$BE$99,0),6)),INDEX(Calculation_Tab,MATCH(BV236,Identifier,0),10)),1)*(1+Calculation!$Q$6),"-")</f>
        <v>-</v>
      </c>
      <c r="BZ236" s="378" t="str">
        <f ca="1">IFERROR((0.5/50)*CE236/Calculation!$AG$6*(IF(LEFT(BV236,4)="Pool",IF(LEN(INDEX($BE$4:$BJ$99,MATCH(BV236,$BE$4:$BE$99,0),3))=10,2,IF(LEN(INDEX($BE$4:$BJ$99,MATCH(BV236,$BE$4:$BE$99,0),3))&gt;10,LEN(INDEX($BE$4:$BJ$99,MATCH(BV236,$BE$4:$BE$99,0),3))-8,1)),IF(INDEX(Calculation_Tab,MATCH(BV236,Identifier,0),10)&gt;1,INDEX(Calculation_Tab,MATCH(BV236,Identifier,0),10),1)))*(1+Calculation!$Q$6),"-")</f>
        <v>-</v>
      </c>
      <c r="CA236" s="510" t="str">
        <f ca="1">IFERROR(IF((BZ236*Calculation!$AG$6/0.05)-SUM(BY236:BZ236,CC236)&gt;0,(BZ236*Calculation!$AG$6/0.05)-SUM(BY236:BZ236,CC236),0),"-")</f>
        <v>-</v>
      </c>
      <c r="CB236" s="510" t="str">
        <f ca="1">IFERROR(5/50*CE236*(IF(LEFT(BV236,4)="Pool",IF(LEN(INDEX($BE$4:$BJ$99,MATCH(BV236,$BE$4:$BE$99,0),3))=10,2,IF(LEN(INDEX($BE$4:$BJ$99,MATCH(BV236,$BE$4:$BE$99,0),3))&gt;10,LEN(INDEX($BE$4:$BJ$99,MATCH(BV236,$BE$4:$BE$99,0),3))-8,1)),IF(INDEX(Calculation_Tab,MATCH(BV236,Identifier,0),10)&gt;1,INDEX(Calculation_Tab,MATCH(BV236,Identifier,0),10),1)))*(1+Calculation!$Q$6),"-")</f>
        <v>-</v>
      </c>
      <c r="CC236" s="508" t="str">
        <f ca="1">IFERROR(ROUND(INDEX(Cluster,MATCH(IF(LEFT(BV236,4)="Pool",INDEX(Cluster,MATCH(INDEX(Calculation_Tab,MATCH(INDEX($BE$4:$BJ$99,MATCH(BV236,$BE$4:$BE$99,0),3),Flow_Cell_Lane,0),3),Cluster!$F$29:$F$412,0),6),BV236),Identifier_Cluster,0),20)*IF(LEFT(BV236,4)="pool",IF(LEN(INDEX($BE$4:$BJ$99,MATCH(BV236,$BE$4:$BE$99,0),3))=10,2,IF(LEN(INDEX($BE$4:$BJ$99,MATCH(BV236,$BE$4:$BE$99,0),3))&gt;10,LEN(INDEX($BE$4:$BJ$99,MATCH(BV236,$BE$4:$BE$99,0),3))-8,1)),1)*IF(LEFT(BV236,4)="pool",IF(INDEX($BE$4:$BJ$99,MATCH(BV236,$BE$4:$BE$99,0),6)&lt;1,1,INDEX($BE$4:$BJ$99,MATCH(BV236,$BE$4:$BE$99,0),6)),INDEX(Calculation_Tab,MATCH(BV236,Identifier,0),10)),1)*(1+Calculation!$Q$6),"-")</f>
        <v>-</v>
      </c>
      <c r="CD236" s="509" t="str">
        <f ca="1">IFERROR(INDEX(Cluster!AC:AD,MATCH(IF(LEFT(BV236,4)="Pool",INDEX(Cluster!$D$29:$AA$412,MATCH(INDEX(Calculation_Tab,MATCH(INDEX($BE$4:$BJ$99,MATCH(BV236,$BE$4:$BE$99,0),3),Flow_Cell_Lane,0),3),Cluster!$F$29:$F$412,0),24),INDEX(Cluster!$D$29:$AA$412,MATCH(BV236,Cluster!$F$29:$F$412,0),24)),Cluster!AC:AC,0),2),"-")</f>
        <v>-</v>
      </c>
      <c r="CE236" s="378" t="str">
        <f ca="1">IFERROR(IF(BV236&lt;&gt;"-",Calculation!$AK$6,"-"),"-")</f>
        <v>-</v>
      </c>
      <c r="CF236" s="378" t="str">
        <f ca="1">IF(OR(LEFT(ListAndConversion!BW236,3)="Dil",LEFT(ListAndConversion!BW236,3)="Poo"),ListAndConversion!$BT$4,IF(LEFT(ListAndConversion!BW236,3)="Sou",INDEX(ListAndConversion!$AT$3:$AV$387,MATCH(ListAndConversion!BV236,ListAndConversion!$AV$3:$AV$387,0),1),"-"))</f>
        <v>-</v>
      </c>
      <c r="CG236" s="498" t="str">
        <f ca="1">IF(OR(LEFT(ListAndConversion!BW236,3)="Dil",LEFT(ListAndConversion!BW236,3)="Poo"),ListAndConversion!BU236,IF(LEFT(ListAndConversion!BW236,3)="Sou",INDEX(ListAndConversion!$AT$4:$AV$387,MATCH(ListAndConversion!BV236,ListAndConversion!$AV$4:$AV$387,0),2),"-"))</f>
        <v>-</v>
      </c>
      <c r="CH236" s="378"/>
      <c r="CI236" s="487" t="str">
        <f t="shared" ca="1" si="123"/>
        <v>-</v>
      </c>
      <c r="CJ236" s="378" t="str">
        <f t="shared" ca="1" si="132"/>
        <v>-</v>
      </c>
      <c r="CK236" s="378" t="str">
        <f t="shared" ca="1" si="132"/>
        <v>-</v>
      </c>
      <c r="CL236" s="378" t="str">
        <f t="shared" ca="1" si="132"/>
        <v>-</v>
      </c>
      <c r="CM236" s="378" t="str">
        <f t="shared" ca="1" si="132"/>
        <v>-</v>
      </c>
      <c r="CN236" s="378" t="str">
        <f t="shared" ca="1" si="132"/>
        <v>-</v>
      </c>
      <c r="CO236" s="378" t="str">
        <f t="shared" ca="1" si="132"/>
        <v>-</v>
      </c>
      <c r="CP236" s="378" t="str">
        <f t="shared" ca="1" si="132"/>
        <v>-</v>
      </c>
      <c r="CQ236" s="378" t="str">
        <f t="shared" ca="1" si="132"/>
        <v>-</v>
      </c>
      <c r="CR236" s="510" t="str">
        <f ca="1">IFERROR(IF(LEFT(BW236,3)="Poo",INDEX($BE$4:$BJ$99,MATCH(CI236,$BG$4:$BG$99,0),6)*((15/50))*Calculation!$AK$6,INDEX(Calculation_Tab,MATCH(BV236,Identifier,0),10)/(IF(LEN(INDEX(Calculation_Tab,MATCH(BV236,Identifier,0),9))&gt;8,LEN(INDEX(Calculation_Tab,MATCH(BV236,Identifier,0),9))-8,1))*((15/50)*Calculation!$AK$6)),"-")</f>
        <v>-</v>
      </c>
      <c r="CS236" s="498" t="str">
        <f ca="1">IF(CI236="-","-",IF(COUNTIF($CI$3:CI236,CI236)&gt;1,0,IFERROR((35/50)*Calculation!$AK$6,"-")))</f>
        <v>-</v>
      </c>
    </row>
    <row r="237" spans="4:97" x14ac:dyDescent="0.5">
      <c r="D237" s="487" t="e">
        <f t="shared" si="109"/>
        <v>#DIV/0!</v>
      </c>
      <c r="E237" s="496" t="e">
        <f t="array" ref="E237">IF(IF((ROW(E237)-3)&lt;(ListAndConversion!$A$15),INDEX(Flow_Cell_Lane,MIN(IF(COUNTIF($E$2:E236,Flow_Cell_Lane)=0,ROW(Flow_Cell_Lane)-9))),"-")="","-",IF((ROW(E237)-3)&lt;(ListAndConversion!$A$15),INDEX(Flow_Cell_Lane,MIN(IF(COUNTIF($E$2:E236,Flow_Cell_Lane)=0,ROW(Flow_Cell_Lane)-9))),"-"))</f>
        <v>#DIV/0!</v>
      </c>
      <c r="F237" s="378" t="e">
        <f t="shared" si="110"/>
        <v>#DIV/0!</v>
      </c>
      <c r="G237" s="378" t="e">
        <f t="shared" si="131"/>
        <v>#DIV/0!</v>
      </c>
      <c r="H237" s="378" t="e">
        <f t="shared" si="131"/>
        <v>#DIV/0!</v>
      </c>
      <c r="I237" s="378" t="e">
        <f t="shared" si="131"/>
        <v>#DIV/0!</v>
      </c>
      <c r="J237" s="378" t="e">
        <f t="shared" si="131"/>
        <v>#DIV/0!</v>
      </c>
      <c r="K237" s="378" t="e">
        <f t="shared" si="131"/>
        <v>#DIV/0!</v>
      </c>
      <c r="L237" s="378" t="e">
        <f t="shared" si="131"/>
        <v>#DIV/0!</v>
      </c>
      <c r="M237" s="378" t="e">
        <f t="shared" si="131"/>
        <v>#DIV/0!</v>
      </c>
      <c r="N237" s="497" t="e">
        <f t="shared" si="111"/>
        <v>#DIV/0!</v>
      </c>
      <c r="O237" s="497" t="str">
        <f t="array" ref="O237">IFERROR(INDEX(Calculation!I:AN,MATCH(ListAndConversion!E237,Calculation!I:I,0),31),"-")</f>
        <v>-</v>
      </c>
      <c r="P237" s="498">
        <f>IF(COUNTIFS(Calculation!$I$10:$I$393,E237,Direct_Denaturation,"-")&lt;&gt;1,COUNTIFS(Calculation!$I$10:$I$393,E237,Direct_Denaturation,"-"),0)</f>
        <v>0</v>
      </c>
      <c r="V237" s="542" t="s">
        <v>82</v>
      </c>
      <c r="W237" s="542" t="s">
        <v>82</v>
      </c>
      <c r="X237" s="542" t="s">
        <v>82</v>
      </c>
      <c r="Y237" s="542" t="s">
        <v>82</v>
      </c>
      <c r="Z237" s="542" t="s">
        <v>82</v>
      </c>
      <c r="AA237" s="542" t="s">
        <v>82</v>
      </c>
      <c r="AB237" s="542" t="s">
        <v>82</v>
      </c>
      <c r="AC237" s="542" t="s">
        <v>82</v>
      </c>
      <c r="AD237" s="542" t="s">
        <v>82</v>
      </c>
      <c r="AE237" s="542" t="s">
        <v>82</v>
      </c>
      <c r="AF237" s="542" t="s">
        <v>82</v>
      </c>
      <c r="AG237" s="542" t="s">
        <v>82</v>
      </c>
      <c r="AH237" s="9"/>
      <c r="AI237" s="487">
        <v>234</v>
      </c>
      <c r="AJ237" s="497" t="s">
        <v>162</v>
      </c>
      <c r="AK237" s="378">
        <v>42</v>
      </c>
      <c r="AL237" s="378" t="str">
        <f t="shared" ca="1" si="112"/>
        <v>-</v>
      </c>
      <c r="AM237" s="378" t="str">
        <f t="array" aca="1" ref="AM237" ca="1">IFERROR(IF(AI237&lt;=$AB$2,"-",INDEX(Calculation_Tab,SMALL(ROW(Main_Dil)*(Main_Dil&lt;&gt;"-"),COUNTIF(Main_Dil,"-")+ROW()-3-$AB$2)-9,5)),"-")</f>
        <v>-</v>
      </c>
      <c r="AN237" s="378" t="str">
        <f t="array" aca="1" ref="AN237" ca="1">IFERROR(IF(AI237&lt;=$AB$2,"-",INDEX($A$3:$B$12,MATCH(INDEX(Calculation_Tab,SMALL(ROW(Main_Dil)*(Main_Dil&lt;&gt;"-"),COUNTIF(Main_Dil,"-")+ROW()-3-$AB$2)-9,5),$A$3:$A$12,0),2)),"-")</f>
        <v>-</v>
      </c>
      <c r="AO237" s="378" t="str">
        <f t="array" aca="1" ref="AO237" ca="1">IFERROR(IF(AI237&lt;=$AB$2,"-",INDEX(Coordinate,MATCH(INDEX(Calculation_Tab,SMALL(ROW(Main_Dil)*(Main_Dil&lt;&gt;"-"),COUNTIF(Main_Dil,"-")+ROW()-3-$AB$2)-9,6),$X$4:$X$99,0),2)),"-")</f>
        <v>-</v>
      </c>
      <c r="AP237" s="510" t="str">
        <f t="array" aca="1" ref="AP237" ca="1">IFERROR(IF(AI237&lt;=$AB$2,"-",INDEX(Calculation_Tab,SMALL(ROW(Main_Dil)*(Main_Dil&lt;&gt;"-"),COUNTIF(Main_Dil,"-")+ROW()-3-$AB$2)-9,21)),"-")</f>
        <v>-</v>
      </c>
      <c r="AQ237" s="511" t="str">
        <f t="array" aca="1" ref="AQ237" ca="1">IFERROR(IF(AI237&lt;=$AB$2,"-",INDEX(Calculation_Tab,SMALL(ROW(Main_Dil)*(Main_Dil&lt;&gt;"-"),COUNTIF(Main_Dil,"-")+ROW()-3-$AB$2)-9,22)),"-")</f>
        <v>-</v>
      </c>
      <c r="AR237" s="487" t="str">
        <f t="shared" ca="1" si="113"/>
        <v>-</v>
      </c>
      <c r="AS237" s="378">
        <v>234</v>
      </c>
      <c r="AT237" s="497" t="s">
        <v>162</v>
      </c>
      <c r="AU237" s="498">
        <v>42</v>
      </c>
      <c r="AV237" s="378" t="str">
        <f t="shared" ca="1" si="114"/>
        <v>-</v>
      </c>
      <c r="AW237" s="378" t="str">
        <f t="array" aca="1" ref="AW237" ca="1">IFERROR(IF(AS237&lt;=$AB$2+$AN$2,"-",INDEX(Calculation_Tab,SMALL(ROW(Direct_Denaturation)*(Direct_Denaturation&lt;&gt;"-"),COUNTIF(Direct_Denaturation,"-")+ROW()-3-$AB$2-$AN$2)-9,5)),"-")</f>
        <v>-</v>
      </c>
      <c r="AX237" s="378" t="str">
        <f t="array" aca="1" ref="AX237" ca="1">IFERROR(IF(AS237&lt;=$AB$2+$AN$2,"-",INDEX($A$3:$B$12,MATCH(INDEX(Calculation_Tab,SMALL(ROW(Direct_Denaturation)*(Direct_Denaturation&lt;&gt;"-"),COUNTIF(Direct_Denaturation,"-")+ROW()-3-$AB$2-$AN$2)-9,5),$A$3:$A$12,0),2)),"-")</f>
        <v>-</v>
      </c>
      <c r="AY237" s="378" t="str">
        <f t="array" aca="1" ref="AY237" ca="1">IFERROR(IF(AS237&lt;=$AB$2+$AN$2,"-",INDEX(Coordinate,MATCH(INDEX(Calculation_Tab,SMALL(ROW(Direct_Denaturation)*(Direct_Denaturation&lt;&gt;"-"),COUNTIF(Direct_Denaturation,"-")+ROW()-3-$AB$2-$AN$2)-9,6),$X$4:$X$99,0),2)),"-")</f>
        <v>-</v>
      </c>
      <c r="AZ237" s="510" t="str">
        <f t="array" aca="1" ref="AZ237" ca="1">IFERROR(IF(AS237&lt;=$AB$2+$AN$2,"-",INDEX(Calculation_Tab,SMALL(ROW(Direct_Denaturation)*(Direct_Denaturation&lt;&gt;"-"),COUNTIF(Direct_Denaturation,"-")+ROW()-3-$AB$2-$AN$2)-9,32)),"-")</f>
        <v>-</v>
      </c>
      <c r="BA237" s="510" t="str">
        <f t="array" aca="1" ref="BA237" ca="1">IFERROR(IF(AS237&lt;=$AB$2+$AN$2,"-",INDEX(Calculation_Tab,SMALL(ROW(Direct_Denaturation)*(Direct_Denaturation&lt;&gt;"-"),COUNTIF(Direct_Denaturation,"-")+ROW()-3-$AB$2-$AN$2)-9,34)),"-")</f>
        <v>-</v>
      </c>
      <c r="BB237" s="510" t="str">
        <f t="array" aca="1" ref="BB237" ca="1">IFERROR(IF(AS237&lt;=$AB$2+$AN$2,"-",INDEX(Calculation_Tab,SMALL(ROW(Direct_Denaturation)*(Direct_Denaturation&lt;&gt;"-"),COUNTIF(Direct_Denaturation,"-")+ROW()-3-$AB$2-$AN$2)-9,33)),"-")</f>
        <v>-</v>
      </c>
      <c r="BC237" s="510" t="str">
        <f t="array" aca="1" ref="BC237" ca="1">IFERROR(IF(AS237&lt;=$AB$2+$AN$2,"-",INDEX(Calculation_Tab,SMALL(ROW(Direct_Denaturation)*(Direct_Denaturation&lt;&gt;"-"),COUNTIF(Direct_Denaturation,"-")+ROW()-3-$AB$2-$AN$2)-9,35)),"-")</f>
        <v>-</v>
      </c>
      <c r="BD237" s="511" t="str">
        <f t="shared" ca="1" si="115"/>
        <v>-</v>
      </c>
      <c r="BK237" s="542" t="s">
        <v>82</v>
      </c>
      <c r="BL237" s="542" t="s">
        <v>82</v>
      </c>
      <c r="BM237" s="487" t="str">
        <f t="array" aca="1" ref="BM237" ca="1">IFERROR(INDEX(Calculation_Tab,SMALL(ROW(ToPool)*(ToPool&lt;&gt;"-"),COUNTIF(ToPool,"-")+ROW()-3)-9,3),"-")</f>
        <v>-</v>
      </c>
      <c r="BN237" s="378" t="str">
        <f t="shared" ca="1" si="116"/>
        <v>-</v>
      </c>
      <c r="BO237" s="378" t="str">
        <f t="shared" ca="1" si="117"/>
        <v>-</v>
      </c>
      <c r="BP237" s="523" t="str">
        <f t="shared" ca="1" si="118"/>
        <v>-</v>
      </c>
      <c r="BQ237" s="378" t="str">
        <f t="array" aca="1" ref="BQ237" ca="1">IFERROR(INDEX(BE:BG,MATCH(INDEX(Calculation_Tab,SMALL(ROW(ToPool)*(ToPool&lt;&gt;"-"),COUNTIF(ToPool,"-")+ROW()-3)-9,9),BG:BG,0),2),"-")</f>
        <v>-</v>
      </c>
      <c r="BR237" s="510" t="str">
        <f t="shared" ca="1" si="119"/>
        <v>-</v>
      </c>
      <c r="BS237" s="511" t="str">
        <f t="shared" ca="1" si="120"/>
        <v>-</v>
      </c>
      <c r="BT237" s="543" t="s">
        <v>82</v>
      </c>
      <c r="BU237" s="487" t="str">
        <f t="shared" ca="1" si="124"/>
        <v>-</v>
      </c>
      <c r="BV237" s="487" t="str">
        <f t="array" aca="1" ref="BV23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37" s="378" t="str">
        <f t="shared" ca="1" si="121"/>
        <v>-</v>
      </c>
      <c r="BX237" s="378" t="str">
        <f t="shared" ca="1" si="122"/>
        <v>-</v>
      </c>
      <c r="BY237" s="510" t="str">
        <f ca="1">IFERROR(ROUND(INDEX(Cluster,MATCH(IF(LEFT(BV237,4)="Pool",INDEX(Cluster,MATCH(INDEX(Calculation_Tab,MATCH(INDEX($BE$4:$BJ$99,MATCH(BV237,$BE$4:$BE$99,0),3),Flow_Cell_Lane,0),3),Cluster!$F$29:$F$412,0),6),BV237),Identifier_Cluster,0),19)*IF(LEFT(BV237,4)="pool",IF(LEN(INDEX($BE$4:$BJ$99,MATCH(BV237,$BE$4:$BE$99,0),3))=10,2,IF(LEN(INDEX($BE$4:$BJ$99,MATCH(BV237,$BE$4:$BE$99,0),3))&gt;10,LEN(INDEX($BE$4:$BJ$99,MATCH(BV237,$BE$4:$BE$99,0),3))-8,1)),1)*IF(LEFT(BV237,4)="pool",IF(INDEX($BE$4:$BJ$99,MATCH(BV237,$BE$4:$BE$99,0),6)&lt;1,1,INDEX($BE$4:$BJ$99,MATCH(BV237,$BE$4:$BE$99,0),6)),INDEX(Calculation_Tab,MATCH(BV237,Identifier,0),10)),1)*(1+Calculation!$Q$6),"-")</f>
        <v>-</v>
      </c>
      <c r="BZ237" s="378" t="str">
        <f ca="1">IFERROR((0.5/50)*CE237/Calculation!$AG$6*(IF(LEFT(BV237,4)="Pool",IF(LEN(INDEX($BE$4:$BJ$99,MATCH(BV237,$BE$4:$BE$99,0),3))=10,2,IF(LEN(INDEX($BE$4:$BJ$99,MATCH(BV237,$BE$4:$BE$99,0),3))&gt;10,LEN(INDEX($BE$4:$BJ$99,MATCH(BV237,$BE$4:$BE$99,0),3))-8,1)),IF(INDEX(Calculation_Tab,MATCH(BV237,Identifier,0),10)&gt;1,INDEX(Calculation_Tab,MATCH(BV237,Identifier,0),10),1)))*(1+Calculation!$Q$6),"-")</f>
        <v>-</v>
      </c>
      <c r="CA237" s="510" t="str">
        <f ca="1">IFERROR(IF((BZ237*Calculation!$AG$6/0.05)-SUM(BY237:BZ237,CC237)&gt;0,(BZ237*Calculation!$AG$6/0.05)-SUM(BY237:BZ237,CC237),0),"-")</f>
        <v>-</v>
      </c>
      <c r="CB237" s="510" t="str">
        <f ca="1">IFERROR(5/50*CE237*(IF(LEFT(BV237,4)="Pool",IF(LEN(INDEX($BE$4:$BJ$99,MATCH(BV237,$BE$4:$BE$99,0),3))=10,2,IF(LEN(INDEX($BE$4:$BJ$99,MATCH(BV237,$BE$4:$BE$99,0),3))&gt;10,LEN(INDEX($BE$4:$BJ$99,MATCH(BV237,$BE$4:$BE$99,0),3))-8,1)),IF(INDEX(Calculation_Tab,MATCH(BV237,Identifier,0),10)&gt;1,INDEX(Calculation_Tab,MATCH(BV237,Identifier,0),10),1)))*(1+Calculation!$Q$6),"-")</f>
        <v>-</v>
      </c>
      <c r="CC237" s="508" t="str">
        <f ca="1">IFERROR(ROUND(INDEX(Cluster,MATCH(IF(LEFT(BV237,4)="Pool",INDEX(Cluster,MATCH(INDEX(Calculation_Tab,MATCH(INDEX($BE$4:$BJ$99,MATCH(BV237,$BE$4:$BE$99,0),3),Flow_Cell_Lane,0),3),Cluster!$F$29:$F$412,0),6),BV237),Identifier_Cluster,0),20)*IF(LEFT(BV237,4)="pool",IF(LEN(INDEX($BE$4:$BJ$99,MATCH(BV237,$BE$4:$BE$99,0),3))=10,2,IF(LEN(INDEX($BE$4:$BJ$99,MATCH(BV237,$BE$4:$BE$99,0),3))&gt;10,LEN(INDEX($BE$4:$BJ$99,MATCH(BV237,$BE$4:$BE$99,0),3))-8,1)),1)*IF(LEFT(BV237,4)="pool",IF(INDEX($BE$4:$BJ$99,MATCH(BV237,$BE$4:$BE$99,0),6)&lt;1,1,INDEX($BE$4:$BJ$99,MATCH(BV237,$BE$4:$BE$99,0),6)),INDEX(Calculation_Tab,MATCH(BV237,Identifier,0),10)),1)*(1+Calculation!$Q$6),"-")</f>
        <v>-</v>
      </c>
      <c r="CD237" s="509" t="str">
        <f ca="1">IFERROR(INDEX(Cluster!AC:AD,MATCH(IF(LEFT(BV237,4)="Pool",INDEX(Cluster!$D$29:$AA$412,MATCH(INDEX(Calculation_Tab,MATCH(INDEX($BE$4:$BJ$99,MATCH(BV237,$BE$4:$BE$99,0),3),Flow_Cell_Lane,0),3),Cluster!$F$29:$F$412,0),24),INDEX(Cluster!$D$29:$AA$412,MATCH(BV237,Cluster!$F$29:$F$412,0),24)),Cluster!AC:AC,0),2),"-")</f>
        <v>-</v>
      </c>
      <c r="CE237" s="378" t="str">
        <f ca="1">IFERROR(IF(BV237&lt;&gt;"-",Calculation!$AK$6,"-"),"-")</f>
        <v>-</v>
      </c>
      <c r="CF237" s="378" t="str">
        <f ca="1">IF(OR(LEFT(ListAndConversion!BW237,3)="Dil",LEFT(ListAndConversion!BW237,3)="Poo"),ListAndConversion!$BT$4,IF(LEFT(ListAndConversion!BW237,3)="Sou",INDEX(ListAndConversion!$AT$3:$AV$387,MATCH(ListAndConversion!BV237,ListAndConversion!$AV$3:$AV$387,0),1),"-"))</f>
        <v>-</v>
      </c>
      <c r="CG237" s="498" t="str">
        <f ca="1">IF(OR(LEFT(ListAndConversion!BW237,3)="Dil",LEFT(ListAndConversion!BW237,3)="Poo"),ListAndConversion!BU237,IF(LEFT(ListAndConversion!BW237,3)="Sou",INDEX(ListAndConversion!$AT$4:$AV$387,MATCH(ListAndConversion!BV237,ListAndConversion!$AV$4:$AV$387,0),2),"-"))</f>
        <v>-</v>
      </c>
      <c r="CH237" s="378"/>
      <c r="CI237" s="487" t="str">
        <f t="shared" ca="1" si="123"/>
        <v>-</v>
      </c>
      <c r="CJ237" s="378" t="str">
        <f t="shared" ca="1" si="132"/>
        <v>-</v>
      </c>
      <c r="CK237" s="378" t="str">
        <f t="shared" ca="1" si="132"/>
        <v>-</v>
      </c>
      <c r="CL237" s="378" t="str">
        <f t="shared" ca="1" si="132"/>
        <v>-</v>
      </c>
      <c r="CM237" s="378" t="str">
        <f t="shared" ca="1" si="132"/>
        <v>-</v>
      </c>
      <c r="CN237" s="378" t="str">
        <f t="shared" ca="1" si="132"/>
        <v>-</v>
      </c>
      <c r="CO237" s="378" t="str">
        <f t="shared" ca="1" si="132"/>
        <v>-</v>
      </c>
      <c r="CP237" s="378" t="str">
        <f t="shared" ca="1" si="132"/>
        <v>-</v>
      </c>
      <c r="CQ237" s="378" t="str">
        <f t="shared" ca="1" si="132"/>
        <v>-</v>
      </c>
      <c r="CR237" s="510" t="str">
        <f ca="1">IFERROR(IF(LEFT(BW237,3)="Poo",INDEX($BE$4:$BJ$99,MATCH(CI237,$BG$4:$BG$99,0),6)*((15/50))*Calculation!$AK$6,INDEX(Calculation_Tab,MATCH(BV237,Identifier,0),10)/(IF(LEN(INDEX(Calculation_Tab,MATCH(BV237,Identifier,0),9))&gt;8,LEN(INDEX(Calculation_Tab,MATCH(BV237,Identifier,0),9))-8,1))*((15/50)*Calculation!$AK$6)),"-")</f>
        <v>-</v>
      </c>
      <c r="CS237" s="498" t="str">
        <f ca="1">IF(CI237="-","-",IF(COUNTIF($CI$3:CI237,CI237)&gt;1,0,IFERROR((35/50)*Calculation!$AK$6,"-")))</f>
        <v>-</v>
      </c>
    </row>
    <row r="238" spans="4:97" x14ac:dyDescent="0.5">
      <c r="D238" s="487" t="e">
        <f t="shared" si="109"/>
        <v>#DIV/0!</v>
      </c>
      <c r="E238" s="496" t="e">
        <f t="array" ref="E238">IF(IF((ROW(E238)-3)&lt;(ListAndConversion!$A$15),INDEX(Flow_Cell_Lane,MIN(IF(COUNTIF($E$2:E237,Flow_Cell_Lane)=0,ROW(Flow_Cell_Lane)-9))),"-")="","-",IF((ROW(E238)-3)&lt;(ListAndConversion!$A$15),INDEX(Flow_Cell_Lane,MIN(IF(COUNTIF($E$2:E237,Flow_Cell_Lane)=0,ROW(Flow_Cell_Lane)-9))),"-"))</f>
        <v>#DIV/0!</v>
      </c>
      <c r="F238" s="378" t="e">
        <f t="shared" si="110"/>
        <v>#DIV/0!</v>
      </c>
      <c r="G238" s="378" t="e">
        <f t="shared" si="131"/>
        <v>#DIV/0!</v>
      </c>
      <c r="H238" s="378" t="e">
        <f t="shared" si="131"/>
        <v>#DIV/0!</v>
      </c>
      <c r="I238" s="378" t="e">
        <f t="shared" si="131"/>
        <v>#DIV/0!</v>
      </c>
      <c r="J238" s="378" t="e">
        <f t="shared" si="131"/>
        <v>#DIV/0!</v>
      </c>
      <c r="K238" s="378" t="e">
        <f t="shared" si="131"/>
        <v>#DIV/0!</v>
      </c>
      <c r="L238" s="378" t="e">
        <f t="shared" si="131"/>
        <v>#DIV/0!</v>
      </c>
      <c r="M238" s="378" t="e">
        <f t="shared" si="131"/>
        <v>#DIV/0!</v>
      </c>
      <c r="N238" s="497" t="e">
        <f t="shared" si="111"/>
        <v>#DIV/0!</v>
      </c>
      <c r="O238" s="497" t="str">
        <f t="array" ref="O238">IFERROR(INDEX(Calculation!I:AN,MATCH(ListAndConversion!E238,Calculation!I:I,0),31),"-")</f>
        <v>-</v>
      </c>
      <c r="P238" s="498">
        <f>IF(COUNTIFS(Calculation!$I$10:$I$393,E238,Direct_Denaturation,"-")&lt;&gt;1,COUNTIFS(Calculation!$I$10:$I$393,E238,Direct_Denaturation,"-"),0)</f>
        <v>0</v>
      </c>
      <c r="V238" s="542" t="s">
        <v>82</v>
      </c>
      <c r="W238" s="542" t="s">
        <v>82</v>
      </c>
      <c r="X238" s="542" t="s">
        <v>82</v>
      </c>
      <c r="Y238" s="542" t="s">
        <v>82</v>
      </c>
      <c r="Z238" s="542" t="s">
        <v>82</v>
      </c>
      <c r="AA238" s="542" t="s">
        <v>82</v>
      </c>
      <c r="AB238" s="542" t="s">
        <v>82</v>
      </c>
      <c r="AC238" s="542" t="s">
        <v>82</v>
      </c>
      <c r="AD238" s="542" t="s">
        <v>82</v>
      </c>
      <c r="AE238" s="542" t="s">
        <v>82</v>
      </c>
      <c r="AF238" s="542" t="s">
        <v>82</v>
      </c>
      <c r="AG238" s="542" t="s">
        <v>82</v>
      </c>
      <c r="AH238" s="9"/>
      <c r="AI238" s="487">
        <v>235</v>
      </c>
      <c r="AJ238" s="497" t="s">
        <v>162</v>
      </c>
      <c r="AK238" s="378">
        <v>43</v>
      </c>
      <c r="AL238" s="378" t="str">
        <f t="shared" ca="1" si="112"/>
        <v>-</v>
      </c>
      <c r="AM238" s="378" t="str">
        <f t="array" aca="1" ref="AM238" ca="1">IFERROR(IF(AI238&lt;=$AB$2,"-",INDEX(Calculation_Tab,SMALL(ROW(Main_Dil)*(Main_Dil&lt;&gt;"-"),COUNTIF(Main_Dil,"-")+ROW()-3-$AB$2)-9,5)),"-")</f>
        <v>-</v>
      </c>
      <c r="AN238" s="378" t="str">
        <f t="array" aca="1" ref="AN238" ca="1">IFERROR(IF(AI238&lt;=$AB$2,"-",INDEX($A$3:$B$12,MATCH(INDEX(Calculation_Tab,SMALL(ROW(Main_Dil)*(Main_Dil&lt;&gt;"-"),COUNTIF(Main_Dil,"-")+ROW()-3-$AB$2)-9,5),$A$3:$A$12,0),2)),"-")</f>
        <v>-</v>
      </c>
      <c r="AO238" s="378" t="str">
        <f t="array" aca="1" ref="AO238" ca="1">IFERROR(IF(AI238&lt;=$AB$2,"-",INDEX(Coordinate,MATCH(INDEX(Calculation_Tab,SMALL(ROW(Main_Dil)*(Main_Dil&lt;&gt;"-"),COUNTIF(Main_Dil,"-")+ROW()-3-$AB$2)-9,6),$X$4:$X$99,0),2)),"-")</f>
        <v>-</v>
      </c>
      <c r="AP238" s="510" t="str">
        <f t="array" aca="1" ref="AP238" ca="1">IFERROR(IF(AI238&lt;=$AB$2,"-",INDEX(Calculation_Tab,SMALL(ROW(Main_Dil)*(Main_Dil&lt;&gt;"-"),COUNTIF(Main_Dil,"-")+ROW()-3-$AB$2)-9,21)),"-")</f>
        <v>-</v>
      </c>
      <c r="AQ238" s="511" t="str">
        <f t="array" aca="1" ref="AQ238" ca="1">IFERROR(IF(AI238&lt;=$AB$2,"-",INDEX(Calculation_Tab,SMALL(ROW(Main_Dil)*(Main_Dil&lt;&gt;"-"),COUNTIF(Main_Dil,"-")+ROW()-3-$AB$2)-9,22)),"-")</f>
        <v>-</v>
      </c>
      <c r="AR238" s="487" t="str">
        <f t="shared" ca="1" si="113"/>
        <v>-</v>
      </c>
      <c r="AS238" s="378">
        <v>235</v>
      </c>
      <c r="AT238" s="497" t="s">
        <v>162</v>
      </c>
      <c r="AU238" s="498">
        <v>43</v>
      </c>
      <c r="AV238" s="378" t="str">
        <f t="shared" ca="1" si="114"/>
        <v>-</v>
      </c>
      <c r="AW238" s="378" t="str">
        <f t="array" aca="1" ref="AW238" ca="1">IFERROR(IF(AS238&lt;=$AB$2+$AN$2,"-",INDEX(Calculation_Tab,SMALL(ROW(Direct_Denaturation)*(Direct_Denaturation&lt;&gt;"-"),COUNTIF(Direct_Denaturation,"-")+ROW()-3-$AB$2-$AN$2)-9,5)),"-")</f>
        <v>-</v>
      </c>
      <c r="AX238" s="378" t="str">
        <f t="array" aca="1" ref="AX238" ca="1">IFERROR(IF(AS238&lt;=$AB$2+$AN$2,"-",INDEX($A$3:$B$12,MATCH(INDEX(Calculation_Tab,SMALL(ROW(Direct_Denaturation)*(Direct_Denaturation&lt;&gt;"-"),COUNTIF(Direct_Denaturation,"-")+ROW()-3-$AB$2-$AN$2)-9,5),$A$3:$A$12,0),2)),"-")</f>
        <v>-</v>
      </c>
      <c r="AY238" s="378" t="str">
        <f t="array" aca="1" ref="AY238" ca="1">IFERROR(IF(AS238&lt;=$AB$2+$AN$2,"-",INDEX(Coordinate,MATCH(INDEX(Calculation_Tab,SMALL(ROW(Direct_Denaturation)*(Direct_Denaturation&lt;&gt;"-"),COUNTIF(Direct_Denaturation,"-")+ROW()-3-$AB$2-$AN$2)-9,6),$X$4:$X$99,0),2)),"-")</f>
        <v>-</v>
      </c>
      <c r="AZ238" s="510" t="str">
        <f t="array" aca="1" ref="AZ238" ca="1">IFERROR(IF(AS238&lt;=$AB$2+$AN$2,"-",INDEX(Calculation_Tab,SMALL(ROW(Direct_Denaturation)*(Direct_Denaturation&lt;&gt;"-"),COUNTIF(Direct_Denaturation,"-")+ROW()-3-$AB$2-$AN$2)-9,32)),"-")</f>
        <v>-</v>
      </c>
      <c r="BA238" s="510" t="str">
        <f t="array" aca="1" ref="BA238" ca="1">IFERROR(IF(AS238&lt;=$AB$2+$AN$2,"-",INDEX(Calculation_Tab,SMALL(ROW(Direct_Denaturation)*(Direct_Denaturation&lt;&gt;"-"),COUNTIF(Direct_Denaturation,"-")+ROW()-3-$AB$2-$AN$2)-9,34)),"-")</f>
        <v>-</v>
      </c>
      <c r="BB238" s="510" t="str">
        <f t="array" aca="1" ref="BB238" ca="1">IFERROR(IF(AS238&lt;=$AB$2+$AN$2,"-",INDEX(Calculation_Tab,SMALL(ROW(Direct_Denaturation)*(Direct_Denaturation&lt;&gt;"-"),COUNTIF(Direct_Denaturation,"-")+ROW()-3-$AB$2-$AN$2)-9,33)),"-")</f>
        <v>-</v>
      </c>
      <c r="BC238" s="510" t="str">
        <f t="array" aca="1" ref="BC238" ca="1">IFERROR(IF(AS238&lt;=$AB$2+$AN$2,"-",INDEX(Calculation_Tab,SMALL(ROW(Direct_Denaturation)*(Direct_Denaturation&lt;&gt;"-"),COUNTIF(Direct_Denaturation,"-")+ROW()-3-$AB$2-$AN$2)-9,35)),"-")</f>
        <v>-</v>
      </c>
      <c r="BD238" s="511" t="str">
        <f t="shared" ca="1" si="115"/>
        <v>-</v>
      </c>
      <c r="BK238" s="542" t="s">
        <v>82</v>
      </c>
      <c r="BL238" s="542" t="s">
        <v>82</v>
      </c>
      <c r="BM238" s="487" t="str">
        <f t="array" aca="1" ref="BM238" ca="1">IFERROR(INDEX(Calculation_Tab,SMALL(ROW(ToPool)*(ToPool&lt;&gt;"-"),COUNTIF(ToPool,"-")+ROW()-3)-9,3),"-")</f>
        <v>-</v>
      </c>
      <c r="BN238" s="378" t="str">
        <f t="shared" ca="1" si="116"/>
        <v>-</v>
      </c>
      <c r="BO238" s="378" t="str">
        <f t="shared" ca="1" si="117"/>
        <v>-</v>
      </c>
      <c r="BP238" s="523" t="str">
        <f t="shared" ca="1" si="118"/>
        <v>-</v>
      </c>
      <c r="BQ238" s="378" t="str">
        <f t="array" aca="1" ref="BQ238" ca="1">IFERROR(INDEX(BE:BG,MATCH(INDEX(Calculation_Tab,SMALL(ROW(ToPool)*(ToPool&lt;&gt;"-"),COUNTIF(ToPool,"-")+ROW()-3)-9,9),BG:BG,0),2),"-")</f>
        <v>-</v>
      </c>
      <c r="BR238" s="510" t="str">
        <f t="shared" ca="1" si="119"/>
        <v>-</v>
      </c>
      <c r="BS238" s="511" t="str">
        <f t="shared" ca="1" si="120"/>
        <v>-</v>
      </c>
      <c r="BT238" s="543" t="s">
        <v>82</v>
      </c>
      <c r="BU238" s="487" t="str">
        <f t="shared" ca="1" si="124"/>
        <v>-</v>
      </c>
      <c r="BV238" s="487" t="str">
        <f t="array" aca="1" ref="BV23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38" s="378" t="str">
        <f t="shared" ca="1" si="121"/>
        <v>-</v>
      </c>
      <c r="BX238" s="378" t="str">
        <f t="shared" ca="1" si="122"/>
        <v>-</v>
      </c>
      <c r="BY238" s="510" t="str">
        <f ca="1">IFERROR(ROUND(INDEX(Cluster,MATCH(IF(LEFT(BV238,4)="Pool",INDEX(Cluster,MATCH(INDEX(Calculation_Tab,MATCH(INDEX($BE$4:$BJ$99,MATCH(BV238,$BE$4:$BE$99,0),3),Flow_Cell_Lane,0),3),Cluster!$F$29:$F$412,0),6),BV238),Identifier_Cluster,0),19)*IF(LEFT(BV238,4)="pool",IF(LEN(INDEX($BE$4:$BJ$99,MATCH(BV238,$BE$4:$BE$99,0),3))=10,2,IF(LEN(INDEX($BE$4:$BJ$99,MATCH(BV238,$BE$4:$BE$99,0),3))&gt;10,LEN(INDEX($BE$4:$BJ$99,MATCH(BV238,$BE$4:$BE$99,0),3))-8,1)),1)*IF(LEFT(BV238,4)="pool",IF(INDEX($BE$4:$BJ$99,MATCH(BV238,$BE$4:$BE$99,0),6)&lt;1,1,INDEX($BE$4:$BJ$99,MATCH(BV238,$BE$4:$BE$99,0),6)),INDEX(Calculation_Tab,MATCH(BV238,Identifier,0),10)),1)*(1+Calculation!$Q$6),"-")</f>
        <v>-</v>
      </c>
      <c r="BZ238" s="378" t="str">
        <f ca="1">IFERROR((0.5/50)*CE238/Calculation!$AG$6*(IF(LEFT(BV238,4)="Pool",IF(LEN(INDEX($BE$4:$BJ$99,MATCH(BV238,$BE$4:$BE$99,0),3))=10,2,IF(LEN(INDEX($BE$4:$BJ$99,MATCH(BV238,$BE$4:$BE$99,0),3))&gt;10,LEN(INDEX($BE$4:$BJ$99,MATCH(BV238,$BE$4:$BE$99,0),3))-8,1)),IF(INDEX(Calculation_Tab,MATCH(BV238,Identifier,0),10)&gt;1,INDEX(Calculation_Tab,MATCH(BV238,Identifier,0),10),1)))*(1+Calculation!$Q$6),"-")</f>
        <v>-</v>
      </c>
      <c r="CA238" s="510" t="str">
        <f ca="1">IFERROR(IF((BZ238*Calculation!$AG$6/0.05)-SUM(BY238:BZ238,CC238)&gt;0,(BZ238*Calculation!$AG$6/0.05)-SUM(BY238:BZ238,CC238),0),"-")</f>
        <v>-</v>
      </c>
      <c r="CB238" s="510" t="str">
        <f ca="1">IFERROR(5/50*CE238*(IF(LEFT(BV238,4)="Pool",IF(LEN(INDEX($BE$4:$BJ$99,MATCH(BV238,$BE$4:$BE$99,0),3))=10,2,IF(LEN(INDEX($BE$4:$BJ$99,MATCH(BV238,$BE$4:$BE$99,0),3))&gt;10,LEN(INDEX($BE$4:$BJ$99,MATCH(BV238,$BE$4:$BE$99,0),3))-8,1)),IF(INDEX(Calculation_Tab,MATCH(BV238,Identifier,0),10)&gt;1,INDEX(Calculation_Tab,MATCH(BV238,Identifier,0),10),1)))*(1+Calculation!$Q$6),"-")</f>
        <v>-</v>
      </c>
      <c r="CC238" s="508" t="str">
        <f ca="1">IFERROR(ROUND(INDEX(Cluster,MATCH(IF(LEFT(BV238,4)="Pool",INDEX(Cluster,MATCH(INDEX(Calculation_Tab,MATCH(INDEX($BE$4:$BJ$99,MATCH(BV238,$BE$4:$BE$99,0),3),Flow_Cell_Lane,0),3),Cluster!$F$29:$F$412,0),6),BV238),Identifier_Cluster,0),20)*IF(LEFT(BV238,4)="pool",IF(LEN(INDEX($BE$4:$BJ$99,MATCH(BV238,$BE$4:$BE$99,0),3))=10,2,IF(LEN(INDEX($BE$4:$BJ$99,MATCH(BV238,$BE$4:$BE$99,0),3))&gt;10,LEN(INDEX($BE$4:$BJ$99,MATCH(BV238,$BE$4:$BE$99,0),3))-8,1)),1)*IF(LEFT(BV238,4)="pool",IF(INDEX($BE$4:$BJ$99,MATCH(BV238,$BE$4:$BE$99,0),6)&lt;1,1,INDEX($BE$4:$BJ$99,MATCH(BV238,$BE$4:$BE$99,0),6)),INDEX(Calculation_Tab,MATCH(BV238,Identifier,0),10)),1)*(1+Calculation!$Q$6),"-")</f>
        <v>-</v>
      </c>
      <c r="CD238" s="509" t="str">
        <f ca="1">IFERROR(INDEX(Cluster!AC:AD,MATCH(IF(LEFT(BV238,4)="Pool",INDEX(Cluster!$D$29:$AA$412,MATCH(INDEX(Calculation_Tab,MATCH(INDEX($BE$4:$BJ$99,MATCH(BV238,$BE$4:$BE$99,0),3),Flow_Cell_Lane,0),3),Cluster!$F$29:$F$412,0),24),INDEX(Cluster!$D$29:$AA$412,MATCH(BV238,Cluster!$F$29:$F$412,0),24)),Cluster!AC:AC,0),2),"-")</f>
        <v>-</v>
      </c>
      <c r="CE238" s="378" t="str">
        <f ca="1">IFERROR(IF(BV238&lt;&gt;"-",Calculation!$AK$6,"-"),"-")</f>
        <v>-</v>
      </c>
      <c r="CF238" s="378" t="str">
        <f ca="1">IF(OR(LEFT(ListAndConversion!BW238,3)="Dil",LEFT(ListAndConversion!BW238,3)="Poo"),ListAndConversion!$BT$4,IF(LEFT(ListAndConversion!BW238,3)="Sou",INDEX(ListAndConversion!$AT$3:$AV$387,MATCH(ListAndConversion!BV238,ListAndConversion!$AV$3:$AV$387,0),1),"-"))</f>
        <v>-</v>
      </c>
      <c r="CG238" s="498" t="str">
        <f ca="1">IF(OR(LEFT(ListAndConversion!BW238,3)="Dil",LEFT(ListAndConversion!BW238,3)="Poo"),ListAndConversion!BU238,IF(LEFT(ListAndConversion!BW238,3)="Sou",INDEX(ListAndConversion!$AT$4:$AV$387,MATCH(ListAndConversion!BV238,ListAndConversion!$AV$4:$AV$387,0),2),"-"))</f>
        <v>-</v>
      </c>
      <c r="CH238" s="378"/>
      <c r="CI238" s="487" t="str">
        <f t="shared" ca="1" si="123"/>
        <v>-</v>
      </c>
      <c r="CJ238" s="378" t="str">
        <f t="shared" ca="1" si="132"/>
        <v>-</v>
      </c>
      <c r="CK238" s="378" t="str">
        <f t="shared" ca="1" si="132"/>
        <v>-</v>
      </c>
      <c r="CL238" s="378" t="str">
        <f t="shared" ca="1" si="132"/>
        <v>-</v>
      </c>
      <c r="CM238" s="378" t="str">
        <f t="shared" ca="1" si="132"/>
        <v>-</v>
      </c>
      <c r="CN238" s="378" t="str">
        <f t="shared" ca="1" si="132"/>
        <v>-</v>
      </c>
      <c r="CO238" s="378" t="str">
        <f t="shared" ca="1" si="132"/>
        <v>-</v>
      </c>
      <c r="CP238" s="378" t="str">
        <f t="shared" ca="1" si="132"/>
        <v>-</v>
      </c>
      <c r="CQ238" s="378" t="str">
        <f t="shared" ca="1" si="132"/>
        <v>-</v>
      </c>
      <c r="CR238" s="510" t="str">
        <f ca="1">IFERROR(IF(LEFT(BW238,3)="Poo",INDEX($BE$4:$BJ$99,MATCH(CI238,$BG$4:$BG$99,0),6)*((15/50))*Calculation!$AK$6,INDEX(Calculation_Tab,MATCH(BV238,Identifier,0),10)/(IF(LEN(INDEX(Calculation_Tab,MATCH(BV238,Identifier,0),9))&gt;8,LEN(INDEX(Calculation_Tab,MATCH(BV238,Identifier,0),9))-8,1))*((15/50)*Calculation!$AK$6)),"-")</f>
        <v>-</v>
      </c>
      <c r="CS238" s="498" t="str">
        <f ca="1">IF(CI238="-","-",IF(COUNTIF($CI$3:CI238,CI238)&gt;1,0,IFERROR((35/50)*Calculation!$AK$6,"-")))</f>
        <v>-</v>
      </c>
    </row>
    <row r="239" spans="4:97" x14ac:dyDescent="0.5">
      <c r="D239" s="487" t="e">
        <f t="shared" si="109"/>
        <v>#DIV/0!</v>
      </c>
      <c r="E239" s="496" t="e">
        <f t="array" ref="E239">IF(IF((ROW(E239)-3)&lt;(ListAndConversion!$A$15),INDEX(Flow_Cell_Lane,MIN(IF(COUNTIF($E$2:E238,Flow_Cell_Lane)=0,ROW(Flow_Cell_Lane)-9))),"-")="","-",IF((ROW(E239)-3)&lt;(ListAndConversion!$A$15),INDEX(Flow_Cell_Lane,MIN(IF(COUNTIF($E$2:E238,Flow_Cell_Lane)=0,ROW(Flow_Cell_Lane)-9))),"-"))</f>
        <v>#DIV/0!</v>
      </c>
      <c r="F239" s="378" t="e">
        <f t="shared" si="110"/>
        <v>#DIV/0!</v>
      </c>
      <c r="G239" s="378" t="e">
        <f t="shared" si="131"/>
        <v>#DIV/0!</v>
      </c>
      <c r="H239" s="378" t="e">
        <f t="shared" si="131"/>
        <v>#DIV/0!</v>
      </c>
      <c r="I239" s="378" t="e">
        <f t="shared" si="131"/>
        <v>#DIV/0!</v>
      </c>
      <c r="J239" s="378" t="e">
        <f t="shared" si="131"/>
        <v>#DIV/0!</v>
      </c>
      <c r="K239" s="378" t="e">
        <f t="shared" si="131"/>
        <v>#DIV/0!</v>
      </c>
      <c r="L239" s="378" t="e">
        <f t="shared" si="131"/>
        <v>#DIV/0!</v>
      </c>
      <c r="M239" s="378" t="e">
        <f t="shared" si="131"/>
        <v>#DIV/0!</v>
      </c>
      <c r="N239" s="497" t="e">
        <f t="shared" si="111"/>
        <v>#DIV/0!</v>
      </c>
      <c r="O239" s="497" t="str">
        <f t="array" ref="O239">IFERROR(INDEX(Calculation!I:AN,MATCH(ListAndConversion!E239,Calculation!I:I,0),31),"-")</f>
        <v>-</v>
      </c>
      <c r="P239" s="498">
        <f>IF(COUNTIFS(Calculation!$I$10:$I$393,E239,Direct_Denaturation,"-")&lt;&gt;1,COUNTIFS(Calculation!$I$10:$I$393,E239,Direct_Denaturation,"-"),0)</f>
        <v>0</v>
      </c>
      <c r="V239" s="542" t="s">
        <v>82</v>
      </c>
      <c r="W239" s="542" t="s">
        <v>82</v>
      </c>
      <c r="X239" s="542" t="s">
        <v>82</v>
      </c>
      <c r="Y239" s="542" t="s">
        <v>82</v>
      </c>
      <c r="Z239" s="542" t="s">
        <v>82</v>
      </c>
      <c r="AA239" s="542" t="s">
        <v>82</v>
      </c>
      <c r="AB239" s="542" t="s">
        <v>82</v>
      </c>
      <c r="AC239" s="542" t="s">
        <v>82</v>
      </c>
      <c r="AD239" s="542" t="s">
        <v>82</v>
      </c>
      <c r="AE239" s="542" t="s">
        <v>82</v>
      </c>
      <c r="AF239" s="542" t="s">
        <v>82</v>
      </c>
      <c r="AG239" s="542" t="s">
        <v>82</v>
      </c>
      <c r="AH239" s="9"/>
      <c r="AI239" s="487">
        <v>236</v>
      </c>
      <c r="AJ239" s="497" t="s">
        <v>162</v>
      </c>
      <c r="AK239" s="378">
        <v>44</v>
      </c>
      <c r="AL239" s="378" t="str">
        <f t="shared" ca="1" si="112"/>
        <v>-</v>
      </c>
      <c r="AM239" s="378" t="str">
        <f t="array" aca="1" ref="AM239" ca="1">IFERROR(IF(AI239&lt;=$AB$2,"-",INDEX(Calculation_Tab,SMALL(ROW(Main_Dil)*(Main_Dil&lt;&gt;"-"),COUNTIF(Main_Dil,"-")+ROW()-3-$AB$2)-9,5)),"-")</f>
        <v>-</v>
      </c>
      <c r="AN239" s="378" t="str">
        <f t="array" aca="1" ref="AN239" ca="1">IFERROR(IF(AI239&lt;=$AB$2,"-",INDEX($A$3:$B$12,MATCH(INDEX(Calculation_Tab,SMALL(ROW(Main_Dil)*(Main_Dil&lt;&gt;"-"),COUNTIF(Main_Dil,"-")+ROW()-3-$AB$2)-9,5),$A$3:$A$12,0),2)),"-")</f>
        <v>-</v>
      </c>
      <c r="AO239" s="378" t="str">
        <f t="array" aca="1" ref="AO239" ca="1">IFERROR(IF(AI239&lt;=$AB$2,"-",INDEX(Coordinate,MATCH(INDEX(Calculation_Tab,SMALL(ROW(Main_Dil)*(Main_Dil&lt;&gt;"-"),COUNTIF(Main_Dil,"-")+ROW()-3-$AB$2)-9,6),$X$4:$X$99,0),2)),"-")</f>
        <v>-</v>
      </c>
      <c r="AP239" s="510" t="str">
        <f t="array" aca="1" ref="AP239" ca="1">IFERROR(IF(AI239&lt;=$AB$2,"-",INDEX(Calculation_Tab,SMALL(ROW(Main_Dil)*(Main_Dil&lt;&gt;"-"),COUNTIF(Main_Dil,"-")+ROW()-3-$AB$2)-9,21)),"-")</f>
        <v>-</v>
      </c>
      <c r="AQ239" s="511" t="str">
        <f t="array" aca="1" ref="AQ239" ca="1">IFERROR(IF(AI239&lt;=$AB$2,"-",INDEX(Calculation_Tab,SMALL(ROW(Main_Dil)*(Main_Dil&lt;&gt;"-"),COUNTIF(Main_Dil,"-")+ROW()-3-$AB$2)-9,22)),"-")</f>
        <v>-</v>
      </c>
      <c r="AR239" s="487" t="str">
        <f t="shared" ca="1" si="113"/>
        <v>-</v>
      </c>
      <c r="AS239" s="378">
        <v>236</v>
      </c>
      <c r="AT239" s="497" t="s">
        <v>162</v>
      </c>
      <c r="AU239" s="498">
        <v>44</v>
      </c>
      <c r="AV239" s="378" t="str">
        <f t="shared" ca="1" si="114"/>
        <v>-</v>
      </c>
      <c r="AW239" s="378" t="str">
        <f t="array" aca="1" ref="AW239" ca="1">IFERROR(IF(AS239&lt;=$AB$2+$AN$2,"-",INDEX(Calculation_Tab,SMALL(ROW(Direct_Denaturation)*(Direct_Denaturation&lt;&gt;"-"),COUNTIF(Direct_Denaturation,"-")+ROW()-3-$AB$2-$AN$2)-9,5)),"-")</f>
        <v>-</v>
      </c>
      <c r="AX239" s="378" t="str">
        <f t="array" aca="1" ref="AX239" ca="1">IFERROR(IF(AS239&lt;=$AB$2+$AN$2,"-",INDEX($A$3:$B$12,MATCH(INDEX(Calculation_Tab,SMALL(ROW(Direct_Denaturation)*(Direct_Denaturation&lt;&gt;"-"),COUNTIF(Direct_Denaturation,"-")+ROW()-3-$AB$2-$AN$2)-9,5),$A$3:$A$12,0),2)),"-")</f>
        <v>-</v>
      </c>
      <c r="AY239" s="378" t="str">
        <f t="array" aca="1" ref="AY239" ca="1">IFERROR(IF(AS239&lt;=$AB$2+$AN$2,"-",INDEX(Coordinate,MATCH(INDEX(Calculation_Tab,SMALL(ROW(Direct_Denaturation)*(Direct_Denaturation&lt;&gt;"-"),COUNTIF(Direct_Denaturation,"-")+ROW()-3-$AB$2-$AN$2)-9,6),$X$4:$X$99,0),2)),"-")</f>
        <v>-</v>
      </c>
      <c r="AZ239" s="510" t="str">
        <f t="array" aca="1" ref="AZ239" ca="1">IFERROR(IF(AS239&lt;=$AB$2+$AN$2,"-",INDEX(Calculation_Tab,SMALL(ROW(Direct_Denaturation)*(Direct_Denaturation&lt;&gt;"-"),COUNTIF(Direct_Denaturation,"-")+ROW()-3-$AB$2-$AN$2)-9,32)),"-")</f>
        <v>-</v>
      </c>
      <c r="BA239" s="510" t="str">
        <f t="array" aca="1" ref="BA239" ca="1">IFERROR(IF(AS239&lt;=$AB$2+$AN$2,"-",INDEX(Calculation_Tab,SMALL(ROW(Direct_Denaturation)*(Direct_Denaturation&lt;&gt;"-"),COUNTIF(Direct_Denaturation,"-")+ROW()-3-$AB$2-$AN$2)-9,34)),"-")</f>
        <v>-</v>
      </c>
      <c r="BB239" s="510" t="str">
        <f t="array" aca="1" ref="BB239" ca="1">IFERROR(IF(AS239&lt;=$AB$2+$AN$2,"-",INDEX(Calculation_Tab,SMALL(ROW(Direct_Denaturation)*(Direct_Denaturation&lt;&gt;"-"),COUNTIF(Direct_Denaturation,"-")+ROW()-3-$AB$2-$AN$2)-9,33)),"-")</f>
        <v>-</v>
      </c>
      <c r="BC239" s="510" t="str">
        <f t="array" aca="1" ref="BC239" ca="1">IFERROR(IF(AS239&lt;=$AB$2+$AN$2,"-",INDEX(Calculation_Tab,SMALL(ROW(Direct_Denaturation)*(Direct_Denaturation&lt;&gt;"-"),COUNTIF(Direct_Denaturation,"-")+ROW()-3-$AB$2-$AN$2)-9,35)),"-")</f>
        <v>-</v>
      </c>
      <c r="BD239" s="511" t="str">
        <f t="shared" ca="1" si="115"/>
        <v>-</v>
      </c>
      <c r="BK239" s="542" t="s">
        <v>82</v>
      </c>
      <c r="BL239" s="542" t="s">
        <v>82</v>
      </c>
      <c r="BM239" s="487" t="str">
        <f t="array" aca="1" ref="BM239" ca="1">IFERROR(INDEX(Calculation_Tab,SMALL(ROW(ToPool)*(ToPool&lt;&gt;"-"),COUNTIF(ToPool,"-")+ROW()-3)-9,3),"-")</f>
        <v>-</v>
      </c>
      <c r="BN239" s="378" t="str">
        <f t="shared" ca="1" si="116"/>
        <v>-</v>
      </c>
      <c r="BO239" s="378" t="str">
        <f t="shared" ca="1" si="117"/>
        <v>-</v>
      </c>
      <c r="BP239" s="523" t="str">
        <f t="shared" ca="1" si="118"/>
        <v>-</v>
      </c>
      <c r="BQ239" s="378" t="str">
        <f t="array" aca="1" ref="BQ239" ca="1">IFERROR(INDEX(BE:BG,MATCH(INDEX(Calculation_Tab,SMALL(ROW(ToPool)*(ToPool&lt;&gt;"-"),COUNTIF(ToPool,"-")+ROW()-3)-9,9),BG:BG,0),2),"-")</f>
        <v>-</v>
      </c>
      <c r="BR239" s="510" t="str">
        <f t="shared" ca="1" si="119"/>
        <v>-</v>
      </c>
      <c r="BS239" s="511" t="str">
        <f t="shared" ca="1" si="120"/>
        <v>-</v>
      </c>
      <c r="BT239" s="543" t="s">
        <v>82</v>
      </c>
      <c r="BU239" s="487" t="str">
        <f t="shared" ca="1" si="124"/>
        <v>-</v>
      </c>
      <c r="BV239" s="487" t="str">
        <f t="array" aca="1" ref="BV23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39" s="378" t="str">
        <f t="shared" ca="1" si="121"/>
        <v>-</v>
      </c>
      <c r="BX239" s="378" t="str">
        <f t="shared" ca="1" si="122"/>
        <v>-</v>
      </c>
      <c r="BY239" s="510" t="str">
        <f ca="1">IFERROR(ROUND(INDEX(Cluster,MATCH(IF(LEFT(BV239,4)="Pool",INDEX(Cluster,MATCH(INDEX(Calculation_Tab,MATCH(INDEX($BE$4:$BJ$99,MATCH(BV239,$BE$4:$BE$99,0),3),Flow_Cell_Lane,0),3),Cluster!$F$29:$F$412,0),6),BV239),Identifier_Cluster,0),19)*IF(LEFT(BV239,4)="pool",IF(LEN(INDEX($BE$4:$BJ$99,MATCH(BV239,$BE$4:$BE$99,0),3))=10,2,IF(LEN(INDEX($BE$4:$BJ$99,MATCH(BV239,$BE$4:$BE$99,0),3))&gt;10,LEN(INDEX($BE$4:$BJ$99,MATCH(BV239,$BE$4:$BE$99,0),3))-8,1)),1)*IF(LEFT(BV239,4)="pool",IF(INDEX($BE$4:$BJ$99,MATCH(BV239,$BE$4:$BE$99,0),6)&lt;1,1,INDEX($BE$4:$BJ$99,MATCH(BV239,$BE$4:$BE$99,0),6)),INDEX(Calculation_Tab,MATCH(BV239,Identifier,0),10)),1)*(1+Calculation!$Q$6),"-")</f>
        <v>-</v>
      </c>
      <c r="BZ239" s="378" t="str">
        <f ca="1">IFERROR((0.5/50)*CE239/Calculation!$AG$6*(IF(LEFT(BV239,4)="Pool",IF(LEN(INDEX($BE$4:$BJ$99,MATCH(BV239,$BE$4:$BE$99,0),3))=10,2,IF(LEN(INDEX($BE$4:$BJ$99,MATCH(BV239,$BE$4:$BE$99,0),3))&gt;10,LEN(INDEX($BE$4:$BJ$99,MATCH(BV239,$BE$4:$BE$99,0),3))-8,1)),IF(INDEX(Calculation_Tab,MATCH(BV239,Identifier,0),10)&gt;1,INDEX(Calculation_Tab,MATCH(BV239,Identifier,0),10),1)))*(1+Calculation!$Q$6),"-")</f>
        <v>-</v>
      </c>
      <c r="CA239" s="510" t="str">
        <f ca="1">IFERROR(IF((BZ239*Calculation!$AG$6/0.05)-SUM(BY239:BZ239,CC239)&gt;0,(BZ239*Calculation!$AG$6/0.05)-SUM(BY239:BZ239,CC239),0),"-")</f>
        <v>-</v>
      </c>
      <c r="CB239" s="510" t="str">
        <f ca="1">IFERROR(5/50*CE239*(IF(LEFT(BV239,4)="Pool",IF(LEN(INDEX($BE$4:$BJ$99,MATCH(BV239,$BE$4:$BE$99,0),3))=10,2,IF(LEN(INDEX($BE$4:$BJ$99,MATCH(BV239,$BE$4:$BE$99,0),3))&gt;10,LEN(INDEX($BE$4:$BJ$99,MATCH(BV239,$BE$4:$BE$99,0),3))-8,1)),IF(INDEX(Calculation_Tab,MATCH(BV239,Identifier,0),10)&gt;1,INDEX(Calculation_Tab,MATCH(BV239,Identifier,0),10),1)))*(1+Calculation!$Q$6),"-")</f>
        <v>-</v>
      </c>
      <c r="CC239" s="508" t="str">
        <f ca="1">IFERROR(ROUND(INDEX(Cluster,MATCH(IF(LEFT(BV239,4)="Pool",INDEX(Cluster,MATCH(INDEX(Calculation_Tab,MATCH(INDEX($BE$4:$BJ$99,MATCH(BV239,$BE$4:$BE$99,0),3),Flow_Cell_Lane,0),3),Cluster!$F$29:$F$412,0),6),BV239),Identifier_Cluster,0),20)*IF(LEFT(BV239,4)="pool",IF(LEN(INDEX($BE$4:$BJ$99,MATCH(BV239,$BE$4:$BE$99,0),3))=10,2,IF(LEN(INDEX($BE$4:$BJ$99,MATCH(BV239,$BE$4:$BE$99,0),3))&gt;10,LEN(INDEX($BE$4:$BJ$99,MATCH(BV239,$BE$4:$BE$99,0),3))-8,1)),1)*IF(LEFT(BV239,4)="pool",IF(INDEX($BE$4:$BJ$99,MATCH(BV239,$BE$4:$BE$99,0),6)&lt;1,1,INDEX($BE$4:$BJ$99,MATCH(BV239,$BE$4:$BE$99,0),6)),INDEX(Calculation_Tab,MATCH(BV239,Identifier,0),10)),1)*(1+Calculation!$Q$6),"-")</f>
        <v>-</v>
      </c>
      <c r="CD239" s="509" t="str">
        <f ca="1">IFERROR(INDEX(Cluster!AC:AD,MATCH(IF(LEFT(BV239,4)="Pool",INDEX(Cluster!$D$29:$AA$412,MATCH(INDEX(Calculation_Tab,MATCH(INDEX($BE$4:$BJ$99,MATCH(BV239,$BE$4:$BE$99,0),3),Flow_Cell_Lane,0),3),Cluster!$F$29:$F$412,0),24),INDEX(Cluster!$D$29:$AA$412,MATCH(BV239,Cluster!$F$29:$F$412,0),24)),Cluster!AC:AC,0),2),"-")</f>
        <v>-</v>
      </c>
      <c r="CE239" s="378" t="str">
        <f ca="1">IFERROR(IF(BV239&lt;&gt;"-",Calculation!$AK$6,"-"),"-")</f>
        <v>-</v>
      </c>
      <c r="CF239" s="378" t="str">
        <f ca="1">IF(OR(LEFT(ListAndConversion!BW239,3)="Dil",LEFT(ListAndConversion!BW239,3)="Poo"),ListAndConversion!$BT$4,IF(LEFT(ListAndConversion!BW239,3)="Sou",INDEX(ListAndConversion!$AT$3:$AV$387,MATCH(ListAndConversion!BV239,ListAndConversion!$AV$3:$AV$387,0),1),"-"))</f>
        <v>-</v>
      </c>
      <c r="CG239" s="498" t="str">
        <f ca="1">IF(OR(LEFT(ListAndConversion!BW239,3)="Dil",LEFT(ListAndConversion!BW239,3)="Poo"),ListAndConversion!BU239,IF(LEFT(ListAndConversion!BW239,3)="Sou",INDEX(ListAndConversion!$AT$4:$AV$387,MATCH(ListAndConversion!BV239,ListAndConversion!$AV$4:$AV$387,0),2),"-"))</f>
        <v>-</v>
      </c>
      <c r="CH239" s="378"/>
      <c r="CI239" s="487" t="str">
        <f t="shared" ca="1" si="123"/>
        <v>-</v>
      </c>
      <c r="CJ239" s="378" t="str">
        <f t="shared" ca="1" si="132"/>
        <v>-</v>
      </c>
      <c r="CK239" s="378" t="str">
        <f t="shared" ca="1" si="132"/>
        <v>-</v>
      </c>
      <c r="CL239" s="378" t="str">
        <f t="shared" ca="1" si="132"/>
        <v>-</v>
      </c>
      <c r="CM239" s="378" t="str">
        <f t="shared" ca="1" si="132"/>
        <v>-</v>
      </c>
      <c r="CN239" s="378" t="str">
        <f t="shared" ca="1" si="132"/>
        <v>-</v>
      </c>
      <c r="CO239" s="378" t="str">
        <f t="shared" ca="1" si="132"/>
        <v>-</v>
      </c>
      <c r="CP239" s="378" t="str">
        <f t="shared" ca="1" si="132"/>
        <v>-</v>
      </c>
      <c r="CQ239" s="378" t="str">
        <f t="shared" ca="1" si="132"/>
        <v>-</v>
      </c>
      <c r="CR239" s="510" t="str">
        <f ca="1">IFERROR(IF(LEFT(BW239,3)="Poo",INDEX($BE$4:$BJ$99,MATCH(CI239,$BG$4:$BG$99,0),6)*((15/50))*Calculation!$AK$6,INDEX(Calculation_Tab,MATCH(BV239,Identifier,0),10)/(IF(LEN(INDEX(Calculation_Tab,MATCH(BV239,Identifier,0),9))&gt;8,LEN(INDEX(Calculation_Tab,MATCH(BV239,Identifier,0),9))-8,1))*((15/50)*Calculation!$AK$6)),"-")</f>
        <v>-</v>
      </c>
      <c r="CS239" s="498" t="str">
        <f ca="1">IF(CI239="-","-",IF(COUNTIF($CI$3:CI239,CI239)&gt;1,0,IFERROR((35/50)*Calculation!$AK$6,"-")))</f>
        <v>-</v>
      </c>
    </row>
    <row r="240" spans="4:97" x14ac:dyDescent="0.5">
      <c r="D240" s="487" t="e">
        <f t="shared" si="109"/>
        <v>#DIV/0!</v>
      </c>
      <c r="E240" s="496" t="e">
        <f t="array" ref="E240">IF(IF((ROW(E240)-3)&lt;(ListAndConversion!$A$15),INDEX(Flow_Cell_Lane,MIN(IF(COUNTIF($E$2:E239,Flow_Cell_Lane)=0,ROW(Flow_Cell_Lane)-9))),"-")="","-",IF((ROW(E240)-3)&lt;(ListAndConversion!$A$15),INDEX(Flow_Cell_Lane,MIN(IF(COUNTIF($E$2:E239,Flow_Cell_Lane)=0,ROW(Flow_Cell_Lane)-9))),"-"))</f>
        <v>#DIV/0!</v>
      </c>
      <c r="F240" s="378" t="e">
        <f t="shared" si="110"/>
        <v>#DIV/0!</v>
      </c>
      <c r="G240" s="378" t="e">
        <f t="shared" si="131"/>
        <v>#DIV/0!</v>
      </c>
      <c r="H240" s="378" t="e">
        <f t="shared" si="131"/>
        <v>#DIV/0!</v>
      </c>
      <c r="I240" s="378" t="e">
        <f t="shared" si="131"/>
        <v>#DIV/0!</v>
      </c>
      <c r="J240" s="378" t="e">
        <f t="shared" si="131"/>
        <v>#DIV/0!</v>
      </c>
      <c r="K240" s="378" t="e">
        <f t="shared" si="131"/>
        <v>#DIV/0!</v>
      </c>
      <c r="L240" s="378" t="e">
        <f t="shared" si="131"/>
        <v>#DIV/0!</v>
      </c>
      <c r="M240" s="378" t="e">
        <f t="shared" si="131"/>
        <v>#DIV/0!</v>
      </c>
      <c r="N240" s="497" t="e">
        <f t="shared" si="111"/>
        <v>#DIV/0!</v>
      </c>
      <c r="O240" s="497" t="str">
        <f t="array" ref="O240">IFERROR(INDEX(Calculation!I:AN,MATCH(ListAndConversion!E240,Calculation!I:I,0),31),"-")</f>
        <v>-</v>
      </c>
      <c r="P240" s="498">
        <f>IF(COUNTIFS(Calculation!$I$10:$I$393,E240,Direct_Denaturation,"-")&lt;&gt;1,COUNTIFS(Calculation!$I$10:$I$393,E240,Direct_Denaturation,"-"),0)</f>
        <v>0</v>
      </c>
      <c r="V240" s="542" t="s">
        <v>82</v>
      </c>
      <c r="W240" s="542" t="s">
        <v>82</v>
      </c>
      <c r="X240" s="542" t="s">
        <v>82</v>
      </c>
      <c r="Y240" s="542" t="s">
        <v>82</v>
      </c>
      <c r="Z240" s="542" t="s">
        <v>82</v>
      </c>
      <c r="AA240" s="542" t="s">
        <v>82</v>
      </c>
      <c r="AB240" s="542" t="s">
        <v>82</v>
      </c>
      <c r="AC240" s="542" t="s">
        <v>82</v>
      </c>
      <c r="AD240" s="542" t="s">
        <v>82</v>
      </c>
      <c r="AE240" s="542" t="s">
        <v>82</v>
      </c>
      <c r="AF240" s="542" t="s">
        <v>82</v>
      </c>
      <c r="AG240" s="542" t="s">
        <v>82</v>
      </c>
      <c r="AH240" s="9"/>
      <c r="AI240" s="487">
        <v>237</v>
      </c>
      <c r="AJ240" s="497" t="s">
        <v>162</v>
      </c>
      <c r="AK240" s="378">
        <v>45</v>
      </c>
      <c r="AL240" s="378" t="str">
        <f t="shared" ca="1" si="112"/>
        <v>-</v>
      </c>
      <c r="AM240" s="378" t="str">
        <f t="array" aca="1" ref="AM240" ca="1">IFERROR(IF(AI240&lt;=$AB$2,"-",INDEX(Calculation_Tab,SMALL(ROW(Main_Dil)*(Main_Dil&lt;&gt;"-"),COUNTIF(Main_Dil,"-")+ROW()-3-$AB$2)-9,5)),"-")</f>
        <v>-</v>
      </c>
      <c r="AN240" s="378" t="str">
        <f t="array" aca="1" ref="AN240" ca="1">IFERROR(IF(AI240&lt;=$AB$2,"-",INDEX($A$3:$B$12,MATCH(INDEX(Calculation_Tab,SMALL(ROW(Main_Dil)*(Main_Dil&lt;&gt;"-"),COUNTIF(Main_Dil,"-")+ROW()-3-$AB$2)-9,5),$A$3:$A$12,0),2)),"-")</f>
        <v>-</v>
      </c>
      <c r="AO240" s="378" t="str">
        <f t="array" aca="1" ref="AO240" ca="1">IFERROR(IF(AI240&lt;=$AB$2,"-",INDEX(Coordinate,MATCH(INDEX(Calculation_Tab,SMALL(ROW(Main_Dil)*(Main_Dil&lt;&gt;"-"),COUNTIF(Main_Dil,"-")+ROW()-3-$AB$2)-9,6),$X$4:$X$99,0),2)),"-")</f>
        <v>-</v>
      </c>
      <c r="AP240" s="510" t="str">
        <f t="array" aca="1" ref="AP240" ca="1">IFERROR(IF(AI240&lt;=$AB$2,"-",INDEX(Calculation_Tab,SMALL(ROW(Main_Dil)*(Main_Dil&lt;&gt;"-"),COUNTIF(Main_Dil,"-")+ROW()-3-$AB$2)-9,21)),"-")</f>
        <v>-</v>
      </c>
      <c r="AQ240" s="511" t="str">
        <f t="array" aca="1" ref="AQ240" ca="1">IFERROR(IF(AI240&lt;=$AB$2,"-",INDEX(Calculation_Tab,SMALL(ROW(Main_Dil)*(Main_Dil&lt;&gt;"-"),COUNTIF(Main_Dil,"-")+ROW()-3-$AB$2)-9,22)),"-")</f>
        <v>-</v>
      </c>
      <c r="AR240" s="487" t="str">
        <f t="shared" ca="1" si="113"/>
        <v>-</v>
      </c>
      <c r="AS240" s="378">
        <v>237</v>
      </c>
      <c r="AT240" s="497" t="s">
        <v>162</v>
      </c>
      <c r="AU240" s="498">
        <v>45</v>
      </c>
      <c r="AV240" s="378" t="str">
        <f t="shared" ca="1" si="114"/>
        <v>-</v>
      </c>
      <c r="AW240" s="378" t="str">
        <f t="array" aca="1" ref="AW240" ca="1">IFERROR(IF(AS240&lt;=$AB$2+$AN$2,"-",INDEX(Calculation_Tab,SMALL(ROW(Direct_Denaturation)*(Direct_Denaturation&lt;&gt;"-"),COUNTIF(Direct_Denaturation,"-")+ROW()-3-$AB$2-$AN$2)-9,5)),"-")</f>
        <v>-</v>
      </c>
      <c r="AX240" s="378" t="str">
        <f t="array" aca="1" ref="AX240" ca="1">IFERROR(IF(AS240&lt;=$AB$2+$AN$2,"-",INDEX($A$3:$B$12,MATCH(INDEX(Calculation_Tab,SMALL(ROW(Direct_Denaturation)*(Direct_Denaturation&lt;&gt;"-"),COUNTIF(Direct_Denaturation,"-")+ROW()-3-$AB$2-$AN$2)-9,5),$A$3:$A$12,0),2)),"-")</f>
        <v>-</v>
      </c>
      <c r="AY240" s="378" t="str">
        <f t="array" aca="1" ref="AY240" ca="1">IFERROR(IF(AS240&lt;=$AB$2+$AN$2,"-",INDEX(Coordinate,MATCH(INDEX(Calculation_Tab,SMALL(ROW(Direct_Denaturation)*(Direct_Denaturation&lt;&gt;"-"),COUNTIF(Direct_Denaturation,"-")+ROW()-3-$AB$2-$AN$2)-9,6),$X$4:$X$99,0),2)),"-")</f>
        <v>-</v>
      </c>
      <c r="AZ240" s="510" t="str">
        <f t="array" aca="1" ref="AZ240" ca="1">IFERROR(IF(AS240&lt;=$AB$2+$AN$2,"-",INDEX(Calculation_Tab,SMALL(ROW(Direct_Denaturation)*(Direct_Denaturation&lt;&gt;"-"),COUNTIF(Direct_Denaturation,"-")+ROW()-3-$AB$2-$AN$2)-9,32)),"-")</f>
        <v>-</v>
      </c>
      <c r="BA240" s="510" t="str">
        <f t="array" aca="1" ref="BA240" ca="1">IFERROR(IF(AS240&lt;=$AB$2+$AN$2,"-",INDEX(Calculation_Tab,SMALL(ROW(Direct_Denaturation)*(Direct_Denaturation&lt;&gt;"-"),COUNTIF(Direct_Denaturation,"-")+ROW()-3-$AB$2-$AN$2)-9,34)),"-")</f>
        <v>-</v>
      </c>
      <c r="BB240" s="510" t="str">
        <f t="array" aca="1" ref="BB240" ca="1">IFERROR(IF(AS240&lt;=$AB$2+$AN$2,"-",INDEX(Calculation_Tab,SMALL(ROW(Direct_Denaturation)*(Direct_Denaturation&lt;&gt;"-"),COUNTIF(Direct_Denaturation,"-")+ROW()-3-$AB$2-$AN$2)-9,33)),"-")</f>
        <v>-</v>
      </c>
      <c r="BC240" s="510" t="str">
        <f t="array" aca="1" ref="BC240" ca="1">IFERROR(IF(AS240&lt;=$AB$2+$AN$2,"-",INDEX(Calculation_Tab,SMALL(ROW(Direct_Denaturation)*(Direct_Denaturation&lt;&gt;"-"),COUNTIF(Direct_Denaturation,"-")+ROW()-3-$AB$2-$AN$2)-9,35)),"-")</f>
        <v>-</v>
      </c>
      <c r="BD240" s="511" t="str">
        <f t="shared" ca="1" si="115"/>
        <v>-</v>
      </c>
      <c r="BK240" s="542" t="s">
        <v>82</v>
      </c>
      <c r="BL240" s="542" t="s">
        <v>82</v>
      </c>
      <c r="BM240" s="487" t="str">
        <f t="array" aca="1" ref="BM240" ca="1">IFERROR(INDEX(Calculation_Tab,SMALL(ROW(ToPool)*(ToPool&lt;&gt;"-"),COUNTIF(ToPool,"-")+ROW()-3)-9,3),"-")</f>
        <v>-</v>
      </c>
      <c r="BN240" s="378" t="str">
        <f t="shared" ca="1" si="116"/>
        <v>-</v>
      </c>
      <c r="BO240" s="378" t="str">
        <f t="shared" ca="1" si="117"/>
        <v>-</v>
      </c>
      <c r="BP240" s="523" t="str">
        <f t="shared" ca="1" si="118"/>
        <v>-</v>
      </c>
      <c r="BQ240" s="378" t="str">
        <f t="array" aca="1" ref="BQ240" ca="1">IFERROR(INDEX(BE:BG,MATCH(INDEX(Calculation_Tab,SMALL(ROW(ToPool)*(ToPool&lt;&gt;"-"),COUNTIF(ToPool,"-")+ROW()-3)-9,9),BG:BG,0),2),"-")</f>
        <v>-</v>
      </c>
      <c r="BR240" s="510" t="str">
        <f t="shared" ca="1" si="119"/>
        <v>-</v>
      </c>
      <c r="BS240" s="511" t="str">
        <f t="shared" ca="1" si="120"/>
        <v>-</v>
      </c>
      <c r="BT240" s="543" t="s">
        <v>82</v>
      </c>
      <c r="BU240" s="487" t="str">
        <f t="shared" ca="1" si="124"/>
        <v>-</v>
      </c>
      <c r="BV240" s="487" t="str">
        <f t="array" aca="1" ref="BV24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40" s="378" t="str">
        <f t="shared" ca="1" si="121"/>
        <v>-</v>
      </c>
      <c r="BX240" s="378" t="str">
        <f t="shared" ca="1" si="122"/>
        <v>-</v>
      </c>
      <c r="BY240" s="510" t="str">
        <f ca="1">IFERROR(ROUND(INDEX(Cluster,MATCH(IF(LEFT(BV240,4)="Pool",INDEX(Cluster,MATCH(INDEX(Calculation_Tab,MATCH(INDEX($BE$4:$BJ$99,MATCH(BV240,$BE$4:$BE$99,0),3),Flow_Cell_Lane,0),3),Cluster!$F$29:$F$412,0),6),BV240),Identifier_Cluster,0),19)*IF(LEFT(BV240,4)="pool",IF(LEN(INDEX($BE$4:$BJ$99,MATCH(BV240,$BE$4:$BE$99,0),3))=10,2,IF(LEN(INDEX($BE$4:$BJ$99,MATCH(BV240,$BE$4:$BE$99,0),3))&gt;10,LEN(INDEX($BE$4:$BJ$99,MATCH(BV240,$BE$4:$BE$99,0),3))-8,1)),1)*IF(LEFT(BV240,4)="pool",IF(INDEX($BE$4:$BJ$99,MATCH(BV240,$BE$4:$BE$99,0),6)&lt;1,1,INDEX($BE$4:$BJ$99,MATCH(BV240,$BE$4:$BE$99,0),6)),INDEX(Calculation_Tab,MATCH(BV240,Identifier,0),10)),1)*(1+Calculation!$Q$6),"-")</f>
        <v>-</v>
      </c>
      <c r="BZ240" s="378" t="str">
        <f ca="1">IFERROR((0.5/50)*CE240/Calculation!$AG$6*(IF(LEFT(BV240,4)="Pool",IF(LEN(INDEX($BE$4:$BJ$99,MATCH(BV240,$BE$4:$BE$99,0),3))=10,2,IF(LEN(INDEX($BE$4:$BJ$99,MATCH(BV240,$BE$4:$BE$99,0),3))&gt;10,LEN(INDEX($BE$4:$BJ$99,MATCH(BV240,$BE$4:$BE$99,0),3))-8,1)),IF(INDEX(Calculation_Tab,MATCH(BV240,Identifier,0),10)&gt;1,INDEX(Calculation_Tab,MATCH(BV240,Identifier,0),10),1)))*(1+Calculation!$Q$6),"-")</f>
        <v>-</v>
      </c>
      <c r="CA240" s="510" t="str">
        <f ca="1">IFERROR(IF((BZ240*Calculation!$AG$6/0.05)-SUM(BY240:BZ240,CC240)&gt;0,(BZ240*Calculation!$AG$6/0.05)-SUM(BY240:BZ240,CC240),0),"-")</f>
        <v>-</v>
      </c>
      <c r="CB240" s="510" t="str">
        <f ca="1">IFERROR(5/50*CE240*(IF(LEFT(BV240,4)="Pool",IF(LEN(INDEX($BE$4:$BJ$99,MATCH(BV240,$BE$4:$BE$99,0),3))=10,2,IF(LEN(INDEX($BE$4:$BJ$99,MATCH(BV240,$BE$4:$BE$99,0),3))&gt;10,LEN(INDEX($BE$4:$BJ$99,MATCH(BV240,$BE$4:$BE$99,0),3))-8,1)),IF(INDEX(Calculation_Tab,MATCH(BV240,Identifier,0),10)&gt;1,INDEX(Calculation_Tab,MATCH(BV240,Identifier,0),10),1)))*(1+Calculation!$Q$6),"-")</f>
        <v>-</v>
      </c>
      <c r="CC240" s="508" t="str">
        <f ca="1">IFERROR(ROUND(INDEX(Cluster,MATCH(IF(LEFT(BV240,4)="Pool",INDEX(Cluster,MATCH(INDEX(Calculation_Tab,MATCH(INDEX($BE$4:$BJ$99,MATCH(BV240,$BE$4:$BE$99,0),3),Flow_Cell_Lane,0),3),Cluster!$F$29:$F$412,0),6),BV240),Identifier_Cluster,0),20)*IF(LEFT(BV240,4)="pool",IF(LEN(INDEX($BE$4:$BJ$99,MATCH(BV240,$BE$4:$BE$99,0),3))=10,2,IF(LEN(INDEX($BE$4:$BJ$99,MATCH(BV240,$BE$4:$BE$99,0),3))&gt;10,LEN(INDEX($BE$4:$BJ$99,MATCH(BV240,$BE$4:$BE$99,0),3))-8,1)),1)*IF(LEFT(BV240,4)="pool",IF(INDEX($BE$4:$BJ$99,MATCH(BV240,$BE$4:$BE$99,0),6)&lt;1,1,INDEX($BE$4:$BJ$99,MATCH(BV240,$BE$4:$BE$99,0),6)),INDEX(Calculation_Tab,MATCH(BV240,Identifier,0),10)),1)*(1+Calculation!$Q$6),"-")</f>
        <v>-</v>
      </c>
      <c r="CD240" s="509" t="str">
        <f ca="1">IFERROR(INDEX(Cluster!AC:AD,MATCH(IF(LEFT(BV240,4)="Pool",INDEX(Cluster!$D$29:$AA$412,MATCH(INDEX(Calculation_Tab,MATCH(INDEX($BE$4:$BJ$99,MATCH(BV240,$BE$4:$BE$99,0),3),Flow_Cell_Lane,0),3),Cluster!$F$29:$F$412,0),24),INDEX(Cluster!$D$29:$AA$412,MATCH(BV240,Cluster!$F$29:$F$412,0),24)),Cluster!AC:AC,0),2),"-")</f>
        <v>-</v>
      </c>
      <c r="CE240" s="378" t="str">
        <f ca="1">IFERROR(IF(BV240&lt;&gt;"-",Calculation!$AK$6,"-"),"-")</f>
        <v>-</v>
      </c>
      <c r="CF240" s="378" t="str">
        <f ca="1">IF(OR(LEFT(ListAndConversion!BW240,3)="Dil",LEFT(ListAndConversion!BW240,3)="Poo"),ListAndConversion!$BT$4,IF(LEFT(ListAndConversion!BW240,3)="Sou",INDEX(ListAndConversion!$AT$3:$AV$387,MATCH(ListAndConversion!BV240,ListAndConversion!$AV$3:$AV$387,0),1),"-"))</f>
        <v>-</v>
      </c>
      <c r="CG240" s="498" t="str">
        <f ca="1">IF(OR(LEFT(ListAndConversion!BW240,3)="Dil",LEFT(ListAndConversion!BW240,3)="Poo"),ListAndConversion!BU240,IF(LEFT(ListAndConversion!BW240,3)="Sou",INDEX(ListAndConversion!$AT$4:$AV$387,MATCH(ListAndConversion!BV240,ListAndConversion!$AV$4:$AV$387,0),2),"-"))</f>
        <v>-</v>
      </c>
      <c r="CH240" s="378"/>
      <c r="CI240" s="487" t="str">
        <f t="shared" ca="1" si="123"/>
        <v>-</v>
      </c>
      <c r="CJ240" s="378" t="str">
        <f t="shared" ca="1" si="132"/>
        <v>-</v>
      </c>
      <c r="CK240" s="378" t="str">
        <f t="shared" ca="1" si="132"/>
        <v>-</v>
      </c>
      <c r="CL240" s="378" t="str">
        <f t="shared" ca="1" si="132"/>
        <v>-</v>
      </c>
      <c r="CM240" s="378" t="str">
        <f t="shared" ca="1" si="132"/>
        <v>-</v>
      </c>
      <c r="CN240" s="378" t="str">
        <f t="shared" ca="1" si="132"/>
        <v>-</v>
      </c>
      <c r="CO240" s="378" t="str">
        <f t="shared" ca="1" si="132"/>
        <v>-</v>
      </c>
      <c r="CP240" s="378" t="str">
        <f t="shared" ca="1" si="132"/>
        <v>-</v>
      </c>
      <c r="CQ240" s="378" t="str">
        <f t="shared" ca="1" si="132"/>
        <v>-</v>
      </c>
      <c r="CR240" s="510" t="str">
        <f ca="1">IFERROR(IF(LEFT(BW240,3)="Poo",INDEX($BE$4:$BJ$99,MATCH(CI240,$BG$4:$BG$99,0),6)*((15/50))*Calculation!$AK$6,INDEX(Calculation_Tab,MATCH(BV240,Identifier,0),10)/(IF(LEN(INDEX(Calculation_Tab,MATCH(BV240,Identifier,0),9))&gt;8,LEN(INDEX(Calculation_Tab,MATCH(BV240,Identifier,0),9))-8,1))*((15/50)*Calculation!$AK$6)),"-")</f>
        <v>-</v>
      </c>
      <c r="CS240" s="498" t="str">
        <f ca="1">IF(CI240="-","-",IF(COUNTIF($CI$3:CI240,CI240)&gt;1,0,IFERROR((35/50)*Calculation!$AK$6,"-")))</f>
        <v>-</v>
      </c>
    </row>
    <row r="241" spans="4:97" x14ac:dyDescent="0.5">
      <c r="D241" s="487" t="e">
        <f t="shared" si="109"/>
        <v>#DIV/0!</v>
      </c>
      <c r="E241" s="496" t="e">
        <f t="array" ref="E241">IF(IF((ROW(E241)-3)&lt;(ListAndConversion!$A$15),INDEX(Flow_Cell_Lane,MIN(IF(COUNTIF($E$2:E240,Flow_Cell_Lane)=0,ROW(Flow_Cell_Lane)-9))),"-")="","-",IF((ROW(E241)-3)&lt;(ListAndConversion!$A$15),INDEX(Flow_Cell_Lane,MIN(IF(COUNTIF($E$2:E240,Flow_Cell_Lane)=0,ROW(Flow_Cell_Lane)-9))),"-"))</f>
        <v>#DIV/0!</v>
      </c>
      <c r="F241" s="378" t="e">
        <f t="shared" si="110"/>
        <v>#DIV/0!</v>
      </c>
      <c r="G241" s="378" t="e">
        <f t="shared" si="131"/>
        <v>#DIV/0!</v>
      </c>
      <c r="H241" s="378" t="e">
        <f t="shared" si="131"/>
        <v>#DIV/0!</v>
      </c>
      <c r="I241" s="378" t="e">
        <f t="shared" si="131"/>
        <v>#DIV/0!</v>
      </c>
      <c r="J241" s="378" t="e">
        <f t="shared" si="131"/>
        <v>#DIV/0!</v>
      </c>
      <c r="K241" s="378" t="e">
        <f t="shared" si="131"/>
        <v>#DIV/0!</v>
      </c>
      <c r="L241" s="378" t="e">
        <f t="shared" si="131"/>
        <v>#DIV/0!</v>
      </c>
      <c r="M241" s="378" t="e">
        <f t="shared" si="131"/>
        <v>#DIV/0!</v>
      </c>
      <c r="N241" s="497" t="e">
        <f t="shared" si="111"/>
        <v>#DIV/0!</v>
      </c>
      <c r="O241" s="497" t="str">
        <f t="array" ref="O241">IFERROR(INDEX(Calculation!I:AN,MATCH(ListAndConversion!E241,Calculation!I:I,0),31),"-")</f>
        <v>-</v>
      </c>
      <c r="P241" s="498">
        <f>IF(COUNTIFS(Calculation!$I$10:$I$393,E241,Direct_Denaturation,"-")&lt;&gt;1,COUNTIFS(Calculation!$I$10:$I$393,E241,Direct_Denaturation,"-"),0)</f>
        <v>0</v>
      </c>
      <c r="V241" s="542" t="s">
        <v>82</v>
      </c>
      <c r="W241" s="542" t="s">
        <v>82</v>
      </c>
      <c r="X241" s="542" t="s">
        <v>82</v>
      </c>
      <c r="Y241" s="542" t="s">
        <v>82</v>
      </c>
      <c r="Z241" s="542" t="s">
        <v>82</v>
      </c>
      <c r="AA241" s="542" t="s">
        <v>82</v>
      </c>
      <c r="AB241" s="542" t="s">
        <v>82</v>
      </c>
      <c r="AC241" s="542" t="s">
        <v>82</v>
      </c>
      <c r="AD241" s="542" t="s">
        <v>82</v>
      </c>
      <c r="AE241" s="542" t="s">
        <v>82</v>
      </c>
      <c r="AF241" s="542" t="s">
        <v>82</v>
      </c>
      <c r="AG241" s="542" t="s">
        <v>82</v>
      </c>
      <c r="AH241" s="9"/>
      <c r="AI241" s="487">
        <v>238</v>
      </c>
      <c r="AJ241" s="497" t="s">
        <v>162</v>
      </c>
      <c r="AK241" s="378">
        <v>46</v>
      </c>
      <c r="AL241" s="378" t="str">
        <f t="shared" ca="1" si="112"/>
        <v>-</v>
      </c>
      <c r="AM241" s="378" t="str">
        <f t="array" aca="1" ref="AM241" ca="1">IFERROR(IF(AI241&lt;=$AB$2,"-",INDEX(Calculation_Tab,SMALL(ROW(Main_Dil)*(Main_Dil&lt;&gt;"-"),COUNTIF(Main_Dil,"-")+ROW()-3-$AB$2)-9,5)),"-")</f>
        <v>-</v>
      </c>
      <c r="AN241" s="378" t="str">
        <f t="array" aca="1" ref="AN241" ca="1">IFERROR(IF(AI241&lt;=$AB$2,"-",INDEX($A$3:$B$12,MATCH(INDEX(Calculation_Tab,SMALL(ROW(Main_Dil)*(Main_Dil&lt;&gt;"-"),COUNTIF(Main_Dil,"-")+ROW()-3-$AB$2)-9,5),$A$3:$A$12,0),2)),"-")</f>
        <v>-</v>
      </c>
      <c r="AO241" s="378" t="str">
        <f t="array" aca="1" ref="AO241" ca="1">IFERROR(IF(AI241&lt;=$AB$2,"-",INDEX(Coordinate,MATCH(INDEX(Calculation_Tab,SMALL(ROW(Main_Dil)*(Main_Dil&lt;&gt;"-"),COUNTIF(Main_Dil,"-")+ROW()-3-$AB$2)-9,6),$X$4:$X$99,0),2)),"-")</f>
        <v>-</v>
      </c>
      <c r="AP241" s="510" t="str">
        <f t="array" aca="1" ref="AP241" ca="1">IFERROR(IF(AI241&lt;=$AB$2,"-",INDEX(Calculation_Tab,SMALL(ROW(Main_Dil)*(Main_Dil&lt;&gt;"-"),COUNTIF(Main_Dil,"-")+ROW()-3-$AB$2)-9,21)),"-")</f>
        <v>-</v>
      </c>
      <c r="AQ241" s="511" t="str">
        <f t="array" aca="1" ref="AQ241" ca="1">IFERROR(IF(AI241&lt;=$AB$2,"-",INDEX(Calculation_Tab,SMALL(ROW(Main_Dil)*(Main_Dil&lt;&gt;"-"),COUNTIF(Main_Dil,"-")+ROW()-3-$AB$2)-9,22)),"-")</f>
        <v>-</v>
      </c>
      <c r="AR241" s="487" t="str">
        <f t="shared" ca="1" si="113"/>
        <v>-</v>
      </c>
      <c r="AS241" s="378">
        <v>238</v>
      </c>
      <c r="AT241" s="497" t="s">
        <v>162</v>
      </c>
      <c r="AU241" s="498">
        <v>46</v>
      </c>
      <c r="AV241" s="378" t="str">
        <f t="shared" ca="1" si="114"/>
        <v>-</v>
      </c>
      <c r="AW241" s="378" t="str">
        <f t="array" aca="1" ref="AW241" ca="1">IFERROR(IF(AS241&lt;=$AB$2+$AN$2,"-",INDEX(Calculation_Tab,SMALL(ROW(Direct_Denaturation)*(Direct_Denaturation&lt;&gt;"-"),COUNTIF(Direct_Denaturation,"-")+ROW()-3-$AB$2-$AN$2)-9,5)),"-")</f>
        <v>-</v>
      </c>
      <c r="AX241" s="378" t="str">
        <f t="array" aca="1" ref="AX241" ca="1">IFERROR(IF(AS241&lt;=$AB$2+$AN$2,"-",INDEX($A$3:$B$12,MATCH(INDEX(Calculation_Tab,SMALL(ROW(Direct_Denaturation)*(Direct_Denaturation&lt;&gt;"-"),COUNTIF(Direct_Denaturation,"-")+ROW()-3-$AB$2-$AN$2)-9,5),$A$3:$A$12,0),2)),"-")</f>
        <v>-</v>
      </c>
      <c r="AY241" s="378" t="str">
        <f t="array" aca="1" ref="AY241" ca="1">IFERROR(IF(AS241&lt;=$AB$2+$AN$2,"-",INDEX(Coordinate,MATCH(INDEX(Calculation_Tab,SMALL(ROW(Direct_Denaturation)*(Direct_Denaturation&lt;&gt;"-"),COUNTIF(Direct_Denaturation,"-")+ROW()-3-$AB$2-$AN$2)-9,6),$X$4:$X$99,0),2)),"-")</f>
        <v>-</v>
      </c>
      <c r="AZ241" s="510" t="str">
        <f t="array" aca="1" ref="AZ241" ca="1">IFERROR(IF(AS241&lt;=$AB$2+$AN$2,"-",INDEX(Calculation_Tab,SMALL(ROW(Direct_Denaturation)*(Direct_Denaturation&lt;&gt;"-"),COUNTIF(Direct_Denaturation,"-")+ROW()-3-$AB$2-$AN$2)-9,32)),"-")</f>
        <v>-</v>
      </c>
      <c r="BA241" s="510" t="str">
        <f t="array" aca="1" ref="BA241" ca="1">IFERROR(IF(AS241&lt;=$AB$2+$AN$2,"-",INDEX(Calculation_Tab,SMALL(ROW(Direct_Denaturation)*(Direct_Denaturation&lt;&gt;"-"),COUNTIF(Direct_Denaturation,"-")+ROW()-3-$AB$2-$AN$2)-9,34)),"-")</f>
        <v>-</v>
      </c>
      <c r="BB241" s="510" t="str">
        <f t="array" aca="1" ref="BB241" ca="1">IFERROR(IF(AS241&lt;=$AB$2+$AN$2,"-",INDEX(Calculation_Tab,SMALL(ROW(Direct_Denaturation)*(Direct_Denaturation&lt;&gt;"-"),COUNTIF(Direct_Denaturation,"-")+ROW()-3-$AB$2-$AN$2)-9,33)),"-")</f>
        <v>-</v>
      </c>
      <c r="BC241" s="510" t="str">
        <f t="array" aca="1" ref="BC241" ca="1">IFERROR(IF(AS241&lt;=$AB$2+$AN$2,"-",INDEX(Calculation_Tab,SMALL(ROW(Direct_Denaturation)*(Direct_Denaturation&lt;&gt;"-"),COUNTIF(Direct_Denaturation,"-")+ROW()-3-$AB$2-$AN$2)-9,35)),"-")</f>
        <v>-</v>
      </c>
      <c r="BD241" s="511" t="str">
        <f t="shared" ca="1" si="115"/>
        <v>-</v>
      </c>
      <c r="BK241" s="542" t="s">
        <v>82</v>
      </c>
      <c r="BL241" s="542" t="s">
        <v>82</v>
      </c>
      <c r="BM241" s="487" t="str">
        <f t="array" aca="1" ref="BM241" ca="1">IFERROR(INDEX(Calculation_Tab,SMALL(ROW(ToPool)*(ToPool&lt;&gt;"-"),COUNTIF(ToPool,"-")+ROW()-3)-9,3),"-")</f>
        <v>-</v>
      </c>
      <c r="BN241" s="378" t="str">
        <f t="shared" ca="1" si="116"/>
        <v>-</v>
      </c>
      <c r="BO241" s="378" t="str">
        <f t="shared" ca="1" si="117"/>
        <v>-</v>
      </c>
      <c r="BP241" s="523" t="str">
        <f t="shared" ca="1" si="118"/>
        <v>-</v>
      </c>
      <c r="BQ241" s="378" t="str">
        <f t="array" aca="1" ref="BQ241" ca="1">IFERROR(INDEX(BE:BG,MATCH(INDEX(Calculation_Tab,SMALL(ROW(ToPool)*(ToPool&lt;&gt;"-"),COUNTIF(ToPool,"-")+ROW()-3)-9,9),BG:BG,0),2),"-")</f>
        <v>-</v>
      </c>
      <c r="BR241" s="510" t="str">
        <f t="shared" ca="1" si="119"/>
        <v>-</v>
      </c>
      <c r="BS241" s="511" t="str">
        <f t="shared" ca="1" si="120"/>
        <v>-</v>
      </c>
      <c r="BT241" s="543" t="s">
        <v>82</v>
      </c>
      <c r="BU241" s="487" t="str">
        <f t="shared" ca="1" si="124"/>
        <v>-</v>
      </c>
      <c r="BV241" s="487" t="str">
        <f t="array" aca="1" ref="BV24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41" s="378" t="str">
        <f t="shared" ca="1" si="121"/>
        <v>-</v>
      </c>
      <c r="BX241" s="378" t="str">
        <f t="shared" ca="1" si="122"/>
        <v>-</v>
      </c>
      <c r="BY241" s="510" t="str">
        <f ca="1">IFERROR(ROUND(INDEX(Cluster,MATCH(IF(LEFT(BV241,4)="Pool",INDEX(Cluster,MATCH(INDEX(Calculation_Tab,MATCH(INDEX($BE$4:$BJ$99,MATCH(BV241,$BE$4:$BE$99,0),3),Flow_Cell_Lane,0),3),Cluster!$F$29:$F$412,0),6),BV241),Identifier_Cluster,0),19)*IF(LEFT(BV241,4)="pool",IF(LEN(INDEX($BE$4:$BJ$99,MATCH(BV241,$BE$4:$BE$99,0),3))=10,2,IF(LEN(INDEX($BE$4:$BJ$99,MATCH(BV241,$BE$4:$BE$99,0),3))&gt;10,LEN(INDEX($BE$4:$BJ$99,MATCH(BV241,$BE$4:$BE$99,0),3))-8,1)),1)*IF(LEFT(BV241,4)="pool",IF(INDEX($BE$4:$BJ$99,MATCH(BV241,$BE$4:$BE$99,0),6)&lt;1,1,INDEX($BE$4:$BJ$99,MATCH(BV241,$BE$4:$BE$99,0),6)),INDEX(Calculation_Tab,MATCH(BV241,Identifier,0),10)),1)*(1+Calculation!$Q$6),"-")</f>
        <v>-</v>
      </c>
      <c r="BZ241" s="378" t="str">
        <f ca="1">IFERROR((0.5/50)*CE241/Calculation!$AG$6*(IF(LEFT(BV241,4)="Pool",IF(LEN(INDEX($BE$4:$BJ$99,MATCH(BV241,$BE$4:$BE$99,0),3))=10,2,IF(LEN(INDEX($BE$4:$BJ$99,MATCH(BV241,$BE$4:$BE$99,0),3))&gt;10,LEN(INDEX($BE$4:$BJ$99,MATCH(BV241,$BE$4:$BE$99,0),3))-8,1)),IF(INDEX(Calculation_Tab,MATCH(BV241,Identifier,0),10)&gt;1,INDEX(Calculation_Tab,MATCH(BV241,Identifier,0),10),1)))*(1+Calculation!$Q$6),"-")</f>
        <v>-</v>
      </c>
      <c r="CA241" s="510" t="str">
        <f ca="1">IFERROR(IF((BZ241*Calculation!$AG$6/0.05)-SUM(BY241:BZ241,CC241)&gt;0,(BZ241*Calculation!$AG$6/0.05)-SUM(BY241:BZ241,CC241),0),"-")</f>
        <v>-</v>
      </c>
      <c r="CB241" s="510" t="str">
        <f ca="1">IFERROR(5/50*CE241*(IF(LEFT(BV241,4)="Pool",IF(LEN(INDEX($BE$4:$BJ$99,MATCH(BV241,$BE$4:$BE$99,0),3))=10,2,IF(LEN(INDEX($BE$4:$BJ$99,MATCH(BV241,$BE$4:$BE$99,0),3))&gt;10,LEN(INDEX($BE$4:$BJ$99,MATCH(BV241,$BE$4:$BE$99,0),3))-8,1)),IF(INDEX(Calculation_Tab,MATCH(BV241,Identifier,0),10)&gt;1,INDEX(Calculation_Tab,MATCH(BV241,Identifier,0),10),1)))*(1+Calculation!$Q$6),"-")</f>
        <v>-</v>
      </c>
      <c r="CC241" s="508" t="str">
        <f ca="1">IFERROR(ROUND(INDEX(Cluster,MATCH(IF(LEFT(BV241,4)="Pool",INDEX(Cluster,MATCH(INDEX(Calculation_Tab,MATCH(INDEX($BE$4:$BJ$99,MATCH(BV241,$BE$4:$BE$99,0),3),Flow_Cell_Lane,0),3),Cluster!$F$29:$F$412,0),6),BV241),Identifier_Cluster,0),20)*IF(LEFT(BV241,4)="pool",IF(LEN(INDEX($BE$4:$BJ$99,MATCH(BV241,$BE$4:$BE$99,0),3))=10,2,IF(LEN(INDEX($BE$4:$BJ$99,MATCH(BV241,$BE$4:$BE$99,0),3))&gt;10,LEN(INDEX($BE$4:$BJ$99,MATCH(BV241,$BE$4:$BE$99,0),3))-8,1)),1)*IF(LEFT(BV241,4)="pool",IF(INDEX($BE$4:$BJ$99,MATCH(BV241,$BE$4:$BE$99,0),6)&lt;1,1,INDEX($BE$4:$BJ$99,MATCH(BV241,$BE$4:$BE$99,0),6)),INDEX(Calculation_Tab,MATCH(BV241,Identifier,0),10)),1)*(1+Calculation!$Q$6),"-")</f>
        <v>-</v>
      </c>
      <c r="CD241" s="509" t="str">
        <f ca="1">IFERROR(INDEX(Cluster!AC:AD,MATCH(IF(LEFT(BV241,4)="Pool",INDEX(Cluster!$D$29:$AA$412,MATCH(INDEX(Calculation_Tab,MATCH(INDEX($BE$4:$BJ$99,MATCH(BV241,$BE$4:$BE$99,0),3),Flow_Cell_Lane,0),3),Cluster!$F$29:$F$412,0),24),INDEX(Cluster!$D$29:$AA$412,MATCH(BV241,Cluster!$F$29:$F$412,0),24)),Cluster!AC:AC,0),2),"-")</f>
        <v>-</v>
      </c>
      <c r="CE241" s="378" t="str">
        <f ca="1">IFERROR(IF(BV241&lt;&gt;"-",Calculation!$AK$6,"-"),"-")</f>
        <v>-</v>
      </c>
      <c r="CF241" s="378" t="str">
        <f ca="1">IF(OR(LEFT(ListAndConversion!BW241,3)="Dil",LEFT(ListAndConversion!BW241,3)="Poo"),ListAndConversion!$BT$4,IF(LEFT(ListAndConversion!BW241,3)="Sou",INDEX(ListAndConversion!$AT$3:$AV$387,MATCH(ListAndConversion!BV241,ListAndConversion!$AV$3:$AV$387,0),1),"-"))</f>
        <v>-</v>
      </c>
      <c r="CG241" s="498" t="str">
        <f ca="1">IF(OR(LEFT(ListAndConversion!BW241,3)="Dil",LEFT(ListAndConversion!BW241,3)="Poo"),ListAndConversion!BU241,IF(LEFT(ListAndConversion!BW241,3)="Sou",INDEX(ListAndConversion!$AT$4:$AV$387,MATCH(ListAndConversion!BV241,ListAndConversion!$AV$4:$AV$387,0),2),"-"))</f>
        <v>-</v>
      </c>
      <c r="CH241" s="378"/>
      <c r="CI241" s="487" t="str">
        <f t="shared" ca="1" si="123"/>
        <v>-</v>
      </c>
      <c r="CJ241" s="378" t="str">
        <f t="shared" ca="1" si="132"/>
        <v>-</v>
      </c>
      <c r="CK241" s="378" t="str">
        <f t="shared" ca="1" si="132"/>
        <v>-</v>
      </c>
      <c r="CL241" s="378" t="str">
        <f t="shared" ca="1" si="132"/>
        <v>-</v>
      </c>
      <c r="CM241" s="378" t="str">
        <f t="shared" ca="1" si="132"/>
        <v>-</v>
      </c>
      <c r="CN241" s="378" t="str">
        <f t="shared" ca="1" si="132"/>
        <v>-</v>
      </c>
      <c r="CO241" s="378" t="str">
        <f t="shared" ca="1" si="132"/>
        <v>-</v>
      </c>
      <c r="CP241" s="378" t="str">
        <f t="shared" ca="1" si="132"/>
        <v>-</v>
      </c>
      <c r="CQ241" s="378" t="str">
        <f t="shared" ca="1" si="132"/>
        <v>-</v>
      </c>
      <c r="CR241" s="510" t="str">
        <f ca="1">IFERROR(IF(LEFT(BW241,3)="Poo",INDEX($BE$4:$BJ$99,MATCH(CI241,$BG$4:$BG$99,0),6)*((15/50))*Calculation!$AK$6,INDEX(Calculation_Tab,MATCH(BV241,Identifier,0),10)/(IF(LEN(INDEX(Calculation_Tab,MATCH(BV241,Identifier,0),9))&gt;8,LEN(INDEX(Calculation_Tab,MATCH(BV241,Identifier,0),9))-8,1))*((15/50)*Calculation!$AK$6)),"-")</f>
        <v>-</v>
      </c>
      <c r="CS241" s="498" t="str">
        <f ca="1">IF(CI241="-","-",IF(COUNTIF($CI$3:CI241,CI241)&gt;1,0,IFERROR((35/50)*Calculation!$AK$6,"-")))</f>
        <v>-</v>
      </c>
    </row>
    <row r="242" spans="4:97" x14ac:dyDescent="0.5">
      <c r="D242" s="487" t="e">
        <f t="shared" si="109"/>
        <v>#DIV/0!</v>
      </c>
      <c r="E242" s="496" t="e">
        <f t="array" ref="E242">IF(IF((ROW(E242)-3)&lt;(ListAndConversion!$A$15),INDEX(Flow_Cell_Lane,MIN(IF(COUNTIF($E$2:E241,Flow_Cell_Lane)=0,ROW(Flow_Cell_Lane)-9))),"-")="","-",IF((ROW(E242)-3)&lt;(ListAndConversion!$A$15),INDEX(Flow_Cell_Lane,MIN(IF(COUNTIF($E$2:E241,Flow_Cell_Lane)=0,ROW(Flow_Cell_Lane)-9))),"-"))</f>
        <v>#DIV/0!</v>
      </c>
      <c r="F242" s="378" t="e">
        <f t="shared" si="110"/>
        <v>#DIV/0!</v>
      </c>
      <c r="G242" s="378" t="e">
        <f t="shared" si="131"/>
        <v>#DIV/0!</v>
      </c>
      <c r="H242" s="378" t="e">
        <f t="shared" si="131"/>
        <v>#DIV/0!</v>
      </c>
      <c r="I242" s="378" t="e">
        <f t="shared" si="131"/>
        <v>#DIV/0!</v>
      </c>
      <c r="J242" s="378" t="e">
        <f t="shared" si="131"/>
        <v>#DIV/0!</v>
      </c>
      <c r="K242" s="378" t="e">
        <f t="shared" si="131"/>
        <v>#DIV/0!</v>
      </c>
      <c r="L242" s="378" t="e">
        <f t="shared" si="131"/>
        <v>#DIV/0!</v>
      </c>
      <c r="M242" s="378" t="e">
        <f t="shared" si="131"/>
        <v>#DIV/0!</v>
      </c>
      <c r="N242" s="497" t="e">
        <f t="shared" si="111"/>
        <v>#DIV/0!</v>
      </c>
      <c r="O242" s="497" t="str">
        <f t="array" ref="O242">IFERROR(INDEX(Calculation!I:AN,MATCH(ListAndConversion!E242,Calculation!I:I,0),31),"-")</f>
        <v>-</v>
      </c>
      <c r="P242" s="498">
        <f>IF(COUNTIFS(Calculation!$I$10:$I$393,E242,Direct_Denaturation,"-")&lt;&gt;1,COUNTIFS(Calculation!$I$10:$I$393,E242,Direct_Denaturation,"-"),0)</f>
        <v>0</v>
      </c>
      <c r="V242" s="542" t="s">
        <v>82</v>
      </c>
      <c r="W242" s="542" t="s">
        <v>82</v>
      </c>
      <c r="X242" s="542" t="s">
        <v>82</v>
      </c>
      <c r="Y242" s="542" t="s">
        <v>82</v>
      </c>
      <c r="Z242" s="542" t="s">
        <v>82</v>
      </c>
      <c r="AA242" s="542" t="s">
        <v>82</v>
      </c>
      <c r="AB242" s="542" t="s">
        <v>82</v>
      </c>
      <c r="AC242" s="542" t="s">
        <v>82</v>
      </c>
      <c r="AD242" s="542" t="s">
        <v>82</v>
      </c>
      <c r="AE242" s="542" t="s">
        <v>82</v>
      </c>
      <c r="AF242" s="542" t="s">
        <v>82</v>
      </c>
      <c r="AG242" s="542" t="s">
        <v>82</v>
      </c>
      <c r="AH242" s="9"/>
      <c r="AI242" s="487">
        <v>239</v>
      </c>
      <c r="AJ242" s="497" t="s">
        <v>162</v>
      </c>
      <c r="AK242" s="378">
        <v>47</v>
      </c>
      <c r="AL242" s="378" t="str">
        <f t="shared" ca="1" si="112"/>
        <v>-</v>
      </c>
      <c r="AM242" s="378" t="str">
        <f t="array" aca="1" ref="AM242" ca="1">IFERROR(IF(AI242&lt;=$AB$2,"-",INDEX(Calculation_Tab,SMALL(ROW(Main_Dil)*(Main_Dil&lt;&gt;"-"),COUNTIF(Main_Dil,"-")+ROW()-3-$AB$2)-9,5)),"-")</f>
        <v>-</v>
      </c>
      <c r="AN242" s="378" t="str">
        <f t="array" aca="1" ref="AN242" ca="1">IFERROR(IF(AI242&lt;=$AB$2,"-",INDEX($A$3:$B$12,MATCH(INDEX(Calculation_Tab,SMALL(ROW(Main_Dil)*(Main_Dil&lt;&gt;"-"),COUNTIF(Main_Dil,"-")+ROW()-3-$AB$2)-9,5),$A$3:$A$12,0),2)),"-")</f>
        <v>-</v>
      </c>
      <c r="AO242" s="378" t="str">
        <f t="array" aca="1" ref="AO242" ca="1">IFERROR(IF(AI242&lt;=$AB$2,"-",INDEX(Coordinate,MATCH(INDEX(Calculation_Tab,SMALL(ROW(Main_Dil)*(Main_Dil&lt;&gt;"-"),COUNTIF(Main_Dil,"-")+ROW()-3-$AB$2)-9,6),$X$4:$X$99,0),2)),"-")</f>
        <v>-</v>
      </c>
      <c r="AP242" s="510" t="str">
        <f t="array" aca="1" ref="AP242" ca="1">IFERROR(IF(AI242&lt;=$AB$2,"-",INDEX(Calculation_Tab,SMALL(ROW(Main_Dil)*(Main_Dil&lt;&gt;"-"),COUNTIF(Main_Dil,"-")+ROW()-3-$AB$2)-9,21)),"-")</f>
        <v>-</v>
      </c>
      <c r="AQ242" s="511" t="str">
        <f t="array" aca="1" ref="AQ242" ca="1">IFERROR(IF(AI242&lt;=$AB$2,"-",INDEX(Calculation_Tab,SMALL(ROW(Main_Dil)*(Main_Dil&lt;&gt;"-"),COUNTIF(Main_Dil,"-")+ROW()-3-$AB$2)-9,22)),"-")</f>
        <v>-</v>
      </c>
      <c r="AR242" s="487" t="str">
        <f t="shared" ca="1" si="113"/>
        <v>-</v>
      </c>
      <c r="AS242" s="378">
        <v>239</v>
      </c>
      <c r="AT242" s="497" t="s">
        <v>162</v>
      </c>
      <c r="AU242" s="498">
        <v>47</v>
      </c>
      <c r="AV242" s="378" t="str">
        <f t="shared" ca="1" si="114"/>
        <v>-</v>
      </c>
      <c r="AW242" s="378" t="str">
        <f t="array" aca="1" ref="AW242" ca="1">IFERROR(IF(AS242&lt;=$AB$2+$AN$2,"-",INDEX(Calculation_Tab,SMALL(ROW(Direct_Denaturation)*(Direct_Denaturation&lt;&gt;"-"),COUNTIF(Direct_Denaturation,"-")+ROW()-3-$AB$2-$AN$2)-9,5)),"-")</f>
        <v>-</v>
      </c>
      <c r="AX242" s="378" t="str">
        <f t="array" aca="1" ref="AX242" ca="1">IFERROR(IF(AS242&lt;=$AB$2+$AN$2,"-",INDEX($A$3:$B$12,MATCH(INDEX(Calculation_Tab,SMALL(ROW(Direct_Denaturation)*(Direct_Denaturation&lt;&gt;"-"),COUNTIF(Direct_Denaturation,"-")+ROW()-3-$AB$2-$AN$2)-9,5),$A$3:$A$12,0),2)),"-")</f>
        <v>-</v>
      </c>
      <c r="AY242" s="378" t="str">
        <f t="array" aca="1" ref="AY242" ca="1">IFERROR(IF(AS242&lt;=$AB$2+$AN$2,"-",INDEX(Coordinate,MATCH(INDEX(Calculation_Tab,SMALL(ROW(Direct_Denaturation)*(Direct_Denaturation&lt;&gt;"-"),COUNTIF(Direct_Denaturation,"-")+ROW()-3-$AB$2-$AN$2)-9,6),$X$4:$X$99,0),2)),"-")</f>
        <v>-</v>
      </c>
      <c r="AZ242" s="510" t="str">
        <f t="array" aca="1" ref="AZ242" ca="1">IFERROR(IF(AS242&lt;=$AB$2+$AN$2,"-",INDEX(Calculation_Tab,SMALL(ROW(Direct_Denaturation)*(Direct_Denaturation&lt;&gt;"-"),COUNTIF(Direct_Denaturation,"-")+ROW()-3-$AB$2-$AN$2)-9,32)),"-")</f>
        <v>-</v>
      </c>
      <c r="BA242" s="510" t="str">
        <f t="array" aca="1" ref="BA242" ca="1">IFERROR(IF(AS242&lt;=$AB$2+$AN$2,"-",INDEX(Calculation_Tab,SMALL(ROW(Direct_Denaturation)*(Direct_Denaturation&lt;&gt;"-"),COUNTIF(Direct_Denaturation,"-")+ROW()-3-$AB$2-$AN$2)-9,34)),"-")</f>
        <v>-</v>
      </c>
      <c r="BB242" s="510" t="str">
        <f t="array" aca="1" ref="BB242" ca="1">IFERROR(IF(AS242&lt;=$AB$2+$AN$2,"-",INDEX(Calculation_Tab,SMALL(ROW(Direct_Denaturation)*(Direct_Denaturation&lt;&gt;"-"),COUNTIF(Direct_Denaturation,"-")+ROW()-3-$AB$2-$AN$2)-9,33)),"-")</f>
        <v>-</v>
      </c>
      <c r="BC242" s="510" t="str">
        <f t="array" aca="1" ref="BC242" ca="1">IFERROR(IF(AS242&lt;=$AB$2+$AN$2,"-",INDEX(Calculation_Tab,SMALL(ROW(Direct_Denaturation)*(Direct_Denaturation&lt;&gt;"-"),COUNTIF(Direct_Denaturation,"-")+ROW()-3-$AB$2-$AN$2)-9,35)),"-")</f>
        <v>-</v>
      </c>
      <c r="BD242" s="511" t="str">
        <f t="shared" ca="1" si="115"/>
        <v>-</v>
      </c>
      <c r="BK242" s="542" t="s">
        <v>82</v>
      </c>
      <c r="BL242" s="542" t="s">
        <v>82</v>
      </c>
      <c r="BM242" s="487" t="str">
        <f t="array" aca="1" ref="BM242" ca="1">IFERROR(INDEX(Calculation_Tab,SMALL(ROW(ToPool)*(ToPool&lt;&gt;"-"),COUNTIF(ToPool,"-")+ROW()-3)-9,3),"-")</f>
        <v>-</v>
      </c>
      <c r="BN242" s="378" t="str">
        <f t="shared" ca="1" si="116"/>
        <v>-</v>
      </c>
      <c r="BO242" s="378" t="str">
        <f t="shared" ca="1" si="117"/>
        <v>-</v>
      </c>
      <c r="BP242" s="523" t="str">
        <f t="shared" ca="1" si="118"/>
        <v>-</v>
      </c>
      <c r="BQ242" s="378" t="str">
        <f t="array" aca="1" ref="BQ242" ca="1">IFERROR(INDEX(BE:BG,MATCH(INDEX(Calculation_Tab,SMALL(ROW(ToPool)*(ToPool&lt;&gt;"-"),COUNTIF(ToPool,"-")+ROW()-3)-9,9),BG:BG,0),2),"-")</f>
        <v>-</v>
      </c>
      <c r="BR242" s="510" t="str">
        <f t="shared" ca="1" si="119"/>
        <v>-</v>
      </c>
      <c r="BS242" s="511" t="str">
        <f t="shared" ca="1" si="120"/>
        <v>-</v>
      </c>
      <c r="BT242" s="543" t="s">
        <v>82</v>
      </c>
      <c r="BU242" s="487" t="str">
        <f t="shared" ca="1" si="124"/>
        <v>-</v>
      </c>
      <c r="BV242" s="487" t="str">
        <f t="array" aca="1" ref="BV24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42" s="378" t="str">
        <f t="shared" ca="1" si="121"/>
        <v>-</v>
      </c>
      <c r="BX242" s="378" t="str">
        <f t="shared" ca="1" si="122"/>
        <v>-</v>
      </c>
      <c r="BY242" s="510" t="str">
        <f ca="1">IFERROR(ROUND(INDEX(Cluster,MATCH(IF(LEFT(BV242,4)="Pool",INDEX(Cluster,MATCH(INDEX(Calculation_Tab,MATCH(INDEX($BE$4:$BJ$99,MATCH(BV242,$BE$4:$BE$99,0),3),Flow_Cell_Lane,0),3),Cluster!$F$29:$F$412,0),6),BV242),Identifier_Cluster,0),19)*IF(LEFT(BV242,4)="pool",IF(LEN(INDEX($BE$4:$BJ$99,MATCH(BV242,$BE$4:$BE$99,0),3))=10,2,IF(LEN(INDEX($BE$4:$BJ$99,MATCH(BV242,$BE$4:$BE$99,0),3))&gt;10,LEN(INDEX($BE$4:$BJ$99,MATCH(BV242,$BE$4:$BE$99,0),3))-8,1)),1)*IF(LEFT(BV242,4)="pool",IF(INDEX($BE$4:$BJ$99,MATCH(BV242,$BE$4:$BE$99,0),6)&lt;1,1,INDEX($BE$4:$BJ$99,MATCH(BV242,$BE$4:$BE$99,0),6)),INDEX(Calculation_Tab,MATCH(BV242,Identifier,0),10)),1)*(1+Calculation!$Q$6),"-")</f>
        <v>-</v>
      </c>
      <c r="BZ242" s="378" t="str">
        <f ca="1">IFERROR((0.5/50)*CE242/Calculation!$AG$6*(IF(LEFT(BV242,4)="Pool",IF(LEN(INDEX($BE$4:$BJ$99,MATCH(BV242,$BE$4:$BE$99,0),3))=10,2,IF(LEN(INDEX($BE$4:$BJ$99,MATCH(BV242,$BE$4:$BE$99,0),3))&gt;10,LEN(INDEX($BE$4:$BJ$99,MATCH(BV242,$BE$4:$BE$99,0),3))-8,1)),IF(INDEX(Calculation_Tab,MATCH(BV242,Identifier,0),10)&gt;1,INDEX(Calculation_Tab,MATCH(BV242,Identifier,0),10),1)))*(1+Calculation!$Q$6),"-")</f>
        <v>-</v>
      </c>
      <c r="CA242" s="510" t="str">
        <f ca="1">IFERROR(IF((BZ242*Calculation!$AG$6/0.05)-SUM(BY242:BZ242,CC242)&gt;0,(BZ242*Calculation!$AG$6/0.05)-SUM(BY242:BZ242,CC242),0),"-")</f>
        <v>-</v>
      </c>
      <c r="CB242" s="510" t="str">
        <f ca="1">IFERROR(5/50*CE242*(IF(LEFT(BV242,4)="Pool",IF(LEN(INDEX($BE$4:$BJ$99,MATCH(BV242,$BE$4:$BE$99,0),3))=10,2,IF(LEN(INDEX($BE$4:$BJ$99,MATCH(BV242,$BE$4:$BE$99,0),3))&gt;10,LEN(INDEX($BE$4:$BJ$99,MATCH(BV242,$BE$4:$BE$99,0),3))-8,1)),IF(INDEX(Calculation_Tab,MATCH(BV242,Identifier,0),10)&gt;1,INDEX(Calculation_Tab,MATCH(BV242,Identifier,0),10),1)))*(1+Calculation!$Q$6),"-")</f>
        <v>-</v>
      </c>
      <c r="CC242" s="508" t="str">
        <f ca="1">IFERROR(ROUND(INDEX(Cluster,MATCH(IF(LEFT(BV242,4)="Pool",INDEX(Cluster,MATCH(INDEX(Calculation_Tab,MATCH(INDEX($BE$4:$BJ$99,MATCH(BV242,$BE$4:$BE$99,0),3),Flow_Cell_Lane,0),3),Cluster!$F$29:$F$412,0),6),BV242),Identifier_Cluster,0),20)*IF(LEFT(BV242,4)="pool",IF(LEN(INDEX($BE$4:$BJ$99,MATCH(BV242,$BE$4:$BE$99,0),3))=10,2,IF(LEN(INDEX($BE$4:$BJ$99,MATCH(BV242,$BE$4:$BE$99,0),3))&gt;10,LEN(INDEX($BE$4:$BJ$99,MATCH(BV242,$BE$4:$BE$99,0),3))-8,1)),1)*IF(LEFT(BV242,4)="pool",IF(INDEX($BE$4:$BJ$99,MATCH(BV242,$BE$4:$BE$99,0),6)&lt;1,1,INDEX($BE$4:$BJ$99,MATCH(BV242,$BE$4:$BE$99,0),6)),INDEX(Calculation_Tab,MATCH(BV242,Identifier,0),10)),1)*(1+Calculation!$Q$6),"-")</f>
        <v>-</v>
      </c>
      <c r="CD242" s="509" t="str">
        <f ca="1">IFERROR(INDEX(Cluster!AC:AD,MATCH(IF(LEFT(BV242,4)="Pool",INDEX(Cluster!$D$29:$AA$412,MATCH(INDEX(Calculation_Tab,MATCH(INDEX($BE$4:$BJ$99,MATCH(BV242,$BE$4:$BE$99,0),3),Flow_Cell_Lane,0),3),Cluster!$F$29:$F$412,0),24),INDEX(Cluster!$D$29:$AA$412,MATCH(BV242,Cluster!$F$29:$F$412,0),24)),Cluster!AC:AC,0),2),"-")</f>
        <v>-</v>
      </c>
      <c r="CE242" s="378" t="str">
        <f ca="1">IFERROR(IF(BV242&lt;&gt;"-",Calculation!$AK$6,"-"),"-")</f>
        <v>-</v>
      </c>
      <c r="CF242" s="378" t="str">
        <f ca="1">IF(OR(LEFT(ListAndConversion!BW242,3)="Dil",LEFT(ListAndConversion!BW242,3)="Poo"),ListAndConversion!$BT$4,IF(LEFT(ListAndConversion!BW242,3)="Sou",INDEX(ListAndConversion!$AT$3:$AV$387,MATCH(ListAndConversion!BV242,ListAndConversion!$AV$3:$AV$387,0),1),"-"))</f>
        <v>-</v>
      </c>
      <c r="CG242" s="498" t="str">
        <f ca="1">IF(OR(LEFT(ListAndConversion!BW242,3)="Dil",LEFT(ListAndConversion!BW242,3)="Poo"),ListAndConversion!BU242,IF(LEFT(ListAndConversion!BW242,3)="Sou",INDEX(ListAndConversion!$AT$4:$AV$387,MATCH(ListAndConversion!BV242,ListAndConversion!$AV$4:$AV$387,0),2),"-"))</f>
        <v>-</v>
      </c>
      <c r="CH242" s="378"/>
      <c r="CI242" s="487" t="str">
        <f t="shared" ca="1" si="123"/>
        <v>-</v>
      </c>
      <c r="CJ242" s="378" t="str">
        <f t="shared" ca="1" si="132"/>
        <v>-</v>
      </c>
      <c r="CK242" s="378" t="str">
        <f t="shared" ca="1" si="132"/>
        <v>-</v>
      </c>
      <c r="CL242" s="378" t="str">
        <f t="shared" ca="1" si="132"/>
        <v>-</v>
      </c>
      <c r="CM242" s="378" t="str">
        <f t="shared" ca="1" si="132"/>
        <v>-</v>
      </c>
      <c r="CN242" s="378" t="str">
        <f t="shared" ca="1" si="132"/>
        <v>-</v>
      </c>
      <c r="CO242" s="378" t="str">
        <f t="shared" ca="1" si="132"/>
        <v>-</v>
      </c>
      <c r="CP242" s="378" t="str">
        <f t="shared" ca="1" si="132"/>
        <v>-</v>
      </c>
      <c r="CQ242" s="378" t="str">
        <f t="shared" ca="1" si="132"/>
        <v>-</v>
      </c>
      <c r="CR242" s="510" t="str">
        <f ca="1">IFERROR(IF(LEFT(BW242,3)="Poo",INDEX($BE$4:$BJ$99,MATCH(CI242,$BG$4:$BG$99,0),6)*((15/50))*Calculation!$AK$6,INDEX(Calculation_Tab,MATCH(BV242,Identifier,0),10)/(IF(LEN(INDEX(Calculation_Tab,MATCH(BV242,Identifier,0),9))&gt;8,LEN(INDEX(Calculation_Tab,MATCH(BV242,Identifier,0),9))-8,1))*((15/50)*Calculation!$AK$6)),"-")</f>
        <v>-</v>
      </c>
      <c r="CS242" s="498" t="str">
        <f ca="1">IF(CI242="-","-",IF(COUNTIF($CI$3:CI242,CI242)&gt;1,0,IFERROR((35/50)*Calculation!$AK$6,"-")))</f>
        <v>-</v>
      </c>
    </row>
    <row r="243" spans="4:97" x14ac:dyDescent="0.5">
      <c r="D243" s="487" t="e">
        <f t="shared" si="109"/>
        <v>#DIV/0!</v>
      </c>
      <c r="E243" s="496" t="e">
        <f t="array" ref="E243">IF(IF((ROW(E243)-3)&lt;(ListAndConversion!$A$15),INDEX(Flow_Cell_Lane,MIN(IF(COUNTIF($E$2:E242,Flow_Cell_Lane)=0,ROW(Flow_Cell_Lane)-9))),"-")="","-",IF((ROW(E243)-3)&lt;(ListAndConversion!$A$15),INDEX(Flow_Cell_Lane,MIN(IF(COUNTIF($E$2:E242,Flow_Cell_Lane)=0,ROW(Flow_Cell_Lane)-9))),"-"))</f>
        <v>#DIV/0!</v>
      </c>
      <c r="F243" s="378" t="e">
        <f t="shared" si="110"/>
        <v>#DIV/0!</v>
      </c>
      <c r="G243" s="378" t="e">
        <f t="shared" ref="G243:M252" si="133">IF($D243&gt;8,IF($D243&gt;=(8+G$2),CONCATENATE(LEFT($E243,7),RIGHT(LEFT($E243,8+G$2),1)),""),"")</f>
        <v>#DIV/0!</v>
      </c>
      <c r="H243" s="378" t="e">
        <f t="shared" si="133"/>
        <v>#DIV/0!</v>
      </c>
      <c r="I243" s="378" t="e">
        <f t="shared" si="133"/>
        <v>#DIV/0!</v>
      </c>
      <c r="J243" s="378" t="e">
        <f t="shared" si="133"/>
        <v>#DIV/0!</v>
      </c>
      <c r="K243" s="378" t="e">
        <f t="shared" si="133"/>
        <v>#DIV/0!</v>
      </c>
      <c r="L243" s="378" t="e">
        <f t="shared" si="133"/>
        <v>#DIV/0!</v>
      </c>
      <c r="M243" s="378" t="e">
        <f t="shared" si="133"/>
        <v>#DIV/0!</v>
      </c>
      <c r="N243" s="497" t="e">
        <f t="shared" si="111"/>
        <v>#DIV/0!</v>
      </c>
      <c r="O243" s="497" t="str">
        <f t="array" ref="O243">IFERROR(INDEX(Calculation!I:AN,MATCH(ListAndConversion!E243,Calculation!I:I,0),31),"-")</f>
        <v>-</v>
      </c>
      <c r="P243" s="498">
        <f>IF(COUNTIFS(Calculation!$I$10:$I$393,E243,Direct_Denaturation,"-")&lt;&gt;1,COUNTIFS(Calculation!$I$10:$I$393,E243,Direct_Denaturation,"-"),0)</f>
        <v>0</v>
      </c>
      <c r="V243" s="542" t="s">
        <v>82</v>
      </c>
      <c r="W243" s="542" t="s">
        <v>82</v>
      </c>
      <c r="X243" s="542" t="s">
        <v>82</v>
      </c>
      <c r="Y243" s="542" t="s">
        <v>82</v>
      </c>
      <c r="Z243" s="542" t="s">
        <v>82</v>
      </c>
      <c r="AA243" s="542" t="s">
        <v>82</v>
      </c>
      <c r="AB243" s="542" t="s">
        <v>82</v>
      </c>
      <c r="AC243" s="542" t="s">
        <v>82</v>
      </c>
      <c r="AD243" s="542" t="s">
        <v>82</v>
      </c>
      <c r="AE243" s="542" t="s">
        <v>82</v>
      </c>
      <c r="AF243" s="542" t="s">
        <v>82</v>
      </c>
      <c r="AG243" s="542" t="s">
        <v>82</v>
      </c>
      <c r="AH243" s="9"/>
      <c r="AI243" s="487">
        <v>240</v>
      </c>
      <c r="AJ243" s="497" t="s">
        <v>162</v>
      </c>
      <c r="AK243" s="378">
        <v>48</v>
      </c>
      <c r="AL243" s="378" t="str">
        <f t="shared" ca="1" si="112"/>
        <v>-</v>
      </c>
      <c r="AM243" s="378" t="str">
        <f t="array" aca="1" ref="AM243" ca="1">IFERROR(IF(AI243&lt;=$AB$2,"-",INDEX(Calculation_Tab,SMALL(ROW(Main_Dil)*(Main_Dil&lt;&gt;"-"),COUNTIF(Main_Dil,"-")+ROW()-3-$AB$2)-9,5)),"-")</f>
        <v>-</v>
      </c>
      <c r="AN243" s="378" t="str">
        <f t="array" aca="1" ref="AN243" ca="1">IFERROR(IF(AI243&lt;=$AB$2,"-",INDEX($A$3:$B$12,MATCH(INDEX(Calculation_Tab,SMALL(ROW(Main_Dil)*(Main_Dil&lt;&gt;"-"),COUNTIF(Main_Dil,"-")+ROW()-3-$AB$2)-9,5),$A$3:$A$12,0),2)),"-")</f>
        <v>-</v>
      </c>
      <c r="AO243" s="378" t="str">
        <f t="array" aca="1" ref="AO243" ca="1">IFERROR(IF(AI243&lt;=$AB$2,"-",INDEX(Coordinate,MATCH(INDEX(Calculation_Tab,SMALL(ROW(Main_Dil)*(Main_Dil&lt;&gt;"-"),COUNTIF(Main_Dil,"-")+ROW()-3-$AB$2)-9,6),$X$4:$X$99,0),2)),"-")</f>
        <v>-</v>
      </c>
      <c r="AP243" s="510" t="str">
        <f t="array" aca="1" ref="AP243" ca="1">IFERROR(IF(AI243&lt;=$AB$2,"-",INDEX(Calculation_Tab,SMALL(ROW(Main_Dil)*(Main_Dil&lt;&gt;"-"),COUNTIF(Main_Dil,"-")+ROW()-3-$AB$2)-9,21)),"-")</f>
        <v>-</v>
      </c>
      <c r="AQ243" s="511" t="str">
        <f t="array" aca="1" ref="AQ243" ca="1">IFERROR(IF(AI243&lt;=$AB$2,"-",INDEX(Calculation_Tab,SMALL(ROW(Main_Dil)*(Main_Dil&lt;&gt;"-"),COUNTIF(Main_Dil,"-")+ROW()-3-$AB$2)-9,22)),"-")</f>
        <v>-</v>
      </c>
      <c r="AR243" s="487" t="str">
        <f t="shared" ca="1" si="113"/>
        <v>-</v>
      </c>
      <c r="AS243" s="378">
        <v>240</v>
      </c>
      <c r="AT243" s="497" t="s">
        <v>162</v>
      </c>
      <c r="AU243" s="498">
        <v>48</v>
      </c>
      <c r="AV243" s="378" t="str">
        <f t="shared" ca="1" si="114"/>
        <v>-</v>
      </c>
      <c r="AW243" s="378" t="str">
        <f t="array" aca="1" ref="AW243" ca="1">IFERROR(IF(AS243&lt;=$AB$2+$AN$2,"-",INDEX(Calculation_Tab,SMALL(ROW(Direct_Denaturation)*(Direct_Denaturation&lt;&gt;"-"),COUNTIF(Direct_Denaturation,"-")+ROW()-3-$AB$2-$AN$2)-9,5)),"-")</f>
        <v>-</v>
      </c>
      <c r="AX243" s="378" t="str">
        <f t="array" aca="1" ref="AX243" ca="1">IFERROR(IF(AS243&lt;=$AB$2+$AN$2,"-",INDEX($A$3:$B$12,MATCH(INDEX(Calculation_Tab,SMALL(ROW(Direct_Denaturation)*(Direct_Denaturation&lt;&gt;"-"),COUNTIF(Direct_Denaturation,"-")+ROW()-3-$AB$2-$AN$2)-9,5),$A$3:$A$12,0),2)),"-")</f>
        <v>-</v>
      </c>
      <c r="AY243" s="378" t="str">
        <f t="array" aca="1" ref="AY243" ca="1">IFERROR(IF(AS243&lt;=$AB$2+$AN$2,"-",INDEX(Coordinate,MATCH(INDEX(Calculation_Tab,SMALL(ROW(Direct_Denaturation)*(Direct_Denaturation&lt;&gt;"-"),COUNTIF(Direct_Denaturation,"-")+ROW()-3-$AB$2-$AN$2)-9,6),$X$4:$X$99,0),2)),"-")</f>
        <v>-</v>
      </c>
      <c r="AZ243" s="510" t="str">
        <f t="array" aca="1" ref="AZ243" ca="1">IFERROR(IF(AS243&lt;=$AB$2+$AN$2,"-",INDEX(Calculation_Tab,SMALL(ROW(Direct_Denaturation)*(Direct_Denaturation&lt;&gt;"-"),COUNTIF(Direct_Denaturation,"-")+ROW()-3-$AB$2-$AN$2)-9,32)),"-")</f>
        <v>-</v>
      </c>
      <c r="BA243" s="510" t="str">
        <f t="array" aca="1" ref="BA243" ca="1">IFERROR(IF(AS243&lt;=$AB$2+$AN$2,"-",INDEX(Calculation_Tab,SMALL(ROW(Direct_Denaturation)*(Direct_Denaturation&lt;&gt;"-"),COUNTIF(Direct_Denaturation,"-")+ROW()-3-$AB$2-$AN$2)-9,34)),"-")</f>
        <v>-</v>
      </c>
      <c r="BB243" s="510" t="str">
        <f t="array" aca="1" ref="BB243" ca="1">IFERROR(IF(AS243&lt;=$AB$2+$AN$2,"-",INDEX(Calculation_Tab,SMALL(ROW(Direct_Denaturation)*(Direct_Denaturation&lt;&gt;"-"),COUNTIF(Direct_Denaturation,"-")+ROW()-3-$AB$2-$AN$2)-9,33)),"-")</f>
        <v>-</v>
      </c>
      <c r="BC243" s="510" t="str">
        <f t="array" aca="1" ref="BC243" ca="1">IFERROR(IF(AS243&lt;=$AB$2+$AN$2,"-",INDEX(Calculation_Tab,SMALL(ROW(Direct_Denaturation)*(Direct_Denaturation&lt;&gt;"-"),COUNTIF(Direct_Denaturation,"-")+ROW()-3-$AB$2-$AN$2)-9,35)),"-")</f>
        <v>-</v>
      </c>
      <c r="BD243" s="511" t="str">
        <f t="shared" ca="1" si="115"/>
        <v>-</v>
      </c>
      <c r="BK243" s="542" t="s">
        <v>82</v>
      </c>
      <c r="BL243" s="542" t="s">
        <v>82</v>
      </c>
      <c r="BM243" s="487" t="str">
        <f t="array" aca="1" ref="BM243" ca="1">IFERROR(INDEX(Calculation_Tab,SMALL(ROW(ToPool)*(ToPool&lt;&gt;"-"),COUNTIF(ToPool,"-")+ROW()-3)-9,3),"-")</f>
        <v>-</v>
      </c>
      <c r="BN243" s="378" t="str">
        <f t="shared" ca="1" si="116"/>
        <v>-</v>
      </c>
      <c r="BO243" s="378" t="str">
        <f t="shared" ca="1" si="117"/>
        <v>-</v>
      </c>
      <c r="BP243" s="523" t="str">
        <f t="shared" ca="1" si="118"/>
        <v>-</v>
      </c>
      <c r="BQ243" s="378" t="str">
        <f t="array" aca="1" ref="BQ243" ca="1">IFERROR(INDEX(BE:BG,MATCH(INDEX(Calculation_Tab,SMALL(ROW(ToPool)*(ToPool&lt;&gt;"-"),COUNTIF(ToPool,"-")+ROW()-3)-9,9),BG:BG,0),2),"-")</f>
        <v>-</v>
      </c>
      <c r="BR243" s="510" t="str">
        <f t="shared" ca="1" si="119"/>
        <v>-</v>
      </c>
      <c r="BS243" s="511" t="str">
        <f t="shared" ca="1" si="120"/>
        <v>-</v>
      </c>
      <c r="BT243" s="543" t="s">
        <v>82</v>
      </c>
      <c r="BU243" s="487" t="str">
        <f t="shared" ca="1" si="124"/>
        <v>-</v>
      </c>
      <c r="BV243" s="487" t="str">
        <f t="array" aca="1" ref="BV24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43" s="378" t="str">
        <f t="shared" ca="1" si="121"/>
        <v>-</v>
      </c>
      <c r="BX243" s="378" t="str">
        <f t="shared" ca="1" si="122"/>
        <v>-</v>
      </c>
      <c r="BY243" s="510" t="str">
        <f ca="1">IFERROR(ROUND(INDEX(Cluster,MATCH(IF(LEFT(BV243,4)="Pool",INDEX(Cluster,MATCH(INDEX(Calculation_Tab,MATCH(INDEX($BE$4:$BJ$99,MATCH(BV243,$BE$4:$BE$99,0),3),Flow_Cell_Lane,0),3),Cluster!$F$29:$F$412,0),6),BV243),Identifier_Cluster,0),19)*IF(LEFT(BV243,4)="pool",IF(LEN(INDEX($BE$4:$BJ$99,MATCH(BV243,$BE$4:$BE$99,0),3))=10,2,IF(LEN(INDEX($BE$4:$BJ$99,MATCH(BV243,$BE$4:$BE$99,0),3))&gt;10,LEN(INDEX($BE$4:$BJ$99,MATCH(BV243,$BE$4:$BE$99,0),3))-8,1)),1)*IF(LEFT(BV243,4)="pool",IF(INDEX($BE$4:$BJ$99,MATCH(BV243,$BE$4:$BE$99,0),6)&lt;1,1,INDEX($BE$4:$BJ$99,MATCH(BV243,$BE$4:$BE$99,0),6)),INDEX(Calculation_Tab,MATCH(BV243,Identifier,0),10)),1)*(1+Calculation!$Q$6),"-")</f>
        <v>-</v>
      </c>
      <c r="BZ243" s="378" t="str">
        <f ca="1">IFERROR((0.5/50)*CE243/Calculation!$AG$6*(IF(LEFT(BV243,4)="Pool",IF(LEN(INDEX($BE$4:$BJ$99,MATCH(BV243,$BE$4:$BE$99,0),3))=10,2,IF(LEN(INDEX($BE$4:$BJ$99,MATCH(BV243,$BE$4:$BE$99,0),3))&gt;10,LEN(INDEX($BE$4:$BJ$99,MATCH(BV243,$BE$4:$BE$99,0),3))-8,1)),IF(INDEX(Calculation_Tab,MATCH(BV243,Identifier,0),10)&gt;1,INDEX(Calculation_Tab,MATCH(BV243,Identifier,0),10),1)))*(1+Calculation!$Q$6),"-")</f>
        <v>-</v>
      </c>
      <c r="CA243" s="510" t="str">
        <f ca="1">IFERROR(IF((BZ243*Calculation!$AG$6/0.05)-SUM(BY243:BZ243,CC243)&gt;0,(BZ243*Calculation!$AG$6/0.05)-SUM(BY243:BZ243,CC243),0),"-")</f>
        <v>-</v>
      </c>
      <c r="CB243" s="510" t="str">
        <f ca="1">IFERROR(5/50*CE243*(IF(LEFT(BV243,4)="Pool",IF(LEN(INDEX($BE$4:$BJ$99,MATCH(BV243,$BE$4:$BE$99,0),3))=10,2,IF(LEN(INDEX($BE$4:$BJ$99,MATCH(BV243,$BE$4:$BE$99,0),3))&gt;10,LEN(INDEX($BE$4:$BJ$99,MATCH(BV243,$BE$4:$BE$99,0),3))-8,1)),IF(INDEX(Calculation_Tab,MATCH(BV243,Identifier,0),10)&gt;1,INDEX(Calculation_Tab,MATCH(BV243,Identifier,0),10),1)))*(1+Calculation!$Q$6),"-")</f>
        <v>-</v>
      </c>
      <c r="CC243" s="508" t="str">
        <f ca="1">IFERROR(ROUND(INDEX(Cluster,MATCH(IF(LEFT(BV243,4)="Pool",INDEX(Cluster,MATCH(INDEX(Calculation_Tab,MATCH(INDEX($BE$4:$BJ$99,MATCH(BV243,$BE$4:$BE$99,0),3),Flow_Cell_Lane,0),3),Cluster!$F$29:$F$412,0),6),BV243),Identifier_Cluster,0),20)*IF(LEFT(BV243,4)="pool",IF(LEN(INDEX($BE$4:$BJ$99,MATCH(BV243,$BE$4:$BE$99,0),3))=10,2,IF(LEN(INDEX($BE$4:$BJ$99,MATCH(BV243,$BE$4:$BE$99,0),3))&gt;10,LEN(INDEX($BE$4:$BJ$99,MATCH(BV243,$BE$4:$BE$99,0),3))-8,1)),1)*IF(LEFT(BV243,4)="pool",IF(INDEX($BE$4:$BJ$99,MATCH(BV243,$BE$4:$BE$99,0),6)&lt;1,1,INDEX($BE$4:$BJ$99,MATCH(BV243,$BE$4:$BE$99,0),6)),INDEX(Calculation_Tab,MATCH(BV243,Identifier,0),10)),1)*(1+Calculation!$Q$6),"-")</f>
        <v>-</v>
      </c>
      <c r="CD243" s="509" t="str">
        <f ca="1">IFERROR(INDEX(Cluster!AC:AD,MATCH(IF(LEFT(BV243,4)="Pool",INDEX(Cluster!$D$29:$AA$412,MATCH(INDEX(Calculation_Tab,MATCH(INDEX($BE$4:$BJ$99,MATCH(BV243,$BE$4:$BE$99,0),3),Flow_Cell_Lane,0),3),Cluster!$F$29:$F$412,0),24),INDEX(Cluster!$D$29:$AA$412,MATCH(BV243,Cluster!$F$29:$F$412,0),24)),Cluster!AC:AC,0),2),"-")</f>
        <v>-</v>
      </c>
      <c r="CE243" s="378" t="str">
        <f ca="1">IFERROR(IF(BV243&lt;&gt;"-",Calculation!$AK$6,"-"),"-")</f>
        <v>-</v>
      </c>
      <c r="CF243" s="378" t="str">
        <f ca="1">IF(OR(LEFT(ListAndConversion!BW243,3)="Dil",LEFT(ListAndConversion!BW243,3)="Poo"),ListAndConversion!$BT$4,IF(LEFT(ListAndConversion!BW243,3)="Sou",INDEX(ListAndConversion!$AT$3:$AV$387,MATCH(ListAndConversion!BV243,ListAndConversion!$AV$3:$AV$387,0),1),"-"))</f>
        <v>-</v>
      </c>
      <c r="CG243" s="498" t="str">
        <f ca="1">IF(OR(LEFT(ListAndConversion!BW243,3)="Dil",LEFT(ListAndConversion!BW243,3)="Poo"),ListAndConversion!BU243,IF(LEFT(ListAndConversion!BW243,3)="Sou",INDEX(ListAndConversion!$AT$4:$AV$387,MATCH(ListAndConversion!BV243,ListAndConversion!$AV$4:$AV$387,0),2),"-"))</f>
        <v>-</v>
      </c>
      <c r="CH243" s="378"/>
      <c r="CI243" s="487" t="str">
        <f t="shared" ca="1" si="123"/>
        <v>-</v>
      </c>
      <c r="CJ243" s="378" t="str">
        <f t="shared" ca="1" si="132"/>
        <v>-</v>
      </c>
      <c r="CK243" s="378" t="str">
        <f t="shared" ca="1" si="132"/>
        <v>-</v>
      </c>
      <c r="CL243" s="378" t="str">
        <f t="shared" ca="1" si="132"/>
        <v>-</v>
      </c>
      <c r="CM243" s="378" t="str">
        <f t="shared" ca="1" si="132"/>
        <v>-</v>
      </c>
      <c r="CN243" s="378" t="str">
        <f t="shared" ca="1" si="132"/>
        <v>-</v>
      </c>
      <c r="CO243" s="378" t="str">
        <f t="shared" ca="1" si="132"/>
        <v>-</v>
      </c>
      <c r="CP243" s="378" t="str">
        <f t="shared" ca="1" si="132"/>
        <v>-</v>
      </c>
      <c r="CQ243" s="378" t="str">
        <f t="shared" ca="1" si="132"/>
        <v>-</v>
      </c>
      <c r="CR243" s="510" t="str">
        <f ca="1">IFERROR(IF(LEFT(BW243,3)="Poo",INDEX($BE$4:$BJ$99,MATCH(CI243,$BG$4:$BG$99,0),6)*((15/50))*Calculation!$AK$6,INDEX(Calculation_Tab,MATCH(BV243,Identifier,0),10)/(IF(LEN(INDEX(Calculation_Tab,MATCH(BV243,Identifier,0),9))&gt;8,LEN(INDEX(Calculation_Tab,MATCH(BV243,Identifier,0),9))-8,1))*((15/50)*Calculation!$AK$6)),"-")</f>
        <v>-</v>
      </c>
      <c r="CS243" s="498" t="str">
        <f ca="1">IF(CI243="-","-",IF(COUNTIF($CI$3:CI243,CI243)&gt;1,0,IFERROR((35/50)*Calculation!$AK$6,"-")))</f>
        <v>-</v>
      </c>
    </row>
    <row r="244" spans="4:97" x14ac:dyDescent="0.5">
      <c r="D244" s="487" t="e">
        <f t="shared" si="109"/>
        <v>#DIV/0!</v>
      </c>
      <c r="E244" s="496" t="e">
        <f t="array" ref="E244">IF(IF((ROW(E244)-3)&lt;(ListAndConversion!$A$15),INDEX(Flow_Cell_Lane,MIN(IF(COUNTIF($E$2:E243,Flow_Cell_Lane)=0,ROW(Flow_Cell_Lane)-9))),"-")="","-",IF((ROW(E244)-3)&lt;(ListAndConversion!$A$15),INDEX(Flow_Cell_Lane,MIN(IF(COUNTIF($E$2:E243,Flow_Cell_Lane)=0,ROW(Flow_Cell_Lane)-9))),"-"))</f>
        <v>#DIV/0!</v>
      </c>
      <c r="F244" s="378" t="e">
        <f t="shared" si="110"/>
        <v>#DIV/0!</v>
      </c>
      <c r="G244" s="378" t="e">
        <f t="shared" si="133"/>
        <v>#DIV/0!</v>
      </c>
      <c r="H244" s="378" t="e">
        <f t="shared" si="133"/>
        <v>#DIV/0!</v>
      </c>
      <c r="I244" s="378" t="e">
        <f t="shared" si="133"/>
        <v>#DIV/0!</v>
      </c>
      <c r="J244" s="378" t="e">
        <f t="shared" si="133"/>
        <v>#DIV/0!</v>
      </c>
      <c r="K244" s="378" t="e">
        <f t="shared" si="133"/>
        <v>#DIV/0!</v>
      </c>
      <c r="L244" s="378" t="e">
        <f t="shared" si="133"/>
        <v>#DIV/0!</v>
      </c>
      <c r="M244" s="378" t="e">
        <f t="shared" si="133"/>
        <v>#DIV/0!</v>
      </c>
      <c r="N244" s="497" t="e">
        <f t="shared" si="111"/>
        <v>#DIV/0!</v>
      </c>
      <c r="O244" s="497" t="str">
        <f t="array" ref="O244">IFERROR(INDEX(Calculation!I:AN,MATCH(ListAndConversion!E244,Calculation!I:I,0),31),"-")</f>
        <v>-</v>
      </c>
      <c r="P244" s="498">
        <f>IF(COUNTIFS(Calculation!$I$10:$I$393,E244,Direct_Denaturation,"-")&lt;&gt;1,COUNTIFS(Calculation!$I$10:$I$393,E244,Direct_Denaturation,"-"),0)</f>
        <v>0</v>
      </c>
      <c r="V244" s="542" t="s">
        <v>82</v>
      </c>
      <c r="W244" s="542" t="s">
        <v>82</v>
      </c>
      <c r="X244" s="542" t="s">
        <v>82</v>
      </c>
      <c r="Y244" s="542" t="s">
        <v>82</v>
      </c>
      <c r="Z244" s="542" t="s">
        <v>82</v>
      </c>
      <c r="AA244" s="542" t="s">
        <v>82</v>
      </c>
      <c r="AB244" s="542" t="s">
        <v>82</v>
      </c>
      <c r="AC244" s="542" t="s">
        <v>82</v>
      </c>
      <c r="AD244" s="542" t="s">
        <v>82</v>
      </c>
      <c r="AE244" s="542" t="s">
        <v>82</v>
      </c>
      <c r="AF244" s="542" t="s">
        <v>82</v>
      </c>
      <c r="AG244" s="542" t="s">
        <v>82</v>
      </c>
      <c r="AH244" s="9"/>
      <c r="AI244" s="487">
        <v>241</v>
      </c>
      <c r="AJ244" s="497" t="s">
        <v>162</v>
      </c>
      <c r="AK244" s="378">
        <v>49</v>
      </c>
      <c r="AL244" s="378" t="str">
        <f t="shared" ca="1" si="112"/>
        <v>-</v>
      </c>
      <c r="AM244" s="378" t="str">
        <f t="array" aca="1" ref="AM244" ca="1">IFERROR(IF(AI244&lt;=$AB$2,"-",INDEX(Calculation_Tab,SMALL(ROW(Main_Dil)*(Main_Dil&lt;&gt;"-"),COUNTIF(Main_Dil,"-")+ROW()-3-$AB$2)-9,5)),"-")</f>
        <v>-</v>
      </c>
      <c r="AN244" s="378" t="str">
        <f t="array" aca="1" ref="AN244" ca="1">IFERROR(IF(AI244&lt;=$AB$2,"-",INDEX($A$3:$B$12,MATCH(INDEX(Calculation_Tab,SMALL(ROW(Main_Dil)*(Main_Dil&lt;&gt;"-"),COUNTIF(Main_Dil,"-")+ROW()-3-$AB$2)-9,5),$A$3:$A$12,0),2)),"-")</f>
        <v>-</v>
      </c>
      <c r="AO244" s="378" t="str">
        <f t="array" aca="1" ref="AO244" ca="1">IFERROR(IF(AI244&lt;=$AB$2,"-",INDEX(Coordinate,MATCH(INDEX(Calculation_Tab,SMALL(ROW(Main_Dil)*(Main_Dil&lt;&gt;"-"),COUNTIF(Main_Dil,"-")+ROW()-3-$AB$2)-9,6),$X$4:$X$99,0),2)),"-")</f>
        <v>-</v>
      </c>
      <c r="AP244" s="510" t="str">
        <f t="array" aca="1" ref="AP244" ca="1">IFERROR(IF(AI244&lt;=$AB$2,"-",INDEX(Calculation_Tab,SMALL(ROW(Main_Dil)*(Main_Dil&lt;&gt;"-"),COUNTIF(Main_Dil,"-")+ROW()-3-$AB$2)-9,21)),"-")</f>
        <v>-</v>
      </c>
      <c r="AQ244" s="511" t="str">
        <f t="array" aca="1" ref="AQ244" ca="1">IFERROR(IF(AI244&lt;=$AB$2,"-",INDEX(Calculation_Tab,SMALL(ROW(Main_Dil)*(Main_Dil&lt;&gt;"-"),COUNTIF(Main_Dil,"-")+ROW()-3-$AB$2)-9,22)),"-")</f>
        <v>-</v>
      </c>
      <c r="AR244" s="487" t="str">
        <f t="shared" ca="1" si="113"/>
        <v>-</v>
      </c>
      <c r="AS244" s="378">
        <v>241</v>
      </c>
      <c r="AT244" s="497" t="s">
        <v>162</v>
      </c>
      <c r="AU244" s="498">
        <v>49</v>
      </c>
      <c r="AV244" s="378" t="str">
        <f t="shared" ca="1" si="114"/>
        <v>-</v>
      </c>
      <c r="AW244" s="378" t="str">
        <f t="array" aca="1" ref="AW244" ca="1">IFERROR(IF(AS244&lt;=$AB$2+$AN$2,"-",INDEX(Calculation_Tab,SMALL(ROW(Direct_Denaturation)*(Direct_Denaturation&lt;&gt;"-"),COUNTIF(Direct_Denaturation,"-")+ROW()-3-$AB$2-$AN$2)-9,5)),"-")</f>
        <v>-</v>
      </c>
      <c r="AX244" s="378" t="str">
        <f t="array" aca="1" ref="AX244" ca="1">IFERROR(IF(AS244&lt;=$AB$2+$AN$2,"-",INDEX($A$3:$B$12,MATCH(INDEX(Calculation_Tab,SMALL(ROW(Direct_Denaturation)*(Direct_Denaturation&lt;&gt;"-"),COUNTIF(Direct_Denaturation,"-")+ROW()-3-$AB$2-$AN$2)-9,5),$A$3:$A$12,0),2)),"-")</f>
        <v>-</v>
      </c>
      <c r="AY244" s="378" t="str">
        <f t="array" aca="1" ref="AY244" ca="1">IFERROR(IF(AS244&lt;=$AB$2+$AN$2,"-",INDEX(Coordinate,MATCH(INDEX(Calculation_Tab,SMALL(ROW(Direct_Denaturation)*(Direct_Denaturation&lt;&gt;"-"),COUNTIF(Direct_Denaturation,"-")+ROW()-3-$AB$2-$AN$2)-9,6),$X$4:$X$99,0),2)),"-")</f>
        <v>-</v>
      </c>
      <c r="AZ244" s="510" t="str">
        <f t="array" aca="1" ref="AZ244" ca="1">IFERROR(IF(AS244&lt;=$AB$2+$AN$2,"-",INDEX(Calculation_Tab,SMALL(ROW(Direct_Denaturation)*(Direct_Denaturation&lt;&gt;"-"),COUNTIF(Direct_Denaturation,"-")+ROW()-3-$AB$2-$AN$2)-9,32)),"-")</f>
        <v>-</v>
      </c>
      <c r="BA244" s="510" t="str">
        <f t="array" aca="1" ref="BA244" ca="1">IFERROR(IF(AS244&lt;=$AB$2+$AN$2,"-",INDEX(Calculation_Tab,SMALL(ROW(Direct_Denaturation)*(Direct_Denaturation&lt;&gt;"-"),COUNTIF(Direct_Denaturation,"-")+ROW()-3-$AB$2-$AN$2)-9,34)),"-")</f>
        <v>-</v>
      </c>
      <c r="BB244" s="510" t="str">
        <f t="array" aca="1" ref="BB244" ca="1">IFERROR(IF(AS244&lt;=$AB$2+$AN$2,"-",INDEX(Calculation_Tab,SMALL(ROW(Direct_Denaturation)*(Direct_Denaturation&lt;&gt;"-"),COUNTIF(Direct_Denaturation,"-")+ROW()-3-$AB$2-$AN$2)-9,33)),"-")</f>
        <v>-</v>
      </c>
      <c r="BC244" s="510" t="str">
        <f t="array" aca="1" ref="BC244" ca="1">IFERROR(IF(AS244&lt;=$AB$2+$AN$2,"-",INDEX(Calculation_Tab,SMALL(ROW(Direct_Denaturation)*(Direct_Denaturation&lt;&gt;"-"),COUNTIF(Direct_Denaturation,"-")+ROW()-3-$AB$2-$AN$2)-9,35)),"-")</f>
        <v>-</v>
      </c>
      <c r="BD244" s="511" t="str">
        <f t="shared" ca="1" si="115"/>
        <v>-</v>
      </c>
      <c r="BK244" s="542" t="s">
        <v>82</v>
      </c>
      <c r="BL244" s="542" t="s">
        <v>82</v>
      </c>
      <c r="BM244" s="487" t="str">
        <f t="array" aca="1" ref="BM244" ca="1">IFERROR(INDEX(Calculation_Tab,SMALL(ROW(ToPool)*(ToPool&lt;&gt;"-"),COUNTIF(ToPool,"-")+ROW()-3)-9,3),"-")</f>
        <v>-</v>
      </c>
      <c r="BN244" s="378" t="str">
        <f t="shared" ca="1" si="116"/>
        <v>-</v>
      </c>
      <c r="BO244" s="378" t="str">
        <f t="shared" ca="1" si="117"/>
        <v>-</v>
      </c>
      <c r="BP244" s="523" t="str">
        <f t="shared" ca="1" si="118"/>
        <v>-</v>
      </c>
      <c r="BQ244" s="378" t="str">
        <f t="array" aca="1" ref="BQ244" ca="1">IFERROR(INDEX(BE:BG,MATCH(INDEX(Calculation_Tab,SMALL(ROW(ToPool)*(ToPool&lt;&gt;"-"),COUNTIF(ToPool,"-")+ROW()-3)-9,9),BG:BG,0),2),"-")</f>
        <v>-</v>
      </c>
      <c r="BR244" s="510" t="str">
        <f t="shared" ca="1" si="119"/>
        <v>-</v>
      </c>
      <c r="BS244" s="511" t="str">
        <f t="shared" ca="1" si="120"/>
        <v>-</v>
      </c>
      <c r="BT244" s="543" t="s">
        <v>82</v>
      </c>
      <c r="BU244" s="487" t="str">
        <f t="shared" ca="1" si="124"/>
        <v>-</v>
      </c>
      <c r="BV244" s="487" t="str">
        <f t="array" aca="1" ref="BV24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44" s="378" t="str">
        <f t="shared" ca="1" si="121"/>
        <v>-</v>
      </c>
      <c r="BX244" s="378" t="str">
        <f t="shared" ca="1" si="122"/>
        <v>-</v>
      </c>
      <c r="BY244" s="510" t="str">
        <f ca="1">IFERROR(ROUND(INDEX(Cluster,MATCH(IF(LEFT(BV244,4)="Pool",INDEX(Cluster,MATCH(INDEX(Calculation_Tab,MATCH(INDEX($BE$4:$BJ$99,MATCH(BV244,$BE$4:$BE$99,0),3),Flow_Cell_Lane,0),3),Cluster!$F$29:$F$412,0),6),BV244),Identifier_Cluster,0),19)*IF(LEFT(BV244,4)="pool",IF(LEN(INDEX($BE$4:$BJ$99,MATCH(BV244,$BE$4:$BE$99,0),3))=10,2,IF(LEN(INDEX($BE$4:$BJ$99,MATCH(BV244,$BE$4:$BE$99,0),3))&gt;10,LEN(INDEX($BE$4:$BJ$99,MATCH(BV244,$BE$4:$BE$99,0),3))-8,1)),1)*IF(LEFT(BV244,4)="pool",IF(INDEX($BE$4:$BJ$99,MATCH(BV244,$BE$4:$BE$99,0),6)&lt;1,1,INDEX($BE$4:$BJ$99,MATCH(BV244,$BE$4:$BE$99,0),6)),INDEX(Calculation_Tab,MATCH(BV244,Identifier,0),10)),1)*(1+Calculation!$Q$6),"-")</f>
        <v>-</v>
      </c>
      <c r="BZ244" s="378" t="str">
        <f ca="1">IFERROR((0.5/50)*CE244/Calculation!$AG$6*(IF(LEFT(BV244,4)="Pool",IF(LEN(INDEX($BE$4:$BJ$99,MATCH(BV244,$BE$4:$BE$99,0),3))=10,2,IF(LEN(INDEX($BE$4:$BJ$99,MATCH(BV244,$BE$4:$BE$99,0),3))&gt;10,LEN(INDEX($BE$4:$BJ$99,MATCH(BV244,$BE$4:$BE$99,0),3))-8,1)),IF(INDEX(Calculation_Tab,MATCH(BV244,Identifier,0),10)&gt;1,INDEX(Calculation_Tab,MATCH(BV244,Identifier,0),10),1)))*(1+Calculation!$Q$6),"-")</f>
        <v>-</v>
      </c>
      <c r="CA244" s="510" t="str">
        <f ca="1">IFERROR(IF((BZ244*Calculation!$AG$6/0.05)-SUM(BY244:BZ244,CC244)&gt;0,(BZ244*Calculation!$AG$6/0.05)-SUM(BY244:BZ244,CC244),0),"-")</f>
        <v>-</v>
      </c>
      <c r="CB244" s="510" t="str">
        <f ca="1">IFERROR(5/50*CE244*(IF(LEFT(BV244,4)="Pool",IF(LEN(INDEX($BE$4:$BJ$99,MATCH(BV244,$BE$4:$BE$99,0),3))=10,2,IF(LEN(INDEX($BE$4:$BJ$99,MATCH(BV244,$BE$4:$BE$99,0),3))&gt;10,LEN(INDEX($BE$4:$BJ$99,MATCH(BV244,$BE$4:$BE$99,0),3))-8,1)),IF(INDEX(Calculation_Tab,MATCH(BV244,Identifier,0),10)&gt;1,INDEX(Calculation_Tab,MATCH(BV244,Identifier,0),10),1)))*(1+Calculation!$Q$6),"-")</f>
        <v>-</v>
      </c>
      <c r="CC244" s="508" t="str">
        <f ca="1">IFERROR(ROUND(INDEX(Cluster,MATCH(IF(LEFT(BV244,4)="Pool",INDEX(Cluster,MATCH(INDEX(Calculation_Tab,MATCH(INDEX($BE$4:$BJ$99,MATCH(BV244,$BE$4:$BE$99,0),3),Flow_Cell_Lane,0),3),Cluster!$F$29:$F$412,0),6),BV244),Identifier_Cluster,0),20)*IF(LEFT(BV244,4)="pool",IF(LEN(INDEX($BE$4:$BJ$99,MATCH(BV244,$BE$4:$BE$99,0),3))=10,2,IF(LEN(INDEX($BE$4:$BJ$99,MATCH(BV244,$BE$4:$BE$99,0),3))&gt;10,LEN(INDEX($BE$4:$BJ$99,MATCH(BV244,$BE$4:$BE$99,0),3))-8,1)),1)*IF(LEFT(BV244,4)="pool",IF(INDEX($BE$4:$BJ$99,MATCH(BV244,$BE$4:$BE$99,0),6)&lt;1,1,INDEX($BE$4:$BJ$99,MATCH(BV244,$BE$4:$BE$99,0),6)),INDEX(Calculation_Tab,MATCH(BV244,Identifier,0),10)),1)*(1+Calculation!$Q$6),"-")</f>
        <v>-</v>
      </c>
      <c r="CD244" s="509" t="str">
        <f ca="1">IFERROR(INDEX(Cluster!AC:AD,MATCH(IF(LEFT(BV244,4)="Pool",INDEX(Cluster!$D$29:$AA$412,MATCH(INDEX(Calculation_Tab,MATCH(INDEX($BE$4:$BJ$99,MATCH(BV244,$BE$4:$BE$99,0),3),Flow_Cell_Lane,0),3),Cluster!$F$29:$F$412,0),24),INDEX(Cluster!$D$29:$AA$412,MATCH(BV244,Cluster!$F$29:$F$412,0),24)),Cluster!AC:AC,0),2),"-")</f>
        <v>-</v>
      </c>
      <c r="CE244" s="378" t="str">
        <f ca="1">IFERROR(IF(BV244&lt;&gt;"-",Calculation!$AK$6,"-"),"-")</f>
        <v>-</v>
      </c>
      <c r="CF244" s="378" t="str">
        <f ca="1">IF(OR(LEFT(ListAndConversion!BW244,3)="Dil",LEFT(ListAndConversion!BW244,3)="Poo"),ListAndConversion!$BT$4,IF(LEFT(ListAndConversion!BW244,3)="Sou",INDEX(ListAndConversion!$AT$3:$AV$387,MATCH(ListAndConversion!BV244,ListAndConversion!$AV$3:$AV$387,0),1),"-"))</f>
        <v>-</v>
      </c>
      <c r="CG244" s="498" t="str">
        <f ca="1">IF(OR(LEFT(ListAndConversion!BW244,3)="Dil",LEFT(ListAndConversion!BW244,3)="Poo"),ListAndConversion!BU244,IF(LEFT(ListAndConversion!BW244,3)="Sou",INDEX(ListAndConversion!$AT$4:$AV$387,MATCH(ListAndConversion!BV244,ListAndConversion!$AV$4:$AV$387,0),2),"-"))</f>
        <v>-</v>
      </c>
      <c r="CH244" s="378"/>
      <c r="CI244" s="487" t="str">
        <f t="shared" ca="1" si="123"/>
        <v>-</v>
      </c>
      <c r="CJ244" s="378" t="str">
        <f t="shared" ref="CJ244:CQ253" ca="1" si="134">IFERROR(INDEX($R$3:$U$98,MATCH(INDEX($F$3:$M$387,MATCH($CI244,$E$3:$E$386,0),CJ$3),$S$3:$S$98,0),4),"-")</f>
        <v>-</v>
      </c>
      <c r="CK244" s="378" t="str">
        <f t="shared" ca="1" si="134"/>
        <v>-</v>
      </c>
      <c r="CL244" s="378" t="str">
        <f t="shared" ca="1" si="134"/>
        <v>-</v>
      </c>
      <c r="CM244" s="378" t="str">
        <f t="shared" ca="1" si="134"/>
        <v>-</v>
      </c>
      <c r="CN244" s="378" t="str">
        <f t="shared" ca="1" si="134"/>
        <v>-</v>
      </c>
      <c r="CO244" s="378" t="str">
        <f t="shared" ca="1" si="134"/>
        <v>-</v>
      </c>
      <c r="CP244" s="378" t="str">
        <f t="shared" ca="1" si="134"/>
        <v>-</v>
      </c>
      <c r="CQ244" s="378" t="str">
        <f t="shared" ca="1" si="134"/>
        <v>-</v>
      </c>
      <c r="CR244" s="510" t="str">
        <f ca="1">IFERROR(IF(LEFT(BW244,3)="Poo",INDEX($BE$4:$BJ$99,MATCH(CI244,$BG$4:$BG$99,0),6)*((15/50))*Calculation!$AK$6,INDEX(Calculation_Tab,MATCH(BV244,Identifier,0),10)/(IF(LEN(INDEX(Calculation_Tab,MATCH(BV244,Identifier,0),9))&gt;8,LEN(INDEX(Calculation_Tab,MATCH(BV244,Identifier,0),9))-8,1))*((15/50)*Calculation!$AK$6)),"-")</f>
        <v>-</v>
      </c>
      <c r="CS244" s="498" t="str">
        <f ca="1">IF(CI244="-","-",IF(COUNTIF($CI$3:CI244,CI244)&gt;1,0,IFERROR((35/50)*Calculation!$AK$6,"-")))</f>
        <v>-</v>
      </c>
    </row>
    <row r="245" spans="4:97" x14ac:dyDescent="0.5">
      <c r="D245" s="487" t="e">
        <f t="shared" si="109"/>
        <v>#DIV/0!</v>
      </c>
      <c r="E245" s="496" t="e">
        <f t="array" ref="E245">IF(IF((ROW(E245)-3)&lt;(ListAndConversion!$A$15),INDEX(Flow_Cell_Lane,MIN(IF(COUNTIF($E$2:E244,Flow_Cell_Lane)=0,ROW(Flow_Cell_Lane)-9))),"-")="","-",IF((ROW(E245)-3)&lt;(ListAndConversion!$A$15),INDEX(Flow_Cell_Lane,MIN(IF(COUNTIF($E$2:E244,Flow_Cell_Lane)=0,ROW(Flow_Cell_Lane)-9))),"-"))</f>
        <v>#DIV/0!</v>
      </c>
      <c r="F245" s="378" t="e">
        <f t="shared" si="110"/>
        <v>#DIV/0!</v>
      </c>
      <c r="G245" s="378" t="e">
        <f t="shared" si="133"/>
        <v>#DIV/0!</v>
      </c>
      <c r="H245" s="378" t="e">
        <f t="shared" si="133"/>
        <v>#DIV/0!</v>
      </c>
      <c r="I245" s="378" t="e">
        <f t="shared" si="133"/>
        <v>#DIV/0!</v>
      </c>
      <c r="J245" s="378" t="e">
        <f t="shared" si="133"/>
        <v>#DIV/0!</v>
      </c>
      <c r="K245" s="378" t="e">
        <f t="shared" si="133"/>
        <v>#DIV/0!</v>
      </c>
      <c r="L245" s="378" t="e">
        <f t="shared" si="133"/>
        <v>#DIV/0!</v>
      </c>
      <c r="M245" s="378" t="e">
        <f t="shared" si="133"/>
        <v>#DIV/0!</v>
      </c>
      <c r="N245" s="497" t="e">
        <f t="shared" si="111"/>
        <v>#DIV/0!</v>
      </c>
      <c r="O245" s="497" t="str">
        <f t="array" ref="O245">IFERROR(INDEX(Calculation!I:AN,MATCH(ListAndConversion!E245,Calculation!I:I,0),31),"-")</f>
        <v>-</v>
      </c>
      <c r="P245" s="498">
        <f>IF(COUNTIFS(Calculation!$I$10:$I$393,E245,Direct_Denaturation,"-")&lt;&gt;1,COUNTIFS(Calculation!$I$10:$I$393,E245,Direct_Denaturation,"-"),0)</f>
        <v>0</v>
      </c>
      <c r="V245" s="542" t="s">
        <v>82</v>
      </c>
      <c r="W245" s="542" t="s">
        <v>82</v>
      </c>
      <c r="X245" s="542" t="s">
        <v>82</v>
      </c>
      <c r="Y245" s="542" t="s">
        <v>82</v>
      </c>
      <c r="Z245" s="542" t="s">
        <v>82</v>
      </c>
      <c r="AA245" s="542" t="s">
        <v>82</v>
      </c>
      <c r="AB245" s="542" t="s">
        <v>82</v>
      </c>
      <c r="AC245" s="542" t="s">
        <v>82</v>
      </c>
      <c r="AD245" s="542" t="s">
        <v>82</v>
      </c>
      <c r="AE245" s="542" t="s">
        <v>82</v>
      </c>
      <c r="AF245" s="542" t="s">
        <v>82</v>
      </c>
      <c r="AG245" s="542" t="s">
        <v>82</v>
      </c>
      <c r="AH245" s="9"/>
      <c r="AI245" s="487">
        <v>242</v>
      </c>
      <c r="AJ245" s="497" t="s">
        <v>162</v>
      </c>
      <c r="AK245" s="378">
        <v>50</v>
      </c>
      <c r="AL245" s="378" t="str">
        <f t="shared" ca="1" si="112"/>
        <v>-</v>
      </c>
      <c r="AM245" s="378" t="str">
        <f t="array" aca="1" ref="AM245" ca="1">IFERROR(IF(AI245&lt;=$AB$2,"-",INDEX(Calculation_Tab,SMALL(ROW(Main_Dil)*(Main_Dil&lt;&gt;"-"),COUNTIF(Main_Dil,"-")+ROW()-3-$AB$2)-9,5)),"-")</f>
        <v>-</v>
      </c>
      <c r="AN245" s="378" t="str">
        <f t="array" aca="1" ref="AN245" ca="1">IFERROR(IF(AI245&lt;=$AB$2,"-",INDEX($A$3:$B$12,MATCH(INDEX(Calculation_Tab,SMALL(ROW(Main_Dil)*(Main_Dil&lt;&gt;"-"),COUNTIF(Main_Dil,"-")+ROW()-3-$AB$2)-9,5),$A$3:$A$12,0),2)),"-")</f>
        <v>-</v>
      </c>
      <c r="AO245" s="378" t="str">
        <f t="array" aca="1" ref="AO245" ca="1">IFERROR(IF(AI245&lt;=$AB$2,"-",INDEX(Coordinate,MATCH(INDEX(Calculation_Tab,SMALL(ROW(Main_Dil)*(Main_Dil&lt;&gt;"-"),COUNTIF(Main_Dil,"-")+ROW()-3-$AB$2)-9,6),$X$4:$X$99,0),2)),"-")</f>
        <v>-</v>
      </c>
      <c r="AP245" s="510" t="str">
        <f t="array" aca="1" ref="AP245" ca="1">IFERROR(IF(AI245&lt;=$AB$2,"-",INDEX(Calculation_Tab,SMALL(ROW(Main_Dil)*(Main_Dil&lt;&gt;"-"),COUNTIF(Main_Dil,"-")+ROW()-3-$AB$2)-9,21)),"-")</f>
        <v>-</v>
      </c>
      <c r="AQ245" s="511" t="str">
        <f t="array" aca="1" ref="AQ245" ca="1">IFERROR(IF(AI245&lt;=$AB$2,"-",INDEX(Calculation_Tab,SMALL(ROW(Main_Dil)*(Main_Dil&lt;&gt;"-"),COUNTIF(Main_Dil,"-")+ROW()-3-$AB$2)-9,22)),"-")</f>
        <v>-</v>
      </c>
      <c r="AR245" s="487" t="str">
        <f t="shared" ca="1" si="113"/>
        <v>-</v>
      </c>
      <c r="AS245" s="378">
        <v>242</v>
      </c>
      <c r="AT245" s="497" t="s">
        <v>162</v>
      </c>
      <c r="AU245" s="498">
        <v>50</v>
      </c>
      <c r="AV245" s="378" t="str">
        <f t="shared" ca="1" si="114"/>
        <v>-</v>
      </c>
      <c r="AW245" s="378" t="str">
        <f t="array" aca="1" ref="AW245" ca="1">IFERROR(IF(AS245&lt;=$AB$2+$AN$2,"-",INDEX(Calculation_Tab,SMALL(ROW(Direct_Denaturation)*(Direct_Denaturation&lt;&gt;"-"),COUNTIF(Direct_Denaturation,"-")+ROW()-3-$AB$2-$AN$2)-9,5)),"-")</f>
        <v>-</v>
      </c>
      <c r="AX245" s="378" t="str">
        <f t="array" aca="1" ref="AX245" ca="1">IFERROR(IF(AS245&lt;=$AB$2+$AN$2,"-",INDEX($A$3:$B$12,MATCH(INDEX(Calculation_Tab,SMALL(ROW(Direct_Denaturation)*(Direct_Denaturation&lt;&gt;"-"),COUNTIF(Direct_Denaturation,"-")+ROW()-3-$AB$2-$AN$2)-9,5),$A$3:$A$12,0),2)),"-")</f>
        <v>-</v>
      </c>
      <c r="AY245" s="378" t="str">
        <f t="array" aca="1" ref="AY245" ca="1">IFERROR(IF(AS245&lt;=$AB$2+$AN$2,"-",INDEX(Coordinate,MATCH(INDEX(Calculation_Tab,SMALL(ROW(Direct_Denaturation)*(Direct_Denaturation&lt;&gt;"-"),COUNTIF(Direct_Denaturation,"-")+ROW()-3-$AB$2-$AN$2)-9,6),$X$4:$X$99,0),2)),"-")</f>
        <v>-</v>
      </c>
      <c r="AZ245" s="510" t="str">
        <f t="array" aca="1" ref="AZ245" ca="1">IFERROR(IF(AS245&lt;=$AB$2+$AN$2,"-",INDEX(Calculation_Tab,SMALL(ROW(Direct_Denaturation)*(Direct_Denaturation&lt;&gt;"-"),COUNTIF(Direct_Denaturation,"-")+ROW()-3-$AB$2-$AN$2)-9,32)),"-")</f>
        <v>-</v>
      </c>
      <c r="BA245" s="510" t="str">
        <f t="array" aca="1" ref="BA245" ca="1">IFERROR(IF(AS245&lt;=$AB$2+$AN$2,"-",INDEX(Calculation_Tab,SMALL(ROW(Direct_Denaturation)*(Direct_Denaturation&lt;&gt;"-"),COUNTIF(Direct_Denaturation,"-")+ROW()-3-$AB$2-$AN$2)-9,34)),"-")</f>
        <v>-</v>
      </c>
      <c r="BB245" s="510" t="str">
        <f t="array" aca="1" ref="BB245" ca="1">IFERROR(IF(AS245&lt;=$AB$2+$AN$2,"-",INDEX(Calculation_Tab,SMALL(ROW(Direct_Denaturation)*(Direct_Denaturation&lt;&gt;"-"),COUNTIF(Direct_Denaturation,"-")+ROW()-3-$AB$2-$AN$2)-9,33)),"-")</f>
        <v>-</v>
      </c>
      <c r="BC245" s="510" t="str">
        <f t="array" aca="1" ref="BC245" ca="1">IFERROR(IF(AS245&lt;=$AB$2+$AN$2,"-",INDEX(Calculation_Tab,SMALL(ROW(Direct_Denaturation)*(Direct_Denaturation&lt;&gt;"-"),COUNTIF(Direct_Denaturation,"-")+ROW()-3-$AB$2-$AN$2)-9,35)),"-")</f>
        <v>-</v>
      </c>
      <c r="BD245" s="511" t="str">
        <f t="shared" ca="1" si="115"/>
        <v>-</v>
      </c>
      <c r="BK245" s="542" t="s">
        <v>82</v>
      </c>
      <c r="BL245" s="542" t="s">
        <v>82</v>
      </c>
      <c r="BM245" s="487" t="str">
        <f t="array" aca="1" ref="BM245" ca="1">IFERROR(INDEX(Calculation_Tab,SMALL(ROW(ToPool)*(ToPool&lt;&gt;"-"),COUNTIF(ToPool,"-")+ROW()-3)-9,3),"-")</f>
        <v>-</v>
      </c>
      <c r="BN245" s="378" t="str">
        <f t="shared" ca="1" si="116"/>
        <v>-</v>
      </c>
      <c r="BO245" s="378" t="str">
        <f t="shared" ca="1" si="117"/>
        <v>-</v>
      </c>
      <c r="BP245" s="523" t="str">
        <f t="shared" ca="1" si="118"/>
        <v>-</v>
      </c>
      <c r="BQ245" s="378" t="str">
        <f t="array" aca="1" ref="BQ245" ca="1">IFERROR(INDEX(BE:BG,MATCH(INDEX(Calculation_Tab,SMALL(ROW(ToPool)*(ToPool&lt;&gt;"-"),COUNTIF(ToPool,"-")+ROW()-3)-9,9),BG:BG,0),2),"-")</f>
        <v>-</v>
      </c>
      <c r="BR245" s="510" t="str">
        <f t="shared" ca="1" si="119"/>
        <v>-</v>
      </c>
      <c r="BS245" s="511" t="str">
        <f t="shared" ca="1" si="120"/>
        <v>-</v>
      </c>
      <c r="BT245" s="543" t="s">
        <v>82</v>
      </c>
      <c r="BU245" s="487" t="str">
        <f t="shared" ca="1" si="124"/>
        <v>-</v>
      </c>
      <c r="BV245" s="487" t="str">
        <f t="array" aca="1" ref="BV24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45" s="378" t="str">
        <f t="shared" ca="1" si="121"/>
        <v>-</v>
      </c>
      <c r="BX245" s="378" t="str">
        <f t="shared" ca="1" si="122"/>
        <v>-</v>
      </c>
      <c r="BY245" s="510" t="str">
        <f ca="1">IFERROR(ROUND(INDEX(Cluster,MATCH(IF(LEFT(BV245,4)="Pool",INDEX(Cluster,MATCH(INDEX(Calculation_Tab,MATCH(INDEX($BE$4:$BJ$99,MATCH(BV245,$BE$4:$BE$99,0),3),Flow_Cell_Lane,0),3),Cluster!$F$29:$F$412,0),6),BV245),Identifier_Cluster,0),19)*IF(LEFT(BV245,4)="pool",IF(LEN(INDEX($BE$4:$BJ$99,MATCH(BV245,$BE$4:$BE$99,0),3))=10,2,IF(LEN(INDEX($BE$4:$BJ$99,MATCH(BV245,$BE$4:$BE$99,0),3))&gt;10,LEN(INDEX($BE$4:$BJ$99,MATCH(BV245,$BE$4:$BE$99,0),3))-8,1)),1)*IF(LEFT(BV245,4)="pool",IF(INDEX($BE$4:$BJ$99,MATCH(BV245,$BE$4:$BE$99,0),6)&lt;1,1,INDEX($BE$4:$BJ$99,MATCH(BV245,$BE$4:$BE$99,0),6)),INDEX(Calculation_Tab,MATCH(BV245,Identifier,0),10)),1)*(1+Calculation!$Q$6),"-")</f>
        <v>-</v>
      </c>
      <c r="BZ245" s="378" t="str">
        <f ca="1">IFERROR((0.5/50)*CE245/Calculation!$AG$6*(IF(LEFT(BV245,4)="Pool",IF(LEN(INDEX($BE$4:$BJ$99,MATCH(BV245,$BE$4:$BE$99,0),3))=10,2,IF(LEN(INDEX($BE$4:$BJ$99,MATCH(BV245,$BE$4:$BE$99,0),3))&gt;10,LEN(INDEX($BE$4:$BJ$99,MATCH(BV245,$BE$4:$BE$99,0),3))-8,1)),IF(INDEX(Calculation_Tab,MATCH(BV245,Identifier,0),10)&gt;1,INDEX(Calculation_Tab,MATCH(BV245,Identifier,0),10),1)))*(1+Calculation!$Q$6),"-")</f>
        <v>-</v>
      </c>
      <c r="CA245" s="510" t="str">
        <f ca="1">IFERROR(IF((BZ245*Calculation!$AG$6/0.05)-SUM(BY245:BZ245,CC245)&gt;0,(BZ245*Calculation!$AG$6/0.05)-SUM(BY245:BZ245,CC245),0),"-")</f>
        <v>-</v>
      </c>
      <c r="CB245" s="510" t="str">
        <f ca="1">IFERROR(5/50*CE245*(IF(LEFT(BV245,4)="Pool",IF(LEN(INDEX($BE$4:$BJ$99,MATCH(BV245,$BE$4:$BE$99,0),3))=10,2,IF(LEN(INDEX($BE$4:$BJ$99,MATCH(BV245,$BE$4:$BE$99,0),3))&gt;10,LEN(INDEX($BE$4:$BJ$99,MATCH(BV245,$BE$4:$BE$99,0),3))-8,1)),IF(INDEX(Calculation_Tab,MATCH(BV245,Identifier,0),10)&gt;1,INDEX(Calculation_Tab,MATCH(BV245,Identifier,0),10),1)))*(1+Calculation!$Q$6),"-")</f>
        <v>-</v>
      </c>
      <c r="CC245" s="508" t="str">
        <f ca="1">IFERROR(ROUND(INDEX(Cluster,MATCH(IF(LEFT(BV245,4)="Pool",INDEX(Cluster,MATCH(INDEX(Calculation_Tab,MATCH(INDEX($BE$4:$BJ$99,MATCH(BV245,$BE$4:$BE$99,0),3),Flow_Cell_Lane,0),3),Cluster!$F$29:$F$412,0),6),BV245),Identifier_Cluster,0),20)*IF(LEFT(BV245,4)="pool",IF(LEN(INDEX($BE$4:$BJ$99,MATCH(BV245,$BE$4:$BE$99,0),3))=10,2,IF(LEN(INDEX($BE$4:$BJ$99,MATCH(BV245,$BE$4:$BE$99,0),3))&gt;10,LEN(INDEX($BE$4:$BJ$99,MATCH(BV245,$BE$4:$BE$99,0),3))-8,1)),1)*IF(LEFT(BV245,4)="pool",IF(INDEX($BE$4:$BJ$99,MATCH(BV245,$BE$4:$BE$99,0),6)&lt;1,1,INDEX($BE$4:$BJ$99,MATCH(BV245,$BE$4:$BE$99,0),6)),INDEX(Calculation_Tab,MATCH(BV245,Identifier,0),10)),1)*(1+Calculation!$Q$6),"-")</f>
        <v>-</v>
      </c>
      <c r="CD245" s="509" t="str">
        <f ca="1">IFERROR(INDEX(Cluster!AC:AD,MATCH(IF(LEFT(BV245,4)="Pool",INDEX(Cluster!$D$29:$AA$412,MATCH(INDEX(Calculation_Tab,MATCH(INDEX($BE$4:$BJ$99,MATCH(BV245,$BE$4:$BE$99,0),3),Flow_Cell_Lane,0),3),Cluster!$F$29:$F$412,0),24),INDEX(Cluster!$D$29:$AA$412,MATCH(BV245,Cluster!$F$29:$F$412,0),24)),Cluster!AC:AC,0),2),"-")</f>
        <v>-</v>
      </c>
      <c r="CE245" s="378" t="str">
        <f ca="1">IFERROR(IF(BV245&lt;&gt;"-",Calculation!$AK$6,"-"),"-")</f>
        <v>-</v>
      </c>
      <c r="CF245" s="378" t="str">
        <f ca="1">IF(OR(LEFT(ListAndConversion!BW245,3)="Dil",LEFT(ListAndConversion!BW245,3)="Poo"),ListAndConversion!$BT$4,IF(LEFT(ListAndConversion!BW245,3)="Sou",INDEX(ListAndConversion!$AT$3:$AV$387,MATCH(ListAndConversion!BV245,ListAndConversion!$AV$3:$AV$387,0),1),"-"))</f>
        <v>-</v>
      </c>
      <c r="CG245" s="498" t="str">
        <f ca="1">IF(OR(LEFT(ListAndConversion!BW245,3)="Dil",LEFT(ListAndConversion!BW245,3)="Poo"),ListAndConversion!BU245,IF(LEFT(ListAndConversion!BW245,3)="Sou",INDEX(ListAndConversion!$AT$4:$AV$387,MATCH(ListAndConversion!BV245,ListAndConversion!$AV$4:$AV$387,0),2),"-"))</f>
        <v>-</v>
      </c>
      <c r="CH245" s="378"/>
      <c r="CI245" s="487" t="str">
        <f t="shared" ca="1" si="123"/>
        <v>-</v>
      </c>
      <c r="CJ245" s="378" t="str">
        <f t="shared" ca="1" si="134"/>
        <v>-</v>
      </c>
      <c r="CK245" s="378" t="str">
        <f t="shared" ca="1" si="134"/>
        <v>-</v>
      </c>
      <c r="CL245" s="378" t="str">
        <f t="shared" ca="1" si="134"/>
        <v>-</v>
      </c>
      <c r="CM245" s="378" t="str">
        <f t="shared" ca="1" si="134"/>
        <v>-</v>
      </c>
      <c r="CN245" s="378" t="str">
        <f t="shared" ca="1" si="134"/>
        <v>-</v>
      </c>
      <c r="CO245" s="378" t="str">
        <f t="shared" ca="1" si="134"/>
        <v>-</v>
      </c>
      <c r="CP245" s="378" t="str">
        <f t="shared" ca="1" si="134"/>
        <v>-</v>
      </c>
      <c r="CQ245" s="378" t="str">
        <f t="shared" ca="1" si="134"/>
        <v>-</v>
      </c>
      <c r="CR245" s="510" t="str">
        <f ca="1">IFERROR(IF(LEFT(BW245,3)="Poo",INDEX($BE$4:$BJ$99,MATCH(CI245,$BG$4:$BG$99,0),6)*((15/50))*Calculation!$AK$6,INDEX(Calculation_Tab,MATCH(BV245,Identifier,0),10)/(IF(LEN(INDEX(Calculation_Tab,MATCH(BV245,Identifier,0),9))&gt;8,LEN(INDEX(Calculation_Tab,MATCH(BV245,Identifier,0),9))-8,1))*((15/50)*Calculation!$AK$6)),"-")</f>
        <v>-</v>
      </c>
      <c r="CS245" s="498" t="str">
        <f ca="1">IF(CI245="-","-",IF(COUNTIF($CI$3:CI245,CI245)&gt;1,0,IFERROR((35/50)*Calculation!$AK$6,"-")))</f>
        <v>-</v>
      </c>
    </row>
    <row r="246" spans="4:97" x14ac:dyDescent="0.5">
      <c r="D246" s="487" t="e">
        <f t="shared" si="109"/>
        <v>#DIV/0!</v>
      </c>
      <c r="E246" s="496" t="e">
        <f t="array" ref="E246">IF(IF((ROW(E246)-3)&lt;(ListAndConversion!$A$15),INDEX(Flow_Cell_Lane,MIN(IF(COUNTIF($E$2:E245,Flow_Cell_Lane)=0,ROW(Flow_Cell_Lane)-9))),"-")="","-",IF((ROW(E246)-3)&lt;(ListAndConversion!$A$15),INDEX(Flow_Cell_Lane,MIN(IF(COUNTIF($E$2:E245,Flow_Cell_Lane)=0,ROW(Flow_Cell_Lane)-9))),"-"))</f>
        <v>#DIV/0!</v>
      </c>
      <c r="F246" s="378" t="e">
        <f t="shared" si="110"/>
        <v>#DIV/0!</v>
      </c>
      <c r="G246" s="378" t="e">
        <f t="shared" si="133"/>
        <v>#DIV/0!</v>
      </c>
      <c r="H246" s="378" t="e">
        <f t="shared" si="133"/>
        <v>#DIV/0!</v>
      </c>
      <c r="I246" s="378" t="e">
        <f t="shared" si="133"/>
        <v>#DIV/0!</v>
      </c>
      <c r="J246" s="378" t="e">
        <f t="shared" si="133"/>
        <v>#DIV/0!</v>
      </c>
      <c r="K246" s="378" t="e">
        <f t="shared" si="133"/>
        <v>#DIV/0!</v>
      </c>
      <c r="L246" s="378" t="e">
        <f t="shared" si="133"/>
        <v>#DIV/0!</v>
      </c>
      <c r="M246" s="378" t="e">
        <f t="shared" si="133"/>
        <v>#DIV/0!</v>
      </c>
      <c r="N246" s="497" t="e">
        <f t="shared" si="111"/>
        <v>#DIV/0!</v>
      </c>
      <c r="O246" s="497" t="str">
        <f t="array" ref="O246">IFERROR(INDEX(Calculation!I:AN,MATCH(ListAndConversion!E246,Calculation!I:I,0),31),"-")</f>
        <v>-</v>
      </c>
      <c r="P246" s="498">
        <f>IF(COUNTIFS(Calculation!$I$10:$I$393,E246,Direct_Denaturation,"-")&lt;&gt;1,COUNTIFS(Calculation!$I$10:$I$393,E246,Direct_Denaturation,"-"),0)</f>
        <v>0</v>
      </c>
      <c r="V246" s="542" t="s">
        <v>82</v>
      </c>
      <c r="W246" s="542" t="s">
        <v>82</v>
      </c>
      <c r="X246" s="542" t="s">
        <v>82</v>
      </c>
      <c r="Y246" s="542" t="s">
        <v>82</v>
      </c>
      <c r="Z246" s="542" t="s">
        <v>82</v>
      </c>
      <c r="AA246" s="542" t="s">
        <v>82</v>
      </c>
      <c r="AB246" s="542" t="s">
        <v>82</v>
      </c>
      <c r="AC246" s="542" t="s">
        <v>82</v>
      </c>
      <c r="AD246" s="542" t="s">
        <v>82</v>
      </c>
      <c r="AE246" s="542" t="s">
        <v>82</v>
      </c>
      <c r="AF246" s="542" t="s">
        <v>82</v>
      </c>
      <c r="AG246" s="542" t="s">
        <v>82</v>
      </c>
      <c r="AH246" s="9"/>
      <c r="AI246" s="487">
        <v>243</v>
      </c>
      <c r="AJ246" s="497" t="s">
        <v>162</v>
      </c>
      <c r="AK246" s="378">
        <v>51</v>
      </c>
      <c r="AL246" s="378" t="str">
        <f t="shared" ca="1" si="112"/>
        <v>-</v>
      </c>
      <c r="AM246" s="378" t="str">
        <f t="array" aca="1" ref="AM246" ca="1">IFERROR(IF(AI246&lt;=$AB$2,"-",INDEX(Calculation_Tab,SMALL(ROW(Main_Dil)*(Main_Dil&lt;&gt;"-"),COUNTIF(Main_Dil,"-")+ROW()-3-$AB$2)-9,5)),"-")</f>
        <v>-</v>
      </c>
      <c r="AN246" s="378" t="str">
        <f t="array" aca="1" ref="AN246" ca="1">IFERROR(IF(AI246&lt;=$AB$2,"-",INDEX($A$3:$B$12,MATCH(INDEX(Calculation_Tab,SMALL(ROW(Main_Dil)*(Main_Dil&lt;&gt;"-"),COUNTIF(Main_Dil,"-")+ROW()-3-$AB$2)-9,5),$A$3:$A$12,0),2)),"-")</f>
        <v>-</v>
      </c>
      <c r="AO246" s="378" t="str">
        <f t="array" aca="1" ref="AO246" ca="1">IFERROR(IF(AI246&lt;=$AB$2,"-",INDEX(Coordinate,MATCH(INDEX(Calculation_Tab,SMALL(ROW(Main_Dil)*(Main_Dil&lt;&gt;"-"),COUNTIF(Main_Dil,"-")+ROW()-3-$AB$2)-9,6),$X$4:$X$99,0),2)),"-")</f>
        <v>-</v>
      </c>
      <c r="AP246" s="510" t="str">
        <f t="array" aca="1" ref="AP246" ca="1">IFERROR(IF(AI246&lt;=$AB$2,"-",INDEX(Calculation_Tab,SMALL(ROW(Main_Dil)*(Main_Dil&lt;&gt;"-"),COUNTIF(Main_Dil,"-")+ROW()-3-$AB$2)-9,21)),"-")</f>
        <v>-</v>
      </c>
      <c r="AQ246" s="511" t="str">
        <f t="array" aca="1" ref="AQ246" ca="1">IFERROR(IF(AI246&lt;=$AB$2,"-",INDEX(Calculation_Tab,SMALL(ROW(Main_Dil)*(Main_Dil&lt;&gt;"-"),COUNTIF(Main_Dil,"-")+ROW()-3-$AB$2)-9,22)),"-")</f>
        <v>-</v>
      </c>
      <c r="AR246" s="487" t="str">
        <f t="shared" ca="1" si="113"/>
        <v>-</v>
      </c>
      <c r="AS246" s="378">
        <v>243</v>
      </c>
      <c r="AT246" s="497" t="s">
        <v>162</v>
      </c>
      <c r="AU246" s="498">
        <v>51</v>
      </c>
      <c r="AV246" s="378" t="str">
        <f t="shared" ca="1" si="114"/>
        <v>-</v>
      </c>
      <c r="AW246" s="378" t="str">
        <f t="array" aca="1" ref="AW246" ca="1">IFERROR(IF(AS246&lt;=$AB$2+$AN$2,"-",INDEX(Calculation_Tab,SMALL(ROW(Direct_Denaturation)*(Direct_Denaturation&lt;&gt;"-"),COUNTIF(Direct_Denaturation,"-")+ROW()-3-$AB$2-$AN$2)-9,5)),"-")</f>
        <v>-</v>
      </c>
      <c r="AX246" s="378" t="str">
        <f t="array" aca="1" ref="AX246" ca="1">IFERROR(IF(AS246&lt;=$AB$2+$AN$2,"-",INDEX($A$3:$B$12,MATCH(INDEX(Calculation_Tab,SMALL(ROW(Direct_Denaturation)*(Direct_Denaturation&lt;&gt;"-"),COUNTIF(Direct_Denaturation,"-")+ROW()-3-$AB$2-$AN$2)-9,5),$A$3:$A$12,0),2)),"-")</f>
        <v>-</v>
      </c>
      <c r="AY246" s="378" t="str">
        <f t="array" aca="1" ref="AY246" ca="1">IFERROR(IF(AS246&lt;=$AB$2+$AN$2,"-",INDEX(Coordinate,MATCH(INDEX(Calculation_Tab,SMALL(ROW(Direct_Denaturation)*(Direct_Denaturation&lt;&gt;"-"),COUNTIF(Direct_Denaturation,"-")+ROW()-3-$AB$2-$AN$2)-9,6),$X$4:$X$99,0),2)),"-")</f>
        <v>-</v>
      </c>
      <c r="AZ246" s="510" t="str">
        <f t="array" aca="1" ref="AZ246" ca="1">IFERROR(IF(AS246&lt;=$AB$2+$AN$2,"-",INDEX(Calculation_Tab,SMALL(ROW(Direct_Denaturation)*(Direct_Denaturation&lt;&gt;"-"),COUNTIF(Direct_Denaturation,"-")+ROW()-3-$AB$2-$AN$2)-9,32)),"-")</f>
        <v>-</v>
      </c>
      <c r="BA246" s="510" t="str">
        <f t="array" aca="1" ref="BA246" ca="1">IFERROR(IF(AS246&lt;=$AB$2+$AN$2,"-",INDEX(Calculation_Tab,SMALL(ROW(Direct_Denaturation)*(Direct_Denaturation&lt;&gt;"-"),COUNTIF(Direct_Denaturation,"-")+ROW()-3-$AB$2-$AN$2)-9,34)),"-")</f>
        <v>-</v>
      </c>
      <c r="BB246" s="510" t="str">
        <f t="array" aca="1" ref="BB246" ca="1">IFERROR(IF(AS246&lt;=$AB$2+$AN$2,"-",INDEX(Calculation_Tab,SMALL(ROW(Direct_Denaturation)*(Direct_Denaturation&lt;&gt;"-"),COUNTIF(Direct_Denaturation,"-")+ROW()-3-$AB$2-$AN$2)-9,33)),"-")</f>
        <v>-</v>
      </c>
      <c r="BC246" s="510" t="str">
        <f t="array" aca="1" ref="BC246" ca="1">IFERROR(IF(AS246&lt;=$AB$2+$AN$2,"-",INDEX(Calculation_Tab,SMALL(ROW(Direct_Denaturation)*(Direct_Denaturation&lt;&gt;"-"),COUNTIF(Direct_Denaturation,"-")+ROW()-3-$AB$2-$AN$2)-9,35)),"-")</f>
        <v>-</v>
      </c>
      <c r="BD246" s="511" t="str">
        <f t="shared" ca="1" si="115"/>
        <v>-</v>
      </c>
      <c r="BK246" s="542" t="s">
        <v>82</v>
      </c>
      <c r="BL246" s="542" t="s">
        <v>82</v>
      </c>
      <c r="BM246" s="487" t="str">
        <f t="array" aca="1" ref="BM246" ca="1">IFERROR(INDEX(Calculation_Tab,SMALL(ROW(ToPool)*(ToPool&lt;&gt;"-"),COUNTIF(ToPool,"-")+ROW()-3)-9,3),"-")</f>
        <v>-</v>
      </c>
      <c r="BN246" s="378" t="str">
        <f t="shared" ca="1" si="116"/>
        <v>-</v>
      </c>
      <c r="BO246" s="378" t="str">
        <f t="shared" ca="1" si="117"/>
        <v>-</v>
      </c>
      <c r="BP246" s="523" t="str">
        <f t="shared" ca="1" si="118"/>
        <v>-</v>
      </c>
      <c r="BQ246" s="378" t="str">
        <f t="array" aca="1" ref="BQ246" ca="1">IFERROR(INDEX(BE:BG,MATCH(INDEX(Calculation_Tab,SMALL(ROW(ToPool)*(ToPool&lt;&gt;"-"),COUNTIF(ToPool,"-")+ROW()-3)-9,9),BG:BG,0),2),"-")</f>
        <v>-</v>
      </c>
      <c r="BR246" s="510" t="str">
        <f t="shared" ca="1" si="119"/>
        <v>-</v>
      </c>
      <c r="BS246" s="511" t="str">
        <f t="shared" ca="1" si="120"/>
        <v>-</v>
      </c>
      <c r="BT246" s="543" t="s">
        <v>82</v>
      </c>
      <c r="BU246" s="487" t="str">
        <f t="shared" ca="1" si="124"/>
        <v>-</v>
      </c>
      <c r="BV246" s="487" t="str">
        <f t="array" aca="1" ref="BV24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46" s="378" t="str">
        <f t="shared" ca="1" si="121"/>
        <v>-</v>
      </c>
      <c r="BX246" s="378" t="str">
        <f t="shared" ca="1" si="122"/>
        <v>-</v>
      </c>
      <c r="BY246" s="510" t="str">
        <f ca="1">IFERROR(ROUND(INDEX(Cluster,MATCH(IF(LEFT(BV246,4)="Pool",INDEX(Cluster,MATCH(INDEX(Calculation_Tab,MATCH(INDEX($BE$4:$BJ$99,MATCH(BV246,$BE$4:$BE$99,0),3),Flow_Cell_Lane,0),3),Cluster!$F$29:$F$412,0),6),BV246),Identifier_Cluster,0),19)*IF(LEFT(BV246,4)="pool",IF(LEN(INDEX($BE$4:$BJ$99,MATCH(BV246,$BE$4:$BE$99,0),3))=10,2,IF(LEN(INDEX($BE$4:$BJ$99,MATCH(BV246,$BE$4:$BE$99,0),3))&gt;10,LEN(INDEX($BE$4:$BJ$99,MATCH(BV246,$BE$4:$BE$99,0),3))-8,1)),1)*IF(LEFT(BV246,4)="pool",IF(INDEX($BE$4:$BJ$99,MATCH(BV246,$BE$4:$BE$99,0),6)&lt;1,1,INDEX($BE$4:$BJ$99,MATCH(BV246,$BE$4:$BE$99,0),6)),INDEX(Calculation_Tab,MATCH(BV246,Identifier,0),10)),1)*(1+Calculation!$Q$6),"-")</f>
        <v>-</v>
      </c>
      <c r="BZ246" s="378" t="str">
        <f ca="1">IFERROR((0.5/50)*CE246/Calculation!$AG$6*(IF(LEFT(BV246,4)="Pool",IF(LEN(INDEX($BE$4:$BJ$99,MATCH(BV246,$BE$4:$BE$99,0),3))=10,2,IF(LEN(INDEX($BE$4:$BJ$99,MATCH(BV246,$BE$4:$BE$99,0),3))&gt;10,LEN(INDEX($BE$4:$BJ$99,MATCH(BV246,$BE$4:$BE$99,0),3))-8,1)),IF(INDEX(Calculation_Tab,MATCH(BV246,Identifier,0),10)&gt;1,INDEX(Calculation_Tab,MATCH(BV246,Identifier,0),10),1)))*(1+Calculation!$Q$6),"-")</f>
        <v>-</v>
      </c>
      <c r="CA246" s="510" t="str">
        <f ca="1">IFERROR(IF((BZ246*Calculation!$AG$6/0.05)-SUM(BY246:BZ246,CC246)&gt;0,(BZ246*Calculation!$AG$6/0.05)-SUM(BY246:BZ246,CC246),0),"-")</f>
        <v>-</v>
      </c>
      <c r="CB246" s="510" t="str">
        <f ca="1">IFERROR(5/50*CE246*(IF(LEFT(BV246,4)="Pool",IF(LEN(INDEX($BE$4:$BJ$99,MATCH(BV246,$BE$4:$BE$99,0),3))=10,2,IF(LEN(INDEX($BE$4:$BJ$99,MATCH(BV246,$BE$4:$BE$99,0),3))&gt;10,LEN(INDEX($BE$4:$BJ$99,MATCH(BV246,$BE$4:$BE$99,0),3))-8,1)),IF(INDEX(Calculation_Tab,MATCH(BV246,Identifier,0),10)&gt;1,INDEX(Calculation_Tab,MATCH(BV246,Identifier,0),10),1)))*(1+Calculation!$Q$6),"-")</f>
        <v>-</v>
      </c>
      <c r="CC246" s="508" t="str">
        <f ca="1">IFERROR(ROUND(INDEX(Cluster,MATCH(IF(LEFT(BV246,4)="Pool",INDEX(Cluster,MATCH(INDEX(Calculation_Tab,MATCH(INDEX($BE$4:$BJ$99,MATCH(BV246,$BE$4:$BE$99,0),3),Flow_Cell_Lane,0),3),Cluster!$F$29:$F$412,0),6),BV246),Identifier_Cluster,0),20)*IF(LEFT(BV246,4)="pool",IF(LEN(INDEX($BE$4:$BJ$99,MATCH(BV246,$BE$4:$BE$99,0),3))=10,2,IF(LEN(INDEX($BE$4:$BJ$99,MATCH(BV246,$BE$4:$BE$99,0),3))&gt;10,LEN(INDEX($BE$4:$BJ$99,MATCH(BV246,$BE$4:$BE$99,0),3))-8,1)),1)*IF(LEFT(BV246,4)="pool",IF(INDEX($BE$4:$BJ$99,MATCH(BV246,$BE$4:$BE$99,0),6)&lt;1,1,INDEX($BE$4:$BJ$99,MATCH(BV246,$BE$4:$BE$99,0),6)),INDEX(Calculation_Tab,MATCH(BV246,Identifier,0),10)),1)*(1+Calculation!$Q$6),"-")</f>
        <v>-</v>
      </c>
      <c r="CD246" s="509" t="str">
        <f ca="1">IFERROR(INDEX(Cluster!AC:AD,MATCH(IF(LEFT(BV246,4)="Pool",INDEX(Cluster!$D$29:$AA$412,MATCH(INDEX(Calculation_Tab,MATCH(INDEX($BE$4:$BJ$99,MATCH(BV246,$BE$4:$BE$99,0),3),Flow_Cell_Lane,0),3),Cluster!$F$29:$F$412,0),24),INDEX(Cluster!$D$29:$AA$412,MATCH(BV246,Cluster!$F$29:$F$412,0),24)),Cluster!AC:AC,0),2),"-")</f>
        <v>-</v>
      </c>
      <c r="CE246" s="378" t="str">
        <f ca="1">IFERROR(IF(BV246&lt;&gt;"-",Calculation!$AK$6,"-"),"-")</f>
        <v>-</v>
      </c>
      <c r="CF246" s="378" t="str">
        <f ca="1">IF(OR(LEFT(ListAndConversion!BW246,3)="Dil",LEFT(ListAndConversion!BW246,3)="Poo"),ListAndConversion!$BT$4,IF(LEFT(ListAndConversion!BW246,3)="Sou",INDEX(ListAndConversion!$AT$3:$AV$387,MATCH(ListAndConversion!BV246,ListAndConversion!$AV$3:$AV$387,0),1),"-"))</f>
        <v>-</v>
      </c>
      <c r="CG246" s="498" t="str">
        <f ca="1">IF(OR(LEFT(ListAndConversion!BW246,3)="Dil",LEFT(ListAndConversion!BW246,3)="Poo"),ListAndConversion!BU246,IF(LEFT(ListAndConversion!BW246,3)="Sou",INDEX(ListAndConversion!$AT$4:$AV$387,MATCH(ListAndConversion!BV246,ListAndConversion!$AV$4:$AV$387,0),2),"-"))</f>
        <v>-</v>
      </c>
      <c r="CH246" s="378"/>
      <c r="CI246" s="487" t="str">
        <f t="shared" ca="1" si="123"/>
        <v>-</v>
      </c>
      <c r="CJ246" s="378" t="str">
        <f t="shared" ca="1" si="134"/>
        <v>-</v>
      </c>
      <c r="CK246" s="378" t="str">
        <f t="shared" ca="1" si="134"/>
        <v>-</v>
      </c>
      <c r="CL246" s="378" t="str">
        <f t="shared" ca="1" si="134"/>
        <v>-</v>
      </c>
      <c r="CM246" s="378" t="str">
        <f t="shared" ca="1" si="134"/>
        <v>-</v>
      </c>
      <c r="CN246" s="378" t="str">
        <f t="shared" ca="1" si="134"/>
        <v>-</v>
      </c>
      <c r="CO246" s="378" t="str">
        <f t="shared" ca="1" si="134"/>
        <v>-</v>
      </c>
      <c r="CP246" s="378" t="str">
        <f t="shared" ca="1" si="134"/>
        <v>-</v>
      </c>
      <c r="CQ246" s="378" t="str">
        <f t="shared" ca="1" si="134"/>
        <v>-</v>
      </c>
      <c r="CR246" s="510" t="str">
        <f ca="1">IFERROR(IF(LEFT(BW246,3)="Poo",INDEX($BE$4:$BJ$99,MATCH(CI246,$BG$4:$BG$99,0),6)*((15/50))*Calculation!$AK$6,INDEX(Calculation_Tab,MATCH(BV246,Identifier,0),10)/(IF(LEN(INDEX(Calculation_Tab,MATCH(BV246,Identifier,0),9))&gt;8,LEN(INDEX(Calculation_Tab,MATCH(BV246,Identifier,0),9))-8,1))*((15/50)*Calculation!$AK$6)),"-")</f>
        <v>-</v>
      </c>
      <c r="CS246" s="498" t="str">
        <f ca="1">IF(CI246="-","-",IF(COUNTIF($CI$3:CI246,CI246)&gt;1,0,IFERROR((35/50)*Calculation!$AK$6,"-")))</f>
        <v>-</v>
      </c>
    </row>
    <row r="247" spans="4:97" x14ac:dyDescent="0.5">
      <c r="D247" s="487" t="e">
        <f t="shared" si="109"/>
        <v>#DIV/0!</v>
      </c>
      <c r="E247" s="496" t="e">
        <f t="array" ref="E247">IF(IF((ROW(E247)-3)&lt;(ListAndConversion!$A$15),INDEX(Flow_Cell_Lane,MIN(IF(COUNTIF($E$2:E246,Flow_Cell_Lane)=0,ROW(Flow_Cell_Lane)-9))),"-")="","-",IF((ROW(E247)-3)&lt;(ListAndConversion!$A$15),INDEX(Flow_Cell_Lane,MIN(IF(COUNTIF($E$2:E246,Flow_Cell_Lane)=0,ROW(Flow_Cell_Lane)-9))),"-"))</f>
        <v>#DIV/0!</v>
      </c>
      <c r="F247" s="378" t="e">
        <f t="shared" si="110"/>
        <v>#DIV/0!</v>
      </c>
      <c r="G247" s="378" t="e">
        <f t="shared" si="133"/>
        <v>#DIV/0!</v>
      </c>
      <c r="H247" s="378" t="e">
        <f t="shared" si="133"/>
        <v>#DIV/0!</v>
      </c>
      <c r="I247" s="378" t="e">
        <f t="shared" si="133"/>
        <v>#DIV/0!</v>
      </c>
      <c r="J247" s="378" t="e">
        <f t="shared" si="133"/>
        <v>#DIV/0!</v>
      </c>
      <c r="K247" s="378" t="e">
        <f t="shared" si="133"/>
        <v>#DIV/0!</v>
      </c>
      <c r="L247" s="378" t="e">
        <f t="shared" si="133"/>
        <v>#DIV/0!</v>
      </c>
      <c r="M247" s="378" t="e">
        <f t="shared" si="133"/>
        <v>#DIV/0!</v>
      </c>
      <c r="N247" s="497" t="e">
        <f t="shared" si="111"/>
        <v>#DIV/0!</v>
      </c>
      <c r="O247" s="497" t="str">
        <f t="array" ref="O247">IFERROR(INDEX(Calculation!I:AN,MATCH(ListAndConversion!E247,Calculation!I:I,0),31),"-")</f>
        <v>-</v>
      </c>
      <c r="P247" s="498">
        <f>IF(COUNTIFS(Calculation!$I$10:$I$393,E247,Direct_Denaturation,"-")&lt;&gt;1,COUNTIFS(Calculation!$I$10:$I$393,E247,Direct_Denaturation,"-"),0)</f>
        <v>0</v>
      </c>
      <c r="V247" s="542" t="s">
        <v>82</v>
      </c>
      <c r="W247" s="542" t="s">
        <v>82</v>
      </c>
      <c r="X247" s="542" t="s">
        <v>82</v>
      </c>
      <c r="Y247" s="542" t="s">
        <v>82</v>
      </c>
      <c r="Z247" s="542" t="s">
        <v>82</v>
      </c>
      <c r="AA247" s="542" t="s">
        <v>82</v>
      </c>
      <c r="AB247" s="542" t="s">
        <v>82</v>
      </c>
      <c r="AC247" s="542" t="s">
        <v>82</v>
      </c>
      <c r="AD247" s="542" t="s">
        <v>82</v>
      </c>
      <c r="AE247" s="542" t="s">
        <v>82</v>
      </c>
      <c r="AF247" s="542" t="s">
        <v>82</v>
      </c>
      <c r="AG247" s="542" t="s">
        <v>82</v>
      </c>
      <c r="AH247" s="9"/>
      <c r="AI247" s="487">
        <v>244</v>
      </c>
      <c r="AJ247" s="497" t="s">
        <v>162</v>
      </c>
      <c r="AK247" s="378">
        <v>52</v>
      </c>
      <c r="AL247" s="378" t="str">
        <f t="shared" ca="1" si="112"/>
        <v>-</v>
      </c>
      <c r="AM247" s="378" t="str">
        <f t="array" aca="1" ref="AM247" ca="1">IFERROR(IF(AI247&lt;=$AB$2,"-",INDEX(Calculation_Tab,SMALL(ROW(Main_Dil)*(Main_Dil&lt;&gt;"-"),COUNTIF(Main_Dil,"-")+ROW()-3-$AB$2)-9,5)),"-")</f>
        <v>-</v>
      </c>
      <c r="AN247" s="378" t="str">
        <f t="array" aca="1" ref="AN247" ca="1">IFERROR(IF(AI247&lt;=$AB$2,"-",INDEX($A$3:$B$12,MATCH(INDEX(Calculation_Tab,SMALL(ROW(Main_Dil)*(Main_Dil&lt;&gt;"-"),COUNTIF(Main_Dil,"-")+ROW()-3-$AB$2)-9,5),$A$3:$A$12,0),2)),"-")</f>
        <v>-</v>
      </c>
      <c r="AO247" s="378" t="str">
        <f t="array" aca="1" ref="AO247" ca="1">IFERROR(IF(AI247&lt;=$AB$2,"-",INDEX(Coordinate,MATCH(INDEX(Calculation_Tab,SMALL(ROW(Main_Dil)*(Main_Dil&lt;&gt;"-"),COUNTIF(Main_Dil,"-")+ROW()-3-$AB$2)-9,6),$X$4:$X$99,0),2)),"-")</f>
        <v>-</v>
      </c>
      <c r="AP247" s="510" t="str">
        <f t="array" aca="1" ref="AP247" ca="1">IFERROR(IF(AI247&lt;=$AB$2,"-",INDEX(Calculation_Tab,SMALL(ROW(Main_Dil)*(Main_Dil&lt;&gt;"-"),COUNTIF(Main_Dil,"-")+ROW()-3-$AB$2)-9,21)),"-")</f>
        <v>-</v>
      </c>
      <c r="AQ247" s="511" t="str">
        <f t="array" aca="1" ref="AQ247" ca="1">IFERROR(IF(AI247&lt;=$AB$2,"-",INDEX(Calculation_Tab,SMALL(ROW(Main_Dil)*(Main_Dil&lt;&gt;"-"),COUNTIF(Main_Dil,"-")+ROW()-3-$AB$2)-9,22)),"-")</f>
        <v>-</v>
      </c>
      <c r="AR247" s="487" t="str">
        <f t="shared" ca="1" si="113"/>
        <v>-</v>
      </c>
      <c r="AS247" s="378">
        <v>244</v>
      </c>
      <c r="AT247" s="497" t="s">
        <v>162</v>
      </c>
      <c r="AU247" s="498">
        <v>52</v>
      </c>
      <c r="AV247" s="378" t="str">
        <f t="shared" ca="1" si="114"/>
        <v>-</v>
      </c>
      <c r="AW247" s="378" t="str">
        <f t="array" aca="1" ref="AW247" ca="1">IFERROR(IF(AS247&lt;=$AB$2+$AN$2,"-",INDEX(Calculation_Tab,SMALL(ROW(Direct_Denaturation)*(Direct_Denaturation&lt;&gt;"-"),COUNTIF(Direct_Denaturation,"-")+ROW()-3-$AB$2-$AN$2)-9,5)),"-")</f>
        <v>-</v>
      </c>
      <c r="AX247" s="378" t="str">
        <f t="array" aca="1" ref="AX247" ca="1">IFERROR(IF(AS247&lt;=$AB$2+$AN$2,"-",INDEX($A$3:$B$12,MATCH(INDEX(Calculation_Tab,SMALL(ROW(Direct_Denaturation)*(Direct_Denaturation&lt;&gt;"-"),COUNTIF(Direct_Denaturation,"-")+ROW()-3-$AB$2-$AN$2)-9,5),$A$3:$A$12,0),2)),"-")</f>
        <v>-</v>
      </c>
      <c r="AY247" s="378" t="str">
        <f t="array" aca="1" ref="AY247" ca="1">IFERROR(IF(AS247&lt;=$AB$2+$AN$2,"-",INDEX(Coordinate,MATCH(INDEX(Calculation_Tab,SMALL(ROW(Direct_Denaturation)*(Direct_Denaturation&lt;&gt;"-"),COUNTIF(Direct_Denaturation,"-")+ROW()-3-$AB$2-$AN$2)-9,6),$X$4:$X$99,0),2)),"-")</f>
        <v>-</v>
      </c>
      <c r="AZ247" s="510" t="str">
        <f t="array" aca="1" ref="AZ247" ca="1">IFERROR(IF(AS247&lt;=$AB$2+$AN$2,"-",INDEX(Calculation_Tab,SMALL(ROW(Direct_Denaturation)*(Direct_Denaturation&lt;&gt;"-"),COUNTIF(Direct_Denaturation,"-")+ROW()-3-$AB$2-$AN$2)-9,32)),"-")</f>
        <v>-</v>
      </c>
      <c r="BA247" s="510" t="str">
        <f t="array" aca="1" ref="BA247" ca="1">IFERROR(IF(AS247&lt;=$AB$2+$AN$2,"-",INDEX(Calculation_Tab,SMALL(ROW(Direct_Denaturation)*(Direct_Denaturation&lt;&gt;"-"),COUNTIF(Direct_Denaturation,"-")+ROW()-3-$AB$2-$AN$2)-9,34)),"-")</f>
        <v>-</v>
      </c>
      <c r="BB247" s="510" t="str">
        <f t="array" aca="1" ref="BB247" ca="1">IFERROR(IF(AS247&lt;=$AB$2+$AN$2,"-",INDEX(Calculation_Tab,SMALL(ROW(Direct_Denaturation)*(Direct_Denaturation&lt;&gt;"-"),COUNTIF(Direct_Denaturation,"-")+ROW()-3-$AB$2-$AN$2)-9,33)),"-")</f>
        <v>-</v>
      </c>
      <c r="BC247" s="510" t="str">
        <f t="array" aca="1" ref="BC247" ca="1">IFERROR(IF(AS247&lt;=$AB$2+$AN$2,"-",INDEX(Calculation_Tab,SMALL(ROW(Direct_Denaturation)*(Direct_Denaturation&lt;&gt;"-"),COUNTIF(Direct_Denaturation,"-")+ROW()-3-$AB$2-$AN$2)-9,35)),"-")</f>
        <v>-</v>
      </c>
      <c r="BD247" s="511" t="str">
        <f t="shared" ca="1" si="115"/>
        <v>-</v>
      </c>
      <c r="BK247" s="542" t="s">
        <v>82</v>
      </c>
      <c r="BL247" s="542" t="s">
        <v>82</v>
      </c>
      <c r="BM247" s="487" t="str">
        <f t="array" aca="1" ref="BM247" ca="1">IFERROR(INDEX(Calculation_Tab,SMALL(ROW(ToPool)*(ToPool&lt;&gt;"-"),COUNTIF(ToPool,"-")+ROW()-3)-9,3),"-")</f>
        <v>-</v>
      </c>
      <c r="BN247" s="378" t="str">
        <f t="shared" ca="1" si="116"/>
        <v>-</v>
      </c>
      <c r="BO247" s="378" t="str">
        <f t="shared" ca="1" si="117"/>
        <v>-</v>
      </c>
      <c r="BP247" s="523" t="str">
        <f t="shared" ca="1" si="118"/>
        <v>-</v>
      </c>
      <c r="BQ247" s="378" t="str">
        <f t="array" aca="1" ref="BQ247" ca="1">IFERROR(INDEX(BE:BG,MATCH(INDEX(Calculation_Tab,SMALL(ROW(ToPool)*(ToPool&lt;&gt;"-"),COUNTIF(ToPool,"-")+ROW()-3)-9,9),BG:BG,0),2),"-")</f>
        <v>-</v>
      </c>
      <c r="BR247" s="510" t="str">
        <f t="shared" ca="1" si="119"/>
        <v>-</v>
      </c>
      <c r="BS247" s="511" t="str">
        <f t="shared" ca="1" si="120"/>
        <v>-</v>
      </c>
      <c r="BT247" s="543" t="s">
        <v>82</v>
      </c>
      <c r="BU247" s="487" t="str">
        <f t="shared" ca="1" si="124"/>
        <v>-</v>
      </c>
      <c r="BV247" s="487" t="str">
        <f t="array" aca="1" ref="BV24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47" s="378" t="str">
        <f t="shared" ca="1" si="121"/>
        <v>-</v>
      </c>
      <c r="BX247" s="378" t="str">
        <f t="shared" ca="1" si="122"/>
        <v>-</v>
      </c>
      <c r="BY247" s="510" t="str">
        <f ca="1">IFERROR(ROUND(INDEX(Cluster,MATCH(IF(LEFT(BV247,4)="Pool",INDEX(Cluster,MATCH(INDEX(Calculation_Tab,MATCH(INDEX($BE$4:$BJ$99,MATCH(BV247,$BE$4:$BE$99,0),3),Flow_Cell_Lane,0),3),Cluster!$F$29:$F$412,0),6),BV247),Identifier_Cluster,0),19)*IF(LEFT(BV247,4)="pool",IF(LEN(INDEX($BE$4:$BJ$99,MATCH(BV247,$BE$4:$BE$99,0),3))=10,2,IF(LEN(INDEX($BE$4:$BJ$99,MATCH(BV247,$BE$4:$BE$99,0),3))&gt;10,LEN(INDEX($BE$4:$BJ$99,MATCH(BV247,$BE$4:$BE$99,0),3))-8,1)),1)*IF(LEFT(BV247,4)="pool",IF(INDEX($BE$4:$BJ$99,MATCH(BV247,$BE$4:$BE$99,0),6)&lt;1,1,INDEX($BE$4:$BJ$99,MATCH(BV247,$BE$4:$BE$99,0),6)),INDEX(Calculation_Tab,MATCH(BV247,Identifier,0),10)),1)*(1+Calculation!$Q$6),"-")</f>
        <v>-</v>
      </c>
      <c r="BZ247" s="378" t="str">
        <f ca="1">IFERROR((0.5/50)*CE247/Calculation!$AG$6*(IF(LEFT(BV247,4)="Pool",IF(LEN(INDEX($BE$4:$BJ$99,MATCH(BV247,$BE$4:$BE$99,0),3))=10,2,IF(LEN(INDEX($BE$4:$BJ$99,MATCH(BV247,$BE$4:$BE$99,0),3))&gt;10,LEN(INDEX($BE$4:$BJ$99,MATCH(BV247,$BE$4:$BE$99,0),3))-8,1)),IF(INDEX(Calculation_Tab,MATCH(BV247,Identifier,0),10)&gt;1,INDEX(Calculation_Tab,MATCH(BV247,Identifier,0),10),1)))*(1+Calculation!$Q$6),"-")</f>
        <v>-</v>
      </c>
      <c r="CA247" s="510" t="str">
        <f ca="1">IFERROR(IF((BZ247*Calculation!$AG$6/0.05)-SUM(BY247:BZ247,CC247)&gt;0,(BZ247*Calculation!$AG$6/0.05)-SUM(BY247:BZ247,CC247),0),"-")</f>
        <v>-</v>
      </c>
      <c r="CB247" s="510" t="str">
        <f ca="1">IFERROR(5/50*CE247*(IF(LEFT(BV247,4)="Pool",IF(LEN(INDEX($BE$4:$BJ$99,MATCH(BV247,$BE$4:$BE$99,0),3))=10,2,IF(LEN(INDEX($BE$4:$BJ$99,MATCH(BV247,$BE$4:$BE$99,0),3))&gt;10,LEN(INDEX($BE$4:$BJ$99,MATCH(BV247,$BE$4:$BE$99,0),3))-8,1)),IF(INDEX(Calculation_Tab,MATCH(BV247,Identifier,0),10)&gt;1,INDEX(Calculation_Tab,MATCH(BV247,Identifier,0),10),1)))*(1+Calculation!$Q$6),"-")</f>
        <v>-</v>
      </c>
      <c r="CC247" s="508" t="str">
        <f ca="1">IFERROR(ROUND(INDEX(Cluster,MATCH(IF(LEFT(BV247,4)="Pool",INDEX(Cluster,MATCH(INDEX(Calculation_Tab,MATCH(INDEX($BE$4:$BJ$99,MATCH(BV247,$BE$4:$BE$99,0),3),Flow_Cell_Lane,0),3),Cluster!$F$29:$F$412,0),6),BV247),Identifier_Cluster,0),20)*IF(LEFT(BV247,4)="pool",IF(LEN(INDEX($BE$4:$BJ$99,MATCH(BV247,$BE$4:$BE$99,0),3))=10,2,IF(LEN(INDEX($BE$4:$BJ$99,MATCH(BV247,$BE$4:$BE$99,0),3))&gt;10,LEN(INDEX($BE$4:$BJ$99,MATCH(BV247,$BE$4:$BE$99,0),3))-8,1)),1)*IF(LEFT(BV247,4)="pool",IF(INDEX($BE$4:$BJ$99,MATCH(BV247,$BE$4:$BE$99,0),6)&lt;1,1,INDEX($BE$4:$BJ$99,MATCH(BV247,$BE$4:$BE$99,0),6)),INDEX(Calculation_Tab,MATCH(BV247,Identifier,0),10)),1)*(1+Calculation!$Q$6),"-")</f>
        <v>-</v>
      </c>
      <c r="CD247" s="509" t="str">
        <f ca="1">IFERROR(INDEX(Cluster!AC:AD,MATCH(IF(LEFT(BV247,4)="Pool",INDEX(Cluster!$D$29:$AA$412,MATCH(INDEX(Calculation_Tab,MATCH(INDEX($BE$4:$BJ$99,MATCH(BV247,$BE$4:$BE$99,0),3),Flow_Cell_Lane,0),3),Cluster!$F$29:$F$412,0),24),INDEX(Cluster!$D$29:$AA$412,MATCH(BV247,Cluster!$F$29:$F$412,0),24)),Cluster!AC:AC,0),2),"-")</f>
        <v>-</v>
      </c>
      <c r="CE247" s="378" t="str">
        <f ca="1">IFERROR(IF(BV247&lt;&gt;"-",Calculation!$AK$6,"-"),"-")</f>
        <v>-</v>
      </c>
      <c r="CF247" s="378" t="str">
        <f ca="1">IF(OR(LEFT(ListAndConversion!BW247,3)="Dil",LEFT(ListAndConversion!BW247,3)="Poo"),ListAndConversion!$BT$4,IF(LEFT(ListAndConversion!BW247,3)="Sou",INDEX(ListAndConversion!$AT$3:$AV$387,MATCH(ListAndConversion!BV247,ListAndConversion!$AV$3:$AV$387,0),1),"-"))</f>
        <v>-</v>
      </c>
      <c r="CG247" s="498" t="str">
        <f ca="1">IF(OR(LEFT(ListAndConversion!BW247,3)="Dil",LEFT(ListAndConversion!BW247,3)="Poo"),ListAndConversion!BU247,IF(LEFT(ListAndConversion!BW247,3)="Sou",INDEX(ListAndConversion!$AT$4:$AV$387,MATCH(ListAndConversion!BV247,ListAndConversion!$AV$4:$AV$387,0),2),"-"))</f>
        <v>-</v>
      </c>
      <c r="CH247" s="378"/>
      <c r="CI247" s="487" t="str">
        <f t="shared" ca="1" si="123"/>
        <v>-</v>
      </c>
      <c r="CJ247" s="378" t="str">
        <f t="shared" ca="1" si="134"/>
        <v>-</v>
      </c>
      <c r="CK247" s="378" t="str">
        <f t="shared" ca="1" si="134"/>
        <v>-</v>
      </c>
      <c r="CL247" s="378" t="str">
        <f t="shared" ca="1" si="134"/>
        <v>-</v>
      </c>
      <c r="CM247" s="378" t="str">
        <f t="shared" ca="1" si="134"/>
        <v>-</v>
      </c>
      <c r="CN247" s="378" t="str">
        <f t="shared" ca="1" si="134"/>
        <v>-</v>
      </c>
      <c r="CO247" s="378" t="str">
        <f t="shared" ca="1" si="134"/>
        <v>-</v>
      </c>
      <c r="CP247" s="378" t="str">
        <f t="shared" ca="1" si="134"/>
        <v>-</v>
      </c>
      <c r="CQ247" s="378" t="str">
        <f t="shared" ca="1" si="134"/>
        <v>-</v>
      </c>
      <c r="CR247" s="510" t="str">
        <f ca="1">IFERROR(IF(LEFT(BW247,3)="Poo",INDEX($BE$4:$BJ$99,MATCH(CI247,$BG$4:$BG$99,0),6)*((15/50))*Calculation!$AK$6,INDEX(Calculation_Tab,MATCH(BV247,Identifier,0),10)/(IF(LEN(INDEX(Calculation_Tab,MATCH(BV247,Identifier,0),9))&gt;8,LEN(INDEX(Calculation_Tab,MATCH(BV247,Identifier,0),9))-8,1))*((15/50)*Calculation!$AK$6)),"-")</f>
        <v>-</v>
      </c>
      <c r="CS247" s="498" t="str">
        <f ca="1">IF(CI247="-","-",IF(COUNTIF($CI$3:CI247,CI247)&gt;1,0,IFERROR((35/50)*Calculation!$AK$6,"-")))</f>
        <v>-</v>
      </c>
    </row>
    <row r="248" spans="4:97" x14ac:dyDescent="0.5">
      <c r="D248" s="487" t="e">
        <f t="shared" si="109"/>
        <v>#DIV/0!</v>
      </c>
      <c r="E248" s="496" t="e">
        <f t="array" ref="E248">IF(IF((ROW(E248)-3)&lt;(ListAndConversion!$A$15),INDEX(Flow_Cell_Lane,MIN(IF(COUNTIF($E$2:E247,Flow_Cell_Lane)=0,ROW(Flow_Cell_Lane)-9))),"-")="","-",IF((ROW(E248)-3)&lt;(ListAndConversion!$A$15),INDEX(Flow_Cell_Lane,MIN(IF(COUNTIF($E$2:E247,Flow_Cell_Lane)=0,ROW(Flow_Cell_Lane)-9))),"-"))</f>
        <v>#DIV/0!</v>
      </c>
      <c r="F248" s="378" t="e">
        <f t="shared" si="110"/>
        <v>#DIV/0!</v>
      </c>
      <c r="G248" s="378" t="e">
        <f t="shared" si="133"/>
        <v>#DIV/0!</v>
      </c>
      <c r="H248" s="378" t="e">
        <f t="shared" si="133"/>
        <v>#DIV/0!</v>
      </c>
      <c r="I248" s="378" t="e">
        <f t="shared" si="133"/>
        <v>#DIV/0!</v>
      </c>
      <c r="J248" s="378" t="e">
        <f t="shared" si="133"/>
        <v>#DIV/0!</v>
      </c>
      <c r="K248" s="378" t="e">
        <f t="shared" si="133"/>
        <v>#DIV/0!</v>
      </c>
      <c r="L248" s="378" t="e">
        <f t="shared" si="133"/>
        <v>#DIV/0!</v>
      </c>
      <c r="M248" s="378" t="e">
        <f t="shared" si="133"/>
        <v>#DIV/0!</v>
      </c>
      <c r="N248" s="497" t="e">
        <f t="shared" si="111"/>
        <v>#DIV/0!</v>
      </c>
      <c r="O248" s="497" t="str">
        <f t="array" ref="O248">IFERROR(INDEX(Calculation!I:AN,MATCH(ListAndConversion!E248,Calculation!I:I,0),31),"-")</f>
        <v>-</v>
      </c>
      <c r="P248" s="498">
        <f>IF(COUNTIFS(Calculation!$I$10:$I$393,E248,Direct_Denaturation,"-")&lt;&gt;1,COUNTIFS(Calculation!$I$10:$I$393,E248,Direct_Denaturation,"-"),0)</f>
        <v>0</v>
      </c>
      <c r="V248" s="542" t="s">
        <v>82</v>
      </c>
      <c r="W248" s="542" t="s">
        <v>82</v>
      </c>
      <c r="X248" s="542" t="s">
        <v>82</v>
      </c>
      <c r="Y248" s="542" t="s">
        <v>82</v>
      </c>
      <c r="Z248" s="542" t="s">
        <v>82</v>
      </c>
      <c r="AA248" s="542" t="s">
        <v>82</v>
      </c>
      <c r="AB248" s="542" t="s">
        <v>82</v>
      </c>
      <c r="AC248" s="542" t="s">
        <v>82</v>
      </c>
      <c r="AD248" s="542" t="s">
        <v>82</v>
      </c>
      <c r="AE248" s="542" t="s">
        <v>82</v>
      </c>
      <c r="AF248" s="542" t="s">
        <v>82</v>
      </c>
      <c r="AG248" s="542" t="s">
        <v>82</v>
      </c>
      <c r="AH248" s="9"/>
      <c r="AI248" s="487">
        <v>245</v>
      </c>
      <c r="AJ248" s="497" t="s">
        <v>162</v>
      </c>
      <c r="AK248" s="378">
        <v>53</v>
      </c>
      <c r="AL248" s="378" t="str">
        <f t="shared" ca="1" si="112"/>
        <v>-</v>
      </c>
      <c r="AM248" s="378" t="str">
        <f t="array" aca="1" ref="AM248" ca="1">IFERROR(IF(AI248&lt;=$AB$2,"-",INDEX(Calculation_Tab,SMALL(ROW(Main_Dil)*(Main_Dil&lt;&gt;"-"),COUNTIF(Main_Dil,"-")+ROW()-3-$AB$2)-9,5)),"-")</f>
        <v>-</v>
      </c>
      <c r="AN248" s="378" t="str">
        <f t="array" aca="1" ref="AN248" ca="1">IFERROR(IF(AI248&lt;=$AB$2,"-",INDEX($A$3:$B$12,MATCH(INDEX(Calculation_Tab,SMALL(ROW(Main_Dil)*(Main_Dil&lt;&gt;"-"),COUNTIF(Main_Dil,"-")+ROW()-3-$AB$2)-9,5),$A$3:$A$12,0),2)),"-")</f>
        <v>-</v>
      </c>
      <c r="AO248" s="378" t="str">
        <f t="array" aca="1" ref="AO248" ca="1">IFERROR(IF(AI248&lt;=$AB$2,"-",INDEX(Coordinate,MATCH(INDEX(Calculation_Tab,SMALL(ROW(Main_Dil)*(Main_Dil&lt;&gt;"-"),COUNTIF(Main_Dil,"-")+ROW()-3-$AB$2)-9,6),$X$4:$X$99,0),2)),"-")</f>
        <v>-</v>
      </c>
      <c r="AP248" s="510" t="str">
        <f t="array" aca="1" ref="AP248" ca="1">IFERROR(IF(AI248&lt;=$AB$2,"-",INDEX(Calculation_Tab,SMALL(ROW(Main_Dil)*(Main_Dil&lt;&gt;"-"),COUNTIF(Main_Dil,"-")+ROW()-3-$AB$2)-9,21)),"-")</f>
        <v>-</v>
      </c>
      <c r="AQ248" s="511" t="str">
        <f t="array" aca="1" ref="AQ248" ca="1">IFERROR(IF(AI248&lt;=$AB$2,"-",INDEX(Calculation_Tab,SMALL(ROW(Main_Dil)*(Main_Dil&lt;&gt;"-"),COUNTIF(Main_Dil,"-")+ROW()-3-$AB$2)-9,22)),"-")</f>
        <v>-</v>
      </c>
      <c r="AR248" s="487" t="str">
        <f t="shared" ca="1" si="113"/>
        <v>-</v>
      </c>
      <c r="AS248" s="378">
        <v>245</v>
      </c>
      <c r="AT248" s="497" t="s">
        <v>162</v>
      </c>
      <c r="AU248" s="498">
        <v>53</v>
      </c>
      <c r="AV248" s="378" t="str">
        <f t="shared" ca="1" si="114"/>
        <v>-</v>
      </c>
      <c r="AW248" s="378" t="str">
        <f t="array" aca="1" ref="AW248" ca="1">IFERROR(IF(AS248&lt;=$AB$2+$AN$2,"-",INDEX(Calculation_Tab,SMALL(ROW(Direct_Denaturation)*(Direct_Denaturation&lt;&gt;"-"),COUNTIF(Direct_Denaturation,"-")+ROW()-3-$AB$2-$AN$2)-9,5)),"-")</f>
        <v>-</v>
      </c>
      <c r="AX248" s="378" t="str">
        <f t="array" aca="1" ref="AX248" ca="1">IFERROR(IF(AS248&lt;=$AB$2+$AN$2,"-",INDEX($A$3:$B$12,MATCH(INDEX(Calculation_Tab,SMALL(ROW(Direct_Denaturation)*(Direct_Denaturation&lt;&gt;"-"),COUNTIF(Direct_Denaturation,"-")+ROW()-3-$AB$2-$AN$2)-9,5),$A$3:$A$12,0),2)),"-")</f>
        <v>-</v>
      </c>
      <c r="AY248" s="378" t="str">
        <f t="array" aca="1" ref="AY248" ca="1">IFERROR(IF(AS248&lt;=$AB$2+$AN$2,"-",INDEX(Coordinate,MATCH(INDEX(Calculation_Tab,SMALL(ROW(Direct_Denaturation)*(Direct_Denaturation&lt;&gt;"-"),COUNTIF(Direct_Denaturation,"-")+ROW()-3-$AB$2-$AN$2)-9,6),$X$4:$X$99,0),2)),"-")</f>
        <v>-</v>
      </c>
      <c r="AZ248" s="510" t="str">
        <f t="array" aca="1" ref="AZ248" ca="1">IFERROR(IF(AS248&lt;=$AB$2+$AN$2,"-",INDEX(Calculation_Tab,SMALL(ROW(Direct_Denaturation)*(Direct_Denaturation&lt;&gt;"-"),COUNTIF(Direct_Denaturation,"-")+ROW()-3-$AB$2-$AN$2)-9,32)),"-")</f>
        <v>-</v>
      </c>
      <c r="BA248" s="510" t="str">
        <f t="array" aca="1" ref="BA248" ca="1">IFERROR(IF(AS248&lt;=$AB$2+$AN$2,"-",INDEX(Calculation_Tab,SMALL(ROW(Direct_Denaturation)*(Direct_Denaturation&lt;&gt;"-"),COUNTIF(Direct_Denaturation,"-")+ROW()-3-$AB$2-$AN$2)-9,34)),"-")</f>
        <v>-</v>
      </c>
      <c r="BB248" s="510" t="str">
        <f t="array" aca="1" ref="BB248" ca="1">IFERROR(IF(AS248&lt;=$AB$2+$AN$2,"-",INDEX(Calculation_Tab,SMALL(ROW(Direct_Denaturation)*(Direct_Denaturation&lt;&gt;"-"),COUNTIF(Direct_Denaturation,"-")+ROW()-3-$AB$2-$AN$2)-9,33)),"-")</f>
        <v>-</v>
      </c>
      <c r="BC248" s="510" t="str">
        <f t="array" aca="1" ref="BC248" ca="1">IFERROR(IF(AS248&lt;=$AB$2+$AN$2,"-",INDEX(Calculation_Tab,SMALL(ROW(Direct_Denaturation)*(Direct_Denaturation&lt;&gt;"-"),COUNTIF(Direct_Denaturation,"-")+ROW()-3-$AB$2-$AN$2)-9,35)),"-")</f>
        <v>-</v>
      </c>
      <c r="BD248" s="511" t="str">
        <f t="shared" ca="1" si="115"/>
        <v>-</v>
      </c>
      <c r="BK248" s="542" t="s">
        <v>82</v>
      </c>
      <c r="BL248" s="542" t="s">
        <v>82</v>
      </c>
      <c r="BM248" s="487" t="str">
        <f t="array" aca="1" ref="BM248" ca="1">IFERROR(INDEX(Calculation_Tab,SMALL(ROW(ToPool)*(ToPool&lt;&gt;"-"),COUNTIF(ToPool,"-")+ROW()-3)-9,3),"-")</f>
        <v>-</v>
      </c>
      <c r="BN248" s="378" t="str">
        <f t="shared" ca="1" si="116"/>
        <v>-</v>
      </c>
      <c r="BO248" s="378" t="str">
        <f t="shared" ca="1" si="117"/>
        <v>-</v>
      </c>
      <c r="BP248" s="523" t="str">
        <f t="shared" ca="1" si="118"/>
        <v>-</v>
      </c>
      <c r="BQ248" s="378" t="str">
        <f t="array" aca="1" ref="BQ248" ca="1">IFERROR(INDEX(BE:BG,MATCH(INDEX(Calculation_Tab,SMALL(ROW(ToPool)*(ToPool&lt;&gt;"-"),COUNTIF(ToPool,"-")+ROW()-3)-9,9),BG:BG,0),2),"-")</f>
        <v>-</v>
      </c>
      <c r="BR248" s="510" t="str">
        <f t="shared" ca="1" si="119"/>
        <v>-</v>
      </c>
      <c r="BS248" s="511" t="str">
        <f t="shared" ca="1" si="120"/>
        <v>-</v>
      </c>
      <c r="BT248" s="543" t="s">
        <v>82</v>
      </c>
      <c r="BU248" s="487" t="str">
        <f t="shared" ca="1" si="124"/>
        <v>-</v>
      </c>
      <c r="BV248" s="487" t="str">
        <f t="array" aca="1" ref="BV24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48" s="378" t="str">
        <f t="shared" ca="1" si="121"/>
        <v>-</v>
      </c>
      <c r="BX248" s="378" t="str">
        <f t="shared" ca="1" si="122"/>
        <v>-</v>
      </c>
      <c r="BY248" s="510" t="str">
        <f ca="1">IFERROR(ROUND(INDEX(Cluster,MATCH(IF(LEFT(BV248,4)="Pool",INDEX(Cluster,MATCH(INDEX(Calculation_Tab,MATCH(INDEX($BE$4:$BJ$99,MATCH(BV248,$BE$4:$BE$99,0),3),Flow_Cell_Lane,0),3),Cluster!$F$29:$F$412,0),6),BV248),Identifier_Cluster,0),19)*IF(LEFT(BV248,4)="pool",IF(LEN(INDEX($BE$4:$BJ$99,MATCH(BV248,$BE$4:$BE$99,0),3))=10,2,IF(LEN(INDEX($BE$4:$BJ$99,MATCH(BV248,$BE$4:$BE$99,0),3))&gt;10,LEN(INDEX($BE$4:$BJ$99,MATCH(BV248,$BE$4:$BE$99,0),3))-8,1)),1)*IF(LEFT(BV248,4)="pool",IF(INDEX($BE$4:$BJ$99,MATCH(BV248,$BE$4:$BE$99,0),6)&lt;1,1,INDEX($BE$4:$BJ$99,MATCH(BV248,$BE$4:$BE$99,0),6)),INDEX(Calculation_Tab,MATCH(BV248,Identifier,0),10)),1)*(1+Calculation!$Q$6),"-")</f>
        <v>-</v>
      </c>
      <c r="BZ248" s="378" t="str">
        <f ca="1">IFERROR((0.5/50)*CE248/Calculation!$AG$6*(IF(LEFT(BV248,4)="Pool",IF(LEN(INDEX($BE$4:$BJ$99,MATCH(BV248,$BE$4:$BE$99,0),3))=10,2,IF(LEN(INDEX($BE$4:$BJ$99,MATCH(BV248,$BE$4:$BE$99,0),3))&gt;10,LEN(INDEX($BE$4:$BJ$99,MATCH(BV248,$BE$4:$BE$99,0),3))-8,1)),IF(INDEX(Calculation_Tab,MATCH(BV248,Identifier,0),10)&gt;1,INDEX(Calculation_Tab,MATCH(BV248,Identifier,0),10),1)))*(1+Calculation!$Q$6),"-")</f>
        <v>-</v>
      </c>
      <c r="CA248" s="510" t="str">
        <f ca="1">IFERROR(IF((BZ248*Calculation!$AG$6/0.05)-SUM(BY248:BZ248,CC248)&gt;0,(BZ248*Calculation!$AG$6/0.05)-SUM(BY248:BZ248,CC248),0),"-")</f>
        <v>-</v>
      </c>
      <c r="CB248" s="510" t="str">
        <f ca="1">IFERROR(5/50*CE248*(IF(LEFT(BV248,4)="Pool",IF(LEN(INDEX($BE$4:$BJ$99,MATCH(BV248,$BE$4:$BE$99,0),3))=10,2,IF(LEN(INDEX($BE$4:$BJ$99,MATCH(BV248,$BE$4:$BE$99,0),3))&gt;10,LEN(INDEX($BE$4:$BJ$99,MATCH(BV248,$BE$4:$BE$99,0),3))-8,1)),IF(INDEX(Calculation_Tab,MATCH(BV248,Identifier,0),10)&gt;1,INDEX(Calculation_Tab,MATCH(BV248,Identifier,0),10),1)))*(1+Calculation!$Q$6),"-")</f>
        <v>-</v>
      </c>
      <c r="CC248" s="508" t="str">
        <f ca="1">IFERROR(ROUND(INDEX(Cluster,MATCH(IF(LEFT(BV248,4)="Pool",INDEX(Cluster,MATCH(INDEX(Calculation_Tab,MATCH(INDEX($BE$4:$BJ$99,MATCH(BV248,$BE$4:$BE$99,0),3),Flow_Cell_Lane,0),3),Cluster!$F$29:$F$412,0),6),BV248),Identifier_Cluster,0),20)*IF(LEFT(BV248,4)="pool",IF(LEN(INDEX($BE$4:$BJ$99,MATCH(BV248,$BE$4:$BE$99,0),3))=10,2,IF(LEN(INDEX($BE$4:$BJ$99,MATCH(BV248,$BE$4:$BE$99,0),3))&gt;10,LEN(INDEX($BE$4:$BJ$99,MATCH(BV248,$BE$4:$BE$99,0),3))-8,1)),1)*IF(LEFT(BV248,4)="pool",IF(INDEX($BE$4:$BJ$99,MATCH(BV248,$BE$4:$BE$99,0),6)&lt;1,1,INDEX($BE$4:$BJ$99,MATCH(BV248,$BE$4:$BE$99,0),6)),INDEX(Calculation_Tab,MATCH(BV248,Identifier,0),10)),1)*(1+Calculation!$Q$6),"-")</f>
        <v>-</v>
      </c>
      <c r="CD248" s="509" t="str">
        <f ca="1">IFERROR(INDEX(Cluster!AC:AD,MATCH(IF(LEFT(BV248,4)="Pool",INDEX(Cluster!$D$29:$AA$412,MATCH(INDEX(Calculation_Tab,MATCH(INDEX($BE$4:$BJ$99,MATCH(BV248,$BE$4:$BE$99,0),3),Flow_Cell_Lane,0),3),Cluster!$F$29:$F$412,0),24),INDEX(Cluster!$D$29:$AA$412,MATCH(BV248,Cluster!$F$29:$F$412,0),24)),Cluster!AC:AC,0),2),"-")</f>
        <v>-</v>
      </c>
      <c r="CE248" s="378" t="str">
        <f ca="1">IFERROR(IF(BV248&lt;&gt;"-",Calculation!$AK$6,"-"),"-")</f>
        <v>-</v>
      </c>
      <c r="CF248" s="378" t="str">
        <f ca="1">IF(OR(LEFT(ListAndConversion!BW248,3)="Dil",LEFT(ListAndConversion!BW248,3)="Poo"),ListAndConversion!$BT$4,IF(LEFT(ListAndConversion!BW248,3)="Sou",INDEX(ListAndConversion!$AT$3:$AV$387,MATCH(ListAndConversion!BV248,ListAndConversion!$AV$3:$AV$387,0),1),"-"))</f>
        <v>-</v>
      </c>
      <c r="CG248" s="498" t="str">
        <f ca="1">IF(OR(LEFT(ListAndConversion!BW248,3)="Dil",LEFT(ListAndConversion!BW248,3)="Poo"),ListAndConversion!BU248,IF(LEFT(ListAndConversion!BW248,3)="Sou",INDEX(ListAndConversion!$AT$4:$AV$387,MATCH(ListAndConversion!BV248,ListAndConversion!$AV$4:$AV$387,0),2),"-"))</f>
        <v>-</v>
      </c>
      <c r="CH248" s="378"/>
      <c r="CI248" s="487" t="str">
        <f t="shared" ca="1" si="123"/>
        <v>-</v>
      </c>
      <c r="CJ248" s="378" t="str">
        <f t="shared" ca="1" si="134"/>
        <v>-</v>
      </c>
      <c r="CK248" s="378" t="str">
        <f t="shared" ca="1" si="134"/>
        <v>-</v>
      </c>
      <c r="CL248" s="378" t="str">
        <f t="shared" ca="1" si="134"/>
        <v>-</v>
      </c>
      <c r="CM248" s="378" t="str">
        <f t="shared" ca="1" si="134"/>
        <v>-</v>
      </c>
      <c r="CN248" s="378" t="str">
        <f t="shared" ca="1" si="134"/>
        <v>-</v>
      </c>
      <c r="CO248" s="378" t="str">
        <f t="shared" ca="1" si="134"/>
        <v>-</v>
      </c>
      <c r="CP248" s="378" t="str">
        <f t="shared" ca="1" si="134"/>
        <v>-</v>
      </c>
      <c r="CQ248" s="378" t="str">
        <f t="shared" ca="1" si="134"/>
        <v>-</v>
      </c>
      <c r="CR248" s="510" t="str">
        <f ca="1">IFERROR(IF(LEFT(BW248,3)="Poo",INDEX($BE$4:$BJ$99,MATCH(CI248,$BG$4:$BG$99,0),6)*((15/50))*Calculation!$AK$6,INDEX(Calculation_Tab,MATCH(BV248,Identifier,0),10)/(IF(LEN(INDEX(Calculation_Tab,MATCH(BV248,Identifier,0),9))&gt;8,LEN(INDEX(Calculation_Tab,MATCH(BV248,Identifier,0),9))-8,1))*((15/50)*Calculation!$AK$6)),"-")</f>
        <v>-</v>
      </c>
      <c r="CS248" s="498" t="str">
        <f ca="1">IF(CI248="-","-",IF(COUNTIF($CI$3:CI248,CI248)&gt;1,0,IFERROR((35/50)*Calculation!$AK$6,"-")))</f>
        <v>-</v>
      </c>
    </row>
    <row r="249" spans="4:97" x14ac:dyDescent="0.5">
      <c r="D249" s="487" t="e">
        <f t="shared" si="109"/>
        <v>#DIV/0!</v>
      </c>
      <c r="E249" s="496" t="e">
        <f t="array" ref="E249">IF(IF((ROW(E249)-3)&lt;(ListAndConversion!$A$15),INDEX(Flow_Cell_Lane,MIN(IF(COUNTIF($E$2:E248,Flow_Cell_Lane)=0,ROW(Flow_Cell_Lane)-9))),"-")="","-",IF((ROW(E249)-3)&lt;(ListAndConversion!$A$15),INDEX(Flow_Cell_Lane,MIN(IF(COUNTIF($E$2:E248,Flow_Cell_Lane)=0,ROW(Flow_Cell_Lane)-9))),"-"))</f>
        <v>#DIV/0!</v>
      </c>
      <c r="F249" s="378" t="e">
        <f t="shared" si="110"/>
        <v>#DIV/0!</v>
      </c>
      <c r="G249" s="378" t="e">
        <f t="shared" si="133"/>
        <v>#DIV/0!</v>
      </c>
      <c r="H249" s="378" t="e">
        <f t="shared" si="133"/>
        <v>#DIV/0!</v>
      </c>
      <c r="I249" s="378" t="e">
        <f t="shared" si="133"/>
        <v>#DIV/0!</v>
      </c>
      <c r="J249" s="378" t="e">
        <f t="shared" si="133"/>
        <v>#DIV/0!</v>
      </c>
      <c r="K249" s="378" t="e">
        <f t="shared" si="133"/>
        <v>#DIV/0!</v>
      </c>
      <c r="L249" s="378" t="e">
        <f t="shared" si="133"/>
        <v>#DIV/0!</v>
      </c>
      <c r="M249" s="378" t="e">
        <f t="shared" si="133"/>
        <v>#DIV/0!</v>
      </c>
      <c r="N249" s="497" t="e">
        <f t="shared" si="111"/>
        <v>#DIV/0!</v>
      </c>
      <c r="O249" s="497" t="str">
        <f t="array" ref="O249">IFERROR(INDEX(Calculation!I:AN,MATCH(ListAndConversion!E249,Calculation!I:I,0),31),"-")</f>
        <v>-</v>
      </c>
      <c r="P249" s="498">
        <f>IF(COUNTIFS(Calculation!$I$10:$I$393,E249,Direct_Denaturation,"-")&lt;&gt;1,COUNTIFS(Calculation!$I$10:$I$393,E249,Direct_Denaturation,"-"),0)</f>
        <v>0</v>
      </c>
      <c r="V249" s="542" t="s">
        <v>82</v>
      </c>
      <c r="W249" s="542" t="s">
        <v>82</v>
      </c>
      <c r="X249" s="542" t="s">
        <v>82</v>
      </c>
      <c r="Y249" s="542" t="s">
        <v>82</v>
      </c>
      <c r="Z249" s="542" t="s">
        <v>82</v>
      </c>
      <c r="AA249" s="542" t="s">
        <v>82</v>
      </c>
      <c r="AB249" s="542" t="s">
        <v>82</v>
      </c>
      <c r="AC249" s="542" t="s">
        <v>82</v>
      </c>
      <c r="AD249" s="542" t="s">
        <v>82</v>
      </c>
      <c r="AE249" s="542" t="s">
        <v>82</v>
      </c>
      <c r="AF249" s="542" t="s">
        <v>82</v>
      </c>
      <c r="AG249" s="542" t="s">
        <v>82</v>
      </c>
      <c r="AH249" s="9"/>
      <c r="AI249" s="487">
        <v>246</v>
      </c>
      <c r="AJ249" s="497" t="s">
        <v>162</v>
      </c>
      <c r="AK249" s="378">
        <v>54</v>
      </c>
      <c r="AL249" s="378" t="str">
        <f t="shared" ca="1" si="112"/>
        <v>-</v>
      </c>
      <c r="AM249" s="378" t="str">
        <f t="array" aca="1" ref="AM249" ca="1">IFERROR(IF(AI249&lt;=$AB$2,"-",INDEX(Calculation_Tab,SMALL(ROW(Main_Dil)*(Main_Dil&lt;&gt;"-"),COUNTIF(Main_Dil,"-")+ROW()-3-$AB$2)-9,5)),"-")</f>
        <v>-</v>
      </c>
      <c r="AN249" s="378" t="str">
        <f t="array" aca="1" ref="AN249" ca="1">IFERROR(IF(AI249&lt;=$AB$2,"-",INDEX($A$3:$B$12,MATCH(INDEX(Calculation_Tab,SMALL(ROW(Main_Dil)*(Main_Dil&lt;&gt;"-"),COUNTIF(Main_Dil,"-")+ROW()-3-$AB$2)-9,5),$A$3:$A$12,0),2)),"-")</f>
        <v>-</v>
      </c>
      <c r="AO249" s="378" t="str">
        <f t="array" aca="1" ref="AO249" ca="1">IFERROR(IF(AI249&lt;=$AB$2,"-",INDEX(Coordinate,MATCH(INDEX(Calculation_Tab,SMALL(ROW(Main_Dil)*(Main_Dil&lt;&gt;"-"),COUNTIF(Main_Dil,"-")+ROW()-3-$AB$2)-9,6),$X$4:$X$99,0),2)),"-")</f>
        <v>-</v>
      </c>
      <c r="AP249" s="510" t="str">
        <f t="array" aca="1" ref="AP249" ca="1">IFERROR(IF(AI249&lt;=$AB$2,"-",INDEX(Calculation_Tab,SMALL(ROW(Main_Dil)*(Main_Dil&lt;&gt;"-"),COUNTIF(Main_Dil,"-")+ROW()-3-$AB$2)-9,21)),"-")</f>
        <v>-</v>
      </c>
      <c r="AQ249" s="511" t="str">
        <f t="array" aca="1" ref="AQ249" ca="1">IFERROR(IF(AI249&lt;=$AB$2,"-",INDEX(Calculation_Tab,SMALL(ROW(Main_Dil)*(Main_Dil&lt;&gt;"-"),COUNTIF(Main_Dil,"-")+ROW()-3-$AB$2)-9,22)),"-")</f>
        <v>-</v>
      </c>
      <c r="AR249" s="487" t="str">
        <f t="shared" ca="1" si="113"/>
        <v>-</v>
      </c>
      <c r="AS249" s="378">
        <v>246</v>
      </c>
      <c r="AT249" s="497" t="s">
        <v>162</v>
      </c>
      <c r="AU249" s="498">
        <v>54</v>
      </c>
      <c r="AV249" s="378" t="str">
        <f t="shared" ca="1" si="114"/>
        <v>-</v>
      </c>
      <c r="AW249" s="378" t="str">
        <f t="array" aca="1" ref="AW249" ca="1">IFERROR(IF(AS249&lt;=$AB$2+$AN$2,"-",INDEX(Calculation_Tab,SMALL(ROW(Direct_Denaturation)*(Direct_Denaturation&lt;&gt;"-"),COUNTIF(Direct_Denaturation,"-")+ROW()-3-$AB$2-$AN$2)-9,5)),"-")</f>
        <v>-</v>
      </c>
      <c r="AX249" s="378" t="str">
        <f t="array" aca="1" ref="AX249" ca="1">IFERROR(IF(AS249&lt;=$AB$2+$AN$2,"-",INDEX($A$3:$B$12,MATCH(INDEX(Calculation_Tab,SMALL(ROW(Direct_Denaturation)*(Direct_Denaturation&lt;&gt;"-"),COUNTIF(Direct_Denaturation,"-")+ROW()-3-$AB$2-$AN$2)-9,5),$A$3:$A$12,0),2)),"-")</f>
        <v>-</v>
      </c>
      <c r="AY249" s="378" t="str">
        <f t="array" aca="1" ref="AY249" ca="1">IFERROR(IF(AS249&lt;=$AB$2+$AN$2,"-",INDEX(Coordinate,MATCH(INDEX(Calculation_Tab,SMALL(ROW(Direct_Denaturation)*(Direct_Denaturation&lt;&gt;"-"),COUNTIF(Direct_Denaturation,"-")+ROW()-3-$AB$2-$AN$2)-9,6),$X$4:$X$99,0),2)),"-")</f>
        <v>-</v>
      </c>
      <c r="AZ249" s="510" t="str">
        <f t="array" aca="1" ref="AZ249" ca="1">IFERROR(IF(AS249&lt;=$AB$2+$AN$2,"-",INDEX(Calculation_Tab,SMALL(ROW(Direct_Denaturation)*(Direct_Denaturation&lt;&gt;"-"),COUNTIF(Direct_Denaturation,"-")+ROW()-3-$AB$2-$AN$2)-9,32)),"-")</f>
        <v>-</v>
      </c>
      <c r="BA249" s="510" t="str">
        <f t="array" aca="1" ref="BA249" ca="1">IFERROR(IF(AS249&lt;=$AB$2+$AN$2,"-",INDEX(Calculation_Tab,SMALL(ROW(Direct_Denaturation)*(Direct_Denaturation&lt;&gt;"-"),COUNTIF(Direct_Denaturation,"-")+ROW()-3-$AB$2-$AN$2)-9,34)),"-")</f>
        <v>-</v>
      </c>
      <c r="BB249" s="510" t="str">
        <f t="array" aca="1" ref="BB249" ca="1">IFERROR(IF(AS249&lt;=$AB$2+$AN$2,"-",INDEX(Calculation_Tab,SMALL(ROW(Direct_Denaturation)*(Direct_Denaturation&lt;&gt;"-"),COUNTIF(Direct_Denaturation,"-")+ROW()-3-$AB$2-$AN$2)-9,33)),"-")</f>
        <v>-</v>
      </c>
      <c r="BC249" s="510" t="str">
        <f t="array" aca="1" ref="BC249" ca="1">IFERROR(IF(AS249&lt;=$AB$2+$AN$2,"-",INDEX(Calculation_Tab,SMALL(ROW(Direct_Denaturation)*(Direct_Denaturation&lt;&gt;"-"),COUNTIF(Direct_Denaturation,"-")+ROW()-3-$AB$2-$AN$2)-9,35)),"-")</f>
        <v>-</v>
      </c>
      <c r="BD249" s="511" t="str">
        <f t="shared" ca="1" si="115"/>
        <v>-</v>
      </c>
      <c r="BK249" s="542" t="s">
        <v>82</v>
      </c>
      <c r="BL249" s="542" t="s">
        <v>82</v>
      </c>
      <c r="BM249" s="487" t="str">
        <f t="array" aca="1" ref="BM249" ca="1">IFERROR(INDEX(Calculation_Tab,SMALL(ROW(ToPool)*(ToPool&lt;&gt;"-"),COUNTIF(ToPool,"-")+ROW()-3)-9,3),"-")</f>
        <v>-</v>
      </c>
      <c r="BN249" s="378" t="str">
        <f t="shared" ca="1" si="116"/>
        <v>-</v>
      </c>
      <c r="BO249" s="378" t="str">
        <f t="shared" ca="1" si="117"/>
        <v>-</v>
      </c>
      <c r="BP249" s="523" t="str">
        <f t="shared" ca="1" si="118"/>
        <v>-</v>
      </c>
      <c r="BQ249" s="378" t="str">
        <f t="array" aca="1" ref="BQ249" ca="1">IFERROR(INDEX(BE:BG,MATCH(INDEX(Calculation_Tab,SMALL(ROW(ToPool)*(ToPool&lt;&gt;"-"),COUNTIF(ToPool,"-")+ROW()-3)-9,9),BG:BG,0),2),"-")</f>
        <v>-</v>
      </c>
      <c r="BR249" s="510" t="str">
        <f t="shared" ca="1" si="119"/>
        <v>-</v>
      </c>
      <c r="BS249" s="511" t="str">
        <f t="shared" ca="1" si="120"/>
        <v>-</v>
      </c>
      <c r="BT249" s="543" t="s">
        <v>82</v>
      </c>
      <c r="BU249" s="487" t="str">
        <f t="shared" ca="1" si="124"/>
        <v>-</v>
      </c>
      <c r="BV249" s="487" t="str">
        <f t="array" aca="1" ref="BV24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49" s="378" t="str">
        <f t="shared" ca="1" si="121"/>
        <v>-</v>
      </c>
      <c r="BX249" s="378" t="str">
        <f t="shared" ca="1" si="122"/>
        <v>-</v>
      </c>
      <c r="BY249" s="510" t="str">
        <f ca="1">IFERROR(ROUND(INDEX(Cluster,MATCH(IF(LEFT(BV249,4)="Pool",INDEX(Cluster,MATCH(INDEX(Calculation_Tab,MATCH(INDEX($BE$4:$BJ$99,MATCH(BV249,$BE$4:$BE$99,0),3),Flow_Cell_Lane,0),3),Cluster!$F$29:$F$412,0),6),BV249),Identifier_Cluster,0),19)*IF(LEFT(BV249,4)="pool",IF(LEN(INDEX($BE$4:$BJ$99,MATCH(BV249,$BE$4:$BE$99,0),3))=10,2,IF(LEN(INDEX($BE$4:$BJ$99,MATCH(BV249,$BE$4:$BE$99,0),3))&gt;10,LEN(INDEX($BE$4:$BJ$99,MATCH(BV249,$BE$4:$BE$99,0),3))-8,1)),1)*IF(LEFT(BV249,4)="pool",IF(INDEX($BE$4:$BJ$99,MATCH(BV249,$BE$4:$BE$99,0),6)&lt;1,1,INDEX($BE$4:$BJ$99,MATCH(BV249,$BE$4:$BE$99,0),6)),INDEX(Calculation_Tab,MATCH(BV249,Identifier,0),10)),1)*(1+Calculation!$Q$6),"-")</f>
        <v>-</v>
      </c>
      <c r="BZ249" s="378" t="str">
        <f ca="1">IFERROR((0.5/50)*CE249/Calculation!$AG$6*(IF(LEFT(BV249,4)="Pool",IF(LEN(INDEX($BE$4:$BJ$99,MATCH(BV249,$BE$4:$BE$99,0),3))=10,2,IF(LEN(INDEX($BE$4:$BJ$99,MATCH(BV249,$BE$4:$BE$99,0),3))&gt;10,LEN(INDEX($BE$4:$BJ$99,MATCH(BV249,$BE$4:$BE$99,0),3))-8,1)),IF(INDEX(Calculation_Tab,MATCH(BV249,Identifier,0),10)&gt;1,INDEX(Calculation_Tab,MATCH(BV249,Identifier,0),10),1)))*(1+Calculation!$Q$6),"-")</f>
        <v>-</v>
      </c>
      <c r="CA249" s="510" t="str">
        <f ca="1">IFERROR(IF((BZ249*Calculation!$AG$6/0.05)-SUM(BY249:BZ249,CC249)&gt;0,(BZ249*Calculation!$AG$6/0.05)-SUM(BY249:BZ249,CC249),0),"-")</f>
        <v>-</v>
      </c>
      <c r="CB249" s="510" t="str">
        <f ca="1">IFERROR(5/50*CE249*(IF(LEFT(BV249,4)="Pool",IF(LEN(INDEX($BE$4:$BJ$99,MATCH(BV249,$BE$4:$BE$99,0),3))=10,2,IF(LEN(INDEX($BE$4:$BJ$99,MATCH(BV249,$BE$4:$BE$99,0),3))&gt;10,LEN(INDEX($BE$4:$BJ$99,MATCH(BV249,$BE$4:$BE$99,0),3))-8,1)),IF(INDEX(Calculation_Tab,MATCH(BV249,Identifier,0),10)&gt;1,INDEX(Calculation_Tab,MATCH(BV249,Identifier,0),10),1)))*(1+Calculation!$Q$6),"-")</f>
        <v>-</v>
      </c>
      <c r="CC249" s="508" t="str">
        <f ca="1">IFERROR(ROUND(INDEX(Cluster,MATCH(IF(LEFT(BV249,4)="Pool",INDEX(Cluster,MATCH(INDEX(Calculation_Tab,MATCH(INDEX($BE$4:$BJ$99,MATCH(BV249,$BE$4:$BE$99,0),3),Flow_Cell_Lane,0),3),Cluster!$F$29:$F$412,0),6),BV249),Identifier_Cluster,0),20)*IF(LEFT(BV249,4)="pool",IF(LEN(INDEX($BE$4:$BJ$99,MATCH(BV249,$BE$4:$BE$99,0),3))=10,2,IF(LEN(INDEX($BE$4:$BJ$99,MATCH(BV249,$BE$4:$BE$99,0),3))&gt;10,LEN(INDEX($BE$4:$BJ$99,MATCH(BV249,$BE$4:$BE$99,0),3))-8,1)),1)*IF(LEFT(BV249,4)="pool",IF(INDEX($BE$4:$BJ$99,MATCH(BV249,$BE$4:$BE$99,0),6)&lt;1,1,INDEX($BE$4:$BJ$99,MATCH(BV249,$BE$4:$BE$99,0),6)),INDEX(Calculation_Tab,MATCH(BV249,Identifier,0),10)),1)*(1+Calculation!$Q$6),"-")</f>
        <v>-</v>
      </c>
      <c r="CD249" s="509" t="str">
        <f ca="1">IFERROR(INDEX(Cluster!AC:AD,MATCH(IF(LEFT(BV249,4)="Pool",INDEX(Cluster!$D$29:$AA$412,MATCH(INDEX(Calculation_Tab,MATCH(INDEX($BE$4:$BJ$99,MATCH(BV249,$BE$4:$BE$99,0),3),Flow_Cell_Lane,0),3),Cluster!$F$29:$F$412,0),24),INDEX(Cluster!$D$29:$AA$412,MATCH(BV249,Cluster!$F$29:$F$412,0),24)),Cluster!AC:AC,0),2),"-")</f>
        <v>-</v>
      </c>
      <c r="CE249" s="378" t="str">
        <f ca="1">IFERROR(IF(BV249&lt;&gt;"-",Calculation!$AK$6,"-"),"-")</f>
        <v>-</v>
      </c>
      <c r="CF249" s="378" t="str">
        <f ca="1">IF(OR(LEFT(ListAndConversion!BW249,3)="Dil",LEFT(ListAndConversion!BW249,3)="Poo"),ListAndConversion!$BT$4,IF(LEFT(ListAndConversion!BW249,3)="Sou",INDEX(ListAndConversion!$AT$3:$AV$387,MATCH(ListAndConversion!BV249,ListAndConversion!$AV$3:$AV$387,0),1),"-"))</f>
        <v>-</v>
      </c>
      <c r="CG249" s="498" t="str">
        <f ca="1">IF(OR(LEFT(ListAndConversion!BW249,3)="Dil",LEFT(ListAndConversion!BW249,3)="Poo"),ListAndConversion!BU249,IF(LEFT(ListAndConversion!BW249,3)="Sou",INDEX(ListAndConversion!$AT$4:$AV$387,MATCH(ListAndConversion!BV249,ListAndConversion!$AV$4:$AV$387,0),2),"-"))</f>
        <v>-</v>
      </c>
      <c r="CH249" s="378"/>
      <c r="CI249" s="487" t="str">
        <f t="shared" ca="1" si="123"/>
        <v>-</v>
      </c>
      <c r="CJ249" s="378" t="str">
        <f t="shared" ca="1" si="134"/>
        <v>-</v>
      </c>
      <c r="CK249" s="378" t="str">
        <f t="shared" ca="1" si="134"/>
        <v>-</v>
      </c>
      <c r="CL249" s="378" t="str">
        <f t="shared" ca="1" si="134"/>
        <v>-</v>
      </c>
      <c r="CM249" s="378" t="str">
        <f t="shared" ca="1" si="134"/>
        <v>-</v>
      </c>
      <c r="CN249" s="378" t="str">
        <f t="shared" ca="1" si="134"/>
        <v>-</v>
      </c>
      <c r="CO249" s="378" t="str">
        <f t="shared" ca="1" si="134"/>
        <v>-</v>
      </c>
      <c r="CP249" s="378" t="str">
        <f t="shared" ca="1" si="134"/>
        <v>-</v>
      </c>
      <c r="CQ249" s="378" t="str">
        <f t="shared" ca="1" si="134"/>
        <v>-</v>
      </c>
      <c r="CR249" s="510" t="str">
        <f ca="1">IFERROR(IF(LEFT(BW249,3)="Poo",INDEX($BE$4:$BJ$99,MATCH(CI249,$BG$4:$BG$99,0),6)*((15/50))*Calculation!$AK$6,INDEX(Calculation_Tab,MATCH(BV249,Identifier,0),10)/(IF(LEN(INDEX(Calculation_Tab,MATCH(BV249,Identifier,0),9))&gt;8,LEN(INDEX(Calculation_Tab,MATCH(BV249,Identifier,0),9))-8,1))*((15/50)*Calculation!$AK$6)),"-")</f>
        <v>-</v>
      </c>
      <c r="CS249" s="498" t="str">
        <f ca="1">IF(CI249="-","-",IF(COUNTIF($CI$3:CI249,CI249)&gt;1,0,IFERROR((35/50)*Calculation!$AK$6,"-")))</f>
        <v>-</v>
      </c>
    </row>
    <row r="250" spans="4:97" x14ac:dyDescent="0.5">
      <c r="D250" s="487" t="e">
        <f t="shared" si="109"/>
        <v>#DIV/0!</v>
      </c>
      <c r="E250" s="496" t="e">
        <f t="array" ref="E250">IF(IF((ROW(E250)-3)&lt;(ListAndConversion!$A$15),INDEX(Flow_Cell_Lane,MIN(IF(COUNTIF($E$2:E249,Flow_Cell_Lane)=0,ROW(Flow_Cell_Lane)-9))),"-")="","-",IF((ROW(E250)-3)&lt;(ListAndConversion!$A$15),INDEX(Flow_Cell_Lane,MIN(IF(COUNTIF($E$2:E249,Flow_Cell_Lane)=0,ROW(Flow_Cell_Lane)-9))),"-"))</f>
        <v>#DIV/0!</v>
      </c>
      <c r="F250" s="378" t="e">
        <f t="shared" si="110"/>
        <v>#DIV/0!</v>
      </c>
      <c r="G250" s="378" t="e">
        <f t="shared" si="133"/>
        <v>#DIV/0!</v>
      </c>
      <c r="H250" s="378" t="e">
        <f t="shared" si="133"/>
        <v>#DIV/0!</v>
      </c>
      <c r="I250" s="378" t="e">
        <f t="shared" si="133"/>
        <v>#DIV/0!</v>
      </c>
      <c r="J250" s="378" t="e">
        <f t="shared" si="133"/>
        <v>#DIV/0!</v>
      </c>
      <c r="K250" s="378" t="e">
        <f t="shared" si="133"/>
        <v>#DIV/0!</v>
      </c>
      <c r="L250" s="378" t="e">
        <f t="shared" si="133"/>
        <v>#DIV/0!</v>
      </c>
      <c r="M250" s="378" t="e">
        <f t="shared" si="133"/>
        <v>#DIV/0!</v>
      </c>
      <c r="N250" s="497" t="e">
        <f t="shared" si="111"/>
        <v>#DIV/0!</v>
      </c>
      <c r="O250" s="497" t="str">
        <f t="array" ref="O250">IFERROR(INDEX(Calculation!I:AN,MATCH(ListAndConversion!E250,Calculation!I:I,0),31),"-")</f>
        <v>-</v>
      </c>
      <c r="P250" s="498">
        <f>IF(COUNTIFS(Calculation!$I$10:$I$393,E250,Direct_Denaturation,"-")&lt;&gt;1,COUNTIFS(Calculation!$I$10:$I$393,E250,Direct_Denaturation,"-"),0)</f>
        <v>0</v>
      </c>
      <c r="V250" s="542" t="s">
        <v>82</v>
      </c>
      <c r="W250" s="542" t="s">
        <v>82</v>
      </c>
      <c r="X250" s="542" t="s">
        <v>82</v>
      </c>
      <c r="Y250" s="542" t="s">
        <v>82</v>
      </c>
      <c r="Z250" s="542" t="s">
        <v>82</v>
      </c>
      <c r="AA250" s="542" t="s">
        <v>82</v>
      </c>
      <c r="AB250" s="542" t="s">
        <v>82</v>
      </c>
      <c r="AC250" s="542" t="s">
        <v>82</v>
      </c>
      <c r="AD250" s="542" t="s">
        <v>82</v>
      </c>
      <c r="AE250" s="542" t="s">
        <v>82</v>
      </c>
      <c r="AF250" s="542" t="s">
        <v>82</v>
      </c>
      <c r="AG250" s="542" t="s">
        <v>82</v>
      </c>
      <c r="AH250" s="9"/>
      <c r="AI250" s="487">
        <v>247</v>
      </c>
      <c r="AJ250" s="497" t="s">
        <v>162</v>
      </c>
      <c r="AK250" s="378">
        <v>55</v>
      </c>
      <c r="AL250" s="378" t="str">
        <f t="shared" ca="1" si="112"/>
        <v>-</v>
      </c>
      <c r="AM250" s="378" t="str">
        <f t="array" aca="1" ref="AM250" ca="1">IFERROR(IF(AI250&lt;=$AB$2,"-",INDEX(Calculation_Tab,SMALL(ROW(Main_Dil)*(Main_Dil&lt;&gt;"-"),COUNTIF(Main_Dil,"-")+ROW()-3-$AB$2)-9,5)),"-")</f>
        <v>-</v>
      </c>
      <c r="AN250" s="378" t="str">
        <f t="array" aca="1" ref="AN250" ca="1">IFERROR(IF(AI250&lt;=$AB$2,"-",INDEX($A$3:$B$12,MATCH(INDEX(Calculation_Tab,SMALL(ROW(Main_Dil)*(Main_Dil&lt;&gt;"-"),COUNTIF(Main_Dil,"-")+ROW()-3-$AB$2)-9,5),$A$3:$A$12,0),2)),"-")</f>
        <v>-</v>
      </c>
      <c r="AO250" s="378" t="str">
        <f t="array" aca="1" ref="AO250" ca="1">IFERROR(IF(AI250&lt;=$AB$2,"-",INDEX(Coordinate,MATCH(INDEX(Calculation_Tab,SMALL(ROW(Main_Dil)*(Main_Dil&lt;&gt;"-"),COUNTIF(Main_Dil,"-")+ROW()-3-$AB$2)-9,6),$X$4:$X$99,0),2)),"-")</f>
        <v>-</v>
      </c>
      <c r="AP250" s="510" t="str">
        <f t="array" aca="1" ref="AP250" ca="1">IFERROR(IF(AI250&lt;=$AB$2,"-",INDEX(Calculation_Tab,SMALL(ROW(Main_Dil)*(Main_Dil&lt;&gt;"-"),COUNTIF(Main_Dil,"-")+ROW()-3-$AB$2)-9,21)),"-")</f>
        <v>-</v>
      </c>
      <c r="AQ250" s="511" t="str">
        <f t="array" aca="1" ref="AQ250" ca="1">IFERROR(IF(AI250&lt;=$AB$2,"-",INDEX(Calculation_Tab,SMALL(ROW(Main_Dil)*(Main_Dil&lt;&gt;"-"),COUNTIF(Main_Dil,"-")+ROW()-3-$AB$2)-9,22)),"-")</f>
        <v>-</v>
      </c>
      <c r="AR250" s="487" t="str">
        <f t="shared" ca="1" si="113"/>
        <v>-</v>
      </c>
      <c r="AS250" s="378">
        <v>247</v>
      </c>
      <c r="AT250" s="497" t="s">
        <v>162</v>
      </c>
      <c r="AU250" s="498">
        <v>55</v>
      </c>
      <c r="AV250" s="378" t="str">
        <f t="shared" ca="1" si="114"/>
        <v>-</v>
      </c>
      <c r="AW250" s="378" t="str">
        <f t="array" aca="1" ref="AW250" ca="1">IFERROR(IF(AS250&lt;=$AB$2+$AN$2,"-",INDEX(Calculation_Tab,SMALL(ROW(Direct_Denaturation)*(Direct_Denaturation&lt;&gt;"-"),COUNTIF(Direct_Denaturation,"-")+ROW()-3-$AB$2-$AN$2)-9,5)),"-")</f>
        <v>-</v>
      </c>
      <c r="AX250" s="378" t="str">
        <f t="array" aca="1" ref="AX250" ca="1">IFERROR(IF(AS250&lt;=$AB$2+$AN$2,"-",INDEX($A$3:$B$12,MATCH(INDEX(Calculation_Tab,SMALL(ROW(Direct_Denaturation)*(Direct_Denaturation&lt;&gt;"-"),COUNTIF(Direct_Denaturation,"-")+ROW()-3-$AB$2-$AN$2)-9,5),$A$3:$A$12,0),2)),"-")</f>
        <v>-</v>
      </c>
      <c r="AY250" s="378" t="str">
        <f t="array" aca="1" ref="AY250" ca="1">IFERROR(IF(AS250&lt;=$AB$2+$AN$2,"-",INDEX(Coordinate,MATCH(INDEX(Calculation_Tab,SMALL(ROW(Direct_Denaturation)*(Direct_Denaturation&lt;&gt;"-"),COUNTIF(Direct_Denaturation,"-")+ROW()-3-$AB$2-$AN$2)-9,6),$X$4:$X$99,0),2)),"-")</f>
        <v>-</v>
      </c>
      <c r="AZ250" s="510" t="str">
        <f t="array" aca="1" ref="AZ250" ca="1">IFERROR(IF(AS250&lt;=$AB$2+$AN$2,"-",INDEX(Calculation_Tab,SMALL(ROW(Direct_Denaturation)*(Direct_Denaturation&lt;&gt;"-"),COUNTIF(Direct_Denaturation,"-")+ROW()-3-$AB$2-$AN$2)-9,32)),"-")</f>
        <v>-</v>
      </c>
      <c r="BA250" s="510" t="str">
        <f t="array" aca="1" ref="BA250" ca="1">IFERROR(IF(AS250&lt;=$AB$2+$AN$2,"-",INDEX(Calculation_Tab,SMALL(ROW(Direct_Denaturation)*(Direct_Denaturation&lt;&gt;"-"),COUNTIF(Direct_Denaturation,"-")+ROW()-3-$AB$2-$AN$2)-9,34)),"-")</f>
        <v>-</v>
      </c>
      <c r="BB250" s="510" t="str">
        <f t="array" aca="1" ref="BB250" ca="1">IFERROR(IF(AS250&lt;=$AB$2+$AN$2,"-",INDEX(Calculation_Tab,SMALL(ROW(Direct_Denaturation)*(Direct_Denaturation&lt;&gt;"-"),COUNTIF(Direct_Denaturation,"-")+ROW()-3-$AB$2-$AN$2)-9,33)),"-")</f>
        <v>-</v>
      </c>
      <c r="BC250" s="510" t="str">
        <f t="array" aca="1" ref="BC250" ca="1">IFERROR(IF(AS250&lt;=$AB$2+$AN$2,"-",INDEX(Calculation_Tab,SMALL(ROW(Direct_Denaturation)*(Direct_Denaturation&lt;&gt;"-"),COUNTIF(Direct_Denaturation,"-")+ROW()-3-$AB$2-$AN$2)-9,35)),"-")</f>
        <v>-</v>
      </c>
      <c r="BD250" s="511" t="str">
        <f t="shared" ca="1" si="115"/>
        <v>-</v>
      </c>
      <c r="BK250" s="542" t="s">
        <v>82</v>
      </c>
      <c r="BL250" s="542" t="s">
        <v>82</v>
      </c>
      <c r="BM250" s="487" t="str">
        <f t="array" aca="1" ref="BM250" ca="1">IFERROR(INDEX(Calculation_Tab,SMALL(ROW(ToPool)*(ToPool&lt;&gt;"-"),COUNTIF(ToPool,"-")+ROW()-3)-9,3),"-")</f>
        <v>-</v>
      </c>
      <c r="BN250" s="378" t="str">
        <f t="shared" ca="1" si="116"/>
        <v>-</v>
      </c>
      <c r="BO250" s="378" t="str">
        <f t="shared" ca="1" si="117"/>
        <v>-</v>
      </c>
      <c r="BP250" s="523" t="str">
        <f t="shared" ca="1" si="118"/>
        <v>-</v>
      </c>
      <c r="BQ250" s="378" t="str">
        <f t="array" aca="1" ref="BQ250" ca="1">IFERROR(INDEX(BE:BG,MATCH(INDEX(Calculation_Tab,SMALL(ROW(ToPool)*(ToPool&lt;&gt;"-"),COUNTIF(ToPool,"-")+ROW()-3)-9,9),BG:BG,0),2),"-")</f>
        <v>-</v>
      </c>
      <c r="BR250" s="510" t="str">
        <f t="shared" ca="1" si="119"/>
        <v>-</v>
      </c>
      <c r="BS250" s="511" t="str">
        <f t="shared" ca="1" si="120"/>
        <v>-</v>
      </c>
      <c r="BT250" s="543" t="s">
        <v>82</v>
      </c>
      <c r="BU250" s="487" t="str">
        <f t="shared" ca="1" si="124"/>
        <v>-</v>
      </c>
      <c r="BV250" s="487" t="str">
        <f t="array" aca="1" ref="BV25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50" s="378" t="str">
        <f t="shared" ca="1" si="121"/>
        <v>-</v>
      </c>
      <c r="BX250" s="378" t="str">
        <f t="shared" ca="1" si="122"/>
        <v>-</v>
      </c>
      <c r="BY250" s="510" t="str">
        <f ca="1">IFERROR(ROUND(INDEX(Cluster,MATCH(IF(LEFT(BV250,4)="Pool",INDEX(Cluster,MATCH(INDEX(Calculation_Tab,MATCH(INDEX($BE$4:$BJ$99,MATCH(BV250,$BE$4:$BE$99,0),3),Flow_Cell_Lane,0),3),Cluster!$F$29:$F$412,0),6),BV250),Identifier_Cluster,0),19)*IF(LEFT(BV250,4)="pool",IF(LEN(INDEX($BE$4:$BJ$99,MATCH(BV250,$BE$4:$BE$99,0),3))=10,2,IF(LEN(INDEX($BE$4:$BJ$99,MATCH(BV250,$BE$4:$BE$99,0),3))&gt;10,LEN(INDEX($BE$4:$BJ$99,MATCH(BV250,$BE$4:$BE$99,0),3))-8,1)),1)*IF(LEFT(BV250,4)="pool",IF(INDEX($BE$4:$BJ$99,MATCH(BV250,$BE$4:$BE$99,0),6)&lt;1,1,INDEX($BE$4:$BJ$99,MATCH(BV250,$BE$4:$BE$99,0),6)),INDEX(Calculation_Tab,MATCH(BV250,Identifier,0),10)),1)*(1+Calculation!$Q$6),"-")</f>
        <v>-</v>
      </c>
      <c r="BZ250" s="378" t="str">
        <f ca="1">IFERROR((0.5/50)*CE250/Calculation!$AG$6*(IF(LEFT(BV250,4)="Pool",IF(LEN(INDEX($BE$4:$BJ$99,MATCH(BV250,$BE$4:$BE$99,0),3))=10,2,IF(LEN(INDEX($BE$4:$BJ$99,MATCH(BV250,$BE$4:$BE$99,0),3))&gt;10,LEN(INDEX($BE$4:$BJ$99,MATCH(BV250,$BE$4:$BE$99,0),3))-8,1)),IF(INDEX(Calculation_Tab,MATCH(BV250,Identifier,0),10)&gt;1,INDEX(Calculation_Tab,MATCH(BV250,Identifier,0),10),1)))*(1+Calculation!$Q$6),"-")</f>
        <v>-</v>
      </c>
      <c r="CA250" s="510" t="str">
        <f ca="1">IFERROR(IF((BZ250*Calculation!$AG$6/0.05)-SUM(BY250:BZ250,CC250)&gt;0,(BZ250*Calculation!$AG$6/0.05)-SUM(BY250:BZ250,CC250),0),"-")</f>
        <v>-</v>
      </c>
      <c r="CB250" s="510" t="str">
        <f ca="1">IFERROR(5/50*CE250*(IF(LEFT(BV250,4)="Pool",IF(LEN(INDEX($BE$4:$BJ$99,MATCH(BV250,$BE$4:$BE$99,0),3))=10,2,IF(LEN(INDEX($BE$4:$BJ$99,MATCH(BV250,$BE$4:$BE$99,0),3))&gt;10,LEN(INDEX($BE$4:$BJ$99,MATCH(BV250,$BE$4:$BE$99,0),3))-8,1)),IF(INDEX(Calculation_Tab,MATCH(BV250,Identifier,0),10)&gt;1,INDEX(Calculation_Tab,MATCH(BV250,Identifier,0),10),1)))*(1+Calculation!$Q$6),"-")</f>
        <v>-</v>
      </c>
      <c r="CC250" s="508" t="str">
        <f ca="1">IFERROR(ROUND(INDEX(Cluster,MATCH(IF(LEFT(BV250,4)="Pool",INDEX(Cluster,MATCH(INDEX(Calculation_Tab,MATCH(INDEX($BE$4:$BJ$99,MATCH(BV250,$BE$4:$BE$99,0),3),Flow_Cell_Lane,0),3),Cluster!$F$29:$F$412,0),6),BV250),Identifier_Cluster,0),20)*IF(LEFT(BV250,4)="pool",IF(LEN(INDEX($BE$4:$BJ$99,MATCH(BV250,$BE$4:$BE$99,0),3))=10,2,IF(LEN(INDEX($BE$4:$BJ$99,MATCH(BV250,$BE$4:$BE$99,0),3))&gt;10,LEN(INDEX($BE$4:$BJ$99,MATCH(BV250,$BE$4:$BE$99,0),3))-8,1)),1)*IF(LEFT(BV250,4)="pool",IF(INDEX($BE$4:$BJ$99,MATCH(BV250,$BE$4:$BE$99,0),6)&lt;1,1,INDEX($BE$4:$BJ$99,MATCH(BV250,$BE$4:$BE$99,0),6)),INDEX(Calculation_Tab,MATCH(BV250,Identifier,0),10)),1)*(1+Calculation!$Q$6),"-")</f>
        <v>-</v>
      </c>
      <c r="CD250" s="509" t="str">
        <f ca="1">IFERROR(INDEX(Cluster!AC:AD,MATCH(IF(LEFT(BV250,4)="Pool",INDEX(Cluster!$D$29:$AA$412,MATCH(INDEX(Calculation_Tab,MATCH(INDEX($BE$4:$BJ$99,MATCH(BV250,$BE$4:$BE$99,0),3),Flow_Cell_Lane,0),3),Cluster!$F$29:$F$412,0),24),INDEX(Cluster!$D$29:$AA$412,MATCH(BV250,Cluster!$F$29:$F$412,0),24)),Cluster!AC:AC,0),2),"-")</f>
        <v>-</v>
      </c>
      <c r="CE250" s="378" t="str">
        <f ca="1">IFERROR(IF(BV250&lt;&gt;"-",Calculation!$AK$6,"-"),"-")</f>
        <v>-</v>
      </c>
      <c r="CF250" s="378" t="str">
        <f ca="1">IF(OR(LEFT(ListAndConversion!BW250,3)="Dil",LEFT(ListAndConversion!BW250,3)="Poo"),ListAndConversion!$BT$4,IF(LEFT(ListAndConversion!BW250,3)="Sou",INDEX(ListAndConversion!$AT$3:$AV$387,MATCH(ListAndConversion!BV250,ListAndConversion!$AV$3:$AV$387,0),1),"-"))</f>
        <v>-</v>
      </c>
      <c r="CG250" s="498" t="str">
        <f ca="1">IF(OR(LEFT(ListAndConversion!BW250,3)="Dil",LEFT(ListAndConversion!BW250,3)="Poo"),ListAndConversion!BU250,IF(LEFT(ListAndConversion!BW250,3)="Sou",INDEX(ListAndConversion!$AT$4:$AV$387,MATCH(ListAndConversion!BV250,ListAndConversion!$AV$4:$AV$387,0),2),"-"))</f>
        <v>-</v>
      </c>
      <c r="CH250" s="378"/>
      <c r="CI250" s="487" t="str">
        <f t="shared" ca="1" si="123"/>
        <v>-</v>
      </c>
      <c r="CJ250" s="378" t="str">
        <f t="shared" ca="1" si="134"/>
        <v>-</v>
      </c>
      <c r="CK250" s="378" t="str">
        <f t="shared" ca="1" si="134"/>
        <v>-</v>
      </c>
      <c r="CL250" s="378" t="str">
        <f t="shared" ca="1" si="134"/>
        <v>-</v>
      </c>
      <c r="CM250" s="378" t="str">
        <f t="shared" ca="1" si="134"/>
        <v>-</v>
      </c>
      <c r="CN250" s="378" t="str">
        <f t="shared" ca="1" si="134"/>
        <v>-</v>
      </c>
      <c r="CO250" s="378" t="str">
        <f t="shared" ca="1" si="134"/>
        <v>-</v>
      </c>
      <c r="CP250" s="378" t="str">
        <f t="shared" ca="1" si="134"/>
        <v>-</v>
      </c>
      <c r="CQ250" s="378" t="str">
        <f t="shared" ca="1" si="134"/>
        <v>-</v>
      </c>
      <c r="CR250" s="510" t="str">
        <f ca="1">IFERROR(IF(LEFT(BW250,3)="Poo",INDEX($BE$4:$BJ$99,MATCH(CI250,$BG$4:$BG$99,0),6)*((15/50))*Calculation!$AK$6,INDEX(Calculation_Tab,MATCH(BV250,Identifier,0),10)/(IF(LEN(INDEX(Calculation_Tab,MATCH(BV250,Identifier,0),9))&gt;8,LEN(INDEX(Calculation_Tab,MATCH(BV250,Identifier,0),9))-8,1))*((15/50)*Calculation!$AK$6)),"-")</f>
        <v>-</v>
      </c>
      <c r="CS250" s="498" t="str">
        <f ca="1">IF(CI250="-","-",IF(COUNTIF($CI$3:CI250,CI250)&gt;1,0,IFERROR((35/50)*Calculation!$AK$6,"-")))</f>
        <v>-</v>
      </c>
    </row>
    <row r="251" spans="4:97" x14ac:dyDescent="0.5">
      <c r="D251" s="487" t="e">
        <f t="shared" si="109"/>
        <v>#DIV/0!</v>
      </c>
      <c r="E251" s="496" t="e">
        <f t="array" ref="E251">IF(IF((ROW(E251)-3)&lt;(ListAndConversion!$A$15),INDEX(Flow_Cell_Lane,MIN(IF(COUNTIF($E$2:E250,Flow_Cell_Lane)=0,ROW(Flow_Cell_Lane)-9))),"-")="","-",IF((ROW(E251)-3)&lt;(ListAndConversion!$A$15),INDEX(Flow_Cell_Lane,MIN(IF(COUNTIF($E$2:E250,Flow_Cell_Lane)=0,ROW(Flow_Cell_Lane)-9))),"-"))</f>
        <v>#DIV/0!</v>
      </c>
      <c r="F251" s="378" t="e">
        <f t="shared" si="110"/>
        <v>#DIV/0!</v>
      </c>
      <c r="G251" s="378" t="e">
        <f t="shared" si="133"/>
        <v>#DIV/0!</v>
      </c>
      <c r="H251" s="378" t="e">
        <f t="shared" si="133"/>
        <v>#DIV/0!</v>
      </c>
      <c r="I251" s="378" t="e">
        <f t="shared" si="133"/>
        <v>#DIV/0!</v>
      </c>
      <c r="J251" s="378" t="e">
        <f t="shared" si="133"/>
        <v>#DIV/0!</v>
      </c>
      <c r="K251" s="378" t="e">
        <f t="shared" si="133"/>
        <v>#DIV/0!</v>
      </c>
      <c r="L251" s="378" t="e">
        <f t="shared" si="133"/>
        <v>#DIV/0!</v>
      </c>
      <c r="M251" s="378" t="e">
        <f t="shared" si="133"/>
        <v>#DIV/0!</v>
      </c>
      <c r="N251" s="497" t="e">
        <f t="shared" si="111"/>
        <v>#DIV/0!</v>
      </c>
      <c r="O251" s="497" t="str">
        <f t="array" ref="O251">IFERROR(INDEX(Calculation!I:AN,MATCH(ListAndConversion!E251,Calculation!I:I,0),31),"-")</f>
        <v>-</v>
      </c>
      <c r="P251" s="498">
        <f>IF(COUNTIFS(Calculation!$I$10:$I$393,E251,Direct_Denaturation,"-")&lt;&gt;1,COUNTIFS(Calculation!$I$10:$I$393,E251,Direct_Denaturation,"-"),0)</f>
        <v>0</v>
      </c>
      <c r="V251" s="542" t="s">
        <v>82</v>
      </c>
      <c r="W251" s="542" t="s">
        <v>82</v>
      </c>
      <c r="X251" s="542" t="s">
        <v>82</v>
      </c>
      <c r="Y251" s="542" t="s">
        <v>82</v>
      </c>
      <c r="Z251" s="542" t="s">
        <v>82</v>
      </c>
      <c r="AA251" s="542" t="s">
        <v>82</v>
      </c>
      <c r="AB251" s="542" t="s">
        <v>82</v>
      </c>
      <c r="AC251" s="542" t="s">
        <v>82</v>
      </c>
      <c r="AD251" s="542" t="s">
        <v>82</v>
      </c>
      <c r="AE251" s="542" t="s">
        <v>82</v>
      </c>
      <c r="AF251" s="542" t="s">
        <v>82</v>
      </c>
      <c r="AG251" s="542" t="s">
        <v>82</v>
      </c>
      <c r="AH251" s="9"/>
      <c r="AI251" s="487">
        <v>248</v>
      </c>
      <c r="AJ251" s="497" t="s">
        <v>162</v>
      </c>
      <c r="AK251" s="378">
        <v>56</v>
      </c>
      <c r="AL251" s="378" t="str">
        <f t="shared" ca="1" si="112"/>
        <v>-</v>
      </c>
      <c r="AM251" s="378" t="str">
        <f t="array" aca="1" ref="AM251" ca="1">IFERROR(IF(AI251&lt;=$AB$2,"-",INDEX(Calculation_Tab,SMALL(ROW(Main_Dil)*(Main_Dil&lt;&gt;"-"),COUNTIF(Main_Dil,"-")+ROW()-3-$AB$2)-9,5)),"-")</f>
        <v>-</v>
      </c>
      <c r="AN251" s="378" t="str">
        <f t="array" aca="1" ref="AN251" ca="1">IFERROR(IF(AI251&lt;=$AB$2,"-",INDEX($A$3:$B$12,MATCH(INDEX(Calculation_Tab,SMALL(ROW(Main_Dil)*(Main_Dil&lt;&gt;"-"),COUNTIF(Main_Dil,"-")+ROW()-3-$AB$2)-9,5),$A$3:$A$12,0),2)),"-")</f>
        <v>-</v>
      </c>
      <c r="AO251" s="378" t="str">
        <f t="array" aca="1" ref="AO251" ca="1">IFERROR(IF(AI251&lt;=$AB$2,"-",INDEX(Coordinate,MATCH(INDEX(Calculation_Tab,SMALL(ROW(Main_Dil)*(Main_Dil&lt;&gt;"-"),COUNTIF(Main_Dil,"-")+ROW()-3-$AB$2)-9,6),$X$4:$X$99,0),2)),"-")</f>
        <v>-</v>
      </c>
      <c r="AP251" s="510" t="str">
        <f t="array" aca="1" ref="AP251" ca="1">IFERROR(IF(AI251&lt;=$AB$2,"-",INDEX(Calculation_Tab,SMALL(ROW(Main_Dil)*(Main_Dil&lt;&gt;"-"),COUNTIF(Main_Dil,"-")+ROW()-3-$AB$2)-9,21)),"-")</f>
        <v>-</v>
      </c>
      <c r="AQ251" s="511" t="str">
        <f t="array" aca="1" ref="AQ251" ca="1">IFERROR(IF(AI251&lt;=$AB$2,"-",INDEX(Calculation_Tab,SMALL(ROW(Main_Dil)*(Main_Dil&lt;&gt;"-"),COUNTIF(Main_Dil,"-")+ROW()-3-$AB$2)-9,22)),"-")</f>
        <v>-</v>
      </c>
      <c r="AR251" s="487" t="str">
        <f t="shared" ca="1" si="113"/>
        <v>-</v>
      </c>
      <c r="AS251" s="378">
        <v>248</v>
      </c>
      <c r="AT251" s="497" t="s">
        <v>162</v>
      </c>
      <c r="AU251" s="498">
        <v>56</v>
      </c>
      <c r="AV251" s="378" t="str">
        <f t="shared" ca="1" si="114"/>
        <v>-</v>
      </c>
      <c r="AW251" s="378" t="str">
        <f t="array" aca="1" ref="AW251" ca="1">IFERROR(IF(AS251&lt;=$AB$2+$AN$2,"-",INDEX(Calculation_Tab,SMALL(ROW(Direct_Denaturation)*(Direct_Denaturation&lt;&gt;"-"),COUNTIF(Direct_Denaturation,"-")+ROW()-3-$AB$2-$AN$2)-9,5)),"-")</f>
        <v>-</v>
      </c>
      <c r="AX251" s="378" t="str">
        <f t="array" aca="1" ref="AX251" ca="1">IFERROR(IF(AS251&lt;=$AB$2+$AN$2,"-",INDEX($A$3:$B$12,MATCH(INDEX(Calculation_Tab,SMALL(ROW(Direct_Denaturation)*(Direct_Denaturation&lt;&gt;"-"),COUNTIF(Direct_Denaturation,"-")+ROW()-3-$AB$2-$AN$2)-9,5),$A$3:$A$12,0),2)),"-")</f>
        <v>-</v>
      </c>
      <c r="AY251" s="378" t="str">
        <f t="array" aca="1" ref="AY251" ca="1">IFERROR(IF(AS251&lt;=$AB$2+$AN$2,"-",INDEX(Coordinate,MATCH(INDEX(Calculation_Tab,SMALL(ROW(Direct_Denaturation)*(Direct_Denaturation&lt;&gt;"-"),COUNTIF(Direct_Denaturation,"-")+ROW()-3-$AB$2-$AN$2)-9,6),$X$4:$X$99,0),2)),"-")</f>
        <v>-</v>
      </c>
      <c r="AZ251" s="510" t="str">
        <f t="array" aca="1" ref="AZ251" ca="1">IFERROR(IF(AS251&lt;=$AB$2+$AN$2,"-",INDEX(Calculation_Tab,SMALL(ROW(Direct_Denaturation)*(Direct_Denaturation&lt;&gt;"-"),COUNTIF(Direct_Denaturation,"-")+ROW()-3-$AB$2-$AN$2)-9,32)),"-")</f>
        <v>-</v>
      </c>
      <c r="BA251" s="510" t="str">
        <f t="array" aca="1" ref="BA251" ca="1">IFERROR(IF(AS251&lt;=$AB$2+$AN$2,"-",INDEX(Calculation_Tab,SMALL(ROW(Direct_Denaturation)*(Direct_Denaturation&lt;&gt;"-"),COUNTIF(Direct_Denaturation,"-")+ROW()-3-$AB$2-$AN$2)-9,34)),"-")</f>
        <v>-</v>
      </c>
      <c r="BB251" s="510" t="str">
        <f t="array" aca="1" ref="BB251" ca="1">IFERROR(IF(AS251&lt;=$AB$2+$AN$2,"-",INDEX(Calculation_Tab,SMALL(ROW(Direct_Denaturation)*(Direct_Denaturation&lt;&gt;"-"),COUNTIF(Direct_Denaturation,"-")+ROW()-3-$AB$2-$AN$2)-9,33)),"-")</f>
        <v>-</v>
      </c>
      <c r="BC251" s="510" t="str">
        <f t="array" aca="1" ref="BC251" ca="1">IFERROR(IF(AS251&lt;=$AB$2+$AN$2,"-",INDEX(Calculation_Tab,SMALL(ROW(Direct_Denaturation)*(Direct_Denaturation&lt;&gt;"-"),COUNTIF(Direct_Denaturation,"-")+ROW()-3-$AB$2-$AN$2)-9,35)),"-")</f>
        <v>-</v>
      </c>
      <c r="BD251" s="511" t="str">
        <f t="shared" ca="1" si="115"/>
        <v>-</v>
      </c>
      <c r="BK251" s="542" t="s">
        <v>82</v>
      </c>
      <c r="BL251" s="542" t="s">
        <v>82</v>
      </c>
      <c r="BM251" s="487" t="str">
        <f t="array" aca="1" ref="BM251" ca="1">IFERROR(INDEX(Calculation_Tab,SMALL(ROW(ToPool)*(ToPool&lt;&gt;"-"),COUNTIF(ToPool,"-")+ROW()-3)-9,3),"-")</f>
        <v>-</v>
      </c>
      <c r="BN251" s="378" t="str">
        <f t="shared" ca="1" si="116"/>
        <v>-</v>
      </c>
      <c r="BO251" s="378" t="str">
        <f t="shared" ca="1" si="117"/>
        <v>-</v>
      </c>
      <c r="BP251" s="523" t="str">
        <f t="shared" ca="1" si="118"/>
        <v>-</v>
      </c>
      <c r="BQ251" s="378" t="str">
        <f t="array" aca="1" ref="BQ251" ca="1">IFERROR(INDEX(BE:BG,MATCH(INDEX(Calculation_Tab,SMALL(ROW(ToPool)*(ToPool&lt;&gt;"-"),COUNTIF(ToPool,"-")+ROW()-3)-9,9),BG:BG,0),2),"-")</f>
        <v>-</v>
      </c>
      <c r="BR251" s="510" t="str">
        <f t="shared" ca="1" si="119"/>
        <v>-</v>
      </c>
      <c r="BS251" s="511" t="str">
        <f t="shared" ca="1" si="120"/>
        <v>-</v>
      </c>
      <c r="BT251" s="543" t="s">
        <v>82</v>
      </c>
      <c r="BU251" s="487" t="str">
        <f t="shared" ca="1" si="124"/>
        <v>-</v>
      </c>
      <c r="BV251" s="487" t="str">
        <f t="array" aca="1" ref="BV25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51" s="378" t="str">
        <f t="shared" ca="1" si="121"/>
        <v>-</v>
      </c>
      <c r="BX251" s="378" t="str">
        <f t="shared" ca="1" si="122"/>
        <v>-</v>
      </c>
      <c r="BY251" s="510" t="str">
        <f ca="1">IFERROR(ROUND(INDEX(Cluster,MATCH(IF(LEFT(BV251,4)="Pool",INDEX(Cluster,MATCH(INDEX(Calculation_Tab,MATCH(INDEX($BE$4:$BJ$99,MATCH(BV251,$BE$4:$BE$99,0),3),Flow_Cell_Lane,0),3),Cluster!$F$29:$F$412,0),6),BV251),Identifier_Cluster,0),19)*IF(LEFT(BV251,4)="pool",IF(LEN(INDEX($BE$4:$BJ$99,MATCH(BV251,$BE$4:$BE$99,0),3))=10,2,IF(LEN(INDEX($BE$4:$BJ$99,MATCH(BV251,$BE$4:$BE$99,0),3))&gt;10,LEN(INDEX($BE$4:$BJ$99,MATCH(BV251,$BE$4:$BE$99,0),3))-8,1)),1)*IF(LEFT(BV251,4)="pool",IF(INDEX($BE$4:$BJ$99,MATCH(BV251,$BE$4:$BE$99,0),6)&lt;1,1,INDEX($BE$4:$BJ$99,MATCH(BV251,$BE$4:$BE$99,0),6)),INDEX(Calculation_Tab,MATCH(BV251,Identifier,0),10)),1)*(1+Calculation!$Q$6),"-")</f>
        <v>-</v>
      </c>
      <c r="BZ251" s="378" t="str">
        <f ca="1">IFERROR((0.5/50)*CE251/Calculation!$AG$6*(IF(LEFT(BV251,4)="Pool",IF(LEN(INDEX($BE$4:$BJ$99,MATCH(BV251,$BE$4:$BE$99,0),3))=10,2,IF(LEN(INDEX($BE$4:$BJ$99,MATCH(BV251,$BE$4:$BE$99,0),3))&gt;10,LEN(INDEX($BE$4:$BJ$99,MATCH(BV251,$BE$4:$BE$99,0),3))-8,1)),IF(INDEX(Calculation_Tab,MATCH(BV251,Identifier,0),10)&gt;1,INDEX(Calculation_Tab,MATCH(BV251,Identifier,0),10),1)))*(1+Calculation!$Q$6),"-")</f>
        <v>-</v>
      </c>
      <c r="CA251" s="510" t="str">
        <f ca="1">IFERROR(IF((BZ251*Calculation!$AG$6/0.05)-SUM(BY251:BZ251,CC251)&gt;0,(BZ251*Calculation!$AG$6/0.05)-SUM(BY251:BZ251,CC251),0),"-")</f>
        <v>-</v>
      </c>
      <c r="CB251" s="510" t="str">
        <f ca="1">IFERROR(5/50*CE251*(IF(LEFT(BV251,4)="Pool",IF(LEN(INDEX($BE$4:$BJ$99,MATCH(BV251,$BE$4:$BE$99,0),3))=10,2,IF(LEN(INDEX($BE$4:$BJ$99,MATCH(BV251,$BE$4:$BE$99,0),3))&gt;10,LEN(INDEX($BE$4:$BJ$99,MATCH(BV251,$BE$4:$BE$99,0),3))-8,1)),IF(INDEX(Calculation_Tab,MATCH(BV251,Identifier,0),10)&gt;1,INDEX(Calculation_Tab,MATCH(BV251,Identifier,0),10),1)))*(1+Calculation!$Q$6),"-")</f>
        <v>-</v>
      </c>
      <c r="CC251" s="508" t="str">
        <f ca="1">IFERROR(ROUND(INDEX(Cluster,MATCH(IF(LEFT(BV251,4)="Pool",INDEX(Cluster,MATCH(INDEX(Calculation_Tab,MATCH(INDEX($BE$4:$BJ$99,MATCH(BV251,$BE$4:$BE$99,0),3),Flow_Cell_Lane,0),3),Cluster!$F$29:$F$412,0),6),BV251),Identifier_Cluster,0),20)*IF(LEFT(BV251,4)="pool",IF(LEN(INDEX($BE$4:$BJ$99,MATCH(BV251,$BE$4:$BE$99,0),3))=10,2,IF(LEN(INDEX($BE$4:$BJ$99,MATCH(BV251,$BE$4:$BE$99,0),3))&gt;10,LEN(INDEX($BE$4:$BJ$99,MATCH(BV251,$BE$4:$BE$99,0),3))-8,1)),1)*IF(LEFT(BV251,4)="pool",IF(INDEX($BE$4:$BJ$99,MATCH(BV251,$BE$4:$BE$99,0),6)&lt;1,1,INDEX($BE$4:$BJ$99,MATCH(BV251,$BE$4:$BE$99,0),6)),INDEX(Calculation_Tab,MATCH(BV251,Identifier,0),10)),1)*(1+Calculation!$Q$6),"-")</f>
        <v>-</v>
      </c>
      <c r="CD251" s="509" t="str">
        <f ca="1">IFERROR(INDEX(Cluster!AC:AD,MATCH(IF(LEFT(BV251,4)="Pool",INDEX(Cluster!$D$29:$AA$412,MATCH(INDEX(Calculation_Tab,MATCH(INDEX($BE$4:$BJ$99,MATCH(BV251,$BE$4:$BE$99,0),3),Flow_Cell_Lane,0),3),Cluster!$F$29:$F$412,0),24),INDEX(Cluster!$D$29:$AA$412,MATCH(BV251,Cluster!$F$29:$F$412,0),24)),Cluster!AC:AC,0),2),"-")</f>
        <v>-</v>
      </c>
      <c r="CE251" s="378" t="str">
        <f ca="1">IFERROR(IF(BV251&lt;&gt;"-",Calculation!$AK$6,"-"),"-")</f>
        <v>-</v>
      </c>
      <c r="CF251" s="378" t="str">
        <f ca="1">IF(OR(LEFT(ListAndConversion!BW251,3)="Dil",LEFT(ListAndConversion!BW251,3)="Poo"),ListAndConversion!$BT$4,IF(LEFT(ListAndConversion!BW251,3)="Sou",INDEX(ListAndConversion!$AT$3:$AV$387,MATCH(ListAndConversion!BV251,ListAndConversion!$AV$3:$AV$387,0),1),"-"))</f>
        <v>-</v>
      </c>
      <c r="CG251" s="498" t="str">
        <f ca="1">IF(OR(LEFT(ListAndConversion!BW251,3)="Dil",LEFT(ListAndConversion!BW251,3)="Poo"),ListAndConversion!BU251,IF(LEFT(ListAndConversion!BW251,3)="Sou",INDEX(ListAndConversion!$AT$4:$AV$387,MATCH(ListAndConversion!BV251,ListAndConversion!$AV$4:$AV$387,0),2),"-"))</f>
        <v>-</v>
      </c>
      <c r="CH251" s="378"/>
      <c r="CI251" s="487" t="str">
        <f t="shared" ca="1" si="123"/>
        <v>-</v>
      </c>
      <c r="CJ251" s="378" t="str">
        <f t="shared" ca="1" si="134"/>
        <v>-</v>
      </c>
      <c r="CK251" s="378" t="str">
        <f t="shared" ca="1" si="134"/>
        <v>-</v>
      </c>
      <c r="CL251" s="378" t="str">
        <f t="shared" ca="1" si="134"/>
        <v>-</v>
      </c>
      <c r="CM251" s="378" t="str">
        <f t="shared" ca="1" si="134"/>
        <v>-</v>
      </c>
      <c r="CN251" s="378" t="str">
        <f t="shared" ca="1" si="134"/>
        <v>-</v>
      </c>
      <c r="CO251" s="378" t="str">
        <f t="shared" ca="1" si="134"/>
        <v>-</v>
      </c>
      <c r="CP251" s="378" t="str">
        <f t="shared" ca="1" si="134"/>
        <v>-</v>
      </c>
      <c r="CQ251" s="378" t="str">
        <f t="shared" ca="1" si="134"/>
        <v>-</v>
      </c>
      <c r="CR251" s="510" t="str">
        <f ca="1">IFERROR(IF(LEFT(BW251,3)="Poo",INDEX($BE$4:$BJ$99,MATCH(CI251,$BG$4:$BG$99,0),6)*((15/50))*Calculation!$AK$6,INDEX(Calculation_Tab,MATCH(BV251,Identifier,0),10)/(IF(LEN(INDEX(Calculation_Tab,MATCH(BV251,Identifier,0),9))&gt;8,LEN(INDEX(Calculation_Tab,MATCH(BV251,Identifier,0),9))-8,1))*((15/50)*Calculation!$AK$6)),"-")</f>
        <v>-</v>
      </c>
      <c r="CS251" s="498" t="str">
        <f ca="1">IF(CI251="-","-",IF(COUNTIF($CI$3:CI251,CI251)&gt;1,0,IFERROR((35/50)*Calculation!$AK$6,"-")))</f>
        <v>-</v>
      </c>
    </row>
    <row r="252" spans="4:97" x14ac:dyDescent="0.5">
      <c r="D252" s="487" t="e">
        <f t="shared" si="109"/>
        <v>#DIV/0!</v>
      </c>
      <c r="E252" s="496" t="e">
        <f t="array" ref="E252">IF(IF((ROW(E252)-3)&lt;(ListAndConversion!$A$15),INDEX(Flow_Cell_Lane,MIN(IF(COUNTIF($E$2:E251,Flow_Cell_Lane)=0,ROW(Flow_Cell_Lane)-9))),"-")="","-",IF((ROW(E252)-3)&lt;(ListAndConversion!$A$15),INDEX(Flow_Cell_Lane,MIN(IF(COUNTIF($E$2:E251,Flow_Cell_Lane)=0,ROW(Flow_Cell_Lane)-9))),"-"))</f>
        <v>#DIV/0!</v>
      </c>
      <c r="F252" s="378" t="e">
        <f t="shared" si="110"/>
        <v>#DIV/0!</v>
      </c>
      <c r="G252" s="378" t="e">
        <f t="shared" si="133"/>
        <v>#DIV/0!</v>
      </c>
      <c r="H252" s="378" t="e">
        <f t="shared" si="133"/>
        <v>#DIV/0!</v>
      </c>
      <c r="I252" s="378" t="e">
        <f t="shared" si="133"/>
        <v>#DIV/0!</v>
      </c>
      <c r="J252" s="378" t="e">
        <f t="shared" si="133"/>
        <v>#DIV/0!</v>
      </c>
      <c r="K252" s="378" t="e">
        <f t="shared" si="133"/>
        <v>#DIV/0!</v>
      </c>
      <c r="L252" s="378" t="e">
        <f t="shared" si="133"/>
        <v>#DIV/0!</v>
      </c>
      <c r="M252" s="378" t="e">
        <f t="shared" si="133"/>
        <v>#DIV/0!</v>
      </c>
      <c r="N252" s="497" t="e">
        <f t="shared" si="111"/>
        <v>#DIV/0!</v>
      </c>
      <c r="O252" s="497" t="str">
        <f t="array" ref="O252">IFERROR(INDEX(Calculation!I:AN,MATCH(ListAndConversion!E252,Calculation!I:I,0),31),"-")</f>
        <v>-</v>
      </c>
      <c r="P252" s="498">
        <f>IF(COUNTIFS(Calculation!$I$10:$I$393,E252,Direct_Denaturation,"-")&lt;&gt;1,COUNTIFS(Calculation!$I$10:$I$393,E252,Direct_Denaturation,"-"),0)</f>
        <v>0</v>
      </c>
      <c r="V252" s="542" t="s">
        <v>82</v>
      </c>
      <c r="W252" s="542" t="s">
        <v>82</v>
      </c>
      <c r="X252" s="542" t="s">
        <v>82</v>
      </c>
      <c r="Y252" s="542" t="s">
        <v>82</v>
      </c>
      <c r="Z252" s="542" t="s">
        <v>82</v>
      </c>
      <c r="AA252" s="542" t="s">
        <v>82</v>
      </c>
      <c r="AB252" s="542" t="s">
        <v>82</v>
      </c>
      <c r="AC252" s="542" t="s">
        <v>82</v>
      </c>
      <c r="AD252" s="542" t="s">
        <v>82</v>
      </c>
      <c r="AE252" s="542" t="s">
        <v>82</v>
      </c>
      <c r="AF252" s="542" t="s">
        <v>82</v>
      </c>
      <c r="AG252" s="542" t="s">
        <v>82</v>
      </c>
      <c r="AH252" s="9"/>
      <c r="AI252" s="487">
        <v>249</v>
      </c>
      <c r="AJ252" s="497" t="s">
        <v>162</v>
      </c>
      <c r="AK252" s="378">
        <v>57</v>
      </c>
      <c r="AL252" s="378" t="str">
        <f t="shared" ca="1" si="112"/>
        <v>-</v>
      </c>
      <c r="AM252" s="378" t="str">
        <f t="array" aca="1" ref="AM252" ca="1">IFERROR(IF(AI252&lt;=$AB$2,"-",INDEX(Calculation_Tab,SMALL(ROW(Main_Dil)*(Main_Dil&lt;&gt;"-"),COUNTIF(Main_Dil,"-")+ROW()-3-$AB$2)-9,5)),"-")</f>
        <v>-</v>
      </c>
      <c r="AN252" s="378" t="str">
        <f t="array" aca="1" ref="AN252" ca="1">IFERROR(IF(AI252&lt;=$AB$2,"-",INDEX($A$3:$B$12,MATCH(INDEX(Calculation_Tab,SMALL(ROW(Main_Dil)*(Main_Dil&lt;&gt;"-"),COUNTIF(Main_Dil,"-")+ROW()-3-$AB$2)-9,5),$A$3:$A$12,0),2)),"-")</f>
        <v>-</v>
      </c>
      <c r="AO252" s="378" t="str">
        <f t="array" aca="1" ref="AO252" ca="1">IFERROR(IF(AI252&lt;=$AB$2,"-",INDEX(Coordinate,MATCH(INDEX(Calculation_Tab,SMALL(ROW(Main_Dil)*(Main_Dil&lt;&gt;"-"),COUNTIF(Main_Dil,"-")+ROW()-3-$AB$2)-9,6),$X$4:$X$99,0),2)),"-")</f>
        <v>-</v>
      </c>
      <c r="AP252" s="510" t="str">
        <f t="array" aca="1" ref="AP252" ca="1">IFERROR(IF(AI252&lt;=$AB$2,"-",INDEX(Calculation_Tab,SMALL(ROW(Main_Dil)*(Main_Dil&lt;&gt;"-"),COUNTIF(Main_Dil,"-")+ROW()-3-$AB$2)-9,21)),"-")</f>
        <v>-</v>
      </c>
      <c r="AQ252" s="511" t="str">
        <f t="array" aca="1" ref="AQ252" ca="1">IFERROR(IF(AI252&lt;=$AB$2,"-",INDEX(Calculation_Tab,SMALL(ROW(Main_Dil)*(Main_Dil&lt;&gt;"-"),COUNTIF(Main_Dil,"-")+ROW()-3-$AB$2)-9,22)),"-")</f>
        <v>-</v>
      </c>
      <c r="AR252" s="487" t="str">
        <f t="shared" ca="1" si="113"/>
        <v>-</v>
      </c>
      <c r="AS252" s="378">
        <v>249</v>
      </c>
      <c r="AT252" s="497" t="s">
        <v>162</v>
      </c>
      <c r="AU252" s="498">
        <v>57</v>
      </c>
      <c r="AV252" s="378" t="str">
        <f t="shared" ca="1" si="114"/>
        <v>-</v>
      </c>
      <c r="AW252" s="378" t="str">
        <f t="array" aca="1" ref="AW252" ca="1">IFERROR(IF(AS252&lt;=$AB$2+$AN$2,"-",INDEX(Calculation_Tab,SMALL(ROW(Direct_Denaturation)*(Direct_Denaturation&lt;&gt;"-"),COUNTIF(Direct_Denaturation,"-")+ROW()-3-$AB$2-$AN$2)-9,5)),"-")</f>
        <v>-</v>
      </c>
      <c r="AX252" s="378" t="str">
        <f t="array" aca="1" ref="AX252" ca="1">IFERROR(IF(AS252&lt;=$AB$2+$AN$2,"-",INDEX($A$3:$B$12,MATCH(INDEX(Calculation_Tab,SMALL(ROW(Direct_Denaturation)*(Direct_Denaturation&lt;&gt;"-"),COUNTIF(Direct_Denaturation,"-")+ROW()-3-$AB$2-$AN$2)-9,5),$A$3:$A$12,0),2)),"-")</f>
        <v>-</v>
      </c>
      <c r="AY252" s="378" t="str">
        <f t="array" aca="1" ref="AY252" ca="1">IFERROR(IF(AS252&lt;=$AB$2+$AN$2,"-",INDEX(Coordinate,MATCH(INDEX(Calculation_Tab,SMALL(ROW(Direct_Denaturation)*(Direct_Denaturation&lt;&gt;"-"),COUNTIF(Direct_Denaturation,"-")+ROW()-3-$AB$2-$AN$2)-9,6),$X$4:$X$99,0),2)),"-")</f>
        <v>-</v>
      </c>
      <c r="AZ252" s="510" t="str">
        <f t="array" aca="1" ref="AZ252" ca="1">IFERROR(IF(AS252&lt;=$AB$2+$AN$2,"-",INDEX(Calculation_Tab,SMALL(ROW(Direct_Denaturation)*(Direct_Denaturation&lt;&gt;"-"),COUNTIF(Direct_Denaturation,"-")+ROW()-3-$AB$2-$AN$2)-9,32)),"-")</f>
        <v>-</v>
      </c>
      <c r="BA252" s="510" t="str">
        <f t="array" aca="1" ref="BA252" ca="1">IFERROR(IF(AS252&lt;=$AB$2+$AN$2,"-",INDEX(Calculation_Tab,SMALL(ROW(Direct_Denaturation)*(Direct_Denaturation&lt;&gt;"-"),COUNTIF(Direct_Denaturation,"-")+ROW()-3-$AB$2-$AN$2)-9,34)),"-")</f>
        <v>-</v>
      </c>
      <c r="BB252" s="510" t="str">
        <f t="array" aca="1" ref="BB252" ca="1">IFERROR(IF(AS252&lt;=$AB$2+$AN$2,"-",INDEX(Calculation_Tab,SMALL(ROW(Direct_Denaturation)*(Direct_Denaturation&lt;&gt;"-"),COUNTIF(Direct_Denaturation,"-")+ROW()-3-$AB$2-$AN$2)-9,33)),"-")</f>
        <v>-</v>
      </c>
      <c r="BC252" s="510" t="str">
        <f t="array" aca="1" ref="BC252" ca="1">IFERROR(IF(AS252&lt;=$AB$2+$AN$2,"-",INDEX(Calculation_Tab,SMALL(ROW(Direct_Denaturation)*(Direct_Denaturation&lt;&gt;"-"),COUNTIF(Direct_Denaturation,"-")+ROW()-3-$AB$2-$AN$2)-9,35)),"-")</f>
        <v>-</v>
      </c>
      <c r="BD252" s="511" t="str">
        <f t="shared" ca="1" si="115"/>
        <v>-</v>
      </c>
      <c r="BK252" s="542" t="s">
        <v>82</v>
      </c>
      <c r="BL252" s="542" t="s">
        <v>82</v>
      </c>
      <c r="BM252" s="487" t="str">
        <f t="array" aca="1" ref="BM252" ca="1">IFERROR(INDEX(Calculation_Tab,SMALL(ROW(ToPool)*(ToPool&lt;&gt;"-"),COUNTIF(ToPool,"-")+ROW()-3)-9,3),"-")</f>
        <v>-</v>
      </c>
      <c r="BN252" s="378" t="str">
        <f t="shared" ca="1" si="116"/>
        <v>-</v>
      </c>
      <c r="BO252" s="378" t="str">
        <f t="shared" ca="1" si="117"/>
        <v>-</v>
      </c>
      <c r="BP252" s="523" t="str">
        <f t="shared" ca="1" si="118"/>
        <v>-</v>
      </c>
      <c r="BQ252" s="378" t="str">
        <f t="array" aca="1" ref="BQ252" ca="1">IFERROR(INDEX(BE:BG,MATCH(INDEX(Calculation_Tab,SMALL(ROW(ToPool)*(ToPool&lt;&gt;"-"),COUNTIF(ToPool,"-")+ROW()-3)-9,9),BG:BG,0),2),"-")</f>
        <v>-</v>
      </c>
      <c r="BR252" s="510" t="str">
        <f t="shared" ca="1" si="119"/>
        <v>-</v>
      </c>
      <c r="BS252" s="511" t="str">
        <f t="shared" ca="1" si="120"/>
        <v>-</v>
      </c>
      <c r="BT252" s="543" t="s">
        <v>82</v>
      </c>
      <c r="BU252" s="487" t="str">
        <f t="shared" ca="1" si="124"/>
        <v>-</v>
      </c>
      <c r="BV252" s="487" t="str">
        <f t="array" aca="1" ref="BV25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52" s="378" t="str">
        <f t="shared" ca="1" si="121"/>
        <v>-</v>
      </c>
      <c r="BX252" s="378" t="str">
        <f t="shared" ca="1" si="122"/>
        <v>-</v>
      </c>
      <c r="BY252" s="510" t="str">
        <f ca="1">IFERROR(ROUND(INDEX(Cluster,MATCH(IF(LEFT(BV252,4)="Pool",INDEX(Cluster,MATCH(INDEX(Calculation_Tab,MATCH(INDEX($BE$4:$BJ$99,MATCH(BV252,$BE$4:$BE$99,0),3),Flow_Cell_Lane,0),3),Cluster!$F$29:$F$412,0),6),BV252),Identifier_Cluster,0),19)*IF(LEFT(BV252,4)="pool",IF(LEN(INDEX($BE$4:$BJ$99,MATCH(BV252,$BE$4:$BE$99,0),3))=10,2,IF(LEN(INDEX($BE$4:$BJ$99,MATCH(BV252,$BE$4:$BE$99,0),3))&gt;10,LEN(INDEX($BE$4:$BJ$99,MATCH(BV252,$BE$4:$BE$99,0),3))-8,1)),1)*IF(LEFT(BV252,4)="pool",IF(INDEX($BE$4:$BJ$99,MATCH(BV252,$BE$4:$BE$99,0),6)&lt;1,1,INDEX($BE$4:$BJ$99,MATCH(BV252,$BE$4:$BE$99,0),6)),INDEX(Calculation_Tab,MATCH(BV252,Identifier,0),10)),1)*(1+Calculation!$Q$6),"-")</f>
        <v>-</v>
      </c>
      <c r="BZ252" s="378" t="str">
        <f ca="1">IFERROR((0.5/50)*CE252/Calculation!$AG$6*(IF(LEFT(BV252,4)="Pool",IF(LEN(INDEX($BE$4:$BJ$99,MATCH(BV252,$BE$4:$BE$99,0),3))=10,2,IF(LEN(INDEX($BE$4:$BJ$99,MATCH(BV252,$BE$4:$BE$99,0),3))&gt;10,LEN(INDEX($BE$4:$BJ$99,MATCH(BV252,$BE$4:$BE$99,0),3))-8,1)),IF(INDEX(Calculation_Tab,MATCH(BV252,Identifier,0),10)&gt;1,INDEX(Calculation_Tab,MATCH(BV252,Identifier,0),10),1)))*(1+Calculation!$Q$6),"-")</f>
        <v>-</v>
      </c>
      <c r="CA252" s="510" t="str">
        <f ca="1">IFERROR(IF((BZ252*Calculation!$AG$6/0.05)-SUM(BY252:BZ252,CC252)&gt;0,(BZ252*Calculation!$AG$6/0.05)-SUM(BY252:BZ252,CC252),0),"-")</f>
        <v>-</v>
      </c>
      <c r="CB252" s="510" t="str">
        <f ca="1">IFERROR(5/50*CE252*(IF(LEFT(BV252,4)="Pool",IF(LEN(INDEX($BE$4:$BJ$99,MATCH(BV252,$BE$4:$BE$99,0),3))=10,2,IF(LEN(INDEX($BE$4:$BJ$99,MATCH(BV252,$BE$4:$BE$99,0),3))&gt;10,LEN(INDEX($BE$4:$BJ$99,MATCH(BV252,$BE$4:$BE$99,0),3))-8,1)),IF(INDEX(Calculation_Tab,MATCH(BV252,Identifier,0),10)&gt;1,INDEX(Calculation_Tab,MATCH(BV252,Identifier,0),10),1)))*(1+Calculation!$Q$6),"-")</f>
        <v>-</v>
      </c>
      <c r="CC252" s="508" t="str">
        <f ca="1">IFERROR(ROUND(INDEX(Cluster,MATCH(IF(LEFT(BV252,4)="Pool",INDEX(Cluster,MATCH(INDEX(Calculation_Tab,MATCH(INDEX($BE$4:$BJ$99,MATCH(BV252,$BE$4:$BE$99,0),3),Flow_Cell_Lane,0),3),Cluster!$F$29:$F$412,0),6),BV252),Identifier_Cluster,0),20)*IF(LEFT(BV252,4)="pool",IF(LEN(INDEX($BE$4:$BJ$99,MATCH(BV252,$BE$4:$BE$99,0),3))=10,2,IF(LEN(INDEX($BE$4:$BJ$99,MATCH(BV252,$BE$4:$BE$99,0),3))&gt;10,LEN(INDEX($BE$4:$BJ$99,MATCH(BV252,$BE$4:$BE$99,0),3))-8,1)),1)*IF(LEFT(BV252,4)="pool",IF(INDEX($BE$4:$BJ$99,MATCH(BV252,$BE$4:$BE$99,0),6)&lt;1,1,INDEX($BE$4:$BJ$99,MATCH(BV252,$BE$4:$BE$99,0),6)),INDEX(Calculation_Tab,MATCH(BV252,Identifier,0),10)),1)*(1+Calculation!$Q$6),"-")</f>
        <v>-</v>
      </c>
      <c r="CD252" s="509" t="str">
        <f ca="1">IFERROR(INDEX(Cluster!AC:AD,MATCH(IF(LEFT(BV252,4)="Pool",INDEX(Cluster!$D$29:$AA$412,MATCH(INDEX(Calculation_Tab,MATCH(INDEX($BE$4:$BJ$99,MATCH(BV252,$BE$4:$BE$99,0),3),Flow_Cell_Lane,0),3),Cluster!$F$29:$F$412,0),24),INDEX(Cluster!$D$29:$AA$412,MATCH(BV252,Cluster!$F$29:$F$412,0),24)),Cluster!AC:AC,0),2),"-")</f>
        <v>-</v>
      </c>
      <c r="CE252" s="378" t="str">
        <f ca="1">IFERROR(IF(BV252&lt;&gt;"-",Calculation!$AK$6,"-"),"-")</f>
        <v>-</v>
      </c>
      <c r="CF252" s="378" t="str">
        <f ca="1">IF(OR(LEFT(ListAndConversion!BW252,3)="Dil",LEFT(ListAndConversion!BW252,3)="Poo"),ListAndConversion!$BT$4,IF(LEFT(ListAndConversion!BW252,3)="Sou",INDEX(ListAndConversion!$AT$3:$AV$387,MATCH(ListAndConversion!BV252,ListAndConversion!$AV$3:$AV$387,0),1),"-"))</f>
        <v>-</v>
      </c>
      <c r="CG252" s="498" t="str">
        <f ca="1">IF(OR(LEFT(ListAndConversion!BW252,3)="Dil",LEFT(ListAndConversion!BW252,3)="Poo"),ListAndConversion!BU252,IF(LEFT(ListAndConversion!BW252,3)="Sou",INDEX(ListAndConversion!$AT$4:$AV$387,MATCH(ListAndConversion!BV252,ListAndConversion!$AV$4:$AV$387,0),2),"-"))</f>
        <v>-</v>
      </c>
      <c r="CH252" s="378"/>
      <c r="CI252" s="487" t="str">
        <f t="shared" ca="1" si="123"/>
        <v>-</v>
      </c>
      <c r="CJ252" s="378" t="str">
        <f t="shared" ca="1" si="134"/>
        <v>-</v>
      </c>
      <c r="CK252" s="378" t="str">
        <f t="shared" ca="1" si="134"/>
        <v>-</v>
      </c>
      <c r="CL252" s="378" t="str">
        <f t="shared" ca="1" si="134"/>
        <v>-</v>
      </c>
      <c r="CM252" s="378" t="str">
        <f t="shared" ca="1" si="134"/>
        <v>-</v>
      </c>
      <c r="CN252" s="378" t="str">
        <f t="shared" ca="1" si="134"/>
        <v>-</v>
      </c>
      <c r="CO252" s="378" t="str">
        <f t="shared" ca="1" si="134"/>
        <v>-</v>
      </c>
      <c r="CP252" s="378" t="str">
        <f t="shared" ca="1" si="134"/>
        <v>-</v>
      </c>
      <c r="CQ252" s="378" t="str">
        <f t="shared" ca="1" si="134"/>
        <v>-</v>
      </c>
      <c r="CR252" s="510" t="str">
        <f ca="1">IFERROR(IF(LEFT(BW252,3)="Poo",INDEX($BE$4:$BJ$99,MATCH(CI252,$BG$4:$BG$99,0),6)*((15/50))*Calculation!$AK$6,INDEX(Calculation_Tab,MATCH(BV252,Identifier,0),10)/(IF(LEN(INDEX(Calculation_Tab,MATCH(BV252,Identifier,0),9))&gt;8,LEN(INDEX(Calculation_Tab,MATCH(BV252,Identifier,0),9))-8,1))*((15/50)*Calculation!$AK$6)),"-")</f>
        <v>-</v>
      </c>
      <c r="CS252" s="498" t="str">
        <f ca="1">IF(CI252="-","-",IF(COUNTIF($CI$3:CI252,CI252)&gt;1,0,IFERROR((35/50)*Calculation!$AK$6,"-")))</f>
        <v>-</v>
      </c>
    </row>
    <row r="253" spans="4:97" x14ac:dyDescent="0.5">
      <c r="D253" s="487" t="e">
        <f t="shared" si="109"/>
        <v>#DIV/0!</v>
      </c>
      <c r="E253" s="496" t="e">
        <f t="array" ref="E253">IF(IF((ROW(E253)-3)&lt;(ListAndConversion!$A$15),INDEX(Flow_Cell_Lane,MIN(IF(COUNTIF($E$2:E252,Flow_Cell_Lane)=0,ROW(Flow_Cell_Lane)-9))),"-")="","-",IF((ROW(E253)-3)&lt;(ListAndConversion!$A$15),INDEX(Flow_Cell_Lane,MIN(IF(COUNTIF($E$2:E252,Flow_Cell_Lane)=0,ROW(Flow_Cell_Lane)-9))),"-"))</f>
        <v>#DIV/0!</v>
      </c>
      <c r="F253" s="378" t="e">
        <f t="shared" si="110"/>
        <v>#DIV/0!</v>
      </c>
      <c r="G253" s="378" t="e">
        <f t="shared" ref="G253:M262" si="135">IF($D253&gt;8,IF($D253&gt;=(8+G$2),CONCATENATE(LEFT($E253,7),RIGHT(LEFT($E253,8+G$2),1)),""),"")</f>
        <v>#DIV/0!</v>
      </c>
      <c r="H253" s="378" t="e">
        <f t="shared" si="135"/>
        <v>#DIV/0!</v>
      </c>
      <c r="I253" s="378" t="e">
        <f t="shared" si="135"/>
        <v>#DIV/0!</v>
      </c>
      <c r="J253" s="378" t="e">
        <f t="shared" si="135"/>
        <v>#DIV/0!</v>
      </c>
      <c r="K253" s="378" t="e">
        <f t="shared" si="135"/>
        <v>#DIV/0!</v>
      </c>
      <c r="L253" s="378" t="e">
        <f t="shared" si="135"/>
        <v>#DIV/0!</v>
      </c>
      <c r="M253" s="378" t="e">
        <f t="shared" si="135"/>
        <v>#DIV/0!</v>
      </c>
      <c r="N253" s="497" t="e">
        <f t="shared" si="111"/>
        <v>#DIV/0!</v>
      </c>
      <c r="O253" s="497" t="str">
        <f t="array" ref="O253">IFERROR(INDEX(Calculation!I:AN,MATCH(ListAndConversion!E253,Calculation!I:I,0),31),"-")</f>
        <v>-</v>
      </c>
      <c r="P253" s="498">
        <f>IF(COUNTIFS(Calculation!$I$10:$I$393,E253,Direct_Denaturation,"-")&lt;&gt;1,COUNTIFS(Calculation!$I$10:$I$393,E253,Direct_Denaturation,"-"),0)</f>
        <v>0</v>
      </c>
      <c r="V253" s="542" t="s">
        <v>82</v>
      </c>
      <c r="W253" s="542" t="s">
        <v>82</v>
      </c>
      <c r="X253" s="542" t="s">
        <v>82</v>
      </c>
      <c r="Y253" s="542" t="s">
        <v>82</v>
      </c>
      <c r="Z253" s="542" t="s">
        <v>82</v>
      </c>
      <c r="AA253" s="542" t="s">
        <v>82</v>
      </c>
      <c r="AB253" s="542" t="s">
        <v>82</v>
      </c>
      <c r="AC253" s="542" t="s">
        <v>82</v>
      </c>
      <c r="AD253" s="542" t="s">
        <v>82</v>
      </c>
      <c r="AE253" s="542" t="s">
        <v>82</v>
      </c>
      <c r="AF253" s="542" t="s">
        <v>82</v>
      </c>
      <c r="AG253" s="542" t="s">
        <v>82</v>
      </c>
      <c r="AH253" s="9"/>
      <c r="AI253" s="487">
        <v>250</v>
      </c>
      <c r="AJ253" s="497" t="s">
        <v>162</v>
      </c>
      <c r="AK253" s="378">
        <v>58</v>
      </c>
      <c r="AL253" s="378" t="str">
        <f t="shared" ca="1" si="112"/>
        <v>-</v>
      </c>
      <c r="AM253" s="378" t="str">
        <f t="array" aca="1" ref="AM253" ca="1">IFERROR(IF(AI253&lt;=$AB$2,"-",INDEX(Calculation_Tab,SMALL(ROW(Main_Dil)*(Main_Dil&lt;&gt;"-"),COUNTIF(Main_Dil,"-")+ROW()-3-$AB$2)-9,5)),"-")</f>
        <v>-</v>
      </c>
      <c r="AN253" s="378" t="str">
        <f t="array" aca="1" ref="AN253" ca="1">IFERROR(IF(AI253&lt;=$AB$2,"-",INDEX($A$3:$B$12,MATCH(INDEX(Calculation_Tab,SMALL(ROW(Main_Dil)*(Main_Dil&lt;&gt;"-"),COUNTIF(Main_Dil,"-")+ROW()-3-$AB$2)-9,5),$A$3:$A$12,0),2)),"-")</f>
        <v>-</v>
      </c>
      <c r="AO253" s="378" t="str">
        <f t="array" aca="1" ref="AO253" ca="1">IFERROR(IF(AI253&lt;=$AB$2,"-",INDEX(Coordinate,MATCH(INDEX(Calculation_Tab,SMALL(ROW(Main_Dil)*(Main_Dil&lt;&gt;"-"),COUNTIF(Main_Dil,"-")+ROW()-3-$AB$2)-9,6),$X$4:$X$99,0),2)),"-")</f>
        <v>-</v>
      </c>
      <c r="AP253" s="510" t="str">
        <f t="array" aca="1" ref="AP253" ca="1">IFERROR(IF(AI253&lt;=$AB$2,"-",INDEX(Calculation_Tab,SMALL(ROW(Main_Dil)*(Main_Dil&lt;&gt;"-"),COUNTIF(Main_Dil,"-")+ROW()-3-$AB$2)-9,21)),"-")</f>
        <v>-</v>
      </c>
      <c r="AQ253" s="511" t="str">
        <f t="array" aca="1" ref="AQ253" ca="1">IFERROR(IF(AI253&lt;=$AB$2,"-",INDEX(Calculation_Tab,SMALL(ROW(Main_Dil)*(Main_Dil&lt;&gt;"-"),COUNTIF(Main_Dil,"-")+ROW()-3-$AB$2)-9,22)),"-")</f>
        <v>-</v>
      </c>
      <c r="AR253" s="487" t="str">
        <f t="shared" ca="1" si="113"/>
        <v>-</v>
      </c>
      <c r="AS253" s="378">
        <v>250</v>
      </c>
      <c r="AT253" s="497" t="s">
        <v>162</v>
      </c>
      <c r="AU253" s="498">
        <v>58</v>
      </c>
      <c r="AV253" s="378" t="str">
        <f t="shared" ca="1" si="114"/>
        <v>-</v>
      </c>
      <c r="AW253" s="378" t="str">
        <f t="array" aca="1" ref="AW253" ca="1">IFERROR(IF(AS253&lt;=$AB$2+$AN$2,"-",INDEX(Calculation_Tab,SMALL(ROW(Direct_Denaturation)*(Direct_Denaturation&lt;&gt;"-"),COUNTIF(Direct_Denaturation,"-")+ROW()-3-$AB$2-$AN$2)-9,5)),"-")</f>
        <v>-</v>
      </c>
      <c r="AX253" s="378" t="str">
        <f t="array" aca="1" ref="AX253" ca="1">IFERROR(IF(AS253&lt;=$AB$2+$AN$2,"-",INDEX($A$3:$B$12,MATCH(INDEX(Calculation_Tab,SMALL(ROW(Direct_Denaturation)*(Direct_Denaturation&lt;&gt;"-"),COUNTIF(Direct_Denaturation,"-")+ROW()-3-$AB$2-$AN$2)-9,5),$A$3:$A$12,0),2)),"-")</f>
        <v>-</v>
      </c>
      <c r="AY253" s="378" t="str">
        <f t="array" aca="1" ref="AY253" ca="1">IFERROR(IF(AS253&lt;=$AB$2+$AN$2,"-",INDEX(Coordinate,MATCH(INDEX(Calculation_Tab,SMALL(ROW(Direct_Denaturation)*(Direct_Denaturation&lt;&gt;"-"),COUNTIF(Direct_Denaturation,"-")+ROW()-3-$AB$2-$AN$2)-9,6),$X$4:$X$99,0),2)),"-")</f>
        <v>-</v>
      </c>
      <c r="AZ253" s="510" t="str">
        <f t="array" aca="1" ref="AZ253" ca="1">IFERROR(IF(AS253&lt;=$AB$2+$AN$2,"-",INDEX(Calculation_Tab,SMALL(ROW(Direct_Denaturation)*(Direct_Denaturation&lt;&gt;"-"),COUNTIF(Direct_Denaturation,"-")+ROW()-3-$AB$2-$AN$2)-9,32)),"-")</f>
        <v>-</v>
      </c>
      <c r="BA253" s="510" t="str">
        <f t="array" aca="1" ref="BA253" ca="1">IFERROR(IF(AS253&lt;=$AB$2+$AN$2,"-",INDEX(Calculation_Tab,SMALL(ROW(Direct_Denaturation)*(Direct_Denaturation&lt;&gt;"-"),COUNTIF(Direct_Denaturation,"-")+ROW()-3-$AB$2-$AN$2)-9,34)),"-")</f>
        <v>-</v>
      </c>
      <c r="BB253" s="510" t="str">
        <f t="array" aca="1" ref="BB253" ca="1">IFERROR(IF(AS253&lt;=$AB$2+$AN$2,"-",INDEX(Calculation_Tab,SMALL(ROW(Direct_Denaturation)*(Direct_Denaturation&lt;&gt;"-"),COUNTIF(Direct_Denaturation,"-")+ROW()-3-$AB$2-$AN$2)-9,33)),"-")</f>
        <v>-</v>
      </c>
      <c r="BC253" s="510" t="str">
        <f t="array" aca="1" ref="BC253" ca="1">IFERROR(IF(AS253&lt;=$AB$2+$AN$2,"-",INDEX(Calculation_Tab,SMALL(ROW(Direct_Denaturation)*(Direct_Denaturation&lt;&gt;"-"),COUNTIF(Direct_Denaturation,"-")+ROW()-3-$AB$2-$AN$2)-9,35)),"-")</f>
        <v>-</v>
      </c>
      <c r="BD253" s="511" t="str">
        <f t="shared" ca="1" si="115"/>
        <v>-</v>
      </c>
      <c r="BK253" s="542" t="s">
        <v>82</v>
      </c>
      <c r="BL253" s="542" t="s">
        <v>82</v>
      </c>
      <c r="BM253" s="487" t="str">
        <f t="array" aca="1" ref="BM253" ca="1">IFERROR(INDEX(Calculation_Tab,SMALL(ROW(ToPool)*(ToPool&lt;&gt;"-"),COUNTIF(ToPool,"-")+ROW()-3)-9,3),"-")</f>
        <v>-</v>
      </c>
      <c r="BN253" s="378" t="str">
        <f t="shared" ca="1" si="116"/>
        <v>-</v>
      </c>
      <c r="BO253" s="378" t="str">
        <f t="shared" ca="1" si="117"/>
        <v>-</v>
      </c>
      <c r="BP253" s="523" t="str">
        <f t="shared" ca="1" si="118"/>
        <v>-</v>
      </c>
      <c r="BQ253" s="378" t="str">
        <f t="array" aca="1" ref="BQ253" ca="1">IFERROR(INDEX(BE:BG,MATCH(INDEX(Calculation_Tab,SMALL(ROW(ToPool)*(ToPool&lt;&gt;"-"),COUNTIF(ToPool,"-")+ROW()-3)-9,9),BG:BG,0),2),"-")</f>
        <v>-</v>
      </c>
      <c r="BR253" s="510" t="str">
        <f t="shared" ca="1" si="119"/>
        <v>-</v>
      </c>
      <c r="BS253" s="511" t="str">
        <f t="shared" ca="1" si="120"/>
        <v>-</v>
      </c>
      <c r="BT253" s="543" t="s">
        <v>82</v>
      </c>
      <c r="BU253" s="487" t="str">
        <f t="shared" ca="1" si="124"/>
        <v>-</v>
      </c>
      <c r="BV253" s="487" t="str">
        <f t="array" aca="1" ref="BV25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53" s="378" t="str">
        <f t="shared" ca="1" si="121"/>
        <v>-</v>
      </c>
      <c r="BX253" s="378" t="str">
        <f t="shared" ca="1" si="122"/>
        <v>-</v>
      </c>
      <c r="BY253" s="510" t="str">
        <f ca="1">IFERROR(ROUND(INDEX(Cluster,MATCH(IF(LEFT(BV253,4)="Pool",INDEX(Cluster,MATCH(INDEX(Calculation_Tab,MATCH(INDEX($BE$4:$BJ$99,MATCH(BV253,$BE$4:$BE$99,0),3),Flow_Cell_Lane,0),3),Cluster!$F$29:$F$412,0),6),BV253),Identifier_Cluster,0),19)*IF(LEFT(BV253,4)="pool",IF(LEN(INDEX($BE$4:$BJ$99,MATCH(BV253,$BE$4:$BE$99,0),3))=10,2,IF(LEN(INDEX($BE$4:$BJ$99,MATCH(BV253,$BE$4:$BE$99,0),3))&gt;10,LEN(INDEX($BE$4:$BJ$99,MATCH(BV253,$BE$4:$BE$99,0),3))-8,1)),1)*IF(LEFT(BV253,4)="pool",IF(INDEX($BE$4:$BJ$99,MATCH(BV253,$BE$4:$BE$99,0),6)&lt;1,1,INDEX($BE$4:$BJ$99,MATCH(BV253,$BE$4:$BE$99,0),6)),INDEX(Calculation_Tab,MATCH(BV253,Identifier,0),10)),1)*(1+Calculation!$Q$6),"-")</f>
        <v>-</v>
      </c>
      <c r="BZ253" s="378" t="str">
        <f ca="1">IFERROR((0.5/50)*CE253/Calculation!$AG$6*(IF(LEFT(BV253,4)="Pool",IF(LEN(INDEX($BE$4:$BJ$99,MATCH(BV253,$BE$4:$BE$99,0),3))=10,2,IF(LEN(INDEX($BE$4:$BJ$99,MATCH(BV253,$BE$4:$BE$99,0),3))&gt;10,LEN(INDEX($BE$4:$BJ$99,MATCH(BV253,$BE$4:$BE$99,0),3))-8,1)),IF(INDEX(Calculation_Tab,MATCH(BV253,Identifier,0),10)&gt;1,INDEX(Calculation_Tab,MATCH(BV253,Identifier,0),10),1)))*(1+Calculation!$Q$6),"-")</f>
        <v>-</v>
      </c>
      <c r="CA253" s="510" t="str">
        <f ca="1">IFERROR(IF((BZ253*Calculation!$AG$6/0.05)-SUM(BY253:BZ253,CC253)&gt;0,(BZ253*Calculation!$AG$6/0.05)-SUM(BY253:BZ253,CC253),0),"-")</f>
        <v>-</v>
      </c>
      <c r="CB253" s="510" t="str">
        <f ca="1">IFERROR(5/50*CE253*(IF(LEFT(BV253,4)="Pool",IF(LEN(INDEX($BE$4:$BJ$99,MATCH(BV253,$BE$4:$BE$99,0),3))=10,2,IF(LEN(INDEX($BE$4:$BJ$99,MATCH(BV253,$BE$4:$BE$99,0),3))&gt;10,LEN(INDEX($BE$4:$BJ$99,MATCH(BV253,$BE$4:$BE$99,0),3))-8,1)),IF(INDEX(Calculation_Tab,MATCH(BV253,Identifier,0),10)&gt;1,INDEX(Calculation_Tab,MATCH(BV253,Identifier,0),10),1)))*(1+Calculation!$Q$6),"-")</f>
        <v>-</v>
      </c>
      <c r="CC253" s="508" t="str">
        <f ca="1">IFERROR(ROUND(INDEX(Cluster,MATCH(IF(LEFT(BV253,4)="Pool",INDEX(Cluster,MATCH(INDEX(Calculation_Tab,MATCH(INDEX($BE$4:$BJ$99,MATCH(BV253,$BE$4:$BE$99,0),3),Flow_Cell_Lane,0),3),Cluster!$F$29:$F$412,0),6),BV253),Identifier_Cluster,0),20)*IF(LEFT(BV253,4)="pool",IF(LEN(INDEX($BE$4:$BJ$99,MATCH(BV253,$BE$4:$BE$99,0),3))=10,2,IF(LEN(INDEX($BE$4:$BJ$99,MATCH(BV253,$BE$4:$BE$99,0),3))&gt;10,LEN(INDEX($BE$4:$BJ$99,MATCH(BV253,$BE$4:$BE$99,0),3))-8,1)),1)*IF(LEFT(BV253,4)="pool",IF(INDEX($BE$4:$BJ$99,MATCH(BV253,$BE$4:$BE$99,0),6)&lt;1,1,INDEX($BE$4:$BJ$99,MATCH(BV253,$BE$4:$BE$99,0),6)),INDEX(Calculation_Tab,MATCH(BV253,Identifier,0),10)),1)*(1+Calculation!$Q$6),"-")</f>
        <v>-</v>
      </c>
      <c r="CD253" s="509" t="str">
        <f ca="1">IFERROR(INDEX(Cluster!AC:AD,MATCH(IF(LEFT(BV253,4)="Pool",INDEX(Cluster!$D$29:$AA$412,MATCH(INDEX(Calculation_Tab,MATCH(INDEX($BE$4:$BJ$99,MATCH(BV253,$BE$4:$BE$99,0),3),Flow_Cell_Lane,0),3),Cluster!$F$29:$F$412,0),24),INDEX(Cluster!$D$29:$AA$412,MATCH(BV253,Cluster!$F$29:$F$412,0),24)),Cluster!AC:AC,0),2),"-")</f>
        <v>-</v>
      </c>
      <c r="CE253" s="378" t="str">
        <f ca="1">IFERROR(IF(BV253&lt;&gt;"-",Calculation!$AK$6,"-"),"-")</f>
        <v>-</v>
      </c>
      <c r="CF253" s="378" t="str">
        <f ca="1">IF(OR(LEFT(ListAndConversion!BW253,3)="Dil",LEFT(ListAndConversion!BW253,3)="Poo"),ListAndConversion!$BT$4,IF(LEFT(ListAndConversion!BW253,3)="Sou",INDEX(ListAndConversion!$AT$3:$AV$387,MATCH(ListAndConversion!BV253,ListAndConversion!$AV$3:$AV$387,0),1),"-"))</f>
        <v>-</v>
      </c>
      <c r="CG253" s="498" t="str">
        <f ca="1">IF(OR(LEFT(ListAndConversion!BW253,3)="Dil",LEFT(ListAndConversion!BW253,3)="Poo"),ListAndConversion!BU253,IF(LEFT(ListAndConversion!BW253,3)="Sou",INDEX(ListAndConversion!$AT$4:$AV$387,MATCH(ListAndConversion!BV253,ListAndConversion!$AV$4:$AV$387,0),2),"-"))</f>
        <v>-</v>
      </c>
      <c r="CH253" s="378"/>
      <c r="CI253" s="487" t="str">
        <f t="shared" ca="1" si="123"/>
        <v>-</v>
      </c>
      <c r="CJ253" s="378" t="str">
        <f t="shared" ca="1" si="134"/>
        <v>-</v>
      </c>
      <c r="CK253" s="378" t="str">
        <f t="shared" ca="1" si="134"/>
        <v>-</v>
      </c>
      <c r="CL253" s="378" t="str">
        <f t="shared" ca="1" si="134"/>
        <v>-</v>
      </c>
      <c r="CM253" s="378" t="str">
        <f t="shared" ca="1" si="134"/>
        <v>-</v>
      </c>
      <c r="CN253" s="378" t="str">
        <f t="shared" ca="1" si="134"/>
        <v>-</v>
      </c>
      <c r="CO253" s="378" t="str">
        <f t="shared" ca="1" si="134"/>
        <v>-</v>
      </c>
      <c r="CP253" s="378" t="str">
        <f t="shared" ca="1" si="134"/>
        <v>-</v>
      </c>
      <c r="CQ253" s="378" t="str">
        <f t="shared" ca="1" si="134"/>
        <v>-</v>
      </c>
      <c r="CR253" s="510" t="str">
        <f ca="1">IFERROR(IF(LEFT(BW253,3)="Poo",INDEX($BE$4:$BJ$99,MATCH(CI253,$BG$4:$BG$99,0),6)*((15/50))*Calculation!$AK$6,INDEX(Calculation_Tab,MATCH(BV253,Identifier,0),10)/(IF(LEN(INDEX(Calculation_Tab,MATCH(BV253,Identifier,0),9))&gt;8,LEN(INDEX(Calculation_Tab,MATCH(BV253,Identifier,0),9))-8,1))*((15/50)*Calculation!$AK$6)),"-")</f>
        <v>-</v>
      </c>
      <c r="CS253" s="498" t="str">
        <f ca="1">IF(CI253="-","-",IF(COUNTIF($CI$3:CI253,CI253)&gt;1,0,IFERROR((35/50)*Calculation!$AK$6,"-")))</f>
        <v>-</v>
      </c>
    </row>
    <row r="254" spans="4:97" x14ac:dyDescent="0.5">
      <c r="D254" s="487" t="e">
        <f t="shared" si="109"/>
        <v>#DIV/0!</v>
      </c>
      <c r="E254" s="496" t="e">
        <f t="array" ref="E254">IF(IF((ROW(E254)-3)&lt;(ListAndConversion!$A$15),INDEX(Flow_Cell_Lane,MIN(IF(COUNTIF($E$2:E253,Flow_Cell_Lane)=0,ROW(Flow_Cell_Lane)-9))),"-")="","-",IF((ROW(E254)-3)&lt;(ListAndConversion!$A$15),INDEX(Flow_Cell_Lane,MIN(IF(COUNTIF($E$2:E253,Flow_Cell_Lane)=0,ROW(Flow_Cell_Lane)-9))),"-"))</f>
        <v>#DIV/0!</v>
      </c>
      <c r="F254" s="378" t="e">
        <f t="shared" si="110"/>
        <v>#DIV/0!</v>
      </c>
      <c r="G254" s="378" t="e">
        <f t="shared" si="135"/>
        <v>#DIV/0!</v>
      </c>
      <c r="H254" s="378" t="e">
        <f t="shared" si="135"/>
        <v>#DIV/0!</v>
      </c>
      <c r="I254" s="378" t="e">
        <f t="shared" si="135"/>
        <v>#DIV/0!</v>
      </c>
      <c r="J254" s="378" t="e">
        <f t="shared" si="135"/>
        <v>#DIV/0!</v>
      </c>
      <c r="K254" s="378" t="e">
        <f t="shared" si="135"/>
        <v>#DIV/0!</v>
      </c>
      <c r="L254" s="378" t="e">
        <f t="shared" si="135"/>
        <v>#DIV/0!</v>
      </c>
      <c r="M254" s="378" t="e">
        <f t="shared" si="135"/>
        <v>#DIV/0!</v>
      </c>
      <c r="N254" s="497" t="e">
        <f t="shared" si="111"/>
        <v>#DIV/0!</v>
      </c>
      <c r="O254" s="497" t="str">
        <f t="array" ref="O254">IFERROR(INDEX(Calculation!I:AN,MATCH(ListAndConversion!E254,Calculation!I:I,0),31),"-")</f>
        <v>-</v>
      </c>
      <c r="P254" s="498">
        <f>IF(COUNTIFS(Calculation!$I$10:$I$393,E254,Direct_Denaturation,"-")&lt;&gt;1,COUNTIFS(Calculation!$I$10:$I$393,E254,Direct_Denaturation,"-"),0)</f>
        <v>0</v>
      </c>
      <c r="V254" s="542" t="s">
        <v>82</v>
      </c>
      <c r="W254" s="542" t="s">
        <v>82</v>
      </c>
      <c r="X254" s="542" t="s">
        <v>82</v>
      </c>
      <c r="Y254" s="542" t="s">
        <v>82</v>
      </c>
      <c r="Z254" s="542" t="s">
        <v>82</v>
      </c>
      <c r="AA254" s="542" t="s">
        <v>82</v>
      </c>
      <c r="AB254" s="542" t="s">
        <v>82</v>
      </c>
      <c r="AC254" s="542" t="s">
        <v>82</v>
      </c>
      <c r="AD254" s="542" t="s">
        <v>82</v>
      </c>
      <c r="AE254" s="542" t="s">
        <v>82</v>
      </c>
      <c r="AF254" s="542" t="s">
        <v>82</v>
      </c>
      <c r="AG254" s="542" t="s">
        <v>82</v>
      </c>
      <c r="AH254" s="9"/>
      <c r="AI254" s="487">
        <v>251</v>
      </c>
      <c r="AJ254" s="497" t="s">
        <v>162</v>
      </c>
      <c r="AK254" s="378">
        <v>59</v>
      </c>
      <c r="AL254" s="378" t="str">
        <f t="shared" ca="1" si="112"/>
        <v>-</v>
      </c>
      <c r="AM254" s="378" t="str">
        <f t="array" aca="1" ref="AM254" ca="1">IFERROR(IF(AI254&lt;=$AB$2,"-",INDEX(Calculation_Tab,SMALL(ROW(Main_Dil)*(Main_Dil&lt;&gt;"-"),COUNTIF(Main_Dil,"-")+ROW()-3-$AB$2)-9,5)),"-")</f>
        <v>-</v>
      </c>
      <c r="AN254" s="378" t="str">
        <f t="array" aca="1" ref="AN254" ca="1">IFERROR(IF(AI254&lt;=$AB$2,"-",INDEX($A$3:$B$12,MATCH(INDEX(Calculation_Tab,SMALL(ROW(Main_Dil)*(Main_Dil&lt;&gt;"-"),COUNTIF(Main_Dil,"-")+ROW()-3-$AB$2)-9,5),$A$3:$A$12,0),2)),"-")</f>
        <v>-</v>
      </c>
      <c r="AO254" s="378" t="str">
        <f t="array" aca="1" ref="AO254" ca="1">IFERROR(IF(AI254&lt;=$AB$2,"-",INDEX(Coordinate,MATCH(INDEX(Calculation_Tab,SMALL(ROW(Main_Dil)*(Main_Dil&lt;&gt;"-"),COUNTIF(Main_Dil,"-")+ROW()-3-$AB$2)-9,6),$X$4:$X$99,0),2)),"-")</f>
        <v>-</v>
      </c>
      <c r="AP254" s="510" t="str">
        <f t="array" aca="1" ref="AP254" ca="1">IFERROR(IF(AI254&lt;=$AB$2,"-",INDEX(Calculation_Tab,SMALL(ROW(Main_Dil)*(Main_Dil&lt;&gt;"-"),COUNTIF(Main_Dil,"-")+ROW()-3-$AB$2)-9,21)),"-")</f>
        <v>-</v>
      </c>
      <c r="AQ254" s="511" t="str">
        <f t="array" aca="1" ref="AQ254" ca="1">IFERROR(IF(AI254&lt;=$AB$2,"-",INDEX(Calculation_Tab,SMALL(ROW(Main_Dil)*(Main_Dil&lt;&gt;"-"),COUNTIF(Main_Dil,"-")+ROW()-3-$AB$2)-9,22)),"-")</f>
        <v>-</v>
      </c>
      <c r="AR254" s="487" t="str">
        <f t="shared" ca="1" si="113"/>
        <v>-</v>
      </c>
      <c r="AS254" s="378">
        <v>251</v>
      </c>
      <c r="AT254" s="497" t="s">
        <v>162</v>
      </c>
      <c r="AU254" s="498">
        <v>59</v>
      </c>
      <c r="AV254" s="378" t="str">
        <f t="shared" ca="1" si="114"/>
        <v>-</v>
      </c>
      <c r="AW254" s="378" t="str">
        <f t="array" aca="1" ref="AW254" ca="1">IFERROR(IF(AS254&lt;=$AB$2+$AN$2,"-",INDEX(Calculation_Tab,SMALL(ROW(Direct_Denaturation)*(Direct_Denaturation&lt;&gt;"-"),COUNTIF(Direct_Denaturation,"-")+ROW()-3-$AB$2-$AN$2)-9,5)),"-")</f>
        <v>-</v>
      </c>
      <c r="AX254" s="378" t="str">
        <f t="array" aca="1" ref="AX254" ca="1">IFERROR(IF(AS254&lt;=$AB$2+$AN$2,"-",INDEX($A$3:$B$12,MATCH(INDEX(Calculation_Tab,SMALL(ROW(Direct_Denaturation)*(Direct_Denaturation&lt;&gt;"-"),COUNTIF(Direct_Denaturation,"-")+ROW()-3-$AB$2-$AN$2)-9,5),$A$3:$A$12,0),2)),"-")</f>
        <v>-</v>
      </c>
      <c r="AY254" s="378" t="str">
        <f t="array" aca="1" ref="AY254" ca="1">IFERROR(IF(AS254&lt;=$AB$2+$AN$2,"-",INDEX(Coordinate,MATCH(INDEX(Calculation_Tab,SMALL(ROW(Direct_Denaturation)*(Direct_Denaturation&lt;&gt;"-"),COUNTIF(Direct_Denaturation,"-")+ROW()-3-$AB$2-$AN$2)-9,6),$X$4:$X$99,0),2)),"-")</f>
        <v>-</v>
      </c>
      <c r="AZ254" s="510" t="str">
        <f t="array" aca="1" ref="AZ254" ca="1">IFERROR(IF(AS254&lt;=$AB$2+$AN$2,"-",INDEX(Calculation_Tab,SMALL(ROW(Direct_Denaturation)*(Direct_Denaturation&lt;&gt;"-"),COUNTIF(Direct_Denaturation,"-")+ROW()-3-$AB$2-$AN$2)-9,32)),"-")</f>
        <v>-</v>
      </c>
      <c r="BA254" s="510" t="str">
        <f t="array" aca="1" ref="BA254" ca="1">IFERROR(IF(AS254&lt;=$AB$2+$AN$2,"-",INDEX(Calculation_Tab,SMALL(ROW(Direct_Denaturation)*(Direct_Denaturation&lt;&gt;"-"),COUNTIF(Direct_Denaturation,"-")+ROW()-3-$AB$2-$AN$2)-9,34)),"-")</f>
        <v>-</v>
      </c>
      <c r="BB254" s="510" t="str">
        <f t="array" aca="1" ref="BB254" ca="1">IFERROR(IF(AS254&lt;=$AB$2+$AN$2,"-",INDEX(Calculation_Tab,SMALL(ROW(Direct_Denaturation)*(Direct_Denaturation&lt;&gt;"-"),COUNTIF(Direct_Denaturation,"-")+ROW()-3-$AB$2-$AN$2)-9,33)),"-")</f>
        <v>-</v>
      </c>
      <c r="BC254" s="510" t="str">
        <f t="array" aca="1" ref="BC254" ca="1">IFERROR(IF(AS254&lt;=$AB$2+$AN$2,"-",INDEX(Calculation_Tab,SMALL(ROW(Direct_Denaturation)*(Direct_Denaturation&lt;&gt;"-"),COUNTIF(Direct_Denaturation,"-")+ROW()-3-$AB$2-$AN$2)-9,35)),"-")</f>
        <v>-</v>
      </c>
      <c r="BD254" s="511" t="str">
        <f t="shared" ca="1" si="115"/>
        <v>-</v>
      </c>
      <c r="BK254" s="542" t="s">
        <v>82</v>
      </c>
      <c r="BL254" s="542" t="s">
        <v>82</v>
      </c>
      <c r="BM254" s="487" t="str">
        <f t="array" aca="1" ref="BM254" ca="1">IFERROR(INDEX(Calculation_Tab,SMALL(ROW(ToPool)*(ToPool&lt;&gt;"-"),COUNTIF(ToPool,"-")+ROW()-3)-9,3),"-")</f>
        <v>-</v>
      </c>
      <c r="BN254" s="378" t="str">
        <f t="shared" ca="1" si="116"/>
        <v>-</v>
      </c>
      <c r="BO254" s="378" t="str">
        <f t="shared" ca="1" si="117"/>
        <v>-</v>
      </c>
      <c r="BP254" s="523" t="str">
        <f t="shared" ca="1" si="118"/>
        <v>-</v>
      </c>
      <c r="BQ254" s="378" t="str">
        <f t="array" aca="1" ref="BQ254" ca="1">IFERROR(INDEX(BE:BG,MATCH(INDEX(Calculation_Tab,SMALL(ROW(ToPool)*(ToPool&lt;&gt;"-"),COUNTIF(ToPool,"-")+ROW()-3)-9,9),BG:BG,0),2),"-")</f>
        <v>-</v>
      </c>
      <c r="BR254" s="510" t="str">
        <f t="shared" ca="1" si="119"/>
        <v>-</v>
      </c>
      <c r="BS254" s="511" t="str">
        <f t="shared" ca="1" si="120"/>
        <v>-</v>
      </c>
      <c r="BT254" s="543" t="s">
        <v>82</v>
      </c>
      <c r="BU254" s="487" t="str">
        <f t="shared" ca="1" si="124"/>
        <v>-</v>
      </c>
      <c r="BV254" s="487" t="str">
        <f t="array" aca="1" ref="BV25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54" s="378" t="str">
        <f t="shared" ca="1" si="121"/>
        <v>-</v>
      </c>
      <c r="BX254" s="378" t="str">
        <f t="shared" ca="1" si="122"/>
        <v>-</v>
      </c>
      <c r="BY254" s="510" t="str">
        <f ca="1">IFERROR(ROUND(INDEX(Cluster,MATCH(IF(LEFT(BV254,4)="Pool",INDEX(Cluster,MATCH(INDEX(Calculation_Tab,MATCH(INDEX($BE$4:$BJ$99,MATCH(BV254,$BE$4:$BE$99,0),3),Flow_Cell_Lane,0),3),Cluster!$F$29:$F$412,0),6),BV254),Identifier_Cluster,0),19)*IF(LEFT(BV254,4)="pool",IF(LEN(INDEX($BE$4:$BJ$99,MATCH(BV254,$BE$4:$BE$99,0),3))=10,2,IF(LEN(INDEX($BE$4:$BJ$99,MATCH(BV254,$BE$4:$BE$99,0),3))&gt;10,LEN(INDEX($BE$4:$BJ$99,MATCH(BV254,$BE$4:$BE$99,0),3))-8,1)),1)*IF(LEFT(BV254,4)="pool",IF(INDEX($BE$4:$BJ$99,MATCH(BV254,$BE$4:$BE$99,0),6)&lt;1,1,INDEX($BE$4:$BJ$99,MATCH(BV254,$BE$4:$BE$99,0),6)),INDEX(Calculation_Tab,MATCH(BV254,Identifier,0),10)),1)*(1+Calculation!$Q$6),"-")</f>
        <v>-</v>
      </c>
      <c r="BZ254" s="378" t="str">
        <f ca="1">IFERROR((0.5/50)*CE254/Calculation!$AG$6*(IF(LEFT(BV254,4)="Pool",IF(LEN(INDEX($BE$4:$BJ$99,MATCH(BV254,$BE$4:$BE$99,0),3))=10,2,IF(LEN(INDEX($BE$4:$BJ$99,MATCH(BV254,$BE$4:$BE$99,0),3))&gt;10,LEN(INDEX($BE$4:$BJ$99,MATCH(BV254,$BE$4:$BE$99,0),3))-8,1)),IF(INDEX(Calculation_Tab,MATCH(BV254,Identifier,0),10)&gt;1,INDEX(Calculation_Tab,MATCH(BV254,Identifier,0),10),1)))*(1+Calculation!$Q$6),"-")</f>
        <v>-</v>
      </c>
      <c r="CA254" s="510" t="str">
        <f ca="1">IFERROR(IF((BZ254*Calculation!$AG$6/0.05)-SUM(BY254:BZ254,CC254)&gt;0,(BZ254*Calculation!$AG$6/0.05)-SUM(BY254:BZ254,CC254),0),"-")</f>
        <v>-</v>
      </c>
      <c r="CB254" s="510" t="str">
        <f ca="1">IFERROR(5/50*CE254*(IF(LEFT(BV254,4)="Pool",IF(LEN(INDEX($BE$4:$BJ$99,MATCH(BV254,$BE$4:$BE$99,0),3))=10,2,IF(LEN(INDEX($BE$4:$BJ$99,MATCH(BV254,$BE$4:$BE$99,0),3))&gt;10,LEN(INDEX($BE$4:$BJ$99,MATCH(BV254,$BE$4:$BE$99,0),3))-8,1)),IF(INDEX(Calculation_Tab,MATCH(BV254,Identifier,0),10)&gt;1,INDEX(Calculation_Tab,MATCH(BV254,Identifier,0),10),1)))*(1+Calculation!$Q$6),"-")</f>
        <v>-</v>
      </c>
      <c r="CC254" s="508" t="str">
        <f ca="1">IFERROR(ROUND(INDEX(Cluster,MATCH(IF(LEFT(BV254,4)="Pool",INDEX(Cluster,MATCH(INDEX(Calculation_Tab,MATCH(INDEX($BE$4:$BJ$99,MATCH(BV254,$BE$4:$BE$99,0),3),Flow_Cell_Lane,0),3),Cluster!$F$29:$F$412,0),6),BV254),Identifier_Cluster,0),20)*IF(LEFT(BV254,4)="pool",IF(LEN(INDEX($BE$4:$BJ$99,MATCH(BV254,$BE$4:$BE$99,0),3))=10,2,IF(LEN(INDEX($BE$4:$BJ$99,MATCH(BV254,$BE$4:$BE$99,0),3))&gt;10,LEN(INDEX($BE$4:$BJ$99,MATCH(BV254,$BE$4:$BE$99,0),3))-8,1)),1)*IF(LEFT(BV254,4)="pool",IF(INDEX($BE$4:$BJ$99,MATCH(BV254,$BE$4:$BE$99,0),6)&lt;1,1,INDEX($BE$4:$BJ$99,MATCH(BV254,$BE$4:$BE$99,0),6)),INDEX(Calculation_Tab,MATCH(BV254,Identifier,0),10)),1)*(1+Calculation!$Q$6),"-")</f>
        <v>-</v>
      </c>
      <c r="CD254" s="509" t="str">
        <f ca="1">IFERROR(INDEX(Cluster!AC:AD,MATCH(IF(LEFT(BV254,4)="Pool",INDEX(Cluster!$D$29:$AA$412,MATCH(INDEX(Calculation_Tab,MATCH(INDEX($BE$4:$BJ$99,MATCH(BV254,$BE$4:$BE$99,0),3),Flow_Cell_Lane,0),3),Cluster!$F$29:$F$412,0),24),INDEX(Cluster!$D$29:$AA$412,MATCH(BV254,Cluster!$F$29:$F$412,0),24)),Cluster!AC:AC,0),2),"-")</f>
        <v>-</v>
      </c>
      <c r="CE254" s="378" t="str">
        <f ca="1">IFERROR(IF(BV254&lt;&gt;"-",Calculation!$AK$6,"-"),"-")</f>
        <v>-</v>
      </c>
      <c r="CF254" s="378" t="str">
        <f ca="1">IF(OR(LEFT(ListAndConversion!BW254,3)="Dil",LEFT(ListAndConversion!BW254,3)="Poo"),ListAndConversion!$BT$4,IF(LEFT(ListAndConversion!BW254,3)="Sou",INDEX(ListAndConversion!$AT$3:$AV$387,MATCH(ListAndConversion!BV254,ListAndConversion!$AV$3:$AV$387,0),1),"-"))</f>
        <v>-</v>
      </c>
      <c r="CG254" s="498" t="str">
        <f ca="1">IF(OR(LEFT(ListAndConversion!BW254,3)="Dil",LEFT(ListAndConversion!BW254,3)="Poo"),ListAndConversion!BU254,IF(LEFT(ListAndConversion!BW254,3)="Sou",INDEX(ListAndConversion!$AT$4:$AV$387,MATCH(ListAndConversion!BV254,ListAndConversion!$AV$4:$AV$387,0),2),"-"))</f>
        <v>-</v>
      </c>
      <c r="CH254" s="378"/>
      <c r="CI254" s="487" t="str">
        <f t="shared" ca="1" si="123"/>
        <v>-</v>
      </c>
      <c r="CJ254" s="378" t="str">
        <f t="shared" ref="CJ254:CQ263" ca="1" si="136">IFERROR(INDEX($R$3:$U$98,MATCH(INDEX($F$3:$M$387,MATCH($CI254,$E$3:$E$386,0),CJ$3),$S$3:$S$98,0),4),"-")</f>
        <v>-</v>
      </c>
      <c r="CK254" s="378" t="str">
        <f t="shared" ca="1" si="136"/>
        <v>-</v>
      </c>
      <c r="CL254" s="378" t="str">
        <f t="shared" ca="1" si="136"/>
        <v>-</v>
      </c>
      <c r="CM254" s="378" t="str">
        <f t="shared" ca="1" si="136"/>
        <v>-</v>
      </c>
      <c r="CN254" s="378" t="str">
        <f t="shared" ca="1" si="136"/>
        <v>-</v>
      </c>
      <c r="CO254" s="378" t="str">
        <f t="shared" ca="1" si="136"/>
        <v>-</v>
      </c>
      <c r="CP254" s="378" t="str">
        <f t="shared" ca="1" si="136"/>
        <v>-</v>
      </c>
      <c r="CQ254" s="378" t="str">
        <f t="shared" ca="1" si="136"/>
        <v>-</v>
      </c>
      <c r="CR254" s="510" t="str">
        <f ca="1">IFERROR(IF(LEFT(BW254,3)="Poo",INDEX($BE$4:$BJ$99,MATCH(CI254,$BG$4:$BG$99,0),6)*((15/50))*Calculation!$AK$6,INDEX(Calculation_Tab,MATCH(BV254,Identifier,0),10)/(IF(LEN(INDEX(Calculation_Tab,MATCH(BV254,Identifier,0),9))&gt;8,LEN(INDEX(Calculation_Tab,MATCH(BV254,Identifier,0),9))-8,1))*((15/50)*Calculation!$AK$6)),"-")</f>
        <v>-</v>
      </c>
      <c r="CS254" s="498" t="str">
        <f ca="1">IF(CI254="-","-",IF(COUNTIF($CI$3:CI254,CI254)&gt;1,0,IFERROR((35/50)*Calculation!$AK$6,"-")))</f>
        <v>-</v>
      </c>
    </row>
    <row r="255" spans="4:97" x14ac:dyDescent="0.5">
      <c r="D255" s="487" t="e">
        <f t="shared" si="109"/>
        <v>#DIV/0!</v>
      </c>
      <c r="E255" s="496" t="e">
        <f t="array" ref="E255">IF(IF((ROW(E255)-3)&lt;(ListAndConversion!$A$15),INDEX(Flow_Cell_Lane,MIN(IF(COUNTIF($E$2:E254,Flow_Cell_Lane)=0,ROW(Flow_Cell_Lane)-9))),"-")="","-",IF((ROW(E255)-3)&lt;(ListAndConversion!$A$15),INDEX(Flow_Cell_Lane,MIN(IF(COUNTIF($E$2:E254,Flow_Cell_Lane)=0,ROW(Flow_Cell_Lane)-9))),"-"))</f>
        <v>#DIV/0!</v>
      </c>
      <c r="F255" s="378" t="e">
        <f t="shared" si="110"/>
        <v>#DIV/0!</v>
      </c>
      <c r="G255" s="378" t="e">
        <f t="shared" si="135"/>
        <v>#DIV/0!</v>
      </c>
      <c r="H255" s="378" t="e">
        <f t="shared" si="135"/>
        <v>#DIV/0!</v>
      </c>
      <c r="I255" s="378" t="e">
        <f t="shared" si="135"/>
        <v>#DIV/0!</v>
      </c>
      <c r="J255" s="378" t="e">
        <f t="shared" si="135"/>
        <v>#DIV/0!</v>
      </c>
      <c r="K255" s="378" t="e">
        <f t="shared" si="135"/>
        <v>#DIV/0!</v>
      </c>
      <c r="L255" s="378" t="e">
        <f t="shared" si="135"/>
        <v>#DIV/0!</v>
      </c>
      <c r="M255" s="378" t="e">
        <f t="shared" si="135"/>
        <v>#DIV/0!</v>
      </c>
      <c r="N255" s="497" t="e">
        <f t="shared" si="111"/>
        <v>#DIV/0!</v>
      </c>
      <c r="O255" s="497" t="str">
        <f t="array" ref="O255">IFERROR(INDEX(Calculation!I:AN,MATCH(ListAndConversion!E255,Calculation!I:I,0),31),"-")</f>
        <v>-</v>
      </c>
      <c r="P255" s="498">
        <f>IF(COUNTIFS(Calculation!$I$10:$I$393,E255,Direct_Denaturation,"-")&lt;&gt;1,COUNTIFS(Calculation!$I$10:$I$393,E255,Direct_Denaturation,"-"),0)</f>
        <v>0</v>
      </c>
      <c r="V255" s="542" t="s">
        <v>82</v>
      </c>
      <c r="W255" s="542" t="s">
        <v>82</v>
      </c>
      <c r="X255" s="542" t="s">
        <v>82</v>
      </c>
      <c r="Y255" s="542" t="s">
        <v>82</v>
      </c>
      <c r="Z255" s="542" t="s">
        <v>82</v>
      </c>
      <c r="AA255" s="542" t="s">
        <v>82</v>
      </c>
      <c r="AB255" s="542" t="s">
        <v>82</v>
      </c>
      <c r="AC255" s="542" t="s">
        <v>82</v>
      </c>
      <c r="AD255" s="542" t="s">
        <v>82</v>
      </c>
      <c r="AE255" s="542" t="s">
        <v>82</v>
      </c>
      <c r="AF255" s="542" t="s">
        <v>82</v>
      </c>
      <c r="AG255" s="542" t="s">
        <v>82</v>
      </c>
      <c r="AH255" s="9"/>
      <c r="AI255" s="487">
        <v>252</v>
      </c>
      <c r="AJ255" s="497" t="s">
        <v>162</v>
      </c>
      <c r="AK255" s="378">
        <v>60</v>
      </c>
      <c r="AL255" s="378" t="str">
        <f t="shared" ca="1" si="112"/>
        <v>-</v>
      </c>
      <c r="AM255" s="378" t="str">
        <f t="array" aca="1" ref="AM255" ca="1">IFERROR(IF(AI255&lt;=$AB$2,"-",INDEX(Calculation_Tab,SMALL(ROW(Main_Dil)*(Main_Dil&lt;&gt;"-"),COUNTIF(Main_Dil,"-")+ROW()-3-$AB$2)-9,5)),"-")</f>
        <v>-</v>
      </c>
      <c r="AN255" s="378" t="str">
        <f t="array" aca="1" ref="AN255" ca="1">IFERROR(IF(AI255&lt;=$AB$2,"-",INDEX($A$3:$B$12,MATCH(INDEX(Calculation_Tab,SMALL(ROW(Main_Dil)*(Main_Dil&lt;&gt;"-"),COUNTIF(Main_Dil,"-")+ROW()-3-$AB$2)-9,5),$A$3:$A$12,0),2)),"-")</f>
        <v>-</v>
      </c>
      <c r="AO255" s="378" t="str">
        <f t="array" aca="1" ref="AO255" ca="1">IFERROR(IF(AI255&lt;=$AB$2,"-",INDEX(Coordinate,MATCH(INDEX(Calculation_Tab,SMALL(ROW(Main_Dil)*(Main_Dil&lt;&gt;"-"),COUNTIF(Main_Dil,"-")+ROW()-3-$AB$2)-9,6),$X$4:$X$99,0),2)),"-")</f>
        <v>-</v>
      </c>
      <c r="AP255" s="510" t="str">
        <f t="array" aca="1" ref="AP255" ca="1">IFERROR(IF(AI255&lt;=$AB$2,"-",INDEX(Calculation_Tab,SMALL(ROW(Main_Dil)*(Main_Dil&lt;&gt;"-"),COUNTIF(Main_Dil,"-")+ROW()-3-$AB$2)-9,21)),"-")</f>
        <v>-</v>
      </c>
      <c r="AQ255" s="511" t="str">
        <f t="array" aca="1" ref="AQ255" ca="1">IFERROR(IF(AI255&lt;=$AB$2,"-",INDEX(Calculation_Tab,SMALL(ROW(Main_Dil)*(Main_Dil&lt;&gt;"-"),COUNTIF(Main_Dil,"-")+ROW()-3-$AB$2)-9,22)),"-")</f>
        <v>-</v>
      </c>
      <c r="AR255" s="487" t="str">
        <f t="shared" ca="1" si="113"/>
        <v>-</v>
      </c>
      <c r="AS255" s="378">
        <v>252</v>
      </c>
      <c r="AT255" s="497" t="s">
        <v>162</v>
      </c>
      <c r="AU255" s="498">
        <v>60</v>
      </c>
      <c r="AV255" s="378" t="str">
        <f t="shared" ca="1" si="114"/>
        <v>-</v>
      </c>
      <c r="AW255" s="378" t="str">
        <f t="array" aca="1" ref="AW255" ca="1">IFERROR(IF(AS255&lt;=$AB$2+$AN$2,"-",INDEX(Calculation_Tab,SMALL(ROW(Direct_Denaturation)*(Direct_Denaturation&lt;&gt;"-"),COUNTIF(Direct_Denaturation,"-")+ROW()-3-$AB$2-$AN$2)-9,5)),"-")</f>
        <v>-</v>
      </c>
      <c r="AX255" s="378" t="str">
        <f t="array" aca="1" ref="AX255" ca="1">IFERROR(IF(AS255&lt;=$AB$2+$AN$2,"-",INDEX($A$3:$B$12,MATCH(INDEX(Calculation_Tab,SMALL(ROW(Direct_Denaturation)*(Direct_Denaturation&lt;&gt;"-"),COUNTIF(Direct_Denaturation,"-")+ROW()-3-$AB$2-$AN$2)-9,5),$A$3:$A$12,0),2)),"-")</f>
        <v>-</v>
      </c>
      <c r="AY255" s="378" t="str">
        <f t="array" aca="1" ref="AY255" ca="1">IFERROR(IF(AS255&lt;=$AB$2+$AN$2,"-",INDEX(Coordinate,MATCH(INDEX(Calculation_Tab,SMALL(ROW(Direct_Denaturation)*(Direct_Denaturation&lt;&gt;"-"),COUNTIF(Direct_Denaturation,"-")+ROW()-3-$AB$2-$AN$2)-9,6),$X$4:$X$99,0),2)),"-")</f>
        <v>-</v>
      </c>
      <c r="AZ255" s="510" t="str">
        <f t="array" aca="1" ref="AZ255" ca="1">IFERROR(IF(AS255&lt;=$AB$2+$AN$2,"-",INDEX(Calculation_Tab,SMALL(ROW(Direct_Denaturation)*(Direct_Denaturation&lt;&gt;"-"),COUNTIF(Direct_Denaturation,"-")+ROW()-3-$AB$2-$AN$2)-9,32)),"-")</f>
        <v>-</v>
      </c>
      <c r="BA255" s="510" t="str">
        <f t="array" aca="1" ref="BA255" ca="1">IFERROR(IF(AS255&lt;=$AB$2+$AN$2,"-",INDEX(Calculation_Tab,SMALL(ROW(Direct_Denaturation)*(Direct_Denaturation&lt;&gt;"-"),COUNTIF(Direct_Denaturation,"-")+ROW()-3-$AB$2-$AN$2)-9,34)),"-")</f>
        <v>-</v>
      </c>
      <c r="BB255" s="510" t="str">
        <f t="array" aca="1" ref="BB255" ca="1">IFERROR(IF(AS255&lt;=$AB$2+$AN$2,"-",INDEX(Calculation_Tab,SMALL(ROW(Direct_Denaturation)*(Direct_Denaturation&lt;&gt;"-"),COUNTIF(Direct_Denaturation,"-")+ROW()-3-$AB$2-$AN$2)-9,33)),"-")</f>
        <v>-</v>
      </c>
      <c r="BC255" s="510" t="str">
        <f t="array" aca="1" ref="BC255" ca="1">IFERROR(IF(AS255&lt;=$AB$2+$AN$2,"-",INDEX(Calculation_Tab,SMALL(ROW(Direct_Denaturation)*(Direct_Denaturation&lt;&gt;"-"),COUNTIF(Direct_Denaturation,"-")+ROW()-3-$AB$2-$AN$2)-9,35)),"-")</f>
        <v>-</v>
      </c>
      <c r="BD255" s="511" t="str">
        <f t="shared" ca="1" si="115"/>
        <v>-</v>
      </c>
      <c r="BK255" s="542" t="s">
        <v>82</v>
      </c>
      <c r="BL255" s="542" t="s">
        <v>82</v>
      </c>
      <c r="BM255" s="487" t="str">
        <f t="array" aca="1" ref="BM255" ca="1">IFERROR(INDEX(Calculation_Tab,SMALL(ROW(ToPool)*(ToPool&lt;&gt;"-"),COUNTIF(ToPool,"-")+ROW()-3)-9,3),"-")</f>
        <v>-</v>
      </c>
      <c r="BN255" s="378" t="str">
        <f t="shared" ca="1" si="116"/>
        <v>-</v>
      </c>
      <c r="BO255" s="378" t="str">
        <f t="shared" ca="1" si="117"/>
        <v>-</v>
      </c>
      <c r="BP255" s="523" t="str">
        <f t="shared" ca="1" si="118"/>
        <v>-</v>
      </c>
      <c r="BQ255" s="378" t="str">
        <f t="array" aca="1" ref="BQ255" ca="1">IFERROR(INDEX(BE:BG,MATCH(INDEX(Calculation_Tab,SMALL(ROW(ToPool)*(ToPool&lt;&gt;"-"),COUNTIF(ToPool,"-")+ROW()-3)-9,9),BG:BG,0),2),"-")</f>
        <v>-</v>
      </c>
      <c r="BR255" s="510" t="str">
        <f t="shared" ca="1" si="119"/>
        <v>-</v>
      </c>
      <c r="BS255" s="511" t="str">
        <f t="shared" ca="1" si="120"/>
        <v>-</v>
      </c>
      <c r="BT255" s="543" t="s">
        <v>82</v>
      </c>
      <c r="BU255" s="487" t="str">
        <f t="shared" ca="1" si="124"/>
        <v>-</v>
      </c>
      <c r="BV255" s="487" t="str">
        <f t="array" aca="1" ref="BV25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55" s="378" t="str">
        <f t="shared" ca="1" si="121"/>
        <v>-</v>
      </c>
      <c r="BX255" s="378" t="str">
        <f t="shared" ca="1" si="122"/>
        <v>-</v>
      </c>
      <c r="BY255" s="510" t="str">
        <f ca="1">IFERROR(ROUND(INDEX(Cluster,MATCH(IF(LEFT(BV255,4)="Pool",INDEX(Cluster,MATCH(INDEX(Calculation_Tab,MATCH(INDEX($BE$4:$BJ$99,MATCH(BV255,$BE$4:$BE$99,0),3),Flow_Cell_Lane,0),3),Cluster!$F$29:$F$412,0),6),BV255),Identifier_Cluster,0),19)*IF(LEFT(BV255,4)="pool",IF(LEN(INDEX($BE$4:$BJ$99,MATCH(BV255,$BE$4:$BE$99,0),3))=10,2,IF(LEN(INDEX($BE$4:$BJ$99,MATCH(BV255,$BE$4:$BE$99,0),3))&gt;10,LEN(INDEX($BE$4:$BJ$99,MATCH(BV255,$BE$4:$BE$99,0),3))-8,1)),1)*IF(LEFT(BV255,4)="pool",IF(INDEX($BE$4:$BJ$99,MATCH(BV255,$BE$4:$BE$99,0),6)&lt;1,1,INDEX($BE$4:$BJ$99,MATCH(BV255,$BE$4:$BE$99,0),6)),INDEX(Calculation_Tab,MATCH(BV255,Identifier,0),10)),1)*(1+Calculation!$Q$6),"-")</f>
        <v>-</v>
      </c>
      <c r="BZ255" s="378" t="str">
        <f ca="1">IFERROR((0.5/50)*CE255/Calculation!$AG$6*(IF(LEFT(BV255,4)="Pool",IF(LEN(INDEX($BE$4:$BJ$99,MATCH(BV255,$BE$4:$BE$99,0),3))=10,2,IF(LEN(INDEX($BE$4:$BJ$99,MATCH(BV255,$BE$4:$BE$99,0),3))&gt;10,LEN(INDEX($BE$4:$BJ$99,MATCH(BV255,$BE$4:$BE$99,0),3))-8,1)),IF(INDEX(Calculation_Tab,MATCH(BV255,Identifier,0),10)&gt;1,INDEX(Calculation_Tab,MATCH(BV255,Identifier,0),10),1)))*(1+Calculation!$Q$6),"-")</f>
        <v>-</v>
      </c>
      <c r="CA255" s="510" t="str">
        <f ca="1">IFERROR(IF((BZ255*Calculation!$AG$6/0.05)-SUM(BY255:BZ255,CC255)&gt;0,(BZ255*Calculation!$AG$6/0.05)-SUM(BY255:BZ255,CC255),0),"-")</f>
        <v>-</v>
      </c>
      <c r="CB255" s="510" t="str">
        <f ca="1">IFERROR(5/50*CE255*(IF(LEFT(BV255,4)="Pool",IF(LEN(INDEX($BE$4:$BJ$99,MATCH(BV255,$BE$4:$BE$99,0),3))=10,2,IF(LEN(INDEX($BE$4:$BJ$99,MATCH(BV255,$BE$4:$BE$99,0),3))&gt;10,LEN(INDEX($BE$4:$BJ$99,MATCH(BV255,$BE$4:$BE$99,0),3))-8,1)),IF(INDEX(Calculation_Tab,MATCH(BV255,Identifier,0),10)&gt;1,INDEX(Calculation_Tab,MATCH(BV255,Identifier,0),10),1)))*(1+Calculation!$Q$6),"-")</f>
        <v>-</v>
      </c>
      <c r="CC255" s="508" t="str">
        <f ca="1">IFERROR(ROUND(INDEX(Cluster,MATCH(IF(LEFT(BV255,4)="Pool",INDEX(Cluster,MATCH(INDEX(Calculation_Tab,MATCH(INDEX($BE$4:$BJ$99,MATCH(BV255,$BE$4:$BE$99,0),3),Flow_Cell_Lane,0),3),Cluster!$F$29:$F$412,0),6),BV255),Identifier_Cluster,0),20)*IF(LEFT(BV255,4)="pool",IF(LEN(INDEX($BE$4:$BJ$99,MATCH(BV255,$BE$4:$BE$99,0),3))=10,2,IF(LEN(INDEX($BE$4:$BJ$99,MATCH(BV255,$BE$4:$BE$99,0),3))&gt;10,LEN(INDEX($BE$4:$BJ$99,MATCH(BV255,$BE$4:$BE$99,0),3))-8,1)),1)*IF(LEFT(BV255,4)="pool",IF(INDEX($BE$4:$BJ$99,MATCH(BV255,$BE$4:$BE$99,0),6)&lt;1,1,INDEX($BE$4:$BJ$99,MATCH(BV255,$BE$4:$BE$99,0),6)),INDEX(Calculation_Tab,MATCH(BV255,Identifier,0),10)),1)*(1+Calculation!$Q$6),"-")</f>
        <v>-</v>
      </c>
      <c r="CD255" s="509" t="str">
        <f ca="1">IFERROR(INDEX(Cluster!AC:AD,MATCH(IF(LEFT(BV255,4)="Pool",INDEX(Cluster!$D$29:$AA$412,MATCH(INDEX(Calculation_Tab,MATCH(INDEX($BE$4:$BJ$99,MATCH(BV255,$BE$4:$BE$99,0),3),Flow_Cell_Lane,0),3),Cluster!$F$29:$F$412,0),24),INDEX(Cluster!$D$29:$AA$412,MATCH(BV255,Cluster!$F$29:$F$412,0),24)),Cluster!AC:AC,0),2),"-")</f>
        <v>-</v>
      </c>
      <c r="CE255" s="378" t="str">
        <f ca="1">IFERROR(IF(BV255&lt;&gt;"-",Calculation!$AK$6,"-"),"-")</f>
        <v>-</v>
      </c>
      <c r="CF255" s="378" t="str">
        <f ca="1">IF(OR(LEFT(ListAndConversion!BW255,3)="Dil",LEFT(ListAndConversion!BW255,3)="Poo"),ListAndConversion!$BT$4,IF(LEFT(ListAndConversion!BW255,3)="Sou",INDEX(ListAndConversion!$AT$3:$AV$387,MATCH(ListAndConversion!BV255,ListAndConversion!$AV$3:$AV$387,0),1),"-"))</f>
        <v>-</v>
      </c>
      <c r="CG255" s="498" t="str">
        <f ca="1">IF(OR(LEFT(ListAndConversion!BW255,3)="Dil",LEFT(ListAndConversion!BW255,3)="Poo"),ListAndConversion!BU255,IF(LEFT(ListAndConversion!BW255,3)="Sou",INDEX(ListAndConversion!$AT$4:$AV$387,MATCH(ListAndConversion!BV255,ListAndConversion!$AV$4:$AV$387,0),2),"-"))</f>
        <v>-</v>
      </c>
      <c r="CH255" s="378"/>
      <c r="CI255" s="487" t="str">
        <f t="shared" ca="1" si="123"/>
        <v>-</v>
      </c>
      <c r="CJ255" s="378" t="str">
        <f t="shared" ca="1" si="136"/>
        <v>-</v>
      </c>
      <c r="CK255" s="378" t="str">
        <f t="shared" ca="1" si="136"/>
        <v>-</v>
      </c>
      <c r="CL255" s="378" t="str">
        <f t="shared" ca="1" si="136"/>
        <v>-</v>
      </c>
      <c r="CM255" s="378" t="str">
        <f t="shared" ca="1" si="136"/>
        <v>-</v>
      </c>
      <c r="CN255" s="378" t="str">
        <f t="shared" ca="1" si="136"/>
        <v>-</v>
      </c>
      <c r="CO255" s="378" t="str">
        <f t="shared" ca="1" si="136"/>
        <v>-</v>
      </c>
      <c r="CP255" s="378" t="str">
        <f t="shared" ca="1" si="136"/>
        <v>-</v>
      </c>
      <c r="CQ255" s="378" t="str">
        <f t="shared" ca="1" si="136"/>
        <v>-</v>
      </c>
      <c r="CR255" s="510" t="str">
        <f ca="1">IFERROR(IF(LEFT(BW255,3)="Poo",INDEX($BE$4:$BJ$99,MATCH(CI255,$BG$4:$BG$99,0),6)*((15/50))*Calculation!$AK$6,INDEX(Calculation_Tab,MATCH(BV255,Identifier,0),10)/(IF(LEN(INDEX(Calculation_Tab,MATCH(BV255,Identifier,0),9))&gt;8,LEN(INDEX(Calculation_Tab,MATCH(BV255,Identifier,0),9))-8,1))*((15/50)*Calculation!$AK$6)),"-")</f>
        <v>-</v>
      </c>
      <c r="CS255" s="498" t="str">
        <f ca="1">IF(CI255="-","-",IF(COUNTIF($CI$3:CI255,CI255)&gt;1,0,IFERROR((35/50)*Calculation!$AK$6,"-")))</f>
        <v>-</v>
      </c>
    </row>
    <row r="256" spans="4:97" x14ac:dyDescent="0.5">
      <c r="D256" s="487" t="e">
        <f t="shared" si="109"/>
        <v>#DIV/0!</v>
      </c>
      <c r="E256" s="496" t="e">
        <f t="array" ref="E256">IF(IF((ROW(E256)-3)&lt;(ListAndConversion!$A$15),INDEX(Flow_Cell_Lane,MIN(IF(COUNTIF($E$2:E255,Flow_Cell_Lane)=0,ROW(Flow_Cell_Lane)-9))),"-")="","-",IF((ROW(E256)-3)&lt;(ListAndConversion!$A$15),INDEX(Flow_Cell_Lane,MIN(IF(COUNTIF($E$2:E255,Flow_Cell_Lane)=0,ROW(Flow_Cell_Lane)-9))),"-"))</f>
        <v>#DIV/0!</v>
      </c>
      <c r="F256" s="378" t="e">
        <f t="shared" si="110"/>
        <v>#DIV/0!</v>
      </c>
      <c r="G256" s="378" t="e">
        <f t="shared" si="135"/>
        <v>#DIV/0!</v>
      </c>
      <c r="H256" s="378" t="e">
        <f t="shared" si="135"/>
        <v>#DIV/0!</v>
      </c>
      <c r="I256" s="378" t="e">
        <f t="shared" si="135"/>
        <v>#DIV/0!</v>
      </c>
      <c r="J256" s="378" t="e">
        <f t="shared" si="135"/>
        <v>#DIV/0!</v>
      </c>
      <c r="K256" s="378" t="e">
        <f t="shared" si="135"/>
        <v>#DIV/0!</v>
      </c>
      <c r="L256" s="378" t="e">
        <f t="shared" si="135"/>
        <v>#DIV/0!</v>
      </c>
      <c r="M256" s="378" t="e">
        <f t="shared" si="135"/>
        <v>#DIV/0!</v>
      </c>
      <c r="N256" s="497" t="e">
        <f t="shared" si="111"/>
        <v>#DIV/0!</v>
      </c>
      <c r="O256" s="497" t="str">
        <f t="array" ref="O256">IFERROR(INDEX(Calculation!I:AN,MATCH(ListAndConversion!E256,Calculation!I:I,0),31),"-")</f>
        <v>-</v>
      </c>
      <c r="P256" s="498">
        <f>IF(COUNTIFS(Calculation!$I$10:$I$393,E256,Direct_Denaturation,"-")&lt;&gt;1,COUNTIFS(Calculation!$I$10:$I$393,E256,Direct_Denaturation,"-"),0)</f>
        <v>0</v>
      </c>
      <c r="V256" s="542" t="s">
        <v>82</v>
      </c>
      <c r="W256" s="542" t="s">
        <v>82</v>
      </c>
      <c r="X256" s="542" t="s">
        <v>82</v>
      </c>
      <c r="Y256" s="542" t="s">
        <v>82</v>
      </c>
      <c r="Z256" s="542" t="s">
        <v>82</v>
      </c>
      <c r="AA256" s="542" t="s">
        <v>82</v>
      </c>
      <c r="AB256" s="542" t="s">
        <v>82</v>
      </c>
      <c r="AC256" s="542" t="s">
        <v>82</v>
      </c>
      <c r="AD256" s="542" t="s">
        <v>82</v>
      </c>
      <c r="AE256" s="542" t="s">
        <v>82</v>
      </c>
      <c r="AF256" s="542" t="s">
        <v>82</v>
      </c>
      <c r="AG256" s="542" t="s">
        <v>82</v>
      </c>
      <c r="AH256" s="9"/>
      <c r="AI256" s="487">
        <v>253</v>
      </c>
      <c r="AJ256" s="497" t="s">
        <v>162</v>
      </c>
      <c r="AK256" s="378">
        <v>61</v>
      </c>
      <c r="AL256" s="378" t="str">
        <f t="shared" ca="1" si="112"/>
        <v>-</v>
      </c>
      <c r="AM256" s="378" t="str">
        <f t="array" aca="1" ref="AM256" ca="1">IFERROR(IF(AI256&lt;=$AB$2,"-",INDEX(Calculation_Tab,SMALL(ROW(Main_Dil)*(Main_Dil&lt;&gt;"-"),COUNTIF(Main_Dil,"-")+ROW()-3-$AB$2)-9,5)),"-")</f>
        <v>-</v>
      </c>
      <c r="AN256" s="378" t="str">
        <f t="array" aca="1" ref="AN256" ca="1">IFERROR(IF(AI256&lt;=$AB$2,"-",INDEX($A$3:$B$12,MATCH(INDEX(Calculation_Tab,SMALL(ROW(Main_Dil)*(Main_Dil&lt;&gt;"-"),COUNTIF(Main_Dil,"-")+ROW()-3-$AB$2)-9,5),$A$3:$A$12,0),2)),"-")</f>
        <v>-</v>
      </c>
      <c r="AO256" s="378" t="str">
        <f t="array" aca="1" ref="AO256" ca="1">IFERROR(IF(AI256&lt;=$AB$2,"-",INDEX(Coordinate,MATCH(INDEX(Calculation_Tab,SMALL(ROW(Main_Dil)*(Main_Dil&lt;&gt;"-"),COUNTIF(Main_Dil,"-")+ROW()-3-$AB$2)-9,6),$X$4:$X$99,0),2)),"-")</f>
        <v>-</v>
      </c>
      <c r="AP256" s="510" t="str">
        <f t="array" aca="1" ref="AP256" ca="1">IFERROR(IF(AI256&lt;=$AB$2,"-",INDEX(Calculation_Tab,SMALL(ROW(Main_Dil)*(Main_Dil&lt;&gt;"-"),COUNTIF(Main_Dil,"-")+ROW()-3-$AB$2)-9,21)),"-")</f>
        <v>-</v>
      </c>
      <c r="AQ256" s="511" t="str">
        <f t="array" aca="1" ref="AQ256" ca="1">IFERROR(IF(AI256&lt;=$AB$2,"-",INDEX(Calculation_Tab,SMALL(ROW(Main_Dil)*(Main_Dil&lt;&gt;"-"),COUNTIF(Main_Dil,"-")+ROW()-3-$AB$2)-9,22)),"-")</f>
        <v>-</v>
      </c>
      <c r="AR256" s="487" t="str">
        <f t="shared" ca="1" si="113"/>
        <v>-</v>
      </c>
      <c r="AS256" s="378">
        <v>253</v>
      </c>
      <c r="AT256" s="497" t="s">
        <v>162</v>
      </c>
      <c r="AU256" s="498">
        <v>61</v>
      </c>
      <c r="AV256" s="378" t="str">
        <f t="shared" ca="1" si="114"/>
        <v>-</v>
      </c>
      <c r="AW256" s="378" t="str">
        <f t="array" aca="1" ref="AW256" ca="1">IFERROR(IF(AS256&lt;=$AB$2+$AN$2,"-",INDEX(Calculation_Tab,SMALL(ROW(Direct_Denaturation)*(Direct_Denaturation&lt;&gt;"-"),COUNTIF(Direct_Denaturation,"-")+ROW()-3-$AB$2-$AN$2)-9,5)),"-")</f>
        <v>-</v>
      </c>
      <c r="AX256" s="378" t="str">
        <f t="array" aca="1" ref="AX256" ca="1">IFERROR(IF(AS256&lt;=$AB$2+$AN$2,"-",INDEX($A$3:$B$12,MATCH(INDEX(Calculation_Tab,SMALL(ROW(Direct_Denaturation)*(Direct_Denaturation&lt;&gt;"-"),COUNTIF(Direct_Denaturation,"-")+ROW()-3-$AB$2-$AN$2)-9,5),$A$3:$A$12,0),2)),"-")</f>
        <v>-</v>
      </c>
      <c r="AY256" s="378" t="str">
        <f t="array" aca="1" ref="AY256" ca="1">IFERROR(IF(AS256&lt;=$AB$2+$AN$2,"-",INDEX(Coordinate,MATCH(INDEX(Calculation_Tab,SMALL(ROW(Direct_Denaturation)*(Direct_Denaturation&lt;&gt;"-"),COUNTIF(Direct_Denaturation,"-")+ROW()-3-$AB$2-$AN$2)-9,6),$X$4:$X$99,0),2)),"-")</f>
        <v>-</v>
      </c>
      <c r="AZ256" s="510" t="str">
        <f t="array" aca="1" ref="AZ256" ca="1">IFERROR(IF(AS256&lt;=$AB$2+$AN$2,"-",INDEX(Calculation_Tab,SMALL(ROW(Direct_Denaturation)*(Direct_Denaturation&lt;&gt;"-"),COUNTIF(Direct_Denaturation,"-")+ROW()-3-$AB$2-$AN$2)-9,32)),"-")</f>
        <v>-</v>
      </c>
      <c r="BA256" s="510" t="str">
        <f t="array" aca="1" ref="BA256" ca="1">IFERROR(IF(AS256&lt;=$AB$2+$AN$2,"-",INDEX(Calculation_Tab,SMALL(ROW(Direct_Denaturation)*(Direct_Denaturation&lt;&gt;"-"),COUNTIF(Direct_Denaturation,"-")+ROW()-3-$AB$2-$AN$2)-9,34)),"-")</f>
        <v>-</v>
      </c>
      <c r="BB256" s="510" t="str">
        <f t="array" aca="1" ref="BB256" ca="1">IFERROR(IF(AS256&lt;=$AB$2+$AN$2,"-",INDEX(Calculation_Tab,SMALL(ROW(Direct_Denaturation)*(Direct_Denaturation&lt;&gt;"-"),COUNTIF(Direct_Denaturation,"-")+ROW()-3-$AB$2-$AN$2)-9,33)),"-")</f>
        <v>-</v>
      </c>
      <c r="BC256" s="510" t="str">
        <f t="array" aca="1" ref="BC256" ca="1">IFERROR(IF(AS256&lt;=$AB$2+$AN$2,"-",INDEX(Calculation_Tab,SMALL(ROW(Direct_Denaturation)*(Direct_Denaturation&lt;&gt;"-"),COUNTIF(Direct_Denaturation,"-")+ROW()-3-$AB$2-$AN$2)-9,35)),"-")</f>
        <v>-</v>
      </c>
      <c r="BD256" s="511" t="str">
        <f t="shared" ca="1" si="115"/>
        <v>-</v>
      </c>
      <c r="BK256" s="542" t="s">
        <v>82</v>
      </c>
      <c r="BL256" s="542" t="s">
        <v>82</v>
      </c>
      <c r="BM256" s="487" t="str">
        <f t="array" aca="1" ref="BM256" ca="1">IFERROR(INDEX(Calculation_Tab,SMALL(ROW(ToPool)*(ToPool&lt;&gt;"-"),COUNTIF(ToPool,"-")+ROW()-3)-9,3),"-")</f>
        <v>-</v>
      </c>
      <c r="BN256" s="378" t="str">
        <f t="shared" ca="1" si="116"/>
        <v>-</v>
      </c>
      <c r="BO256" s="378" t="str">
        <f t="shared" ca="1" si="117"/>
        <v>-</v>
      </c>
      <c r="BP256" s="523" t="str">
        <f t="shared" ca="1" si="118"/>
        <v>-</v>
      </c>
      <c r="BQ256" s="378" t="str">
        <f t="array" aca="1" ref="BQ256" ca="1">IFERROR(INDEX(BE:BG,MATCH(INDEX(Calculation_Tab,SMALL(ROW(ToPool)*(ToPool&lt;&gt;"-"),COUNTIF(ToPool,"-")+ROW()-3)-9,9),BG:BG,0),2),"-")</f>
        <v>-</v>
      </c>
      <c r="BR256" s="510" t="str">
        <f t="shared" ca="1" si="119"/>
        <v>-</v>
      </c>
      <c r="BS256" s="511" t="str">
        <f t="shared" ca="1" si="120"/>
        <v>-</v>
      </c>
      <c r="BT256" s="543" t="s">
        <v>82</v>
      </c>
      <c r="BU256" s="487" t="str">
        <f t="shared" ca="1" si="124"/>
        <v>-</v>
      </c>
      <c r="BV256" s="487" t="str">
        <f t="array" aca="1" ref="BV25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56" s="378" t="str">
        <f t="shared" ca="1" si="121"/>
        <v>-</v>
      </c>
      <c r="BX256" s="378" t="str">
        <f t="shared" ca="1" si="122"/>
        <v>-</v>
      </c>
      <c r="BY256" s="510" t="str">
        <f ca="1">IFERROR(ROUND(INDEX(Cluster,MATCH(IF(LEFT(BV256,4)="Pool",INDEX(Cluster,MATCH(INDEX(Calculation_Tab,MATCH(INDEX($BE$4:$BJ$99,MATCH(BV256,$BE$4:$BE$99,0),3),Flow_Cell_Lane,0),3),Cluster!$F$29:$F$412,0),6),BV256),Identifier_Cluster,0),19)*IF(LEFT(BV256,4)="pool",IF(LEN(INDEX($BE$4:$BJ$99,MATCH(BV256,$BE$4:$BE$99,0),3))=10,2,IF(LEN(INDEX($BE$4:$BJ$99,MATCH(BV256,$BE$4:$BE$99,0),3))&gt;10,LEN(INDEX($BE$4:$BJ$99,MATCH(BV256,$BE$4:$BE$99,0),3))-8,1)),1)*IF(LEFT(BV256,4)="pool",IF(INDEX($BE$4:$BJ$99,MATCH(BV256,$BE$4:$BE$99,0),6)&lt;1,1,INDEX($BE$4:$BJ$99,MATCH(BV256,$BE$4:$BE$99,0),6)),INDEX(Calculation_Tab,MATCH(BV256,Identifier,0),10)),1)*(1+Calculation!$Q$6),"-")</f>
        <v>-</v>
      </c>
      <c r="BZ256" s="378" t="str">
        <f ca="1">IFERROR((0.5/50)*CE256/Calculation!$AG$6*(IF(LEFT(BV256,4)="Pool",IF(LEN(INDEX($BE$4:$BJ$99,MATCH(BV256,$BE$4:$BE$99,0),3))=10,2,IF(LEN(INDEX($BE$4:$BJ$99,MATCH(BV256,$BE$4:$BE$99,0),3))&gt;10,LEN(INDEX($BE$4:$BJ$99,MATCH(BV256,$BE$4:$BE$99,0),3))-8,1)),IF(INDEX(Calculation_Tab,MATCH(BV256,Identifier,0),10)&gt;1,INDEX(Calculation_Tab,MATCH(BV256,Identifier,0),10),1)))*(1+Calculation!$Q$6),"-")</f>
        <v>-</v>
      </c>
      <c r="CA256" s="510" t="str">
        <f ca="1">IFERROR(IF((BZ256*Calculation!$AG$6/0.05)-SUM(BY256:BZ256,CC256)&gt;0,(BZ256*Calculation!$AG$6/0.05)-SUM(BY256:BZ256,CC256),0),"-")</f>
        <v>-</v>
      </c>
      <c r="CB256" s="510" t="str">
        <f ca="1">IFERROR(5/50*CE256*(IF(LEFT(BV256,4)="Pool",IF(LEN(INDEX($BE$4:$BJ$99,MATCH(BV256,$BE$4:$BE$99,0),3))=10,2,IF(LEN(INDEX($BE$4:$BJ$99,MATCH(BV256,$BE$4:$BE$99,0),3))&gt;10,LEN(INDEX($BE$4:$BJ$99,MATCH(BV256,$BE$4:$BE$99,0),3))-8,1)),IF(INDEX(Calculation_Tab,MATCH(BV256,Identifier,0),10)&gt;1,INDEX(Calculation_Tab,MATCH(BV256,Identifier,0),10),1)))*(1+Calculation!$Q$6),"-")</f>
        <v>-</v>
      </c>
      <c r="CC256" s="508" t="str">
        <f ca="1">IFERROR(ROUND(INDEX(Cluster,MATCH(IF(LEFT(BV256,4)="Pool",INDEX(Cluster,MATCH(INDEX(Calculation_Tab,MATCH(INDEX($BE$4:$BJ$99,MATCH(BV256,$BE$4:$BE$99,0),3),Flow_Cell_Lane,0),3),Cluster!$F$29:$F$412,0),6),BV256),Identifier_Cluster,0),20)*IF(LEFT(BV256,4)="pool",IF(LEN(INDEX($BE$4:$BJ$99,MATCH(BV256,$BE$4:$BE$99,0),3))=10,2,IF(LEN(INDEX($BE$4:$BJ$99,MATCH(BV256,$BE$4:$BE$99,0),3))&gt;10,LEN(INDEX($BE$4:$BJ$99,MATCH(BV256,$BE$4:$BE$99,0),3))-8,1)),1)*IF(LEFT(BV256,4)="pool",IF(INDEX($BE$4:$BJ$99,MATCH(BV256,$BE$4:$BE$99,0),6)&lt;1,1,INDEX($BE$4:$BJ$99,MATCH(BV256,$BE$4:$BE$99,0),6)),INDEX(Calculation_Tab,MATCH(BV256,Identifier,0),10)),1)*(1+Calculation!$Q$6),"-")</f>
        <v>-</v>
      </c>
      <c r="CD256" s="509" t="str">
        <f ca="1">IFERROR(INDEX(Cluster!AC:AD,MATCH(IF(LEFT(BV256,4)="Pool",INDEX(Cluster!$D$29:$AA$412,MATCH(INDEX(Calculation_Tab,MATCH(INDEX($BE$4:$BJ$99,MATCH(BV256,$BE$4:$BE$99,0),3),Flow_Cell_Lane,0),3),Cluster!$F$29:$F$412,0),24),INDEX(Cluster!$D$29:$AA$412,MATCH(BV256,Cluster!$F$29:$F$412,0),24)),Cluster!AC:AC,0),2),"-")</f>
        <v>-</v>
      </c>
      <c r="CE256" s="378" t="str">
        <f ca="1">IFERROR(IF(BV256&lt;&gt;"-",Calculation!$AK$6,"-"),"-")</f>
        <v>-</v>
      </c>
      <c r="CF256" s="378" t="str">
        <f ca="1">IF(OR(LEFT(ListAndConversion!BW256,3)="Dil",LEFT(ListAndConversion!BW256,3)="Poo"),ListAndConversion!$BT$4,IF(LEFT(ListAndConversion!BW256,3)="Sou",INDEX(ListAndConversion!$AT$3:$AV$387,MATCH(ListAndConversion!BV256,ListAndConversion!$AV$3:$AV$387,0),1),"-"))</f>
        <v>-</v>
      </c>
      <c r="CG256" s="498" t="str">
        <f ca="1">IF(OR(LEFT(ListAndConversion!BW256,3)="Dil",LEFT(ListAndConversion!BW256,3)="Poo"),ListAndConversion!BU256,IF(LEFT(ListAndConversion!BW256,3)="Sou",INDEX(ListAndConversion!$AT$4:$AV$387,MATCH(ListAndConversion!BV256,ListAndConversion!$AV$4:$AV$387,0),2),"-"))</f>
        <v>-</v>
      </c>
      <c r="CH256" s="378"/>
      <c r="CI256" s="487" t="str">
        <f t="shared" ca="1" si="123"/>
        <v>-</v>
      </c>
      <c r="CJ256" s="378" t="str">
        <f t="shared" ca="1" si="136"/>
        <v>-</v>
      </c>
      <c r="CK256" s="378" t="str">
        <f t="shared" ca="1" si="136"/>
        <v>-</v>
      </c>
      <c r="CL256" s="378" t="str">
        <f t="shared" ca="1" si="136"/>
        <v>-</v>
      </c>
      <c r="CM256" s="378" t="str">
        <f t="shared" ca="1" si="136"/>
        <v>-</v>
      </c>
      <c r="CN256" s="378" t="str">
        <f t="shared" ca="1" si="136"/>
        <v>-</v>
      </c>
      <c r="CO256" s="378" t="str">
        <f t="shared" ca="1" si="136"/>
        <v>-</v>
      </c>
      <c r="CP256" s="378" t="str">
        <f t="shared" ca="1" si="136"/>
        <v>-</v>
      </c>
      <c r="CQ256" s="378" t="str">
        <f t="shared" ca="1" si="136"/>
        <v>-</v>
      </c>
      <c r="CR256" s="510" t="str">
        <f ca="1">IFERROR(IF(LEFT(BW256,3)="Poo",INDEX($BE$4:$BJ$99,MATCH(CI256,$BG$4:$BG$99,0),6)*((15/50))*Calculation!$AK$6,INDEX(Calculation_Tab,MATCH(BV256,Identifier,0),10)/(IF(LEN(INDEX(Calculation_Tab,MATCH(BV256,Identifier,0),9))&gt;8,LEN(INDEX(Calculation_Tab,MATCH(BV256,Identifier,0),9))-8,1))*((15/50)*Calculation!$AK$6)),"-")</f>
        <v>-</v>
      </c>
      <c r="CS256" s="498" t="str">
        <f ca="1">IF(CI256="-","-",IF(COUNTIF($CI$3:CI256,CI256)&gt;1,0,IFERROR((35/50)*Calculation!$AK$6,"-")))</f>
        <v>-</v>
      </c>
    </row>
    <row r="257" spans="4:97" x14ac:dyDescent="0.5">
      <c r="D257" s="487" t="e">
        <f t="shared" si="109"/>
        <v>#DIV/0!</v>
      </c>
      <c r="E257" s="496" t="e">
        <f t="array" ref="E257">IF(IF((ROW(E257)-3)&lt;(ListAndConversion!$A$15),INDEX(Flow_Cell_Lane,MIN(IF(COUNTIF($E$2:E256,Flow_Cell_Lane)=0,ROW(Flow_Cell_Lane)-9))),"-")="","-",IF((ROW(E257)-3)&lt;(ListAndConversion!$A$15),INDEX(Flow_Cell_Lane,MIN(IF(COUNTIF($E$2:E256,Flow_Cell_Lane)=0,ROW(Flow_Cell_Lane)-9))),"-"))</f>
        <v>#DIV/0!</v>
      </c>
      <c r="F257" s="378" t="e">
        <f t="shared" si="110"/>
        <v>#DIV/0!</v>
      </c>
      <c r="G257" s="378" t="e">
        <f t="shared" si="135"/>
        <v>#DIV/0!</v>
      </c>
      <c r="H257" s="378" t="e">
        <f t="shared" si="135"/>
        <v>#DIV/0!</v>
      </c>
      <c r="I257" s="378" t="e">
        <f t="shared" si="135"/>
        <v>#DIV/0!</v>
      </c>
      <c r="J257" s="378" t="e">
        <f t="shared" si="135"/>
        <v>#DIV/0!</v>
      </c>
      <c r="K257" s="378" t="e">
        <f t="shared" si="135"/>
        <v>#DIV/0!</v>
      </c>
      <c r="L257" s="378" t="e">
        <f t="shared" si="135"/>
        <v>#DIV/0!</v>
      </c>
      <c r="M257" s="378" t="e">
        <f t="shared" si="135"/>
        <v>#DIV/0!</v>
      </c>
      <c r="N257" s="497" t="e">
        <f t="shared" si="111"/>
        <v>#DIV/0!</v>
      </c>
      <c r="O257" s="497" t="str">
        <f t="array" ref="O257">IFERROR(INDEX(Calculation!I:AN,MATCH(ListAndConversion!E257,Calculation!I:I,0),31),"-")</f>
        <v>-</v>
      </c>
      <c r="P257" s="498">
        <f>IF(COUNTIFS(Calculation!$I$10:$I$393,E257,Direct_Denaturation,"-")&lt;&gt;1,COUNTIFS(Calculation!$I$10:$I$393,E257,Direct_Denaturation,"-"),0)</f>
        <v>0</v>
      </c>
      <c r="V257" s="542" t="s">
        <v>82</v>
      </c>
      <c r="W257" s="542" t="s">
        <v>82</v>
      </c>
      <c r="X257" s="542" t="s">
        <v>82</v>
      </c>
      <c r="Y257" s="542" t="s">
        <v>82</v>
      </c>
      <c r="Z257" s="542" t="s">
        <v>82</v>
      </c>
      <c r="AA257" s="542" t="s">
        <v>82</v>
      </c>
      <c r="AB257" s="542" t="s">
        <v>82</v>
      </c>
      <c r="AC257" s="542" t="s">
        <v>82</v>
      </c>
      <c r="AD257" s="542" t="s">
        <v>82</v>
      </c>
      <c r="AE257" s="542" t="s">
        <v>82</v>
      </c>
      <c r="AF257" s="542" t="s">
        <v>82</v>
      </c>
      <c r="AG257" s="542" t="s">
        <v>82</v>
      </c>
      <c r="AH257" s="9"/>
      <c r="AI257" s="487">
        <v>254</v>
      </c>
      <c r="AJ257" s="497" t="s">
        <v>162</v>
      </c>
      <c r="AK257" s="378">
        <v>62</v>
      </c>
      <c r="AL257" s="378" t="str">
        <f t="shared" ca="1" si="112"/>
        <v>-</v>
      </c>
      <c r="AM257" s="378" t="str">
        <f t="array" aca="1" ref="AM257" ca="1">IFERROR(IF(AI257&lt;=$AB$2,"-",INDEX(Calculation_Tab,SMALL(ROW(Main_Dil)*(Main_Dil&lt;&gt;"-"),COUNTIF(Main_Dil,"-")+ROW()-3-$AB$2)-9,5)),"-")</f>
        <v>-</v>
      </c>
      <c r="AN257" s="378" t="str">
        <f t="array" aca="1" ref="AN257" ca="1">IFERROR(IF(AI257&lt;=$AB$2,"-",INDEX($A$3:$B$12,MATCH(INDEX(Calculation_Tab,SMALL(ROW(Main_Dil)*(Main_Dil&lt;&gt;"-"),COUNTIF(Main_Dil,"-")+ROW()-3-$AB$2)-9,5),$A$3:$A$12,0),2)),"-")</f>
        <v>-</v>
      </c>
      <c r="AO257" s="378" t="str">
        <f t="array" aca="1" ref="AO257" ca="1">IFERROR(IF(AI257&lt;=$AB$2,"-",INDEX(Coordinate,MATCH(INDEX(Calculation_Tab,SMALL(ROW(Main_Dil)*(Main_Dil&lt;&gt;"-"),COUNTIF(Main_Dil,"-")+ROW()-3-$AB$2)-9,6),$X$4:$X$99,0),2)),"-")</f>
        <v>-</v>
      </c>
      <c r="AP257" s="510" t="str">
        <f t="array" aca="1" ref="AP257" ca="1">IFERROR(IF(AI257&lt;=$AB$2,"-",INDEX(Calculation_Tab,SMALL(ROW(Main_Dil)*(Main_Dil&lt;&gt;"-"),COUNTIF(Main_Dil,"-")+ROW()-3-$AB$2)-9,21)),"-")</f>
        <v>-</v>
      </c>
      <c r="AQ257" s="511" t="str">
        <f t="array" aca="1" ref="AQ257" ca="1">IFERROR(IF(AI257&lt;=$AB$2,"-",INDEX(Calculation_Tab,SMALL(ROW(Main_Dil)*(Main_Dil&lt;&gt;"-"),COUNTIF(Main_Dil,"-")+ROW()-3-$AB$2)-9,22)),"-")</f>
        <v>-</v>
      </c>
      <c r="AR257" s="487" t="str">
        <f t="shared" ca="1" si="113"/>
        <v>-</v>
      </c>
      <c r="AS257" s="378">
        <v>254</v>
      </c>
      <c r="AT257" s="497" t="s">
        <v>162</v>
      </c>
      <c r="AU257" s="498">
        <v>62</v>
      </c>
      <c r="AV257" s="378" t="str">
        <f t="shared" ca="1" si="114"/>
        <v>-</v>
      </c>
      <c r="AW257" s="378" t="str">
        <f t="array" aca="1" ref="AW257" ca="1">IFERROR(IF(AS257&lt;=$AB$2+$AN$2,"-",INDEX(Calculation_Tab,SMALL(ROW(Direct_Denaturation)*(Direct_Denaturation&lt;&gt;"-"),COUNTIF(Direct_Denaturation,"-")+ROW()-3-$AB$2-$AN$2)-9,5)),"-")</f>
        <v>-</v>
      </c>
      <c r="AX257" s="378" t="str">
        <f t="array" aca="1" ref="AX257" ca="1">IFERROR(IF(AS257&lt;=$AB$2+$AN$2,"-",INDEX($A$3:$B$12,MATCH(INDEX(Calculation_Tab,SMALL(ROW(Direct_Denaturation)*(Direct_Denaturation&lt;&gt;"-"),COUNTIF(Direct_Denaturation,"-")+ROW()-3-$AB$2-$AN$2)-9,5),$A$3:$A$12,0),2)),"-")</f>
        <v>-</v>
      </c>
      <c r="AY257" s="378" t="str">
        <f t="array" aca="1" ref="AY257" ca="1">IFERROR(IF(AS257&lt;=$AB$2+$AN$2,"-",INDEX(Coordinate,MATCH(INDEX(Calculation_Tab,SMALL(ROW(Direct_Denaturation)*(Direct_Denaturation&lt;&gt;"-"),COUNTIF(Direct_Denaturation,"-")+ROW()-3-$AB$2-$AN$2)-9,6),$X$4:$X$99,0),2)),"-")</f>
        <v>-</v>
      </c>
      <c r="AZ257" s="510" t="str">
        <f t="array" aca="1" ref="AZ257" ca="1">IFERROR(IF(AS257&lt;=$AB$2+$AN$2,"-",INDEX(Calculation_Tab,SMALL(ROW(Direct_Denaturation)*(Direct_Denaturation&lt;&gt;"-"),COUNTIF(Direct_Denaturation,"-")+ROW()-3-$AB$2-$AN$2)-9,32)),"-")</f>
        <v>-</v>
      </c>
      <c r="BA257" s="510" t="str">
        <f t="array" aca="1" ref="BA257" ca="1">IFERROR(IF(AS257&lt;=$AB$2+$AN$2,"-",INDEX(Calculation_Tab,SMALL(ROW(Direct_Denaturation)*(Direct_Denaturation&lt;&gt;"-"),COUNTIF(Direct_Denaturation,"-")+ROW()-3-$AB$2-$AN$2)-9,34)),"-")</f>
        <v>-</v>
      </c>
      <c r="BB257" s="510" t="str">
        <f t="array" aca="1" ref="BB257" ca="1">IFERROR(IF(AS257&lt;=$AB$2+$AN$2,"-",INDEX(Calculation_Tab,SMALL(ROW(Direct_Denaturation)*(Direct_Denaturation&lt;&gt;"-"),COUNTIF(Direct_Denaturation,"-")+ROW()-3-$AB$2-$AN$2)-9,33)),"-")</f>
        <v>-</v>
      </c>
      <c r="BC257" s="510" t="str">
        <f t="array" aca="1" ref="BC257" ca="1">IFERROR(IF(AS257&lt;=$AB$2+$AN$2,"-",INDEX(Calculation_Tab,SMALL(ROW(Direct_Denaturation)*(Direct_Denaturation&lt;&gt;"-"),COUNTIF(Direct_Denaturation,"-")+ROW()-3-$AB$2-$AN$2)-9,35)),"-")</f>
        <v>-</v>
      </c>
      <c r="BD257" s="511" t="str">
        <f t="shared" ca="1" si="115"/>
        <v>-</v>
      </c>
      <c r="BK257" s="542" t="s">
        <v>82</v>
      </c>
      <c r="BL257" s="542" t="s">
        <v>82</v>
      </c>
      <c r="BM257" s="487" t="str">
        <f t="array" aca="1" ref="BM257" ca="1">IFERROR(INDEX(Calculation_Tab,SMALL(ROW(ToPool)*(ToPool&lt;&gt;"-"),COUNTIF(ToPool,"-")+ROW()-3)-9,3),"-")</f>
        <v>-</v>
      </c>
      <c r="BN257" s="378" t="str">
        <f t="shared" ca="1" si="116"/>
        <v>-</v>
      </c>
      <c r="BO257" s="378" t="str">
        <f t="shared" ca="1" si="117"/>
        <v>-</v>
      </c>
      <c r="BP257" s="523" t="str">
        <f t="shared" ca="1" si="118"/>
        <v>-</v>
      </c>
      <c r="BQ257" s="378" t="str">
        <f t="array" aca="1" ref="BQ257" ca="1">IFERROR(INDEX(BE:BG,MATCH(INDEX(Calculation_Tab,SMALL(ROW(ToPool)*(ToPool&lt;&gt;"-"),COUNTIF(ToPool,"-")+ROW()-3)-9,9),BG:BG,0),2),"-")</f>
        <v>-</v>
      </c>
      <c r="BR257" s="510" t="str">
        <f t="shared" ca="1" si="119"/>
        <v>-</v>
      </c>
      <c r="BS257" s="511" t="str">
        <f t="shared" ca="1" si="120"/>
        <v>-</v>
      </c>
      <c r="BT257" s="543" t="s">
        <v>82</v>
      </c>
      <c r="BU257" s="487" t="str">
        <f t="shared" ca="1" si="124"/>
        <v>-</v>
      </c>
      <c r="BV257" s="487" t="str">
        <f t="array" aca="1" ref="BV25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57" s="378" t="str">
        <f t="shared" ca="1" si="121"/>
        <v>-</v>
      </c>
      <c r="BX257" s="378" t="str">
        <f t="shared" ca="1" si="122"/>
        <v>-</v>
      </c>
      <c r="BY257" s="510" t="str">
        <f ca="1">IFERROR(ROUND(INDEX(Cluster,MATCH(IF(LEFT(BV257,4)="Pool",INDEX(Cluster,MATCH(INDEX(Calculation_Tab,MATCH(INDEX($BE$4:$BJ$99,MATCH(BV257,$BE$4:$BE$99,0),3),Flow_Cell_Lane,0),3),Cluster!$F$29:$F$412,0),6),BV257),Identifier_Cluster,0),19)*IF(LEFT(BV257,4)="pool",IF(LEN(INDEX($BE$4:$BJ$99,MATCH(BV257,$BE$4:$BE$99,0),3))=10,2,IF(LEN(INDEX($BE$4:$BJ$99,MATCH(BV257,$BE$4:$BE$99,0),3))&gt;10,LEN(INDEX($BE$4:$BJ$99,MATCH(BV257,$BE$4:$BE$99,0),3))-8,1)),1)*IF(LEFT(BV257,4)="pool",IF(INDEX($BE$4:$BJ$99,MATCH(BV257,$BE$4:$BE$99,0),6)&lt;1,1,INDEX($BE$4:$BJ$99,MATCH(BV257,$BE$4:$BE$99,0),6)),INDEX(Calculation_Tab,MATCH(BV257,Identifier,0),10)),1)*(1+Calculation!$Q$6),"-")</f>
        <v>-</v>
      </c>
      <c r="BZ257" s="378" t="str">
        <f ca="1">IFERROR((0.5/50)*CE257/Calculation!$AG$6*(IF(LEFT(BV257,4)="Pool",IF(LEN(INDEX($BE$4:$BJ$99,MATCH(BV257,$BE$4:$BE$99,0),3))=10,2,IF(LEN(INDEX($BE$4:$BJ$99,MATCH(BV257,$BE$4:$BE$99,0),3))&gt;10,LEN(INDEX($BE$4:$BJ$99,MATCH(BV257,$BE$4:$BE$99,0),3))-8,1)),IF(INDEX(Calculation_Tab,MATCH(BV257,Identifier,0),10)&gt;1,INDEX(Calculation_Tab,MATCH(BV257,Identifier,0),10),1)))*(1+Calculation!$Q$6),"-")</f>
        <v>-</v>
      </c>
      <c r="CA257" s="510" t="str">
        <f ca="1">IFERROR(IF((BZ257*Calculation!$AG$6/0.05)-SUM(BY257:BZ257,CC257)&gt;0,(BZ257*Calculation!$AG$6/0.05)-SUM(BY257:BZ257,CC257),0),"-")</f>
        <v>-</v>
      </c>
      <c r="CB257" s="510" t="str">
        <f ca="1">IFERROR(5/50*CE257*(IF(LEFT(BV257,4)="Pool",IF(LEN(INDEX($BE$4:$BJ$99,MATCH(BV257,$BE$4:$BE$99,0),3))=10,2,IF(LEN(INDEX($BE$4:$BJ$99,MATCH(BV257,$BE$4:$BE$99,0),3))&gt;10,LEN(INDEX($BE$4:$BJ$99,MATCH(BV257,$BE$4:$BE$99,0),3))-8,1)),IF(INDEX(Calculation_Tab,MATCH(BV257,Identifier,0),10)&gt;1,INDEX(Calculation_Tab,MATCH(BV257,Identifier,0),10),1)))*(1+Calculation!$Q$6),"-")</f>
        <v>-</v>
      </c>
      <c r="CC257" s="508" t="str">
        <f ca="1">IFERROR(ROUND(INDEX(Cluster,MATCH(IF(LEFT(BV257,4)="Pool",INDEX(Cluster,MATCH(INDEX(Calculation_Tab,MATCH(INDEX($BE$4:$BJ$99,MATCH(BV257,$BE$4:$BE$99,0),3),Flow_Cell_Lane,0),3),Cluster!$F$29:$F$412,0),6),BV257),Identifier_Cluster,0),20)*IF(LEFT(BV257,4)="pool",IF(LEN(INDEX($BE$4:$BJ$99,MATCH(BV257,$BE$4:$BE$99,0),3))=10,2,IF(LEN(INDEX($BE$4:$BJ$99,MATCH(BV257,$BE$4:$BE$99,0),3))&gt;10,LEN(INDEX($BE$4:$BJ$99,MATCH(BV257,$BE$4:$BE$99,0),3))-8,1)),1)*IF(LEFT(BV257,4)="pool",IF(INDEX($BE$4:$BJ$99,MATCH(BV257,$BE$4:$BE$99,0),6)&lt;1,1,INDEX($BE$4:$BJ$99,MATCH(BV257,$BE$4:$BE$99,0),6)),INDEX(Calculation_Tab,MATCH(BV257,Identifier,0),10)),1)*(1+Calculation!$Q$6),"-")</f>
        <v>-</v>
      </c>
      <c r="CD257" s="509" t="str">
        <f ca="1">IFERROR(INDEX(Cluster!AC:AD,MATCH(IF(LEFT(BV257,4)="Pool",INDEX(Cluster!$D$29:$AA$412,MATCH(INDEX(Calculation_Tab,MATCH(INDEX($BE$4:$BJ$99,MATCH(BV257,$BE$4:$BE$99,0),3),Flow_Cell_Lane,0),3),Cluster!$F$29:$F$412,0),24),INDEX(Cluster!$D$29:$AA$412,MATCH(BV257,Cluster!$F$29:$F$412,0),24)),Cluster!AC:AC,0),2),"-")</f>
        <v>-</v>
      </c>
      <c r="CE257" s="378" t="str">
        <f ca="1">IFERROR(IF(BV257&lt;&gt;"-",Calculation!$AK$6,"-"),"-")</f>
        <v>-</v>
      </c>
      <c r="CF257" s="378" t="str">
        <f ca="1">IF(OR(LEFT(ListAndConversion!BW257,3)="Dil",LEFT(ListAndConversion!BW257,3)="Poo"),ListAndConversion!$BT$4,IF(LEFT(ListAndConversion!BW257,3)="Sou",INDEX(ListAndConversion!$AT$3:$AV$387,MATCH(ListAndConversion!BV257,ListAndConversion!$AV$3:$AV$387,0),1),"-"))</f>
        <v>-</v>
      </c>
      <c r="CG257" s="498" t="str">
        <f ca="1">IF(OR(LEFT(ListAndConversion!BW257,3)="Dil",LEFT(ListAndConversion!BW257,3)="Poo"),ListAndConversion!BU257,IF(LEFT(ListAndConversion!BW257,3)="Sou",INDEX(ListAndConversion!$AT$4:$AV$387,MATCH(ListAndConversion!BV257,ListAndConversion!$AV$4:$AV$387,0),2),"-"))</f>
        <v>-</v>
      </c>
      <c r="CH257" s="378"/>
      <c r="CI257" s="487" t="str">
        <f t="shared" ca="1" si="123"/>
        <v>-</v>
      </c>
      <c r="CJ257" s="378" t="str">
        <f t="shared" ca="1" si="136"/>
        <v>-</v>
      </c>
      <c r="CK257" s="378" t="str">
        <f t="shared" ca="1" si="136"/>
        <v>-</v>
      </c>
      <c r="CL257" s="378" t="str">
        <f t="shared" ca="1" si="136"/>
        <v>-</v>
      </c>
      <c r="CM257" s="378" t="str">
        <f t="shared" ca="1" si="136"/>
        <v>-</v>
      </c>
      <c r="CN257" s="378" t="str">
        <f t="shared" ca="1" si="136"/>
        <v>-</v>
      </c>
      <c r="CO257" s="378" t="str">
        <f t="shared" ca="1" si="136"/>
        <v>-</v>
      </c>
      <c r="CP257" s="378" t="str">
        <f t="shared" ca="1" si="136"/>
        <v>-</v>
      </c>
      <c r="CQ257" s="378" t="str">
        <f t="shared" ca="1" si="136"/>
        <v>-</v>
      </c>
      <c r="CR257" s="510" t="str">
        <f ca="1">IFERROR(IF(LEFT(BW257,3)="Poo",INDEX($BE$4:$BJ$99,MATCH(CI257,$BG$4:$BG$99,0),6)*((15/50))*Calculation!$AK$6,INDEX(Calculation_Tab,MATCH(BV257,Identifier,0),10)/(IF(LEN(INDEX(Calculation_Tab,MATCH(BV257,Identifier,0),9))&gt;8,LEN(INDEX(Calculation_Tab,MATCH(BV257,Identifier,0),9))-8,1))*((15/50)*Calculation!$AK$6)),"-")</f>
        <v>-</v>
      </c>
      <c r="CS257" s="498" t="str">
        <f ca="1">IF(CI257="-","-",IF(COUNTIF($CI$3:CI257,CI257)&gt;1,0,IFERROR((35/50)*Calculation!$AK$6,"-")))</f>
        <v>-</v>
      </c>
    </row>
    <row r="258" spans="4:97" x14ac:dyDescent="0.5">
      <c r="D258" s="487" t="e">
        <f t="shared" si="109"/>
        <v>#DIV/0!</v>
      </c>
      <c r="E258" s="496" t="e">
        <f t="array" ref="E258">IF(IF((ROW(E258)-3)&lt;(ListAndConversion!$A$15),INDEX(Flow_Cell_Lane,MIN(IF(COUNTIF($E$2:E257,Flow_Cell_Lane)=0,ROW(Flow_Cell_Lane)-9))),"-")="","-",IF((ROW(E258)-3)&lt;(ListAndConversion!$A$15),INDEX(Flow_Cell_Lane,MIN(IF(COUNTIF($E$2:E257,Flow_Cell_Lane)=0,ROW(Flow_Cell_Lane)-9))),"-"))</f>
        <v>#DIV/0!</v>
      </c>
      <c r="F258" s="378" t="e">
        <f t="shared" si="110"/>
        <v>#DIV/0!</v>
      </c>
      <c r="G258" s="378" t="e">
        <f t="shared" si="135"/>
        <v>#DIV/0!</v>
      </c>
      <c r="H258" s="378" t="e">
        <f t="shared" si="135"/>
        <v>#DIV/0!</v>
      </c>
      <c r="I258" s="378" t="e">
        <f t="shared" si="135"/>
        <v>#DIV/0!</v>
      </c>
      <c r="J258" s="378" t="e">
        <f t="shared" si="135"/>
        <v>#DIV/0!</v>
      </c>
      <c r="K258" s="378" t="e">
        <f t="shared" si="135"/>
        <v>#DIV/0!</v>
      </c>
      <c r="L258" s="378" t="e">
        <f t="shared" si="135"/>
        <v>#DIV/0!</v>
      </c>
      <c r="M258" s="378" t="e">
        <f t="shared" si="135"/>
        <v>#DIV/0!</v>
      </c>
      <c r="N258" s="497" t="e">
        <f t="shared" si="111"/>
        <v>#DIV/0!</v>
      </c>
      <c r="O258" s="497" t="str">
        <f t="array" ref="O258">IFERROR(INDEX(Calculation!I:AN,MATCH(ListAndConversion!E258,Calculation!I:I,0),31),"-")</f>
        <v>-</v>
      </c>
      <c r="P258" s="498">
        <f>IF(COUNTIFS(Calculation!$I$10:$I$393,E258,Direct_Denaturation,"-")&lt;&gt;1,COUNTIFS(Calculation!$I$10:$I$393,E258,Direct_Denaturation,"-"),0)</f>
        <v>0</v>
      </c>
      <c r="V258" s="542" t="s">
        <v>82</v>
      </c>
      <c r="W258" s="542" t="s">
        <v>82</v>
      </c>
      <c r="X258" s="542" t="s">
        <v>82</v>
      </c>
      <c r="Y258" s="542" t="s">
        <v>82</v>
      </c>
      <c r="Z258" s="542" t="s">
        <v>82</v>
      </c>
      <c r="AA258" s="542" t="s">
        <v>82</v>
      </c>
      <c r="AB258" s="542" t="s">
        <v>82</v>
      </c>
      <c r="AC258" s="542" t="s">
        <v>82</v>
      </c>
      <c r="AD258" s="542" t="s">
        <v>82</v>
      </c>
      <c r="AE258" s="542" t="s">
        <v>82</v>
      </c>
      <c r="AF258" s="542" t="s">
        <v>82</v>
      </c>
      <c r="AG258" s="542" t="s">
        <v>82</v>
      </c>
      <c r="AH258" s="9"/>
      <c r="AI258" s="487">
        <v>255</v>
      </c>
      <c r="AJ258" s="497" t="s">
        <v>162</v>
      </c>
      <c r="AK258" s="378">
        <v>63</v>
      </c>
      <c r="AL258" s="378" t="str">
        <f t="shared" ca="1" si="112"/>
        <v>-</v>
      </c>
      <c r="AM258" s="378" t="str">
        <f t="array" aca="1" ref="AM258" ca="1">IFERROR(IF(AI258&lt;=$AB$2,"-",INDEX(Calculation_Tab,SMALL(ROW(Main_Dil)*(Main_Dil&lt;&gt;"-"),COUNTIF(Main_Dil,"-")+ROW()-3-$AB$2)-9,5)),"-")</f>
        <v>-</v>
      </c>
      <c r="AN258" s="378" t="str">
        <f t="array" aca="1" ref="AN258" ca="1">IFERROR(IF(AI258&lt;=$AB$2,"-",INDEX($A$3:$B$12,MATCH(INDEX(Calculation_Tab,SMALL(ROW(Main_Dil)*(Main_Dil&lt;&gt;"-"),COUNTIF(Main_Dil,"-")+ROW()-3-$AB$2)-9,5),$A$3:$A$12,0),2)),"-")</f>
        <v>-</v>
      </c>
      <c r="AO258" s="378" t="str">
        <f t="array" aca="1" ref="AO258" ca="1">IFERROR(IF(AI258&lt;=$AB$2,"-",INDEX(Coordinate,MATCH(INDEX(Calculation_Tab,SMALL(ROW(Main_Dil)*(Main_Dil&lt;&gt;"-"),COUNTIF(Main_Dil,"-")+ROW()-3-$AB$2)-9,6),$X$4:$X$99,0),2)),"-")</f>
        <v>-</v>
      </c>
      <c r="AP258" s="510" t="str">
        <f t="array" aca="1" ref="AP258" ca="1">IFERROR(IF(AI258&lt;=$AB$2,"-",INDEX(Calculation_Tab,SMALL(ROW(Main_Dil)*(Main_Dil&lt;&gt;"-"),COUNTIF(Main_Dil,"-")+ROW()-3-$AB$2)-9,21)),"-")</f>
        <v>-</v>
      </c>
      <c r="AQ258" s="511" t="str">
        <f t="array" aca="1" ref="AQ258" ca="1">IFERROR(IF(AI258&lt;=$AB$2,"-",INDEX(Calculation_Tab,SMALL(ROW(Main_Dil)*(Main_Dil&lt;&gt;"-"),COUNTIF(Main_Dil,"-")+ROW()-3-$AB$2)-9,22)),"-")</f>
        <v>-</v>
      </c>
      <c r="AR258" s="487" t="str">
        <f t="shared" ca="1" si="113"/>
        <v>-</v>
      </c>
      <c r="AS258" s="378">
        <v>255</v>
      </c>
      <c r="AT258" s="497" t="s">
        <v>162</v>
      </c>
      <c r="AU258" s="498">
        <v>63</v>
      </c>
      <c r="AV258" s="378" t="str">
        <f t="shared" ca="1" si="114"/>
        <v>-</v>
      </c>
      <c r="AW258" s="378" t="str">
        <f t="array" aca="1" ref="AW258" ca="1">IFERROR(IF(AS258&lt;=$AB$2+$AN$2,"-",INDEX(Calculation_Tab,SMALL(ROW(Direct_Denaturation)*(Direct_Denaturation&lt;&gt;"-"),COUNTIF(Direct_Denaturation,"-")+ROW()-3-$AB$2-$AN$2)-9,5)),"-")</f>
        <v>-</v>
      </c>
      <c r="AX258" s="378" t="str">
        <f t="array" aca="1" ref="AX258" ca="1">IFERROR(IF(AS258&lt;=$AB$2+$AN$2,"-",INDEX($A$3:$B$12,MATCH(INDEX(Calculation_Tab,SMALL(ROW(Direct_Denaturation)*(Direct_Denaturation&lt;&gt;"-"),COUNTIF(Direct_Denaturation,"-")+ROW()-3-$AB$2-$AN$2)-9,5),$A$3:$A$12,0),2)),"-")</f>
        <v>-</v>
      </c>
      <c r="AY258" s="378" t="str">
        <f t="array" aca="1" ref="AY258" ca="1">IFERROR(IF(AS258&lt;=$AB$2+$AN$2,"-",INDEX(Coordinate,MATCH(INDEX(Calculation_Tab,SMALL(ROW(Direct_Denaturation)*(Direct_Denaturation&lt;&gt;"-"),COUNTIF(Direct_Denaturation,"-")+ROW()-3-$AB$2-$AN$2)-9,6),$X$4:$X$99,0),2)),"-")</f>
        <v>-</v>
      </c>
      <c r="AZ258" s="510" t="str">
        <f t="array" aca="1" ref="AZ258" ca="1">IFERROR(IF(AS258&lt;=$AB$2+$AN$2,"-",INDEX(Calculation_Tab,SMALL(ROW(Direct_Denaturation)*(Direct_Denaturation&lt;&gt;"-"),COUNTIF(Direct_Denaturation,"-")+ROW()-3-$AB$2-$AN$2)-9,32)),"-")</f>
        <v>-</v>
      </c>
      <c r="BA258" s="510" t="str">
        <f t="array" aca="1" ref="BA258" ca="1">IFERROR(IF(AS258&lt;=$AB$2+$AN$2,"-",INDEX(Calculation_Tab,SMALL(ROW(Direct_Denaturation)*(Direct_Denaturation&lt;&gt;"-"),COUNTIF(Direct_Denaturation,"-")+ROW()-3-$AB$2-$AN$2)-9,34)),"-")</f>
        <v>-</v>
      </c>
      <c r="BB258" s="510" t="str">
        <f t="array" aca="1" ref="BB258" ca="1">IFERROR(IF(AS258&lt;=$AB$2+$AN$2,"-",INDEX(Calculation_Tab,SMALL(ROW(Direct_Denaturation)*(Direct_Denaturation&lt;&gt;"-"),COUNTIF(Direct_Denaturation,"-")+ROW()-3-$AB$2-$AN$2)-9,33)),"-")</f>
        <v>-</v>
      </c>
      <c r="BC258" s="510" t="str">
        <f t="array" aca="1" ref="BC258" ca="1">IFERROR(IF(AS258&lt;=$AB$2+$AN$2,"-",INDEX(Calculation_Tab,SMALL(ROW(Direct_Denaturation)*(Direct_Denaturation&lt;&gt;"-"),COUNTIF(Direct_Denaturation,"-")+ROW()-3-$AB$2-$AN$2)-9,35)),"-")</f>
        <v>-</v>
      </c>
      <c r="BD258" s="511" t="str">
        <f t="shared" ca="1" si="115"/>
        <v>-</v>
      </c>
      <c r="BK258" s="542" t="s">
        <v>82</v>
      </c>
      <c r="BL258" s="542" t="s">
        <v>82</v>
      </c>
      <c r="BM258" s="487" t="str">
        <f t="array" aca="1" ref="BM258" ca="1">IFERROR(INDEX(Calculation_Tab,SMALL(ROW(ToPool)*(ToPool&lt;&gt;"-"),COUNTIF(ToPool,"-")+ROW()-3)-9,3),"-")</f>
        <v>-</v>
      </c>
      <c r="BN258" s="378" t="str">
        <f t="shared" ca="1" si="116"/>
        <v>-</v>
      </c>
      <c r="BO258" s="378" t="str">
        <f t="shared" ca="1" si="117"/>
        <v>-</v>
      </c>
      <c r="BP258" s="523" t="str">
        <f t="shared" ca="1" si="118"/>
        <v>-</v>
      </c>
      <c r="BQ258" s="378" t="str">
        <f t="array" aca="1" ref="BQ258" ca="1">IFERROR(INDEX(BE:BG,MATCH(INDEX(Calculation_Tab,SMALL(ROW(ToPool)*(ToPool&lt;&gt;"-"),COUNTIF(ToPool,"-")+ROW()-3)-9,9),BG:BG,0),2),"-")</f>
        <v>-</v>
      </c>
      <c r="BR258" s="510" t="str">
        <f t="shared" ca="1" si="119"/>
        <v>-</v>
      </c>
      <c r="BS258" s="511" t="str">
        <f t="shared" ca="1" si="120"/>
        <v>-</v>
      </c>
      <c r="BT258" s="543" t="s">
        <v>82</v>
      </c>
      <c r="BU258" s="487" t="str">
        <f t="shared" ca="1" si="124"/>
        <v>-</v>
      </c>
      <c r="BV258" s="487" t="str">
        <f t="array" aca="1" ref="BV25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58" s="378" t="str">
        <f t="shared" ca="1" si="121"/>
        <v>-</v>
      </c>
      <c r="BX258" s="378" t="str">
        <f t="shared" ca="1" si="122"/>
        <v>-</v>
      </c>
      <c r="BY258" s="510" t="str">
        <f ca="1">IFERROR(ROUND(INDEX(Cluster,MATCH(IF(LEFT(BV258,4)="Pool",INDEX(Cluster,MATCH(INDEX(Calculation_Tab,MATCH(INDEX($BE$4:$BJ$99,MATCH(BV258,$BE$4:$BE$99,0),3),Flow_Cell_Lane,0),3),Cluster!$F$29:$F$412,0),6),BV258),Identifier_Cluster,0),19)*IF(LEFT(BV258,4)="pool",IF(LEN(INDEX($BE$4:$BJ$99,MATCH(BV258,$BE$4:$BE$99,0),3))=10,2,IF(LEN(INDEX($BE$4:$BJ$99,MATCH(BV258,$BE$4:$BE$99,0),3))&gt;10,LEN(INDEX($BE$4:$BJ$99,MATCH(BV258,$BE$4:$BE$99,0),3))-8,1)),1)*IF(LEFT(BV258,4)="pool",IF(INDEX($BE$4:$BJ$99,MATCH(BV258,$BE$4:$BE$99,0),6)&lt;1,1,INDEX($BE$4:$BJ$99,MATCH(BV258,$BE$4:$BE$99,0),6)),INDEX(Calculation_Tab,MATCH(BV258,Identifier,0),10)),1)*(1+Calculation!$Q$6),"-")</f>
        <v>-</v>
      </c>
      <c r="BZ258" s="378" t="str">
        <f ca="1">IFERROR((0.5/50)*CE258/Calculation!$AG$6*(IF(LEFT(BV258,4)="Pool",IF(LEN(INDEX($BE$4:$BJ$99,MATCH(BV258,$BE$4:$BE$99,0),3))=10,2,IF(LEN(INDEX($BE$4:$BJ$99,MATCH(BV258,$BE$4:$BE$99,0),3))&gt;10,LEN(INDEX($BE$4:$BJ$99,MATCH(BV258,$BE$4:$BE$99,0),3))-8,1)),IF(INDEX(Calculation_Tab,MATCH(BV258,Identifier,0),10)&gt;1,INDEX(Calculation_Tab,MATCH(BV258,Identifier,0),10),1)))*(1+Calculation!$Q$6),"-")</f>
        <v>-</v>
      </c>
      <c r="CA258" s="510" t="str">
        <f ca="1">IFERROR(IF((BZ258*Calculation!$AG$6/0.05)-SUM(BY258:BZ258,CC258)&gt;0,(BZ258*Calculation!$AG$6/0.05)-SUM(BY258:BZ258,CC258),0),"-")</f>
        <v>-</v>
      </c>
      <c r="CB258" s="510" t="str">
        <f ca="1">IFERROR(5/50*CE258*(IF(LEFT(BV258,4)="Pool",IF(LEN(INDEX($BE$4:$BJ$99,MATCH(BV258,$BE$4:$BE$99,0),3))=10,2,IF(LEN(INDEX($BE$4:$BJ$99,MATCH(BV258,$BE$4:$BE$99,0),3))&gt;10,LEN(INDEX($BE$4:$BJ$99,MATCH(BV258,$BE$4:$BE$99,0),3))-8,1)),IF(INDEX(Calculation_Tab,MATCH(BV258,Identifier,0),10)&gt;1,INDEX(Calculation_Tab,MATCH(BV258,Identifier,0),10),1)))*(1+Calculation!$Q$6),"-")</f>
        <v>-</v>
      </c>
      <c r="CC258" s="508" t="str">
        <f ca="1">IFERROR(ROUND(INDEX(Cluster,MATCH(IF(LEFT(BV258,4)="Pool",INDEX(Cluster,MATCH(INDEX(Calculation_Tab,MATCH(INDEX($BE$4:$BJ$99,MATCH(BV258,$BE$4:$BE$99,0),3),Flow_Cell_Lane,0),3),Cluster!$F$29:$F$412,0),6),BV258),Identifier_Cluster,0),20)*IF(LEFT(BV258,4)="pool",IF(LEN(INDEX($BE$4:$BJ$99,MATCH(BV258,$BE$4:$BE$99,0),3))=10,2,IF(LEN(INDEX($BE$4:$BJ$99,MATCH(BV258,$BE$4:$BE$99,0),3))&gt;10,LEN(INDEX($BE$4:$BJ$99,MATCH(BV258,$BE$4:$BE$99,0),3))-8,1)),1)*IF(LEFT(BV258,4)="pool",IF(INDEX($BE$4:$BJ$99,MATCH(BV258,$BE$4:$BE$99,0),6)&lt;1,1,INDEX($BE$4:$BJ$99,MATCH(BV258,$BE$4:$BE$99,0),6)),INDEX(Calculation_Tab,MATCH(BV258,Identifier,0),10)),1)*(1+Calculation!$Q$6),"-")</f>
        <v>-</v>
      </c>
      <c r="CD258" s="509" t="str">
        <f ca="1">IFERROR(INDEX(Cluster!AC:AD,MATCH(IF(LEFT(BV258,4)="Pool",INDEX(Cluster!$D$29:$AA$412,MATCH(INDEX(Calculation_Tab,MATCH(INDEX($BE$4:$BJ$99,MATCH(BV258,$BE$4:$BE$99,0),3),Flow_Cell_Lane,0),3),Cluster!$F$29:$F$412,0),24),INDEX(Cluster!$D$29:$AA$412,MATCH(BV258,Cluster!$F$29:$F$412,0),24)),Cluster!AC:AC,0),2),"-")</f>
        <v>-</v>
      </c>
      <c r="CE258" s="378" t="str">
        <f ca="1">IFERROR(IF(BV258&lt;&gt;"-",Calculation!$AK$6,"-"),"-")</f>
        <v>-</v>
      </c>
      <c r="CF258" s="378" t="str">
        <f ca="1">IF(OR(LEFT(ListAndConversion!BW258,3)="Dil",LEFT(ListAndConversion!BW258,3)="Poo"),ListAndConversion!$BT$4,IF(LEFT(ListAndConversion!BW258,3)="Sou",INDEX(ListAndConversion!$AT$3:$AV$387,MATCH(ListAndConversion!BV258,ListAndConversion!$AV$3:$AV$387,0),1),"-"))</f>
        <v>-</v>
      </c>
      <c r="CG258" s="498" t="str">
        <f ca="1">IF(OR(LEFT(ListAndConversion!BW258,3)="Dil",LEFT(ListAndConversion!BW258,3)="Poo"),ListAndConversion!BU258,IF(LEFT(ListAndConversion!BW258,3)="Sou",INDEX(ListAndConversion!$AT$4:$AV$387,MATCH(ListAndConversion!BV258,ListAndConversion!$AV$4:$AV$387,0),2),"-"))</f>
        <v>-</v>
      </c>
      <c r="CH258" s="378"/>
      <c r="CI258" s="487" t="str">
        <f t="shared" ca="1" si="123"/>
        <v>-</v>
      </c>
      <c r="CJ258" s="378" t="str">
        <f t="shared" ca="1" si="136"/>
        <v>-</v>
      </c>
      <c r="CK258" s="378" t="str">
        <f t="shared" ca="1" si="136"/>
        <v>-</v>
      </c>
      <c r="CL258" s="378" t="str">
        <f t="shared" ca="1" si="136"/>
        <v>-</v>
      </c>
      <c r="CM258" s="378" t="str">
        <f t="shared" ca="1" si="136"/>
        <v>-</v>
      </c>
      <c r="CN258" s="378" t="str">
        <f t="shared" ca="1" si="136"/>
        <v>-</v>
      </c>
      <c r="CO258" s="378" t="str">
        <f t="shared" ca="1" si="136"/>
        <v>-</v>
      </c>
      <c r="CP258" s="378" t="str">
        <f t="shared" ca="1" si="136"/>
        <v>-</v>
      </c>
      <c r="CQ258" s="378" t="str">
        <f t="shared" ca="1" si="136"/>
        <v>-</v>
      </c>
      <c r="CR258" s="510" t="str">
        <f ca="1">IFERROR(IF(LEFT(BW258,3)="Poo",INDEX($BE$4:$BJ$99,MATCH(CI258,$BG$4:$BG$99,0),6)*((15/50))*Calculation!$AK$6,INDEX(Calculation_Tab,MATCH(BV258,Identifier,0),10)/(IF(LEN(INDEX(Calculation_Tab,MATCH(BV258,Identifier,0),9))&gt;8,LEN(INDEX(Calculation_Tab,MATCH(BV258,Identifier,0),9))-8,1))*((15/50)*Calculation!$AK$6)),"-")</f>
        <v>-</v>
      </c>
      <c r="CS258" s="498" t="str">
        <f ca="1">IF(CI258="-","-",IF(COUNTIF($CI$3:CI258,CI258)&gt;1,0,IFERROR((35/50)*Calculation!$AK$6,"-")))</f>
        <v>-</v>
      </c>
    </row>
    <row r="259" spans="4:97" x14ac:dyDescent="0.5">
      <c r="D259" s="487" t="e">
        <f t="shared" ref="D259:D322" si="137">LEN(E259)</f>
        <v>#DIV/0!</v>
      </c>
      <c r="E259" s="496" t="e">
        <f t="array" ref="E259">IF(IF((ROW(E259)-3)&lt;(ListAndConversion!$A$15),INDEX(Flow_Cell_Lane,MIN(IF(COUNTIF($E$2:E258,Flow_Cell_Lane)=0,ROW(Flow_Cell_Lane)-9))),"-")="","-",IF((ROW(E259)-3)&lt;(ListAndConversion!$A$15),INDEX(Flow_Cell_Lane,MIN(IF(COUNTIF($E$2:E258,Flow_Cell_Lane)=0,ROW(Flow_Cell_Lane)-9))),"-"))</f>
        <v>#DIV/0!</v>
      </c>
      <c r="F259" s="378" t="e">
        <f t="shared" ref="F259:F322" si="138">IF(D259&gt;=8,LEFT(E259,8),"")</f>
        <v>#DIV/0!</v>
      </c>
      <c r="G259" s="378" t="e">
        <f t="shared" si="135"/>
        <v>#DIV/0!</v>
      </c>
      <c r="H259" s="378" t="e">
        <f t="shared" si="135"/>
        <v>#DIV/0!</v>
      </c>
      <c r="I259" s="378" t="e">
        <f t="shared" si="135"/>
        <v>#DIV/0!</v>
      </c>
      <c r="J259" s="378" t="e">
        <f t="shared" si="135"/>
        <v>#DIV/0!</v>
      </c>
      <c r="K259" s="378" t="e">
        <f t="shared" si="135"/>
        <v>#DIV/0!</v>
      </c>
      <c r="L259" s="378" t="e">
        <f t="shared" si="135"/>
        <v>#DIV/0!</v>
      </c>
      <c r="M259" s="378" t="e">
        <f t="shared" si="135"/>
        <v>#DIV/0!</v>
      </c>
      <c r="N259" s="497" t="e">
        <f t="shared" ref="N259:N322" si="139">IF(E259="-","-",RIGHT(E259,D259-7))</f>
        <v>#DIV/0!</v>
      </c>
      <c r="O259" s="497" t="str">
        <f t="array" ref="O259">IFERROR(INDEX(Calculation!I:AN,MATCH(ListAndConversion!E259,Calculation!I:I,0),31),"-")</f>
        <v>-</v>
      </c>
      <c r="P259" s="498">
        <f>IF(COUNTIFS(Calculation!$I$10:$I$393,E259,Direct_Denaturation,"-")&lt;&gt;1,COUNTIFS(Calculation!$I$10:$I$393,E259,Direct_Denaturation,"-"),0)</f>
        <v>0</v>
      </c>
      <c r="V259" s="542" t="s">
        <v>82</v>
      </c>
      <c r="W259" s="542" t="s">
        <v>82</v>
      </c>
      <c r="X259" s="542" t="s">
        <v>82</v>
      </c>
      <c r="Y259" s="542" t="s">
        <v>82</v>
      </c>
      <c r="Z259" s="542" t="s">
        <v>82</v>
      </c>
      <c r="AA259" s="542" t="s">
        <v>82</v>
      </c>
      <c r="AB259" s="542" t="s">
        <v>82</v>
      </c>
      <c r="AC259" s="542" t="s">
        <v>82</v>
      </c>
      <c r="AD259" s="542" t="s">
        <v>82</v>
      </c>
      <c r="AE259" s="542" t="s">
        <v>82</v>
      </c>
      <c r="AF259" s="542" t="s">
        <v>82</v>
      </c>
      <c r="AG259" s="542" t="s">
        <v>82</v>
      </c>
      <c r="AH259" s="9"/>
      <c r="AI259" s="487">
        <v>256</v>
      </c>
      <c r="AJ259" s="497" t="s">
        <v>162</v>
      </c>
      <c r="AK259" s="378">
        <v>64</v>
      </c>
      <c r="AL259" s="378" t="str">
        <f t="shared" ca="1" si="112"/>
        <v>-</v>
      </c>
      <c r="AM259" s="378" t="str">
        <f t="array" aca="1" ref="AM259" ca="1">IFERROR(IF(AI259&lt;=$AB$2,"-",INDEX(Calculation_Tab,SMALL(ROW(Main_Dil)*(Main_Dil&lt;&gt;"-"),COUNTIF(Main_Dil,"-")+ROW()-3-$AB$2)-9,5)),"-")</f>
        <v>-</v>
      </c>
      <c r="AN259" s="378" t="str">
        <f t="array" aca="1" ref="AN259" ca="1">IFERROR(IF(AI259&lt;=$AB$2,"-",INDEX($A$3:$B$12,MATCH(INDEX(Calculation_Tab,SMALL(ROW(Main_Dil)*(Main_Dil&lt;&gt;"-"),COUNTIF(Main_Dil,"-")+ROW()-3-$AB$2)-9,5),$A$3:$A$12,0),2)),"-")</f>
        <v>-</v>
      </c>
      <c r="AO259" s="378" t="str">
        <f t="array" aca="1" ref="AO259" ca="1">IFERROR(IF(AI259&lt;=$AB$2,"-",INDEX(Coordinate,MATCH(INDEX(Calculation_Tab,SMALL(ROW(Main_Dil)*(Main_Dil&lt;&gt;"-"),COUNTIF(Main_Dil,"-")+ROW()-3-$AB$2)-9,6),$X$4:$X$99,0),2)),"-")</f>
        <v>-</v>
      </c>
      <c r="AP259" s="510" t="str">
        <f t="array" aca="1" ref="AP259" ca="1">IFERROR(IF(AI259&lt;=$AB$2,"-",INDEX(Calculation_Tab,SMALL(ROW(Main_Dil)*(Main_Dil&lt;&gt;"-"),COUNTIF(Main_Dil,"-")+ROW()-3-$AB$2)-9,21)),"-")</f>
        <v>-</v>
      </c>
      <c r="AQ259" s="511" t="str">
        <f t="array" aca="1" ref="AQ259" ca="1">IFERROR(IF(AI259&lt;=$AB$2,"-",INDEX(Calculation_Tab,SMALL(ROW(Main_Dil)*(Main_Dil&lt;&gt;"-"),COUNTIF(Main_Dil,"-")+ROW()-3-$AB$2)-9,22)),"-")</f>
        <v>-</v>
      </c>
      <c r="AR259" s="487" t="str">
        <f t="shared" ca="1" si="113"/>
        <v>-</v>
      </c>
      <c r="AS259" s="378">
        <v>256</v>
      </c>
      <c r="AT259" s="497" t="s">
        <v>162</v>
      </c>
      <c r="AU259" s="498">
        <v>64</v>
      </c>
      <c r="AV259" s="378" t="str">
        <f t="shared" ca="1" si="114"/>
        <v>-</v>
      </c>
      <c r="AW259" s="378" t="str">
        <f t="array" aca="1" ref="AW259" ca="1">IFERROR(IF(AS259&lt;=$AB$2+$AN$2,"-",INDEX(Calculation_Tab,SMALL(ROW(Direct_Denaturation)*(Direct_Denaturation&lt;&gt;"-"),COUNTIF(Direct_Denaturation,"-")+ROW()-3-$AB$2-$AN$2)-9,5)),"-")</f>
        <v>-</v>
      </c>
      <c r="AX259" s="378" t="str">
        <f t="array" aca="1" ref="AX259" ca="1">IFERROR(IF(AS259&lt;=$AB$2+$AN$2,"-",INDEX($A$3:$B$12,MATCH(INDEX(Calculation_Tab,SMALL(ROW(Direct_Denaturation)*(Direct_Denaturation&lt;&gt;"-"),COUNTIF(Direct_Denaturation,"-")+ROW()-3-$AB$2-$AN$2)-9,5),$A$3:$A$12,0),2)),"-")</f>
        <v>-</v>
      </c>
      <c r="AY259" s="378" t="str">
        <f t="array" aca="1" ref="AY259" ca="1">IFERROR(IF(AS259&lt;=$AB$2+$AN$2,"-",INDEX(Coordinate,MATCH(INDEX(Calculation_Tab,SMALL(ROW(Direct_Denaturation)*(Direct_Denaturation&lt;&gt;"-"),COUNTIF(Direct_Denaturation,"-")+ROW()-3-$AB$2-$AN$2)-9,6),$X$4:$X$99,0),2)),"-")</f>
        <v>-</v>
      </c>
      <c r="AZ259" s="510" t="str">
        <f t="array" aca="1" ref="AZ259" ca="1">IFERROR(IF(AS259&lt;=$AB$2+$AN$2,"-",INDEX(Calculation_Tab,SMALL(ROW(Direct_Denaturation)*(Direct_Denaturation&lt;&gt;"-"),COUNTIF(Direct_Denaturation,"-")+ROW()-3-$AB$2-$AN$2)-9,32)),"-")</f>
        <v>-</v>
      </c>
      <c r="BA259" s="510" t="str">
        <f t="array" aca="1" ref="BA259" ca="1">IFERROR(IF(AS259&lt;=$AB$2+$AN$2,"-",INDEX(Calculation_Tab,SMALL(ROW(Direct_Denaturation)*(Direct_Denaturation&lt;&gt;"-"),COUNTIF(Direct_Denaturation,"-")+ROW()-3-$AB$2-$AN$2)-9,34)),"-")</f>
        <v>-</v>
      </c>
      <c r="BB259" s="510" t="str">
        <f t="array" aca="1" ref="BB259" ca="1">IFERROR(IF(AS259&lt;=$AB$2+$AN$2,"-",INDEX(Calculation_Tab,SMALL(ROW(Direct_Denaturation)*(Direct_Denaturation&lt;&gt;"-"),COUNTIF(Direct_Denaturation,"-")+ROW()-3-$AB$2-$AN$2)-9,33)),"-")</f>
        <v>-</v>
      </c>
      <c r="BC259" s="510" t="str">
        <f t="array" aca="1" ref="BC259" ca="1">IFERROR(IF(AS259&lt;=$AB$2+$AN$2,"-",INDEX(Calculation_Tab,SMALL(ROW(Direct_Denaturation)*(Direct_Denaturation&lt;&gt;"-"),COUNTIF(Direct_Denaturation,"-")+ROW()-3-$AB$2-$AN$2)-9,35)),"-")</f>
        <v>-</v>
      </c>
      <c r="BD259" s="511" t="str">
        <f t="shared" ca="1" si="115"/>
        <v>-</v>
      </c>
      <c r="BK259" s="542" t="s">
        <v>82</v>
      </c>
      <c r="BL259" s="542" t="s">
        <v>82</v>
      </c>
      <c r="BM259" s="487" t="str">
        <f t="array" aca="1" ref="BM259" ca="1">IFERROR(INDEX(Calculation_Tab,SMALL(ROW(ToPool)*(ToPool&lt;&gt;"-"),COUNTIF(ToPool,"-")+ROW()-3)-9,3),"-")</f>
        <v>-</v>
      </c>
      <c r="BN259" s="378" t="str">
        <f t="shared" ca="1" si="116"/>
        <v>-</v>
      </c>
      <c r="BO259" s="378" t="str">
        <f t="shared" ca="1" si="117"/>
        <v>-</v>
      </c>
      <c r="BP259" s="523" t="str">
        <f t="shared" ca="1" si="118"/>
        <v>-</v>
      </c>
      <c r="BQ259" s="378" t="str">
        <f t="array" aca="1" ref="BQ259" ca="1">IFERROR(INDEX(BE:BG,MATCH(INDEX(Calculation_Tab,SMALL(ROW(ToPool)*(ToPool&lt;&gt;"-"),COUNTIF(ToPool,"-")+ROW()-3)-9,9),BG:BG,0),2),"-")</f>
        <v>-</v>
      </c>
      <c r="BR259" s="510" t="str">
        <f t="shared" ca="1" si="119"/>
        <v>-</v>
      </c>
      <c r="BS259" s="511" t="str">
        <f t="shared" ca="1" si="120"/>
        <v>-</v>
      </c>
      <c r="BT259" s="543" t="s">
        <v>82</v>
      </c>
      <c r="BU259" s="487" t="str">
        <f t="shared" ca="1" si="124"/>
        <v>-</v>
      </c>
      <c r="BV259" s="487" t="str">
        <f t="array" aca="1" ref="BV25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59" s="378" t="str">
        <f t="shared" ca="1" si="121"/>
        <v>-</v>
      </c>
      <c r="BX259" s="378" t="str">
        <f t="shared" ca="1" si="122"/>
        <v>-</v>
      </c>
      <c r="BY259" s="510" t="str">
        <f ca="1">IFERROR(ROUND(INDEX(Cluster,MATCH(IF(LEFT(BV259,4)="Pool",INDEX(Cluster,MATCH(INDEX(Calculation_Tab,MATCH(INDEX($BE$4:$BJ$99,MATCH(BV259,$BE$4:$BE$99,0),3),Flow_Cell_Lane,0),3),Cluster!$F$29:$F$412,0),6),BV259),Identifier_Cluster,0),19)*IF(LEFT(BV259,4)="pool",IF(LEN(INDEX($BE$4:$BJ$99,MATCH(BV259,$BE$4:$BE$99,0),3))=10,2,IF(LEN(INDEX($BE$4:$BJ$99,MATCH(BV259,$BE$4:$BE$99,0),3))&gt;10,LEN(INDEX($BE$4:$BJ$99,MATCH(BV259,$BE$4:$BE$99,0),3))-8,1)),1)*IF(LEFT(BV259,4)="pool",IF(INDEX($BE$4:$BJ$99,MATCH(BV259,$BE$4:$BE$99,0),6)&lt;1,1,INDEX($BE$4:$BJ$99,MATCH(BV259,$BE$4:$BE$99,0),6)),INDEX(Calculation_Tab,MATCH(BV259,Identifier,0),10)),1)*(1+Calculation!$Q$6),"-")</f>
        <v>-</v>
      </c>
      <c r="BZ259" s="378" t="str">
        <f ca="1">IFERROR((0.5/50)*CE259/Calculation!$AG$6*(IF(LEFT(BV259,4)="Pool",IF(LEN(INDEX($BE$4:$BJ$99,MATCH(BV259,$BE$4:$BE$99,0),3))=10,2,IF(LEN(INDEX($BE$4:$BJ$99,MATCH(BV259,$BE$4:$BE$99,0),3))&gt;10,LEN(INDEX($BE$4:$BJ$99,MATCH(BV259,$BE$4:$BE$99,0),3))-8,1)),IF(INDEX(Calculation_Tab,MATCH(BV259,Identifier,0),10)&gt;1,INDEX(Calculation_Tab,MATCH(BV259,Identifier,0),10),1)))*(1+Calculation!$Q$6),"-")</f>
        <v>-</v>
      </c>
      <c r="CA259" s="510" t="str">
        <f ca="1">IFERROR(IF((BZ259*Calculation!$AG$6/0.05)-SUM(BY259:BZ259,CC259)&gt;0,(BZ259*Calculation!$AG$6/0.05)-SUM(BY259:BZ259,CC259),0),"-")</f>
        <v>-</v>
      </c>
      <c r="CB259" s="510" t="str">
        <f ca="1">IFERROR(5/50*CE259*(IF(LEFT(BV259,4)="Pool",IF(LEN(INDEX($BE$4:$BJ$99,MATCH(BV259,$BE$4:$BE$99,0),3))=10,2,IF(LEN(INDEX($BE$4:$BJ$99,MATCH(BV259,$BE$4:$BE$99,0),3))&gt;10,LEN(INDEX($BE$4:$BJ$99,MATCH(BV259,$BE$4:$BE$99,0),3))-8,1)),IF(INDEX(Calculation_Tab,MATCH(BV259,Identifier,0),10)&gt;1,INDEX(Calculation_Tab,MATCH(BV259,Identifier,0),10),1)))*(1+Calculation!$Q$6),"-")</f>
        <v>-</v>
      </c>
      <c r="CC259" s="508" t="str">
        <f ca="1">IFERROR(ROUND(INDEX(Cluster,MATCH(IF(LEFT(BV259,4)="Pool",INDEX(Cluster,MATCH(INDEX(Calculation_Tab,MATCH(INDEX($BE$4:$BJ$99,MATCH(BV259,$BE$4:$BE$99,0),3),Flow_Cell_Lane,0),3),Cluster!$F$29:$F$412,0),6),BV259),Identifier_Cluster,0),20)*IF(LEFT(BV259,4)="pool",IF(LEN(INDEX($BE$4:$BJ$99,MATCH(BV259,$BE$4:$BE$99,0),3))=10,2,IF(LEN(INDEX($BE$4:$BJ$99,MATCH(BV259,$BE$4:$BE$99,0),3))&gt;10,LEN(INDEX($BE$4:$BJ$99,MATCH(BV259,$BE$4:$BE$99,0),3))-8,1)),1)*IF(LEFT(BV259,4)="pool",IF(INDEX($BE$4:$BJ$99,MATCH(BV259,$BE$4:$BE$99,0),6)&lt;1,1,INDEX($BE$4:$BJ$99,MATCH(BV259,$BE$4:$BE$99,0),6)),INDEX(Calculation_Tab,MATCH(BV259,Identifier,0),10)),1)*(1+Calculation!$Q$6),"-")</f>
        <v>-</v>
      </c>
      <c r="CD259" s="509" t="str">
        <f ca="1">IFERROR(INDEX(Cluster!AC:AD,MATCH(IF(LEFT(BV259,4)="Pool",INDEX(Cluster!$D$29:$AA$412,MATCH(INDEX(Calculation_Tab,MATCH(INDEX($BE$4:$BJ$99,MATCH(BV259,$BE$4:$BE$99,0),3),Flow_Cell_Lane,0),3),Cluster!$F$29:$F$412,0),24),INDEX(Cluster!$D$29:$AA$412,MATCH(BV259,Cluster!$F$29:$F$412,0),24)),Cluster!AC:AC,0),2),"-")</f>
        <v>-</v>
      </c>
      <c r="CE259" s="378" t="str">
        <f ca="1">IFERROR(IF(BV259&lt;&gt;"-",Calculation!$AK$6,"-"),"-")</f>
        <v>-</v>
      </c>
      <c r="CF259" s="378" t="str">
        <f ca="1">IF(OR(LEFT(ListAndConversion!BW259,3)="Dil",LEFT(ListAndConversion!BW259,3)="Poo"),ListAndConversion!$BT$4,IF(LEFT(ListAndConversion!BW259,3)="Sou",INDEX(ListAndConversion!$AT$3:$AV$387,MATCH(ListAndConversion!BV259,ListAndConversion!$AV$3:$AV$387,0),1),"-"))</f>
        <v>-</v>
      </c>
      <c r="CG259" s="498" t="str">
        <f ca="1">IF(OR(LEFT(ListAndConversion!BW259,3)="Dil",LEFT(ListAndConversion!BW259,3)="Poo"),ListAndConversion!BU259,IF(LEFT(ListAndConversion!BW259,3)="Sou",INDEX(ListAndConversion!$AT$4:$AV$387,MATCH(ListAndConversion!BV259,ListAndConversion!$AV$4:$AV$387,0),2),"-"))</f>
        <v>-</v>
      </c>
      <c r="CH259" s="378"/>
      <c r="CI259" s="487" t="str">
        <f t="shared" ca="1" si="123"/>
        <v>-</v>
      </c>
      <c r="CJ259" s="378" t="str">
        <f t="shared" ca="1" si="136"/>
        <v>-</v>
      </c>
      <c r="CK259" s="378" t="str">
        <f t="shared" ca="1" si="136"/>
        <v>-</v>
      </c>
      <c r="CL259" s="378" t="str">
        <f t="shared" ca="1" si="136"/>
        <v>-</v>
      </c>
      <c r="CM259" s="378" t="str">
        <f t="shared" ca="1" si="136"/>
        <v>-</v>
      </c>
      <c r="CN259" s="378" t="str">
        <f t="shared" ca="1" si="136"/>
        <v>-</v>
      </c>
      <c r="CO259" s="378" t="str">
        <f t="shared" ca="1" si="136"/>
        <v>-</v>
      </c>
      <c r="CP259" s="378" t="str">
        <f t="shared" ca="1" si="136"/>
        <v>-</v>
      </c>
      <c r="CQ259" s="378" t="str">
        <f t="shared" ca="1" si="136"/>
        <v>-</v>
      </c>
      <c r="CR259" s="510" t="str">
        <f ca="1">IFERROR(IF(LEFT(BW259,3)="Poo",INDEX($BE$4:$BJ$99,MATCH(CI259,$BG$4:$BG$99,0),6)*((15/50))*Calculation!$AK$6,INDEX(Calculation_Tab,MATCH(BV259,Identifier,0),10)/(IF(LEN(INDEX(Calculation_Tab,MATCH(BV259,Identifier,0),9))&gt;8,LEN(INDEX(Calculation_Tab,MATCH(BV259,Identifier,0),9))-8,1))*((15/50)*Calculation!$AK$6)),"-")</f>
        <v>-</v>
      </c>
      <c r="CS259" s="498" t="str">
        <f ca="1">IF(CI259="-","-",IF(COUNTIF($CI$3:CI259,CI259)&gt;1,0,IFERROR((35/50)*Calculation!$AK$6,"-")))</f>
        <v>-</v>
      </c>
    </row>
    <row r="260" spans="4:97" x14ac:dyDescent="0.5">
      <c r="D260" s="487" t="e">
        <f t="shared" si="137"/>
        <v>#DIV/0!</v>
      </c>
      <c r="E260" s="496" t="e">
        <f t="array" ref="E260">IF(IF((ROW(E260)-3)&lt;(ListAndConversion!$A$15),INDEX(Flow_Cell_Lane,MIN(IF(COUNTIF($E$2:E259,Flow_Cell_Lane)=0,ROW(Flow_Cell_Lane)-9))),"-")="","-",IF((ROW(E260)-3)&lt;(ListAndConversion!$A$15),INDEX(Flow_Cell_Lane,MIN(IF(COUNTIF($E$2:E259,Flow_Cell_Lane)=0,ROW(Flow_Cell_Lane)-9))),"-"))</f>
        <v>#DIV/0!</v>
      </c>
      <c r="F260" s="378" t="e">
        <f t="shared" si="138"/>
        <v>#DIV/0!</v>
      </c>
      <c r="G260" s="378" t="e">
        <f t="shared" si="135"/>
        <v>#DIV/0!</v>
      </c>
      <c r="H260" s="378" t="e">
        <f t="shared" si="135"/>
        <v>#DIV/0!</v>
      </c>
      <c r="I260" s="378" t="e">
        <f t="shared" si="135"/>
        <v>#DIV/0!</v>
      </c>
      <c r="J260" s="378" t="e">
        <f t="shared" si="135"/>
        <v>#DIV/0!</v>
      </c>
      <c r="K260" s="378" t="e">
        <f t="shared" si="135"/>
        <v>#DIV/0!</v>
      </c>
      <c r="L260" s="378" t="e">
        <f t="shared" si="135"/>
        <v>#DIV/0!</v>
      </c>
      <c r="M260" s="378" t="e">
        <f t="shared" si="135"/>
        <v>#DIV/0!</v>
      </c>
      <c r="N260" s="497" t="e">
        <f t="shared" si="139"/>
        <v>#DIV/0!</v>
      </c>
      <c r="O260" s="497" t="str">
        <f t="array" ref="O260">IFERROR(INDEX(Calculation!I:AN,MATCH(ListAndConversion!E260,Calculation!I:I,0),31),"-")</f>
        <v>-</v>
      </c>
      <c r="P260" s="498">
        <f>IF(COUNTIFS(Calculation!$I$10:$I$393,E260,Direct_Denaturation,"-")&lt;&gt;1,COUNTIFS(Calculation!$I$10:$I$393,E260,Direct_Denaturation,"-"),0)</f>
        <v>0</v>
      </c>
      <c r="V260" s="542" t="s">
        <v>82</v>
      </c>
      <c r="W260" s="542" t="s">
        <v>82</v>
      </c>
      <c r="X260" s="542" t="s">
        <v>82</v>
      </c>
      <c r="Y260" s="542" t="s">
        <v>82</v>
      </c>
      <c r="Z260" s="542" t="s">
        <v>82</v>
      </c>
      <c r="AA260" s="542" t="s">
        <v>82</v>
      </c>
      <c r="AB260" s="542" t="s">
        <v>82</v>
      </c>
      <c r="AC260" s="542" t="s">
        <v>82</v>
      </c>
      <c r="AD260" s="542" t="s">
        <v>82</v>
      </c>
      <c r="AE260" s="542" t="s">
        <v>82</v>
      </c>
      <c r="AF260" s="542" t="s">
        <v>82</v>
      </c>
      <c r="AG260" s="542" t="s">
        <v>82</v>
      </c>
      <c r="AH260" s="9"/>
      <c r="AI260" s="487">
        <v>257</v>
      </c>
      <c r="AJ260" s="497" t="s">
        <v>162</v>
      </c>
      <c r="AK260" s="378">
        <v>65</v>
      </c>
      <c r="AL260" s="378" t="str">
        <f t="shared" ref="AL260:AL323" ca="1" si="140">IF(AM260&lt;&gt;"-",CONCATENATE(AM260,"-",AO260),"-")</f>
        <v>-</v>
      </c>
      <c r="AM260" s="378" t="str">
        <f t="array" aca="1" ref="AM260" ca="1">IFERROR(IF(AI260&lt;=$AB$2,"-",INDEX(Calculation_Tab,SMALL(ROW(Main_Dil)*(Main_Dil&lt;&gt;"-"),COUNTIF(Main_Dil,"-")+ROW()-3-$AB$2)-9,5)),"-")</f>
        <v>-</v>
      </c>
      <c r="AN260" s="378" t="str">
        <f t="array" aca="1" ref="AN260" ca="1">IFERROR(IF(AI260&lt;=$AB$2,"-",INDEX($A$3:$B$12,MATCH(INDEX(Calculation_Tab,SMALL(ROW(Main_Dil)*(Main_Dil&lt;&gt;"-"),COUNTIF(Main_Dil,"-")+ROW()-3-$AB$2)-9,5),$A$3:$A$12,0),2)),"-")</f>
        <v>-</v>
      </c>
      <c r="AO260" s="378" t="str">
        <f t="array" aca="1" ref="AO260" ca="1">IFERROR(IF(AI260&lt;=$AB$2,"-",INDEX(Coordinate,MATCH(INDEX(Calculation_Tab,SMALL(ROW(Main_Dil)*(Main_Dil&lt;&gt;"-"),COUNTIF(Main_Dil,"-")+ROW()-3-$AB$2)-9,6),$X$4:$X$99,0),2)),"-")</f>
        <v>-</v>
      </c>
      <c r="AP260" s="510" t="str">
        <f t="array" aca="1" ref="AP260" ca="1">IFERROR(IF(AI260&lt;=$AB$2,"-",INDEX(Calculation_Tab,SMALL(ROW(Main_Dil)*(Main_Dil&lt;&gt;"-"),COUNTIF(Main_Dil,"-")+ROW()-3-$AB$2)-9,21)),"-")</f>
        <v>-</v>
      </c>
      <c r="AQ260" s="511" t="str">
        <f t="array" aca="1" ref="AQ260" ca="1">IFERROR(IF(AI260&lt;=$AB$2,"-",INDEX(Calculation_Tab,SMALL(ROW(Main_Dil)*(Main_Dil&lt;&gt;"-"),COUNTIF(Main_Dil,"-")+ROW()-3-$AB$2)-9,22)),"-")</f>
        <v>-</v>
      </c>
      <c r="AR260" s="487" t="str">
        <f t="shared" ref="AR260:AR323" ca="1" si="141">IFERROR(INDEX(Calculation_Tab,MATCH(AV260,Identifier,0),9),"-")</f>
        <v>-</v>
      </c>
      <c r="AS260" s="378">
        <v>257</v>
      </c>
      <c r="AT260" s="497" t="s">
        <v>162</v>
      </c>
      <c r="AU260" s="498">
        <v>65</v>
      </c>
      <c r="AV260" s="378" t="str">
        <f t="shared" ref="AV260:AV323" ca="1" si="142">IF(AW260&lt;&gt;"-",CONCATENATE(AW260,"-",AY260),"-")</f>
        <v>-</v>
      </c>
      <c r="AW260" s="378" t="str">
        <f t="array" aca="1" ref="AW260" ca="1">IFERROR(IF(AS260&lt;=$AB$2+$AN$2,"-",INDEX(Calculation_Tab,SMALL(ROW(Direct_Denaturation)*(Direct_Denaturation&lt;&gt;"-"),COUNTIF(Direct_Denaturation,"-")+ROW()-3-$AB$2-$AN$2)-9,5)),"-")</f>
        <v>-</v>
      </c>
      <c r="AX260" s="378" t="str">
        <f t="array" aca="1" ref="AX260" ca="1">IFERROR(IF(AS260&lt;=$AB$2+$AN$2,"-",INDEX($A$3:$B$12,MATCH(INDEX(Calculation_Tab,SMALL(ROW(Direct_Denaturation)*(Direct_Denaturation&lt;&gt;"-"),COUNTIF(Direct_Denaturation,"-")+ROW()-3-$AB$2-$AN$2)-9,5),$A$3:$A$12,0),2)),"-")</f>
        <v>-</v>
      </c>
      <c r="AY260" s="378" t="str">
        <f t="array" aca="1" ref="AY260" ca="1">IFERROR(IF(AS260&lt;=$AB$2+$AN$2,"-",INDEX(Coordinate,MATCH(INDEX(Calculation_Tab,SMALL(ROW(Direct_Denaturation)*(Direct_Denaturation&lt;&gt;"-"),COUNTIF(Direct_Denaturation,"-")+ROW()-3-$AB$2-$AN$2)-9,6),$X$4:$X$99,0),2)),"-")</f>
        <v>-</v>
      </c>
      <c r="AZ260" s="510" t="str">
        <f t="array" aca="1" ref="AZ260" ca="1">IFERROR(IF(AS260&lt;=$AB$2+$AN$2,"-",INDEX(Calculation_Tab,SMALL(ROW(Direct_Denaturation)*(Direct_Denaturation&lt;&gt;"-"),COUNTIF(Direct_Denaturation,"-")+ROW()-3-$AB$2-$AN$2)-9,32)),"-")</f>
        <v>-</v>
      </c>
      <c r="BA260" s="510" t="str">
        <f t="array" aca="1" ref="BA260" ca="1">IFERROR(IF(AS260&lt;=$AB$2+$AN$2,"-",INDEX(Calculation_Tab,SMALL(ROW(Direct_Denaturation)*(Direct_Denaturation&lt;&gt;"-"),COUNTIF(Direct_Denaturation,"-")+ROW()-3-$AB$2-$AN$2)-9,34)),"-")</f>
        <v>-</v>
      </c>
      <c r="BB260" s="510" t="str">
        <f t="array" aca="1" ref="BB260" ca="1">IFERROR(IF(AS260&lt;=$AB$2+$AN$2,"-",INDEX(Calculation_Tab,SMALL(ROW(Direct_Denaturation)*(Direct_Denaturation&lt;&gt;"-"),COUNTIF(Direct_Denaturation,"-")+ROW()-3-$AB$2-$AN$2)-9,33)),"-")</f>
        <v>-</v>
      </c>
      <c r="BC260" s="510" t="str">
        <f t="array" aca="1" ref="BC260" ca="1">IFERROR(IF(AS260&lt;=$AB$2+$AN$2,"-",INDEX(Calculation_Tab,SMALL(ROW(Direct_Denaturation)*(Direct_Denaturation&lt;&gt;"-"),COUNTIF(Direct_Denaturation,"-")+ROW()-3-$AB$2-$AN$2)-9,35)),"-")</f>
        <v>-</v>
      </c>
      <c r="BD260" s="511" t="str">
        <f t="shared" ref="BD260:BD323" ca="1" si="143">IFERROR((INDEX(Calculation_Tab,MATCH($AV260,Identifier,0),10))/(IF(LEN(INDEX(Calculation_Tab,MATCH($AV260,Identifier,0),9))&gt;8,LEN(INDEX(Calculation_Tab,MATCH($AV260,Identifier,0),9))-8,1))*INDEX(Calculation_Tab,MATCH($AV260,Identifier,0),30),"-")</f>
        <v>-</v>
      </c>
      <c r="BK260" s="542" t="s">
        <v>82</v>
      </c>
      <c r="BL260" s="542" t="s">
        <v>82</v>
      </c>
      <c r="BM260" s="487" t="str">
        <f t="array" aca="1" ref="BM260" ca="1">IFERROR(INDEX(Calculation_Tab,SMALL(ROW(ToPool)*(ToPool&lt;&gt;"-"),COUNTIF(ToPool,"-")+ROW()-3)-9,3),"-")</f>
        <v>-</v>
      </c>
      <c r="BN260" s="378" t="str">
        <f t="shared" ref="BN260:BN323" ca="1" si="144">IF(BM260="-","-",IFERROR(IFERROR(INDEX(AI:AQ,MATCH(BM260,AL:AL,0),2),INDEX(V:AQ,MATCH(BM260,Z:Z,0),15)),"-"))</f>
        <v>-</v>
      </c>
      <c r="BO260" s="378" t="str">
        <f t="shared" ref="BO260:BO323" ca="1" si="145">IF(BM260="-","-",IFERROR(IFERROR(INDEX(AI:AQ,MATCH(BM260,AL:AL,0),3),INDEX(V:AQ,MATCH(BM260,Z:Z,0),16)),"-"))</f>
        <v>-</v>
      </c>
      <c r="BP260" s="523" t="str">
        <f t="shared" ref="BP260:BP323" ca="1" si="146">IFERROR((INDEX(Calculation_Tab,MATCH($BM260,Identifier,0),10))/(IF(LEN(INDEX(Calculation_Tab,MATCH($BM260,Identifier,0),9))&gt;8,LEN(INDEX(Calculation_Tab,MATCH($BM260,Identifier,0),9))-8,1)),"-")</f>
        <v>-</v>
      </c>
      <c r="BQ260" s="378" t="str">
        <f t="array" aca="1" ref="BQ260" ca="1">IFERROR(INDEX(BE:BG,MATCH(INDEX(Calculation_Tab,SMALL(ROW(ToPool)*(ToPool&lt;&gt;"-"),COUNTIF(ToPool,"-")+ROW()-3)-9,9),BG:BG,0),2),"-")</f>
        <v>-</v>
      </c>
      <c r="BR260" s="510" t="str">
        <f t="shared" ref="BR260:BR323" ca="1" si="147">IFERROR(BS260/SUMIF($BQ$4:$BQ$387,BQ260,$BS$4:$BS$387)*(INDEX($BE$1:$BH$99,MATCH(INDEX(Calculation_Tab,MATCH(BM260,Identifier,0),9),BG:BG,0),4)),"-")</f>
        <v>-</v>
      </c>
      <c r="BS260" s="511" t="str">
        <f t="shared" ref="BS260:BS323" ca="1" si="148">IFERROR((INDEX(Calculation_Tab,MATCH($BM260,Identifier,0),10))/(IF(LEN(INDEX(Calculation_Tab,MATCH($BM260,Identifier,0),9))&gt;8,LEN(INDEX(Calculation_Tab,MATCH($BM260,Identifier,0),9))-8,1))*INDEX(Calculation_Tab,MATCH($BM260,Identifier,0),30),"-")</f>
        <v>-</v>
      </c>
      <c r="BT260" s="543" t="s">
        <v>82</v>
      </c>
      <c r="BU260" s="487" t="str">
        <f t="shared" ca="1" si="124"/>
        <v>-</v>
      </c>
      <c r="BV260" s="487" t="str">
        <f t="array" aca="1" ref="BV26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60" s="378" t="str">
        <f t="shared" ref="BW260:BW323" ca="1" si="149">IF($BV260="-","-",IFERROR(INDEX($AJ$4:$AL$387,MATCH($BV260,$AL$4:$AL$387,0),1),IFERROR(INDEX($Y$4:$AJ$99,MATCH($BV260,$Z$4:$Z$99,0),12),IFERROR(INDEX($AV$4:$AY$387,MATCH($BV260,$AV$4:$AV$387,0),3),IFERROR(INDEX($BE$4:$BK$99,MATCH($BV260,$BE$4:$BE$99,0),7),"-")))))</f>
        <v>-</v>
      </c>
      <c r="BX260" s="378" t="str">
        <f t="shared" ref="BX260:BX323" ca="1" si="150">IF($BV260="-","-",IFERROR(INDEX($AJ$4:$AL$387,MATCH($BV260,$AL$4:$AL$387,0),2),IFERROR(INDEX($Y$4:$AJ$99,MATCH($BV260,$Z$4:$Z$99,0),1),IFERROR(INDEX($AV$4:$AY$387,MATCH($BV260,$AV$4:$AV$387,0),4),IFERROR(INDEX($BE$4:$BK$99,MATCH($BV260,$BE$4:$BE$99,0),2),"-")))))</f>
        <v>-</v>
      </c>
      <c r="BY260" s="510" t="str">
        <f ca="1">IFERROR(ROUND(INDEX(Cluster,MATCH(IF(LEFT(BV260,4)="Pool",INDEX(Cluster,MATCH(INDEX(Calculation_Tab,MATCH(INDEX($BE$4:$BJ$99,MATCH(BV260,$BE$4:$BE$99,0),3),Flow_Cell_Lane,0),3),Cluster!$F$29:$F$412,0),6),BV260),Identifier_Cluster,0),19)*IF(LEFT(BV260,4)="pool",IF(LEN(INDEX($BE$4:$BJ$99,MATCH(BV260,$BE$4:$BE$99,0),3))=10,2,IF(LEN(INDEX($BE$4:$BJ$99,MATCH(BV260,$BE$4:$BE$99,0),3))&gt;10,LEN(INDEX($BE$4:$BJ$99,MATCH(BV260,$BE$4:$BE$99,0),3))-8,1)),1)*IF(LEFT(BV260,4)="pool",IF(INDEX($BE$4:$BJ$99,MATCH(BV260,$BE$4:$BE$99,0),6)&lt;1,1,INDEX($BE$4:$BJ$99,MATCH(BV260,$BE$4:$BE$99,0),6)),INDEX(Calculation_Tab,MATCH(BV260,Identifier,0),10)),1)*(1+Calculation!$Q$6),"-")</f>
        <v>-</v>
      </c>
      <c r="BZ260" s="378" t="str">
        <f ca="1">IFERROR((0.5/50)*CE260/Calculation!$AG$6*(IF(LEFT(BV260,4)="Pool",IF(LEN(INDEX($BE$4:$BJ$99,MATCH(BV260,$BE$4:$BE$99,0),3))=10,2,IF(LEN(INDEX($BE$4:$BJ$99,MATCH(BV260,$BE$4:$BE$99,0),3))&gt;10,LEN(INDEX($BE$4:$BJ$99,MATCH(BV260,$BE$4:$BE$99,0),3))-8,1)),IF(INDEX(Calculation_Tab,MATCH(BV260,Identifier,0),10)&gt;1,INDEX(Calculation_Tab,MATCH(BV260,Identifier,0),10),1)))*(1+Calculation!$Q$6),"-")</f>
        <v>-</v>
      </c>
      <c r="CA260" s="510" t="str">
        <f ca="1">IFERROR(IF((BZ260*Calculation!$AG$6/0.05)-SUM(BY260:BZ260,CC260)&gt;0,(BZ260*Calculation!$AG$6/0.05)-SUM(BY260:BZ260,CC260),0),"-")</f>
        <v>-</v>
      </c>
      <c r="CB260" s="510" t="str">
        <f ca="1">IFERROR(5/50*CE260*(IF(LEFT(BV260,4)="Pool",IF(LEN(INDEX($BE$4:$BJ$99,MATCH(BV260,$BE$4:$BE$99,0),3))=10,2,IF(LEN(INDEX($BE$4:$BJ$99,MATCH(BV260,$BE$4:$BE$99,0),3))&gt;10,LEN(INDEX($BE$4:$BJ$99,MATCH(BV260,$BE$4:$BE$99,0),3))-8,1)),IF(INDEX(Calculation_Tab,MATCH(BV260,Identifier,0),10)&gt;1,INDEX(Calculation_Tab,MATCH(BV260,Identifier,0),10),1)))*(1+Calculation!$Q$6),"-")</f>
        <v>-</v>
      </c>
      <c r="CC260" s="508" t="str">
        <f ca="1">IFERROR(ROUND(INDEX(Cluster,MATCH(IF(LEFT(BV260,4)="Pool",INDEX(Cluster,MATCH(INDEX(Calculation_Tab,MATCH(INDEX($BE$4:$BJ$99,MATCH(BV260,$BE$4:$BE$99,0),3),Flow_Cell_Lane,0),3),Cluster!$F$29:$F$412,0),6),BV260),Identifier_Cluster,0),20)*IF(LEFT(BV260,4)="pool",IF(LEN(INDEX($BE$4:$BJ$99,MATCH(BV260,$BE$4:$BE$99,0),3))=10,2,IF(LEN(INDEX($BE$4:$BJ$99,MATCH(BV260,$BE$4:$BE$99,0),3))&gt;10,LEN(INDEX($BE$4:$BJ$99,MATCH(BV260,$BE$4:$BE$99,0),3))-8,1)),1)*IF(LEFT(BV260,4)="pool",IF(INDEX($BE$4:$BJ$99,MATCH(BV260,$BE$4:$BE$99,0),6)&lt;1,1,INDEX($BE$4:$BJ$99,MATCH(BV260,$BE$4:$BE$99,0),6)),INDEX(Calculation_Tab,MATCH(BV260,Identifier,0),10)),1)*(1+Calculation!$Q$6),"-")</f>
        <v>-</v>
      </c>
      <c r="CD260" s="509" t="str">
        <f ca="1">IFERROR(INDEX(Cluster!AC:AD,MATCH(IF(LEFT(BV260,4)="Pool",INDEX(Cluster!$D$29:$AA$412,MATCH(INDEX(Calculation_Tab,MATCH(INDEX($BE$4:$BJ$99,MATCH(BV260,$BE$4:$BE$99,0),3),Flow_Cell_Lane,0),3),Cluster!$F$29:$F$412,0),24),INDEX(Cluster!$D$29:$AA$412,MATCH(BV260,Cluster!$F$29:$F$412,0),24)),Cluster!AC:AC,0),2),"-")</f>
        <v>-</v>
      </c>
      <c r="CE260" s="378" t="str">
        <f ca="1">IFERROR(IF(BV260&lt;&gt;"-",Calculation!$AK$6,"-"),"-")</f>
        <v>-</v>
      </c>
      <c r="CF260" s="378" t="str">
        <f ca="1">IF(OR(LEFT(ListAndConversion!BW260,3)="Dil",LEFT(ListAndConversion!BW260,3)="Poo"),ListAndConversion!$BT$4,IF(LEFT(ListAndConversion!BW260,3)="Sou",INDEX(ListAndConversion!$AT$3:$AV$387,MATCH(ListAndConversion!BV260,ListAndConversion!$AV$3:$AV$387,0),1),"-"))</f>
        <v>-</v>
      </c>
      <c r="CG260" s="498" t="str">
        <f ca="1">IF(OR(LEFT(ListAndConversion!BW260,3)="Dil",LEFT(ListAndConversion!BW260,3)="Poo"),ListAndConversion!BU260,IF(LEFT(ListAndConversion!BW260,3)="Sou",INDEX(ListAndConversion!$AT$4:$AV$387,MATCH(ListAndConversion!BV260,ListAndConversion!$AV$4:$AV$387,0),2),"-"))</f>
        <v>-</v>
      </c>
      <c r="CH260" s="378"/>
      <c r="CI260" s="487" t="str">
        <f t="shared" ref="CI260:CI323" ca="1" si="151">IFERROR(IF(LEFT(BV260,3)="poo",INDEX($BE$4:$BI$99,MATCH(BV260,$BE$4:$BE$99,0),3),INDEX(Calculation_Tab,MATCH(BV260,Identifier,0),9)),"-")</f>
        <v>-</v>
      </c>
      <c r="CJ260" s="378" t="str">
        <f t="shared" ca="1" si="136"/>
        <v>-</v>
      </c>
      <c r="CK260" s="378" t="str">
        <f t="shared" ca="1" si="136"/>
        <v>-</v>
      </c>
      <c r="CL260" s="378" t="str">
        <f t="shared" ca="1" si="136"/>
        <v>-</v>
      </c>
      <c r="CM260" s="378" t="str">
        <f t="shared" ca="1" si="136"/>
        <v>-</v>
      </c>
      <c r="CN260" s="378" t="str">
        <f t="shared" ca="1" si="136"/>
        <v>-</v>
      </c>
      <c r="CO260" s="378" t="str">
        <f t="shared" ca="1" si="136"/>
        <v>-</v>
      </c>
      <c r="CP260" s="378" t="str">
        <f t="shared" ca="1" si="136"/>
        <v>-</v>
      </c>
      <c r="CQ260" s="378" t="str">
        <f t="shared" ca="1" si="136"/>
        <v>-</v>
      </c>
      <c r="CR260" s="510" t="str">
        <f ca="1">IFERROR(IF(LEFT(BW260,3)="Poo",INDEX($BE$4:$BJ$99,MATCH(CI260,$BG$4:$BG$99,0),6)*((15/50))*Calculation!$AK$6,INDEX(Calculation_Tab,MATCH(BV260,Identifier,0),10)/(IF(LEN(INDEX(Calculation_Tab,MATCH(BV260,Identifier,0),9))&gt;8,LEN(INDEX(Calculation_Tab,MATCH(BV260,Identifier,0),9))-8,1))*((15/50)*Calculation!$AK$6)),"-")</f>
        <v>-</v>
      </c>
      <c r="CS260" s="498" t="str">
        <f ca="1">IF(CI260="-","-",IF(COUNTIF($CI$3:CI260,CI260)&gt;1,0,IFERROR((35/50)*Calculation!$AK$6,"-")))</f>
        <v>-</v>
      </c>
    </row>
    <row r="261" spans="4:97" x14ac:dyDescent="0.5">
      <c r="D261" s="487" t="e">
        <f t="shared" si="137"/>
        <v>#DIV/0!</v>
      </c>
      <c r="E261" s="496" t="e">
        <f t="array" ref="E261">IF(IF((ROW(E261)-3)&lt;(ListAndConversion!$A$15),INDEX(Flow_Cell_Lane,MIN(IF(COUNTIF($E$2:E260,Flow_Cell_Lane)=0,ROW(Flow_Cell_Lane)-9))),"-")="","-",IF((ROW(E261)-3)&lt;(ListAndConversion!$A$15),INDEX(Flow_Cell_Lane,MIN(IF(COUNTIF($E$2:E260,Flow_Cell_Lane)=0,ROW(Flow_Cell_Lane)-9))),"-"))</f>
        <v>#DIV/0!</v>
      </c>
      <c r="F261" s="378" t="e">
        <f t="shared" si="138"/>
        <v>#DIV/0!</v>
      </c>
      <c r="G261" s="378" t="e">
        <f t="shared" si="135"/>
        <v>#DIV/0!</v>
      </c>
      <c r="H261" s="378" t="e">
        <f t="shared" si="135"/>
        <v>#DIV/0!</v>
      </c>
      <c r="I261" s="378" t="e">
        <f t="shared" si="135"/>
        <v>#DIV/0!</v>
      </c>
      <c r="J261" s="378" t="e">
        <f t="shared" si="135"/>
        <v>#DIV/0!</v>
      </c>
      <c r="K261" s="378" t="e">
        <f t="shared" si="135"/>
        <v>#DIV/0!</v>
      </c>
      <c r="L261" s="378" t="e">
        <f t="shared" si="135"/>
        <v>#DIV/0!</v>
      </c>
      <c r="M261" s="378" t="e">
        <f t="shared" si="135"/>
        <v>#DIV/0!</v>
      </c>
      <c r="N261" s="497" t="e">
        <f t="shared" si="139"/>
        <v>#DIV/0!</v>
      </c>
      <c r="O261" s="497" t="str">
        <f t="array" ref="O261">IFERROR(INDEX(Calculation!I:AN,MATCH(ListAndConversion!E261,Calculation!I:I,0),31),"-")</f>
        <v>-</v>
      </c>
      <c r="P261" s="498">
        <f>IF(COUNTIFS(Calculation!$I$10:$I$393,E261,Direct_Denaturation,"-")&lt;&gt;1,COUNTIFS(Calculation!$I$10:$I$393,E261,Direct_Denaturation,"-"),0)</f>
        <v>0</v>
      </c>
      <c r="V261" s="542" t="s">
        <v>82</v>
      </c>
      <c r="W261" s="542" t="s">
        <v>82</v>
      </c>
      <c r="X261" s="542" t="s">
        <v>82</v>
      </c>
      <c r="Y261" s="542" t="s">
        <v>82</v>
      </c>
      <c r="Z261" s="542" t="s">
        <v>82</v>
      </c>
      <c r="AA261" s="542" t="s">
        <v>82</v>
      </c>
      <c r="AB261" s="542" t="s">
        <v>82</v>
      </c>
      <c r="AC261" s="542" t="s">
        <v>82</v>
      </c>
      <c r="AD261" s="542" t="s">
        <v>82</v>
      </c>
      <c r="AE261" s="542" t="s">
        <v>82</v>
      </c>
      <c r="AF261" s="542" t="s">
        <v>82</v>
      </c>
      <c r="AG261" s="542" t="s">
        <v>82</v>
      </c>
      <c r="AH261" s="9"/>
      <c r="AI261" s="487">
        <v>258</v>
      </c>
      <c r="AJ261" s="497" t="s">
        <v>162</v>
      </c>
      <c r="AK261" s="378">
        <v>66</v>
      </c>
      <c r="AL261" s="378" t="str">
        <f t="shared" ca="1" si="140"/>
        <v>-</v>
      </c>
      <c r="AM261" s="378" t="str">
        <f t="array" aca="1" ref="AM261" ca="1">IFERROR(IF(AI261&lt;=$AB$2,"-",INDEX(Calculation_Tab,SMALL(ROW(Main_Dil)*(Main_Dil&lt;&gt;"-"),COUNTIF(Main_Dil,"-")+ROW()-3-$AB$2)-9,5)),"-")</f>
        <v>-</v>
      </c>
      <c r="AN261" s="378" t="str">
        <f t="array" aca="1" ref="AN261" ca="1">IFERROR(IF(AI261&lt;=$AB$2,"-",INDEX($A$3:$B$12,MATCH(INDEX(Calculation_Tab,SMALL(ROW(Main_Dil)*(Main_Dil&lt;&gt;"-"),COUNTIF(Main_Dil,"-")+ROW()-3-$AB$2)-9,5),$A$3:$A$12,0),2)),"-")</f>
        <v>-</v>
      </c>
      <c r="AO261" s="378" t="str">
        <f t="array" aca="1" ref="AO261" ca="1">IFERROR(IF(AI261&lt;=$AB$2,"-",INDEX(Coordinate,MATCH(INDEX(Calculation_Tab,SMALL(ROW(Main_Dil)*(Main_Dil&lt;&gt;"-"),COUNTIF(Main_Dil,"-")+ROW()-3-$AB$2)-9,6),$X$4:$X$99,0),2)),"-")</f>
        <v>-</v>
      </c>
      <c r="AP261" s="510" t="str">
        <f t="array" aca="1" ref="AP261" ca="1">IFERROR(IF(AI261&lt;=$AB$2,"-",INDEX(Calculation_Tab,SMALL(ROW(Main_Dil)*(Main_Dil&lt;&gt;"-"),COUNTIF(Main_Dil,"-")+ROW()-3-$AB$2)-9,21)),"-")</f>
        <v>-</v>
      </c>
      <c r="AQ261" s="511" t="str">
        <f t="array" aca="1" ref="AQ261" ca="1">IFERROR(IF(AI261&lt;=$AB$2,"-",INDEX(Calculation_Tab,SMALL(ROW(Main_Dil)*(Main_Dil&lt;&gt;"-"),COUNTIF(Main_Dil,"-")+ROW()-3-$AB$2)-9,22)),"-")</f>
        <v>-</v>
      </c>
      <c r="AR261" s="487" t="str">
        <f t="shared" ca="1" si="141"/>
        <v>-</v>
      </c>
      <c r="AS261" s="378">
        <v>258</v>
      </c>
      <c r="AT261" s="497" t="s">
        <v>162</v>
      </c>
      <c r="AU261" s="498">
        <v>66</v>
      </c>
      <c r="AV261" s="378" t="str">
        <f t="shared" ca="1" si="142"/>
        <v>-</v>
      </c>
      <c r="AW261" s="378" t="str">
        <f t="array" aca="1" ref="AW261" ca="1">IFERROR(IF(AS261&lt;=$AB$2+$AN$2,"-",INDEX(Calculation_Tab,SMALL(ROW(Direct_Denaturation)*(Direct_Denaturation&lt;&gt;"-"),COUNTIF(Direct_Denaturation,"-")+ROW()-3-$AB$2-$AN$2)-9,5)),"-")</f>
        <v>-</v>
      </c>
      <c r="AX261" s="378" t="str">
        <f t="array" aca="1" ref="AX261" ca="1">IFERROR(IF(AS261&lt;=$AB$2+$AN$2,"-",INDEX($A$3:$B$12,MATCH(INDEX(Calculation_Tab,SMALL(ROW(Direct_Denaturation)*(Direct_Denaturation&lt;&gt;"-"),COUNTIF(Direct_Denaturation,"-")+ROW()-3-$AB$2-$AN$2)-9,5),$A$3:$A$12,0),2)),"-")</f>
        <v>-</v>
      </c>
      <c r="AY261" s="378" t="str">
        <f t="array" aca="1" ref="AY261" ca="1">IFERROR(IF(AS261&lt;=$AB$2+$AN$2,"-",INDEX(Coordinate,MATCH(INDEX(Calculation_Tab,SMALL(ROW(Direct_Denaturation)*(Direct_Denaturation&lt;&gt;"-"),COUNTIF(Direct_Denaturation,"-")+ROW()-3-$AB$2-$AN$2)-9,6),$X$4:$X$99,0),2)),"-")</f>
        <v>-</v>
      </c>
      <c r="AZ261" s="510" t="str">
        <f t="array" aca="1" ref="AZ261" ca="1">IFERROR(IF(AS261&lt;=$AB$2+$AN$2,"-",INDEX(Calculation_Tab,SMALL(ROW(Direct_Denaturation)*(Direct_Denaturation&lt;&gt;"-"),COUNTIF(Direct_Denaturation,"-")+ROW()-3-$AB$2-$AN$2)-9,32)),"-")</f>
        <v>-</v>
      </c>
      <c r="BA261" s="510" t="str">
        <f t="array" aca="1" ref="BA261" ca="1">IFERROR(IF(AS261&lt;=$AB$2+$AN$2,"-",INDEX(Calculation_Tab,SMALL(ROW(Direct_Denaturation)*(Direct_Denaturation&lt;&gt;"-"),COUNTIF(Direct_Denaturation,"-")+ROW()-3-$AB$2-$AN$2)-9,34)),"-")</f>
        <v>-</v>
      </c>
      <c r="BB261" s="510" t="str">
        <f t="array" aca="1" ref="BB261" ca="1">IFERROR(IF(AS261&lt;=$AB$2+$AN$2,"-",INDEX(Calculation_Tab,SMALL(ROW(Direct_Denaturation)*(Direct_Denaturation&lt;&gt;"-"),COUNTIF(Direct_Denaturation,"-")+ROW()-3-$AB$2-$AN$2)-9,33)),"-")</f>
        <v>-</v>
      </c>
      <c r="BC261" s="510" t="str">
        <f t="array" aca="1" ref="BC261" ca="1">IFERROR(IF(AS261&lt;=$AB$2+$AN$2,"-",INDEX(Calculation_Tab,SMALL(ROW(Direct_Denaturation)*(Direct_Denaturation&lt;&gt;"-"),COUNTIF(Direct_Denaturation,"-")+ROW()-3-$AB$2-$AN$2)-9,35)),"-")</f>
        <v>-</v>
      </c>
      <c r="BD261" s="511" t="str">
        <f t="shared" ca="1" si="143"/>
        <v>-</v>
      </c>
      <c r="BK261" s="542" t="s">
        <v>82</v>
      </c>
      <c r="BL261" s="542" t="s">
        <v>82</v>
      </c>
      <c r="BM261" s="487" t="str">
        <f t="array" aca="1" ref="BM261" ca="1">IFERROR(INDEX(Calculation_Tab,SMALL(ROW(ToPool)*(ToPool&lt;&gt;"-"),COUNTIF(ToPool,"-")+ROW()-3)-9,3),"-")</f>
        <v>-</v>
      </c>
      <c r="BN261" s="378" t="str">
        <f t="shared" ca="1" si="144"/>
        <v>-</v>
      </c>
      <c r="BO261" s="378" t="str">
        <f t="shared" ca="1" si="145"/>
        <v>-</v>
      </c>
      <c r="BP261" s="523" t="str">
        <f t="shared" ca="1" si="146"/>
        <v>-</v>
      </c>
      <c r="BQ261" s="378" t="str">
        <f t="array" aca="1" ref="BQ261" ca="1">IFERROR(INDEX(BE:BG,MATCH(INDEX(Calculation_Tab,SMALL(ROW(ToPool)*(ToPool&lt;&gt;"-"),COUNTIF(ToPool,"-")+ROW()-3)-9,9),BG:BG,0),2),"-")</f>
        <v>-</v>
      </c>
      <c r="BR261" s="510" t="str">
        <f t="shared" ca="1" si="147"/>
        <v>-</v>
      </c>
      <c r="BS261" s="511" t="str">
        <f t="shared" ca="1" si="148"/>
        <v>-</v>
      </c>
      <c r="BT261" s="543" t="s">
        <v>82</v>
      </c>
      <c r="BU261" s="487" t="str">
        <f t="shared" ref="BU261:BU324" ca="1" si="152">IF(BW261="-","-",IF(OR(LEFT(BW261,3)="Dil",LEFT(BW261,3)="Poo"),BU260+1,BU260))</f>
        <v>-</v>
      </c>
      <c r="BV261" s="487" t="str">
        <f t="array" aca="1" ref="BV26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61" s="378" t="str">
        <f t="shared" ca="1" si="149"/>
        <v>-</v>
      </c>
      <c r="BX261" s="378" t="str">
        <f t="shared" ca="1" si="150"/>
        <v>-</v>
      </c>
      <c r="BY261" s="510" t="str">
        <f ca="1">IFERROR(ROUND(INDEX(Cluster,MATCH(IF(LEFT(BV261,4)="Pool",INDEX(Cluster,MATCH(INDEX(Calculation_Tab,MATCH(INDEX($BE$4:$BJ$99,MATCH(BV261,$BE$4:$BE$99,0),3),Flow_Cell_Lane,0),3),Cluster!$F$29:$F$412,0),6),BV261),Identifier_Cluster,0),19)*IF(LEFT(BV261,4)="pool",IF(LEN(INDEX($BE$4:$BJ$99,MATCH(BV261,$BE$4:$BE$99,0),3))=10,2,IF(LEN(INDEX($BE$4:$BJ$99,MATCH(BV261,$BE$4:$BE$99,0),3))&gt;10,LEN(INDEX($BE$4:$BJ$99,MATCH(BV261,$BE$4:$BE$99,0),3))-8,1)),1)*IF(LEFT(BV261,4)="pool",IF(INDEX($BE$4:$BJ$99,MATCH(BV261,$BE$4:$BE$99,0),6)&lt;1,1,INDEX($BE$4:$BJ$99,MATCH(BV261,$BE$4:$BE$99,0),6)),INDEX(Calculation_Tab,MATCH(BV261,Identifier,0),10)),1)*(1+Calculation!$Q$6),"-")</f>
        <v>-</v>
      </c>
      <c r="BZ261" s="378" t="str">
        <f ca="1">IFERROR((0.5/50)*CE261/Calculation!$AG$6*(IF(LEFT(BV261,4)="Pool",IF(LEN(INDEX($BE$4:$BJ$99,MATCH(BV261,$BE$4:$BE$99,0),3))=10,2,IF(LEN(INDEX($BE$4:$BJ$99,MATCH(BV261,$BE$4:$BE$99,0),3))&gt;10,LEN(INDEX($BE$4:$BJ$99,MATCH(BV261,$BE$4:$BE$99,0),3))-8,1)),IF(INDEX(Calculation_Tab,MATCH(BV261,Identifier,0),10)&gt;1,INDEX(Calculation_Tab,MATCH(BV261,Identifier,0),10),1)))*(1+Calculation!$Q$6),"-")</f>
        <v>-</v>
      </c>
      <c r="CA261" s="510" t="str">
        <f ca="1">IFERROR(IF((BZ261*Calculation!$AG$6/0.05)-SUM(BY261:BZ261,CC261)&gt;0,(BZ261*Calculation!$AG$6/0.05)-SUM(BY261:BZ261,CC261),0),"-")</f>
        <v>-</v>
      </c>
      <c r="CB261" s="510" t="str">
        <f ca="1">IFERROR(5/50*CE261*(IF(LEFT(BV261,4)="Pool",IF(LEN(INDEX($BE$4:$BJ$99,MATCH(BV261,$BE$4:$BE$99,0),3))=10,2,IF(LEN(INDEX($BE$4:$BJ$99,MATCH(BV261,$BE$4:$BE$99,0),3))&gt;10,LEN(INDEX($BE$4:$BJ$99,MATCH(BV261,$BE$4:$BE$99,0),3))-8,1)),IF(INDEX(Calculation_Tab,MATCH(BV261,Identifier,0),10)&gt;1,INDEX(Calculation_Tab,MATCH(BV261,Identifier,0),10),1)))*(1+Calculation!$Q$6),"-")</f>
        <v>-</v>
      </c>
      <c r="CC261" s="508" t="str">
        <f ca="1">IFERROR(ROUND(INDEX(Cluster,MATCH(IF(LEFT(BV261,4)="Pool",INDEX(Cluster,MATCH(INDEX(Calculation_Tab,MATCH(INDEX($BE$4:$BJ$99,MATCH(BV261,$BE$4:$BE$99,0),3),Flow_Cell_Lane,0),3),Cluster!$F$29:$F$412,0),6),BV261),Identifier_Cluster,0),20)*IF(LEFT(BV261,4)="pool",IF(LEN(INDEX($BE$4:$BJ$99,MATCH(BV261,$BE$4:$BE$99,0),3))=10,2,IF(LEN(INDEX($BE$4:$BJ$99,MATCH(BV261,$BE$4:$BE$99,0),3))&gt;10,LEN(INDEX($BE$4:$BJ$99,MATCH(BV261,$BE$4:$BE$99,0),3))-8,1)),1)*IF(LEFT(BV261,4)="pool",IF(INDEX($BE$4:$BJ$99,MATCH(BV261,$BE$4:$BE$99,0),6)&lt;1,1,INDEX($BE$4:$BJ$99,MATCH(BV261,$BE$4:$BE$99,0),6)),INDEX(Calculation_Tab,MATCH(BV261,Identifier,0),10)),1)*(1+Calculation!$Q$6),"-")</f>
        <v>-</v>
      </c>
      <c r="CD261" s="509" t="str">
        <f ca="1">IFERROR(INDEX(Cluster!AC:AD,MATCH(IF(LEFT(BV261,4)="Pool",INDEX(Cluster!$D$29:$AA$412,MATCH(INDEX(Calculation_Tab,MATCH(INDEX($BE$4:$BJ$99,MATCH(BV261,$BE$4:$BE$99,0),3),Flow_Cell_Lane,0),3),Cluster!$F$29:$F$412,0),24),INDEX(Cluster!$D$29:$AA$412,MATCH(BV261,Cluster!$F$29:$F$412,0),24)),Cluster!AC:AC,0),2),"-")</f>
        <v>-</v>
      </c>
      <c r="CE261" s="378" t="str">
        <f ca="1">IFERROR(IF(BV261&lt;&gt;"-",Calculation!$AK$6,"-"),"-")</f>
        <v>-</v>
      </c>
      <c r="CF261" s="378" t="str">
        <f ca="1">IF(OR(LEFT(ListAndConversion!BW261,3)="Dil",LEFT(ListAndConversion!BW261,3)="Poo"),ListAndConversion!$BT$4,IF(LEFT(ListAndConversion!BW261,3)="Sou",INDEX(ListAndConversion!$AT$3:$AV$387,MATCH(ListAndConversion!BV261,ListAndConversion!$AV$3:$AV$387,0),1),"-"))</f>
        <v>-</v>
      </c>
      <c r="CG261" s="498" t="str">
        <f ca="1">IF(OR(LEFT(ListAndConversion!BW261,3)="Dil",LEFT(ListAndConversion!BW261,3)="Poo"),ListAndConversion!BU261,IF(LEFT(ListAndConversion!BW261,3)="Sou",INDEX(ListAndConversion!$AT$4:$AV$387,MATCH(ListAndConversion!BV261,ListAndConversion!$AV$4:$AV$387,0),2),"-"))</f>
        <v>-</v>
      </c>
      <c r="CH261" s="378"/>
      <c r="CI261" s="487" t="str">
        <f t="shared" ca="1" si="151"/>
        <v>-</v>
      </c>
      <c r="CJ261" s="378" t="str">
        <f t="shared" ca="1" si="136"/>
        <v>-</v>
      </c>
      <c r="CK261" s="378" t="str">
        <f t="shared" ca="1" si="136"/>
        <v>-</v>
      </c>
      <c r="CL261" s="378" t="str">
        <f t="shared" ca="1" si="136"/>
        <v>-</v>
      </c>
      <c r="CM261" s="378" t="str">
        <f t="shared" ca="1" si="136"/>
        <v>-</v>
      </c>
      <c r="CN261" s="378" t="str">
        <f t="shared" ca="1" si="136"/>
        <v>-</v>
      </c>
      <c r="CO261" s="378" t="str">
        <f t="shared" ca="1" si="136"/>
        <v>-</v>
      </c>
      <c r="CP261" s="378" t="str">
        <f t="shared" ca="1" si="136"/>
        <v>-</v>
      </c>
      <c r="CQ261" s="378" t="str">
        <f t="shared" ca="1" si="136"/>
        <v>-</v>
      </c>
      <c r="CR261" s="510" t="str">
        <f ca="1">IFERROR(IF(LEFT(BW261,3)="Poo",INDEX($BE$4:$BJ$99,MATCH(CI261,$BG$4:$BG$99,0),6)*((15/50))*Calculation!$AK$6,INDEX(Calculation_Tab,MATCH(BV261,Identifier,0),10)/(IF(LEN(INDEX(Calculation_Tab,MATCH(BV261,Identifier,0),9))&gt;8,LEN(INDEX(Calculation_Tab,MATCH(BV261,Identifier,0),9))-8,1))*((15/50)*Calculation!$AK$6)),"-")</f>
        <v>-</v>
      </c>
      <c r="CS261" s="498" t="str">
        <f ca="1">IF(CI261="-","-",IF(COUNTIF($CI$3:CI261,CI261)&gt;1,0,IFERROR((35/50)*Calculation!$AK$6,"-")))</f>
        <v>-</v>
      </c>
    </row>
    <row r="262" spans="4:97" x14ac:dyDescent="0.5">
      <c r="D262" s="487" t="e">
        <f t="shared" si="137"/>
        <v>#DIV/0!</v>
      </c>
      <c r="E262" s="496" t="e">
        <f t="array" ref="E262">IF(IF((ROW(E262)-3)&lt;(ListAndConversion!$A$15),INDEX(Flow_Cell_Lane,MIN(IF(COUNTIF($E$2:E261,Flow_Cell_Lane)=0,ROW(Flow_Cell_Lane)-9))),"-")="","-",IF((ROW(E262)-3)&lt;(ListAndConversion!$A$15),INDEX(Flow_Cell_Lane,MIN(IF(COUNTIF($E$2:E261,Flow_Cell_Lane)=0,ROW(Flow_Cell_Lane)-9))),"-"))</f>
        <v>#DIV/0!</v>
      </c>
      <c r="F262" s="378" t="e">
        <f t="shared" si="138"/>
        <v>#DIV/0!</v>
      </c>
      <c r="G262" s="378" t="e">
        <f t="shared" si="135"/>
        <v>#DIV/0!</v>
      </c>
      <c r="H262" s="378" t="e">
        <f t="shared" si="135"/>
        <v>#DIV/0!</v>
      </c>
      <c r="I262" s="378" t="e">
        <f t="shared" si="135"/>
        <v>#DIV/0!</v>
      </c>
      <c r="J262" s="378" t="e">
        <f t="shared" si="135"/>
        <v>#DIV/0!</v>
      </c>
      <c r="K262" s="378" t="e">
        <f t="shared" si="135"/>
        <v>#DIV/0!</v>
      </c>
      <c r="L262" s="378" t="e">
        <f t="shared" si="135"/>
        <v>#DIV/0!</v>
      </c>
      <c r="M262" s="378" t="e">
        <f t="shared" si="135"/>
        <v>#DIV/0!</v>
      </c>
      <c r="N262" s="497" t="e">
        <f t="shared" si="139"/>
        <v>#DIV/0!</v>
      </c>
      <c r="O262" s="497" t="str">
        <f t="array" ref="O262">IFERROR(INDEX(Calculation!I:AN,MATCH(ListAndConversion!E262,Calculation!I:I,0),31),"-")</f>
        <v>-</v>
      </c>
      <c r="P262" s="498">
        <f>IF(COUNTIFS(Calculation!$I$10:$I$393,E262,Direct_Denaturation,"-")&lt;&gt;1,COUNTIFS(Calculation!$I$10:$I$393,E262,Direct_Denaturation,"-"),0)</f>
        <v>0</v>
      </c>
      <c r="V262" s="542" t="s">
        <v>82</v>
      </c>
      <c r="W262" s="542" t="s">
        <v>82</v>
      </c>
      <c r="X262" s="542" t="s">
        <v>82</v>
      </c>
      <c r="Y262" s="542" t="s">
        <v>82</v>
      </c>
      <c r="Z262" s="542" t="s">
        <v>82</v>
      </c>
      <c r="AA262" s="542" t="s">
        <v>82</v>
      </c>
      <c r="AB262" s="542" t="s">
        <v>82</v>
      </c>
      <c r="AC262" s="542" t="s">
        <v>82</v>
      </c>
      <c r="AD262" s="542" t="s">
        <v>82</v>
      </c>
      <c r="AE262" s="542" t="s">
        <v>82</v>
      </c>
      <c r="AF262" s="542" t="s">
        <v>82</v>
      </c>
      <c r="AG262" s="542" t="s">
        <v>82</v>
      </c>
      <c r="AH262" s="9"/>
      <c r="AI262" s="487">
        <v>259</v>
      </c>
      <c r="AJ262" s="497" t="s">
        <v>162</v>
      </c>
      <c r="AK262" s="378">
        <v>67</v>
      </c>
      <c r="AL262" s="378" t="str">
        <f t="shared" ca="1" si="140"/>
        <v>-</v>
      </c>
      <c r="AM262" s="378" t="str">
        <f t="array" aca="1" ref="AM262" ca="1">IFERROR(IF(AI262&lt;=$AB$2,"-",INDEX(Calculation_Tab,SMALL(ROW(Main_Dil)*(Main_Dil&lt;&gt;"-"),COUNTIF(Main_Dil,"-")+ROW()-3-$AB$2)-9,5)),"-")</f>
        <v>-</v>
      </c>
      <c r="AN262" s="378" t="str">
        <f t="array" aca="1" ref="AN262" ca="1">IFERROR(IF(AI262&lt;=$AB$2,"-",INDEX($A$3:$B$12,MATCH(INDEX(Calculation_Tab,SMALL(ROW(Main_Dil)*(Main_Dil&lt;&gt;"-"),COUNTIF(Main_Dil,"-")+ROW()-3-$AB$2)-9,5),$A$3:$A$12,0),2)),"-")</f>
        <v>-</v>
      </c>
      <c r="AO262" s="378" t="str">
        <f t="array" aca="1" ref="AO262" ca="1">IFERROR(IF(AI262&lt;=$AB$2,"-",INDEX(Coordinate,MATCH(INDEX(Calculation_Tab,SMALL(ROW(Main_Dil)*(Main_Dil&lt;&gt;"-"),COUNTIF(Main_Dil,"-")+ROW()-3-$AB$2)-9,6),$X$4:$X$99,0),2)),"-")</f>
        <v>-</v>
      </c>
      <c r="AP262" s="510" t="str">
        <f t="array" aca="1" ref="AP262" ca="1">IFERROR(IF(AI262&lt;=$AB$2,"-",INDEX(Calculation_Tab,SMALL(ROW(Main_Dil)*(Main_Dil&lt;&gt;"-"),COUNTIF(Main_Dil,"-")+ROW()-3-$AB$2)-9,21)),"-")</f>
        <v>-</v>
      </c>
      <c r="AQ262" s="511" t="str">
        <f t="array" aca="1" ref="AQ262" ca="1">IFERROR(IF(AI262&lt;=$AB$2,"-",INDEX(Calculation_Tab,SMALL(ROW(Main_Dil)*(Main_Dil&lt;&gt;"-"),COUNTIF(Main_Dil,"-")+ROW()-3-$AB$2)-9,22)),"-")</f>
        <v>-</v>
      </c>
      <c r="AR262" s="487" t="str">
        <f t="shared" ca="1" si="141"/>
        <v>-</v>
      </c>
      <c r="AS262" s="378">
        <v>259</v>
      </c>
      <c r="AT262" s="497" t="s">
        <v>162</v>
      </c>
      <c r="AU262" s="498">
        <v>67</v>
      </c>
      <c r="AV262" s="378" t="str">
        <f t="shared" ca="1" si="142"/>
        <v>-</v>
      </c>
      <c r="AW262" s="378" t="str">
        <f t="array" aca="1" ref="AW262" ca="1">IFERROR(IF(AS262&lt;=$AB$2+$AN$2,"-",INDEX(Calculation_Tab,SMALL(ROW(Direct_Denaturation)*(Direct_Denaturation&lt;&gt;"-"),COUNTIF(Direct_Denaturation,"-")+ROW()-3-$AB$2-$AN$2)-9,5)),"-")</f>
        <v>-</v>
      </c>
      <c r="AX262" s="378" t="str">
        <f t="array" aca="1" ref="AX262" ca="1">IFERROR(IF(AS262&lt;=$AB$2+$AN$2,"-",INDEX($A$3:$B$12,MATCH(INDEX(Calculation_Tab,SMALL(ROW(Direct_Denaturation)*(Direct_Denaturation&lt;&gt;"-"),COUNTIF(Direct_Denaturation,"-")+ROW()-3-$AB$2-$AN$2)-9,5),$A$3:$A$12,0),2)),"-")</f>
        <v>-</v>
      </c>
      <c r="AY262" s="378" t="str">
        <f t="array" aca="1" ref="AY262" ca="1">IFERROR(IF(AS262&lt;=$AB$2+$AN$2,"-",INDEX(Coordinate,MATCH(INDEX(Calculation_Tab,SMALL(ROW(Direct_Denaturation)*(Direct_Denaturation&lt;&gt;"-"),COUNTIF(Direct_Denaturation,"-")+ROW()-3-$AB$2-$AN$2)-9,6),$X$4:$X$99,0),2)),"-")</f>
        <v>-</v>
      </c>
      <c r="AZ262" s="510" t="str">
        <f t="array" aca="1" ref="AZ262" ca="1">IFERROR(IF(AS262&lt;=$AB$2+$AN$2,"-",INDEX(Calculation_Tab,SMALL(ROW(Direct_Denaturation)*(Direct_Denaturation&lt;&gt;"-"),COUNTIF(Direct_Denaturation,"-")+ROW()-3-$AB$2-$AN$2)-9,32)),"-")</f>
        <v>-</v>
      </c>
      <c r="BA262" s="510" t="str">
        <f t="array" aca="1" ref="BA262" ca="1">IFERROR(IF(AS262&lt;=$AB$2+$AN$2,"-",INDEX(Calculation_Tab,SMALL(ROW(Direct_Denaturation)*(Direct_Denaturation&lt;&gt;"-"),COUNTIF(Direct_Denaturation,"-")+ROW()-3-$AB$2-$AN$2)-9,34)),"-")</f>
        <v>-</v>
      </c>
      <c r="BB262" s="510" t="str">
        <f t="array" aca="1" ref="BB262" ca="1">IFERROR(IF(AS262&lt;=$AB$2+$AN$2,"-",INDEX(Calculation_Tab,SMALL(ROW(Direct_Denaturation)*(Direct_Denaturation&lt;&gt;"-"),COUNTIF(Direct_Denaturation,"-")+ROW()-3-$AB$2-$AN$2)-9,33)),"-")</f>
        <v>-</v>
      </c>
      <c r="BC262" s="510" t="str">
        <f t="array" aca="1" ref="BC262" ca="1">IFERROR(IF(AS262&lt;=$AB$2+$AN$2,"-",INDEX(Calculation_Tab,SMALL(ROW(Direct_Denaturation)*(Direct_Denaturation&lt;&gt;"-"),COUNTIF(Direct_Denaturation,"-")+ROW()-3-$AB$2-$AN$2)-9,35)),"-")</f>
        <v>-</v>
      </c>
      <c r="BD262" s="511" t="str">
        <f t="shared" ca="1" si="143"/>
        <v>-</v>
      </c>
      <c r="BK262" s="542" t="s">
        <v>82</v>
      </c>
      <c r="BL262" s="542" t="s">
        <v>82</v>
      </c>
      <c r="BM262" s="487" t="str">
        <f t="array" aca="1" ref="BM262" ca="1">IFERROR(INDEX(Calculation_Tab,SMALL(ROW(ToPool)*(ToPool&lt;&gt;"-"),COUNTIF(ToPool,"-")+ROW()-3)-9,3),"-")</f>
        <v>-</v>
      </c>
      <c r="BN262" s="378" t="str">
        <f t="shared" ca="1" si="144"/>
        <v>-</v>
      </c>
      <c r="BO262" s="378" t="str">
        <f t="shared" ca="1" si="145"/>
        <v>-</v>
      </c>
      <c r="BP262" s="523" t="str">
        <f t="shared" ca="1" si="146"/>
        <v>-</v>
      </c>
      <c r="BQ262" s="378" t="str">
        <f t="array" aca="1" ref="BQ262" ca="1">IFERROR(INDEX(BE:BG,MATCH(INDEX(Calculation_Tab,SMALL(ROW(ToPool)*(ToPool&lt;&gt;"-"),COUNTIF(ToPool,"-")+ROW()-3)-9,9),BG:BG,0),2),"-")</f>
        <v>-</v>
      </c>
      <c r="BR262" s="510" t="str">
        <f t="shared" ca="1" si="147"/>
        <v>-</v>
      </c>
      <c r="BS262" s="511" t="str">
        <f t="shared" ca="1" si="148"/>
        <v>-</v>
      </c>
      <c r="BT262" s="543" t="s">
        <v>82</v>
      </c>
      <c r="BU262" s="487" t="str">
        <f t="shared" ca="1" si="152"/>
        <v>-</v>
      </c>
      <c r="BV262" s="487" t="str">
        <f t="array" aca="1" ref="BV26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62" s="378" t="str">
        <f t="shared" ca="1" si="149"/>
        <v>-</v>
      </c>
      <c r="BX262" s="378" t="str">
        <f t="shared" ca="1" si="150"/>
        <v>-</v>
      </c>
      <c r="BY262" s="510" t="str">
        <f ca="1">IFERROR(ROUND(INDEX(Cluster,MATCH(IF(LEFT(BV262,4)="Pool",INDEX(Cluster,MATCH(INDEX(Calculation_Tab,MATCH(INDEX($BE$4:$BJ$99,MATCH(BV262,$BE$4:$BE$99,0),3),Flow_Cell_Lane,0),3),Cluster!$F$29:$F$412,0),6),BV262),Identifier_Cluster,0),19)*IF(LEFT(BV262,4)="pool",IF(LEN(INDEX($BE$4:$BJ$99,MATCH(BV262,$BE$4:$BE$99,0),3))=10,2,IF(LEN(INDEX($BE$4:$BJ$99,MATCH(BV262,$BE$4:$BE$99,0),3))&gt;10,LEN(INDEX($BE$4:$BJ$99,MATCH(BV262,$BE$4:$BE$99,0),3))-8,1)),1)*IF(LEFT(BV262,4)="pool",IF(INDEX($BE$4:$BJ$99,MATCH(BV262,$BE$4:$BE$99,0),6)&lt;1,1,INDEX($BE$4:$BJ$99,MATCH(BV262,$BE$4:$BE$99,0),6)),INDEX(Calculation_Tab,MATCH(BV262,Identifier,0),10)),1)*(1+Calculation!$Q$6),"-")</f>
        <v>-</v>
      </c>
      <c r="BZ262" s="378" t="str">
        <f ca="1">IFERROR((0.5/50)*CE262/Calculation!$AG$6*(IF(LEFT(BV262,4)="Pool",IF(LEN(INDEX($BE$4:$BJ$99,MATCH(BV262,$BE$4:$BE$99,0),3))=10,2,IF(LEN(INDEX($BE$4:$BJ$99,MATCH(BV262,$BE$4:$BE$99,0),3))&gt;10,LEN(INDEX($BE$4:$BJ$99,MATCH(BV262,$BE$4:$BE$99,0),3))-8,1)),IF(INDEX(Calculation_Tab,MATCH(BV262,Identifier,0),10)&gt;1,INDEX(Calculation_Tab,MATCH(BV262,Identifier,0),10),1)))*(1+Calculation!$Q$6),"-")</f>
        <v>-</v>
      </c>
      <c r="CA262" s="510" t="str">
        <f ca="1">IFERROR(IF((BZ262*Calculation!$AG$6/0.05)-SUM(BY262:BZ262,CC262)&gt;0,(BZ262*Calculation!$AG$6/0.05)-SUM(BY262:BZ262,CC262),0),"-")</f>
        <v>-</v>
      </c>
      <c r="CB262" s="510" t="str">
        <f ca="1">IFERROR(5/50*CE262*(IF(LEFT(BV262,4)="Pool",IF(LEN(INDEX($BE$4:$BJ$99,MATCH(BV262,$BE$4:$BE$99,0),3))=10,2,IF(LEN(INDEX($BE$4:$BJ$99,MATCH(BV262,$BE$4:$BE$99,0),3))&gt;10,LEN(INDEX($BE$4:$BJ$99,MATCH(BV262,$BE$4:$BE$99,0),3))-8,1)),IF(INDEX(Calculation_Tab,MATCH(BV262,Identifier,0),10)&gt;1,INDEX(Calculation_Tab,MATCH(BV262,Identifier,0),10),1)))*(1+Calculation!$Q$6),"-")</f>
        <v>-</v>
      </c>
      <c r="CC262" s="508" t="str">
        <f ca="1">IFERROR(ROUND(INDEX(Cluster,MATCH(IF(LEFT(BV262,4)="Pool",INDEX(Cluster,MATCH(INDEX(Calculation_Tab,MATCH(INDEX($BE$4:$BJ$99,MATCH(BV262,$BE$4:$BE$99,0),3),Flow_Cell_Lane,0),3),Cluster!$F$29:$F$412,0),6),BV262),Identifier_Cluster,0),20)*IF(LEFT(BV262,4)="pool",IF(LEN(INDEX($BE$4:$BJ$99,MATCH(BV262,$BE$4:$BE$99,0),3))=10,2,IF(LEN(INDEX($BE$4:$BJ$99,MATCH(BV262,$BE$4:$BE$99,0),3))&gt;10,LEN(INDEX($BE$4:$BJ$99,MATCH(BV262,$BE$4:$BE$99,0),3))-8,1)),1)*IF(LEFT(BV262,4)="pool",IF(INDEX($BE$4:$BJ$99,MATCH(BV262,$BE$4:$BE$99,0),6)&lt;1,1,INDEX($BE$4:$BJ$99,MATCH(BV262,$BE$4:$BE$99,0),6)),INDEX(Calculation_Tab,MATCH(BV262,Identifier,0),10)),1)*(1+Calculation!$Q$6),"-")</f>
        <v>-</v>
      </c>
      <c r="CD262" s="509" t="str">
        <f ca="1">IFERROR(INDEX(Cluster!AC:AD,MATCH(IF(LEFT(BV262,4)="Pool",INDEX(Cluster!$D$29:$AA$412,MATCH(INDEX(Calculation_Tab,MATCH(INDEX($BE$4:$BJ$99,MATCH(BV262,$BE$4:$BE$99,0),3),Flow_Cell_Lane,0),3),Cluster!$F$29:$F$412,0),24),INDEX(Cluster!$D$29:$AA$412,MATCH(BV262,Cluster!$F$29:$F$412,0),24)),Cluster!AC:AC,0),2),"-")</f>
        <v>-</v>
      </c>
      <c r="CE262" s="378" t="str">
        <f ca="1">IFERROR(IF(BV262&lt;&gt;"-",Calculation!$AK$6,"-"),"-")</f>
        <v>-</v>
      </c>
      <c r="CF262" s="378" t="str">
        <f ca="1">IF(OR(LEFT(ListAndConversion!BW262,3)="Dil",LEFT(ListAndConversion!BW262,3)="Poo"),ListAndConversion!$BT$4,IF(LEFT(ListAndConversion!BW262,3)="Sou",INDEX(ListAndConversion!$AT$3:$AV$387,MATCH(ListAndConversion!BV262,ListAndConversion!$AV$3:$AV$387,0),1),"-"))</f>
        <v>-</v>
      </c>
      <c r="CG262" s="498" t="str">
        <f ca="1">IF(OR(LEFT(ListAndConversion!BW262,3)="Dil",LEFT(ListAndConversion!BW262,3)="Poo"),ListAndConversion!BU262,IF(LEFT(ListAndConversion!BW262,3)="Sou",INDEX(ListAndConversion!$AT$4:$AV$387,MATCH(ListAndConversion!BV262,ListAndConversion!$AV$4:$AV$387,0),2),"-"))</f>
        <v>-</v>
      </c>
      <c r="CH262" s="378"/>
      <c r="CI262" s="487" t="str">
        <f t="shared" ca="1" si="151"/>
        <v>-</v>
      </c>
      <c r="CJ262" s="378" t="str">
        <f t="shared" ca="1" si="136"/>
        <v>-</v>
      </c>
      <c r="CK262" s="378" t="str">
        <f t="shared" ca="1" si="136"/>
        <v>-</v>
      </c>
      <c r="CL262" s="378" t="str">
        <f t="shared" ca="1" si="136"/>
        <v>-</v>
      </c>
      <c r="CM262" s="378" t="str">
        <f t="shared" ca="1" si="136"/>
        <v>-</v>
      </c>
      <c r="CN262" s="378" t="str">
        <f t="shared" ca="1" si="136"/>
        <v>-</v>
      </c>
      <c r="CO262" s="378" t="str">
        <f t="shared" ca="1" si="136"/>
        <v>-</v>
      </c>
      <c r="CP262" s="378" t="str">
        <f t="shared" ca="1" si="136"/>
        <v>-</v>
      </c>
      <c r="CQ262" s="378" t="str">
        <f t="shared" ca="1" si="136"/>
        <v>-</v>
      </c>
      <c r="CR262" s="510" t="str">
        <f ca="1">IFERROR(IF(LEFT(BW262,3)="Poo",INDEX($BE$4:$BJ$99,MATCH(CI262,$BG$4:$BG$99,0),6)*((15/50))*Calculation!$AK$6,INDEX(Calculation_Tab,MATCH(BV262,Identifier,0),10)/(IF(LEN(INDEX(Calculation_Tab,MATCH(BV262,Identifier,0),9))&gt;8,LEN(INDEX(Calculation_Tab,MATCH(BV262,Identifier,0),9))-8,1))*((15/50)*Calculation!$AK$6)),"-")</f>
        <v>-</v>
      </c>
      <c r="CS262" s="498" t="str">
        <f ca="1">IF(CI262="-","-",IF(COUNTIF($CI$3:CI262,CI262)&gt;1,0,IFERROR((35/50)*Calculation!$AK$6,"-")))</f>
        <v>-</v>
      </c>
    </row>
    <row r="263" spans="4:97" x14ac:dyDescent="0.5">
      <c r="D263" s="487" t="e">
        <f t="shared" si="137"/>
        <v>#DIV/0!</v>
      </c>
      <c r="E263" s="496" t="e">
        <f t="array" ref="E263">IF(IF((ROW(E263)-3)&lt;(ListAndConversion!$A$15),INDEX(Flow_Cell_Lane,MIN(IF(COUNTIF($E$2:E262,Flow_Cell_Lane)=0,ROW(Flow_Cell_Lane)-9))),"-")="","-",IF((ROW(E263)-3)&lt;(ListAndConversion!$A$15),INDEX(Flow_Cell_Lane,MIN(IF(COUNTIF($E$2:E262,Flow_Cell_Lane)=0,ROW(Flow_Cell_Lane)-9))),"-"))</f>
        <v>#DIV/0!</v>
      </c>
      <c r="F263" s="378" t="e">
        <f t="shared" si="138"/>
        <v>#DIV/0!</v>
      </c>
      <c r="G263" s="378" t="e">
        <f t="shared" ref="G263:M272" si="153">IF($D263&gt;8,IF($D263&gt;=(8+G$2),CONCATENATE(LEFT($E263,7),RIGHT(LEFT($E263,8+G$2),1)),""),"")</f>
        <v>#DIV/0!</v>
      </c>
      <c r="H263" s="378" t="e">
        <f t="shared" si="153"/>
        <v>#DIV/0!</v>
      </c>
      <c r="I263" s="378" t="e">
        <f t="shared" si="153"/>
        <v>#DIV/0!</v>
      </c>
      <c r="J263" s="378" t="e">
        <f t="shared" si="153"/>
        <v>#DIV/0!</v>
      </c>
      <c r="K263" s="378" t="e">
        <f t="shared" si="153"/>
        <v>#DIV/0!</v>
      </c>
      <c r="L263" s="378" t="e">
        <f t="shared" si="153"/>
        <v>#DIV/0!</v>
      </c>
      <c r="M263" s="378" t="e">
        <f t="shared" si="153"/>
        <v>#DIV/0!</v>
      </c>
      <c r="N263" s="497" t="e">
        <f t="shared" si="139"/>
        <v>#DIV/0!</v>
      </c>
      <c r="O263" s="497" t="str">
        <f t="array" ref="O263">IFERROR(INDEX(Calculation!I:AN,MATCH(ListAndConversion!E263,Calculation!I:I,0),31),"-")</f>
        <v>-</v>
      </c>
      <c r="P263" s="498">
        <f>IF(COUNTIFS(Calculation!$I$10:$I$393,E263,Direct_Denaturation,"-")&lt;&gt;1,COUNTIFS(Calculation!$I$10:$I$393,E263,Direct_Denaturation,"-"),0)</f>
        <v>0</v>
      </c>
      <c r="V263" s="542" t="s">
        <v>82</v>
      </c>
      <c r="W263" s="542" t="s">
        <v>82</v>
      </c>
      <c r="X263" s="542" t="s">
        <v>82</v>
      </c>
      <c r="Y263" s="542" t="s">
        <v>82</v>
      </c>
      <c r="Z263" s="542" t="s">
        <v>82</v>
      </c>
      <c r="AA263" s="542" t="s">
        <v>82</v>
      </c>
      <c r="AB263" s="542" t="s">
        <v>82</v>
      </c>
      <c r="AC263" s="542" t="s">
        <v>82</v>
      </c>
      <c r="AD263" s="542" t="s">
        <v>82</v>
      </c>
      <c r="AE263" s="542" t="s">
        <v>82</v>
      </c>
      <c r="AF263" s="542" t="s">
        <v>82</v>
      </c>
      <c r="AG263" s="542" t="s">
        <v>82</v>
      </c>
      <c r="AH263" s="9"/>
      <c r="AI263" s="487">
        <v>260</v>
      </c>
      <c r="AJ263" s="497" t="s">
        <v>162</v>
      </c>
      <c r="AK263" s="378">
        <v>68</v>
      </c>
      <c r="AL263" s="378" t="str">
        <f t="shared" ca="1" si="140"/>
        <v>-</v>
      </c>
      <c r="AM263" s="378" t="str">
        <f t="array" aca="1" ref="AM263" ca="1">IFERROR(IF(AI263&lt;=$AB$2,"-",INDEX(Calculation_Tab,SMALL(ROW(Main_Dil)*(Main_Dil&lt;&gt;"-"),COUNTIF(Main_Dil,"-")+ROW()-3-$AB$2)-9,5)),"-")</f>
        <v>-</v>
      </c>
      <c r="AN263" s="378" t="str">
        <f t="array" aca="1" ref="AN263" ca="1">IFERROR(IF(AI263&lt;=$AB$2,"-",INDEX($A$3:$B$12,MATCH(INDEX(Calculation_Tab,SMALL(ROW(Main_Dil)*(Main_Dil&lt;&gt;"-"),COUNTIF(Main_Dil,"-")+ROW()-3-$AB$2)-9,5),$A$3:$A$12,0),2)),"-")</f>
        <v>-</v>
      </c>
      <c r="AO263" s="378" t="str">
        <f t="array" aca="1" ref="AO263" ca="1">IFERROR(IF(AI263&lt;=$AB$2,"-",INDEX(Coordinate,MATCH(INDEX(Calculation_Tab,SMALL(ROW(Main_Dil)*(Main_Dil&lt;&gt;"-"),COUNTIF(Main_Dil,"-")+ROW()-3-$AB$2)-9,6),$X$4:$X$99,0),2)),"-")</f>
        <v>-</v>
      </c>
      <c r="AP263" s="510" t="str">
        <f t="array" aca="1" ref="AP263" ca="1">IFERROR(IF(AI263&lt;=$AB$2,"-",INDEX(Calculation_Tab,SMALL(ROW(Main_Dil)*(Main_Dil&lt;&gt;"-"),COUNTIF(Main_Dil,"-")+ROW()-3-$AB$2)-9,21)),"-")</f>
        <v>-</v>
      </c>
      <c r="AQ263" s="511" t="str">
        <f t="array" aca="1" ref="AQ263" ca="1">IFERROR(IF(AI263&lt;=$AB$2,"-",INDEX(Calculation_Tab,SMALL(ROW(Main_Dil)*(Main_Dil&lt;&gt;"-"),COUNTIF(Main_Dil,"-")+ROW()-3-$AB$2)-9,22)),"-")</f>
        <v>-</v>
      </c>
      <c r="AR263" s="487" t="str">
        <f t="shared" ca="1" si="141"/>
        <v>-</v>
      </c>
      <c r="AS263" s="378">
        <v>260</v>
      </c>
      <c r="AT263" s="497" t="s">
        <v>162</v>
      </c>
      <c r="AU263" s="498">
        <v>68</v>
      </c>
      <c r="AV263" s="378" t="str">
        <f t="shared" ca="1" si="142"/>
        <v>-</v>
      </c>
      <c r="AW263" s="378" t="str">
        <f t="array" aca="1" ref="AW263" ca="1">IFERROR(IF(AS263&lt;=$AB$2+$AN$2,"-",INDEX(Calculation_Tab,SMALL(ROW(Direct_Denaturation)*(Direct_Denaturation&lt;&gt;"-"),COUNTIF(Direct_Denaturation,"-")+ROW()-3-$AB$2-$AN$2)-9,5)),"-")</f>
        <v>-</v>
      </c>
      <c r="AX263" s="378" t="str">
        <f t="array" aca="1" ref="AX263" ca="1">IFERROR(IF(AS263&lt;=$AB$2+$AN$2,"-",INDEX($A$3:$B$12,MATCH(INDEX(Calculation_Tab,SMALL(ROW(Direct_Denaturation)*(Direct_Denaturation&lt;&gt;"-"),COUNTIF(Direct_Denaturation,"-")+ROW()-3-$AB$2-$AN$2)-9,5),$A$3:$A$12,0),2)),"-")</f>
        <v>-</v>
      </c>
      <c r="AY263" s="378" t="str">
        <f t="array" aca="1" ref="AY263" ca="1">IFERROR(IF(AS263&lt;=$AB$2+$AN$2,"-",INDEX(Coordinate,MATCH(INDEX(Calculation_Tab,SMALL(ROW(Direct_Denaturation)*(Direct_Denaturation&lt;&gt;"-"),COUNTIF(Direct_Denaturation,"-")+ROW()-3-$AB$2-$AN$2)-9,6),$X$4:$X$99,0),2)),"-")</f>
        <v>-</v>
      </c>
      <c r="AZ263" s="510" t="str">
        <f t="array" aca="1" ref="AZ263" ca="1">IFERROR(IF(AS263&lt;=$AB$2+$AN$2,"-",INDEX(Calculation_Tab,SMALL(ROW(Direct_Denaturation)*(Direct_Denaturation&lt;&gt;"-"),COUNTIF(Direct_Denaturation,"-")+ROW()-3-$AB$2-$AN$2)-9,32)),"-")</f>
        <v>-</v>
      </c>
      <c r="BA263" s="510" t="str">
        <f t="array" aca="1" ref="BA263" ca="1">IFERROR(IF(AS263&lt;=$AB$2+$AN$2,"-",INDEX(Calculation_Tab,SMALL(ROW(Direct_Denaturation)*(Direct_Denaturation&lt;&gt;"-"),COUNTIF(Direct_Denaturation,"-")+ROW()-3-$AB$2-$AN$2)-9,34)),"-")</f>
        <v>-</v>
      </c>
      <c r="BB263" s="510" t="str">
        <f t="array" aca="1" ref="BB263" ca="1">IFERROR(IF(AS263&lt;=$AB$2+$AN$2,"-",INDEX(Calculation_Tab,SMALL(ROW(Direct_Denaturation)*(Direct_Denaturation&lt;&gt;"-"),COUNTIF(Direct_Denaturation,"-")+ROW()-3-$AB$2-$AN$2)-9,33)),"-")</f>
        <v>-</v>
      </c>
      <c r="BC263" s="510" t="str">
        <f t="array" aca="1" ref="BC263" ca="1">IFERROR(IF(AS263&lt;=$AB$2+$AN$2,"-",INDEX(Calculation_Tab,SMALL(ROW(Direct_Denaturation)*(Direct_Denaturation&lt;&gt;"-"),COUNTIF(Direct_Denaturation,"-")+ROW()-3-$AB$2-$AN$2)-9,35)),"-")</f>
        <v>-</v>
      </c>
      <c r="BD263" s="511" t="str">
        <f t="shared" ca="1" si="143"/>
        <v>-</v>
      </c>
      <c r="BK263" s="542" t="s">
        <v>82</v>
      </c>
      <c r="BL263" s="542" t="s">
        <v>82</v>
      </c>
      <c r="BM263" s="487" t="str">
        <f t="array" aca="1" ref="BM263" ca="1">IFERROR(INDEX(Calculation_Tab,SMALL(ROW(ToPool)*(ToPool&lt;&gt;"-"),COUNTIF(ToPool,"-")+ROW()-3)-9,3),"-")</f>
        <v>-</v>
      </c>
      <c r="BN263" s="378" t="str">
        <f t="shared" ca="1" si="144"/>
        <v>-</v>
      </c>
      <c r="BO263" s="378" t="str">
        <f t="shared" ca="1" si="145"/>
        <v>-</v>
      </c>
      <c r="BP263" s="523" t="str">
        <f t="shared" ca="1" si="146"/>
        <v>-</v>
      </c>
      <c r="BQ263" s="378" t="str">
        <f t="array" aca="1" ref="BQ263" ca="1">IFERROR(INDEX(BE:BG,MATCH(INDEX(Calculation_Tab,SMALL(ROW(ToPool)*(ToPool&lt;&gt;"-"),COUNTIF(ToPool,"-")+ROW()-3)-9,9),BG:BG,0),2),"-")</f>
        <v>-</v>
      </c>
      <c r="BR263" s="510" t="str">
        <f t="shared" ca="1" si="147"/>
        <v>-</v>
      </c>
      <c r="BS263" s="511" t="str">
        <f t="shared" ca="1" si="148"/>
        <v>-</v>
      </c>
      <c r="BT263" s="543" t="s">
        <v>82</v>
      </c>
      <c r="BU263" s="487" t="str">
        <f t="shared" ca="1" si="152"/>
        <v>-</v>
      </c>
      <c r="BV263" s="487" t="str">
        <f t="array" aca="1" ref="BV26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63" s="378" t="str">
        <f t="shared" ca="1" si="149"/>
        <v>-</v>
      </c>
      <c r="BX263" s="378" t="str">
        <f t="shared" ca="1" si="150"/>
        <v>-</v>
      </c>
      <c r="BY263" s="510" t="str">
        <f ca="1">IFERROR(ROUND(INDEX(Cluster,MATCH(IF(LEFT(BV263,4)="Pool",INDEX(Cluster,MATCH(INDEX(Calculation_Tab,MATCH(INDEX($BE$4:$BJ$99,MATCH(BV263,$BE$4:$BE$99,0),3),Flow_Cell_Lane,0),3),Cluster!$F$29:$F$412,0),6),BV263),Identifier_Cluster,0),19)*IF(LEFT(BV263,4)="pool",IF(LEN(INDEX($BE$4:$BJ$99,MATCH(BV263,$BE$4:$BE$99,0),3))=10,2,IF(LEN(INDEX($BE$4:$BJ$99,MATCH(BV263,$BE$4:$BE$99,0),3))&gt;10,LEN(INDEX($BE$4:$BJ$99,MATCH(BV263,$BE$4:$BE$99,0),3))-8,1)),1)*IF(LEFT(BV263,4)="pool",IF(INDEX($BE$4:$BJ$99,MATCH(BV263,$BE$4:$BE$99,0),6)&lt;1,1,INDEX($BE$4:$BJ$99,MATCH(BV263,$BE$4:$BE$99,0),6)),INDEX(Calculation_Tab,MATCH(BV263,Identifier,0),10)),1)*(1+Calculation!$Q$6),"-")</f>
        <v>-</v>
      </c>
      <c r="BZ263" s="378" t="str">
        <f ca="1">IFERROR((0.5/50)*CE263/Calculation!$AG$6*(IF(LEFT(BV263,4)="Pool",IF(LEN(INDEX($BE$4:$BJ$99,MATCH(BV263,$BE$4:$BE$99,0),3))=10,2,IF(LEN(INDEX($BE$4:$BJ$99,MATCH(BV263,$BE$4:$BE$99,0),3))&gt;10,LEN(INDEX($BE$4:$BJ$99,MATCH(BV263,$BE$4:$BE$99,0),3))-8,1)),IF(INDEX(Calculation_Tab,MATCH(BV263,Identifier,0),10)&gt;1,INDEX(Calculation_Tab,MATCH(BV263,Identifier,0),10),1)))*(1+Calculation!$Q$6),"-")</f>
        <v>-</v>
      </c>
      <c r="CA263" s="510" t="str">
        <f ca="1">IFERROR(IF((BZ263*Calculation!$AG$6/0.05)-SUM(BY263:BZ263,CC263)&gt;0,(BZ263*Calculation!$AG$6/0.05)-SUM(BY263:BZ263,CC263),0),"-")</f>
        <v>-</v>
      </c>
      <c r="CB263" s="510" t="str">
        <f ca="1">IFERROR(5/50*CE263*(IF(LEFT(BV263,4)="Pool",IF(LEN(INDEX($BE$4:$BJ$99,MATCH(BV263,$BE$4:$BE$99,0),3))=10,2,IF(LEN(INDEX($BE$4:$BJ$99,MATCH(BV263,$BE$4:$BE$99,0),3))&gt;10,LEN(INDEX($BE$4:$BJ$99,MATCH(BV263,$BE$4:$BE$99,0),3))-8,1)),IF(INDEX(Calculation_Tab,MATCH(BV263,Identifier,0),10)&gt;1,INDEX(Calculation_Tab,MATCH(BV263,Identifier,0),10),1)))*(1+Calculation!$Q$6),"-")</f>
        <v>-</v>
      </c>
      <c r="CC263" s="508" t="str">
        <f ca="1">IFERROR(ROUND(INDEX(Cluster,MATCH(IF(LEFT(BV263,4)="Pool",INDEX(Cluster,MATCH(INDEX(Calculation_Tab,MATCH(INDEX($BE$4:$BJ$99,MATCH(BV263,$BE$4:$BE$99,0),3),Flow_Cell_Lane,0),3),Cluster!$F$29:$F$412,0),6),BV263),Identifier_Cluster,0),20)*IF(LEFT(BV263,4)="pool",IF(LEN(INDEX($BE$4:$BJ$99,MATCH(BV263,$BE$4:$BE$99,0),3))=10,2,IF(LEN(INDEX($BE$4:$BJ$99,MATCH(BV263,$BE$4:$BE$99,0),3))&gt;10,LEN(INDEX($BE$4:$BJ$99,MATCH(BV263,$BE$4:$BE$99,0),3))-8,1)),1)*IF(LEFT(BV263,4)="pool",IF(INDEX($BE$4:$BJ$99,MATCH(BV263,$BE$4:$BE$99,0),6)&lt;1,1,INDEX($BE$4:$BJ$99,MATCH(BV263,$BE$4:$BE$99,0),6)),INDEX(Calculation_Tab,MATCH(BV263,Identifier,0),10)),1)*(1+Calculation!$Q$6),"-")</f>
        <v>-</v>
      </c>
      <c r="CD263" s="509" t="str">
        <f ca="1">IFERROR(INDEX(Cluster!AC:AD,MATCH(IF(LEFT(BV263,4)="Pool",INDEX(Cluster!$D$29:$AA$412,MATCH(INDEX(Calculation_Tab,MATCH(INDEX($BE$4:$BJ$99,MATCH(BV263,$BE$4:$BE$99,0),3),Flow_Cell_Lane,0),3),Cluster!$F$29:$F$412,0),24),INDEX(Cluster!$D$29:$AA$412,MATCH(BV263,Cluster!$F$29:$F$412,0),24)),Cluster!AC:AC,0),2),"-")</f>
        <v>-</v>
      </c>
      <c r="CE263" s="378" t="str">
        <f ca="1">IFERROR(IF(BV263&lt;&gt;"-",Calculation!$AK$6,"-"),"-")</f>
        <v>-</v>
      </c>
      <c r="CF263" s="378" t="str">
        <f ca="1">IF(OR(LEFT(ListAndConversion!BW263,3)="Dil",LEFT(ListAndConversion!BW263,3)="Poo"),ListAndConversion!$BT$4,IF(LEFT(ListAndConversion!BW263,3)="Sou",INDEX(ListAndConversion!$AT$3:$AV$387,MATCH(ListAndConversion!BV263,ListAndConversion!$AV$3:$AV$387,0),1),"-"))</f>
        <v>-</v>
      </c>
      <c r="CG263" s="498" t="str">
        <f ca="1">IF(OR(LEFT(ListAndConversion!BW263,3)="Dil",LEFT(ListAndConversion!BW263,3)="Poo"),ListAndConversion!BU263,IF(LEFT(ListAndConversion!BW263,3)="Sou",INDEX(ListAndConversion!$AT$4:$AV$387,MATCH(ListAndConversion!BV263,ListAndConversion!$AV$4:$AV$387,0),2),"-"))</f>
        <v>-</v>
      </c>
      <c r="CH263" s="378"/>
      <c r="CI263" s="487" t="str">
        <f t="shared" ca="1" si="151"/>
        <v>-</v>
      </c>
      <c r="CJ263" s="378" t="str">
        <f t="shared" ca="1" si="136"/>
        <v>-</v>
      </c>
      <c r="CK263" s="378" t="str">
        <f t="shared" ca="1" si="136"/>
        <v>-</v>
      </c>
      <c r="CL263" s="378" t="str">
        <f t="shared" ca="1" si="136"/>
        <v>-</v>
      </c>
      <c r="CM263" s="378" t="str">
        <f t="shared" ca="1" si="136"/>
        <v>-</v>
      </c>
      <c r="CN263" s="378" t="str">
        <f t="shared" ca="1" si="136"/>
        <v>-</v>
      </c>
      <c r="CO263" s="378" t="str">
        <f t="shared" ca="1" si="136"/>
        <v>-</v>
      </c>
      <c r="CP263" s="378" t="str">
        <f t="shared" ca="1" si="136"/>
        <v>-</v>
      </c>
      <c r="CQ263" s="378" t="str">
        <f t="shared" ca="1" si="136"/>
        <v>-</v>
      </c>
      <c r="CR263" s="510" t="str">
        <f ca="1">IFERROR(IF(LEFT(BW263,3)="Poo",INDEX($BE$4:$BJ$99,MATCH(CI263,$BG$4:$BG$99,0),6)*((15/50))*Calculation!$AK$6,INDEX(Calculation_Tab,MATCH(BV263,Identifier,0),10)/(IF(LEN(INDEX(Calculation_Tab,MATCH(BV263,Identifier,0),9))&gt;8,LEN(INDEX(Calculation_Tab,MATCH(BV263,Identifier,0),9))-8,1))*((15/50)*Calculation!$AK$6)),"-")</f>
        <v>-</v>
      </c>
      <c r="CS263" s="498" t="str">
        <f ca="1">IF(CI263="-","-",IF(COUNTIF($CI$3:CI263,CI263)&gt;1,0,IFERROR((35/50)*Calculation!$AK$6,"-")))</f>
        <v>-</v>
      </c>
    </row>
    <row r="264" spans="4:97" x14ac:dyDescent="0.5">
      <c r="D264" s="487" t="e">
        <f t="shared" si="137"/>
        <v>#DIV/0!</v>
      </c>
      <c r="E264" s="496" t="e">
        <f t="array" ref="E264">IF(IF((ROW(E264)-3)&lt;(ListAndConversion!$A$15),INDEX(Flow_Cell_Lane,MIN(IF(COUNTIF($E$2:E263,Flow_Cell_Lane)=0,ROW(Flow_Cell_Lane)-9))),"-")="","-",IF((ROW(E264)-3)&lt;(ListAndConversion!$A$15),INDEX(Flow_Cell_Lane,MIN(IF(COUNTIF($E$2:E263,Flow_Cell_Lane)=0,ROW(Flow_Cell_Lane)-9))),"-"))</f>
        <v>#DIV/0!</v>
      </c>
      <c r="F264" s="378" t="e">
        <f t="shared" si="138"/>
        <v>#DIV/0!</v>
      </c>
      <c r="G264" s="378" t="e">
        <f t="shared" si="153"/>
        <v>#DIV/0!</v>
      </c>
      <c r="H264" s="378" t="e">
        <f t="shared" si="153"/>
        <v>#DIV/0!</v>
      </c>
      <c r="I264" s="378" t="e">
        <f t="shared" si="153"/>
        <v>#DIV/0!</v>
      </c>
      <c r="J264" s="378" t="e">
        <f t="shared" si="153"/>
        <v>#DIV/0!</v>
      </c>
      <c r="K264" s="378" t="e">
        <f t="shared" si="153"/>
        <v>#DIV/0!</v>
      </c>
      <c r="L264" s="378" t="e">
        <f t="shared" si="153"/>
        <v>#DIV/0!</v>
      </c>
      <c r="M264" s="378" t="e">
        <f t="shared" si="153"/>
        <v>#DIV/0!</v>
      </c>
      <c r="N264" s="497" t="e">
        <f t="shared" si="139"/>
        <v>#DIV/0!</v>
      </c>
      <c r="O264" s="497" t="str">
        <f t="array" ref="O264">IFERROR(INDEX(Calculation!I:AN,MATCH(ListAndConversion!E264,Calculation!I:I,0),31),"-")</f>
        <v>-</v>
      </c>
      <c r="P264" s="498">
        <f>IF(COUNTIFS(Calculation!$I$10:$I$393,E264,Direct_Denaturation,"-")&lt;&gt;1,COUNTIFS(Calculation!$I$10:$I$393,E264,Direct_Denaturation,"-"),0)</f>
        <v>0</v>
      </c>
      <c r="V264" s="542" t="s">
        <v>82</v>
      </c>
      <c r="W264" s="542" t="s">
        <v>82</v>
      </c>
      <c r="X264" s="542" t="s">
        <v>82</v>
      </c>
      <c r="Y264" s="542" t="s">
        <v>82</v>
      </c>
      <c r="Z264" s="542" t="s">
        <v>82</v>
      </c>
      <c r="AA264" s="542" t="s">
        <v>82</v>
      </c>
      <c r="AB264" s="542" t="s">
        <v>82</v>
      </c>
      <c r="AC264" s="542" t="s">
        <v>82</v>
      </c>
      <c r="AD264" s="542" t="s">
        <v>82</v>
      </c>
      <c r="AE264" s="542" t="s">
        <v>82</v>
      </c>
      <c r="AF264" s="542" t="s">
        <v>82</v>
      </c>
      <c r="AG264" s="542" t="s">
        <v>82</v>
      </c>
      <c r="AH264" s="9"/>
      <c r="AI264" s="487">
        <v>261</v>
      </c>
      <c r="AJ264" s="497" t="s">
        <v>162</v>
      </c>
      <c r="AK264" s="378">
        <v>69</v>
      </c>
      <c r="AL264" s="378" t="str">
        <f t="shared" ca="1" si="140"/>
        <v>-</v>
      </c>
      <c r="AM264" s="378" t="str">
        <f t="array" aca="1" ref="AM264" ca="1">IFERROR(IF(AI264&lt;=$AB$2,"-",INDEX(Calculation_Tab,SMALL(ROW(Main_Dil)*(Main_Dil&lt;&gt;"-"),COUNTIF(Main_Dil,"-")+ROW()-3-$AB$2)-9,5)),"-")</f>
        <v>-</v>
      </c>
      <c r="AN264" s="378" t="str">
        <f t="array" aca="1" ref="AN264" ca="1">IFERROR(IF(AI264&lt;=$AB$2,"-",INDEX($A$3:$B$12,MATCH(INDEX(Calculation_Tab,SMALL(ROW(Main_Dil)*(Main_Dil&lt;&gt;"-"),COUNTIF(Main_Dil,"-")+ROW()-3-$AB$2)-9,5),$A$3:$A$12,0),2)),"-")</f>
        <v>-</v>
      </c>
      <c r="AO264" s="378" t="str">
        <f t="array" aca="1" ref="AO264" ca="1">IFERROR(IF(AI264&lt;=$AB$2,"-",INDEX(Coordinate,MATCH(INDEX(Calculation_Tab,SMALL(ROW(Main_Dil)*(Main_Dil&lt;&gt;"-"),COUNTIF(Main_Dil,"-")+ROW()-3-$AB$2)-9,6),$X$4:$X$99,0),2)),"-")</f>
        <v>-</v>
      </c>
      <c r="AP264" s="510" t="str">
        <f t="array" aca="1" ref="AP264" ca="1">IFERROR(IF(AI264&lt;=$AB$2,"-",INDEX(Calculation_Tab,SMALL(ROW(Main_Dil)*(Main_Dil&lt;&gt;"-"),COUNTIF(Main_Dil,"-")+ROW()-3-$AB$2)-9,21)),"-")</f>
        <v>-</v>
      </c>
      <c r="AQ264" s="511" t="str">
        <f t="array" aca="1" ref="AQ264" ca="1">IFERROR(IF(AI264&lt;=$AB$2,"-",INDEX(Calculation_Tab,SMALL(ROW(Main_Dil)*(Main_Dil&lt;&gt;"-"),COUNTIF(Main_Dil,"-")+ROW()-3-$AB$2)-9,22)),"-")</f>
        <v>-</v>
      </c>
      <c r="AR264" s="487" t="str">
        <f t="shared" ca="1" si="141"/>
        <v>-</v>
      </c>
      <c r="AS264" s="378">
        <v>261</v>
      </c>
      <c r="AT264" s="497" t="s">
        <v>162</v>
      </c>
      <c r="AU264" s="498">
        <v>69</v>
      </c>
      <c r="AV264" s="378" t="str">
        <f t="shared" ca="1" si="142"/>
        <v>-</v>
      </c>
      <c r="AW264" s="378" t="str">
        <f t="array" aca="1" ref="AW264" ca="1">IFERROR(IF(AS264&lt;=$AB$2+$AN$2,"-",INDEX(Calculation_Tab,SMALL(ROW(Direct_Denaturation)*(Direct_Denaturation&lt;&gt;"-"),COUNTIF(Direct_Denaturation,"-")+ROW()-3-$AB$2-$AN$2)-9,5)),"-")</f>
        <v>-</v>
      </c>
      <c r="AX264" s="378" t="str">
        <f t="array" aca="1" ref="AX264" ca="1">IFERROR(IF(AS264&lt;=$AB$2+$AN$2,"-",INDEX($A$3:$B$12,MATCH(INDEX(Calculation_Tab,SMALL(ROW(Direct_Denaturation)*(Direct_Denaturation&lt;&gt;"-"),COUNTIF(Direct_Denaturation,"-")+ROW()-3-$AB$2-$AN$2)-9,5),$A$3:$A$12,0),2)),"-")</f>
        <v>-</v>
      </c>
      <c r="AY264" s="378" t="str">
        <f t="array" aca="1" ref="AY264" ca="1">IFERROR(IF(AS264&lt;=$AB$2+$AN$2,"-",INDEX(Coordinate,MATCH(INDEX(Calculation_Tab,SMALL(ROW(Direct_Denaturation)*(Direct_Denaturation&lt;&gt;"-"),COUNTIF(Direct_Denaturation,"-")+ROW()-3-$AB$2-$AN$2)-9,6),$X$4:$X$99,0),2)),"-")</f>
        <v>-</v>
      </c>
      <c r="AZ264" s="510" t="str">
        <f t="array" aca="1" ref="AZ264" ca="1">IFERROR(IF(AS264&lt;=$AB$2+$AN$2,"-",INDEX(Calculation_Tab,SMALL(ROW(Direct_Denaturation)*(Direct_Denaturation&lt;&gt;"-"),COUNTIF(Direct_Denaturation,"-")+ROW()-3-$AB$2-$AN$2)-9,32)),"-")</f>
        <v>-</v>
      </c>
      <c r="BA264" s="510" t="str">
        <f t="array" aca="1" ref="BA264" ca="1">IFERROR(IF(AS264&lt;=$AB$2+$AN$2,"-",INDEX(Calculation_Tab,SMALL(ROW(Direct_Denaturation)*(Direct_Denaturation&lt;&gt;"-"),COUNTIF(Direct_Denaturation,"-")+ROW()-3-$AB$2-$AN$2)-9,34)),"-")</f>
        <v>-</v>
      </c>
      <c r="BB264" s="510" t="str">
        <f t="array" aca="1" ref="BB264" ca="1">IFERROR(IF(AS264&lt;=$AB$2+$AN$2,"-",INDEX(Calculation_Tab,SMALL(ROW(Direct_Denaturation)*(Direct_Denaturation&lt;&gt;"-"),COUNTIF(Direct_Denaturation,"-")+ROW()-3-$AB$2-$AN$2)-9,33)),"-")</f>
        <v>-</v>
      </c>
      <c r="BC264" s="510" t="str">
        <f t="array" aca="1" ref="BC264" ca="1">IFERROR(IF(AS264&lt;=$AB$2+$AN$2,"-",INDEX(Calculation_Tab,SMALL(ROW(Direct_Denaturation)*(Direct_Denaturation&lt;&gt;"-"),COUNTIF(Direct_Denaturation,"-")+ROW()-3-$AB$2-$AN$2)-9,35)),"-")</f>
        <v>-</v>
      </c>
      <c r="BD264" s="511" t="str">
        <f t="shared" ca="1" si="143"/>
        <v>-</v>
      </c>
      <c r="BK264" s="542" t="s">
        <v>82</v>
      </c>
      <c r="BL264" s="542" t="s">
        <v>82</v>
      </c>
      <c r="BM264" s="487" t="str">
        <f t="array" aca="1" ref="BM264" ca="1">IFERROR(INDEX(Calculation_Tab,SMALL(ROW(ToPool)*(ToPool&lt;&gt;"-"),COUNTIF(ToPool,"-")+ROW()-3)-9,3),"-")</f>
        <v>-</v>
      </c>
      <c r="BN264" s="378" t="str">
        <f t="shared" ca="1" si="144"/>
        <v>-</v>
      </c>
      <c r="BO264" s="378" t="str">
        <f t="shared" ca="1" si="145"/>
        <v>-</v>
      </c>
      <c r="BP264" s="523" t="str">
        <f t="shared" ca="1" si="146"/>
        <v>-</v>
      </c>
      <c r="BQ264" s="378" t="str">
        <f t="array" aca="1" ref="BQ264" ca="1">IFERROR(INDEX(BE:BG,MATCH(INDEX(Calculation_Tab,SMALL(ROW(ToPool)*(ToPool&lt;&gt;"-"),COUNTIF(ToPool,"-")+ROW()-3)-9,9),BG:BG,0),2),"-")</f>
        <v>-</v>
      </c>
      <c r="BR264" s="510" t="str">
        <f t="shared" ca="1" si="147"/>
        <v>-</v>
      </c>
      <c r="BS264" s="511" t="str">
        <f t="shared" ca="1" si="148"/>
        <v>-</v>
      </c>
      <c r="BT264" s="543" t="s">
        <v>82</v>
      </c>
      <c r="BU264" s="487" t="str">
        <f t="shared" ca="1" si="152"/>
        <v>-</v>
      </c>
      <c r="BV264" s="487" t="str">
        <f t="array" aca="1" ref="BV26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64" s="378" t="str">
        <f t="shared" ca="1" si="149"/>
        <v>-</v>
      </c>
      <c r="BX264" s="378" t="str">
        <f t="shared" ca="1" si="150"/>
        <v>-</v>
      </c>
      <c r="BY264" s="510" t="str">
        <f ca="1">IFERROR(ROUND(INDEX(Cluster,MATCH(IF(LEFT(BV264,4)="Pool",INDEX(Cluster,MATCH(INDEX(Calculation_Tab,MATCH(INDEX($BE$4:$BJ$99,MATCH(BV264,$BE$4:$BE$99,0),3),Flow_Cell_Lane,0),3),Cluster!$F$29:$F$412,0),6),BV264),Identifier_Cluster,0),19)*IF(LEFT(BV264,4)="pool",IF(LEN(INDEX($BE$4:$BJ$99,MATCH(BV264,$BE$4:$BE$99,0),3))=10,2,IF(LEN(INDEX($BE$4:$BJ$99,MATCH(BV264,$BE$4:$BE$99,0),3))&gt;10,LEN(INDEX($BE$4:$BJ$99,MATCH(BV264,$BE$4:$BE$99,0),3))-8,1)),1)*IF(LEFT(BV264,4)="pool",IF(INDEX($BE$4:$BJ$99,MATCH(BV264,$BE$4:$BE$99,0),6)&lt;1,1,INDEX($BE$4:$BJ$99,MATCH(BV264,$BE$4:$BE$99,0),6)),INDEX(Calculation_Tab,MATCH(BV264,Identifier,0),10)),1)*(1+Calculation!$Q$6),"-")</f>
        <v>-</v>
      </c>
      <c r="BZ264" s="378" t="str">
        <f ca="1">IFERROR((0.5/50)*CE264/Calculation!$AG$6*(IF(LEFT(BV264,4)="Pool",IF(LEN(INDEX($BE$4:$BJ$99,MATCH(BV264,$BE$4:$BE$99,0),3))=10,2,IF(LEN(INDEX($BE$4:$BJ$99,MATCH(BV264,$BE$4:$BE$99,0),3))&gt;10,LEN(INDEX($BE$4:$BJ$99,MATCH(BV264,$BE$4:$BE$99,0),3))-8,1)),IF(INDEX(Calculation_Tab,MATCH(BV264,Identifier,0),10)&gt;1,INDEX(Calculation_Tab,MATCH(BV264,Identifier,0),10),1)))*(1+Calculation!$Q$6),"-")</f>
        <v>-</v>
      </c>
      <c r="CA264" s="510" t="str">
        <f ca="1">IFERROR(IF((BZ264*Calculation!$AG$6/0.05)-SUM(BY264:BZ264,CC264)&gt;0,(BZ264*Calculation!$AG$6/0.05)-SUM(BY264:BZ264,CC264),0),"-")</f>
        <v>-</v>
      </c>
      <c r="CB264" s="510" t="str">
        <f ca="1">IFERROR(5/50*CE264*(IF(LEFT(BV264,4)="Pool",IF(LEN(INDEX($BE$4:$BJ$99,MATCH(BV264,$BE$4:$BE$99,0),3))=10,2,IF(LEN(INDEX($BE$4:$BJ$99,MATCH(BV264,$BE$4:$BE$99,0),3))&gt;10,LEN(INDEX($BE$4:$BJ$99,MATCH(BV264,$BE$4:$BE$99,0),3))-8,1)),IF(INDEX(Calculation_Tab,MATCH(BV264,Identifier,0),10)&gt;1,INDEX(Calculation_Tab,MATCH(BV264,Identifier,0),10),1)))*(1+Calculation!$Q$6),"-")</f>
        <v>-</v>
      </c>
      <c r="CC264" s="508" t="str">
        <f ca="1">IFERROR(ROUND(INDEX(Cluster,MATCH(IF(LEFT(BV264,4)="Pool",INDEX(Cluster,MATCH(INDEX(Calculation_Tab,MATCH(INDEX($BE$4:$BJ$99,MATCH(BV264,$BE$4:$BE$99,0),3),Flow_Cell_Lane,0),3),Cluster!$F$29:$F$412,0),6),BV264),Identifier_Cluster,0),20)*IF(LEFT(BV264,4)="pool",IF(LEN(INDEX($BE$4:$BJ$99,MATCH(BV264,$BE$4:$BE$99,0),3))=10,2,IF(LEN(INDEX($BE$4:$BJ$99,MATCH(BV264,$BE$4:$BE$99,0),3))&gt;10,LEN(INDEX($BE$4:$BJ$99,MATCH(BV264,$BE$4:$BE$99,0),3))-8,1)),1)*IF(LEFT(BV264,4)="pool",IF(INDEX($BE$4:$BJ$99,MATCH(BV264,$BE$4:$BE$99,0),6)&lt;1,1,INDEX($BE$4:$BJ$99,MATCH(BV264,$BE$4:$BE$99,0),6)),INDEX(Calculation_Tab,MATCH(BV264,Identifier,0),10)),1)*(1+Calculation!$Q$6),"-")</f>
        <v>-</v>
      </c>
      <c r="CD264" s="509" t="str">
        <f ca="1">IFERROR(INDEX(Cluster!AC:AD,MATCH(IF(LEFT(BV264,4)="Pool",INDEX(Cluster!$D$29:$AA$412,MATCH(INDEX(Calculation_Tab,MATCH(INDEX($BE$4:$BJ$99,MATCH(BV264,$BE$4:$BE$99,0),3),Flow_Cell_Lane,0),3),Cluster!$F$29:$F$412,0),24),INDEX(Cluster!$D$29:$AA$412,MATCH(BV264,Cluster!$F$29:$F$412,0),24)),Cluster!AC:AC,0),2),"-")</f>
        <v>-</v>
      </c>
      <c r="CE264" s="378" t="str">
        <f ca="1">IFERROR(IF(BV264&lt;&gt;"-",Calculation!$AK$6,"-"),"-")</f>
        <v>-</v>
      </c>
      <c r="CF264" s="378" t="str">
        <f ca="1">IF(OR(LEFT(ListAndConversion!BW264,3)="Dil",LEFT(ListAndConversion!BW264,3)="Poo"),ListAndConversion!$BT$4,IF(LEFT(ListAndConversion!BW264,3)="Sou",INDEX(ListAndConversion!$AT$3:$AV$387,MATCH(ListAndConversion!BV264,ListAndConversion!$AV$3:$AV$387,0),1),"-"))</f>
        <v>-</v>
      </c>
      <c r="CG264" s="498" t="str">
        <f ca="1">IF(OR(LEFT(ListAndConversion!BW264,3)="Dil",LEFT(ListAndConversion!BW264,3)="Poo"),ListAndConversion!BU264,IF(LEFT(ListAndConversion!BW264,3)="Sou",INDEX(ListAndConversion!$AT$4:$AV$387,MATCH(ListAndConversion!BV264,ListAndConversion!$AV$4:$AV$387,0),2),"-"))</f>
        <v>-</v>
      </c>
      <c r="CH264" s="378"/>
      <c r="CI264" s="487" t="str">
        <f t="shared" ca="1" si="151"/>
        <v>-</v>
      </c>
      <c r="CJ264" s="378" t="str">
        <f t="shared" ref="CJ264:CQ273" ca="1" si="154">IFERROR(INDEX($R$3:$U$98,MATCH(INDEX($F$3:$M$387,MATCH($CI264,$E$3:$E$386,0),CJ$3),$S$3:$S$98,0),4),"-")</f>
        <v>-</v>
      </c>
      <c r="CK264" s="378" t="str">
        <f t="shared" ca="1" si="154"/>
        <v>-</v>
      </c>
      <c r="CL264" s="378" t="str">
        <f t="shared" ca="1" si="154"/>
        <v>-</v>
      </c>
      <c r="CM264" s="378" t="str">
        <f t="shared" ca="1" si="154"/>
        <v>-</v>
      </c>
      <c r="CN264" s="378" t="str">
        <f t="shared" ca="1" si="154"/>
        <v>-</v>
      </c>
      <c r="CO264" s="378" t="str">
        <f t="shared" ca="1" si="154"/>
        <v>-</v>
      </c>
      <c r="CP264" s="378" t="str">
        <f t="shared" ca="1" si="154"/>
        <v>-</v>
      </c>
      <c r="CQ264" s="378" t="str">
        <f t="shared" ca="1" si="154"/>
        <v>-</v>
      </c>
      <c r="CR264" s="510" t="str">
        <f ca="1">IFERROR(IF(LEFT(BW264,3)="Poo",INDEX($BE$4:$BJ$99,MATCH(CI264,$BG$4:$BG$99,0),6)*((15/50))*Calculation!$AK$6,INDEX(Calculation_Tab,MATCH(BV264,Identifier,0),10)/(IF(LEN(INDEX(Calculation_Tab,MATCH(BV264,Identifier,0),9))&gt;8,LEN(INDEX(Calculation_Tab,MATCH(BV264,Identifier,0),9))-8,1))*((15/50)*Calculation!$AK$6)),"-")</f>
        <v>-</v>
      </c>
      <c r="CS264" s="498" t="str">
        <f ca="1">IF(CI264="-","-",IF(COUNTIF($CI$3:CI264,CI264)&gt;1,0,IFERROR((35/50)*Calculation!$AK$6,"-")))</f>
        <v>-</v>
      </c>
    </row>
    <row r="265" spans="4:97" x14ac:dyDescent="0.5">
      <c r="D265" s="487" t="e">
        <f t="shared" si="137"/>
        <v>#DIV/0!</v>
      </c>
      <c r="E265" s="496" t="e">
        <f t="array" ref="E265">IF(IF((ROW(E265)-3)&lt;(ListAndConversion!$A$15),INDEX(Flow_Cell_Lane,MIN(IF(COUNTIF($E$2:E264,Flow_Cell_Lane)=0,ROW(Flow_Cell_Lane)-9))),"-")="","-",IF((ROW(E265)-3)&lt;(ListAndConversion!$A$15),INDEX(Flow_Cell_Lane,MIN(IF(COUNTIF($E$2:E264,Flow_Cell_Lane)=0,ROW(Flow_Cell_Lane)-9))),"-"))</f>
        <v>#DIV/0!</v>
      </c>
      <c r="F265" s="378" t="e">
        <f t="shared" si="138"/>
        <v>#DIV/0!</v>
      </c>
      <c r="G265" s="378" t="e">
        <f t="shared" si="153"/>
        <v>#DIV/0!</v>
      </c>
      <c r="H265" s="378" t="e">
        <f t="shared" si="153"/>
        <v>#DIV/0!</v>
      </c>
      <c r="I265" s="378" t="e">
        <f t="shared" si="153"/>
        <v>#DIV/0!</v>
      </c>
      <c r="J265" s="378" t="e">
        <f t="shared" si="153"/>
        <v>#DIV/0!</v>
      </c>
      <c r="K265" s="378" t="e">
        <f t="shared" si="153"/>
        <v>#DIV/0!</v>
      </c>
      <c r="L265" s="378" t="e">
        <f t="shared" si="153"/>
        <v>#DIV/0!</v>
      </c>
      <c r="M265" s="378" t="e">
        <f t="shared" si="153"/>
        <v>#DIV/0!</v>
      </c>
      <c r="N265" s="497" t="e">
        <f t="shared" si="139"/>
        <v>#DIV/0!</v>
      </c>
      <c r="O265" s="497" t="str">
        <f t="array" ref="O265">IFERROR(INDEX(Calculation!I:AN,MATCH(ListAndConversion!E265,Calculation!I:I,0),31),"-")</f>
        <v>-</v>
      </c>
      <c r="P265" s="498">
        <f>IF(COUNTIFS(Calculation!$I$10:$I$393,E265,Direct_Denaturation,"-")&lt;&gt;1,COUNTIFS(Calculation!$I$10:$I$393,E265,Direct_Denaturation,"-"),0)</f>
        <v>0</v>
      </c>
      <c r="V265" s="542" t="s">
        <v>82</v>
      </c>
      <c r="W265" s="542" t="s">
        <v>82</v>
      </c>
      <c r="X265" s="542" t="s">
        <v>82</v>
      </c>
      <c r="Y265" s="542" t="s">
        <v>82</v>
      </c>
      <c r="Z265" s="542" t="s">
        <v>82</v>
      </c>
      <c r="AA265" s="542" t="s">
        <v>82</v>
      </c>
      <c r="AB265" s="542" t="s">
        <v>82</v>
      </c>
      <c r="AC265" s="542" t="s">
        <v>82</v>
      </c>
      <c r="AD265" s="542" t="s">
        <v>82</v>
      </c>
      <c r="AE265" s="542" t="s">
        <v>82</v>
      </c>
      <c r="AF265" s="542" t="s">
        <v>82</v>
      </c>
      <c r="AG265" s="542" t="s">
        <v>82</v>
      </c>
      <c r="AH265" s="9"/>
      <c r="AI265" s="487">
        <v>262</v>
      </c>
      <c r="AJ265" s="497" t="s">
        <v>162</v>
      </c>
      <c r="AK265" s="378">
        <v>70</v>
      </c>
      <c r="AL265" s="378" t="str">
        <f t="shared" ca="1" si="140"/>
        <v>-</v>
      </c>
      <c r="AM265" s="378" t="str">
        <f t="array" aca="1" ref="AM265" ca="1">IFERROR(IF(AI265&lt;=$AB$2,"-",INDEX(Calculation_Tab,SMALL(ROW(Main_Dil)*(Main_Dil&lt;&gt;"-"),COUNTIF(Main_Dil,"-")+ROW()-3-$AB$2)-9,5)),"-")</f>
        <v>-</v>
      </c>
      <c r="AN265" s="378" t="str">
        <f t="array" aca="1" ref="AN265" ca="1">IFERROR(IF(AI265&lt;=$AB$2,"-",INDEX($A$3:$B$12,MATCH(INDEX(Calculation_Tab,SMALL(ROW(Main_Dil)*(Main_Dil&lt;&gt;"-"),COUNTIF(Main_Dil,"-")+ROW()-3-$AB$2)-9,5),$A$3:$A$12,0),2)),"-")</f>
        <v>-</v>
      </c>
      <c r="AO265" s="378" t="str">
        <f t="array" aca="1" ref="AO265" ca="1">IFERROR(IF(AI265&lt;=$AB$2,"-",INDEX(Coordinate,MATCH(INDEX(Calculation_Tab,SMALL(ROW(Main_Dil)*(Main_Dil&lt;&gt;"-"),COUNTIF(Main_Dil,"-")+ROW()-3-$AB$2)-9,6),$X$4:$X$99,0),2)),"-")</f>
        <v>-</v>
      </c>
      <c r="AP265" s="510" t="str">
        <f t="array" aca="1" ref="AP265" ca="1">IFERROR(IF(AI265&lt;=$AB$2,"-",INDEX(Calculation_Tab,SMALL(ROW(Main_Dil)*(Main_Dil&lt;&gt;"-"),COUNTIF(Main_Dil,"-")+ROW()-3-$AB$2)-9,21)),"-")</f>
        <v>-</v>
      </c>
      <c r="AQ265" s="511" t="str">
        <f t="array" aca="1" ref="AQ265" ca="1">IFERROR(IF(AI265&lt;=$AB$2,"-",INDEX(Calculation_Tab,SMALL(ROW(Main_Dil)*(Main_Dil&lt;&gt;"-"),COUNTIF(Main_Dil,"-")+ROW()-3-$AB$2)-9,22)),"-")</f>
        <v>-</v>
      </c>
      <c r="AR265" s="487" t="str">
        <f t="shared" ca="1" si="141"/>
        <v>-</v>
      </c>
      <c r="AS265" s="378">
        <v>262</v>
      </c>
      <c r="AT265" s="497" t="s">
        <v>162</v>
      </c>
      <c r="AU265" s="498">
        <v>70</v>
      </c>
      <c r="AV265" s="378" t="str">
        <f t="shared" ca="1" si="142"/>
        <v>-</v>
      </c>
      <c r="AW265" s="378" t="str">
        <f t="array" aca="1" ref="AW265" ca="1">IFERROR(IF(AS265&lt;=$AB$2+$AN$2,"-",INDEX(Calculation_Tab,SMALL(ROW(Direct_Denaturation)*(Direct_Denaturation&lt;&gt;"-"),COUNTIF(Direct_Denaturation,"-")+ROW()-3-$AB$2-$AN$2)-9,5)),"-")</f>
        <v>-</v>
      </c>
      <c r="AX265" s="378" t="str">
        <f t="array" aca="1" ref="AX265" ca="1">IFERROR(IF(AS265&lt;=$AB$2+$AN$2,"-",INDEX($A$3:$B$12,MATCH(INDEX(Calculation_Tab,SMALL(ROW(Direct_Denaturation)*(Direct_Denaturation&lt;&gt;"-"),COUNTIF(Direct_Denaturation,"-")+ROW()-3-$AB$2-$AN$2)-9,5),$A$3:$A$12,0),2)),"-")</f>
        <v>-</v>
      </c>
      <c r="AY265" s="378" t="str">
        <f t="array" aca="1" ref="AY265" ca="1">IFERROR(IF(AS265&lt;=$AB$2+$AN$2,"-",INDEX(Coordinate,MATCH(INDEX(Calculation_Tab,SMALL(ROW(Direct_Denaturation)*(Direct_Denaturation&lt;&gt;"-"),COUNTIF(Direct_Denaturation,"-")+ROW()-3-$AB$2-$AN$2)-9,6),$X$4:$X$99,0),2)),"-")</f>
        <v>-</v>
      </c>
      <c r="AZ265" s="510" t="str">
        <f t="array" aca="1" ref="AZ265" ca="1">IFERROR(IF(AS265&lt;=$AB$2+$AN$2,"-",INDEX(Calculation_Tab,SMALL(ROW(Direct_Denaturation)*(Direct_Denaturation&lt;&gt;"-"),COUNTIF(Direct_Denaturation,"-")+ROW()-3-$AB$2-$AN$2)-9,32)),"-")</f>
        <v>-</v>
      </c>
      <c r="BA265" s="510" t="str">
        <f t="array" aca="1" ref="BA265" ca="1">IFERROR(IF(AS265&lt;=$AB$2+$AN$2,"-",INDEX(Calculation_Tab,SMALL(ROW(Direct_Denaturation)*(Direct_Denaturation&lt;&gt;"-"),COUNTIF(Direct_Denaturation,"-")+ROW()-3-$AB$2-$AN$2)-9,34)),"-")</f>
        <v>-</v>
      </c>
      <c r="BB265" s="510" t="str">
        <f t="array" aca="1" ref="BB265" ca="1">IFERROR(IF(AS265&lt;=$AB$2+$AN$2,"-",INDEX(Calculation_Tab,SMALL(ROW(Direct_Denaturation)*(Direct_Denaturation&lt;&gt;"-"),COUNTIF(Direct_Denaturation,"-")+ROW()-3-$AB$2-$AN$2)-9,33)),"-")</f>
        <v>-</v>
      </c>
      <c r="BC265" s="510" t="str">
        <f t="array" aca="1" ref="BC265" ca="1">IFERROR(IF(AS265&lt;=$AB$2+$AN$2,"-",INDEX(Calculation_Tab,SMALL(ROW(Direct_Denaturation)*(Direct_Denaturation&lt;&gt;"-"),COUNTIF(Direct_Denaturation,"-")+ROW()-3-$AB$2-$AN$2)-9,35)),"-")</f>
        <v>-</v>
      </c>
      <c r="BD265" s="511" t="str">
        <f t="shared" ca="1" si="143"/>
        <v>-</v>
      </c>
      <c r="BK265" s="542" t="s">
        <v>82</v>
      </c>
      <c r="BL265" s="542" t="s">
        <v>82</v>
      </c>
      <c r="BM265" s="487" t="str">
        <f t="array" aca="1" ref="BM265" ca="1">IFERROR(INDEX(Calculation_Tab,SMALL(ROW(ToPool)*(ToPool&lt;&gt;"-"),COUNTIF(ToPool,"-")+ROW()-3)-9,3),"-")</f>
        <v>-</v>
      </c>
      <c r="BN265" s="378" t="str">
        <f t="shared" ca="1" si="144"/>
        <v>-</v>
      </c>
      <c r="BO265" s="378" t="str">
        <f t="shared" ca="1" si="145"/>
        <v>-</v>
      </c>
      <c r="BP265" s="523" t="str">
        <f t="shared" ca="1" si="146"/>
        <v>-</v>
      </c>
      <c r="BQ265" s="378" t="str">
        <f t="array" aca="1" ref="BQ265" ca="1">IFERROR(INDEX(BE:BG,MATCH(INDEX(Calculation_Tab,SMALL(ROW(ToPool)*(ToPool&lt;&gt;"-"),COUNTIF(ToPool,"-")+ROW()-3)-9,9),BG:BG,0),2),"-")</f>
        <v>-</v>
      </c>
      <c r="BR265" s="510" t="str">
        <f t="shared" ca="1" si="147"/>
        <v>-</v>
      </c>
      <c r="BS265" s="511" t="str">
        <f t="shared" ca="1" si="148"/>
        <v>-</v>
      </c>
      <c r="BT265" s="543" t="s">
        <v>82</v>
      </c>
      <c r="BU265" s="487" t="str">
        <f t="shared" ca="1" si="152"/>
        <v>-</v>
      </c>
      <c r="BV265" s="487" t="str">
        <f t="array" aca="1" ref="BV26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65" s="378" t="str">
        <f t="shared" ca="1" si="149"/>
        <v>-</v>
      </c>
      <c r="BX265" s="378" t="str">
        <f t="shared" ca="1" si="150"/>
        <v>-</v>
      </c>
      <c r="BY265" s="510" t="str">
        <f ca="1">IFERROR(ROUND(INDEX(Cluster,MATCH(IF(LEFT(BV265,4)="Pool",INDEX(Cluster,MATCH(INDEX(Calculation_Tab,MATCH(INDEX($BE$4:$BJ$99,MATCH(BV265,$BE$4:$BE$99,0),3),Flow_Cell_Lane,0),3),Cluster!$F$29:$F$412,0),6),BV265),Identifier_Cluster,0),19)*IF(LEFT(BV265,4)="pool",IF(LEN(INDEX($BE$4:$BJ$99,MATCH(BV265,$BE$4:$BE$99,0),3))=10,2,IF(LEN(INDEX($BE$4:$BJ$99,MATCH(BV265,$BE$4:$BE$99,0),3))&gt;10,LEN(INDEX($BE$4:$BJ$99,MATCH(BV265,$BE$4:$BE$99,0),3))-8,1)),1)*IF(LEFT(BV265,4)="pool",IF(INDEX($BE$4:$BJ$99,MATCH(BV265,$BE$4:$BE$99,0),6)&lt;1,1,INDEX($BE$4:$BJ$99,MATCH(BV265,$BE$4:$BE$99,0),6)),INDEX(Calculation_Tab,MATCH(BV265,Identifier,0),10)),1)*(1+Calculation!$Q$6),"-")</f>
        <v>-</v>
      </c>
      <c r="BZ265" s="378" t="str">
        <f ca="1">IFERROR((0.5/50)*CE265/Calculation!$AG$6*(IF(LEFT(BV265,4)="Pool",IF(LEN(INDEX($BE$4:$BJ$99,MATCH(BV265,$BE$4:$BE$99,0),3))=10,2,IF(LEN(INDEX($BE$4:$BJ$99,MATCH(BV265,$BE$4:$BE$99,0),3))&gt;10,LEN(INDEX($BE$4:$BJ$99,MATCH(BV265,$BE$4:$BE$99,0),3))-8,1)),IF(INDEX(Calculation_Tab,MATCH(BV265,Identifier,0),10)&gt;1,INDEX(Calculation_Tab,MATCH(BV265,Identifier,0),10),1)))*(1+Calculation!$Q$6),"-")</f>
        <v>-</v>
      </c>
      <c r="CA265" s="510" t="str">
        <f ca="1">IFERROR(IF((BZ265*Calculation!$AG$6/0.05)-SUM(BY265:BZ265,CC265)&gt;0,(BZ265*Calculation!$AG$6/0.05)-SUM(BY265:BZ265,CC265),0),"-")</f>
        <v>-</v>
      </c>
      <c r="CB265" s="510" t="str">
        <f ca="1">IFERROR(5/50*CE265*(IF(LEFT(BV265,4)="Pool",IF(LEN(INDEX($BE$4:$BJ$99,MATCH(BV265,$BE$4:$BE$99,0),3))=10,2,IF(LEN(INDEX($BE$4:$BJ$99,MATCH(BV265,$BE$4:$BE$99,0),3))&gt;10,LEN(INDEX($BE$4:$BJ$99,MATCH(BV265,$BE$4:$BE$99,0),3))-8,1)),IF(INDEX(Calculation_Tab,MATCH(BV265,Identifier,0),10)&gt;1,INDEX(Calculation_Tab,MATCH(BV265,Identifier,0),10),1)))*(1+Calculation!$Q$6),"-")</f>
        <v>-</v>
      </c>
      <c r="CC265" s="508" t="str">
        <f ca="1">IFERROR(ROUND(INDEX(Cluster,MATCH(IF(LEFT(BV265,4)="Pool",INDEX(Cluster,MATCH(INDEX(Calculation_Tab,MATCH(INDEX($BE$4:$BJ$99,MATCH(BV265,$BE$4:$BE$99,0),3),Flow_Cell_Lane,0),3),Cluster!$F$29:$F$412,0),6),BV265),Identifier_Cluster,0),20)*IF(LEFT(BV265,4)="pool",IF(LEN(INDEX($BE$4:$BJ$99,MATCH(BV265,$BE$4:$BE$99,0),3))=10,2,IF(LEN(INDEX($BE$4:$BJ$99,MATCH(BV265,$BE$4:$BE$99,0),3))&gt;10,LEN(INDEX($BE$4:$BJ$99,MATCH(BV265,$BE$4:$BE$99,0),3))-8,1)),1)*IF(LEFT(BV265,4)="pool",IF(INDEX($BE$4:$BJ$99,MATCH(BV265,$BE$4:$BE$99,0),6)&lt;1,1,INDEX($BE$4:$BJ$99,MATCH(BV265,$BE$4:$BE$99,0),6)),INDEX(Calculation_Tab,MATCH(BV265,Identifier,0),10)),1)*(1+Calculation!$Q$6),"-")</f>
        <v>-</v>
      </c>
      <c r="CD265" s="509" t="str">
        <f ca="1">IFERROR(INDEX(Cluster!AC:AD,MATCH(IF(LEFT(BV265,4)="Pool",INDEX(Cluster!$D$29:$AA$412,MATCH(INDEX(Calculation_Tab,MATCH(INDEX($BE$4:$BJ$99,MATCH(BV265,$BE$4:$BE$99,0),3),Flow_Cell_Lane,0),3),Cluster!$F$29:$F$412,0),24),INDEX(Cluster!$D$29:$AA$412,MATCH(BV265,Cluster!$F$29:$F$412,0),24)),Cluster!AC:AC,0),2),"-")</f>
        <v>-</v>
      </c>
      <c r="CE265" s="378" t="str">
        <f ca="1">IFERROR(IF(BV265&lt;&gt;"-",Calculation!$AK$6,"-"),"-")</f>
        <v>-</v>
      </c>
      <c r="CF265" s="378" t="str">
        <f ca="1">IF(OR(LEFT(ListAndConversion!BW265,3)="Dil",LEFT(ListAndConversion!BW265,3)="Poo"),ListAndConversion!$BT$4,IF(LEFT(ListAndConversion!BW265,3)="Sou",INDEX(ListAndConversion!$AT$3:$AV$387,MATCH(ListAndConversion!BV265,ListAndConversion!$AV$3:$AV$387,0),1),"-"))</f>
        <v>-</v>
      </c>
      <c r="CG265" s="498" t="str">
        <f ca="1">IF(OR(LEFT(ListAndConversion!BW265,3)="Dil",LEFT(ListAndConversion!BW265,3)="Poo"),ListAndConversion!BU265,IF(LEFT(ListAndConversion!BW265,3)="Sou",INDEX(ListAndConversion!$AT$4:$AV$387,MATCH(ListAndConversion!BV265,ListAndConversion!$AV$4:$AV$387,0),2),"-"))</f>
        <v>-</v>
      </c>
      <c r="CH265" s="378"/>
      <c r="CI265" s="487" t="str">
        <f t="shared" ca="1" si="151"/>
        <v>-</v>
      </c>
      <c r="CJ265" s="378" t="str">
        <f t="shared" ca="1" si="154"/>
        <v>-</v>
      </c>
      <c r="CK265" s="378" t="str">
        <f t="shared" ca="1" si="154"/>
        <v>-</v>
      </c>
      <c r="CL265" s="378" t="str">
        <f t="shared" ca="1" si="154"/>
        <v>-</v>
      </c>
      <c r="CM265" s="378" t="str">
        <f t="shared" ca="1" si="154"/>
        <v>-</v>
      </c>
      <c r="CN265" s="378" t="str">
        <f t="shared" ca="1" si="154"/>
        <v>-</v>
      </c>
      <c r="CO265" s="378" t="str">
        <f t="shared" ca="1" si="154"/>
        <v>-</v>
      </c>
      <c r="CP265" s="378" t="str">
        <f t="shared" ca="1" si="154"/>
        <v>-</v>
      </c>
      <c r="CQ265" s="378" t="str">
        <f t="shared" ca="1" si="154"/>
        <v>-</v>
      </c>
      <c r="CR265" s="510" t="str">
        <f ca="1">IFERROR(IF(LEFT(BW265,3)="Poo",INDEX($BE$4:$BJ$99,MATCH(CI265,$BG$4:$BG$99,0),6)*((15/50))*Calculation!$AK$6,INDEX(Calculation_Tab,MATCH(BV265,Identifier,0),10)/(IF(LEN(INDEX(Calculation_Tab,MATCH(BV265,Identifier,0),9))&gt;8,LEN(INDEX(Calculation_Tab,MATCH(BV265,Identifier,0),9))-8,1))*((15/50)*Calculation!$AK$6)),"-")</f>
        <v>-</v>
      </c>
      <c r="CS265" s="498" t="str">
        <f ca="1">IF(CI265="-","-",IF(COUNTIF($CI$3:CI265,CI265)&gt;1,0,IFERROR((35/50)*Calculation!$AK$6,"-")))</f>
        <v>-</v>
      </c>
    </row>
    <row r="266" spans="4:97" x14ac:dyDescent="0.5">
      <c r="D266" s="487" t="e">
        <f t="shared" si="137"/>
        <v>#DIV/0!</v>
      </c>
      <c r="E266" s="496" t="e">
        <f t="array" ref="E266">IF(IF((ROW(E266)-3)&lt;(ListAndConversion!$A$15),INDEX(Flow_Cell_Lane,MIN(IF(COUNTIF($E$2:E265,Flow_Cell_Lane)=0,ROW(Flow_Cell_Lane)-9))),"-")="","-",IF((ROW(E266)-3)&lt;(ListAndConversion!$A$15),INDEX(Flow_Cell_Lane,MIN(IF(COUNTIF($E$2:E265,Flow_Cell_Lane)=0,ROW(Flow_Cell_Lane)-9))),"-"))</f>
        <v>#DIV/0!</v>
      </c>
      <c r="F266" s="378" t="e">
        <f t="shared" si="138"/>
        <v>#DIV/0!</v>
      </c>
      <c r="G266" s="378" t="e">
        <f t="shared" si="153"/>
        <v>#DIV/0!</v>
      </c>
      <c r="H266" s="378" t="e">
        <f t="shared" si="153"/>
        <v>#DIV/0!</v>
      </c>
      <c r="I266" s="378" t="e">
        <f t="shared" si="153"/>
        <v>#DIV/0!</v>
      </c>
      <c r="J266" s="378" t="e">
        <f t="shared" si="153"/>
        <v>#DIV/0!</v>
      </c>
      <c r="K266" s="378" t="e">
        <f t="shared" si="153"/>
        <v>#DIV/0!</v>
      </c>
      <c r="L266" s="378" t="e">
        <f t="shared" si="153"/>
        <v>#DIV/0!</v>
      </c>
      <c r="M266" s="378" t="e">
        <f t="shared" si="153"/>
        <v>#DIV/0!</v>
      </c>
      <c r="N266" s="497" t="e">
        <f t="shared" si="139"/>
        <v>#DIV/0!</v>
      </c>
      <c r="O266" s="497" t="str">
        <f t="array" ref="O266">IFERROR(INDEX(Calculation!I:AN,MATCH(ListAndConversion!E266,Calculation!I:I,0),31),"-")</f>
        <v>-</v>
      </c>
      <c r="P266" s="498">
        <f>IF(COUNTIFS(Calculation!$I$10:$I$393,E266,Direct_Denaturation,"-")&lt;&gt;1,COUNTIFS(Calculation!$I$10:$I$393,E266,Direct_Denaturation,"-"),0)</f>
        <v>0</v>
      </c>
      <c r="V266" s="542" t="s">
        <v>82</v>
      </c>
      <c r="W266" s="542" t="s">
        <v>82</v>
      </c>
      <c r="X266" s="542" t="s">
        <v>82</v>
      </c>
      <c r="Y266" s="542" t="s">
        <v>82</v>
      </c>
      <c r="Z266" s="542" t="s">
        <v>82</v>
      </c>
      <c r="AA266" s="542" t="s">
        <v>82</v>
      </c>
      <c r="AB266" s="542" t="s">
        <v>82</v>
      </c>
      <c r="AC266" s="542" t="s">
        <v>82</v>
      </c>
      <c r="AD266" s="542" t="s">
        <v>82</v>
      </c>
      <c r="AE266" s="542" t="s">
        <v>82</v>
      </c>
      <c r="AF266" s="542" t="s">
        <v>82</v>
      </c>
      <c r="AG266" s="542" t="s">
        <v>82</v>
      </c>
      <c r="AH266" s="9"/>
      <c r="AI266" s="487">
        <v>263</v>
      </c>
      <c r="AJ266" s="497" t="s">
        <v>162</v>
      </c>
      <c r="AK266" s="378">
        <v>71</v>
      </c>
      <c r="AL266" s="378" t="str">
        <f t="shared" ca="1" si="140"/>
        <v>-</v>
      </c>
      <c r="AM266" s="378" t="str">
        <f t="array" aca="1" ref="AM266" ca="1">IFERROR(IF(AI266&lt;=$AB$2,"-",INDEX(Calculation_Tab,SMALL(ROW(Main_Dil)*(Main_Dil&lt;&gt;"-"),COUNTIF(Main_Dil,"-")+ROW()-3-$AB$2)-9,5)),"-")</f>
        <v>-</v>
      </c>
      <c r="AN266" s="378" t="str">
        <f t="array" aca="1" ref="AN266" ca="1">IFERROR(IF(AI266&lt;=$AB$2,"-",INDEX($A$3:$B$12,MATCH(INDEX(Calculation_Tab,SMALL(ROW(Main_Dil)*(Main_Dil&lt;&gt;"-"),COUNTIF(Main_Dil,"-")+ROW()-3-$AB$2)-9,5),$A$3:$A$12,0),2)),"-")</f>
        <v>-</v>
      </c>
      <c r="AO266" s="378" t="str">
        <f t="array" aca="1" ref="AO266" ca="1">IFERROR(IF(AI266&lt;=$AB$2,"-",INDEX(Coordinate,MATCH(INDEX(Calculation_Tab,SMALL(ROW(Main_Dil)*(Main_Dil&lt;&gt;"-"),COUNTIF(Main_Dil,"-")+ROW()-3-$AB$2)-9,6),$X$4:$X$99,0),2)),"-")</f>
        <v>-</v>
      </c>
      <c r="AP266" s="510" t="str">
        <f t="array" aca="1" ref="AP266" ca="1">IFERROR(IF(AI266&lt;=$AB$2,"-",INDEX(Calculation_Tab,SMALL(ROW(Main_Dil)*(Main_Dil&lt;&gt;"-"),COUNTIF(Main_Dil,"-")+ROW()-3-$AB$2)-9,21)),"-")</f>
        <v>-</v>
      </c>
      <c r="AQ266" s="511" t="str">
        <f t="array" aca="1" ref="AQ266" ca="1">IFERROR(IF(AI266&lt;=$AB$2,"-",INDEX(Calculation_Tab,SMALL(ROW(Main_Dil)*(Main_Dil&lt;&gt;"-"),COUNTIF(Main_Dil,"-")+ROW()-3-$AB$2)-9,22)),"-")</f>
        <v>-</v>
      </c>
      <c r="AR266" s="487" t="str">
        <f t="shared" ca="1" si="141"/>
        <v>-</v>
      </c>
      <c r="AS266" s="378">
        <v>263</v>
      </c>
      <c r="AT266" s="497" t="s">
        <v>162</v>
      </c>
      <c r="AU266" s="498">
        <v>71</v>
      </c>
      <c r="AV266" s="378" t="str">
        <f t="shared" ca="1" si="142"/>
        <v>-</v>
      </c>
      <c r="AW266" s="378" t="str">
        <f t="array" aca="1" ref="AW266" ca="1">IFERROR(IF(AS266&lt;=$AB$2+$AN$2,"-",INDEX(Calculation_Tab,SMALL(ROW(Direct_Denaturation)*(Direct_Denaturation&lt;&gt;"-"),COUNTIF(Direct_Denaturation,"-")+ROW()-3-$AB$2-$AN$2)-9,5)),"-")</f>
        <v>-</v>
      </c>
      <c r="AX266" s="378" t="str">
        <f t="array" aca="1" ref="AX266" ca="1">IFERROR(IF(AS266&lt;=$AB$2+$AN$2,"-",INDEX($A$3:$B$12,MATCH(INDEX(Calculation_Tab,SMALL(ROW(Direct_Denaturation)*(Direct_Denaturation&lt;&gt;"-"),COUNTIF(Direct_Denaturation,"-")+ROW()-3-$AB$2-$AN$2)-9,5),$A$3:$A$12,0),2)),"-")</f>
        <v>-</v>
      </c>
      <c r="AY266" s="378" t="str">
        <f t="array" aca="1" ref="AY266" ca="1">IFERROR(IF(AS266&lt;=$AB$2+$AN$2,"-",INDEX(Coordinate,MATCH(INDEX(Calculation_Tab,SMALL(ROW(Direct_Denaturation)*(Direct_Denaturation&lt;&gt;"-"),COUNTIF(Direct_Denaturation,"-")+ROW()-3-$AB$2-$AN$2)-9,6),$X$4:$X$99,0),2)),"-")</f>
        <v>-</v>
      </c>
      <c r="AZ266" s="510" t="str">
        <f t="array" aca="1" ref="AZ266" ca="1">IFERROR(IF(AS266&lt;=$AB$2+$AN$2,"-",INDEX(Calculation_Tab,SMALL(ROW(Direct_Denaturation)*(Direct_Denaturation&lt;&gt;"-"),COUNTIF(Direct_Denaturation,"-")+ROW()-3-$AB$2-$AN$2)-9,32)),"-")</f>
        <v>-</v>
      </c>
      <c r="BA266" s="510" t="str">
        <f t="array" aca="1" ref="BA266" ca="1">IFERROR(IF(AS266&lt;=$AB$2+$AN$2,"-",INDEX(Calculation_Tab,SMALL(ROW(Direct_Denaturation)*(Direct_Denaturation&lt;&gt;"-"),COUNTIF(Direct_Denaturation,"-")+ROW()-3-$AB$2-$AN$2)-9,34)),"-")</f>
        <v>-</v>
      </c>
      <c r="BB266" s="510" t="str">
        <f t="array" aca="1" ref="BB266" ca="1">IFERROR(IF(AS266&lt;=$AB$2+$AN$2,"-",INDEX(Calculation_Tab,SMALL(ROW(Direct_Denaturation)*(Direct_Denaturation&lt;&gt;"-"),COUNTIF(Direct_Denaturation,"-")+ROW()-3-$AB$2-$AN$2)-9,33)),"-")</f>
        <v>-</v>
      </c>
      <c r="BC266" s="510" t="str">
        <f t="array" aca="1" ref="BC266" ca="1">IFERROR(IF(AS266&lt;=$AB$2+$AN$2,"-",INDEX(Calculation_Tab,SMALL(ROW(Direct_Denaturation)*(Direct_Denaturation&lt;&gt;"-"),COUNTIF(Direct_Denaturation,"-")+ROW()-3-$AB$2-$AN$2)-9,35)),"-")</f>
        <v>-</v>
      </c>
      <c r="BD266" s="511" t="str">
        <f t="shared" ca="1" si="143"/>
        <v>-</v>
      </c>
      <c r="BK266" s="542" t="s">
        <v>82</v>
      </c>
      <c r="BL266" s="542" t="s">
        <v>82</v>
      </c>
      <c r="BM266" s="487" t="str">
        <f t="array" aca="1" ref="BM266" ca="1">IFERROR(INDEX(Calculation_Tab,SMALL(ROW(ToPool)*(ToPool&lt;&gt;"-"),COUNTIF(ToPool,"-")+ROW()-3)-9,3),"-")</f>
        <v>-</v>
      </c>
      <c r="BN266" s="378" t="str">
        <f t="shared" ca="1" si="144"/>
        <v>-</v>
      </c>
      <c r="BO266" s="378" t="str">
        <f t="shared" ca="1" si="145"/>
        <v>-</v>
      </c>
      <c r="BP266" s="523" t="str">
        <f t="shared" ca="1" si="146"/>
        <v>-</v>
      </c>
      <c r="BQ266" s="378" t="str">
        <f t="array" aca="1" ref="BQ266" ca="1">IFERROR(INDEX(BE:BG,MATCH(INDEX(Calculation_Tab,SMALL(ROW(ToPool)*(ToPool&lt;&gt;"-"),COUNTIF(ToPool,"-")+ROW()-3)-9,9),BG:BG,0),2),"-")</f>
        <v>-</v>
      </c>
      <c r="BR266" s="510" t="str">
        <f t="shared" ca="1" si="147"/>
        <v>-</v>
      </c>
      <c r="BS266" s="511" t="str">
        <f t="shared" ca="1" si="148"/>
        <v>-</v>
      </c>
      <c r="BT266" s="543" t="s">
        <v>82</v>
      </c>
      <c r="BU266" s="487" t="str">
        <f t="shared" ca="1" si="152"/>
        <v>-</v>
      </c>
      <c r="BV266" s="487" t="str">
        <f t="array" aca="1" ref="BV26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66" s="378" t="str">
        <f t="shared" ca="1" si="149"/>
        <v>-</v>
      </c>
      <c r="BX266" s="378" t="str">
        <f t="shared" ca="1" si="150"/>
        <v>-</v>
      </c>
      <c r="BY266" s="510" t="str">
        <f ca="1">IFERROR(ROUND(INDEX(Cluster,MATCH(IF(LEFT(BV266,4)="Pool",INDEX(Cluster,MATCH(INDEX(Calculation_Tab,MATCH(INDEX($BE$4:$BJ$99,MATCH(BV266,$BE$4:$BE$99,0),3),Flow_Cell_Lane,0),3),Cluster!$F$29:$F$412,0),6),BV266),Identifier_Cluster,0),19)*IF(LEFT(BV266,4)="pool",IF(LEN(INDEX($BE$4:$BJ$99,MATCH(BV266,$BE$4:$BE$99,0),3))=10,2,IF(LEN(INDEX($BE$4:$BJ$99,MATCH(BV266,$BE$4:$BE$99,0),3))&gt;10,LEN(INDEX($BE$4:$BJ$99,MATCH(BV266,$BE$4:$BE$99,0),3))-8,1)),1)*IF(LEFT(BV266,4)="pool",IF(INDEX($BE$4:$BJ$99,MATCH(BV266,$BE$4:$BE$99,0),6)&lt;1,1,INDEX($BE$4:$BJ$99,MATCH(BV266,$BE$4:$BE$99,0),6)),INDEX(Calculation_Tab,MATCH(BV266,Identifier,0),10)),1)*(1+Calculation!$Q$6),"-")</f>
        <v>-</v>
      </c>
      <c r="BZ266" s="378" t="str">
        <f ca="1">IFERROR((0.5/50)*CE266/Calculation!$AG$6*(IF(LEFT(BV266,4)="Pool",IF(LEN(INDEX($BE$4:$BJ$99,MATCH(BV266,$BE$4:$BE$99,0),3))=10,2,IF(LEN(INDEX($BE$4:$BJ$99,MATCH(BV266,$BE$4:$BE$99,0),3))&gt;10,LEN(INDEX($BE$4:$BJ$99,MATCH(BV266,$BE$4:$BE$99,0),3))-8,1)),IF(INDEX(Calculation_Tab,MATCH(BV266,Identifier,0),10)&gt;1,INDEX(Calculation_Tab,MATCH(BV266,Identifier,0),10),1)))*(1+Calculation!$Q$6),"-")</f>
        <v>-</v>
      </c>
      <c r="CA266" s="510" t="str">
        <f ca="1">IFERROR(IF((BZ266*Calculation!$AG$6/0.05)-SUM(BY266:BZ266,CC266)&gt;0,(BZ266*Calculation!$AG$6/0.05)-SUM(BY266:BZ266,CC266),0),"-")</f>
        <v>-</v>
      </c>
      <c r="CB266" s="510" t="str">
        <f ca="1">IFERROR(5/50*CE266*(IF(LEFT(BV266,4)="Pool",IF(LEN(INDEX($BE$4:$BJ$99,MATCH(BV266,$BE$4:$BE$99,0),3))=10,2,IF(LEN(INDEX($BE$4:$BJ$99,MATCH(BV266,$BE$4:$BE$99,0),3))&gt;10,LEN(INDEX($BE$4:$BJ$99,MATCH(BV266,$BE$4:$BE$99,0),3))-8,1)),IF(INDEX(Calculation_Tab,MATCH(BV266,Identifier,0),10)&gt;1,INDEX(Calculation_Tab,MATCH(BV266,Identifier,0),10),1)))*(1+Calculation!$Q$6),"-")</f>
        <v>-</v>
      </c>
      <c r="CC266" s="508" t="str">
        <f ca="1">IFERROR(ROUND(INDEX(Cluster,MATCH(IF(LEFT(BV266,4)="Pool",INDEX(Cluster,MATCH(INDEX(Calculation_Tab,MATCH(INDEX($BE$4:$BJ$99,MATCH(BV266,$BE$4:$BE$99,0),3),Flow_Cell_Lane,0),3),Cluster!$F$29:$F$412,0),6),BV266),Identifier_Cluster,0),20)*IF(LEFT(BV266,4)="pool",IF(LEN(INDEX($BE$4:$BJ$99,MATCH(BV266,$BE$4:$BE$99,0),3))=10,2,IF(LEN(INDEX($BE$4:$BJ$99,MATCH(BV266,$BE$4:$BE$99,0),3))&gt;10,LEN(INDEX($BE$4:$BJ$99,MATCH(BV266,$BE$4:$BE$99,0),3))-8,1)),1)*IF(LEFT(BV266,4)="pool",IF(INDEX($BE$4:$BJ$99,MATCH(BV266,$BE$4:$BE$99,0),6)&lt;1,1,INDEX($BE$4:$BJ$99,MATCH(BV266,$BE$4:$BE$99,0),6)),INDEX(Calculation_Tab,MATCH(BV266,Identifier,0),10)),1)*(1+Calculation!$Q$6),"-")</f>
        <v>-</v>
      </c>
      <c r="CD266" s="509" t="str">
        <f ca="1">IFERROR(INDEX(Cluster!AC:AD,MATCH(IF(LEFT(BV266,4)="Pool",INDEX(Cluster!$D$29:$AA$412,MATCH(INDEX(Calculation_Tab,MATCH(INDEX($BE$4:$BJ$99,MATCH(BV266,$BE$4:$BE$99,0),3),Flow_Cell_Lane,0),3),Cluster!$F$29:$F$412,0),24),INDEX(Cluster!$D$29:$AA$412,MATCH(BV266,Cluster!$F$29:$F$412,0),24)),Cluster!AC:AC,0),2),"-")</f>
        <v>-</v>
      </c>
      <c r="CE266" s="378" t="str">
        <f ca="1">IFERROR(IF(BV266&lt;&gt;"-",Calculation!$AK$6,"-"),"-")</f>
        <v>-</v>
      </c>
      <c r="CF266" s="378" t="str">
        <f ca="1">IF(OR(LEFT(ListAndConversion!BW266,3)="Dil",LEFT(ListAndConversion!BW266,3)="Poo"),ListAndConversion!$BT$4,IF(LEFT(ListAndConversion!BW266,3)="Sou",INDEX(ListAndConversion!$AT$3:$AV$387,MATCH(ListAndConversion!BV266,ListAndConversion!$AV$3:$AV$387,0),1),"-"))</f>
        <v>-</v>
      </c>
      <c r="CG266" s="498" t="str">
        <f ca="1">IF(OR(LEFT(ListAndConversion!BW266,3)="Dil",LEFT(ListAndConversion!BW266,3)="Poo"),ListAndConversion!BU266,IF(LEFT(ListAndConversion!BW266,3)="Sou",INDEX(ListAndConversion!$AT$4:$AV$387,MATCH(ListAndConversion!BV266,ListAndConversion!$AV$4:$AV$387,0),2),"-"))</f>
        <v>-</v>
      </c>
      <c r="CH266" s="378"/>
      <c r="CI266" s="487" t="str">
        <f t="shared" ca="1" si="151"/>
        <v>-</v>
      </c>
      <c r="CJ266" s="378" t="str">
        <f t="shared" ca="1" si="154"/>
        <v>-</v>
      </c>
      <c r="CK266" s="378" t="str">
        <f t="shared" ca="1" si="154"/>
        <v>-</v>
      </c>
      <c r="CL266" s="378" t="str">
        <f t="shared" ca="1" si="154"/>
        <v>-</v>
      </c>
      <c r="CM266" s="378" t="str">
        <f t="shared" ca="1" si="154"/>
        <v>-</v>
      </c>
      <c r="CN266" s="378" t="str">
        <f t="shared" ca="1" si="154"/>
        <v>-</v>
      </c>
      <c r="CO266" s="378" t="str">
        <f t="shared" ca="1" si="154"/>
        <v>-</v>
      </c>
      <c r="CP266" s="378" t="str">
        <f t="shared" ca="1" si="154"/>
        <v>-</v>
      </c>
      <c r="CQ266" s="378" t="str">
        <f t="shared" ca="1" si="154"/>
        <v>-</v>
      </c>
      <c r="CR266" s="510" t="str">
        <f ca="1">IFERROR(IF(LEFT(BW266,3)="Poo",INDEX($BE$4:$BJ$99,MATCH(CI266,$BG$4:$BG$99,0),6)*((15/50))*Calculation!$AK$6,INDEX(Calculation_Tab,MATCH(BV266,Identifier,0),10)/(IF(LEN(INDEX(Calculation_Tab,MATCH(BV266,Identifier,0),9))&gt;8,LEN(INDEX(Calculation_Tab,MATCH(BV266,Identifier,0),9))-8,1))*((15/50)*Calculation!$AK$6)),"-")</f>
        <v>-</v>
      </c>
      <c r="CS266" s="498" t="str">
        <f ca="1">IF(CI266="-","-",IF(COUNTIF($CI$3:CI266,CI266)&gt;1,0,IFERROR((35/50)*Calculation!$AK$6,"-")))</f>
        <v>-</v>
      </c>
    </row>
    <row r="267" spans="4:97" x14ac:dyDescent="0.5">
      <c r="D267" s="487" t="e">
        <f t="shared" si="137"/>
        <v>#DIV/0!</v>
      </c>
      <c r="E267" s="496" t="e">
        <f t="array" ref="E267">IF(IF((ROW(E267)-3)&lt;(ListAndConversion!$A$15),INDEX(Flow_Cell_Lane,MIN(IF(COUNTIF($E$2:E266,Flow_Cell_Lane)=0,ROW(Flow_Cell_Lane)-9))),"-")="","-",IF((ROW(E267)-3)&lt;(ListAndConversion!$A$15),INDEX(Flow_Cell_Lane,MIN(IF(COUNTIF($E$2:E266,Flow_Cell_Lane)=0,ROW(Flow_Cell_Lane)-9))),"-"))</f>
        <v>#DIV/0!</v>
      </c>
      <c r="F267" s="378" t="e">
        <f t="shared" si="138"/>
        <v>#DIV/0!</v>
      </c>
      <c r="G267" s="378" t="e">
        <f t="shared" si="153"/>
        <v>#DIV/0!</v>
      </c>
      <c r="H267" s="378" t="e">
        <f t="shared" si="153"/>
        <v>#DIV/0!</v>
      </c>
      <c r="I267" s="378" t="e">
        <f t="shared" si="153"/>
        <v>#DIV/0!</v>
      </c>
      <c r="J267" s="378" t="e">
        <f t="shared" si="153"/>
        <v>#DIV/0!</v>
      </c>
      <c r="K267" s="378" t="e">
        <f t="shared" si="153"/>
        <v>#DIV/0!</v>
      </c>
      <c r="L267" s="378" t="e">
        <f t="shared" si="153"/>
        <v>#DIV/0!</v>
      </c>
      <c r="M267" s="378" t="e">
        <f t="shared" si="153"/>
        <v>#DIV/0!</v>
      </c>
      <c r="N267" s="497" t="e">
        <f t="shared" si="139"/>
        <v>#DIV/0!</v>
      </c>
      <c r="O267" s="497" t="str">
        <f t="array" ref="O267">IFERROR(INDEX(Calculation!I:AN,MATCH(ListAndConversion!E267,Calculation!I:I,0),31),"-")</f>
        <v>-</v>
      </c>
      <c r="P267" s="498">
        <f>IF(COUNTIFS(Calculation!$I$10:$I$393,E267,Direct_Denaturation,"-")&lt;&gt;1,COUNTIFS(Calculation!$I$10:$I$393,E267,Direct_Denaturation,"-"),0)</f>
        <v>0</v>
      </c>
      <c r="V267" s="542" t="s">
        <v>82</v>
      </c>
      <c r="W267" s="542" t="s">
        <v>82</v>
      </c>
      <c r="X267" s="542" t="s">
        <v>82</v>
      </c>
      <c r="Y267" s="542" t="s">
        <v>82</v>
      </c>
      <c r="Z267" s="542" t="s">
        <v>82</v>
      </c>
      <c r="AA267" s="542" t="s">
        <v>82</v>
      </c>
      <c r="AB267" s="542" t="s">
        <v>82</v>
      </c>
      <c r="AC267" s="542" t="s">
        <v>82</v>
      </c>
      <c r="AD267" s="542" t="s">
        <v>82</v>
      </c>
      <c r="AE267" s="542" t="s">
        <v>82</v>
      </c>
      <c r="AF267" s="542" t="s">
        <v>82</v>
      </c>
      <c r="AG267" s="542" t="s">
        <v>82</v>
      </c>
      <c r="AH267" s="9"/>
      <c r="AI267" s="487">
        <v>264</v>
      </c>
      <c r="AJ267" s="497" t="s">
        <v>162</v>
      </c>
      <c r="AK267" s="378">
        <v>72</v>
      </c>
      <c r="AL267" s="378" t="str">
        <f t="shared" ca="1" si="140"/>
        <v>-</v>
      </c>
      <c r="AM267" s="378" t="str">
        <f t="array" aca="1" ref="AM267" ca="1">IFERROR(IF(AI267&lt;=$AB$2,"-",INDEX(Calculation_Tab,SMALL(ROW(Main_Dil)*(Main_Dil&lt;&gt;"-"),COUNTIF(Main_Dil,"-")+ROW()-3-$AB$2)-9,5)),"-")</f>
        <v>-</v>
      </c>
      <c r="AN267" s="378" t="str">
        <f t="array" aca="1" ref="AN267" ca="1">IFERROR(IF(AI267&lt;=$AB$2,"-",INDEX($A$3:$B$12,MATCH(INDEX(Calculation_Tab,SMALL(ROW(Main_Dil)*(Main_Dil&lt;&gt;"-"),COUNTIF(Main_Dil,"-")+ROW()-3-$AB$2)-9,5),$A$3:$A$12,0),2)),"-")</f>
        <v>-</v>
      </c>
      <c r="AO267" s="378" t="str">
        <f t="array" aca="1" ref="AO267" ca="1">IFERROR(IF(AI267&lt;=$AB$2,"-",INDEX(Coordinate,MATCH(INDEX(Calculation_Tab,SMALL(ROW(Main_Dil)*(Main_Dil&lt;&gt;"-"),COUNTIF(Main_Dil,"-")+ROW()-3-$AB$2)-9,6),$X$4:$X$99,0),2)),"-")</f>
        <v>-</v>
      </c>
      <c r="AP267" s="510" t="str">
        <f t="array" aca="1" ref="AP267" ca="1">IFERROR(IF(AI267&lt;=$AB$2,"-",INDEX(Calculation_Tab,SMALL(ROW(Main_Dil)*(Main_Dil&lt;&gt;"-"),COUNTIF(Main_Dil,"-")+ROW()-3-$AB$2)-9,21)),"-")</f>
        <v>-</v>
      </c>
      <c r="AQ267" s="511" t="str">
        <f t="array" aca="1" ref="AQ267" ca="1">IFERROR(IF(AI267&lt;=$AB$2,"-",INDEX(Calculation_Tab,SMALL(ROW(Main_Dil)*(Main_Dil&lt;&gt;"-"),COUNTIF(Main_Dil,"-")+ROW()-3-$AB$2)-9,22)),"-")</f>
        <v>-</v>
      </c>
      <c r="AR267" s="487" t="str">
        <f t="shared" ca="1" si="141"/>
        <v>-</v>
      </c>
      <c r="AS267" s="378">
        <v>264</v>
      </c>
      <c r="AT267" s="497" t="s">
        <v>162</v>
      </c>
      <c r="AU267" s="498">
        <v>72</v>
      </c>
      <c r="AV267" s="378" t="str">
        <f t="shared" ca="1" si="142"/>
        <v>-</v>
      </c>
      <c r="AW267" s="378" t="str">
        <f t="array" aca="1" ref="AW267" ca="1">IFERROR(IF(AS267&lt;=$AB$2+$AN$2,"-",INDEX(Calculation_Tab,SMALL(ROW(Direct_Denaturation)*(Direct_Denaturation&lt;&gt;"-"),COUNTIF(Direct_Denaturation,"-")+ROW()-3-$AB$2-$AN$2)-9,5)),"-")</f>
        <v>-</v>
      </c>
      <c r="AX267" s="378" t="str">
        <f t="array" aca="1" ref="AX267" ca="1">IFERROR(IF(AS267&lt;=$AB$2+$AN$2,"-",INDEX($A$3:$B$12,MATCH(INDEX(Calculation_Tab,SMALL(ROW(Direct_Denaturation)*(Direct_Denaturation&lt;&gt;"-"),COUNTIF(Direct_Denaturation,"-")+ROW()-3-$AB$2-$AN$2)-9,5),$A$3:$A$12,0),2)),"-")</f>
        <v>-</v>
      </c>
      <c r="AY267" s="378" t="str">
        <f t="array" aca="1" ref="AY267" ca="1">IFERROR(IF(AS267&lt;=$AB$2+$AN$2,"-",INDEX(Coordinate,MATCH(INDEX(Calculation_Tab,SMALL(ROW(Direct_Denaturation)*(Direct_Denaturation&lt;&gt;"-"),COUNTIF(Direct_Denaturation,"-")+ROW()-3-$AB$2-$AN$2)-9,6),$X$4:$X$99,0),2)),"-")</f>
        <v>-</v>
      </c>
      <c r="AZ267" s="510" t="str">
        <f t="array" aca="1" ref="AZ267" ca="1">IFERROR(IF(AS267&lt;=$AB$2+$AN$2,"-",INDEX(Calculation_Tab,SMALL(ROW(Direct_Denaturation)*(Direct_Denaturation&lt;&gt;"-"),COUNTIF(Direct_Denaturation,"-")+ROW()-3-$AB$2-$AN$2)-9,32)),"-")</f>
        <v>-</v>
      </c>
      <c r="BA267" s="510" t="str">
        <f t="array" aca="1" ref="BA267" ca="1">IFERROR(IF(AS267&lt;=$AB$2+$AN$2,"-",INDEX(Calculation_Tab,SMALL(ROW(Direct_Denaturation)*(Direct_Denaturation&lt;&gt;"-"),COUNTIF(Direct_Denaturation,"-")+ROW()-3-$AB$2-$AN$2)-9,34)),"-")</f>
        <v>-</v>
      </c>
      <c r="BB267" s="510" t="str">
        <f t="array" aca="1" ref="BB267" ca="1">IFERROR(IF(AS267&lt;=$AB$2+$AN$2,"-",INDEX(Calculation_Tab,SMALL(ROW(Direct_Denaturation)*(Direct_Denaturation&lt;&gt;"-"),COUNTIF(Direct_Denaturation,"-")+ROW()-3-$AB$2-$AN$2)-9,33)),"-")</f>
        <v>-</v>
      </c>
      <c r="BC267" s="510" t="str">
        <f t="array" aca="1" ref="BC267" ca="1">IFERROR(IF(AS267&lt;=$AB$2+$AN$2,"-",INDEX(Calculation_Tab,SMALL(ROW(Direct_Denaturation)*(Direct_Denaturation&lt;&gt;"-"),COUNTIF(Direct_Denaturation,"-")+ROW()-3-$AB$2-$AN$2)-9,35)),"-")</f>
        <v>-</v>
      </c>
      <c r="BD267" s="511" t="str">
        <f t="shared" ca="1" si="143"/>
        <v>-</v>
      </c>
      <c r="BK267" s="542" t="s">
        <v>82</v>
      </c>
      <c r="BL267" s="542" t="s">
        <v>82</v>
      </c>
      <c r="BM267" s="487" t="str">
        <f t="array" aca="1" ref="BM267" ca="1">IFERROR(INDEX(Calculation_Tab,SMALL(ROW(ToPool)*(ToPool&lt;&gt;"-"),COUNTIF(ToPool,"-")+ROW()-3)-9,3),"-")</f>
        <v>-</v>
      </c>
      <c r="BN267" s="378" t="str">
        <f t="shared" ca="1" si="144"/>
        <v>-</v>
      </c>
      <c r="BO267" s="378" t="str">
        <f t="shared" ca="1" si="145"/>
        <v>-</v>
      </c>
      <c r="BP267" s="523" t="str">
        <f t="shared" ca="1" si="146"/>
        <v>-</v>
      </c>
      <c r="BQ267" s="378" t="str">
        <f t="array" aca="1" ref="BQ267" ca="1">IFERROR(INDEX(BE:BG,MATCH(INDEX(Calculation_Tab,SMALL(ROW(ToPool)*(ToPool&lt;&gt;"-"),COUNTIF(ToPool,"-")+ROW()-3)-9,9),BG:BG,0),2),"-")</f>
        <v>-</v>
      </c>
      <c r="BR267" s="510" t="str">
        <f t="shared" ca="1" si="147"/>
        <v>-</v>
      </c>
      <c r="BS267" s="511" t="str">
        <f t="shared" ca="1" si="148"/>
        <v>-</v>
      </c>
      <c r="BT267" s="543" t="s">
        <v>82</v>
      </c>
      <c r="BU267" s="487" t="str">
        <f t="shared" ca="1" si="152"/>
        <v>-</v>
      </c>
      <c r="BV267" s="487" t="str">
        <f t="array" aca="1" ref="BV26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67" s="378" t="str">
        <f t="shared" ca="1" si="149"/>
        <v>-</v>
      </c>
      <c r="BX267" s="378" t="str">
        <f t="shared" ca="1" si="150"/>
        <v>-</v>
      </c>
      <c r="BY267" s="510" t="str">
        <f ca="1">IFERROR(ROUND(INDEX(Cluster,MATCH(IF(LEFT(BV267,4)="Pool",INDEX(Cluster,MATCH(INDEX(Calculation_Tab,MATCH(INDEX($BE$4:$BJ$99,MATCH(BV267,$BE$4:$BE$99,0),3),Flow_Cell_Lane,0),3),Cluster!$F$29:$F$412,0),6),BV267),Identifier_Cluster,0),19)*IF(LEFT(BV267,4)="pool",IF(LEN(INDEX($BE$4:$BJ$99,MATCH(BV267,$BE$4:$BE$99,0),3))=10,2,IF(LEN(INDEX($BE$4:$BJ$99,MATCH(BV267,$BE$4:$BE$99,0),3))&gt;10,LEN(INDEX($BE$4:$BJ$99,MATCH(BV267,$BE$4:$BE$99,0),3))-8,1)),1)*IF(LEFT(BV267,4)="pool",IF(INDEX($BE$4:$BJ$99,MATCH(BV267,$BE$4:$BE$99,0),6)&lt;1,1,INDEX($BE$4:$BJ$99,MATCH(BV267,$BE$4:$BE$99,0),6)),INDEX(Calculation_Tab,MATCH(BV267,Identifier,0),10)),1)*(1+Calculation!$Q$6),"-")</f>
        <v>-</v>
      </c>
      <c r="BZ267" s="378" t="str">
        <f ca="1">IFERROR((0.5/50)*CE267/Calculation!$AG$6*(IF(LEFT(BV267,4)="Pool",IF(LEN(INDEX($BE$4:$BJ$99,MATCH(BV267,$BE$4:$BE$99,0),3))=10,2,IF(LEN(INDEX($BE$4:$BJ$99,MATCH(BV267,$BE$4:$BE$99,0),3))&gt;10,LEN(INDEX($BE$4:$BJ$99,MATCH(BV267,$BE$4:$BE$99,0),3))-8,1)),IF(INDEX(Calculation_Tab,MATCH(BV267,Identifier,0),10)&gt;1,INDEX(Calculation_Tab,MATCH(BV267,Identifier,0),10),1)))*(1+Calculation!$Q$6),"-")</f>
        <v>-</v>
      </c>
      <c r="CA267" s="510" t="str">
        <f ca="1">IFERROR(IF((BZ267*Calculation!$AG$6/0.05)-SUM(BY267:BZ267,CC267)&gt;0,(BZ267*Calculation!$AG$6/0.05)-SUM(BY267:BZ267,CC267),0),"-")</f>
        <v>-</v>
      </c>
      <c r="CB267" s="510" t="str">
        <f ca="1">IFERROR(5/50*CE267*(IF(LEFT(BV267,4)="Pool",IF(LEN(INDEX($BE$4:$BJ$99,MATCH(BV267,$BE$4:$BE$99,0),3))=10,2,IF(LEN(INDEX($BE$4:$BJ$99,MATCH(BV267,$BE$4:$BE$99,0),3))&gt;10,LEN(INDEX($BE$4:$BJ$99,MATCH(BV267,$BE$4:$BE$99,0),3))-8,1)),IF(INDEX(Calculation_Tab,MATCH(BV267,Identifier,0),10)&gt;1,INDEX(Calculation_Tab,MATCH(BV267,Identifier,0),10),1)))*(1+Calculation!$Q$6),"-")</f>
        <v>-</v>
      </c>
      <c r="CC267" s="508" t="str">
        <f ca="1">IFERROR(ROUND(INDEX(Cluster,MATCH(IF(LEFT(BV267,4)="Pool",INDEX(Cluster,MATCH(INDEX(Calculation_Tab,MATCH(INDEX($BE$4:$BJ$99,MATCH(BV267,$BE$4:$BE$99,0),3),Flow_Cell_Lane,0),3),Cluster!$F$29:$F$412,0),6),BV267),Identifier_Cluster,0),20)*IF(LEFT(BV267,4)="pool",IF(LEN(INDEX($BE$4:$BJ$99,MATCH(BV267,$BE$4:$BE$99,0),3))=10,2,IF(LEN(INDEX($BE$4:$BJ$99,MATCH(BV267,$BE$4:$BE$99,0),3))&gt;10,LEN(INDEX($BE$4:$BJ$99,MATCH(BV267,$BE$4:$BE$99,0),3))-8,1)),1)*IF(LEFT(BV267,4)="pool",IF(INDEX($BE$4:$BJ$99,MATCH(BV267,$BE$4:$BE$99,0),6)&lt;1,1,INDEX($BE$4:$BJ$99,MATCH(BV267,$BE$4:$BE$99,0),6)),INDEX(Calculation_Tab,MATCH(BV267,Identifier,0),10)),1)*(1+Calculation!$Q$6),"-")</f>
        <v>-</v>
      </c>
      <c r="CD267" s="509" t="str">
        <f ca="1">IFERROR(INDEX(Cluster!AC:AD,MATCH(IF(LEFT(BV267,4)="Pool",INDEX(Cluster!$D$29:$AA$412,MATCH(INDEX(Calculation_Tab,MATCH(INDEX($BE$4:$BJ$99,MATCH(BV267,$BE$4:$BE$99,0),3),Flow_Cell_Lane,0),3),Cluster!$F$29:$F$412,0),24),INDEX(Cluster!$D$29:$AA$412,MATCH(BV267,Cluster!$F$29:$F$412,0),24)),Cluster!AC:AC,0),2),"-")</f>
        <v>-</v>
      </c>
      <c r="CE267" s="378" t="str">
        <f ca="1">IFERROR(IF(BV267&lt;&gt;"-",Calculation!$AK$6,"-"),"-")</f>
        <v>-</v>
      </c>
      <c r="CF267" s="378" t="str">
        <f ca="1">IF(OR(LEFT(ListAndConversion!BW267,3)="Dil",LEFT(ListAndConversion!BW267,3)="Poo"),ListAndConversion!$BT$4,IF(LEFT(ListAndConversion!BW267,3)="Sou",INDEX(ListAndConversion!$AT$3:$AV$387,MATCH(ListAndConversion!BV267,ListAndConversion!$AV$3:$AV$387,0),1),"-"))</f>
        <v>-</v>
      </c>
      <c r="CG267" s="498" t="str">
        <f ca="1">IF(OR(LEFT(ListAndConversion!BW267,3)="Dil",LEFT(ListAndConversion!BW267,3)="Poo"),ListAndConversion!BU267,IF(LEFT(ListAndConversion!BW267,3)="Sou",INDEX(ListAndConversion!$AT$4:$AV$387,MATCH(ListAndConversion!BV267,ListAndConversion!$AV$4:$AV$387,0),2),"-"))</f>
        <v>-</v>
      </c>
      <c r="CH267" s="378"/>
      <c r="CI267" s="487" t="str">
        <f t="shared" ca="1" si="151"/>
        <v>-</v>
      </c>
      <c r="CJ267" s="378" t="str">
        <f t="shared" ca="1" si="154"/>
        <v>-</v>
      </c>
      <c r="CK267" s="378" t="str">
        <f t="shared" ca="1" si="154"/>
        <v>-</v>
      </c>
      <c r="CL267" s="378" t="str">
        <f t="shared" ca="1" si="154"/>
        <v>-</v>
      </c>
      <c r="CM267" s="378" t="str">
        <f t="shared" ca="1" si="154"/>
        <v>-</v>
      </c>
      <c r="CN267" s="378" t="str">
        <f t="shared" ca="1" si="154"/>
        <v>-</v>
      </c>
      <c r="CO267" s="378" t="str">
        <f t="shared" ca="1" si="154"/>
        <v>-</v>
      </c>
      <c r="CP267" s="378" t="str">
        <f t="shared" ca="1" si="154"/>
        <v>-</v>
      </c>
      <c r="CQ267" s="378" t="str">
        <f t="shared" ca="1" si="154"/>
        <v>-</v>
      </c>
      <c r="CR267" s="510" t="str">
        <f ca="1">IFERROR(IF(LEFT(BW267,3)="Poo",INDEX($BE$4:$BJ$99,MATCH(CI267,$BG$4:$BG$99,0),6)*((15/50))*Calculation!$AK$6,INDEX(Calculation_Tab,MATCH(BV267,Identifier,0),10)/(IF(LEN(INDEX(Calculation_Tab,MATCH(BV267,Identifier,0),9))&gt;8,LEN(INDEX(Calculation_Tab,MATCH(BV267,Identifier,0),9))-8,1))*((15/50)*Calculation!$AK$6)),"-")</f>
        <v>-</v>
      </c>
      <c r="CS267" s="498" t="str">
        <f ca="1">IF(CI267="-","-",IF(COUNTIF($CI$3:CI267,CI267)&gt;1,0,IFERROR((35/50)*Calculation!$AK$6,"-")))</f>
        <v>-</v>
      </c>
    </row>
    <row r="268" spans="4:97" x14ac:dyDescent="0.5">
      <c r="D268" s="487" t="e">
        <f t="shared" si="137"/>
        <v>#DIV/0!</v>
      </c>
      <c r="E268" s="496" t="e">
        <f t="array" ref="E268">IF(IF((ROW(E268)-3)&lt;(ListAndConversion!$A$15),INDEX(Flow_Cell_Lane,MIN(IF(COUNTIF($E$2:E267,Flow_Cell_Lane)=0,ROW(Flow_Cell_Lane)-9))),"-")="","-",IF((ROW(E268)-3)&lt;(ListAndConversion!$A$15),INDEX(Flow_Cell_Lane,MIN(IF(COUNTIF($E$2:E267,Flow_Cell_Lane)=0,ROW(Flow_Cell_Lane)-9))),"-"))</f>
        <v>#DIV/0!</v>
      </c>
      <c r="F268" s="378" t="e">
        <f t="shared" si="138"/>
        <v>#DIV/0!</v>
      </c>
      <c r="G268" s="378" t="e">
        <f t="shared" si="153"/>
        <v>#DIV/0!</v>
      </c>
      <c r="H268" s="378" t="e">
        <f t="shared" si="153"/>
        <v>#DIV/0!</v>
      </c>
      <c r="I268" s="378" t="e">
        <f t="shared" si="153"/>
        <v>#DIV/0!</v>
      </c>
      <c r="J268" s="378" t="e">
        <f t="shared" si="153"/>
        <v>#DIV/0!</v>
      </c>
      <c r="K268" s="378" t="e">
        <f t="shared" si="153"/>
        <v>#DIV/0!</v>
      </c>
      <c r="L268" s="378" t="e">
        <f t="shared" si="153"/>
        <v>#DIV/0!</v>
      </c>
      <c r="M268" s="378" t="e">
        <f t="shared" si="153"/>
        <v>#DIV/0!</v>
      </c>
      <c r="N268" s="497" t="e">
        <f t="shared" si="139"/>
        <v>#DIV/0!</v>
      </c>
      <c r="O268" s="497" t="str">
        <f t="array" ref="O268">IFERROR(INDEX(Calculation!I:AN,MATCH(ListAndConversion!E268,Calculation!I:I,0),31),"-")</f>
        <v>-</v>
      </c>
      <c r="P268" s="498">
        <f>IF(COUNTIFS(Calculation!$I$10:$I$393,E268,Direct_Denaturation,"-")&lt;&gt;1,COUNTIFS(Calculation!$I$10:$I$393,E268,Direct_Denaturation,"-"),0)</f>
        <v>0</v>
      </c>
      <c r="V268" s="542" t="s">
        <v>82</v>
      </c>
      <c r="W268" s="542" t="s">
        <v>82</v>
      </c>
      <c r="X268" s="542" t="s">
        <v>82</v>
      </c>
      <c r="Y268" s="542" t="s">
        <v>82</v>
      </c>
      <c r="Z268" s="542" t="s">
        <v>82</v>
      </c>
      <c r="AA268" s="542" t="s">
        <v>82</v>
      </c>
      <c r="AB268" s="542" t="s">
        <v>82</v>
      </c>
      <c r="AC268" s="542" t="s">
        <v>82</v>
      </c>
      <c r="AD268" s="542" t="s">
        <v>82</v>
      </c>
      <c r="AE268" s="542" t="s">
        <v>82</v>
      </c>
      <c r="AF268" s="542" t="s">
        <v>82</v>
      </c>
      <c r="AG268" s="542" t="s">
        <v>82</v>
      </c>
      <c r="AH268" s="9"/>
      <c r="AI268" s="487">
        <v>265</v>
      </c>
      <c r="AJ268" s="497" t="s">
        <v>162</v>
      </c>
      <c r="AK268" s="378">
        <v>73</v>
      </c>
      <c r="AL268" s="378" t="str">
        <f t="shared" ca="1" si="140"/>
        <v>-</v>
      </c>
      <c r="AM268" s="378" t="str">
        <f t="array" aca="1" ref="AM268" ca="1">IFERROR(IF(AI268&lt;=$AB$2,"-",INDEX(Calculation_Tab,SMALL(ROW(Main_Dil)*(Main_Dil&lt;&gt;"-"),COUNTIF(Main_Dil,"-")+ROW()-3-$AB$2)-9,5)),"-")</f>
        <v>-</v>
      </c>
      <c r="AN268" s="378" t="str">
        <f t="array" aca="1" ref="AN268" ca="1">IFERROR(IF(AI268&lt;=$AB$2,"-",INDEX($A$3:$B$12,MATCH(INDEX(Calculation_Tab,SMALL(ROW(Main_Dil)*(Main_Dil&lt;&gt;"-"),COUNTIF(Main_Dil,"-")+ROW()-3-$AB$2)-9,5),$A$3:$A$12,0),2)),"-")</f>
        <v>-</v>
      </c>
      <c r="AO268" s="378" t="str">
        <f t="array" aca="1" ref="AO268" ca="1">IFERROR(IF(AI268&lt;=$AB$2,"-",INDEX(Coordinate,MATCH(INDEX(Calculation_Tab,SMALL(ROW(Main_Dil)*(Main_Dil&lt;&gt;"-"),COUNTIF(Main_Dil,"-")+ROW()-3-$AB$2)-9,6),$X$4:$X$99,0),2)),"-")</f>
        <v>-</v>
      </c>
      <c r="AP268" s="510" t="str">
        <f t="array" aca="1" ref="AP268" ca="1">IFERROR(IF(AI268&lt;=$AB$2,"-",INDEX(Calculation_Tab,SMALL(ROW(Main_Dil)*(Main_Dil&lt;&gt;"-"),COUNTIF(Main_Dil,"-")+ROW()-3-$AB$2)-9,21)),"-")</f>
        <v>-</v>
      </c>
      <c r="AQ268" s="511" t="str">
        <f t="array" aca="1" ref="AQ268" ca="1">IFERROR(IF(AI268&lt;=$AB$2,"-",INDEX(Calculation_Tab,SMALL(ROW(Main_Dil)*(Main_Dil&lt;&gt;"-"),COUNTIF(Main_Dil,"-")+ROW()-3-$AB$2)-9,22)),"-")</f>
        <v>-</v>
      </c>
      <c r="AR268" s="487" t="str">
        <f t="shared" ca="1" si="141"/>
        <v>-</v>
      </c>
      <c r="AS268" s="378">
        <v>265</v>
      </c>
      <c r="AT268" s="497" t="s">
        <v>162</v>
      </c>
      <c r="AU268" s="498">
        <v>73</v>
      </c>
      <c r="AV268" s="378" t="str">
        <f t="shared" ca="1" si="142"/>
        <v>-</v>
      </c>
      <c r="AW268" s="378" t="str">
        <f t="array" aca="1" ref="AW268" ca="1">IFERROR(IF(AS268&lt;=$AB$2+$AN$2,"-",INDEX(Calculation_Tab,SMALL(ROW(Direct_Denaturation)*(Direct_Denaturation&lt;&gt;"-"),COUNTIF(Direct_Denaturation,"-")+ROW()-3-$AB$2-$AN$2)-9,5)),"-")</f>
        <v>-</v>
      </c>
      <c r="AX268" s="378" t="str">
        <f t="array" aca="1" ref="AX268" ca="1">IFERROR(IF(AS268&lt;=$AB$2+$AN$2,"-",INDEX($A$3:$B$12,MATCH(INDEX(Calculation_Tab,SMALL(ROW(Direct_Denaturation)*(Direct_Denaturation&lt;&gt;"-"),COUNTIF(Direct_Denaturation,"-")+ROW()-3-$AB$2-$AN$2)-9,5),$A$3:$A$12,0),2)),"-")</f>
        <v>-</v>
      </c>
      <c r="AY268" s="378" t="str">
        <f t="array" aca="1" ref="AY268" ca="1">IFERROR(IF(AS268&lt;=$AB$2+$AN$2,"-",INDEX(Coordinate,MATCH(INDEX(Calculation_Tab,SMALL(ROW(Direct_Denaturation)*(Direct_Denaturation&lt;&gt;"-"),COUNTIF(Direct_Denaturation,"-")+ROW()-3-$AB$2-$AN$2)-9,6),$X$4:$X$99,0),2)),"-")</f>
        <v>-</v>
      </c>
      <c r="AZ268" s="510" t="str">
        <f t="array" aca="1" ref="AZ268" ca="1">IFERROR(IF(AS268&lt;=$AB$2+$AN$2,"-",INDEX(Calculation_Tab,SMALL(ROW(Direct_Denaturation)*(Direct_Denaturation&lt;&gt;"-"),COUNTIF(Direct_Denaturation,"-")+ROW()-3-$AB$2-$AN$2)-9,32)),"-")</f>
        <v>-</v>
      </c>
      <c r="BA268" s="510" t="str">
        <f t="array" aca="1" ref="BA268" ca="1">IFERROR(IF(AS268&lt;=$AB$2+$AN$2,"-",INDEX(Calculation_Tab,SMALL(ROW(Direct_Denaturation)*(Direct_Denaturation&lt;&gt;"-"),COUNTIF(Direct_Denaturation,"-")+ROW()-3-$AB$2-$AN$2)-9,34)),"-")</f>
        <v>-</v>
      </c>
      <c r="BB268" s="510" t="str">
        <f t="array" aca="1" ref="BB268" ca="1">IFERROR(IF(AS268&lt;=$AB$2+$AN$2,"-",INDEX(Calculation_Tab,SMALL(ROW(Direct_Denaturation)*(Direct_Denaturation&lt;&gt;"-"),COUNTIF(Direct_Denaturation,"-")+ROW()-3-$AB$2-$AN$2)-9,33)),"-")</f>
        <v>-</v>
      </c>
      <c r="BC268" s="510" t="str">
        <f t="array" aca="1" ref="BC268" ca="1">IFERROR(IF(AS268&lt;=$AB$2+$AN$2,"-",INDEX(Calculation_Tab,SMALL(ROW(Direct_Denaturation)*(Direct_Denaturation&lt;&gt;"-"),COUNTIF(Direct_Denaturation,"-")+ROW()-3-$AB$2-$AN$2)-9,35)),"-")</f>
        <v>-</v>
      </c>
      <c r="BD268" s="511" t="str">
        <f t="shared" ca="1" si="143"/>
        <v>-</v>
      </c>
      <c r="BK268" s="542" t="s">
        <v>82</v>
      </c>
      <c r="BL268" s="542" t="s">
        <v>82</v>
      </c>
      <c r="BM268" s="487" t="str">
        <f t="array" aca="1" ref="BM268" ca="1">IFERROR(INDEX(Calculation_Tab,SMALL(ROW(ToPool)*(ToPool&lt;&gt;"-"),COUNTIF(ToPool,"-")+ROW()-3)-9,3),"-")</f>
        <v>-</v>
      </c>
      <c r="BN268" s="378" t="str">
        <f t="shared" ca="1" si="144"/>
        <v>-</v>
      </c>
      <c r="BO268" s="378" t="str">
        <f t="shared" ca="1" si="145"/>
        <v>-</v>
      </c>
      <c r="BP268" s="523" t="str">
        <f t="shared" ca="1" si="146"/>
        <v>-</v>
      </c>
      <c r="BQ268" s="378" t="str">
        <f t="array" aca="1" ref="BQ268" ca="1">IFERROR(INDEX(BE:BG,MATCH(INDEX(Calculation_Tab,SMALL(ROW(ToPool)*(ToPool&lt;&gt;"-"),COUNTIF(ToPool,"-")+ROW()-3)-9,9),BG:BG,0),2),"-")</f>
        <v>-</v>
      </c>
      <c r="BR268" s="510" t="str">
        <f t="shared" ca="1" si="147"/>
        <v>-</v>
      </c>
      <c r="BS268" s="511" t="str">
        <f t="shared" ca="1" si="148"/>
        <v>-</v>
      </c>
      <c r="BT268" s="543" t="s">
        <v>82</v>
      </c>
      <c r="BU268" s="487" t="str">
        <f t="shared" ca="1" si="152"/>
        <v>-</v>
      </c>
      <c r="BV268" s="487" t="str">
        <f t="array" aca="1" ref="BV26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68" s="378" t="str">
        <f t="shared" ca="1" si="149"/>
        <v>-</v>
      </c>
      <c r="BX268" s="378" t="str">
        <f t="shared" ca="1" si="150"/>
        <v>-</v>
      </c>
      <c r="BY268" s="510" t="str">
        <f ca="1">IFERROR(ROUND(INDEX(Cluster,MATCH(IF(LEFT(BV268,4)="Pool",INDEX(Cluster,MATCH(INDEX(Calculation_Tab,MATCH(INDEX($BE$4:$BJ$99,MATCH(BV268,$BE$4:$BE$99,0),3),Flow_Cell_Lane,0),3),Cluster!$F$29:$F$412,0),6),BV268),Identifier_Cluster,0),19)*IF(LEFT(BV268,4)="pool",IF(LEN(INDEX($BE$4:$BJ$99,MATCH(BV268,$BE$4:$BE$99,0),3))=10,2,IF(LEN(INDEX($BE$4:$BJ$99,MATCH(BV268,$BE$4:$BE$99,0),3))&gt;10,LEN(INDEX($BE$4:$BJ$99,MATCH(BV268,$BE$4:$BE$99,0),3))-8,1)),1)*IF(LEFT(BV268,4)="pool",IF(INDEX($BE$4:$BJ$99,MATCH(BV268,$BE$4:$BE$99,0),6)&lt;1,1,INDEX($BE$4:$BJ$99,MATCH(BV268,$BE$4:$BE$99,0),6)),INDEX(Calculation_Tab,MATCH(BV268,Identifier,0),10)),1)*(1+Calculation!$Q$6),"-")</f>
        <v>-</v>
      </c>
      <c r="BZ268" s="378" t="str">
        <f ca="1">IFERROR((0.5/50)*CE268/Calculation!$AG$6*(IF(LEFT(BV268,4)="Pool",IF(LEN(INDEX($BE$4:$BJ$99,MATCH(BV268,$BE$4:$BE$99,0),3))=10,2,IF(LEN(INDEX($BE$4:$BJ$99,MATCH(BV268,$BE$4:$BE$99,0),3))&gt;10,LEN(INDEX($BE$4:$BJ$99,MATCH(BV268,$BE$4:$BE$99,0),3))-8,1)),IF(INDEX(Calculation_Tab,MATCH(BV268,Identifier,0),10)&gt;1,INDEX(Calculation_Tab,MATCH(BV268,Identifier,0),10),1)))*(1+Calculation!$Q$6),"-")</f>
        <v>-</v>
      </c>
      <c r="CA268" s="510" t="str">
        <f ca="1">IFERROR(IF((BZ268*Calculation!$AG$6/0.05)-SUM(BY268:BZ268,CC268)&gt;0,(BZ268*Calculation!$AG$6/0.05)-SUM(BY268:BZ268,CC268),0),"-")</f>
        <v>-</v>
      </c>
      <c r="CB268" s="510" t="str">
        <f ca="1">IFERROR(5/50*CE268*(IF(LEFT(BV268,4)="Pool",IF(LEN(INDEX($BE$4:$BJ$99,MATCH(BV268,$BE$4:$BE$99,0),3))=10,2,IF(LEN(INDEX($BE$4:$BJ$99,MATCH(BV268,$BE$4:$BE$99,0),3))&gt;10,LEN(INDEX($BE$4:$BJ$99,MATCH(BV268,$BE$4:$BE$99,0),3))-8,1)),IF(INDEX(Calculation_Tab,MATCH(BV268,Identifier,0),10)&gt;1,INDEX(Calculation_Tab,MATCH(BV268,Identifier,0),10),1)))*(1+Calculation!$Q$6),"-")</f>
        <v>-</v>
      </c>
      <c r="CC268" s="508" t="str">
        <f ca="1">IFERROR(ROUND(INDEX(Cluster,MATCH(IF(LEFT(BV268,4)="Pool",INDEX(Cluster,MATCH(INDEX(Calculation_Tab,MATCH(INDEX($BE$4:$BJ$99,MATCH(BV268,$BE$4:$BE$99,0),3),Flow_Cell_Lane,0),3),Cluster!$F$29:$F$412,0),6),BV268),Identifier_Cluster,0),20)*IF(LEFT(BV268,4)="pool",IF(LEN(INDEX($BE$4:$BJ$99,MATCH(BV268,$BE$4:$BE$99,0),3))=10,2,IF(LEN(INDEX($BE$4:$BJ$99,MATCH(BV268,$BE$4:$BE$99,0),3))&gt;10,LEN(INDEX($BE$4:$BJ$99,MATCH(BV268,$BE$4:$BE$99,0),3))-8,1)),1)*IF(LEFT(BV268,4)="pool",IF(INDEX($BE$4:$BJ$99,MATCH(BV268,$BE$4:$BE$99,0),6)&lt;1,1,INDEX($BE$4:$BJ$99,MATCH(BV268,$BE$4:$BE$99,0),6)),INDEX(Calculation_Tab,MATCH(BV268,Identifier,0),10)),1)*(1+Calculation!$Q$6),"-")</f>
        <v>-</v>
      </c>
      <c r="CD268" s="509" t="str">
        <f ca="1">IFERROR(INDEX(Cluster!AC:AD,MATCH(IF(LEFT(BV268,4)="Pool",INDEX(Cluster!$D$29:$AA$412,MATCH(INDEX(Calculation_Tab,MATCH(INDEX($BE$4:$BJ$99,MATCH(BV268,$BE$4:$BE$99,0),3),Flow_Cell_Lane,0),3),Cluster!$F$29:$F$412,0),24),INDEX(Cluster!$D$29:$AA$412,MATCH(BV268,Cluster!$F$29:$F$412,0),24)),Cluster!AC:AC,0),2),"-")</f>
        <v>-</v>
      </c>
      <c r="CE268" s="378" t="str">
        <f ca="1">IFERROR(IF(BV268&lt;&gt;"-",Calculation!$AK$6,"-"),"-")</f>
        <v>-</v>
      </c>
      <c r="CF268" s="378" t="str">
        <f ca="1">IF(OR(LEFT(ListAndConversion!BW268,3)="Dil",LEFT(ListAndConversion!BW268,3)="Poo"),ListAndConversion!$BT$4,IF(LEFT(ListAndConversion!BW268,3)="Sou",INDEX(ListAndConversion!$AT$3:$AV$387,MATCH(ListAndConversion!BV268,ListAndConversion!$AV$3:$AV$387,0),1),"-"))</f>
        <v>-</v>
      </c>
      <c r="CG268" s="498" t="str">
        <f ca="1">IF(OR(LEFT(ListAndConversion!BW268,3)="Dil",LEFT(ListAndConversion!BW268,3)="Poo"),ListAndConversion!BU268,IF(LEFT(ListAndConversion!BW268,3)="Sou",INDEX(ListAndConversion!$AT$4:$AV$387,MATCH(ListAndConversion!BV268,ListAndConversion!$AV$4:$AV$387,0),2),"-"))</f>
        <v>-</v>
      </c>
      <c r="CH268" s="378"/>
      <c r="CI268" s="487" t="str">
        <f t="shared" ca="1" si="151"/>
        <v>-</v>
      </c>
      <c r="CJ268" s="378" t="str">
        <f t="shared" ca="1" si="154"/>
        <v>-</v>
      </c>
      <c r="CK268" s="378" t="str">
        <f t="shared" ca="1" si="154"/>
        <v>-</v>
      </c>
      <c r="CL268" s="378" t="str">
        <f t="shared" ca="1" si="154"/>
        <v>-</v>
      </c>
      <c r="CM268" s="378" t="str">
        <f t="shared" ca="1" si="154"/>
        <v>-</v>
      </c>
      <c r="CN268" s="378" t="str">
        <f t="shared" ca="1" si="154"/>
        <v>-</v>
      </c>
      <c r="CO268" s="378" t="str">
        <f t="shared" ca="1" si="154"/>
        <v>-</v>
      </c>
      <c r="CP268" s="378" t="str">
        <f t="shared" ca="1" si="154"/>
        <v>-</v>
      </c>
      <c r="CQ268" s="378" t="str">
        <f t="shared" ca="1" si="154"/>
        <v>-</v>
      </c>
      <c r="CR268" s="510" t="str">
        <f ca="1">IFERROR(IF(LEFT(BW268,3)="Poo",INDEX($BE$4:$BJ$99,MATCH(CI268,$BG$4:$BG$99,0),6)*((15/50))*Calculation!$AK$6,INDEX(Calculation_Tab,MATCH(BV268,Identifier,0),10)/(IF(LEN(INDEX(Calculation_Tab,MATCH(BV268,Identifier,0),9))&gt;8,LEN(INDEX(Calculation_Tab,MATCH(BV268,Identifier,0),9))-8,1))*((15/50)*Calculation!$AK$6)),"-")</f>
        <v>-</v>
      </c>
      <c r="CS268" s="498" t="str">
        <f ca="1">IF(CI268="-","-",IF(COUNTIF($CI$3:CI268,CI268)&gt;1,0,IFERROR((35/50)*Calculation!$AK$6,"-")))</f>
        <v>-</v>
      </c>
    </row>
    <row r="269" spans="4:97" x14ac:dyDescent="0.5">
      <c r="D269" s="487" t="e">
        <f t="shared" si="137"/>
        <v>#DIV/0!</v>
      </c>
      <c r="E269" s="496" t="e">
        <f t="array" ref="E269">IF(IF((ROW(E269)-3)&lt;(ListAndConversion!$A$15),INDEX(Flow_Cell_Lane,MIN(IF(COUNTIF($E$2:E268,Flow_Cell_Lane)=0,ROW(Flow_Cell_Lane)-9))),"-")="","-",IF((ROW(E269)-3)&lt;(ListAndConversion!$A$15),INDEX(Flow_Cell_Lane,MIN(IF(COUNTIF($E$2:E268,Flow_Cell_Lane)=0,ROW(Flow_Cell_Lane)-9))),"-"))</f>
        <v>#DIV/0!</v>
      </c>
      <c r="F269" s="378" t="e">
        <f t="shared" si="138"/>
        <v>#DIV/0!</v>
      </c>
      <c r="G269" s="378" t="e">
        <f t="shared" si="153"/>
        <v>#DIV/0!</v>
      </c>
      <c r="H269" s="378" t="e">
        <f t="shared" si="153"/>
        <v>#DIV/0!</v>
      </c>
      <c r="I269" s="378" t="e">
        <f t="shared" si="153"/>
        <v>#DIV/0!</v>
      </c>
      <c r="J269" s="378" t="e">
        <f t="shared" si="153"/>
        <v>#DIV/0!</v>
      </c>
      <c r="K269" s="378" t="e">
        <f t="shared" si="153"/>
        <v>#DIV/0!</v>
      </c>
      <c r="L269" s="378" t="e">
        <f t="shared" si="153"/>
        <v>#DIV/0!</v>
      </c>
      <c r="M269" s="378" t="e">
        <f t="shared" si="153"/>
        <v>#DIV/0!</v>
      </c>
      <c r="N269" s="497" t="e">
        <f t="shared" si="139"/>
        <v>#DIV/0!</v>
      </c>
      <c r="O269" s="497" t="str">
        <f t="array" ref="O269">IFERROR(INDEX(Calculation!I:AN,MATCH(ListAndConversion!E269,Calculation!I:I,0),31),"-")</f>
        <v>-</v>
      </c>
      <c r="P269" s="498">
        <f>IF(COUNTIFS(Calculation!$I$10:$I$393,E269,Direct_Denaturation,"-")&lt;&gt;1,COUNTIFS(Calculation!$I$10:$I$393,E269,Direct_Denaturation,"-"),0)</f>
        <v>0</v>
      </c>
      <c r="V269" s="542" t="s">
        <v>82</v>
      </c>
      <c r="W269" s="542" t="s">
        <v>82</v>
      </c>
      <c r="X269" s="542" t="s">
        <v>82</v>
      </c>
      <c r="Y269" s="542" t="s">
        <v>82</v>
      </c>
      <c r="Z269" s="542" t="s">
        <v>82</v>
      </c>
      <c r="AA269" s="542" t="s">
        <v>82</v>
      </c>
      <c r="AB269" s="542" t="s">
        <v>82</v>
      </c>
      <c r="AC269" s="542" t="s">
        <v>82</v>
      </c>
      <c r="AD269" s="542" t="s">
        <v>82</v>
      </c>
      <c r="AE269" s="542" t="s">
        <v>82</v>
      </c>
      <c r="AF269" s="542" t="s">
        <v>82</v>
      </c>
      <c r="AG269" s="542" t="s">
        <v>82</v>
      </c>
      <c r="AH269" s="9"/>
      <c r="AI269" s="487">
        <v>266</v>
      </c>
      <c r="AJ269" s="497" t="s">
        <v>162</v>
      </c>
      <c r="AK269" s="378">
        <v>74</v>
      </c>
      <c r="AL269" s="378" t="str">
        <f t="shared" ca="1" si="140"/>
        <v>-</v>
      </c>
      <c r="AM269" s="378" t="str">
        <f t="array" aca="1" ref="AM269" ca="1">IFERROR(IF(AI269&lt;=$AB$2,"-",INDEX(Calculation_Tab,SMALL(ROW(Main_Dil)*(Main_Dil&lt;&gt;"-"),COUNTIF(Main_Dil,"-")+ROW()-3-$AB$2)-9,5)),"-")</f>
        <v>-</v>
      </c>
      <c r="AN269" s="378" t="str">
        <f t="array" aca="1" ref="AN269" ca="1">IFERROR(IF(AI269&lt;=$AB$2,"-",INDEX($A$3:$B$12,MATCH(INDEX(Calculation_Tab,SMALL(ROW(Main_Dil)*(Main_Dil&lt;&gt;"-"),COUNTIF(Main_Dil,"-")+ROW()-3-$AB$2)-9,5),$A$3:$A$12,0),2)),"-")</f>
        <v>-</v>
      </c>
      <c r="AO269" s="378" t="str">
        <f t="array" aca="1" ref="AO269" ca="1">IFERROR(IF(AI269&lt;=$AB$2,"-",INDEX(Coordinate,MATCH(INDEX(Calculation_Tab,SMALL(ROW(Main_Dil)*(Main_Dil&lt;&gt;"-"),COUNTIF(Main_Dil,"-")+ROW()-3-$AB$2)-9,6),$X$4:$X$99,0),2)),"-")</f>
        <v>-</v>
      </c>
      <c r="AP269" s="510" t="str">
        <f t="array" aca="1" ref="AP269" ca="1">IFERROR(IF(AI269&lt;=$AB$2,"-",INDEX(Calculation_Tab,SMALL(ROW(Main_Dil)*(Main_Dil&lt;&gt;"-"),COUNTIF(Main_Dil,"-")+ROW()-3-$AB$2)-9,21)),"-")</f>
        <v>-</v>
      </c>
      <c r="AQ269" s="511" t="str">
        <f t="array" aca="1" ref="AQ269" ca="1">IFERROR(IF(AI269&lt;=$AB$2,"-",INDEX(Calculation_Tab,SMALL(ROW(Main_Dil)*(Main_Dil&lt;&gt;"-"),COUNTIF(Main_Dil,"-")+ROW()-3-$AB$2)-9,22)),"-")</f>
        <v>-</v>
      </c>
      <c r="AR269" s="487" t="str">
        <f t="shared" ca="1" si="141"/>
        <v>-</v>
      </c>
      <c r="AS269" s="378">
        <v>266</v>
      </c>
      <c r="AT269" s="497" t="s">
        <v>162</v>
      </c>
      <c r="AU269" s="498">
        <v>74</v>
      </c>
      <c r="AV269" s="378" t="str">
        <f t="shared" ca="1" si="142"/>
        <v>-</v>
      </c>
      <c r="AW269" s="378" t="str">
        <f t="array" aca="1" ref="AW269" ca="1">IFERROR(IF(AS269&lt;=$AB$2+$AN$2,"-",INDEX(Calculation_Tab,SMALL(ROW(Direct_Denaturation)*(Direct_Denaturation&lt;&gt;"-"),COUNTIF(Direct_Denaturation,"-")+ROW()-3-$AB$2-$AN$2)-9,5)),"-")</f>
        <v>-</v>
      </c>
      <c r="AX269" s="378" t="str">
        <f t="array" aca="1" ref="AX269" ca="1">IFERROR(IF(AS269&lt;=$AB$2+$AN$2,"-",INDEX($A$3:$B$12,MATCH(INDEX(Calculation_Tab,SMALL(ROW(Direct_Denaturation)*(Direct_Denaturation&lt;&gt;"-"),COUNTIF(Direct_Denaturation,"-")+ROW()-3-$AB$2-$AN$2)-9,5),$A$3:$A$12,0),2)),"-")</f>
        <v>-</v>
      </c>
      <c r="AY269" s="378" t="str">
        <f t="array" aca="1" ref="AY269" ca="1">IFERROR(IF(AS269&lt;=$AB$2+$AN$2,"-",INDEX(Coordinate,MATCH(INDEX(Calculation_Tab,SMALL(ROW(Direct_Denaturation)*(Direct_Denaturation&lt;&gt;"-"),COUNTIF(Direct_Denaturation,"-")+ROW()-3-$AB$2-$AN$2)-9,6),$X$4:$X$99,0),2)),"-")</f>
        <v>-</v>
      </c>
      <c r="AZ269" s="510" t="str">
        <f t="array" aca="1" ref="AZ269" ca="1">IFERROR(IF(AS269&lt;=$AB$2+$AN$2,"-",INDEX(Calculation_Tab,SMALL(ROW(Direct_Denaturation)*(Direct_Denaturation&lt;&gt;"-"),COUNTIF(Direct_Denaturation,"-")+ROW()-3-$AB$2-$AN$2)-9,32)),"-")</f>
        <v>-</v>
      </c>
      <c r="BA269" s="510" t="str">
        <f t="array" aca="1" ref="BA269" ca="1">IFERROR(IF(AS269&lt;=$AB$2+$AN$2,"-",INDEX(Calculation_Tab,SMALL(ROW(Direct_Denaturation)*(Direct_Denaturation&lt;&gt;"-"),COUNTIF(Direct_Denaturation,"-")+ROW()-3-$AB$2-$AN$2)-9,34)),"-")</f>
        <v>-</v>
      </c>
      <c r="BB269" s="510" t="str">
        <f t="array" aca="1" ref="BB269" ca="1">IFERROR(IF(AS269&lt;=$AB$2+$AN$2,"-",INDEX(Calculation_Tab,SMALL(ROW(Direct_Denaturation)*(Direct_Denaturation&lt;&gt;"-"),COUNTIF(Direct_Denaturation,"-")+ROW()-3-$AB$2-$AN$2)-9,33)),"-")</f>
        <v>-</v>
      </c>
      <c r="BC269" s="510" t="str">
        <f t="array" aca="1" ref="BC269" ca="1">IFERROR(IF(AS269&lt;=$AB$2+$AN$2,"-",INDEX(Calculation_Tab,SMALL(ROW(Direct_Denaturation)*(Direct_Denaturation&lt;&gt;"-"),COUNTIF(Direct_Denaturation,"-")+ROW()-3-$AB$2-$AN$2)-9,35)),"-")</f>
        <v>-</v>
      </c>
      <c r="BD269" s="511" t="str">
        <f t="shared" ca="1" si="143"/>
        <v>-</v>
      </c>
      <c r="BK269" s="542" t="s">
        <v>82</v>
      </c>
      <c r="BL269" s="542" t="s">
        <v>82</v>
      </c>
      <c r="BM269" s="487" t="str">
        <f t="array" aca="1" ref="BM269" ca="1">IFERROR(INDEX(Calculation_Tab,SMALL(ROW(ToPool)*(ToPool&lt;&gt;"-"),COUNTIF(ToPool,"-")+ROW()-3)-9,3),"-")</f>
        <v>-</v>
      </c>
      <c r="BN269" s="378" t="str">
        <f t="shared" ca="1" si="144"/>
        <v>-</v>
      </c>
      <c r="BO269" s="378" t="str">
        <f t="shared" ca="1" si="145"/>
        <v>-</v>
      </c>
      <c r="BP269" s="523" t="str">
        <f t="shared" ca="1" si="146"/>
        <v>-</v>
      </c>
      <c r="BQ269" s="378" t="str">
        <f t="array" aca="1" ref="BQ269" ca="1">IFERROR(INDEX(BE:BG,MATCH(INDEX(Calculation_Tab,SMALL(ROW(ToPool)*(ToPool&lt;&gt;"-"),COUNTIF(ToPool,"-")+ROW()-3)-9,9),BG:BG,0),2),"-")</f>
        <v>-</v>
      </c>
      <c r="BR269" s="510" t="str">
        <f t="shared" ca="1" si="147"/>
        <v>-</v>
      </c>
      <c r="BS269" s="511" t="str">
        <f t="shared" ca="1" si="148"/>
        <v>-</v>
      </c>
      <c r="BT269" s="543" t="s">
        <v>82</v>
      </c>
      <c r="BU269" s="487" t="str">
        <f t="shared" ca="1" si="152"/>
        <v>-</v>
      </c>
      <c r="BV269" s="487" t="str">
        <f t="array" aca="1" ref="BV26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69" s="378" t="str">
        <f t="shared" ca="1" si="149"/>
        <v>-</v>
      </c>
      <c r="BX269" s="378" t="str">
        <f t="shared" ca="1" si="150"/>
        <v>-</v>
      </c>
      <c r="BY269" s="510" t="str">
        <f ca="1">IFERROR(ROUND(INDEX(Cluster,MATCH(IF(LEFT(BV269,4)="Pool",INDEX(Cluster,MATCH(INDEX(Calculation_Tab,MATCH(INDEX($BE$4:$BJ$99,MATCH(BV269,$BE$4:$BE$99,0),3),Flow_Cell_Lane,0),3),Cluster!$F$29:$F$412,0),6),BV269),Identifier_Cluster,0),19)*IF(LEFT(BV269,4)="pool",IF(LEN(INDEX($BE$4:$BJ$99,MATCH(BV269,$BE$4:$BE$99,0),3))=10,2,IF(LEN(INDEX($BE$4:$BJ$99,MATCH(BV269,$BE$4:$BE$99,0),3))&gt;10,LEN(INDEX($BE$4:$BJ$99,MATCH(BV269,$BE$4:$BE$99,0),3))-8,1)),1)*IF(LEFT(BV269,4)="pool",IF(INDEX($BE$4:$BJ$99,MATCH(BV269,$BE$4:$BE$99,0),6)&lt;1,1,INDEX($BE$4:$BJ$99,MATCH(BV269,$BE$4:$BE$99,0),6)),INDEX(Calculation_Tab,MATCH(BV269,Identifier,0),10)),1)*(1+Calculation!$Q$6),"-")</f>
        <v>-</v>
      </c>
      <c r="BZ269" s="378" t="str">
        <f ca="1">IFERROR((0.5/50)*CE269/Calculation!$AG$6*(IF(LEFT(BV269,4)="Pool",IF(LEN(INDEX($BE$4:$BJ$99,MATCH(BV269,$BE$4:$BE$99,0),3))=10,2,IF(LEN(INDEX($BE$4:$BJ$99,MATCH(BV269,$BE$4:$BE$99,0),3))&gt;10,LEN(INDEX($BE$4:$BJ$99,MATCH(BV269,$BE$4:$BE$99,0),3))-8,1)),IF(INDEX(Calculation_Tab,MATCH(BV269,Identifier,0),10)&gt;1,INDEX(Calculation_Tab,MATCH(BV269,Identifier,0),10),1)))*(1+Calculation!$Q$6),"-")</f>
        <v>-</v>
      </c>
      <c r="CA269" s="510" t="str">
        <f ca="1">IFERROR(IF((BZ269*Calculation!$AG$6/0.05)-SUM(BY269:BZ269,CC269)&gt;0,(BZ269*Calculation!$AG$6/0.05)-SUM(BY269:BZ269,CC269),0),"-")</f>
        <v>-</v>
      </c>
      <c r="CB269" s="510" t="str">
        <f ca="1">IFERROR(5/50*CE269*(IF(LEFT(BV269,4)="Pool",IF(LEN(INDEX($BE$4:$BJ$99,MATCH(BV269,$BE$4:$BE$99,0),3))=10,2,IF(LEN(INDEX($BE$4:$BJ$99,MATCH(BV269,$BE$4:$BE$99,0),3))&gt;10,LEN(INDEX($BE$4:$BJ$99,MATCH(BV269,$BE$4:$BE$99,0),3))-8,1)),IF(INDEX(Calculation_Tab,MATCH(BV269,Identifier,0),10)&gt;1,INDEX(Calculation_Tab,MATCH(BV269,Identifier,0),10),1)))*(1+Calculation!$Q$6),"-")</f>
        <v>-</v>
      </c>
      <c r="CC269" s="508" t="str">
        <f ca="1">IFERROR(ROUND(INDEX(Cluster,MATCH(IF(LEFT(BV269,4)="Pool",INDEX(Cluster,MATCH(INDEX(Calculation_Tab,MATCH(INDEX($BE$4:$BJ$99,MATCH(BV269,$BE$4:$BE$99,0),3),Flow_Cell_Lane,0),3),Cluster!$F$29:$F$412,0),6),BV269),Identifier_Cluster,0),20)*IF(LEFT(BV269,4)="pool",IF(LEN(INDEX($BE$4:$BJ$99,MATCH(BV269,$BE$4:$BE$99,0),3))=10,2,IF(LEN(INDEX($BE$4:$BJ$99,MATCH(BV269,$BE$4:$BE$99,0),3))&gt;10,LEN(INDEX($BE$4:$BJ$99,MATCH(BV269,$BE$4:$BE$99,0),3))-8,1)),1)*IF(LEFT(BV269,4)="pool",IF(INDEX($BE$4:$BJ$99,MATCH(BV269,$BE$4:$BE$99,0),6)&lt;1,1,INDEX($BE$4:$BJ$99,MATCH(BV269,$BE$4:$BE$99,0),6)),INDEX(Calculation_Tab,MATCH(BV269,Identifier,0),10)),1)*(1+Calculation!$Q$6),"-")</f>
        <v>-</v>
      </c>
      <c r="CD269" s="509" t="str">
        <f ca="1">IFERROR(INDEX(Cluster!AC:AD,MATCH(IF(LEFT(BV269,4)="Pool",INDEX(Cluster!$D$29:$AA$412,MATCH(INDEX(Calculation_Tab,MATCH(INDEX($BE$4:$BJ$99,MATCH(BV269,$BE$4:$BE$99,0),3),Flow_Cell_Lane,0),3),Cluster!$F$29:$F$412,0),24),INDEX(Cluster!$D$29:$AA$412,MATCH(BV269,Cluster!$F$29:$F$412,0),24)),Cluster!AC:AC,0),2),"-")</f>
        <v>-</v>
      </c>
      <c r="CE269" s="378" t="str">
        <f ca="1">IFERROR(IF(BV269&lt;&gt;"-",Calculation!$AK$6,"-"),"-")</f>
        <v>-</v>
      </c>
      <c r="CF269" s="378" t="str">
        <f ca="1">IF(OR(LEFT(ListAndConversion!BW269,3)="Dil",LEFT(ListAndConversion!BW269,3)="Poo"),ListAndConversion!$BT$4,IF(LEFT(ListAndConversion!BW269,3)="Sou",INDEX(ListAndConversion!$AT$3:$AV$387,MATCH(ListAndConversion!BV269,ListAndConversion!$AV$3:$AV$387,0),1),"-"))</f>
        <v>-</v>
      </c>
      <c r="CG269" s="498" t="str">
        <f ca="1">IF(OR(LEFT(ListAndConversion!BW269,3)="Dil",LEFT(ListAndConversion!BW269,3)="Poo"),ListAndConversion!BU269,IF(LEFT(ListAndConversion!BW269,3)="Sou",INDEX(ListAndConversion!$AT$4:$AV$387,MATCH(ListAndConversion!BV269,ListAndConversion!$AV$4:$AV$387,0),2),"-"))</f>
        <v>-</v>
      </c>
      <c r="CH269" s="378"/>
      <c r="CI269" s="487" t="str">
        <f t="shared" ca="1" si="151"/>
        <v>-</v>
      </c>
      <c r="CJ269" s="378" t="str">
        <f t="shared" ca="1" si="154"/>
        <v>-</v>
      </c>
      <c r="CK269" s="378" t="str">
        <f t="shared" ca="1" si="154"/>
        <v>-</v>
      </c>
      <c r="CL269" s="378" t="str">
        <f t="shared" ca="1" si="154"/>
        <v>-</v>
      </c>
      <c r="CM269" s="378" t="str">
        <f t="shared" ca="1" si="154"/>
        <v>-</v>
      </c>
      <c r="CN269" s="378" t="str">
        <f t="shared" ca="1" si="154"/>
        <v>-</v>
      </c>
      <c r="CO269" s="378" t="str">
        <f t="shared" ca="1" si="154"/>
        <v>-</v>
      </c>
      <c r="CP269" s="378" t="str">
        <f t="shared" ca="1" si="154"/>
        <v>-</v>
      </c>
      <c r="CQ269" s="378" t="str">
        <f t="shared" ca="1" si="154"/>
        <v>-</v>
      </c>
      <c r="CR269" s="510" t="str">
        <f ca="1">IFERROR(IF(LEFT(BW269,3)="Poo",INDEX($BE$4:$BJ$99,MATCH(CI269,$BG$4:$BG$99,0),6)*((15/50))*Calculation!$AK$6,INDEX(Calculation_Tab,MATCH(BV269,Identifier,0),10)/(IF(LEN(INDEX(Calculation_Tab,MATCH(BV269,Identifier,0),9))&gt;8,LEN(INDEX(Calculation_Tab,MATCH(BV269,Identifier,0),9))-8,1))*((15/50)*Calculation!$AK$6)),"-")</f>
        <v>-</v>
      </c>
      <c r="CS269" s="498" t="str">
        <f ca="1">IF(CI269="-","-",IF(COUNTIF($CI$3:CI269,CI269)&gt;1,0,IFERROR((35/50)*Calculation!$AK$6,"-")))</f>
        <v>-</v>
      </c>
    </row>
    <row r="270" spans="4:97" x14ac:dyDescent="0.5">
      <c r="D270" s="487" t="e">
        <f t="shared" si="137"/>
        <v>#DIV/0!</v>
      </c>
      <c r="E270" s="496" t="e">
        <f t="array" ref="E270">IF(IF((ROW(E270)-3)&lt;(ListAndConversion!$A$15),INDEX(Flow_Cell_Lane,MIN(IF(COUNTIF($E$2:E269,Flow_Cell_Lane)=0,ROW(Flow_Cell_Lane)-9))),"-")="","-",IF((ROW(E270)-3)&lt;(ListAndConversion!$A$15),INDEX(Flow_Cell_Lane,MIN(IF(COUNTIF($E$2:E269,Flow_Cell_Lane)=0,ROW(Flow_Cell_Lane)-9))),"-"))</f>
        <v>#DIV/0!</v>
      </c>
      <c r="F270" s="378" t="e">
        <f t="shared" si="138"/>
        <v>#DIV/0!</v>
      </c>
      <c r="G270" s="378" t="e">
        <f t="shared" si="153"/>
        <v>#DIV/0!</v>
      </c>
      <c r="H270" s="378" t="e">
        <f t="shared" si="153"/>
        <v>#DIV/0!</v>
      </c>
      <c r="I270" s="378" t="e">
        <f t="shared" si="153"/>
        <v>#DIV/0!</v>
      </c>
      <c r="J270" s="378" t="e">
        <f t="shared" si="153"/>
        <v>#DIV/0!</v>
      </c>
      <c r="K270" s="378" t="e">
        <f t="shared" si="153"/>
        <v>#DIV/0!</v>
      </c>
      <c r="L270" s="378" t="e">
        <f t="shared" si="153"/>
        <v>#DIV/0!</v>
      </c>
      <c r="M270" s="378" t="e">
        <f t="shared" si="153"/>
        <v>#DIV/0!</v>
      </c>
      <c r="N270" s="497" t="e">
        <f t="shared" si="139"/>
        <v>#DIV/0!</v>
      </c>
      <c r="O270" s="497" t="str">
        <f t="array" ref="O270">IFERROR(INDEX(Calculation!I:AN,MATCH(ListAndConversion!E270,Calculation!I:I,0),31),"-")</f>
        <v>-</v>
      </c>
      <c r="P270" s="498">
        <f>IF(COUNTIFS(Calculation!$I$10:$I$393,E270,Direct_Denaturation,"-")&lt;&gt;1,COUNTIFS(Calculation!$I$10:$I$393,E270,Direct_Denaturation,"-"),0)</f>
        <v>0</v>
      </c>
      <c r="V270" s="542" t="s">
        <v>82</v>
      </c>
      <c r="W270" s="542" t="s">
        <v>82</v>
      </c>
      <c r="X270" s="542" t="s">
        <v>82</v>
      </c>
      <c r="Y270" s="542" t="s">
        <v>82</v>
      </c>
      <c r="Z270" s="542" t="s">
        <v>82</v>
      </c>
      <c r="AA270" s="542" t="s">
        <v>82</v>
      </c>
      <c r="AB270" s="542" t="s">
        <v>82</v>
      </c>
      <c r="AC270" s="542" t="s">
        <v>82</v>
      </c>
      <c r="AD270" s="542" t="s">
        <v>82</v>
      </c>
      <c r="AE270" s="542" t="s">
        <v>82</v>
      </c>
      <c r="AF270" s="542" t="s">
        <v>82</v>
      </c>
      <c r="AG270" s="542" t="s">
        <v>82</v>
      </c>
      <c r="AH270" s="9"/>
      <c r="AI270" s="487">
        <v>267</v>
      </c>
      <c r="AJ270" s="497" t="s">
        <v>162</v>
      </c>
      <c r="AK270" s="378">
        <v>75</v>
      </c>
      <c r="AL270" s="378" t="str">
        <f t="shared" ca="1" si="140"/>
        <v>-</v>
      </c>
      <c r="AM270" s="378" t="str">
        <f t="array" aca="1" ref="AM270" ca="1">IFERROR(IF(AI270&lt;=$AB$2,"-",INDEX(Calculation_Tab,SMALL(ROW(Main_Dil)*(Main_Dil&lt;&gt;"-"),COUNTIF(Main_Dil,"-")+ROW()-3-$AB$2)-9,5)),"-")</f>
        <v>-</v>
      </c>
      <c r="AN270" s="378" t="str">
        <f t="array" aca="1" ref="AN270" ca="1">IFERROR(IF(AI270&lt;=$AB$2,"-",INDEX($A$3:$B$12,MATCH(INDEX(Calculation_Tab,SMALL(ROW(Main_Dil)*(Main_Dil&lt;&gt;"-"),COUNTIF(Main_Dil,"-")+ROW()-3-$AB$2)-9,5),$A$3:$A$12,0),2)),"-")</f>
        <v>-</v>
      </c>
      <c r="AO270" s="378" t="str">
        <f t="array" aca="1" ref="AO270" ca="1">IFERROR(IF(AI270&lt;=$AB$2,"-",INDEX(Coordinate,MATCH(INDEX(Calculation_Tab,SMALL(ROW(Main_Dil)*(Main_Dil&lt;&gt;"-"),COUNTIF(Main_Dil,"-")+ROW()-3-$AB$2)-9,6),$X$4:$X$99,0),2)),"-")</f>
        <v>-</v>
      </c>
      <c r="AP270" s="510" t="str">
        <f t="array" aca="1" ref="AP270" ca="1">IFERROR(IF(AI270&lt;=$AB$2,"-",INDEX(Calculation_Tab,SMALL(ROW(Main_Dil)*(Main_Dil&lt;&gt;"-"),COUNTIF(Main_Dil,"-")+ROW()-3-$AB$2)-9,21)),"-")</f>
        <v>-</v>
      </c>
      <c r="AQ270" s="511" t="str">
        <f t="array" aca="1" ref="AQ270" ca="1">IFERROR(IF(AI270&lt;=$AB$2,"-",INDEX(Calculation_Tab,SMALL(ROW(Main_Dil)*(Main_Dil&lt;&gt;"-"),COUNTIF(Main_Dil,"-")+ROW()-3-$AB$2)-9,22)),"-")</f>
        <v>-</v>
      </c>
      <c r="AR270" s="487" t="str">
        <f t="shared" ca="1" si="141"/>
        <v>-</v>
      </c>
      <c r="AS270" s="378">
        <v>267</v>
      </c>
      <c r="AT270" s="497" t="s">
        <v>162</v>
      </c>
      <c r="AU270" s="498">
        <v>75</v>
      </c>
      <c r="AV270" s="378" t="str">
        <f t="shared" ca="1" si="142"/>
        <v>-</v>
      </c>
      <c r="AW270" s="378" t="str">
        <f t="array" aca="1" ref="AW270" ca="1">IFERROR(IF(AS270&lt;=$AB$2+$AN$2,"-",INDEX(Calculation_Tab,SMALL(ROW(Direct_Denaturation)*(Direct_Denaturation&lt;&gt;"-"),COUNTIF(Direct_Denaturation,"-")+ROW()-3-$AB$2-$AN$2)-9,5)),"-")</f>
        <v>-</v>
      </c>
      <c r="AX270" s="378" t="str">
        <f t="array" aca="1" ref="AX270" ca="1">IFERROR(IF(AS270&lt;=$AB$2+$AN$2,"-",INDEX($A$3:$B$12,MATCH(INDEX(Calculation_Tab,SMALL(ROW(Direct_Denaturation)*(Direct_Denaturation&lt;&gt;"-"),COUNTIF(Direct_Denaturation,"-")+ROW()-3-$AB$2-$AN$2)-9,5),$A$3:$A$12,0),2)),"-")</f>
        <v>-</v>
      </c>
      <c r="AY270" s="378" t="str">
        <f t="array" aca="1" ref="AY270" ca="1">IFERROR(IF(AS270&lt;=$AB$2+$AN$2,"-",INDEX(Coordinate,MATCH(INDEX(Calculation_Tab,SMALL(ROW(Direct_Denaturation)*(Direct_Denaturation&lt;&gt;"-"),COUNTIF(Direct_Denaturation,"-")+ROW()-3-$AB$2-$AN$2)-9,6),$X$4:$X$99,0),2)),"-")</f>
        <v>-</v>
      </c>
      <c r="AZ270" s="510" t="str">
        <f t="array" aca="1" ref="AZ270" ca="1">IFERROR(IF(AS270&lt;=$AB$2+$AN$2,"-",INDEX(Calculation_Tab,SMALL(ROW(Direct_Denaturation)*(Direct_Denaturation&lt;&gt;"-"),COUNTIF(Direct_Denaturation,"-")+ROW()-3-$AB$2-$AN$2)-9,32)),"-")</f>
        <v>-</v>
      </c>
      <c r="BA270" s="510" t="str">
        <f t="array" aca="1" ref="BA270" ca="1">IFERROR(IF(AS270&lt;=$AB$2+$AN$2,"-",INDEX(Calculation_Tab,SMALL(ROW(Direct_Denaturation)*(Direct_Denaturation&lt;&gt;"-"),COUNTIF(Direct_Denaturation,"-")+ROW()-3-$AB$2-$AN$2)-9,34)),"-")</f>
        <v>-</v>
      </c>
      <c r="BB270" s="510" t="str">
        <f t="array" aca="1" ref="BB270" ca="1">IFERROR(IF(AS270&lt;=$AB$2+$AN$2,"-",INDEX(Calculation_Tab,SMALL(ROW(Direct_Denaturation)*(Direct_Denaturation&lt;&gt;"-"),COUNTIF(Direct_Denaturation,"-")+ROW()-3-$AB$2-$AN$2)-9,33)),"-")</f>
        <v>-</v>
      </c>
      <c r="BC270" s="510" t="str">
        <f t="array" aca="1" ref="BC270" ca="1">IFERROR(IF(AS270&lt;=$AB$2+$AN$2,"-",INDEX(Calculation_Tab,SMALL(ROW(Direct_Denaturation)*(Direct_Denaturation&lt;&gt;"-"),COUNTIF(Direct_Denaturation,"-")+ROW()-3-$AB$2-$AN$2)-9,35)),"-")</f>
        <v>-</v>
      </c>
      <c r="BD270" s="511" t="str">
        <f t="shared" ca="1" si="143"/>
        <v>-</v>
      </c>
      <c r="BK270" s="542" t="s">
        <v>82</v>
      </c>
      <c r="BL270" s="542" t="s">
        <v>82</v>
      </c>
      <c r="BM270" s="487" t="str">
        <f t="array" aca="1" ref="BM270" ca="1">IFERROR(INDEX(Calculation_Tab,SMALL(ROW(ToPool)*(ToPool&lt;&gt;"-"),COUNTIF(ToPool,"-")+ROW()-3)-9,3),"-")</f>
        <v>-</v>
      </c>
      <c r="BN270" s="378" t="str">
        <f t="shared" ca="1" si="144"/>
        <v>-</v>
      </c>
      <c r="BO270" s="378" t="str">
        <f t="shared" ca="1" si="145"/>
        <v>-</v>
      </c>
      <c r="BP270" s="523" t="str">
        <f t="shared" ca="1" si="146"/>
        <v>-</v>
      </c>
      <c r="BQ270" s="378" t="str">
        <f t="array" aca="1" ref="BQ270" ca="1">IFERROR(INDEX(BE:BG,MATCH(INDEX(Calculation_Tab,SMALL(ROW(ToPool)*(ToPool&lt;&gt;"-"),COUNTIF(ToPool,"-")+ROW()-3)-9,9),BG:BG,0),2),"-")</f>
        <v>-</v>
      </c>
      <c r="BR270" s="510" t="str">
        <f t="shared" ca="1" si="147"/>
        <v>-</v>
      </c>
      <c r="BS270" s="511" t="str">
        <f t="shared" ca="1" si="148"/>
        <v>-</v>
      </c>
      <c r="BT270" s="543" t="s">
        <v>82</v>
      </c>
      <c r="BU270" s="487" t="str">
        <f t="shared" ca="1" si="152"/>
        <v>-</v>
      </c>
      <c r="BV270" s="487" t="str">
        <f t="array" aca="1" ref="BV27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70" s="378" t="str">
        <f t="shared" ca="1" si="149"/>
        <v>-</v>
      </c>
      <c r="BX270" s="378" t="str">
        <f t="shared" ca="1" si="150"/>
        <v>-</v>
      </c>
      <c r="BY270" s="510" t="str">
        <f ca="1">IFERROR(ROUND(INDEX(Cluster,MATCH(IF(LEFT(BV270,4)="Pool",INDEX(Cluster,MATCH(INDEX(Calculation_Tab,MATCH(INDEX($BE$4:$BJ$99,MATCH(BV270,$BE$4:$BE$99,0),3),Flow_Cell_Lane,0),3),Cluster!$F$29:$F$412,0),6),BV270),Identifier_Cluster,0),19)*IF(LEFT(BV270,4)="pool",IF(LEN(INDEX($BE$4:$BJ$99,MATCH(BV270,$BE$4:$BE$99,0),3))=10,2,IF(LEN(INDEX($BE$4:$BJ$99,MATCH(BV270,$BE$4:$BE$99,0),3))&gt;10,LEN(INDEX($BE$4:$BJ$99,MATCH(BV270,$BE$4:$BE$99,0),3))-8,1)),1)*IF(LEFT(BV270,4)="pool",IF(INDEX($BE$4:$BJ$99,MATCH(BV270,$BE$4:$BE$99,0),6)&lt;1,1,INDEX($BE$4:$BJ$99,MATCH(BV270,$BE$4:$BE$99,0),6)),INDEX(Calculation_Tab,MATCH(BV270,Identifier,0),10)),1)*(1+Calculation!$Q$6),"-")</f>
        <v>-</v>
      </c>
      <c r="BZ270" s="378" t="str">
        <f ca="1">IFERROR((0.5/50)*CE270/Calculation!$AG$6*(IF(LEFT(BV270,4)="Pool",IF(LEN(INDEX($BE$4:$BJ$99,MATCH(BV270,$BE$4:$BE$99,0),3))=10,2,IF(LEN(INDEX($BE$4:$BJ$99,MATCH(BV270,$BE$4:$BE$99,0),3))&gt;10,LEN(INDEX($BE$4:$BJ$99,MATCH(BV270,$BE$4:$BE$99,0),3))-8,1)),IF(INDEX(Calculation_Tab,MATCH(BV270,Identifier,0),10)&gt;1,INDEX(Calculation_Tab,MATCH(BV270,Identifier,0),10),1)))*(1+Calculation!$Q$6),"-")</f>
        <v>-</v>
      </c>
      <c r="CA270" s="510" t="str">
        <f ca="1">IFERROR(IF((BZ270*Calculation!$AG$6/0.05)-SUM(BY270:BZ270,CC270)&gt;0,(BZ270*Calculation!$AG$6/0.05)-SUM(BY270:BZ270,CC270),0),"-")</f>
        <v>-</v>
      </c>
      <c r="CB270" s="510" t="str">
        <f ca="1">IFERROR(5/50*CE270*(IF(LEFT(BV270,4)="Pool",IF(LEN(INDEX($BE$4:$BJ$99,MATCH(BV270,$BE$4:$BE$99,0),3))=10,2,IF(LEN(INDEX($BE$4:$BJ$99,MATCH(BV270,$BE$4:$BE$99,0),3))&gt;10,LEN(INDEX($BE$4:$BJ$99,MATCH(BV270,$BE$4:$BE$99,0),3))-8,1)),IF(INDEX(Calculation_Tab,MATCH(BV270,Identifier,0),10)&gt;1,INDEX(Calculation_Tab,MATCH(BV270,Identifier,0),10),1)))*(1+Calculation!$Q$6),"-")</f>
        <v>-</v>
      </c>
      <c r="CC270" s="508" t="str">
        <f ca="1">IFERROR(ROUND(INDEX(Cluster,MATCH(IF(LEFT(BV270,4)="Pool",INDEX(Cluster,MATCH(INDEX(Calculation_Tab,MATCH(INDEX($BE$4:$BJ$99,MATCH(BV270,$BE$4:$BE$99,0),3),Flow_Cell_Lane,0),3),Cluster!$F$29:$F$412,0),6),BV270),Identifier_Cluster,0),20)*IF(LEFT(BV270,4)="pool",IF(LEN(INDEX($BE$4:$BJ$99,MATCH(BV270,$BE$4:$BE$99,0),3))=10,2,IF(LEN(INDEX($BE$4:$BJ$99,MATCH(BV270,$BE$4:$BE$99,0),3))&gt;10,LEN(INDEX($BE$4:$BJ$99,MATCH(BV270,$BE$4:$BE$99,0),3))-8,1)),1)*IF(LEFT(BV270,4)="pool",IF(INDEX($BE$4:$BJ$99,MATCH(BV270,$BE$4:$BE$99,0),6)&lt;1,1,INDEX($BE$4:$BJ$99,MATCH(BV270,$BE$4:$BE$99,0),6)),INDEX(Calculation_Tab,MATCH(BV270,Identifier,0),10)),1)*(1+Calculation!$Q$6),"-")</f>
        <v>-</v>
      </c>
      <c r="CD270" s="509" t="str">
        <f ca="1">IFERROR(INDEX(Cluster!AC:AD,MATCH(IF(LEFT(BV270,4)="Pool",INDEX(Cluster!$D$29:$AA$412,MATCH(INDEX(Calculation_Tab,MATCH(INDEX($BE$4:$BJ$99,MATCH(BV270,$BE$4:$BE$99,0),3),Flow_Cell_Lane,0),3),Cluster!$F$29:$F$412,0),24),INDEX(Cluster!$D$29:$AA$412,MATCH(BV270,Cluster!$F$29:$F$412,0),24)),Cluster!AC:AC,0),2),"-")</f>
        <v>-</v>
      </c>
      <c r="CE270" s="378" t="str">
        <f ca="1">IFERROR(IF(BV270&lt;&gt;"-",Calculation!$AK$6,"-"),"-")</f>
        <v>-</v>
      </c>
      <c r="CF270" s="378" t="str">
        <f ca="1">IF(OR(LEFT(ListAndConversion!BW270,3)="Dil",LEFT(ListAndConversion!BW270,3)="Poo"),ListAndConversion!$BT$4,IF(LEFT(ListAndConversion!BW270,3)="Sou",INDEX(ListAndConversion!$AT$3:$AV$387,MATCH(ListAndConversion!BV270,ListAndConversion!$AV$3:$AV$387,0),1),"-"))</f>
        <v>-</v>
      </c>
      <c r="CG270" s="498" t="str">
        <f ca="1">IF(OR(LEFT(ListAndConversion!BW270,3)="Dil",LEFT(ListAndConversion!BW270,3)="Poo"),ListAndConversion!BU270,IF(LEFT(ListAndConversion!BW270,3)="Sou",INDEX(ListAndConversion!$AT$4:$AV$387,MATCH(ListAndConversion!BV270,ListAndConversion!$AV$4:$AV$387,0),2),"-"))</f>
        <v>-</v>
      </c>
      <c r="CH270" s="378"/>
      <c r="CI270" s="487" t="str">
        <f t="shared" ca="1" si="151"/>
        <v>-</v>
      </c>
      <c r="CJ270" s="378" t="str">
        <f t="shared" ca="1" si="154"/>
        <v>-</v>
      </c>
      <c r="CK270" s="378" t="str">
        <f t="shared" ca="1" si="154"/>
        <v>-</v>
      </c>
      <c r="CL270" s="378" t="str">
        <f t="shared" ca="1" si="154"/>
        <v>-</v>
      </c>
      <c r="CM270" s="378" t="str">
        <f t="shared" ca="1" si="154"/>
        <v>-</v>
      </c>
      <c r="CN270" s="378" t="str">
        <f t="shared" ca="1" si="154"/>
        <v>-</v>
      </c>
      <c r="CO270" s="378" t="str">
        <f t="shared" ca="1" si="154"/>
        <v>-</v>
      </c>
      <c r="CP270" s="378" t="str">
        <f t="shared" ca="1" si="154"/>
        <v>-</v>
      </c>
      <c r="CQ270" s="378" t="str">
        <f t="shared" ca="1" si="154"/>
        <v>-</v>
      </c>
      <c r="CR270" s="510" t="str">
        <f ca="1">IFERROR(IF(LEFT(BW270,3)="Poo",INDEX($BE$4:$BJ$99,MATCH(CI270,$BG$4:$BG$99,0),6)*((15/50))*Calculation!$AK$6,INDEX(Calculation_Tab,MATCH(BV270,Identifier,0),10)/(IF(LEN(INDEX(Calculation_Tab,MATCH(BV270,Identifier,0),9))&gt;8,LEN(INDEX(Calculation_Tab,MATCH(BV270,Identifier,0),9))-8,1))*((15/50)*Calculation!$AK$6)),"-")</f>
        <v>-</v>
      </c>
      <c r="CS270" s="498" t="str">
        <f ca="1">IF(CI270="-","-",IF(COUNTIF($CI$3:CI270,CI270)&gt;1,0,IFERROR((35/50)*Calculation!$AK$6,"-")))</f>
        <v>-</v>
      </c>
    </row>
    <row r="271" spans="4:97" x14ac:dyDescent="0.5">
      <c r="D271" s="487" t="e">
        <f t="shared" si="137"/>
        <v>#DIV/0!</v>
      </c>
      <c r="E271" s="496" t="e">
        <f t="array" ref="E271">IF(IF((ROW(E271)-3)&lt;(ListAndConversion!$A$15),INDEX(Flow_Cell_Lane,MIN(IF(COUNTIF($E$2:E270,Flow_Cell_Lane)=0,ROW(Flow_Cell_Lane)-9))),"-")="","-",IF((ROW(E271)-3)&lt;(ListAndConversion!$A$15),INDEX(Flow_Cell_Lane,MIN(IF(COUNTIF($E$2:E270,Flow_Cell_Lane)=0,ROW(Flow_Cell_Lane)-9))),"-"))</f>
        <v>#DIV/0!</v>
      </c>
      <c r="F271" s="378" t="e">
        <f t="shared" si="138"/>
        <v>#DIV/0!</v>
      </c>
      <c r="G271" s="378" t="e">
        <f t="shared" si="153"/>
        <v>#DIV/0!</v>
      </c>
      <c r="H271" s="378" t="e">
        <f t="shared" si="153"/>
        <v>#DIV/0!</v>
      </c>
      <c r="I271" s="378" t="e">
        <f t="shared" si="153"/>
        <v>#DIV/0!</v>
      </c>
      <c r="J271" s="378" t="e">
        <f t="shared" si="153"/>
        <v>#DIV/0!</v>
      </c>
      <c r="K271" s="378" t="e">
        <f t="shared" si="153"/>
        <v>#DIV/0!</v>
      </c>
      <c r="L271" s="378" t="e">
        <f t="shared" si="153"/>
        <v>#DIV/0!</v>
      </c>
      <c r="M271" s="378" t="e">
        <f t="shared" si="153"/>
        <v>#DIV/0!</v>
      </c>
      <c r="N271" s="497" t="e">
        <f t="shared" si="139"/>
        <v>#DIV/0!</v>
      </c>
      <c r="O271" s="497" t="str">
        <f t="array" ref="O271">IFERROR(INDEX(Calculation!I:AN,MATCH(ListAndConversion!E271,Calculation!I:I,0),31),"-")</f>
        <v>-</v>
      </c>
      <c r="P271" s="498">
        <f>IF(COUNTIFS(Calculation!$I$10:$I$393,E271,Direct_Denaturation,"-")&lt;&gt;1,COUNTIFS(Calculation!$I$10:$I$393,E271,Direct_Denaturation,"-"),0)</f>
        <v>0</v>
      </c>
      <c r="V271" s="542" t="s">
        <v>82</v>
      </c>
      <c r="W271" s="542" t="s">
        <v>82</v>
      </c>
      <c r="X271" s="542" t="s">
        <v>82</v>
      </c>
      <c r="Y271" s="542" t="s">
        <v>82</v>
      </c>
      <c r="Z271" s="542" t="s">
        <v>82</v>
      </c>
      <c r="AA271" s="542" t="s">
        <v>82</v>
      </c>
      <c r="AB271" s="542" t="s">
        <v>82</v>
      </c>
      <c r="AC271" s="542" t="s">
        <v>82</v>
      </c>
      <c r="AD271" s="542" t="s">
        <v>82</v>
      </c>
      <c r="AE271" s="542" t="s">
        <v>82</v>
      </c>
      <c r="AF271" s="542" t="s">
        <v>82</v>
      </c>
      <c r="AG271" s="542" t="s">
        <v>82</v>
      </c>
      <c r="AH271" s="9"/>
      <c r="AI271" s="487">
        <v>268</v>
      </c>
      <c r="AJ271" s="497" t="s">
        <v>162</v>
      </c>
      <c r="AK271" s="378">
        <v>76</v>
      </c>
      <c r="AL271" s="378" t="str">
        <f t="shared" ca="1" si="140"/>
        <v>-</v>
      </c>
      <c r="AM271" s="378" t="str">
        <f t="array" aca="1" ref="AM271" ca="1">IFERROR(IF(AI271&lt;=$AB$2,"-",INDEX(Calculation_Tab,SMALL(ROW(Main_Dil)*(Main_Dil&lt;&gt;"-"),COUNTIF(Main_Dil,"-")+ROW()-3-$AB$2)-9,5)),"-")</f>
        <v>-</v>
      </c>
      <c r="AN271" s="378" t="str">
        <f t="array" aca="1" ref="AN271" ca="1">IFERROR(IF(AI271&lt;=$AB$2,"-",INDEX($A$3:$B$12,MATCH(INDEX(Calculation_Tab,SMALL(ROW(Main_Dil)*(Main_Dil&lt;&gt;"-"),COUNTIF(Main_Dil,"-")+ROW()-3-$AB$2)-9,5),$A$3:$A$12,0),2)),"-")</f>
        <v>-</v>
      </c>
      <c r="AO271" s="378" t="str">
        <f t="array" aca="1" ref="AO271" ca="1">IFERROR(IF(AI271&lt;=$AB$2,"-",INDEX(Coordinate,MATCH(INDEX(Calculation_Tab,SMALL(ROW(Main_Dil)*(Main_Dil&lt;&gt;"-"),COUNTIF(Main_Dil,"-")+ROW()-3-$AB$2)-9,6),$X$4:$X$99,0),2)),"-")</f>
        <v>-</v>
      </c>
      <c r="AP271" s="510" t="str">
        <f t="array" aca="1" ref="AP271" ca="1">IFERROR(IF(AI271&lt;=$AB$2,"-",INDEX(Calculation_Tab,SMALL(ROW(Main_Dil)*(Main_Dil&lt;&gt;"-"),COUNTIF(Main_Dil,"-")+ROW()-3-$AB$2)-9,21)),"-")</f>
        <v>-</v>
      </c>
      <c r="AQ271" s="511" t="str">
        <f t="array" aca="1" ref="AQ271" ca="1">IFERROR(IF(AI271&lt;=$AB$2,"-",INDEX(Calculation_Tab,SMALL(ROW(Main_Dil)*(Main_Dil&lt;&gt;"-"),COUNTIF(Main_Dil,"-")+ROW()-3-$AB$2)-9,22)),"-")</f>
        <v>-</v>
      </c>
      <c r="AR271" s="487" t="str">
        <f t="shared" ca="1" si="141"/>
        <v>-</v>
      </c>
      <c r="AS271" s="378">
        <v>268</v>
      </c>
      <c r="AT271" s="497" t="s">
        <v>162</v>
      </c>
      <c r="AU271" s="498">
        <v>76</v>
      </c>
      <c r="AV271" s="378" t="str">
        <f t="shared" ca="1" si="142"/>
        <v>-</v>
      </c>
      <c r="AW271" s="378" t="str">
        <f t="array" aca="1" ref="AW271" ca="1">IFERROR(IF(AS271&lt;=$AB$2+$AN$2,"-",INDEX(Calculation_Tab,SMALL(ROW(Direct_Denaturation)*(Direct_Denaturation&lt;&gt;"-"),COUNTIF(Direct_Denaturation,"-")+ROW()-3-$AB$2-$AN$2)-9,5)),"-")</f>
        <v>-</v>
      </c>
      <c r="AX271" s="378" t="str">
        <f t="array" aca="1" ref="AX271" ca="1">IFERROR(IF(AS271&lt;=$AB$2+$AN$2,"-",INDEX($A$3:$B$12,MATCH(INDEX(Calculation_Tab,SMALL(ROW(Direct_Denaturation)*(Direct_Denaturation&lt;&gt;"-"),COUNTIF(Direct_Denaturation,"-")+ROW()-3-$AB$2-$AN$2)-9,5),$A$3:$A$12,0),2)),"-")</f>
        <v>-</v>
      </c>
      <c r="AY271" s="378" t="str">
        <f t="array" aca="1" ref="AY271" ca="1">IFERROR(IF(AS271&lt;=$AB$2+$AN$2,"-",INDEX(Coordinate,MATCH(INDEX(Calculation_Tab,SMALL(ROW(Direct_Denaturation)*(Direct_Denaturation&lt;&gt;"-"),COUNTIF(Direct_Denaturation,"-")+ROW()-3-$AB$2-$AN$2)-9,6),$X$4:$X$99,0),2)),"-")</f>
        <v>-</v>
      </c>
      <c r="AZ271" s="510" t="str">
        <f t="array" aca="1" ref="AZ271" ca="1">IFERROR(IF(AS271&lt;=$AB$2+$AN$2,"-",INDEX(Calculation_Tab,SMALL(ROW(Direct_Denaturation)*(Direct_Denaturation&lt;&gt;"-"),COUNTIF(Direct_Denaturation,"-")+ROW()-3-$AB$2-$AN$2)-9,32)),"-")</f>
        <v>-</v>
      </c>
      <c r="BA271" s="510" t="str">
        <f t="array" aca="1" ref="BA271" ca="1">IFERROR(IF(AS271&lt;=$AB$2+$AN$2,"-",INDEX(Calculation_Tab,SMALL(ROW(Direct_Denaturation)*(Direct_Denaturation&lt;&gt;"-"),COUNTIF(Direct_Denaturation,"-")+ROW()-3-$AB$2-$AN$2)-9,34)),"-")</f>
        <v>-</v>
      </c>
      <c r="BB271" s="510" t="str">
        <f t="array" aca="1" ref="BB271" ca="1">IFERROR(IF(AS271&lt;=$AB$2+$AN$2,"-",INDEX(Calculation_Tab,SMALL(ROW(Direct_Denaturation)*(Direct_Denaturation&lt;&gt;"-"),COUNTIF(Direct_Denaturation,"-")+ROW()-3-$AB$2-$AN$2)-9,33)),"-")</f>
        <v>-</v>
      </c>
      <c r="BC271" s="510" t="str">
        <f t="array" aca="1" ref="BC271" ca="1">IFERROR(IF(AS271&lt;=$AB$2+$AN$2,"-",INDEX(Calculation_Tab,SMALL(ROW(Direct_Denaturation)*(Direct_Denaturation&lt;&gt;"-"),COUNTIF(Direct_Denaturation,"-")+ROW()-3-$AB$2-$AN$2)-9,35)),"-")</f>
        <v>-</v>
      </c>
      <c r="BD271" s="511" t="str">
        <f t="shared" ca="1" si="143"/>
        <v>-</v>
      </c>
      <c r="BK271" s="542" t="s">
        <v>82</v>
      </c>
      <c r="BL271" s="542" t="s">
        <v>82</v>
      </c>
      <c r="BM271" s="487" t="str">
        <f t="array" aca="1" ref="BM271" ca="1">IFERROR(INDEX(Calculation_Tab,SMALL(ROW(ToPool)*(ToPool&lt;&gt;"-"),COUNTIF(ToPool,"-")+ROW()-3)-9,3),"-")</f>
        <v>-</v>
      </c>
      <c r="BN271" s="378" t="str">
        <f t="shared" ca="1" si="144"/>
        <v>-</v>
      </c>
      <c r="BO271" s="378" t="str">
        <f t="shared" ca="1" si="145"/>
        <v>-</v>
      </c>
      <c r="BP271" s="523" t="str">
        <f t="shared" ca="1" si="146"/>
        <v>-</v>
      </c>
      <c r="BQ271" s="378" t="str">
        <f t="array" aca="1" ref="BQ271" ca="1">IFERROR(INDEX(BE:BG,MATCH(INDEX(Calculation_Tab,SMALL(ROW(ToPool)*(ToPool&lt;&gt;"-"),COUNTIF(ToPool,"-")+ROW()-3)-9,9),BG:BG,0),2),"-")</f>
        <v>-</v>
      </c>
      <c r="BR271" s="510" t="str">
        <f t="shared" ca="1" si="147"/>
        <v>-</v>
      </c>
      <c r="BS271" s="511" t="str">
        <f t="shared" ca="1" si="148"/>
        <v>-</v>
      </c>
      <c r="BT271" s="543" t="s">
        <v>82</v>
      </c>
      <c r="BU271" s="487" t="str">
        <f t="shared" ca="1" si="152"/>
        <v>-</v>
      </c>
      <c r="BV271" s="487" t="str">
        <f t="array" aca="1" ref="BV27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71" s="378" t="str">
        <f t="shared" ca="1" si="149"/>
        <v>-</v>
      </c>
      <c r="BX271" s="378" t="str">
        <f t="shared" ca="1" si="150"/>
        <v>-</v>
      </c>
      <c r="BY271" s="510" t="str">
        <f ca="1">IFERROR(ROUND(INDEX(Cluster,MATCH(IF(LEFT(BV271,4)="Pool",INDEX(Cluster,MATCH(INDEX(Calculation_Tab,MATCH(INDEX($BE$4:$BJ$99,MATCH(BV271,$BE$4:$BE$99,0),3),Flow_Cell_Lane,0),3),Cluster!$F$29:$F$412,0),6),BV271),Identifier_Cluster,0),19)*IF(LEFT(BV271,4)="pool",IF(LEN(INDEX($BE$4:$BJ$99,MATCH(BV271,$BE$4:$BE$99,0),3))=10,2,IF(LEN(INDEX($BE$4:$BJ$99,MATCH(BV271,$BE$4:$BE$99,0),3))&gt;10,LEN(INDEX($BE$4:$BJ$99,MATCH(BV271,$BE$4:$BE$99,0),3))-8,1)),1)*IF(LEFT(BV271,4)="pool",IF(INDEX($BE$4:$BJ$99,MATCH(BV271,$BE$4:$BE$99,0),6)&lt;1,1,INDEX($BE$4:$BJ$99,MATCH(BV271,$BE$4:$BE$99,0),6)),INDEX(Calculation_Tab,MATCH(BV271,Identifier,0),10)),1)*(1+Calculation!$Q$6),"-")</f>
        <v>-</v>
      </c>
      <c r="BZ271" s="378" t="str">
        <f ca="1">IFERROR((0.5/50)*CE271/Calculation!$AG$6*(IF(LEFT(BV271,4)="Pool",IF(LEN(INDEX($BE$4:$BJ$99,MATCH(BV271,$BE$4:$BE$99,0),3))=10,2,IF(LEN(INDEX($BE$4:$BJ$99,MATCH(BV271,$BE$4:$BE$99,0),3))&gt;10,LEN(INDEX($BE$4:$BJ$99,MATCH(BV271,$BE$4:$BE$99,0),3))-8,1)),IF(INDEX(Calculation_Tab,MATCH(BV271,Identifier,0),10)&gt;1,INDEX(Calculation_Tab,MATCH(BV271,Identifier,0),10),1)))*(1+Calculation!$Q$6),"-")</f>
        <v>-</v>
      </c>
      <c r="CA271" s="510" t="str">
        <f ca="1">IFERROR(IF((BZ271*Calculation!$AG$6/0.05)-SUM(BY271:BZ271,CC271)&gt;0,(BZ271*Calculation!$AG$6/0.05)-SUM(BY271:BZ271,CC271),0),"-")</f>
        <v>-</v>
      </c>
      <c r="CB271" s="510" t="str">
        <f ca="1">IFERROR(5/50*CE271*(IF(LEFT(BV271,4)="Pool",IF(LEN(INDEX($BE$4:$BJ$99,MATCH(BV271,$BE$4:$BE$99,0),3))=10,2,IF(LEN(INDEX($BE$4:$BJ$99,MATCH(BV271,$BE$4:$BE$99,0),3))&gt;10,LEN(INDEX($BE$4:$BJ$99,MATCH(BV271,$BE$4:$BE$99,0),3))-8,1)),IF(INDEX(Calculation_Tab,MATCH(BV271,Identifier,0),10)&gt;1,INDEX(Calculation_Tab,MATCH(BV271,Identifier,0),10),1)))*(1+Calculation!$Q$6),"-")</f>
        <v>-</v>
      </c>
      <c r="CC271" s="508" t="str">
        <f ca="1">IFERROR(ROUND(INDEX(Cluster,MATCH(IF(LEFT(BV271,4)="Pool",INDEX(Cluster,MATCH(INDEX(Calculation_Tab,MATCH(INDEX($BE$4:$BJ$99,MATCH(BV271,$BE$4:$BE$99,0),3),Flow_Cell_Lane,0),3),Cluster!$F$29:$F$412,0),6),BV271),Identifier_Cluster,0),20)*IF(LEFT(BV271,4)="pool",IF(LEN(INDEX($BE$4:$BJ$99,MATCH(BV271,$BE$4:$BE$99,0),3))=10,2,IF(LEN(INDEX($BE$4:$BJ$99,MATCH(BV271,$BE$4:$BE$99,0),3))&gt;10,LEN(INDEX($BE$4:$BJ$99,MATCH(BV271,$BE$4:$BE$99,0),3))-8,1)),1)*IF(LEFT(BV271,4)="pool",IF(INDEX($BE$4:$BJ$99,MATCH(BV271,$BE$4:$BE$99,0),6)&lt;1,1,INDEX($BE$4:$BJ$99,MATCH(BV271,$BE$4:$BE$99,0),6)),INDEX(Calculation_Tab,MATCH(BV271,Identifier,0),10)),1)*(1+Calculation!$Q$6),"-")</f>
        <v>-</v>
      </c>
      <c r="CD271" s="509" t="str">
        <f ca="1">IFERROR(INDEX(Cluster!AC:AD,MATCH(IF(LEFT(BV271,4)="Pool",INDEX(Cluster!$D$29:$AA$412,MATCH(INDEX(Calculation_Tab,MATCH(INDEX($BE$4:$BJ$99,MATCH(BV271,$BE$4:$BE$99,0),3),Flow_Cell_Lane,0),3),Cluster!$F$29:$F$412,0),24),INDEX(Cluster!$D$29:$AA$412,MATCH(BV271,Cluster!$F$29:$F$412,0),24)),Cluster!AC:AC,0),2),"-")</f>
        <v>-</v>
      </c>
      <c r="CE271" s="378" t="str">
        <f ca="1">IFERROR(IF(BV271&lt;&gt;"-",Calculation!$AK$6,"-"),"-")</f>
        <v>-</v>
      </c>
      <c r="CF271" s="378" t="str">
        <f ca="1">IF(OR(LEFT(ListAndConversion!BW271,3)="Dil",LEFT(ListAndConversion!BW271,3)="Poo"),ListAndConversion!$BT$4,IF(LEFT(ListAndConversion!BW271,3)="Sou",INDEX(ListAndConversion!$AT$3:$AV$387,MATCH(ListAndConversion!BV271,ListAndConversion!$AV$3:$AV$387,0),1),"-"))</f>
        <v>-</v>
      </c>
      <c r="CG271" s="498" t="str">
        <f ca="1">IF(OR(LEFT(ListAndConversion!BW271,3)="Dil",LEFT(ListAndConversion!BW271,3)="Poo"),ListAndConversion!BU271,IF(LEFT(ListAndConversion!BW271,3)="Sou",INDEX(ListAndConversion!$AT$4:$AV$387,MATCH(ListAndConversion!BV271,ListAndConversion!$AV$4:$AV$387,0),2),"-"))</f>
        <v>-</v>
      </c>
      <c r="CH271" s="378"/>
      <c r="CI271" s="487" t="str">
        <f t="shared" ca="1" si="151"/>
        <v>-</v>
      </c>
      <c r="CJ271" s="378" t="str">
        <f t="shared" ca="1" si="154"/>
        <v>-</v>
      </c>
      <c r="CK271" s="378" t="str">
        <f t="shared" ca="1" si="154"/>
        <v>-</v>
      </c>
      <c r="CL271" s="378" t="str">
        <f t="shared" ca="1" si="154"/>
        <v>-</v>
      </c>
      <c r="CM271" s="378" t="str">
        <f t="shared" ca="1" si="154"/>
        <v>-</v>
      </c>
      <c r="CN271" s="378" t="str">
        <f t="shared" ca="1" si="154"/>
        <v>-</v>
      </c>
      <c r="CO271" s="378" t="str">
        <f t="shared" ca="1" si="154"/>
        <v>-</v>
      </c>
      <c r="CP271" s="378" t="str">
        <f t="shared" ca="1" si="154"/>
        <v>-</v>
      </c>
      <c r="CQ271" s="378" t="str">
        <f t="shared" ca="1" si="154"/>
        <v>-</v>
      </c>
      <c r="CR271" s="510" t="str">
        <f ca="1">IFERROR(IF(LEFT(BW271,3)="Poo",INDEX($BE$4:$BJ$99,MATCH(CI271,$BG$4:$BG$99,0),6)*((15/50))*Calculation!$AK$6,INDEX(Calculation_Tab,MATCH(BV271,Identifier,0),10)/(IF(LEN(INDEX(Calculation_Tab,MATCH(BV271,Identifier,0),9))&gt;8,LEN(INDEX(Calculation_Tab,MATCH(BV271,Identifier,0),9))-8,1))*((15/50)*Calculation!$AK$6)),"-")</f>
        <v>-</v>
      </c>
      <c r="CS271" s="498" t="str">
        <f ca="1">IF(CI271="-","-",IF(COUNTIF($CI$3:CI271,CI271)&gt;1,0,IFERROR((35/50)*Calculation!$AK$6,"-")))</f>
        <v>-</v>
      </c>
    </row>
    <row r="272" spans="4:97" x14ac:dyDescent="0.5">
      <c r="D272" s="487" t="e">
        <f t="shared" si="137"/>
        <v>#DIV/0!</v>
      </c>
      <c r="E272" s="496" t="e">
        <f t="array" ref="E272">IF(IF((ROW(E272)-3)&lt;(ListAndConversion!$A$15),INDEX(Flow_Cell_Lane,MIN(IF(COUNTIF($E$2:E271,Flow_Cell_Lane)=0,ROW(Flow_Cell_Lane)-9))),"-")="","-",IF((ROW(E272)-3)&lt;(ListAndConversion!$A$15),INDEX(Flow_Cell_Lane,MIN(IF(COUNTIF($E$2:E271,Flow_Cell_Lane)=0,ROW(Flow_Cell_Lane)-9))),"-"))</f>
        <v>#DIV/0!</v>
      </c>
      <c r="F272" s="378" t="e">
        <f t="shared" si="138"/>
        <v>#DIV/0!</v>
      </c>
      <c r="G272" s="378" t="e">
        <f t="shared" si="153"/>
        <v>#DIV/0!</v>
      </c>
      <c r="H272" s="378" t="e">
        <f t="shared" si="153"/>
        <v>#DIV/0!</v>
      </c>
      <c r="I272" s="378" t="e">
        <f t="shared" si="153"/>
        <v>#DIV/0!</v>
      </c>
      <c r="J272" s="378" t="e">
        <f t="shared" si="153"/>
        <v>#DIV/0!</v>
      </c>
      <c r="K272" s="378" t="e">
        <f t="shared" si="153"/>
        <v>#DIV/0!</v>
      </c>
      <c r="L272" s="378" t="e">
        <f t="shared" si="153"/>
        <v>#DIV/0!</v>
      </c>
      <c r="M272" s="378" t="e">
        <f t="shared" si="153"/>
        <v>#DIV/0!</v>
      </c>
      <c r="N272" s="497" t="e">
        <f t="shared" si="139"/>
        <v>#DIV/0!</v>
      </c>
      <c r="O272" s="497" t="str">
        <f t="array" ref="O272">IFERROR(INDEX(Calculation!I:AN,MATCH(ListAndConversion!E272,Calculation!I:I,0),31),"-")</f>
        <v>-</v>
      </c>
      <c r="P272" s="498">
        <f>IF(COUNTIFS(Calculation!$I$10:$I$393,E272,Direct_Denaturation,"-")&lt;&gt;1,COUNTIFS(Calculation!$I$10:$I$393,E272,Direct_Denaturation,"-"),0)</f>
        <v>0</v>
      </c>
      <c r="V272" s="542" t="s">
        <v>82</v>
      </c>
      <c r="W272" s="542" t="s">
        <v>82</v>
      </c>
      <c r="X272" s="542" t="s">
        <v>82</v>
      </c>
      <c r="Y272" s="542" t="s">
        <v>82</v>
      </c>
      <c r="Z272" s="542" t="s">
        <v>82</v>
      </c>
      <c r="AA272" s="542" t="s">
        <v>82</v>
      </c>
      <c r="AB272" s="542" t="s">
        <v>82</v>
      </c>
      <c r="AC272" s="542" t="s">
        <v>82</v>
      </c>
      <c r="AD272" s="542" t="s">
        <v>82</v>
      </c>
      <c r="AE272" s="542" t="s">
        <v>82</v>
      </c>
      <c r="AF272" s="542" t="s">
        <v>82</v>
      </c>
      <c r="AG272" s="542" t="s">
        <v>82</v>
      </c>
      <c r="AH272" s="9"/>
      <c r="AI272" s="487">
        <v>269</v>
      </c>
      <c r="AJ272" s="497" t="s">
        <v>162</v>
      </c>
      <c r="AK272" s="378">
        <v>77</v>
      </c>
      <c r="AL272" s="378" t="str">
        <f t="shared" ca="1" si="140"/>
        <v>-</v>
      </c>
      <c r="AM272" s="378" t="str">
        <f t="array" aca="1" ref="AM272" ca="1">IFERROR(IF(AI272&lt;=$AB$2,"-",INDEX(Calculation_Tab,SMALL(ROW(Main_Dil)*(Main_Dil&lt;&gt;"-"),COUNTIF(Main_Dil,"-")+ROW()-3-$AB$2)-9,5)),"-")</f>
        <v>-</v>
      </c>
      <c r="AN272" s="378" t="str">
        <f t="array" aca="1" ref="AN272" ca="1">IFERROR(IF(AI272&lt;=$AB$2,"-",INDEX($A$3:$B$12,MATCH(INDEX(Calculation_Tab,SMALL(ROW(Main_Dil)*(Main_Dil&lt;&gt;"-"),COUNTIF(Main_Dil,"-")+ROW()-3-$AB$2)-9,5),$A$3:$A$12,0),2)),"-")</f>
        <v>-</v>
      </c>
      <c r="AO272" s="378" t="str">
        <f t="array" aca="1" ref="AO272" ca="1">IFERROR(IF(AI272&lt;=$AB$2,"-",INDEX(Coordinate,MATCH(INDEX(Calculation_Tab,SMALL(ROW(Main_Dil)*(Main_Dil&lt;&gt;"-"),COUNTIF(Main_Dil,"-")+ROW()-3-$AB$2)-9,6),$X$4:$X$99,0),2)),"-")</f>
        <v>-</v>
      </c>
      <c r="AP272" s="510" t="str">
        <f t="array" aca="1" ref="AP272" ca="1">IFERROR(IF(AI272&lt;=$AB$2,"-",INDEX(Calculation_Tab,SMALL(ROW(Main_Dil)*(Main_Dil&lt;&gt;"-"),COUNTIF(Main_Dil,"-")+ROW()-3-$AB$2)-9,21)),"-")</f>
        <v>-</v>
      </c>
      <c r="AQ272" s="511" t="str">
        <f t="array" aca="1" ref="AQ272" ca="1">IFERROR(IF(AI272&lt;=$AB$2,"-",INDEX(Calculation_Tab,SMALL(ROW(Main_Dil)*(Main_Dil&lt;&gt;"-"),COUNTIF(Main_Dil,"-")+ROW()-3-$AB$2)-9,22)),"-")</f>
        <v>-</v>
      </c>
      <c r="AR272" s="487" t="str">
        <f t="shared" ca="1" si="141"/>
        <v>-</v>
      </c>
      <c r="AS272" s="378">
        <v>269</v>
      </c>
      <c r="AT272" s="497" t="s">
        <v>162</v>
      </c>
      <c r="AU272" s="498">
        <v>77</v>
      </c>
      <c r="AV272" s="378" t="str">
        <f t="shared" ca="1" si="142"/>
        <v>-</v>
      </c>
      <c r="AW272" s="378" t="str">
        <f t="array" aca="1" ref="AW272" ca="1">IFERROR(IF(AS272&lt;=$AB$2+$AN$2,"-",INDEX(Calculation_Tab,SMALL(ROW(Direct_Denaturation)*(Direct_Denaturation&lt;&gt;"-"),COUNTIF(Direct_Denaturation,"-")+ROW()-3-$AB$2-$AN$2)-9,5)),"-")</f>
        <v>-</v>
      </c>
      <c r="AX272" s="378" t="str">
        <f t="array" aca="1" ref="AX272" ca="1">IFERROR(IF(AS272&lt;=$AB$2+$AN$2,"-",INDEX($A$3:$B$12,MATCH(INDEX(Calculation_Tab,SMALL(ROW(Direct_Denaturation)*(Direct_Denaturation&lt;&gt;"-"),COUNTIF(Direct_Denaturation,"-")+ROW()-3-$AB$2-$AN$2)-9,5),$A$3:$A$12,0),2)),"-")</f>
        <v>-</v>
      </c>
      <c r="AY272" s="378" t="str">
        <f t="array" aca="1" ref="AY272" ca="1">IFERROR(IF(AS272&lt;=$AB$2+$AN$2,"-",INDEX(Coordinate,MATCH(INDEX(Calculation_Tab,SMALL(ROW(Direct_Denaturation)*(Direct_Denaturation&lt;&gt;"-"),COUNTIF(Direct_Denaturation,"-")+ROW()-3-$AB$2-$AN$2)-9,6),$X$4:$X$99,0),2)),"-")</f>
        <v>-</v>
      </c>
      <c r="AZ272" s="510" t="str">
        <f t="array" aca="1" ref="AZ272" ca="1">IFERROR(IF(AS272&lt;=$AB$2+$AN$2,"-",INDEX(Calculation_Tab,SMALL(ROW(Direct_Denaturation)*(Direct_Denaturation&lt;&gt;"-"),COUNTIF(Direct_Denaturation,"-")+ROW()-3-$AB$2-$AN$2)-9,32)),"-")</f>
        <v>-</v>
      </c>
      <c r="BA272" s="510" t="str">
        <f t="array" aca="1" ref="BA272" ca="1">IFERROR(IF(AS272&lt;=$AB$2+$AN$2,"-",INDEX(Calculation_Tab,SMALL(ROW(Direct_Denaturation)*(Direct_Denaturation&lt;&gt;"-"),COUNTIF(Direct_Denaturation,"-")+ROW()-3-$AB$2-$AN$2)-9,34)),"-")</f>
        <v>-</v>
      </c>
      <c r="BB272" s="510" t="str">
        <f t="array" aca="1" ref="BB272" ca="1">IFERROR(IF(AS272&lt;=$AB$2+$AN$2,"-",INDEX(Calculation_Tab,SMALL(ROW(Direct_Denaturation)*(Direct_Denaturation&lt;&gt;"-"),COUNTIF(Direct_Denaturation,"-")+ROW()-3-$AB$2-$AN$2)-9,33)),"-")</f>
        <v>-</v>
      </c>
      <c r="BC272" s="510" t="str">
        <f t="array" aca="1" ref="BC272" ca="1">IFERROR(IF(AS272&lt;=$AB$2+$AN$2,"-",INDEX(Calculation_Tab,SMALL(ROW(Direct_Denaturation)*(Direct_Denaturation&lt;&gt;"-"),COUNTIF(Direct_Denaturation,"-")+ROW()-3-$AB$2-$AN$2)-9,35)),"-")</f>
        <v>-</v>
      </c>
      <c r="BD272" s="511" t="str">
        <f t="shared" ca="1" si="143"/>
        <v>-</v>
      </c>
      <c r="BK272" s="542" t="s">
        <v>82</v>
      </c>
      <c r="BL272" s="542" t="s">
        <v>82</v>
      </c>
      <c r="BM272" s="487" t="str">
        <f t="array" aca="1" ref="BM272" ca="1">IFERROR(INDEX(Calculation_Tab,SMALL(ROW(ToPool)*(ToPool&lt;&gt;"-"),COUNTIF(ToPool,"-")+ROW()-3)-9,3),"-")</f>
        <v>-</v>
      </c>
      <c r="BN272" s="378" t="str">
        <f t="shared" ca="1" si="144"/>
        <v>-</v>
      </c>
      <c r="BO272" s="378" t="str">
        <f t="shared" ca="1" si="145"/>
        <v>-</v>
      </c>
      <c r="BP272" s="523" t="str">
        <f t="shared" ca="1" si="146"/>
        <v>-</v>
      </c>
      <c r="BQ272" s="378" t="str">
        <f t="array" aca="1" ref="BQ272" ca="1">IFERROR(INDEX(BE:BG,MATCH(INDEX(Calculation_Tab,SMALL(ROW(ToPool)*(ToPool&lt;&gt;"-"),COUNTIF(ToPool,"-")+ROW()-3)-9,9),BG:BG,0),2),"-")</f>
        <v>-</v>
      </c>
      <c r="BR272" s="510" t="str">
        <f t="shared" ca="1" si="147"/>
        <v>-</v>
      </c>
      <c r="BS272" s="511" t="str">
        <f t="shared" ca="1" si="148"/>
        <v>-</v>
      </c>
      <c r="BT272" s="543" t="s">
        <v>82</v>
      </c>
      <c r="BU272" s="487" t="str">
        <f t="shared" ca="1" si="152"/>
        <v>-</v>
      </c>
      <c r="BV272" s="487" t="str">
        <f t="array" aca="1" ref="BV27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72" s="378" t="str">
        <f t="shared" ca="1" si="149"/>
        <v>-</v>
      </c>
      <c r="BX272" s="378" t="str">
        <f t="shared" ca="1" si="150"/>
        <v>-</v>
      </c>
      <c r="BY272" s="510" t="str">
        <f ca="1">IFERROR(ROUND(INDEX(Cluster,MATCH(IF(LEFT(BV272,4)="Pool",INDEX(Cluster,MATCH(INDEX(Calculation_Tab,MATCH(INDEX($BE$4:$BJ$99,MATCH(BV272,$BE$4:$BE$99,0),3),Flow_Cell_Lane,0),3),Cluster!$F$29:$F$412,0),6),BV272),Identifier_Cluster,0),19)*IF(LEFT(BV272,4)="pool",IF(LEN(INDEX($BE$4:$BJ$99,MATCH(BV272,$BE$4:$BE$99,0),3))=10,2,IF(LEN(INDEX($BE$4:$BJ$99,MATCH(BV272,$BE$4:$BE$99,0),3))&gt;10,LEN(INDEX($BE$4:$BJ$99,MATCH(BV272,$BE$4:$BE$99,0),3))-8,1)),1)*IF(LEFT(BV272,4)="pool",IF(INDEX($BE$4:$BJ$99,MATCH(BV272,$BE$4:$BE$99,0),6)&lt;1,1,INDEX($BE$4:$BJ$99,MATCH(BV272,$BE$4:$BE$99,0),6)),INDEX(Calculation_Tab,MATCH(BV272,Identifier,0),10)),1)*(1+Calculation!$Q$6),"-")</f>
        <v>-</v>
      </c>
      <c r="BZ272" s="378" t="str">
        <f ca="1">IFERROR((0.5/50)*CE272/Calculation!$AG$6*(IF(LEFT(BV272,4)="Pool",IF(LEN(INDEX($BE$4:$BJ$99,MATCH(BV272,$BE$4:$BE$99,0),3))=10,2,IF(LEN(INDEX($BE$4:$BJ$99,MATCH(BV272,$BE$4:$BE$99,0),3))&gt;10,LEN(INDEX($BE$4:$BJ$99,MATCH(BV272,$BE$4:$BE$99,0),3))-8,1)),IF(INDEX(Calculation_Tab,MATCH(BV272,Identifier,0),10)&gt;1,INDEX(Calculation_Tab,MATCH(BV272,Identifier,0),10),1)))*(1+Calculation!$Q$6),"-")</f>
        <v>-</v>
      </c>
      <c r="CA272" s="510" t="str">
        <f ca="1">IFERROR(IF((BZ272*Calculation!$AG$6/0.05)-SUM(BY272:BZ272,CC272)&gt;0,(BZ272*Calculation!$AG$6/0.05)-SUM(BY272:BZ272,CC272),0),"-")</f>
        <v>-</v>
      </c>
      <c r="CB272" s="510" t="str">
        <f ca="1">IFERROR(5/50*CE272*(IF(LEFT(BV272,4)="Pool",IF(LEN(INDEX($BE$4:$BJ$99,MATCH(BV272,$BE$4:$BE$99,0),3))=10,2,IF(LEN(INDEX($BE$4:$BJ$99,MATCH(BV272,$BE$4:$BE$99,0),3))&gt;10,LEN(INDEX($BE$4:$BJ$99,MATCH(BV272,$BE$4:$BE$99,0),3))-8,1)),IF(INDEX(Calculation_Tab,MATCH(BV272,Identifier,0),10)&gt;1,INDEX(Calculation_Tab,MATCH(BV272,Identifier,0),10),1)))*(1+Calculation!$Q$6),"-")</f>
        <v>-</v>
      </c>
      <c r="CC272" s="508" t="str">
        <f ca="1">IFERROR(ROUND(INDEX(Cluster,MATCH(IF(LEFT(BV272,4)="Pool",INDEX(Cluster,MATCH(INDEX(Calculation_Tab,MATCH(INDEX($BE$4:$BJ$99,MATCH(BV272,$BE$4:$BE$99,0),3),Flow_Cell_Lane,0),3),Cluster!$F$29:$F$412,0),6),BV272),Identifier_Cluster,0),20)*IF(LEFT(BV272,4)="pool",IF(LEN(INDEX($BE$4:$BJ$99,MATCH(BV272,$BE$4:$BE$99,0),3))=10,2,IF(LEN(INDEX($BE$4:$BJ$99,MATCH(BV272,$BE$4:$BE$99,0),3))&gt;10,LEN(INDEX($BE$4:$BJ$99,MATCH(BV272,$BE$4:$BE$99,0),3))-8,1)),1)*IF(LEFT(BV272,4)="pool",IF(INDEX($BE$4:$BJ$99,MATCH(BV272,$BE$4:$BE$99,0),6)&lt;1,1,INDEX($BE$4:$BJ$99,MATCH(BV272,$BE$4:$BE$99,0),6)),INDEX(Calculation_Tab,MATCH(BV272,Identifier,0),10)),1)*(1+Calculation!$Q$6),"-")</f>
        <v>-</v>
      </c>
      <c r="CD272" s="509" t="str">
        <f ca="1">IFERROR(INDEX(Cluster!AC:AD,MATCH(IF(LEFT(BV272,4)="Pool",INDEX(Cluster!$D$29:$AA$412,MATCH(INDEX(Calculation_Tab,MATCH(INDEX($BE$4:$BJ$99,MATCH(BV272,$BE$4:$BE$99,0),3),Flow_Cell_Lane,0),3),Cluster!$F$29:$F$412,0),24),INDEX(Cluster!$D$29:$AA$412,MATCH(BV272,Cluster!$F$29:$F$412,0),24)),Cluster!AC:AC,0),2),"-")</f>
        <v>-</v>
      </c>
      <c r="CE272" s="378" t="str">
        <f ca="1">IFERROR(IF(BV272&lt;&gt;"-",Calculation!$AK$6,"-"),"-")</f>
        <v>-</v>
      </c>
      <c r="CF272" s="378" t="str">
        <f ca="1">IF(OR(LEFT(ListAndConversion!BW272,3)="Dil",LEFT(ListAndConversion!BW272,3)="Poo"),ListAndConversion!$BT$4,IF(LEFT(ListAndConversion!BW272,3)="Sou",INDEX(ListAndConversion!$AT$3:$AV$387,MATCH(ListAndConversion!BV272,ListAndConversion!$AV$3:$AV$387,0),1),"-"))</f>
        <v>-</v>
      </c>
      <c r="CG272" s="498" t="str">
        <f ca="1">IF(OR(LEFT(ListAndConversion!BW272,3)="Dil",LEFT(ListAndConversion!BW272,3)="Poo"),ListAndConversion!BU272,IF(LEFT(ListAndConversion!BW272,3)="Sou",INDEX(ListAndConversion!$AT$4:$AV$387,MATCH(ListAndConversion!BV272,ListAndConversion!$AV$4:$AV$387,0),2),"-"))</f>
        <v>-</v>
      </c>
      <c r="CH272" s="378"/>
      <c r="CI272" s="487" t="str">
        <f t="shared" ca="1" si="151"/>
        <v>-</v>
      </c>
      <c r="CJ272" s="378" t="str">
        <f t="shared" ca="1" si="154"/>
        <v>-</v>
      </c>
      <c r="CK272" s="378" t="str">
        <f t="shared" ca="1" si="154"/>
        <v>-</v>
      </c>
      <c r="CL272" s="378" t="str">
        <f t="shared" ca="1" si="154"/>
        <v>-</v>
      </c>
      <c r="CM272" s="378" t="str">
        <f t="shared" ca="1" si="154"/>
        <v>-</v>
      </c>
      <c r="CN272" s="378" t="str">
        <f t="shared" ca="1" si="154"/>
        <v>-</v>
      </c>
      <c r="CO272" s="378" t="str">
        <f t="shared" ca="1" si="154"/>
        <v>-</v>
      </c>
      <c r="CP272" s="378" t="str">
        <f t="shared" ca="1" si="154"/>
        <v>-</v>
      </c>
      <c r="CQ272" s="378" t="str">
        <f t="shared" ca="1" si="154"/>
        <v>-</v>
      </c>
      <c r="CR272" s="510" t="str">
        <f ca="1">IFERROR(IF(LEFT(BW272,3)="Poo",INDEX($BE$4:$BJ$99,MATCH(CI272,$BG$4:$BG$99,0),6)*((15/50))*Calculation!$AK$6,INDEX(Calculation_Tab,MATCH(BV272,Identifier,0),10)/(IF(LEN(INDEX(Calculation_Tab,MATCH(BV272,Identifier,0),9))&gt;8,LEN(INDEX(Calculation_Tab,MATCH(BV272,Identifier,0),9))-8,1))*((15/50)*Calculation!$AK$6)),"-")</f>
        <v>-</v>
      </c>
      <c r="CS272" s="498" t="str">
        <f ca="1">IF(CI272="-","-",IF(COUNTIF($CI$3:CI272,CI272)&gt;1,0,IFERROR((35/50)*Calculation!$AK$6,"-")))</f>
        <v>-</v>
      </c>
    </row>
    <row r="273" spans="4:97" x14ac:dyDescent="0.5">
      <c r="D273" s="487" t="e">
        <f t="shared" si="137"/>
        <v>#DIV/0!</v>
      </c>
      <c r="E273" s="496" t="e">
        <f t="array" ref="E273">IF(IF((ROW(E273)-3)&lt;(ListAndConversion!$A$15),INDEX(Flow_Cell_Lane,MIN(IF(COUNTIF($E$2:E272,Flow_Cell_Lane)=0,ROW(Flow_Cell_Lane)-9))),"-")="","-",IF((ROW(E273)-3)&lt;(ListAndConversion!$A$15),INDEX(Flow_Cell_Lane,MIN(IF(COUNTIF($E$2:E272,Flow_Cell_Lane)=0,ROW(Flow_Cell_Lane)-9))),"-"))</f>
        <v>#DIV/0!</v>
      </c>
      <c r="F273" s="378" t="e">
        <f t="shared" si="138"/>
        <v>#DIV/0!</v>
      </c>
      <c r="G273" s="378" t="e">
        <f t="shared" ref="G273:M282" si="155">IF($D273&gt;8,IF($D273&gt;=(8+G$2),CONCATENATE(LEFT($E273,7),RIGHT(LEFT($E273,8+G$2),1)),""),"")</f>
        <v>#DIV/0!</v>
      </c>
      <c r="H273" s="378" t="e">
        <f t="shared" si="155"/>
        <v>#DIV/0!</v>
      </c>
      <c r="I273" s="378" t="e">
        <f t="shared" si="155"/>
        <v>#DIV/0!</v>
      </c>
      <c r="J273" s="378" t="e">
        <f t="shared" si="155"/>
        <v>#DIV/0!</v>
      </c>
      <c r="K273" s="378" t="e">
        <f t="shared" si="155"/>
        <v>#DIV/0!</v>
      </c>
      <c r="L273" s="378" t="e">
        <f t="shared" si="155"/>
        <v>#DIV/0!</v>
      </c>
      <c r="M273" s="378" t="e">
        <f t="shared" si="155"/>
        <v>#DIV/0!</v>
      </c>
      <c r="N273" s="497" t="e">
        <f t="shared" si="139"/>
        <v>#DIV/0!</v>
      </c>
      <c r="O273" s="497" t="str">
        <f t="array" ref="O273">IFERROR(INDEX(Calculation!I:AN,MATCH(ListAndConversion!E273,Calculation!I:I,0),31),"-")</f>
        <v>-</v>
      </c>
      <c r="P273" s="498">
        <f>IF(COUNTIFS(Calculation!$I$10:$I$393,E273,Direct_Denaturation,"-")&lt;&gt;1,COUNTIFS(Calculation!$I$10:$I$393,E273,Direct_Denaturation,"-"),0)</f>
        <v>0</v>
      </c>
      <c r="V273" s="542" t="s">
        <v>82</v>
      </c>
      <c r="W273" s="542" t="s">
        <v>82</v>
      </c>
      <c r="X273" s="542" t="s">
        <v>82</v>
      </c>
      <c r="Y273" s="542" t="s">
        <v>82</v>
      </c>
      <c r="Z273" s="542" t="s">
        <v>82</v>
      </c>
      <c r="AA273" s="542" t="s">
        <v>82</v>
      </c>
      <c r="AB273" s="542" t="s">
        <v>82</v>
      </c>
      <c r="AC273" s="542" t="s">
        <v>82</v>
      </c>
      <c r="AD273" s="542" t="s">
        <v>82</v>
      </c>
      <c r="AE273" s="542" t="s">
        <v>82</v>
      </c>
      <c r="AF273" s="542" t="s">
        <v>82</v>
      </c>
      <c r="AG273" s="542" t="s">
        <v>82</v>
      </c>
      <c r="AH273" s="9"/>
      <c r="AI273" s="487">
        <v>270</v>
      </c>
      <c r="AJ273" s="497" t="s">
        <v>162</v>
      </c>
      <c r="AK273" s="378">
        <v>78</v>
      </c>
      <c r="AL273" s="378" t="str">
        <f t="shared" ca="1" si="140"/>
        <v>-</v>
      </c>
      <c r="AM273" s="378" t="str">
        <f t="array" aca="1" ref="AM273" ca="1">IFERROR(IF(AI273&lt;=$AB$2,"-",INDEX(Calculation_Tab,SMALL(ROW(Main_Dil)*(Main_Dil&lt;&gt;"-"),COUNTIF(Main_Dil,"-")+ROW()-3-$AB$2)-9,5)),"-")</f>
        <v>-</v>
      </c>
      <c r="AN273" s="378" t="str">
        <f t="array" aca="1" ref="AN273" ca="1">IFERROR(IF(AI273&lt;=$AB$2,"-",INDEX($A$3:$B$12,MATCH(INDEX(Calculation_Tab,SMALL(ROW(Main_Dil)*(Main_Dil&lt;&gt;"-"),COUNTIF(Main_Dil,"-")+ROW()-3-$AB$2)-9,5),$A$3:$A$12,0),2)),"-")</f>
        <v>-</v>
      </c>
      <c r="AO273" s="378" t="str">
        <f t="array" aca="1" ref="AO273" ca="1">IFERROR(IF(AI273&lt;=$AB$2,"-",INDEX(Coordinate,MATCH(INDEX(Calculation_Tab,SMALL(ROW(Main_Dil)*(Main_Dil&lt;&gt;"-"),COUNTIF(Main_Dil,"-")+ROW()-3-$AB$2)-9,6),$X$4:$X$99,0),2)),"-")</f>
        <v>-</v>
      </c>
      <c r="AP273" s="510" t="str">
        <f t="array" aca="1" ref="AP273" ca="1">IFERROR(IF(AI273&lt;=$AB$2,"-",INDEX(Calculation_Tab,SMALL(ROW(Main_Dil)*(Main_Dil&lt;&gt;"-"),COUNTIF(Main_Dil,"-")+ROW()-3-$AB$2)-9,21)),"-")</f>
        <v>-</v>
      </c>
      <c r="AQ273" s="511" t="str">
        <f t="array" aca="1" ref="AQ273" ca="1">IFERROR(IF(AI273&lt;=$AB$2,"-",INDEX(Calculation_Tab,SMALL(ROW(Main_Dil)*(Main_Dil&lt;&gt;"-"),COUNTIF(Main_Dil,"-")+ROW()-3-$AB$2)-9,22)),"-")</f>
        <v>-</v>
      </c>
      <c r="AR273" s="487" t="str">
        <f t="shared" ca="1" si="141"/>
        <v>-</v>
      </c>
      <c r="AS273" s="378">
        <v>270</v>
      </c>
      <c r="AT273" s="497" t="s">
        <v>162</v>
      </c>
      <c r="AU273" s="498">
        <v>78</v>
      </c>
      <c r="AV273" s="378" t="str">
        <f t="shared" ca="1" si="142"/>
        <v>-</v>
      </c>
      <c r="AW273" s="378" t="str">
        <f t="array" aca="1" ref="AW273" ca="1">IFERROR(IF(AS273&lt;=$AB$2+$AN$2,"-",INDEX(Calculation_Tab,SMALL(ROW(Direct_Denaturation)*(Direct_Denaturation&lt;&gt;"-"),COUNTIF(Direct_Denaturation,"-")+ROW()-3-$AB$2-$AN$2)-9,5)),"-")</f>
        <v>-</v>
      </c>
      <c r="AX273" s="378" t="str">
        <f t="array" aca="1" ref="AX273" ca="1">IFERROR(IF(AS273&lt;=$AB$2+$AN$2,"-",INDEX($A$3:$B$12,MATCH(INDEX(Calculation_Tab,SMALL(ROW(Direct_Denaturation)*(Direct_Denaturation&lt;&gt;"-"),COUNTIF(Direct_Denaturation,"-")+ROW()-3-$AB$2-$AN$2)-9,5),$A$3:$A$12,0),2)),"-")</f>
        <v>-</v>
      </c>
      <c r="AY273" s="378" t="str">
        <f t="array" aca="1" ref="AY273" ca="1">IFERROR(IF(AS273&lt;=$AB$2+$AN$2,"-",INDEX(Coordinate,MATCH(INDEX(Calculation_Tab,SMALL(ROW(Direct_Denaturation)*(Direct_Denaturation&lt;&gt;"-"),COUNTIF(Direct_Denaturation,"-")+ROW()-3-$AB$2-$AN$2)-9,6),$X$4:$X$99,0),2)),"-")</f>
        <v>-</v>
      </c>
      <c r="AZ273" s="510" t="str">
        <f t="array" aca="1" ref="AZ273" ca="1">IFERROR(IF(AS273&lt;=$AB$2+$AN$2,"-",INDEX(Calculation_Tab,SMALL(ROW(Direct_Denaturation)*(Direct_Denaturation&lt;&gt;"-"),COUNTIF(Direct_Denaturation,"-")+ROW()-3-$AB$2-$AN$2)-9,32)),"-")</f>
        <v>-</v>
      </c>
      <c r="BA273" s="510" t="str">
        <f t="array" aca="1" ref="BA273" ca="1">IFERROR(IF(AS273&lt;=$AB$2+$AN$2,"-",INDEX(Calculation_Tab,SMALL(ROW(Direct_Denaturation)*(Direct_Denaturation&lt;&gt;"-"),COUNTIF(Direct_Denaturation,"-")+ROW()-3-$AB$2-$AN$2)-9,34)),"-")</f>
        <v>-</v>
      </c>
      <c r="BB273" s="510" t="str">
        <f t="array" aca="1" ref="BB273" ca="1">IFERROR(IF(AS273&lt;=$AB$2+$AN$2,"-",INDEX(Calculation_Tab,SMALL(ROW(Direct_Denaturation)*(Direct_Denaturation&lt;&gt;"-"),COUNTIF(Direct_Denaturation,"-")+ROW()-3-$AB$2-$AN$2)-9,33)),"-")</f>
        <v>-</v>
      </c>
      <c r="BC273" s="510" t="str">
        <f t="array" aca="1" ref="BC273" ca="1">IFERROR(IF(AS273&lt;=$AB$2+$AN$2,"-",INDEX(Calculation_Tab,SMALL(ROW(Direct_Denaturation)*(Direct_Denaturation&lt;&gt;"-"),COUNTIF(Direct_Denaturation,"-")+ROW()-3-$AB$2-$AN$2)-9,35)),"-")</f>
        <v>-</v>
      </c>
      <c r="BD273" s="511" t="str">
        <f t="shared" ca="1" si="143"/>
        <v>-</v>
      </c>
      <c r="BK273" s="542" t="s">
        <v>82</v>
      </c>
      <c r="BL273" s="542" t="s">
        <v>82</v>
      </c>
      <c r="BM273" s="487" t="str">
        <f t="array" aca="1" ref="BM273" ca="1">IFERROR(INDEX(Calculation_Tab,SMALL(ROW(ToPool)*(ToPool&lt;&gt;"-"),COUNTIF(ToPool,"-")+ROW()-3)-9,3),"-")</f>
        <v>-</v>
      </c>
      <c r="BN273" s="378" t="str">
        <f t="shared" ca="1" si="144"/>
        <v>-</v>
      </c>
      <c r="BO273" s="378" t="str">
        <f t="shared" ca="1" si="145"/>
        <v>-</v>
      </c>
      <c r="BP273" s="523" t="str">
        <f t="shared" ca="1" si="146"/>
        <v>-</v>
      </c>
      <c r="BQ273" s="378" t="str">
        <f t="array" aca="1" ref="BQ273" ca="1">IFERROR(INDEX(BE:BG,MATCH(INDEX(Calculation_Tab,SMALL(ROW(ToPool)*(ToPool&lt;&gt;"-"),COUNTIF(ToPool,"-")+ROW()-3)-9,9),BG:BG,0),2),"-")</f>
        <v>-</v>
      </c>
      <c r="BR273" s="510" t="str">
        <f t="shared" ca="1" si="147"/>
        <v>-</v>
      </c>
      <c r="BS273" s="511" t="str">
        <f t="shared" ca="1" si="148"/>
        <v>-</v>
      </c>
      <c r="BT273" s="543" t="s">
        <v>82</v>
      </c>
      <c r="BU273" s="487" t="str">
        <f t="shared" ca="1" si="152"/>
        <v>-</v>
      </c>
      <c r="BV273" s="487" t="str">
        <f t="array" aca="1" ref="BV27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73" s="378" t="str">
        <f t="shared" ca="1" si="149"/>
        <v>-</v>
      </c>
      <c r="BX273" s="378" t="str">
        <f t="shared" ca="1" si="150"/>
        <v>-</v>
      </c>
      <c r="BY273" s="510" t="str">
        <f ca="1">IFERROR(ROUND(INDEX(Cluster,MATCH(IF(LEFT(BV273,4)="Pool",INDEX(Cluster,MATCH(INDEX(Calculation_Tab,MATCH(INDEX($BE$4:$BJ$99,MATCH(BV273,$BE$4:$BE$99,0),3),Flow_Cell_Lane,0),3),Cluster!$F$29:$F$412,0),6),BV273),Identifier_Cluster,0),19)*IF(LEFT(BV273,4)="pool",IF(LEN(INDEX($BE$4:$BJ$99,MATCH(BV273,$BE$4:$BE$99,0),3))=10,2,IF(LEN(INDEX($BE$4:$BJ$99,MATCH(BV273,$BE$4:$BE$99,0),3))&gt;10,LEN(INDEX($BE$4:$BJ$99,MATCH(BV273,$BE$4:$BE$99,0),3))-8,1)),1)*IF(LEFT(BV273,4)="pool",IF(INDEX($BE$4:$BJ$99,MATCH(BV273,$BE$4:$BE$99,0),6)&lt;1,1,INDEX($BE$4:$BJ$99,MATCH(BV273,$BE$4:$BE$99,0),6)),INDEX(Calculation_Tab,MATCH(BV273,Identifier,0),10)),1)*(1+Calculation!$Q$6),"-")</f>
        <v>-</v>
      </c>
      <c r="BZ273" s="378" t="str">
        <f ca="1">IFERROR((0.5/50)*CE273/Calculation!$AG$6*(IF(LEFT(BV273,4)="Pool",IF(LEN(INDEX($BE$4:$BJ$99,MATCH(BV273,$BE$4:$BE$99,0),3))=10,2,IF(LEN(INDEX($BE$4:$BJ$99,MATCH(BV273,$BE$4:$BE$99,0),3))&gt;10,LEN(INDEX($BE$4:$BJ$99,MATCH(BV273,$BE$4:$BE$99,0),3))-8,1)),IF(INDEX(Calculation_Tab,MATCH(BV273,Identifier,0),10)&gt;1,INDEX(Calculation_Tab,MATCH(BV273,Identifier,0),10),1)))*(1+Calculation!$Q$6),"-")</f>
        <v>-</v>
      </c>
      <c r="CA273" s="510" t="str">
        <f ca="1">IFERROR(IF((BZ273*Calculation!$AG$6/0.05)-SUM(BY273:BZ273,CC273)&gt;0,(BZ273*Calculation!$AG$6/0.05)-SUM(BY273:BZ273,CC273),0),"-")</f>
        <v>-</v>
      </c>
      <c r="CB273" s="510" t="str">
        <f ca="1">IFERROR(5/50*CE273*(IF(LEFT(BV273,4)="Pool",IF(LEN(INDEX($BE$4:$BJ$99,MATCH(BV273,$BE$4:$BE$99,0),3))=10,2,IF(LEN(INDEX($BE$4:$BJ$99,MATCH(BV273,$BE$4:$BE$99,0),3))&gt;10,LEN(INDEX($BE$4:$BJ$99,MATCH(BV273,$BE$4:$BE$99,0),3))-8,1)),IF(INDEX(Calculation_Tab,MATCH(BV273,Identifier,0),10)&gt;1,INDEX(Calculation_Tab,MATCH(BV273,Identifier,0),10),1)))*(1+Calculation!$Q$6),"-")</f>
        <v>-</v>
      </c>
      <c r="CC273" s="508" t="str">
        <f ca="1">IFERROR(ROUND(INDEX(Cluster,MATCH(IF(LEFT(BV273,4)="Pool",INDEX(Cluster,MATCH(INDEX(Calculation_Tab,MATCH(INDEX($BE$4:$BJ$99,MATCH(BV273,$BE$4:$BE$99,0),3),Flow_Cell_Lane,0),3),Cluster!$F$29:$F$412,0),6),BV273),Identifier_Cluster,0),20)*IF(LEFT(BV273,4)="pool",IF(LEN(INDEX($BE$4:$BJ$99,MATCH(BV273,$BE$4:$BE$99,0),3))=10,2,IF(LEN(INDEX($BE$4:$BJ$99,MATCH(BV273,$BE$4:$BE$99,0),3))&gt;10,LEN(INDEX($BE$4:$BJ$99,MATCH(BV273,$BE$4:$BE$99,0),3))-8,1)),1)*IF(LEFT(BV273,4)="pool",IF(INDEX($BE$4:$BJ$99,MATCH(BV273,$BE$4:$BE$99,0),6)&lt;1,1,INDEX($BE$4:$BJ$99,MATCH(BV273,$BE$4:$BE$99,0),6)),INDEX(Calculation_Tab,MATCH(BV273,Identifier,0),10)),1)*(1+Calculation!$Q$6),"-")</f>
        <v>-</v>
      </c>
      <c r="CD273" s="509" t="str">
        <f ca="1">IFERROR(INDEX(Cluster!AC:AD,MATCH(IF(LEFT(BV273,4)="Pool",INDEX(Cluster!$D$29:$AA$412,MATCH(INDEX(Calculation_Tab,MATCH(INDEX($BE$4:$BJ$99,MATCH(BV273,$BE$4:$BE$99,0),3),Flow_Cell_Lane,0),3),Cluster!$F$29:$F$412,0),24),INDEX(Cluster!$D$29:$AA$412,MATCH(BV273,Cluster!$F$29:$F$412,0),24)),Cluster!AC:AC,0),2),"-")</f>
        <v>-</v>
      </c>
      <c r="CE273" s="378" t="str">
        <f ca="1">IFERROR(IF(BV273&lt;&gt;"-",Calculation!$AK$6,"-"),"-")</f>
        <v>-</v>
      </c>
      <c r="CF273" s="378" t="str">
        <f ca="1">IF(OR(LEFT(ListAndConversion!BW273,3)="Dil",LEFT(ListAndConversion!BW273,3)="Poo"),ListAndConversion!$BT$4,IF(LEFT(ListAndConversion!BW273,3)="Sou",INDEX(ListAndConversion!$AT$3:$AV$387,MATCH(ListAndConversion!BV273,ListAndConversion!$AV$3:$AV$387,0),1),"-"))</f>
        <v>-</v>
      </c>
      <c r="CG273" s="498" t="str">
        <f ca="1">IF(OR(LEFT(ListAndConversion!BW273,3)="Dil",LEFT(ListAndConversion!BW273,3)="Poo"),ListAndConversion!BU273,IF(LEFT(ListAndConversion!BW273,3)="Sou",INDEX(ListAndConversion!$AT$4:$AV$387,MATCH(ListAndConversion!BV273,ListAndConversion!$AV$4:$AV$387,0),2),"-"))</f>
        <v>-</v>
      </c>
      <c r="CH273" s="378"/>
      <c r="CI273" s="487" t="str">
        <f t="shared" ca="1" si="151"/>
        <v>-</v>
      </c>
      <c r="CJ273" s="378" t="str">
        <f t="shared" ca="1" si="154"/>
        <v>-</v>
      </c>
      <c r="CK273" s="378" t="str">
        <f t="shared" ca="1" si="154"/>
        <v>-</v>
      </c>
      <c r="CL273" s="378" t="str">
        <f t="shared" ca="1" si="154"/>
        <v>-</v>
      </c>
      <c r="CM273" s="378" t="str">
        <f t="shared" ca="1" si="154"/>
        <v>-</v>
      </c>
      <c r="CN273" s="378" t="str">
        <f t="shared" ca="1" si="154"/>
        <v>-</v>
      </c>
      <c r="CO273" s="378" t="str">
        <f t="shared" ca="1" si="154"/>
        <v>-</v>
      </c>
      <c r="CP273" s="378" t="str">
        <f t="shared" ca="1" si="154"/>
        <v>-</v>
      </c>
      <c r="CQ273" s="378" t="str">
        <f t="shared" ca="1" si="154"/>
        <v>-</v>
      </c>
      <c r="CR273" s="510" t="str">
        <f ca="1">IFERROR(IF(LEFT(BW273,3)="Poo",INDEX($BE$4:$BJ$99,MATCH(CI273,$BG$4:$BG$99,0),6)*((15/50))*Calculation!$AK$6,INDEX(Calculation_Tab,MATCH(BV273,Identifier,0),10)/(IF(LEN(INDEX(Calculation_Tab,MATCH(BV273,Identifier,0),9))&gt;8,LEN(INDEX(Calculation_Tab,MATCH(BV273,Identifier,0),9))-8,1))*((15/50)*Calculation!$AK$6)),"-")</f>
        <v>-</v>
      </c>
      <c r="CS273" s="498" t="str">
        <f ca="1">IF(CI273="-","-",IF(COUNTIF($CI$3:CI273,CI273)&gt;1,0,IFERROR((35/50)*Calculation!$AK$6,"-")))</f>
        <v>-</v>
      </c>
    </row>
    <row r="274" spans="4:97" x14ac:dyDescent="0.5">
      <c r="D274" s="487" t="e">
        <f t="shared" si="137"/>
        <v>#DIV/0!</v>
      </c>
      <c r="E274" s="496" t="e">
        <f t="array" ref="E274">IF(IF((ROW(E274)-3)&lt;(ListAndConversion!$A$15),INDEX(Flow_Cell_Lane,MIN(IF(COUNTIF($E$2:E273,Flow_Cell_Lane)=0,ROW(Flow_Cell_Lane)-9))),"-")="","-",IF((ROW(E274)-3)&lt;(ListAndConversion!$A$15),INDEX(Flow_Cell_Lane,MIN(IF(COUNTIF($E$2:E273,Flow_Cell_Lane)=0,ROW(Flow_Cell_Lane)-9))),"-"))</f>
        <v>#DIV/0!</v>
      </c>
      <c r="F274" s="378" t="e">
        <f t="shared" si="138"/>
        <v>#DIV/0!</v>
      </c>
      <c r="G274" s="378" t="e">
        <f t="shared" si="155"/>
        <v>#DIV/0!</v>
      </c>
      <c r="H274" s="378" t="e">
        <f t="shared" si="155"/>
        <v>#DIV/0!</v>
      </c>
      <c r="I274" s="378" t="e">
        <f t="shared" si="155"/>
        <v>#DIV/0!</v>
      </c>
      <c r="J274" s="378" t="e">
        <f t="shared" si="155"/>
        <v>#DIV/0!</v>
      </c>
      <c r="K274" s="378" t="e">
        <f t="shared" si="155"/>
        <v>#DIV/0!</v>
      </c>
      <c r="L274" s="378" t="e">
        <f t="shared" si="155"/>
        <v>#DIV/0!</v>
      </c>
      <c r="M274" s="378" t="e">
        <f t="shared" si="155"/>
        <v>#DIV/0!</v>
      </c>
      <c r="N274" s="497" t="e">
        <f t="shared" si="139"/>
        <v>#DIV/0!</v>
      </c>
      <c r="O274" s="497" t="str">
        <f t="array" ref="O274">IFERROR(INDEX(Calculation!I:AN,MATCH(ListAndConversion!E274,Calculation!I:I,0),31),"-")</f>
        <v>-</v>
      </c>
      <c r="P274" s="498">
        <f>IF(COUNTIFS(Calculation!$I$10:$I$393,E274,Direct_Denaturation,"-")&lt;&gt;1,COUNTIFS(Calculation!$I$10:$I$393,E274,Direct_Denaturation,"-"),0)</f>
        <v>0</v>
      </c>
      <c r="V274" s="542" t="s">
        <v>82</v>
      </c>
      <c r="W274" s="542" t="s">
        <v>82</v>
      </c>
      <c r="X274" s="542" t="s">
        <v>82</v>
      </c>
      <c r="Y274" s="542" t="s">
        <v>82</v>
      </c>
      <c r="Z274" s="542" t="s">
        <v>82</v>
      </c>
      <c r="AA274" s="542" t="s">
        <v>82</v>
      </c>
      <c r="AB274" s="542" t="s">
        <v>82</v>
      </c>
      <c r="AC274" s="542" t="s">
        <v>82</v>
      </c>
      <c r="AD274" s="542" t="s">
        <v>82</v>
      </c>
      <c r="AE274" s="542" t="s">
        <v>82</v>
      </c>
      <c r="AF274" s="542" t="s">
        <v>82</v>
      </c>
      <c r="AG274" s="542" t="s">
        <v>82</v>
      </c>
      <c r="AH274" s="9"/>
      <c r="AI274" s="487">
        <v>271</v>
      </c>
      <c r="AJ274" s="497" t="s">
        <v>162</v>
      </c>
      <c r="AK274" s="378">
        <v>79</v>
      </c>
      <c r="AL274" s="378" t="str">
        <f t="shared" ca="1" si="140"/>
        <v>-</v>
      </c>
      <c r="AM274" s="378" t="str">
        <f t="array" aca="1" ref="AM274" ca="1">IFERROR(IF(AI274&lt;=$AB$2,"-",INDEX(Calculation_Tab,SMALL(ROW(Main_Dil)*(Main_Dil&lt;&gt;"-"),COUNTIF(Main_Dil,"-")+ROW()-3-$AB$2)-9,5)),"-")</f>
        <v>-</v>
      </c>
      <c r="AN274" s="378" t="str">
        <f t="array" aca="1" ref="AN274" ca="1">IFERROR(IF(AI274&lt;=$AB$2,"-",INDEX($A$3:$B$12,MATCH(INDEX(Calculation_Tab,SMALL(ROW(Main_Dil)*(Main_Dil&lt;&gt;"-"),COUNTIF(Main_Dil,"-")+ROW()-3-$AB$2)-9,5),$A$3:$A$12,0),2)),"-")</f>
        <v>-</v>
      </c>
      <c r="AO274" s="378" t="str">
        <f t="array" aca="1" ref="AO274" ca="1">IFERROR(IF(AI274&lt;=$AB$2,"-",INDEX(Coordinate,MATCH(INDEX(Calculation_Tab,SMALL(ROW(Main_Dil)*(Main_Dil&lt;&gt;"-"),COUNTIF(Main_Dil,"-")+ROW()-3-$AB$2)-9,6),$X$4:$X$99,0),2)),"-")</f>
        <v>-</v>
      </c>
      <c r="AP274" s="510" t="str">
        <f t="array" aca="1" ref="AP274" ca="1">IFERROR(IF(AI274&lt;=$AB$2,"-",INDEX(Calculation_Tab,SMALL(ROW(Main_Dil)*(Main_Dil&lt;&gt;"-"),COUNTIF(Main_Dil,"-")+ROW()-3-$AB$2)-9,21)),"-")</f>
        <v>-</v>
      </c>
      <c r="AQ274" s="511" t="str">
        <f t="array" aca="1" ref="AQ274" ca="1">IFERROR(IF(AI274&lt;=$AB$2,"-",INDEX(Calculation_Tab,SMALL(ROW(Main_Dil)*(Main_Dil&lt;&gt;"-"),COUNTIF(Main_Dil,"-")+ROW()-3-$AB$2)-9,22)),"-")</f>
        <v>-</v>
      </c>
      <c r="AR274" s="487" t="str">
        <f t="shared" ca="1" si="141"/>
        <v>-</v>
      </c>
      <c r="AS274" s="378">
        <v>271</v>
      </c>
      <c r="AT274" s="497" t="s">
        <v>162</v>
      </c>
      <c r="AU274" s="498">
        <v>79</v>
      </c>
      <c r="AV274" s="378" t="str">
        <f t="shared" ca="1" si="142"/>
        <v>-</v>
      </c>
      <c r="AW274" s="378" t="str">
        <f t="array" aca="1" ref="AW274" ca="1">IFERROR(IF(AS274&lt;=$AB$2+$AN$2,"-",INDEX(Calculation_Tab,SMALL(ROW(Direct_Denaturation)*(Direct_Denaturation&lt;&gt;"-"),COUNTIF(Direct_Denaturation,"-")+ROW()-3-$AB$2-$AN$2)-9,5)),"-")</f>
        <v>-</v>
      </c>
      <c r="AX274" s="378" t="str">
        <f t="array" aca="1" ref="AX274" ca="1">IFERROR(IF(AS274&lt;=$AB$2+$AN$2,"-",INDEX($A$3:$B$12,MATCH(INDEX(Calculation_Tab,SMALL(ROW(Direct_Denaturation)*(Direct_Denaturation&lt;&gt;"-"),COUNTIF(Direct_Denaturation,"-")+ROW()-3-$AB$2-$AN$2)-9,5),$A$3:$A$12,0),2)),"-")</f>
        <v>-</v>
      </c>
      <c r="AY274" s="378" t="str">
        <f t="array" aca="1" ref="AY274" ca="1">IFERROR(IF(AS274&lt;=$AB$2+$AN$2,"-",INDEX(Coordinate,MATCH(INDEX(Calculation_Tab,SMALL(ROW(Direct_Denaturation)*(Direct_Denaturation&lt;&gt;"-"),COUNTIF(Direct_Denaturation,"-")+ROW()-3-$AB$2-$AN$2)-9,6),$X$4:$X$99,0),2)),"-")</f>
        <v>-</v>
      </c>
      <c r="AZ274" s="510" t="str">
        <f t="array" aca="1" ref="AZ274" ca="1">IFERROR(IF(AS274&lt;=$AB$2+$AN$2,"-",INDEX(Calculation_Tab,SMALL(ROW(Direct_Denaturation)*(Direct_Denaturation&lt;&gt;"-"),COUNTIF(Direct_Denaturation,"-")+ROW()-3-$AB$2-$AN$2)-9,32)),"-")</f>
        <v>-</v>
      </c>
      <c r="BA274" s="510" t="str">
        <f t="array" aca="1" ref="BA274" ca="1">IFERROR(IF(AS274&lt;=$AB$2+$AN$2,"-",INDEX(Calculation_Tab,SMALL(ROW(Direct_Denaturation)*(Direct_Denaturation&lt;&gt;"-"),COUNTIF(Direct_Denaturation,"-")+ROW()-3-$AB$2-$AN$2)-9,34)),"-")</f>
        <v>-</v>
      </c>
      <c r="BB274" s="510" t="str">
        <f t="array" aca="1" ref="BB274" ca="1">IFERROR(IF(AS274&lt;=$AB$2+$AN$2,"-",INDEX(Calculation_Tab,SMALL(ROW(Direct_Denaturation)*(Direct_Denaturation&lt;&gt;"-"),COUNTIF(Direct_Denaturation,"-")+ROW()-3-$AB$2-$AN$2)-9,33)),"-")</f>
        <v>-</v>
      </c>
      <c r="BC274" s="510" t="str">
        <f t="array" aca="1" ref="BC274" ca="1">IFERROR(IF(AS274&lt;=$AB$2+$AN$2,"-",INDEX(Calculation_Tab,SMALL(ROW(Direct_Denaturation)*(Direct_Denaturation&lt;&gt;"-"),COUNTIF(Direct_Denaturation,"-")+ROW()-3-$AB$2-$AN$2)-9,35)),"-")</f>
        <v>-</v>
      </c>
      <c r="BD274" s="511" t="str">
        <f t="shared" ca="1" si="143"/>
        <v>-</v>
      </c>
      <c r="BK274" s="542" t="s">
        <v>82</v>
      </c>
      <c r="BL274" s="542" t="s">
        <v>82</v>
      </c>
      <c r="BM274" s="487" t="str">
        <f t="array" aca="1" ref="BM274" ca="1">IFERROR(INDEX(Calculation_Tab,SMALL(ROW(ToPool)*(ToPool&lt;&gt;"-"),COUNTIF(ToPool,"-")+ROW()-3)-9,3),"-")</f>
        <v>-</v>
      </c>
      <c r="BN274" s="378" t="str">
        <f t="shared" ca="1" si="144"/>
        <v>-</v>
      </c>
      <c r="BO274" s="378" t="str">
        <f t="shared" ca="1" si="145"/>
        <v>-</v>
      </c>
      <c r="BP274" s="523" t="str">
        <f t="shared" ca="1" si="146"/>
        <v>-</v>
      </c>
      <c r="BQ274" s="378" t="str">
        <f t="array" aca="1" ref="BQ274" ca="1">IFERROR(INDEX(BE:BG,MATCH(INDEX(Calculation_Tab,SMALL(ROW(ToPool)*(ToPool&lt;&gt;"-"),COUNTIF(ToPool,"-")+ROW()-3)-9,9),BG:BG,0),2),"-")</f>
        <v>-</v>
      </c>
      <c r="BR274" s="510" t="str">
        <f t="shared" ca="1" si="147"/>
        <v>-</v>
      </c>
      <c r="BS274" s="511" t="str">
        <f t="shared" ca="1" si="148"/>
        <v>-</v>
      </c>
      <c r="BT274" s="543" t="s">
        <v>82</v>
      </c>
      <c r="BU274" s="487" t="str">
        <f t="shared" ca="1" si="152"/>
        <v>-</v>
      </c>
      <c r="BV274" s="487" t="str">
        <f t="array" aca="1" ref="BV27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74" s="378" t="str">
        <f t="shared" ca="1" si="149"/>
        <v>-</v>
      </c>
      <c r="BX274" s="378" t="str">
        <f t="shared" ca="1" si="150"/>
        <v>-</v>
      </c>
      <c r="BY274" s="510" t="str">
        <f ca="1">IFERROR(ROUND(INDEX(Cluster,MATCH(IF(LEFT(BV274,4)="Pool",INDEX(Cluster,MATCH(INDEX(Calculation_Tab,MATCH(INDEX($BE$4:$BJ$99,MATCH(BV274,$BE$4:$BE$99,0),3),Flow_Cell_Lane,0),3),Cluster!$F$29:$F$412,0),6),BV274),Identifier_Cluster,0),19)*IF(LEFT(BV274,4)="pool",IF(LEN(INDEX($BE$4:$BJ$99,MATCH(BV274,$BE$4:$BE$99,0),3))=10,2,IF(LEN(INDEX($BE$4:$BJ$99,MATCH(BV274,$BE$4:$BE$99,0),3))&gt;10,LEN(INDEX($BE$4:$BJ$99,MATCH(BV274,$BE$4:$BE$99,0),3))-8,1)),1)*IF(LEFT(BV274,4)="pool",IF(INDEX($BE$4:$BJ$99,MATCH(BV274,$BE$4:$BE$99,0),6)&lt;1,1,INDEX($BE$4:$BJ$99,MATCH(BV274,$BE$4:$BE$99,0),6)),INDEX(Calculation_Tab,MATCH(BV274,Identifier,0),10)),1)*(1+Calculation!$Q$6),"-")</f>
        <v>-</v>
      </c>
      <c r="BZ274" s="378" t="str">
        <f ca="1">IFERROR((0.5/50)*CE274/Calculation!$AG$6*(IF(LEFT(BV274,4)="Pool",IF(LEN(INDEX($BE$4:$BJ$99,MATCH(BV274,$BE$4:$BE$99,0),3))=10,2,IF(LEN(INDEX($BE$4:$BJ$99,MATCH(BV274,$BE$4:$BE$99,0),3))&gt;10,LEN(INDEX($BE$4:$BJ$99,MATCH(BV274,$BE$4:$BE$99,0),3))-8,1)),IF(INDEX(Calculation_Tab,MATCH(BV274,Identifier,0),10)&gt;1,INDEX(Calculation_Tab,MATCH(BV274,Identifier,0),10),1)))*(1+Calculation!$Q$6),"-")</f>
        <v>-</v>
      </c>
      <c r="CA274" s="510" t="str">
        <f ca="1">IFERROR(IF((BZ274*Calculation!$AG$6/0.05)-SUM(BY274:BZ274,CC274)&gt;0,(BZ274*Calculation!$AG$6/0.05)-SUM(BY274:BZ274,CC274),0),"-")</f>
        <v>-</v>
      </c>
      <c r="CB274" s="510" t="str">
        <f ca="1">IFERROR(5/50*CE274*(IF(LEFT(BV274,4)="Pool",IF(LEN(INDEX($BE$4:$BJ$99,MATCH(BV274,$BE$4:$BE$99,0),3))=10,2,IF(LEN(INDEX($BE$4:$BJ$99,MATCH(BV274,$BE$4:$BE$99,0),3))&gt;10,LEN(INDEX($BE$4:$BJ$99,MATCH(BV274,$BE$4:$BE$99,0),3))-8,1)),IF(INDEX(Calculation_Tab,MATCH(BV274,Identifier,0),10)&gt;1,INDEX(Calculation_Tab,MATCH(BV274,Identifier,0),10),1)))*(1+Calculation!$Q$6),"-")</f>
        <v>-</v>
      </c>
      <c r="CC274" s="508" t="str">
        <f ca="1">IFERROR(ROUND(INDEX(Cluster,MATCH(IF(LEFT(BV274,4)="Pool",INDEX(Cluster,MATCH(INDEX(Calculation_Tab,MATCH(INDEX($BE$4:$BJ$99,MATCH(BV274,$BE$4:$BE$99,0),3),Flow_Cell_Lane,0),3),Cluster!$F$29:$F$412,0),6),BV274),Identifier_Cluster,0),20)*IF(LEFT(BV274,4)="pool",IF(LEN(INDEX($BE$4:$BJ$99,MATCH(BV274,$BE$4:$BE$99,0),3))=10,2,IF(LEN(INDEX($BE$4:$BJ$99,MATCH(BV274,$BE$4:$BE$99,0),3))&gt;10,LEN(INDEX($BE$4:$BJ$99,MATCH(BV274,$BE$4:$BE$99,0),3))-8,1)),1)*IF(LEFT(BV274,4)="pool",IF(INDEX($BE$4:$BJ$99,MATCH(BV274,$BE$4:$BE$99,0),6)&lt;1,1,INDEX($BE$4:$BJ$99,MATCH(BV274,$BE$4:$BE$99,0),6)),INDEX(Calculation_Tab,MATCH(BV274,Identifier,0),10)),1)*(1+Calculation!$Q$6),"-")</f>
        <v>-</v>
      </c>
      <c r="CD274" s="509" t="str">
        <f ca="1">IFERROR(INDEX(Cluster!AC:AD,MATCH(IF(LEFT(BV274,4)="Pool",INDEX(Cluster!$D$29:$AA$412,MATCH(INDEX(Calculation_Tab,MATCH(INDEX($BE$4:$BJ$99,MATCH(BV274,$BE$4:$BE$99,0),3),Flow_Cell_Lane,0),3),Cluster!$F$29:$F$412,0),24),INDEX(Cluster!$D$29:$AA$412,MATCH(BV274,Cluster!$F$29:$F$412,0),24)),Cluster!AC:AC,0),2),"-")</f>
        <v>-</v>
      </c>
      <c r="CE274" s="378" t="str">
        <f ca="1">IFERROR(IF(BV274&lt;&gt;"-",Calculation!$AK$6,"-"),"-")</f>
        <v>-</v>
      </c>
      <c r="CF274" s="378" t="str">
        <f ca="1">IF(OR(LEFT(ListAndConversion!BW274,3)="Dil",LEFT(ListAndConversion!BW274,3)="Poo"),ListAndConversion!$BT$4,IF(LEFT(ListAndConversion!BW274,3)="Sou",INDEX(ListAndConversion!$AT$3:$AV$387,MATCH(ListAndConversion!BV274,ListAndConversion!$AV$3:$AV$387,0),1),"-"))</f>
        <v>-</v>
      </c>
      <c r="CG274" s="498" t="str">
        <f ca="1">IF(OR(LEFT(ListAndConversion!BW274,3)="Dil",LEFT(ListAndConversion!BW274,3)="Poo"),ListAndConversion!BU274,IF(LEFT(ListAndConversion!BW274,3)="Sou",INDEX(ListAndConversion!$AT$4:$AV$387,MATCH(ListAndConversion!BV274,ListAndConversion!$AV$4:$AV$387,0),2),"-"))</f>
        <v>-</v>
      </c>
      <c r="CH274" s="378"/>
      <c r="CI274" s="487" t="str">
        <f t="shared" ca="1" si="151"/>
        <v>-</v>
      </c>
      <c r="CJ274" s="378" t="str">
        <f t="shared" ref="CJ274:CQ283" ca="1" si="156">IFERROR(INDEX($R$3:$U$98,MATCH(INDEX($F$3:$M$387,MATCH($CI274,$E$3:$E$386,0),CJ$3),$S$3:$S$98,0),4),"-")</f>
        <v>-</v>
      </c>
      <c r="CK274" s="378" t="str">
        <f t="shared" ca="1" si="156"/>
        <v>-</v>
      </c>
      <c r="CL274" s="378" t="str">
        <f t="shared" ca="1" si="156"/>
        <v>-</v>
      </c>
      <c r="CM274" s="378" t="str">
        <f t="shared" ca="1" si="156"/>
        <v>-</v>
      </c>
      <c r="CN274" s="378" t="str">
        <f t="shared" ca="1" si="156"/>
        <v>-</v>
      </c>
      <c r="CO274" s="378" t="str">
        <f t="shared" ca="1" si="156"/>
        <v>-</v>
      </c>
      <c r="CP274" s="378" t="str">
        <f t="shared" ca="1" si="156"/>
        <v>-</v>
      </c>
      <c r="CQ274" s="378" t="str">
        <f t="shared" ca="1" si="156"/>
        <v>-</v>
      </c>
      <c r="CR274" s="510" t="str">
        <f ca="1">IFERROR(IF(LEFT(BW274,3)="Poo",INDEX($BE$4:$BJ$99,MATCH(CI274,$BG$4:$BG$99,0),6)*((15/50))*Calculation!$AK$6,INDEX(Calculation_Tab,MATCH(BV274,Identifier,0),10)/(IF(LEN(INDEX(Calculation_Tab,MATCH(BV274,Identifier,0),9))&gt;8,LEN(INDEX(Calculation_Tab,MATCH(BV274,Identifier,0),9))-8,1))*((15/50)*Calculation!$AK$6)),"-")</f>
        <v>-</v>
      </c>
      <c r="CS274" s="498" t="str">
        <f ca="1">IF(CI274="-","-",IF(COUNTIF($CI$3:CI274,CI274)&gt;1,0,IFERROR((35/50)*Calculation!$AK$6,"-")))</f>
        <v>-</v>
      </c>
    </row>
    <row r="275" spans="4:97" x14ac:dyDescent="0.5">
      <c r="D275" s="487" t="e">
        <f t="shared" si="137"/>
        <v>#DIV/0!</v>
      </c>
      <c r="E275" s="496" t="e">
        <f t="array" ref="E275">IF(IF((ROW(E275)-3)&lt;(ListAndConversion!$A$15),INDEX(Flow_Cell_Lane,MIN(IF(COUNTIF($E$2:E274,Flow_Cell_Lane)=0,ROW(Flow_Cell_Lane)-9))),"-")="","-",IF((ROW(E275)-3)&lt;(ListAndConversion!$A$15),INDEX(Flow_Cell_Lane,MIN(IF(COUNTIF($E$2:E274,Flow_Cell_Lane)=0,ROW(Flow_Cell_Lane)-9))),"-"))</f>
        <v>#DIV/0!</v>
      </c>
      <c r="F275" s="378" t="e">
        <f t="shared" si="138"/>
        <v>#DIV/0!</v>
      </c>
      <c r="G275" s="378" t="e">
        <f t="shared" si="155"/>
        <v>#DIV/0!</v>
      </c>
      <c r="H275" s="378" t="e">
        <f t="shared" si="155"/>
        <v>#DIV/0!</v>
      </c>
      <c r="I275" s="378" t="e">
        <f t="shared" si="155"/>
        <v>#DIV/0!</v>
      </c>
      <c r="J275" s="378" t="e">
        <f t="shared" si="155"/>
        <v>#DIV/0!</v>
      </c>
      <c r="K275" s="378" t="e">
        <f t="shared" si="155"/>
        <v>#DIV/0!</v>
      </c>
      <c r="L275" s="378" t="e">
        <f t="shared" si="155"/>
        <v>#DIV/0!</v>
      </c>
      <c r="M275" s="378" t="e">
        <f t="shared" si="155"/>
        <v>#DIV/0!</v>
      </c>
      <c r="N275" s="497" t="e">
        <f t="shared" si="139"/>
        <v>#DIV/0!</v>
      </c>
      <c r="O275" s="497" t="str">
        <f t="array" ref="O275">IFERROR(INDEX(Calculation!I:AN,MATCH(ListAndConversion!E275,Calculation!I:I,0),31),"-")</f>
        <v>-</v>
      </c>
      <c r="P275" s="498">
        <f>IF(COUNTIFS(Calculation!$I$10:$I$393,E275,Direct_Denaturation,"-")&lt;&gt;1,COUNTIFS(Calculation!$I$10:$I$393,E275,Direct_Denaturation,"-"),0)</f>
        <v>0</v>
      </c>
      <c r="V275" s="542" t="s">
        <v>82</v>
      </c>
      <c r="W275" s="542" t="s">
        <v>82</v>
      </c>
      <c r="X275" s="542" t="s">
        <v>82</v>
      </c>
      <c r="Y275" s="542" t="s">
        <v>82</v>
      </c>
      <c r="Z275" s="542" t="s">
        <v>82</v>
      </c>
      <c r="AA275" s="542" t="s">
        <v>82</v>
      </c>
      <c r="AB275" s="542" t="s">
        <v>82</v>
      </c>
      <c r="AC275" s="542" t="s">
        <v>82</v>
      </c>
      <c r="AD275" s="542" t="s">
        <v>82</v>
      </c>
      <c r="AE275" s="542" t="s">
        <v>82</v>
      </c>
      <c r="AF275" s="542" t="s">
        <v>82</v>
      </c>
      <c r="AG275" s="542" t="s">
        <v>82</v>
      </c>
      <c r="AH275" s="9"/>
      <c r="AI275" s="487">
        <v>272</v>
      </c>
      <c r="AJ275" s="497" t="s">
        <v>162</v>
      </c>
      <c r="AK275" s="378">
        <v>80</v>
      </c>
      <c r="AL275" s="378" t="str">
        <f t="shared" ca="1" si="140"/>
        <v>-</v>
      </c>
      <c r="AM275" s="378" t="str">
        <f t="array" aca="1" ref="AM275" ca="1">IFERROR(IF(AI275&lt;=$AB$2,"-",INDEX(Calculation_Tab,SMALL(ROW(Main_Dil)*(Main_Dil&lt;&gt;"-"),COUNTIF(Main_Dil,"-")+ROW()-3-$AB$2)-9,5)),"-")</f>
        <v>-</v>
      </c>
      <c r="AN275" s="378" t="str">
        <f t="array" aca="1" ref="AN275" ca="1">IFERROR(IF(AI275&lt;=$AB$2,"-",INDEX($A$3:$B$12,MATCH(INDEX(Calculation_Tab,SMALL(ROW(Main_Dil)*(Main_Dil&lt;&gt;"-"),COUNTIF(Main_Dil,"-")+ROW()-3-$AB$2)-9,5),$A$3:$A$12,0),2)),"-")</f>
        <v>-</v>
      </c>
      <c r="AO275" s="378" t="str">
        <f t="array" aca="1" ref="AO275" ca="1">IFERROR(IF(AI275&lt;=$AB$2,"-",INDEX(Coordinate,MATCH(INDEX(Calculation_Tab,SMALL(ROW(Main_Dil)*(Main_Dil&lt;&gt;"-"),COUNTIF(Main_Dil,"-")+ROW()-3-$AB$2)-9,6),$X$4:$X$99,0),2)),"-")</f>
        <v>-</v>
      </c>
      <c r="AP275" s="510" t="str">
        <f t="array" aca="1" ref="AP275" ca="1">IFERROR(IF(AI275&lt;=$AB$2,"-",INDEX(Calculation_Tab,SMALL(ROW(Main_Dil)*(Main_Dil&lt;&gt;"-"),COUNTIF(Main_Dil,"-")+ROW()-3-$AB$2)-9,21)),"-")</f>
        <v>-</v>
      </c>
      <c r="AQ275" s="511" t="str">
        <f t="array" aca="1" ref="AQ275" ca="1">IFERROR(IF(AI275&lt;=$AB$2,"-",INDEX(Calculation_Tab,SMALL(ROW(Main_Dil)*(Main_Dil&lt;&gt;"-"),COUNTIF(Main_Dil,"-")+ROW()-3-$AB$2)-9,22)),"-")</f>
        <v>-</v>
      </c>
      <c r="AR275" s="487" t="str">
        <f t="shared" ca="1" si="141"/>
        <v>-</v>
      </c>
      <c r="AS275" s="378">
        <v>272</v>
      </c>
      <c r="AT275" s="497" t="s">
        <v>162</v>
      </c>
      <c r="AU275" s="498">
        <v>80</v>
      </c>
      <c r="AV275" s="378" t="str">
        <f t="shared" ca="1" si="142"/>
        <v>-</v>
      </c>
      <c r="AW275" s="378" t="str">
        <f t="array" aca="1" ref="AW275" ca="1">IFERROR(IF(AS275&lt;=$AB$2+$AN$2,"-",INDEX(Calculation_Tab,SMALL(ROW(Direct_Denaturation)*(Direct_Denaturation&lt;&gt;"-"),COUNTIF(Direct_Denaturation,"-")+ROW()-3-$AB$2-$AN$2)-9,5)),"-")</f>
        <v>-</v>
      </c>
      <c r="AX275" s="378" t="str">
        <f t="array" aca="1" ref="AX275" ca="1">IFERROR(IF(AS275&lt;=$AB$2+$AN$2,"-",INDEX($A$3:$B$12,MATCH(INDEX(Calculation_Tab,SMALL(ROW(Direct_Denaturation)*(Direct_Denaturation&lt;&gt;"-"),COUNTIF(Direct_Denaturation,"-")+ROW()-3-$AB$2-$AN$2)-9,5),$A$3:$A$12,0),2)),"-")</f>
        <v>-</v>
      </c>
      <c r="AY275" s="378" t="str">
        <f t="array" aca="1" ref="AY275" ca="1">IFERROR(IF(AS275&lt;=$AB$2+$AN$2,"-",INDEX(Coordinate,MATCH(INDEX(Calculation_Tab,SMALL(ROW(Direct_Denaturation)*(Direct_Denaturation&lt;&gt;"-"),COUNTIF(Direct_Denaturation,"-")+ROW()-3-$AB$2-$AN$2)-9,6),$X$4:$X$99,0),2)),"-")</f>
        <v>-</v>
      </c>
      <c r="AZ275" s="510" t="str">
        <f t="array" aca="1" ref="AZ275" ca="1">IFERROR(IF(AS275&lt;=$AB$2+$AN$2,"-",INDEX(Calculation_Tab,SMALL(ROW(Direct_Denaturation)*(Direct_Denaturation&lt;&gt;"-"),COUNTIF(Direct_Denaturation,"-")+ROW()-3-$AB$2-$AN$2)-9,32)),"-")</f>
        <v>-</v>
      </c>
      <c r="BA275" s="510" t="str">
        <f t="array" aca="1" ref="BA275" ca="1">IFERROR(IF(AS275&lt;=$AB$2+$AN$2,"-",INDEX(Calculation_Tab,SMALL(ROW(Direct_Denaturation)*(Direct_Denaturation&lt;&gt;"-"),COUNTIF(Direct_Denaturation,"-")+ROW()-3-$AB$2-$AN$2)-9,34)),"-")</f>
        <v>-</v>
      </c>
      <c r="BB275" s="510" t="str">
        <f t="array" aca="1" ref="BB275" ca="1">IFERROR(IF(AS275&lt;=$AB$2+$AN$2,"-",INDEX(Calculation_Tab,SMALL(ROW(Direct_Denaturation)*(Direct_Denaturation&lt;&gt;"-"),COUNTIF(Direct_Denaturation,"-")+ROW()-3-$AB$2-$AN$2)-9,33)),"-")</f>
        <v>-</v>
      </c>
      <c r="BC275" s="510" t="str">
        <f t="array" aca="1" ref="BC275" ca="1">IFERROR(IF(AS275&lt;=$AB$2+$AN$2,"-",INDEX(Calculation_Tab,SMALL(ROW(Direct_Denaturation)*(Direct_Denaturation&lt;&gt;"-"),COUNTIF(Direct_Denaturation,"-")+ROW()-3-$AB$2-$AN$2)-9,35)),"-")</f>
        <v>-</v>
      </c>
      <c r="BD275" s="511" t="str">
        <f t="shared" ca="1" si="143"/>
        <v>-</v>
      </c>
      <c r="BK275" s="542" t="s">
        <v>82</v>
      </c>
      <c r="BL275" s="542" t="s">
        <v>82</v>
      </c>
      <c r="BM275" s="487" t="str">
        <f t="array" aca="1" ref="BM275" ca="1">IFERROR(INDEX(Calculation_Tab,SMALL(ROW(ToPool)*(ToPool&lt;&gt;"-"),COUNTIF(ToPool,"-")+ROW()-3)-9,3),"-")</f>
        <v>-</v>
      </c>
      <c r="BN275" s="378" t="str">
        <f t="shared" ca="1" si="144"/>
        <v>-</v>
      </c>
      <c r="BO275" s="378" t="str">
        <f t="shared" ca="1" si="145"/>
        <v>-</v>
      </c>
      <c r="BP275" s="523" t="str">
        <f t="shared" ca="1" si="146"/>
        <v>-</v>
      </c>
      <c r="BQ275" s="378" t="str">
        <f t="array" aca="1" ref="BQ275" ca="1">IFERROR(INDEX(BE:BG,MATCH(INDEX(Calculation_Tab,SMALL(ROW(ToPool)*(ToPool&lt;&gt;"-"),COUNTIF(ToPool,"-")+ROW()-3)-9,9),BG:BG,0),2),"-")</f>
        <v>-</v>
      </c>
      <c r="BR275" s="510" t="str">
        <f t="shared" ca="1" si="147"/>
        <v>-</v>
      </c>
      <c r="BS275" s="511" t="str">
        <f t="shared" ca="1" si="148"/>
        <v>-</v>
      </c>
      <c r="BT275" s="543" t="s">
        <v>82</v>
      </c>
      <c r="BU275" s="487" t="str">
        <f t="shared" ca="1" si="152"/>
        <v>-</v>
      </c>
      <c r="BV275" s="487" t="str">
        <f t="array" aca="1" ref="BV27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75" s="378" t="str">
        <f t="shared" ca="1" si="149"/>
        <v>-</v>
      </c>
      <c r="BX275" s="378" t="str">
        <f t="shared" ca="1" si="150"/>
        <v>-</v>
      </c>
      <c r="BY275" s="510" t="str">
        <f ca="1">IFERROR(ROUND(INDEX(Cluster,MATCH(IF(LEFT(BV275,4)="Pool",INDEX(Cluster,MATCH(INDEX(Calculation_Tab,MATCH(INDEX($BE$4:$BJ$99,MATCH(BV275,$BE$4:$BE$99,0),3),Flow_Cell_Lane,0),3),Cluster!$F$29:$F$412,0),6),BV275),Identifier_Cluster,0),19)*IF(LEFT(BV275,4)="pool",IF(LEN(INDEX($BE$4:$BJ$99,MATCH(BV275,$BE$4:$BE$99,0),3))=10,2,IF(LEN(INDEX($BE$4:$BJ$99,MATCH(BV275,$BE$4:$BE$99,0),3))&gt;10,LEN(INDEX($BE$4:$BJ$99,MATCH(BV275,$BE$4:$BE$99,0),3))-8,1)),1)*IF(LEFT(BV275,4)="pool",IF(INDEX($BE$4:$BJ$99,MATCH(BV275,$BE$4:$BE$99,0),6)&lt;1,1,INDEX($BE$4:$BJ$99,MATCH(BV275,$BE$4:$BE$99,0),6)),INDEX(Calculation_Tab,MATCH(BV275,Identifier,0),10)),1)*(1+Calculation!$Q$6),"-")</f>
        <v>-</v>
      </c>
      <c r="BZ275" s="378" t="str">
        <f ca="1">IFERROR((0.5/50)*CE275/Calculation!$AG$6*(IF(LEFT(BV275,4)="Pool",IF(LEN(INDEX($BE$4:$BJ$99,MATCH(BV275,$BE$4:$BE$99,0),3))=10,2,IF(LEN(INDEX($BE$4:$BJ$99,MATCH(BV275,$BE$4:$BE$99,0),3))&gt;10,LEN(INDEX($BE$4:$BJ$99,MATCH(BV275,$BE$4:$BE$99,0),3))-8,1)),IF(INDEX(Calculation_Tab,MATCH(BV275,Identifier,0),10)&gt;1,INDEX(Calculation_Tab,MATCH(BV275,Identifier,0),10),1)))*(1+Calculation!$Q$6),"-")</f>
        <v>-</v>
      </c>
      <c r="CA275" s="510" t="str">
        <f ca="1">IFERROR(IF((BZ275*Calculation!$AG$6/0.05)-SUM(BY275:BZ275,CC275)&gt;0,(BZ275*Calculation!$AG$6/0.05)-SUM(BY275:BZ275,CC275),0),"-")</f>
        <v>-</v>
      </c>
      <c r="CB275" s="510" t="str">
        <f ca="1">IFERROR(5/50*CE275*(IF(LEFT(BV275,4)="Pool",IF(LEN(INDEX($BE$4:$BJ$99,MATCH(BV275,$BE$4:$BE$99,0),3))=10,2,IF(LEN(INDEX($BE$4:$BJ$99,MATCH(BV275,$BE$4:$BE$99,0),3))&gt;10,LEN(INDEX($BE$4:$BJ$99,MATCH(BV275,$BE$4:$BE$99,0),3))-8,1)),IF(INDEX(Calculation_Tab,MATCH(BV275,Identifier,0),10)&gt;1,INDEX(Calculation_Tab,MATCH(BV275,Identifier,0),10),1)))*(1+Calculation!$Q$6),"-")</f>
        <v>-</v>
      </c>
      <c r="CC275" s="508" t="str">
        <f ca="1">IFERROR(ROUND(INDEX(Cluster,MATCH(IF(LEFT(BV275,4)="Pool",INDEX(Cluster,MATCH(INDEX(Calculation_Tab,MATCH(INDEX($BE$4:$BJ$99,MATCH(BV275,$BE$4:$BE$99,0),3),Flow_Cell_Lane,0),3),Cluster!$F$29:$F$412,0),6),BV275),Identifier_Cluster,0),20)*IF(LEFT(BV275,4)="pool",IF(LEN(INDEX($BE$4:$BJ$99,MATCH(BV275,$BE$4:$BE$99,0),3))=10,2,IF(LEN(INDEX($BE$4:$BJ$99,MATCH(BV275,$BE$4:$BE$99,0),3))&gt;10,LEN(INDEX($BE$4:$BJ$99,MATCH(BV275,$BE$4:$BE$99,0),3))-8,1)),1)*IF(LEFT(BV275,4)="pool",IF(INDEX($BE$4:$BJ$99,MATCH(BV275,$BE$4:$BE$99,0),6)&lt;1,1,INDEX($BE$4:$BJ$99,MATCH(BV275,$BE$4:$BE$99,0),6)),INDEX(Calculation_Tab,MATCH(BV275,Identifier,0),10)),1)*(1+Calculation!$Q$6),"-")</f>
        <v>-</v>
      </c>
      <c r="CD275" s="509" t="str">
        <f ca="1">IFERROR(INDEX(Cluster!AC:AD,MATCH(IF(LEFT(BV275,4)="Pool",INDEX(Cluster!$D$29:$AA$412,MATCH(INDEX(Calculation_Tab,MATCH(INDEX($BE$4:$BJ$99,MATCH(BV275,$BE$4:$BE$99,0),3),Flow_Cell_Lane,0),3),Cluster!$F$29:$F$412,0),24),INDEX(Cluster!$D$29:$AA$412,MATCH(BV275,Cluster!$F$29:$F$412,0),24)),Cluster!AC:AC,0),2),"-")</f>
        <v>-</v>
      </c>
      <c r="CE275" s="378" t="str">
        <f ca="1">IFERROR(IF(BV275&lt;&gt;"-",Calculation!$AK$6,"-"),"-")</f>
        <v>-</v>
      </c>
      <c r="CF275" s="378" t="str">
        <f ca="1">IF(OR(LEFT(ListAndConversion!BW275,3)="Dil",LEFT(ListAndConversion!BW275,3)="Poo"),ListAndConversion!$BT$4,IF(LEFT(ListAndConversion!BW275,3)="Sou",INDEX(ListAndConversion!$AT$3:$AV$387,MATCH(ListAndConversion!BV275,ListAndConversion!$AV$3:$AV$387,0),1),"-"))</f>
        <v>-</v>
      </c>
      <c r="CG275" s="498" t="str">
        <f ca="1">IF(OR(LEFT(ListAndConversion!BW275,3)="Dil",LEFT(ListAndConversion!BW275,3)="Poo"),ListAndConversion!BU275,IF(LEFT(ListAndConversion!BW275,3)="Sou",INDEX(ListAndConversion!$AT$4:$AV$387,MATCH(ListAndConversion!BV275,ListAndConversion!$AV$4:$AV$387,0),2),"-"))</f>
        <v>-</v>
      </c>
      <c r="CH275" s="378"/>
      <c r="CI275" s="487" t="str">
        <f t="shared" ca="1" si="151"/>
        <v>-</v>
      </c>
      <c r="CJ275" s="378" t="str">
        <f t="shared" ca="1" si="156"/>
        <v>-</v>
      </c>
      <c r="CK275" s="378" t="str">
        <f t="shared" ca="1" si="156"/>
        <v>-</v>
      </c>
      <c r="CL275" s="378" t="str">
        <f t="shared" ca="1" si="156"/>
        <v>-</v>
      </c>
      <c r="CM275" s="378" t="str">
        <f t="shared" ca="1" si="156"/>
        <v>-</v>
      </c>
      <c r="CN275" s="378" t="str">
        <f t="shared" ca="1" si="156"/>
        <v>-</v>
      </c>
      <c r="CO275" s="378" t="str">
        <f t="shared" ca="1" si="156"/>
        <v>-</v>
      </c>
      <c r="CP275" s="378" t="str">
        <f t="shared" ca="1" si="156"/>
        <v>-</v>
      </c>
      <c r="CQ275" s="378" t="str">
        <f t="shared" ca="1" si="156"/>
        <v>-</v>
      </c>
      <c r="CR275" s="510" t="str">
        <f ca="1">IFERROR(IF(LEFT(BW275,3)="Poo",INDEX($BE$4:$BJ$99,MATCH(CI275,$BG$4:$BG$99,0),6)*((15/50))*Calculation!$AK$6,INDEX(Calculation_Tab,MATCH(BV275,Identifier,0),10)/(IF(LEN(INDEX(Calculation_Tab,MATCH(BV275,Identifier,0),9))&gt;8,LEN(INDEX(Calculation_Tab,MATCH(BV275,Identifier,0),9))-8,1))*((15/50)*Calculation!$AK$6)),"-")</f>
        <v>-</v>
      </c>
      <c r="CS275" s="498" t="str">
        <f ca="1">IF(CI275="-","-",IF(COUNTIF($CI$3:CI275,CI275)&gt;1,0,IFERROR((35/50)*Calculation!$AK$6,"-")))</f>
        <v>-</v>
      </c>
    </row>
    <row r="276" spans="4:97" x14ac:dyDescent="0.5">
      <c r="D276" s="487" t="e">
        <f t="shared" si="137"/>
        <v>#DIV/0!</v>
      </c>
      <c r="E276" s="496" t="e">
        <f t="array" ref="E276">IF(IF((ROW(E276)-3)&lt;(ListAndConversion!$A$15),INDEX(Flow_Cell_Lane,MIN(IF(COUNTIF($E$2:E275,Flow_Cell_Lane)=0,ROW(Flow_Cell_Lane)-9))),"-")="","-",IF((ROW(E276)-3)&lt;(ListAndConversion!$A$15),INDEX(Flow_Cell_Lane,MIN(IF(COUNTIF($E$2:E275,Flow_Cell_Lane)=0,ROW(Flow_Cell_Lane)-9))),"-"))</f>
        <v>#DIV/0!</v>
      </c>
      <c r="F276" s="378" t="e">
        <f t="shared" si="138"/>
        <v>#DIV/0!</v>
      </c>
      <c r="G276" s="378" t="e">
        <f t="shared" si="155"/>
        <v>#DIV/0!</v>
      </c>
      <c r="H276" s="378" t="e">
        <f t="shared" si="155"/>
        <v>#DIV/0!</v>
      </c>
      <c r="I276" s="378" t="e">
        <f t="shared" si="155"/>
        <v>#DIV/0!</v>
      </c>
      <c r="J276" s="378" t="e">
        <f t="shared" si="155"/>
        <v>#DIV/0!</v>
      </c>
      <c r="K276" s="378" t="e">
        <f t="shared" si="155"/>
        <v>#DIV/0!</v>
      </c>
      <c r="L276" s="378" t="e">
        <f t="shared" si="155"/>
        <v>#DIV/0!</v>
      </c>
      <c r="M276" s="378" t="e">
        <f t="shared" si="155"/>
        <v>#DIV/0!</v>
      </c>
      <c r="N276" s="497" t="e">
        <f t="shared" si="139"/>
        <v>#DIV/0!</v>
      </c>
      <c r="O276" s="497" t="str">
        <f t="array" ref="O276">IFERROR(INDEX(Calculation!I:AN,MATCH(ListAndConversion!E276,Calculation!I:I,0),31),"-")</f>
        <v>-</v>
      </c>
      <c r="P276" s="498">
        <f>IF(COUNTIFS(Calculation!$I$10:$I$393,E276,Direct_Denaturation,"-")&lt;&gt;1,COUNTIFS(Calculation!$I$10:$I$393,E276,Direct_Denaturation,"-"),0)</f>
        <v>0</v>
      </c>
      <c r="V276" s="542" t="s">
        <v>82</v>
      </c>
      <c r="W276" s="542" t="s">
        <v>82</v>
      </c>
      <c r="X276" s="542" t="s">
        <v>82</v>
      </c>
      <c r="Y276" s="542" t="s">
        <v>82</v>
      </c>
      <c r="Z276" s="542" t="s">
        <v>82</v>
      </c>
      <c r="AA276" s="542" t="s">
        <v>82</v>
      </c>
      <c r="AB276" s="542" t="s">
        <v>82</v>
      </c>
      <c r="AC276" s="542" t="s">
        <v>82</v>
      </c>
      <c r="AD276" s="542" t="s">
        <v>82</v>
      </c>
      <c r="AE276" s="542" t="s">
        <v>82</v>
      </c>
      <c r="AF276" s="542" t="s">
        <v>82</v>
      </c>
      <c r="AG276" s="542" t="s">
        <v>82</v>
      </c>
      <c r="AH276" s="9"/>
      <c r="AI276" s="487">
        <v>273</v>
      </c>
      <c r="AJ276" s="497" t="s">
        <v>162</v>
      </c>
      <c r="AK276" s="378">
        <v>81</v>
      </c>
      <c r="AL276" s="378" t="str">
        <f t="shared" ca="1" si="140"/>
        <v>-</v>
      </c>
      <c r="AM276" s="378" t="str">
        <f t="array" aca="1" ref="AM276" ca="1">IFERROR(IF(AI276&lt;=$AB$2,"-",INDEX(Calculation_Tab,SMALL(ROW(Main_Dil)*(Main_Dil&lt;&gt;"-"),COUNTIF(Main_Dil,"-")+ROW()-3-$AB$2)-9,5)),"-")</f>
        <v>-</v>
      </c>
      <c r="AN276" s="378" t="str">
        <f t="array" aca="1" ref="AN276" ca="1">IFERROR(IF(AI276&lt;=$AB$2,"-",INDEX($A$3:$B$12,MATCH(INDEX(Calculation_Tab,SMALL(ROW(Main_Dil)*(Main_Dil&lt;&gt;"-"),COUNTIF(Main_Dil,"-")+ROW()-3-$AB$2)-9,5),$A$3:$A$12,0),2)),"-")</f>
        <v>-</v>
      </c>
      <c r="AO276" s="378" t="str">
        <f t="array" aca="1" ref="AO276" ca="1">IFERROR(IF(AI276&lt;=$AB$2,"-",INDEX(Coordinate,MATCH(INDEX(Calculation_Tab,SMALL(ROW(Main_Dil)*(Main_Dil&lt;&gt;"-"),COUNTIF(Main_Dil,"-")+ROW()-3-$AB$2)-9,6),$X$4:$X$99,0),2)),"-")</f>
        <v>-</v>
      </c>
      <c r="AP276" s="510" t="str">
        <f t="array" aca="1" ref="AP276" ca="1">IFERROR(IF(AI276&lt;=$AB$2,"-",INDEX(Calculation_Tab,SMALL(ROW(Main_Dil)*(Main_Dil&lt;&gt;"-"),COUNTIF(Main_Dil,"-")+ROW()-3-$AB$2)-9,21)),"-")</f>
        <v>-</v>
      </c>
      <c r="AQ276" s="511" t="str">
        <f t="array" aca="1" ref="AQ276" ca="1">IFERROR(IF(AI276&lt;=$AB$2,"-",INDEX(Calculation_Tab,SMALL(ROW(Main_Dil)*(Main_Dil&lt;&gt;"-"),COUNTIF(Main_Dil,"-")+ROW()-3-$AB$2)-9,22)),"-")</f>
        <v>-</v>
      </c>
      <c r="AR276" s="487" t="str">
        <f t="shared" ca="1" si="141"/>
        <v>-</v>
      </c>
      <c r="AS276" s="378">
        <v>273</v>
      </c>
      <c r="AT276" s="497" t="s">
        <v>162</v>
      </c>
      <c r="AU276" s="498">
        <v>81</v>
      </c>
      <c r="AV276" s="378" t="str">
        <f t="shared" ca="1" si="142"/>
        <v>-</v>
      </c>
      <c r="AW276" s="378" t="str">
        <f t="array" aca="1" ref="AW276" ca="1">IFERROR(IF(AS276&lt;=$AB$2+$AN$2,"-",INDEX(Calculation_Tab,SMALL(ROW(Direct_Denaturation)*(Direct_Denaturation&lt;&gt;"-"),COUNTIF(Direct_Denaturation,"-")+ROW()-3-$AB$2-$AN$2)-9,5)),"-")</f>
        <v>-</v>
      </c>
      <c r="AX276" s="378" t="str">
        <f t="array" aca="1" ref="AX276" ca="1">IFERROR(IF(AS276&lt;=$AB$2+$AN$2,"-",INDEX($A$3:$B$12,MATCH(INDEX(Calculation_Tab,SMALL(ROW(Direct_Denaturation)*(Direct_Denaturation&lt;&gt;"-"),COUNTIF(Direct_Denaturation,"-")+ROW()-3-$AB$2-$AN$2)-9,5),$A$3:$A$12,0),2)),"-")</f>
        <v>-</v>
      </c>
      <c r="AY276" s="378" t="str">
        <f t="array" aca="1" ref="AY276" ca="1">IFERROR(IF(AS276&lt;=$AB$2+$AN$2,"-",INDEX(Coordinate,MATCH(INDEX(Calculation_Tab,SMALL(ROW(Direct_Denaturation)*(Direct_Denaturation&lt;&gt;"-"),COUNTIF(Direct_Denaturation,"-")+ROW()-3-$AB$2-$AN$2)-9,6),$X$4:$X$99,0),2)),"-")</f>
        <v>-</v>
      </c>
      <c r="AZ276" s="510" t="str">
        <f t="array" aca="1" ref="AZ276" ca="1">IFERROR(IF(AS276&lt;=$AB$2+$AN$2,"-",INDEX(Calculation_Tab,SMALL(ROW(Direct_Denaturation)*(Direct_Denaturation&lt;&gt;"-"),COUNTIF(Direct_Denaturation,"-")+ROW()-3-$AB$2-$AN$2)-9,32)),"-")</f>
        <v>-</v>
      </c>
      <c r="BA276" s="510" t="str">
        <f t="array" aca="1" ref="BA276" ca="1">IFERROR(IF(AS276&lt;=$AB$2+$AN$2,"-",INDEX(Calculation_Tab,SMALL(ROW(Direct_Denaturation)*(Direct_Denaturation&lt;&gt;"-"),COUNTIF(Direct_Denaturation,"-")+ROW()-3-$AB$2-$AN$2)-9,34)),"-")</f>
        <v>-</v>
      </c>
      <c r="BB276" s="510" t="str">
        <f t="array" aca="1" ref="BB276" ca="1">IFERROR(IF(AS276&lt;=$AB$2+$AN$2,"-",INDEX(Calculation_Tab,SMALL(ROW(Direct_Denaturation)*(Direct_Denaturation&lt;&gt;"-"),COUNTIF(Direct_Denaturation,"-")+ROW()-3-$AB$2-$AN$2)-9,33)),"-")</f>
        <v>-</v>
      </c>
      <c r="BC276" s="510" t="str">
        <f t="array" aca="1" ref="BC276" ca="1">IFERROR(IF(AS276&lt;=$AB$2+$AN$2,"-",INDEX(Calculation_Tab,SMALL(ROW(Direct_Denaturation)*(Direct_Denaturation&lt;&gt;"-"),COUNTIF(Direct_Denaturation,"-")+ROW()-3-$AB$2-$AN$2)-9,35)),"-")</f>
        <v>-</v>
      </c>
      <c r="BD276" s="511" t="str">
        <f t="shared" ca="1" si="143"/>
        <v>-</v>
      </c>
      <c r="BK276" s="542" t="s">
        <v>82</v>
      </c>
      <c r="BL276" s="542" t="s">
        <v>82</v>
      </c>
      <c r="BM276" s="487" t="str">
        <f t="array" aca="1" ref="BM276" ca="1">IFERROR(INDEX(Calculation_Tab,SMALL(ROW(ToPool)*(ToPool&lt;&gt;"-"),COUNTIF(ToPool,"-")+ROW()-3)-9,3),"-")</f>
        <v>-</v>
      </c>
      <c r="BN276" s="378" t="str">
        <f t="shared" ca="1" si="144"/>
        <v>-</v>
      </c>
      <c r="BO276" s="378" t="str">
        <f t="shared" ca="1" si="145"/>
        <v>-</v>
      </c>
      <c r="BP276" s="523" t="str">
        <f t="shared" ca="1" si="146"/>
        <v>-</v>
      </c>
      <c r="BQ276" s="378" t="str">
        <f t="array" aca="1" ref="BQ276" ca="1">IFERROR(INDEX(BE:BG,MATCH(INDEX(Calculation_Tab,SMALL(ROW(ToPool)*(ToPool&lt;&gt;"-"),COUNTIF(ToPool,"-")+ROW()-3)-9,9),BG:BG,0),2),"-")</f>
        <v>-</v>
      </c>
      <c r="BR276" s="510" t="str">
        <f t="shared" ca="1" si="147"/>
        <v>-</v>
      </c>
      <c r="BS276" s="511" t="str">
        <f t="shared" ca="1" si="148"/>
        <v>-</v>
      </c>
      <c r="BT276" s="543" t="s">
        <v>82</v>
      </c>
      <c r="BU276" s="487" t="str">
        <f t="shared" ca="1" si="152"/>
        <v>-</v>
      </c>
      <c r="BV276" s="487" t="str">
        <f t="array" aca="1" ref="BV27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76" s="378" t="str">
        <f t="shared" ca="1" si="149"/>
        <v>-</v>
      </c>
      <c r="BX276" s="378" t="str">
        <f t="shared" ca="1" si="150"/>
        <v>-</v>
      </c>
      <c r="BY276" s="510" t="str">
        <f ca="1">IFERROR(ROUND(INDEX(Cluster,MATCH(IF(LEFT(BV276,4)="Pool",INDEX(Cluster,MATCH(INDEX(Calculation_Tab,MATCH(INDEX($BE$4:$BJ$99,MATCH(BV276,$BE$4:$BE$99,0),3),Flow_Cell_Lane,0),3),Cluster!$F$29:$F$412,0),6),BV276),Identifier_Cluster,0),19)*IF(LEFT(BV276,4)="pool",IF(LEN(INDEX($BE$4:$BJ$99,MATCH(BV276,$BE$4:$BE$99,0),3))=10,2,IF(LEN(INDEX($BE$4:$BJ$99,MATCH(BV276,$BE$4:$BE$99,0),3))&gt;10,LEN(INDEX($BE$4:$BJ$99,MATCH(BV276,$BE$4:$BE$99,0),3))-8,1)),1)*IF(LEFT(BV276,4)="pool",IF(INDEX($BE$4:$BJ$99,MATCH(BV276,$BE$4:$BE$99,0),6)&lt;1,1,INDEX($BE$4:$BJ$99,MATCH(BV276,$BE$4:$BE$99,0),6)),INDEX(Calculation_Tab,MATCH(BV276,Identifier,0),10)),1)*(1+Calculation!$Q$6),"-")</f>
        <v>-</v>
      </c>
      <c r="BZ276" s="378" t="str">
        <f ca="1">IFERROR((0.5/50)*CE276/Calculation!$AG$6*(IF(LEFT(BV276,4)="Pool",IF(LEN(INDEX($BE$4:$BJ$99,MATCH(BV276,$BE$4:$BE$99,0),3))=10,2,IF(LEN(INDEX($BE$4:$BJ$99,MATCH(BV276,$BE$4:$BE$99,0),3))&gt;10,LEN(INDEX($BE$4:$BJ$99,MATCH(BV276,$BE$4:$BE$99,0),3))-8,1)),IF(INDEX(Calculation_Tab,MATCH(BV276,Identifier,0),10)&gt;1,INDEX(Calculation_Tab,MATCH(BV276,Identifier,0),10),1)))*(1+Calculation!$Q$6),"-")</f>
        <v>-</v>
      </c>
      <c r="CA276" s="510" t="str">
        <f ca="1">IFERROR(IF((BZ276*Calculation!$AG$6/0.05)-SUM(BY276:BZ276,CC276)&gt;0,(BZ276*Calculation!$AG$6/0.05)-SUM(BY276:BZ276,CC276),0),"-")</f>
        <v>-</v>
      </c>
      <c r="CB276" s="510" t="str">
        <f ca="1">IFERROR(5/50*CE276*(IF(LEFT(BV276,4)="Pool",IF(LEN(INDEX($BE$4:$BJ$99,MATCH(BV276,$BE$4:$BE$99,0),3))=10,2,IF(LEN(INDEX($BE$4:$BJ$99,MATCH(BV276,$BE$4:$BE$99,0),3))&gt;10,LEN(INDEX($BE$4:$BJ$99,MATCH(BV276,$BE$4:$BE$99,0),3))-8,1)),IF(INDEX(Calculation_Tab,MATCH(BV276,Identifier,0),10)&gt;1,INDEX(Calculation_Tab,MATCH(BV276,Identifier,0),10),1)))*(1+Calculation!$Q$6),"-")</f>
        <v>-</v>
      </c>
      <c r="CC276" s="508" t="str">
        <f ca="1">IFERROR(ROUND(INDEX(Cluster,MATCH(IF(LEFT(BV276,4)="Pool",INDEX(Cluster,MATCH(INDEX(Calculation_Tab,MATCH(INDEX($BE$4:$BJ$99,MATCH(BV276,$BE$4:$BE$99,0),3),Flow_Cell_Lane,0),3),Cluster!$F$29:$F$412,0),6),BV276),Identifier_Cluster,0),20)*IF(LEFT(BV276,4)="pool",IF(LEN(INDEX($BE$4:$BJ$99,MATCH(BV276,$BE$4:$BE$99,0),3))=10,2,IF(LEN(INDEX($BE$4:$BJ$99,MATCH(BV276,$BE$4:$BE$99,0),3))&gt;10,LEN(INDEX($BE$4:$BJ$99,MATCH(BV276,$BE$4:$BE$99,0),3))-8,1)),1)*IF(LEFT(BV276,4)="pool",IF(INDEX($BE$4:$BJ$99,MATCH(BV276,$BE$4:$BE$99,0),6)&lt;1,1,INDEX($BE$4:$BJ$99,MATCH(BV276,$BE$4:$BE$99,0),6)),INDEX(Calculation_Tab,MATCH(BV276,Identifier,0),10)),1)*(1+Calculation!$Q$6),"-")</f>
        <v>-</v>
      </c>
      <c r="CD276" s="509" t="str">
        <f ca="1">IFERROR(INDEX(Cluster!AC:AD,MATCH(IF(LEFT(BV276,4)="Pool",INDEX(Cluster!$D$29:$AA$412,MATCH(INDEX(Calculation_Tab,MATCH(INDEX($BE$4:$BJ$99,MATCH(BV276,$BE$4:$BE$99,0),3),Flow_Cell_Lane,0),3),Cluster!$F$29:$F$412,0),24),INDEX(Cluster!$D$29:$AA$412,MATCH(BV276,Cluster!$F$29:$F$412,0),24)),Cluster!AC:AC,0),2),"-")</f>
        <v>-</v>
      </c>
      <c r="CE276" s="378" t="str">
        <f ca="1">IFERROR(IF(BV276&lt;&gt;"-",Calculation!$AK$6,"-"),"-")</f>
        <v>-</v>
      </c>
      <c r="CF276" s="378" t="str">
        <f ca="1">IF(OR(LEFT(ListAndConversion!BW276,3)="Dil",LEFT(ListAndConversion!BW276,3)="Poo"),ListAndConversion!$BT$4,IF(LEFT(ListAndConversion!BW276,3)="Sou",INDEX(ListAndConversion!$AT$3:$AV$387,MATCH(ListAndConversion!BV276,ListAndConversion!$AV$3:$AV$387,0),1),"-"))</f>
        <v>-</v>
      </c>
      <c r="CG276" s="498" t="str">
        <f ca="1">IF(OR(LEFT(ListAndConversion!BW276,3)="Dil",LEFT(ListAndConversion!BW276,3)="Poo"),ListAndConversion!BU276,IF(LEFT(ListAndConversion!BW276,3)="Sou",INDEX(ListAndConversion!$AT$4:$AV$387,MATCH(ListAndConversion!BV276,ListAndConversion!$AV$4:$AV$387,0),2),"-"))</f>
        <v>-</v>
      </c>
      <c r="CH276" s="378"/>
      <c r="CI276" s="487" t="str">
        <f t="shared" ca="1" si="151"/>
        <v>-</v>
      </c>
      <c r="CJ276" s="378" t="str">
        <f t="shared" ca="1" si="156"/>
        <v>-</v>
      </c>
      <c r="CK276" s="378" t="str">
        <f t="shared" ca="1" si="156"/>
        <v>-</v>
      </c>
      <c r="CL276" s="378" t="str">
        <f t="shared" ca="1" si="156"/>
        <v>-</v>
      </c>
      <c r="CM276" s="378" t="str">
        <f t="shared" ca="1" si="156"/>
        <v>-</v>
      </c>
      <c r="CN276" s="378" t="str">
        <f t="shared" ca="1" si="156"/>
        <v>-</v>
      </c>
      <c r="CO276" s="378" t="str">
        <f t="shared" ca="1" si="156"/>
        <v>-</v>
      </c>
      <c r="CP276" s="378" t="str">
        <f t="shared" ca="1" si="156"/>
        <v>-</v>
      </c>
      <c r="CQ276" s="378" t="str">
        <f t="shared" ca="1" si="156"/>
        <v>-</v>
      </c>
      <c r="CR276" s="510" t="str">
        <f ca="1">IFERROR(IF(LEFT(BW276,3)="Poo",INDEX($BE$4:$BJ$99,MATCH(CI276,$BG$4:$BG$99,0),6)*((15/50))*Calculation!$AK$6,INDEX(Calculation_Tab,MATCH(BV276,Identifier,0),10)/(IF(LEN(INDEX(Calculation_Tab,MATCH(BV276,Identifier,0),9))&gt;8,LEN(INDEX(Calculation_Tab,MATCH(BV276,Identifier,0),9))-8,1))*((15/50)*Calculation!$AK$6)),"-")</f>
        <v>-</v>
      </c>
      <c r="CS276" s="498" t="str">
        <f ca="1">IF(CI276="-","-",IF(COUNTIF($CI$3:CI276,CI276)&gt;1,0,IFERROR((35/50)*Calculation!$AK$6,"-")))</f>
        <v>-</v>
      </c>
    </row>
    <row r="277" spans="4:97" x14ac:dyDescent="0.5">
      <c r="D277" s="487" t="e">
        <f t="shared" si="137"/>
        <v>#DIV/0!</v>
      </c>
      <c r="E277" s="496" t="e">
        <f t="array" ref="E277">IF(IF((ROW(E277)-3)&lt;(ListAndConversion!$A$15),INDEX(Flow_Cell_Lane,MIN(IF(COUNTIF($E$2:E276,Flow_Cell_Lane)=0,ROW(Flow_Cell_Lane)-9))),"-")="","-",IF((ROW(E277)-3)&lt;(ListAndConversion!$A$15),INDEX(Flow_Cell_Lane,MIN(IF(COUNTIF($E$2:E276,Flow_Cell_Lane)=0,ROW(Flow_Cell_Lane)-9))),"-"))</f>
        <v>#DIV/0!</v>
      </c>
      <c r="F277" s="378" t="e">
        <f t="shared" si="138"/>
        <v>#DIV/0!</v>
      </c>
      <c r="G277" s="378" t="e">
        <f t="shared" si="155"/>
        <v>#DIV/0!</v>
      </c>
      <c r="H277" s="378" t="e">
        <f t="shared" si="155"/>
        <v>#DIV/0!</v>
      </c>
      <c r="I277" s="378" t="e">
        <f t="shared" si="155"/>
        <v>#DIV/0!</v>
      </c>
      <c r="J277" s="378" t="e">
        <f t="shared" si="155"/>
        <v>#DIV/0!</v>
      </c>
      <c r="K277" s="378" t="e">
        <f t="shared" si="155"/>
        <v>#DIV/0!</v>
      </c>
      <c r="L277" s="378" t="e">
        <f t="shared" si="155"/>
        <v>#DIV/0!</v>
      </c>
      <c r="M277" s="378" t="e">
        <f t="shared" si="155"/>
        <v>#DIV/0!</v>
      </c>
      <c r="N277" s="497" t="e">
        <f t="shared" si="139"/>
        <v>#DIV/0!</v>
      </c>
      <c r="O277" s="497" t="str">
        <f t="array" ref="O277">IFERROR(INDEX(Calculation!I:AN,MATCH(ListAndConversion!E277,Calculation!I:I,0),31),"-")</f>
        <v>-</v>
      </c>
      <c r="P277" s="498">
        <f>IF(COUNTIFS(Calculation!$I$10:$I$393,E277,Direct_Denaturation,"-")&lt;&gt;1,COUNTIFS(Calculation!$I$10:$I$393,E277,Direct_Denaturation,"-"),0)</f>
        <v>0</v>
      </c>
      <c r="V277" s="542" t="s">
        <v>82</v>
      </c>
      <c r="W277" s="542" t="s">
        <v>82</v>
      </c>
      <c r="X277" s="542" t="s">
        <v>82</v>
      </c>
      <c r="Y277" s="542" t="s">
        <v>82</v>
      </c>
      <c r="Z277" s="542" t="s">
        <v>82</v>
      </c>
      <c r="AA277" s="542" t="s">
        <v>82</v>
      </c>
      <c r="AB277" s="542" t="s">
        <v>82</v>
      </c>
      <c r="AC277" s="542" t="s">
        <v>82</v>
      </c>
      <c r="AD277" s="542" t="s">
        <v>82</v>
      </c>
      <c r="AE277" s="542" t="s">
        <v>82</v>
      </c>
      <c r="AF277" s="542" t="s">
        <v>82</v>
      </c>
      <c r="AG277" s="542" t="s">
        <v>82</v>
      </c>
      <c r="AH277" s="9"/>
      <c r="AI277" s="487">
        <v>274</v>
      </c>
      <c r="AJ277" s="497" t="s">
        <v>162</v>
      </c>
      <c r="AK277" s="378">
        <v>82</v>
      </c>
      <c r="AL277" s="378" t="str">
        <f t="shared" ca="1" si="140"/>
        <v>-</v>
      </c>
      <c r="AM277" s="378" t="str">
        <f t="array" aca="1" ref="AM277" ca="1">IFERROR(IF(AI277&lt;=$AB$2,"-",INDEX(Calculation_Tab,SMALL(ROW(Main_Dil)*(Main_Dil&lt;&gt;"-"),COUNTIF(Main_Dil,"-")+ROW()-3-$AB$2)-9,5)),"-")</f>
        <v>-</v>
      </c>
      <c r="AN277" s="378" t="str">
        <f t="array" aca="1" ref="AN277" ca="1">IFERROR(IF(AI277&lt;=$AB$2,"-",INDEX($A$3:$B$12,MATCH(INDEX(Calculation_Tab,SMALL(ROW(Main_Dil)*(Main_Dil&lt;&gt;"-"),COUNTIF(Main_Dil,"-")+ROW()-3-$AB$2)-9,5),$A$3:$A$12,0),2)),"-")</f>
        <v>-</v>
      </c>
      <c r="AO277" s="378" t="str">
        <f t="array" aca="1" ref="AO277" ca="1">IFERROR(IF(AI277&lt;=$AB$2,"-",INDEX(Coordinate,MATCH(INDEX(Calculation_Tab,SMALL(ROW(Main_Dil)*(Main_Dil&lt;&gt;"-"),COUNTIF(Main_Dil,"-")+ROW()-3-$AB$2)-9,6),$X$4:$X$99,0),2)),"-")</f>
        <v>-</v>
      </c>
      <c r="AP277" s="510" t="str">
        <f t="array" aca="1" ref="AP277" ca="1">IFERROR(IF(AI277&lt;=$AB$2,"-",INDEX(Calculation_Tab,SMALL(ROW(Main_Dil)*(Main_Dil&lt;&gt;"-"),COUNTIF(Main_Dil,"-")+ROW()-3-$AB$2)-9,21)),"-")</f>
        <v>-</v>
      </c>
      <c r="AQ277" s="511" t="str">
        <f t="array" aca="1" ref="AQ277" ca="1">IFERROR(IF(AI277&lt;=$AB$2,"-",INDEX(Calculation_Tab,SMALL(ROW(Main_Dil)*(Main_Dil&lt;&gt;"-"),COUNTIF(Main_Dil,"-")+ROW()-3-$AB$2)-9,22)),"-")</f>
        <v>-</v>
      </c>
      <c r="AR277" s="487" t="str">
        <f t="shared" ca="1" si="141"/>
        <v>-</v>
      </c>
      <c r="AS277" s="378">
        <v>274</v>
      </c>
      <c r="AT277" s="497" t="s">
        <v>162</v>
      </c>
      <c r="AU277" s="498">
        <v>82</v>
      </c>
      <c r="AV277" s="378" t="str">
        <f t="shared" ca="1" si="142"/>
        <v>-</v>
      </c>
      <c r="AW277" s="378" t="str">
        <f t="array" aca="1" ref="AW277" ca="1">IFERROR(IF(AS277&lt;=$AB$2+$AN$2,"-",INDEX(Calculation_Tab,SMALL(ROW(Direct_Denaturation)*(Direct_Denaturation&lt;&gt;"-"),COUNTIF(Direct_Denaturation,"-")+ROW()-3-$AB$2-$AN$2)-9,5)),"-")</f>
        <v>-</v>
      </c>
      <c r="AX277" s="378" t="str">
        <f t="array" aca="1" ref="AX277" ca="1">IFERROR(IF(AS277&lt;=$AB$2+$AN$2,"-",INDEX($A$3:$B$12,MATCH(INDEX(Calculation_Tab,SMALL(ROW(Direct_Denaturation)*(Direct_Denaturation&lt;&gt;"-"),COUNTIF(Direct_Denaturation,"-")+ROW()-3-$AB$2-$AN$2)-9,5),$A$3:$A$12,0),2)),"-")</f>
        <v>-</v>
      </c>
      <c r="AY277" s="378" t="str">
        <f t="array" aca="1" ref="AY277" ca="1">IFERROR(IF(AS277&lt;=$AB$2+$AN$2,"-",INDEX(Coordinate,MATCH(INDEX(Calculation_Tab,SMALL(ROW(Direct_Denaturation)*(Direct_Denaturation&lt;&gt;"-"),COUNTIF(Direct_Denaturation,"-")+ROW()-3-$AB$2-$AN$2)-9,6),$X$4:$X$99,0),2)),"-")</f>
        <v>-</v>
      </c>
      <c r="AZ277" s="510" t="str">
        <f t="array" aca="1" ref="AZ277" ca="1">IFERROR(IF(AS277&lt;=$AB$2+$AN$2,"-",INDEX(Calculation_Tab,SMALL(ROW(Direct_Denaturation)*(Direct_Denaturation&lt;&gt;"-"),COUNTIF(Direct_Denaturation,"-")+ROW()-3-$AB$2-$AN$2)-9,32)),"-")</f>
        <v>-</v>
      </c>
      <c r="BA277" s="510" t="str">
        <f t="array" aca="1" ref="BA277" ca="1">IFERROR(IF(AS277&lt;=$AB$2+$AN$2,"-",INDEX(Calculation_Tab,SMALL(ROW(Direct_Denaturation)*(Direct_Denaturation&lt;&gt;"-"),COUNTIF(Direct_Denaturation,"-")+ROW()-3-$AB$2-$AN$2)-9,34)),"-")</f>
        <v>-</v>
      </c>
      <c r="BB277" s="510" t="str">
        <f t="array" aca="1" ref="BB277" ca="1">IFERROR(IF(AS277&lt;=$AB$2+$AN$2,"-",INDEX(Calculation_Tab,SMALL(ROW(Direct_Denaturation)*(Direct_Denaturation&lt;&gt;"-"),COUNTIF(Direct_Denaturation,"-")+ROW()-3-$AB$2-$AN$2)-9,33)),"-")</f>
        <v>-</v>
      </c>
      <c r="BC277" s="510" t="str">
        <f t="array" aca="1" ref="BC277" ca="1">IFERROR(IF(AS277&lt;=$AB$2+$AN$2,"-",INDEX(Calculation_Tab,SMALL(ROW(Direct_Denaturation)*(Direct_Denaturation&lt;&gt;"-"),COUNTIF(Direct_Denaturation,"-")+ROW()-3-$AB$2-$AN$2)-9,35)),"-")</f>
        <v>-</v>
      </c>
      <c r="BD277" s="511" t="str">
        <f t="shared" ca="1" si="143"/>
        <v>-</v>
      </c>
      <c r="BK277" s="542" t="s">
        <v>82</v>
      </c>
      <c r="BL277" s="542" t="s">
        <v>82</v>
      </c>
      <c r="BM277" s="487" t="str">
        <f t="array" aca="1" ref="BM277" ca="1">IFERROR(INDEX(Calculation_Tab,SMALL(ROW(ToPool)*(ToPool&lt;&gt;"-"),COUNTIF(ToPool,"-")+ROW()-3)-9,3),"-")</f>
        <v>-</v>
      </c>
      <c r="BN277" s="378" t="str">
        <f t="shared" ca="1" si="144"/>
        <v>-</v>
      </c>
      <c r="BO277" s="378" t="str">
        <f t="shared" ca="1" si="145"/>
        <v>-</v>
      </c>
      <c r="BP277" s="523" t="str">
        <f t="shared" ca="1" si="146"/>
        <v>-</v>
      </c>
      <c r="BQ277" s="378" t="str">
        <f t="array" aca="1" ref="BQ277" ca="1">IFERROR(INDEX(BE:BG,MATCH(INDEX(Calculation_Tab,SMALL(ROW(ToPool)*(ToPool&lt;&gt;"-"),COUNTIF(ToPool,"-")+ROW()-3)-9,9),BG:BG,0),2),"-")</f>
        <v>-</v>
      </c>
      <c r="BR277" s="510" t="str">
        <f t="shared" ca="1" si="147"/>
        <v>-</v>
      </c>
      <c r="BS277" s="511" t="str">
        <f t="shared" ca="1" si="148"/>
        <v>-</v>
      </c>
      <c r="BT277" s="543" t="s">
        <v>82</v>
      </c>
      <c r="BU277" s="487" t="str">
        <f t="shared" ca="1" si="152"/>
        <v>-</v>
      </c>
      <c r="BV277" s="487" t="str">
        <f t="array" aca="1" ref="BV27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77" s="378" t="str">
        <f t="shared" ca="1" si="149"/>
        <v>-</v>
      </c>
      <c r="BX277" s="378" t="str">
        <f t="shared" ca="1" si="150"/>
        <v>-</v>
      </c>
      <c r="BY277" s="510" t="str">
        <f ca="1">IFERROR(ROUND(INDEX(Cluster,MATCH(IF(LEFT(BV277,4)="Pool",INDEX(Cluster,MATCH(INDEX(Calculation_Tab,MATCH(INDEX($BE$4:$BJ$99,MATCH(BV277,$BE$4:$BE$99,0),3),Flow_Cell_Lane,0),3),Cluster!$F$29:$F$412,0),6),BV277),Identifier_Cluster,0),19)*IF(LEFT(BV277,4)="pool",IF(LEN(INDEX($BE$4:$BJ$99,MATCH(BV277,$BE$4:$BE$99,0),3))=10,2,IF(LEN(INDEX($BE$4:$BJ$99,MATCH(BV277,$BE$4:$BE$99,0),3))&gt;10,LEN(INDEX($BE$4:$BJ$99,MATCH(BV277,$BE$4:$BE$99,0),3))-8,1)),1)*IF(LEFT(BV277,4)="pool",IF(INDEX($BE$4:$BJ$99,MATCH(BV277,$BE$4:$BE$99,0),6)&lt;1,1,INDEX($BE$4:$BJ$99,MATCH(BV277,$BE$4:$BE$99,0),6)),INDEX(Calculation_Tab,MATCH(BV277,Identifier,0),10)),1)*(1+Calculation!$Q$6),"-")</f>
        <v>-</v>
      </c>
      <c r="BZ277" s="378" t="str">
        <f ca="1">IFERROR((0.5/50)*CE277/Calculation!$AG$6*(IF(LEFT(BV277,4)="Pool",IF(LEN(INDEX($BE$4:$BJ$99,MATCH(BV277,$BE$4:$BE$99,0),3))=10,2,IF(LEN(INDEX($BE$4:$BJ$99,MATCH(BV277,$BE$4:$BE$99,0),3))&gt;10,LEN(INDEX($BE$4:$BJ$99,MATCH(BV277,$BE$4:$BE$99,0),3))-8,1)),IF(INDEX(Calculation_Tab,MATCH(BV277,Identifier,0),10)&gt;1,INDEX(Calculation_Tab,MATCH(BV277,Identifier,0),10),1)))*(1+Calculation!$Q$6),"-")</f>
        <v>-</v>
      </c>
      <c r="CA277" s="510" t="str">
        <f ca="1">IFERROR(IF((BZ277*Calculation!$AG$6/0.05)-SUM(BY277:BZ277,CC277)&gt;0,(BZ277*Calculation!$AG$6/0.05)-SUM(BY277:BZ277,CC277),0),"-")</f>
        <v>-</v>
      </c>
      <c r="CB277" s="510" t="str">
        <f ca="1">IFERROR(5/50*CE277*(IF(LEFT(BV277,4)="Pool",IF(LEN(INDEX($BE$4:$BJ$99,MATCH(BV277,$BE$4:$BE$99,0),3))=10,2,IF(LEN(INDEX($BE$4:$BJ$99,MATCH(BV277,$BE$4:$BE$99,0),3))&gt;10,LEN(INDEX($BE$4:$BJ$99,MATCH(BV277,$BE$4:$BE$99,0),3))-8,1)),IF(INDEX(Calculation_Tab,MATCH(BV277,Identifier,0),10)&gt;1,INDEX(Calculation_Tab,MATCH(BV277,Identifier,0),10),1)))*(1+Calculation!$Q$6),"-")</f>
        <v>-</v>
      </c>
      <c r="CC277" s="508" t="str">
        <f ca="1">IFERROR(ROUND(INDEX(Cluster,MATCH(IF(LEFT(BV277,4)="Pool",INDEX(Cluster,MATCH(INDEX(Calculation_Tab,MATCH(INDEX($BE$4:$BJ$99,MATCH(BV277,$BE$4:$BE$99,0),3),Flow_Cell_Lane,0),3),Cluster!$F$29:$F$412,0),6),BV277),Identifier_Cluster,0),20)*IF(LEFT(BV277,4)="pool",IF(LEN(INDEX($BE$4:$BJ$99,MATCH(BV277,$BE$4:$BE$99,0),3))=10,2,IF(LEN(INDEX($BE$4:$BJ$99,MATCH(BV277,$BE$4:$BE$99,0),3))&gt;10,LEN(INDEX($BE$4:$BJ$99,MATCH(BV277,$BE$4:$BE$99,0),3))-8,1)),1)*IF(LEFT(BV277,4)="pool",IF(INDEX($BE$4:$BJ$99,MATCH(BV277,$BE$4:$BE$99,0),6)&lt;1,1,INDEX($BE$4:$BJ$99,MATCH(BV277,$BE$4:$BE$99,0),6)),INDEX(Calculation_Tab,MATCH(BV277,Identifier,0),10)),1)*(1+Calculation!$Q$6),"-")</f>
        <v>-</v>
      </c>
      <c r="CD277" s="509" t="str">
        <f ca="1">IFERROR(INDEX(Cluster!AC:AD,MATCH(IF(LEFT(BV277,4)="Pool",INDEX(Cluster!$D$29:$AA$412,MATCH(INDEX(Calculation_Tab,MATCH(INDEX($BE$4:$BJ$99,MATCH(BV277,$BE$4:$BE$99,0),3),Flow_Cell_Lane,0),3),Cluster!$F$29:$F$412,0),24),INDEX(Cluster!$D$29:$AA$412,MATCH(BV277,Cluster!$F$29:$F$412,0),24)),Cluster!AC:AC,0),2),"-")</f>
        <v>-</v>
      </c>
      <c r="CE277" s="378" t="str">
        <f ca="1">IFERROR(IF(BV277&lt;&gt;"-",Calculation!$AK$6,"-"),"-")</f>
        <v>-</v>
      </c>
      <c r="CF277" s="378" t="str">
        <f ca="1">IF(OR(LEFT(ListAndConversion!BW277,3)="Dil",LEFT(ListAndConversion!BW277,3)="Poo"),ListAndConversion!$BT$4,IF(LEFT(ListAndConversion!BW277,3)="Sou",INDEX(ListAndConversion!$AT$3:$AV$387,MATCH(ListAndConversion!BV277,ListAndConversion!$AV$3:$AV$387,0),1),"-"))</f>
        <v>-</v>
      </c>
      <c r="CG277" s="498" t="str">
        <f ca="1">IF(OR(LEFT(ListAndConversion!BW277,3)="Dil",LEFT(ListAndConversion!BW277,3)="Poo"),ListAndConversion!BU277,IF(LEFT(ListAndConversion!BW277,3)="Sou",INDEX(ListAndConversion!$AT$4:$AV$387,MATCH(ListAndConversion!BV277,ListAndConversion!$AV$4:$AV$387,0),2),"-"))</f>
        <v>-</v>
      </c>
      <c r="CH277" s="378"/>
      <c r="CI277" s="487" t="str">
        <f t="shared" ca="1" si="151"/>
        <v>-</v>
      </c>
      <c r="CJ277" s="378" t="str">
        <f t="shared" ca="1" si="156"/>
        <v>-</v>
      </c>
      <c r="CK277" s="378" t="str">
        <f t="shared" ca="1" si="156"/>
        <v>-</v>
      </c>
      <c r="CL277" s="378" t="str">
        <f t="shared" ca="1" si="156"/>
        <v>-</v>
      </c>
      <c r="CM277" s="378" t="str">
        <f t="shared" ca="1" si="156"/>
        <v>-</v>
      </c>
      <c r="CN277" s="378" t="str">
        <f t="shared" ca="1" si="156"/>
        <v>-</v>
      </c>
      <c r="CO277" s="378" t="str">
        <f t="shared" ca="1" si="156"/>
        <v>-</v>
      </c>
      <c r="CP277" s="378" t="str">
        <f t="shared" ca="1" si="156"/>
        <v>-</v>
      </c>
      <c r="CQ277" s="378" t="str">
        <f t="shared" ca="1" si="156"/>
        <v>-</v>
      </c>
      <c r="CR277" s="510" t="str">
        <f ca="1">IFERROR(IF(LEFT(BW277,3)="Poo",INDEX($BE$4:$BJ$99,MATCH(CI277,$BG$4:$BG$99,0),6)*((15/50))*Calculation!$AK$6,INDEX(Calculation_Tab,MATCH(BV277,Identifier,0),10)/(IF(LEN(INDEX(Calculation_Tab,MATCH(BV277,Identifier,0),9))&gt;8,LEN(INDEX(Calculation_Tab,MATCH(BV277,Identifier,0),9))-8,1))*((15/50)*Calculation!$AK$6)),"-")</f>
        <v>-</v>
      </c>
      <c r="CS277" s="498" t="str">
        <f ca="1">IF(CI277="-","-",IF(COUNTIF($CI$3:CI277,CI277)&gt;1,0,IFERROR((35/50)*Calculation!$AK$6,"-")))</f>
        <v>-</v>
      </c>
    </row>
    <row r="278" spans="4:97" x14ac:dyDescent="0.5">
      <c r="D278" s="487" t="e">
        <f t="shared" si="137"/>
        <v>#DIV/0!</v>
      </c>
      <c r="E278" s="496" t="e">
        <f t="array" ref="E278">IF(IF((ROW(E278)-3)&lt;(ListAndConversion!$A$15),INDEX(Flow_Cell_Lane,MIN(IF(COUNTIF($E$2:E277,Flow_Cell_Lane)=0,ROW(Flow_Cell_Lane)-9))),"-")="","-",IF((ROW(E278)-3)&lt;(ListAndConversion!$A$15),INDEX(Flow_Cell_Lane,MIN(IF(COUNTIF($E$2:E277,Flow_Cell_Lane)=0,ROW(Flow_Cell_Lane)-9))),"-"))</f>
        <v>#DIV/0!</v>
      </c>
      <c r="F278" s="378" t="e">
        <f t="shared" si="138"/>
        <v>#DIV/0!</v>
      </c>
      <c r="G278" s="378" t="e">
        <f t="shared" si="155"/>
        <v>#DIV/0!</v>
      </c>
      <c r="H278" s="378" t="e">
        <f t="shared" si="155"/>
        <v>#DIV/0!</v>
      </c>
      <c r="I278" s="378" t="e">
        <f t="shared" si="155"/>
        <v>#DIV/0!</v>
      </c>
      <c r="J278" s="378" t="e">
        <f t="shared" si="155"/>
        <v>#DIV/0!</v>
      </c>
      <c r="K278" s="378" t="e">
        <f t="shared" si="155"/>
        <v>#DIV/0!</v>
      </c>
      <c r="L278" s="378" t="e">
        <f t="shared" si="155"/>
        <v>#DIV/0!</v>
      </c>
      <c r="M278" s="378" t="e">
        <f t="shared" si="155"/>
        <v>#DIV/0!</v>
      </c>
      <c r="N278" s="497" t="e">
        <f t="shared" si="139"/>
        <v>#DIV/0!</v>
      </c>
      <c r="O278" s="497" t="str">
        <f t="array" ref="O278">IFERROR(INDEX(Calculation!I:AN,MATCH(ListAndConversion!E278,Calculation!I:I,0),31),"-")</f>
        <v>-</v>
      </c>
      <c r="P278" s="498">
        <f>IF(COUNTIFS(Calculation!$I$10:$I$393,E278,Direct_Denaturation,"-")&lt;&gt;1,COUNTIFS(Calculation!$I$10:$I$393,E278,Direct_Denaturation,"-"),0)</f>
        <v>0</v>
      </c>
      <c r="V278" s="542" t="s">
        <v>82</v>
      </c>
      <c r="W278" s="542" t="s">
        <v>82</v>
      </c>
      <c r="X278" s="542" t="s">
        <v>82</v>
      </c>
      <c r="Y278" s="542" t="s">
        <v>82</v>
      </c>
      <c r="Z278" s="542" t="s">
        <v>82</v>
      </c>
      <c r="AA278" s="542" t="s">
        <v>82</v>
      </c>
      <c r="AB278" s="542" t="s">
        <v>82</v>
      </c>
      <c r="AC278" s="542" t="s">
        <v>82</v>
      </c>
      <c r="AD278" s="542" t="s">
        <v>82</v>
      </c>
      <c r="AE278" s="542" t="s">
        <v>82</v>
      </c>
      <c r="AF278" s="542" t="s">
        <v>82</v>
      </c>
      <c r="AG278" s="542" t="s">
        <v>82</v>
      </c>
      <c r="AH278" s="9"/>
      <c r="AI278" s="487">
        <v>275</v>
      </c>
      <c r="AJ278" s="497" t="s">
        <v>162</v>
      </c>
      <c r="AK278" s="378">
        <v>83</v>
      </c>
      <c r="AL278" s="378" t="str">
        <f t="shared" ca="1" si="140"/>
        <v>-</v>
      </c>
      <c r="AM278" s="378" t="str">
        <f t="array" aca="1" ref="AM278" ca="1">IFERROR(IF(AI278&lt;=$AB$2,"-",INDEX(Calculation_Tab,SMALL(ROW(Main_Dil)*(Main_Dil&lt;&gt;"-"),COUNTIF(Main_Dil,"-")+ROW()-3-$AB$2)-9,5)),"-")</f>
        <v>-</v>
      </c>
      <c r="AN278" s="378" t="str">
        <f t="array" aca="1" ref="AN278" ca="1">IFERROR(IF(AI278&lt;=$AB$2,"-",INDEX($A$3:$B$12,MATCH(INDEX(Calculation_Tab,SMALL(ROW(Main_Dil)*(Main_Dil&lt;&gt;"-"),COUNTIF(Main_Dil,"-")+ROW()-3-$AB$2)-9,5),$A$3:$A$12,0),2)),"-")</f>
        <v>-</v>
      </c>
      <c r="AO278" s="378" t="str">
        <f t="array" aca="1" ref="AO278" ca="1">IFERROR(IF(AI278&lt;=$AB$2,"-",INDEX(Coordinate,MATCH(INDEX(Calculation_Tab,SMALL(ROW(Main_Dil)*(Main_Dil&lt;&gt;"-"),COUNTIF(Main_Dil,"-")+ROW()-3-$AB$2)-9,6),$X$4:$X$99,0),2)),"-")</f>
        <v>-</v>
      </c>
      <c r="AP278" s="510" t="str">
        <f t="array" aca="1" ref="AP278" ca="1">IFERROR(IF(AI278&lt;=$AB$2,"-",INDEX(Calculation_Tab,SMALL(ROW(Main_Dil)*(Main_Dil&lt;&gt;"-"),COUNTIF(Main_Dil,"-")+ROW()-3-$AB$2)-9,21)),"-")</f>
        <v>-</v>
      </c>
      <c r="AQ278" s="511" t="str">
        <f t="array" aca="1" ref="AQ278" ca="1">IFERROR(IF(AI278&lt;=$AB$2,"-",INDEX(Calculation_Tab,SMALL(ROW(Main_Dil)*(Main_Dil&lt;&gt;"-"),COUNTIF(Main_Dil,"-")+ROW()-3-$AB$2)-9,22)),"-")</f>
        <v>-</v>
      </c>
      <c r="AR278" s="487" t="str">
        <f t="shared" ca="1" si="141"/>
        <v>-</v>
      </c>
      <c r="AS278" s="378">
        <v>275</v>
      </c>
      <c r="AT278" s="497" t="s">
        <v>162</v>
      </c>
      <c r="AU278" s="498">
        <v>83</v>
      </c>
      <c r="AV278" s="378" t="str">
        <f t="shared" ca="1" si="142"/>
        <v>-</v>
      </c>
      <c r="AW278" s="378" t="str">
        <f t="array" aca="1" ref="AW278" ca="1">IFERROR(IF(AS278&lt;=$AB$2+$AN$2,"-",INDEX(Calculation_Tab,SMALL(ROW(Direct_Denaturation)*(Direct_Denaturation&lt;&gt;"-"),COUNTIF(Direct_Denaturation,"-")+ROW()-3-$AB$2-$AN$2)-9,5)),"-")</f>
        <v>-</v>
      </c>
      <c r="AX278" s="378" t="str">
        <f t="array" aca="1" ref="AX278" ca="1">IFERROR(IF(AS278&lt;=$AB$2+$AN$2,"-",INDEX($A$3:$B$12,MATCH(INDEX(Calculation_Tab,SMALL(ROW(Direct_Denaturation)*(Direct_Denaturation&lt;&gt;"-"),COUNTIF(Direct_Denaturation,"-")+ROW()-3-$AB$2-$AN$2)-9,5),$A$3:$A$12,0),2)),"-")</f>
        <v>-</v>
      </c>
      <c r="AY278" s="378" t="str">
        <f t="array" aca="1" ref="AY278" ca="1">IFERROR(IF(AS278&lt;=$AB$2+$AN$2,"-",INDEX(Coordinate,MATCH(INDEX(Calculation_Tab,SMALL(ROW(Direct_Denaturation)*(Direct_Denaturation&lt;&gt;"-"),COUNTIF(Direct_Denaturation,"-")+ROW()-3-$AB$2-$AN$2)-9,6),$X$4:$X$99,0),2)),"-")</f>
        <v>-</v>
      </c>
      <c r="AZ278" s="510" t="str">
        <f t="array" aca="1" ref="AZ278" ca="1">IFERROR(IF(AS278&lt;=$AB$2+$AN$2,"-",INDEX(Calculation_Tab,SMALL(ROW(Direct_Denaturation)*(Direct_Denaturation&lt;&gt;"-"),COUNTIF(Direct_Denaturation,"-")+ROW()-3-$AB$2-$AN$2)-9,32)),"-")</f>
        <v>-</v>
      </c>
      <c r="BA278" s="510" t="str">
        <f t="array" aca="1" ref="BA278" ca="1">IFERROR(IF(AS278&lt;=$AB$2+$AN$2,"-",INDEX(Calculation_Tab,SMALL(ROW(Direct_Denaturation)*(Direct_Denaturation&lt;&gt;"-"),COUNTIF(Direct_Denaturation,"-")+ROW()-3-$AB$2-$AN$2)-9,34)),"-")</f>
        <v>-</v>
      </c>
      <c r="BB278" s="510" t="str">
        <f t="array" aca="1" ref="BB278" ca="1">IFERROR(IF(AS278&lt;=$AB$2+$AN$2,"-",INDEX(Calculation_Tab,SMALL(ROW(Direct_Denaturation)*(Direct_Denaturation&lt;&gt;"-"),COUNTIF(Direct_Denaturation,"-")+ROW()-3-$AB$2-$AN$2)-9,33)),"-")</f>
        <v>-</v>
      </c>
      <c r="BC278" s="510" t="str">
        <f t="array" aca="1" ref="BC278" ca="1">IFERROR(IF(AS278&lt;=$AB$2+$AN$2,"-",INDEX(Calculation_Tab,SMALL(ROW(Direct_Denaturation)*(Direct_Denaturation&lt;&gt;"-"),COUNTIF(Direct_Denaturation,"-")+ROW()-3-$AB$2-$AN$2)-9,35)),"-")</f>
        <v>-</v>
      </c>
      <c r="BD278" s="511" t="str">
        <f t="shared" ca="1" si="143"/>
        <v>-</v>
      </c>
      <c r="BK278" s="542" t="s">
        <v>82</v>
      </c>
      <c r="BL278" s="542" t="s">
        <v>82</v>
      </c>
      <c r="BM278" s="487" t="str">
        <f t="array" aca="1" ref="BM278" ca="1">IFERROR(INDEX(Calculation_Tab,SMALL(ROW(ToPool)*(ToPool&lt;&gt;"-"),COUNTIF(ToPool,"-")+ROW()-3)-9,3),"-")</f>
        <v>-</v>
      </c>
      <c r="BN278" s="378" t="str">
        <f t="shared" ca="1" si="144"/>
        <v>-</v>
      </c>
      <c r="BO278" s="378" t="str">
        <f t="shared" ca="1" si="145"/>
        <v>-</v>
      </c>
      <c r="BP278" s="523" t="str">
        <f t="shared" ca="1" si="146"/>
        <v>-</v>
      </c>
      <c r="BQ278" s="378" t="str">
        <f t="array" aca="1" ref="BQ278" ca="1">IFERROR(INDEX(BE:BG,MATCH(INDEX(Calculation_Tab,SMALL(ROW(ToPool)*(ToPool&lt;&gt;"-"),COUNTIF(ToPool,"-")+ROW()-3)-9,9),BG:BG,0),2),"-")</f>
        <v>-</v>
      </c>
      <c r="BR278" s="510" t="str">
        <f t="shared" ca="1" si="147"/>
        <v>-</v>
      </c>
      <c r="BS278" s="511" t="str">
        <f t="shared" ca="1" si="148"/>
        <v>-</v>
      </c>
      <c r="BT278" s="543" t="s">
        <v>82</v>
      </c>
      <c r="BU278" s="487" t="str">
        <f t="shared" ca="1" si="152"/>
        <v>-</v>
      </c>
      <c r="BV278" s="487" t="str">
        <f t="array" aca="1" ref="BV27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78" s="378" t="str">
        <f t="shared" ca="1" si="149"/>
        <v>-</v>
      </c>
      <c r="BX278" s="378" t="str">
        <f t="shared" ca="1" si="150"/>
        <v>-</v>
      </c>
      <c r="BY278" s="510" t="str">
        <f ca="1">IFERROR(ROUND(INDEX(Cluster,MATCH(IF(LEFT(BV278,4)="Pool",INDEX(Cluster,MATCH(INDEX(Calculation_Tab,MATCH(INDEX($BE$4:$BJ$99,MATCH(BV278,$BE$4:$BE$99,0),3),Flow_Cell_Lane,0),3),Cluster!$F$29:$F$412,0),6),BV278),Identifier_Cluster,0),19)*IF(LEFT(BV278,4)="pool",IF(LEN(INDEX($BE$4:$BJ$99,MATCH(BV278,$BE$4:$BE$99,0),3))=10,2,IF(LEN(INDEX($BE$4:$BJ$99,MATCH(BV278,$BE$4:$BE$99,0),3))&gt;10,LEN(INDEX($BE$4:$BJ$99,MATCH(BV278,$BE$4:$BE$99,0),3))-8,1)),1)*IF(LEFT(BV278,4)="pool",IF(INDEX($BE$4:$BJ$99,MATCH(BV278,$BE$4:$BE$99,0),6)&lt;1,1,INDEX($BE$4:$BJ$99,MATCH(BV278,$BE$4:$BE$99,0),6)),INDEX(Calculation_Tab,MATCH(BV278,Identifier,0),10)),1)*(1+Calculation!$Q$6),"-")</f>
        <v>-</v>
      </c>
      <c r="BZ278" s="378" t="str">
        <f ca="1">IFERROR((0.5/50)*CE278/Calculation!$AG$6*(IF(LEFT(BV278,4)="Pool",IF(LEN(INDEX($BE$4:$BJ$99,MATCH(BV278,$BE$4:$BE$99,0),3))=10,2,IF(LEN(INDEX($BE$4:$BJ$99,MATCH(BV278,$BE$4:$BE$99,0),3))&gt;10,LEN(INDEX($BE$4:$BJ$99,MATCH(BV278,$BE$4:$BE$99,0),3))-8,1)),IF(INDEX(Calculation_Tab,MATCH(BV278,Identifier,0),10)&gt;1,INDEX(Calculation_Tab,MATCH(BV278,Identifier,0),10),1)))*(1+Calculation!$Q$6),"-")</f>
        <v>-</v>
      </c>
      <c r="CA278" s="510" t="str">
        <f ca="1">IFERROR(IF((BZ278*Calculation!$AG$6/0.05)-SUM(BY278:BZ278,CC278)&gt;0,(BZ278*Calculation!$AG$6/0.05)-SUM(BY278:BZ278,CC278),0),"-")</f>
        <v>-</v>
      </c>
      <c r="CB278" s="510" t="str">
        <f ca="1">IFERROR(5/50*CE278*(IF(LEFT(BV278,4)="Pool",IF(LEN(INDEX($BE$4:$BJ$99,MATCH(BV278,$BE$4:$BE$99,0),3))=10,2,IF(LEN(INDEX($BE$4:$BJ$99,MATCH(BV278,$BE$4:$BE$99,0),3))&gt;10,LEN(INDEX($BE$4:$BJ$99,MATCH(BV278,$BE$4:$BE$99,0),3))-8,1)),IF(INDEX(Calculation_Tab,MATCH(BV278,Identifier,0),10)&gt;1,INDEX(Calculation_Tab,MATCH(BV278,Identifier,0),10),1)))*(1+Calculation!$Q$6),"-")</f>
        <v>-</v>
      </c>
      <c r="CC278" s="508" t="str">
        <f ca="1">IFERROR(ROUND(INDEX(Cluster,MATCH(IF(LEFT(BV278,4)="Pool",INDEX(Cluster,MATCH(INDEX(Calculation_Tab,MATCH(INDEX($BE$4:$BJ$99,MATCH(BV278,$BE$4:$BE$99,0),3),Flow_Cell_Lane,0),3),Cluster!$F$29:$F$412,0),6),BV278),Identifier_Cluster,0),20)*IF(LEFT(BV278,4)="pool",IF(LEN(INDEX($BE$4:$BJ$99,MATCH(BV278,$BE$4:$BE$99,0),3))=10,2,IF(LEN(INDEX($BE$4:$BJ$99,MATCH(BV278,$BE$4:$BE$99,0),3))&gt;10,LEN(INDEX($BE$4:$BJ$99,MATCH(BV278,$BE$4:$BE$99,0),3))-8,1)),1)*IF(LEFT(BV278,4)="pool",IF(INDEX($BE$4:$BJ$99,MATCH(BV278,$BE$4:$BE$99,0),6)&lt;1,1,INDEX($BE$4:$BJ$99,MATCH(BV278,$BE$4:$BE$99,0),6)),INDEX(Calculation_Tab,MATCH(BV278,Identifier,0),10)),1)*(1+Calculation!$Q$6),"-")</f>
        <v>-</v>
      </c>
      <c r="CD278" s="509" t="str">
        <f ca="1">IFERROR(INDEX(Cluster!AC:AD,MATCH(IF(LEFT(BV278,4)="Pool",INDEX(Cluster!$D$29:$AA$412,MATCH(INDEX(Calculation_Tab,MATCH(INDEX($BE$4:$BJ$99,MATCH(BV278,$BE$4:$BE$99,0),3),Flow_Cell_Lane,0),3),Cluster!$F$29:$F$412,0),24),INDEX(Cluster!$D$29:$AA$412,MATCH(BV278,Cluster!$F$29:$F$412,0),24)),Cluster!AC:AC,0),2),"-")</f>
        <v>-</v>
      </c>
      <c r="CE278" s="378" t="str">
        <f ca="1">IFERROR(IF(BV278&lt;&gt;"-",Calculation!$AK$6,"-"),"-")</f>
        <v>-</v>
      </c>
      <c r="CF278" s="378" t="str">
        <f ca="1">IF(OR(LEFT(ListAndConversion!BW278,3)="Dil",LEFT(ListAndConversion!BW278,3)="Poo"),ListAndConversion!$BT$4,IF(LEFT(ListAndConversion!BW278,3)="Sou",INDEX(ListAndConversion!$AT$3:$AV$387,MATCH(ListAndConversion!BV278,ListAndConversion!$AV$3:$AV$387,0),1),"-"))</f>
        <v>-</v>
      </c>
      <c r="CG278" s="498" t="str">
        <f ca="1">IF(OR(LEFT(ListAndConversion!BW278,3)="Dil",LEFT(ListAndConversion!BW278,3)="Poo"),ListAndConversion!BU278,IF(LEFT(ListAndConversion!BW278,3)="Sou",INDEX(ListAndConversion!$AT$4:$AV$387,MATCH(ListAndConversion!BV278,ListAndConversion!$AV$4:$AV$387,0),2),"-"))</f>
        <v>-</v>
      </c>
      <c r="CH278" s="378"/>
      <c r="CI278" s="487" t="str">
        <f t="shared" ca="1" si="151"/>
        <v>-</v>
      </c>
      <c r="CJ278" s="378" t="str">
        <f t="shared" ca="1" si="156"/>
        <v>-</v>
      </c>
      <c r="CK278" s="378" t="str">
        <f t="shared" ca="1" si="156"/>
        <v>-</v>
      </c>
      <c r="CL278" s="378" t="str">
        <f t="shared" ca="1" si="156"/>
        <v>-</v>
      </c>
      <c r="CM278" s="378" t="str">
        <f t="shared" ca="1" si="156"/>
        <v>-</v>
      </c>
      <c r="CN278" s="378" t="str">
        <f t="shared" ca="1" si="156"/>
        <v>-</v>
      </c>
      <c r="CO278" s="378" t="str">
        <f t="shared" ca="1" si="156"/>
        <v>-</v>
      </c>
      <c r="CP278" s="378" t="str">
        <f t="shared" ca="1" si="156"/>
        <v>-</v>
      </c>
      <c r="CQ278" s="378" t="str">
        <f t="shared" ca="1" si="156"/>
        <v>-</v>
      </c>
      <c r="CR278" s="510" t="str">
        <f ca="1">IFERROR(IF(LEFT(BW278,3)="Poo",INDEX($BE$4:$BJ$99,MATCH(CI278,$BG$4:$BG$99,0),6)*((15/50))*Calculation!$AK$6,INDEX(Calculation_Tab,MATCH(BV278,Identifier,0),10)/(IF(LEN(INDEX(Calculation_Tab,MATCH(BV278,Identifier,0),9))&gt;8,LEN(INDEX(Calculation_Tab,MATCH(BV278,Identifier,0),9))-8,1))*((15/50)*Calculation!$AK$6)),"-")</f>
        <v>-</v>
      </c>
      <c r="CS278" s="498" t="str">
        <f ca="1">IF(CI278="-","-",IF(COUNTIF($CI$3:CI278,CI278)&gt;1,0,IFERROR((35/50)*Calculation!$AK$6,"-")))</f>
        <v>-</v>
      </c>
    </row>
    <row r="279" spans="4:97" x14ac:dyDescent="0.5">
      <c r="D279" s="487" t="e">
        <f t="shared" si="137"/>
        <v>#DIV/0!</v>
      </c>
      <c r="E279" s="496" t="e">
        <f t="array" ref="E279">IF(IF((ROW(E279)-3)&lt;(ListAndConversion!$A$15),INDEX(Flow_Cell_Lane,MIN(IF(COUNTIF($E$2:E278,Flow_Cell_Lane)=0,ROW(Flow_Cell_Lane)-9))),"-")="","-",IF((ROW(E279)-3)&lt;(ListAndConversion!$A$15),INDEX(Flow_Cell_Lane,MIN(IF(COUNTIF($E$2:E278,Flow_Cell_Lane)=0,ROW(Flow_Cell_Lane)-9))),"-"))</f>
        <v>#DIV/0!</v>
      </c>
      <c r="F279" s="378" t="e">
        <f t="shared" si="138"/>
        <v>#DIV/0!</v>
      </c>
      <c r="G279" s="378" t="e">
        <f t="shared" si="155"/>
        <v>#DIV/0!</v>
      </c>
      <c r="H279" s="378" t="e">
        <f t="shared" si="155"/>
        <v>#DIV/0!</v>
      </c>
      <c r="I279" s="378" t="e">
        <f t="shared" si="155"/>
        <v>#DIV/0!</v>
      </c>
      <c r="J279" s="378" t="e">
        <f t="shared" si="155"/>
        <v>#DIV/0!</v>
      </c>
      <c r="K279" s="378" t="e">
        <f t="shared" si="155"/>
        <v>#DIV/0!</v>
      </c>
      <c r="L279" s="378" t="e">
        <f t="shared" si="155"/>
        <v>#DIV/0!</v>
      </c>
      <c r="M279" s="378" t="e">
        <f t="shared" si="155"/>
        <v>#DIV/0!</v>
      </c>
      <c r="N279" s="497" t="e">
        <f t="shared" si="139"/>
        <v>#DIV/0!</v>
      </c>
      <c r="O279" s="497" t="str">
        <f t="array" ref="O279">IFERROR(INDEX(Calculation!I:AN,MATCH(ListAndConversion!E279,Calculation!I:I,0),31),"-")</f>
        <v>-</v>
      </c>
      <c r="P279" s="498">
        <f>IF(COUNTIFS(Calculation!$I$10:$I$393,E279,Direct_Denaturation,"-")&lt;&gt;1,COUNTIFS(Calculation!$I$10:$I$393,E279,Direct_Denaturation,"-"),0)</f>
        <v>0</v>
      </c>
      <c r="V279" s="542" t="s">
        <v>82</v>
      </c>
      <c r="W279" s="542" t="s">
        <v>82</v>
      </c>
      <c r="X279" s="542" t="s">
        <v>82</v>
      </c>
      <c r="Y279" s="542" t="s">
        <v>82</v>
      </c>
      <c r="Z279" s="542" t="s">
        <v>82</v>
      </c>
      <c r="AA279" s="542" t="s">
        <v>82</v>
      </c>
      <c r="AB279" s="542" t="s">
        <v>82</v>
      </c>
      <c r="AC279" s="542" t="s">
        <v>82</v>
      </c>
      <c r="AD279" s="542" t="s">
        <v>82</v>
      </c>
      <c r="AE279" s="542" t="s">
        <v>82</v>
      </c>
      <c r="AF279" s="542" t="s">
        <v>82</v>
      </c>
      <c r="AG279" s="542" t="s">
        <v>82</v>
      </c>
      <c r="AH279" s="9"/>
      <c r="AI279" s="487">
        <v>276</v>
      </c>
      <c r="AJ279" s="497" t="s">
        <v>162</v>
      </c>
      <c r="AK279" s="378">
        <v>84</v>
      </c>
      <c r="AL279" s="378" t="str">
        <f t="shared" ca="1" si="140"/>
        <v>-</v>
      </c>
      <c r="AM279" s="378" t="str">
        <f t="array" aca="1" ref="AM279" ca="1">IFERROR(IF(AI279&lt;=$AB$2,"-",INDEX(Calculation_Tab,SMALL(ROW(Main_Dil)*(Main_Dil&lt;&gt;"-"),COUNTIF(Main_Dil,"-")+ROW()-3-$AB$2)-9,5)),"-")</f>
        <v>-</v>
      </c>
      <c r="AN279" s="378" t="str">
        <f t="array" aca="1" ref="AN279" ca="1">IFERROR(IF(AI279&lt;=$AB$2,"-",INDEX($A$3:$B$12,MATCH(INDEX(Calculation_Tab,SMALL(ROW(Main_Dil)*(Main_Dil&lt;&gt;"-"),COUNTIF(Main_Dil,"-")+ROW()-3-$AB$2)-9,5),$A$3:$A$12,0),2)),"-")</f>
        <v>-</v>
      </c>
      <c r="AO279" s="378" t="str">
        <f t="array" aca="1" ref="AO279" ca="1">IFERROR(IF(AI279&lt;=$AB$2,"-",INDEX(Coordinate,MATCH(INDEX(Calculation_Tab,SMALL(ROW(Main_Dil)*(Main_Dil&lt;&gt;"-"),COUNTIF(Main_Dil,"-")+ROW()-3-$AB$2)-9,6),$X$4:$X$99,0),2)),"-")</f>
        <v>-</v>
      </c>
      <c r="AP279" s="510" t="str">
        <f t="array" aca="1" ref="AP279" ca="1">IFERROR(IF(AI279&lt;=$AB$2,"-",INDEX(Calculation_Tab,SMALL(ROW(Main_Dil)*(Main_Dil&lt;&gt;"-"),COUNTIF(Main_Dil,"-")+ROW()-3-$AB$2)-9,21)),"-")</f>
        <v>-</v>
      </c>
      <c r="AQ279" s="511" t="str">
        <f t="array" aca="1" ref="AQ279" ca="1">IFERROR(IF(AI279&lt;=$AB$2,"-",INDEX(Calculation_Tab,SMALL(ROW(Main_Dil)*(Main_Dil&lt;&gt;"-"),COUNTIF(Main_Dil,"-")+ROW()-3-$AB$2)-9,22)),"-")</f>
        <v>-</v>
      </c>
      <c r="AR279" s="487" t="str">
        <f t="shared" ca="1" si="141"/>
        <v>-</v>
      </c>
      <c r="AS279" s="378">
        <v>276</v>
      </c>
      <c r="AT279" s="497" t="s">
        <v>162</v>
      </c>
      <c r="AU279" s="498">
        <v>84</v>
      </c>
      <c r="AV279" s="378" t="str">
        <f t="shared" ca="1" si="142"/>
        <v>-</v>
      </c>
      <c r="AW279" s="378" t="str">
        <f t="array" aca="1" ref="AW279" ca="1">IFERROR(IF(AS279&lt;=$AB$2+$AN$2,"-",INDEX(Calculation_Tab,SMALL(ROW(Direct_Denaturation)*(Direct_Denaturation&lt;&gt;"-"),COUNTIF(Direct_Denaturation,"-")+ROW()-3-$AB$2-$AN$2)-9,5)),"-")</f>
        <v>-</v>
      </c>
      <c r="AX279" s="378" t="str">
        <f t="array" aca="1" ref="AX279" ca="1">IFERROR(IF(AS279&lt;=$AB$2+$AN$2,"-",INDEX($A$3:$B$12,MATCH(INDEX(Calculation_Tab,SMALL(ROW(Direct_Denaturation)*(Direct_Denaturation&lt;&gt;"-"),COUNTIF(Direct_Denaturation,"-")+ROW()-3-$AB$2-$AN$2)-9,5),$A$3:$A$12,0),2)),"-")</f>
        <v>-</v>
      </c>
      <c r="AY279" s="378" t="str">
        <f t="array" aca="1" ref="AY279" ca="1">IFERROR(IF(AS279&lt;=$AB$2+$AN$2,"-",INDEX(Coordinate,MATCH(INDEX(Calculation_Tab,SMALL(ROW(Direct_Denaturation)*(Direct_Denaturation&lt;&gt;"-"),COUNTIF(Direct_Denaturation,"-")+ROW()-3-$AB$2-$AN$2)-9,6),$X$4:$X$99,0),2)),"-")</f>
        <v>-</v>
      </c>
      <c r="AZ279" s="510" t="str">
        <f t="array" aca="1" ref="AZ279" ca="1">IFERROR(IF(AS279&lt;=$AB$2+$AN$2,"-",INDEX(Calculation_Tab,SMALL(ROW(Direct_Denaturation)*(Direct_Denaturation&lt;&gt;"-"),COUNTIF(Direct_Denaturation,"-")+ROW()-3-$AB$2-$AN$2)-9,32)),"-")</f>
        <v>-</v>
      </c>
      <c r="BA279" s="510" t="str">
        <f t="array" aca="1" ref="BA279" ca="1">IFERROR(IF(AS279&lt;=$AB$2+$AN$2,"-",INDEX(Calculation_Tab,SMALL(ROW(Direct_Denaturation)*(Direct_Denaturation&lt;&gt;"-"),COUNTIF(Direct_Denaturation,"-")+ROW()-3-$AB$2-$AN$2)-9,34)),"-")</f>
        <v>-</v>
      </c>
      <c r="BB279" s="510" t="str">
        <f t="array" aca="1" ref="BB279" ca="1">IFERROR(IF(AS279&lt;=$AB$2+$AN$2,"-",INDEX(Calculation_Tab,SMALL(ROW(Direct_Denaturation)*(Direct_Denaturation&lt;&gt;"-"),COUNTIF(Direct_Denaturation,"-")+ROW()-3-$AB$2-$AN$2)-9,33)),"-")</f>
        <v>-</v>
      </c>
      <c r="BC279" s="510" t="str">
        <f t="array" aca="1" ref="BC279" ca="1">IFERROR(IF(AS279&lt;=$AB$2+$AN$2,"-",INDEX(Calculation_Tab,SMALL(ROW(Direct_Denaturation)*(Direct_Denaturation&lt;&gt;"-"),COUNTIF(Direct_Denaturation,"-")+ROW()-3-$AB$2-$AN$2)-9,35)),"-")</f>
        <v>-</v>
      </c>
      <c r="BD279" s="511" t="str">
        <f t="shared" ca="1" si="143"/>
        <v>-</v>
      </c>
      <c r="BK279" s="542" t="s">
        <v>82</v>
      </c>
      <c r="BL279" s="542" t="s">
        <v>82</v>
      </c>
      <c r="BM279" s="487" t="str">
        <f t="array" aca="1" ref="BM279" ca="1">IFERROR(INDEX(Calculation_Tab,SMALL(ROW(ToPool)*(ToPool&lt;&gt;"-"),COUNTIF(ToPool,"-")+ROW()-3)-9,3),"-")</f>
        <v>-</v>
      </c>
      <c r="BN279" s="378" t="str">
        <f t="shared" ca="1" si="144"/>
        <v>-</v>
      </c>
      <c r="BO279" s="378" t="str">
        <f t="shared" ca="1" si="145"/>
        <v>-</v>
      </c>
      <c r="BP279" s="523" t="str">
        <f t="shared" ca="1" si="146"/>
        <v>-</v>
      </c>
      <c r="BQ279" s="378" t="str">
        <f t="array" aca="1" ref="BQ279" ca="1">IFERROR(INDEX(BE:BG,MATCH(INDEX(Calculation_Tab,SMALL(ROW(ToPool)*(ToPool&lt;&gt;"-"),COUNTIF(ToPool,"-")+ROW()-3)-9,9),BG:BG,0),2),"-")</f>
        <v>-</v>
      </c>
      <c r="BR279" s="510" t="str">
        <f t="shared" ca="1" si="147"/>
        <v>-</v>
      </c>
      <c r="BS279" s="511" t="str">
        <f t="shared" ca="1" si="148"/>
        <v>-</v>
      </c>
      <c r="BT279" s="543" t="s">
        <v>82</v>
      </c>
      <c r="BU279" s="487" t="str">
        <f t="shared" ca="1" si="152"/>
        <v>-</v>
      </c>
      <c r="BV279" s="487" t="str">
        <f t="array" aca="1" ref="BV27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79" s="378" t="str">
        <f t="shared" ca="1" si="149"/>
        <v>-</v>
      </c>
      <c r="BX279" s="378" t="str">
        <f t="shared" ca="1" si="150"/>
        <v>-</v>
      </c>
      <c r="BY279" s="510" t="str">
        <f ca="1">IFERROR(ROUND(INDEX(Cluster,MATCH(IF(LEFT(BV279,4)="Pool",INDEX(Cluster,MATCH(INDEX(Calculation_Tab,MATCH(INDEX($BE$4:$BJ$99,MATCH(BV279,$BE$4:$BE$99,0),3),Flow_Cell_Lane,0),3),Cluster!$F$29:$F$412,0),6),BV279),Identifier_Cluster,0),19)*IF(LEFT(BV279,4)="pool",IF(LEN(INDEX($BE$4:$BJ$99,MATCH(BV279,$BE$4:$BE$99,0),3))=10,2,IF(LEN(INDEX($BE$4:$BJ$99,MATCH(BV279,$BE$4:$BE$99,0),3))&gt;10,LEN(INDEX($BE$4:$BJ$99,MATCH(BV279,$BE$4:$BE$99,0),3))-8,1)),1)*IF(LEFT(BV279,4)="pool",IF(INDEX($BE$4:$BJ$99,MATCH(BV279,$BE$4:$BE$99,0),6)&lt;1,1,INDEX($BE$4:$BJ$99,MATCH(BV279,$BE$4:$BE$99,0),6)),INDEX(Calculation_Tab,MATCH(BV279,Identifier,0),10)),1)*(1+Calculation!$Q$6),"-")</f>
        <v>-</v>
      </c>
      <c r="BZ279" s="378" t="str">
        <f ca="1">IFERROR((0.5/50)*CE279/Calculation!$AG$6*(IF(LEFT(BV279,4)="Pool",IF(LEN(INDEX($BE$4:$BJ$99,MATCH(BV279,$BE$4:$BE$99,0),3))=10,2,IF(LEN(INDEX($BE$4:$BJ$99,MATCH(BV279,$BE$4:$BE$99,0),3))&gt;10,LEN(INDEX($BE$4:$BJ$99,MATCH(BV279,$BE$4:$BE$99,0),3))-8,1)),IF(INDEX(Calculation_Tab,MATCH(BV279,Identifier,0),10)&gt;1,INDEX(Calculation_Tab,MATCH(BV279,Identifier,0),10),1)))*(1+Calculation!$Q$6),"-")</f>
        <v>-</v>
      </c>
      <c r="CA279" s="510" t="str">
        <f ca="1">IFERROR(IF((BZ279*Calculation!$AG$6/0.05)-SUM(BY279:BZ279,CC279)&gt;0,(BZ279*Calculation!$AG$6/0.05)-SUM(BY279:BZ279,CC279),0),"-")</f>
        <v>-</v>
      </c>
      <c r="CB279" s="510" t="str">
        <f ca="1">IFERROR(5/50*CE279*(IF(LEFT(BV279,4)="Pool",IF(LEN(INDEX($BE$4:$BJ$99,MATCH(BV279,$BE$4:$BE$99,0),3))=10,2,IF(LEN(INDEX($BE$4:$BJ$99,MATCH(BV279,$BE$4:$BE$99,0),3))&gt;10,LEN(INDEX($BE$4:$BJ$99,MATCH(BV279,$BE$4:$BE$99,0),3))-8,1)),IF(INDEX(Calculation_Tab,MATCH(BV279,Identifier,0),10)&gt;1,INDEX(Calculation_Tab,MATCH(BV279,Identifier,0),10),1)))*(1+Calculation!$Q$6),"-")</f>
        <v>-</v>
      </c>
      <c r="CC279" s="508" t="str">
        <f ca="1">IFERROR(ROUND(INDEX(Cluster,MATCH(IF(LEFT(BV279,4)="Pool",INDEX(Cluster,MATCH(INDEX(Calculation_Tab,MATCH(INDEX($BE$4:$BJ$99,MATCH(BV279,$BE$4:$BE$99,0),3),Flow_Cell_Lane,0),3),Cluster!$F$29:$F$412,0),6),BV279),Identifier_Cluster,0),20)*IF(LEFT(BV279,4)="pool",IF(LEN(INDEX($BE$4:$BJ$99,MATCH(BV279,$BE$4:$BE$99,0),3))=10,2,IF(LEN(INDEX($BE$4:$BJ$99,MATCH(BV279,$BE$4:$BE$99,0),3))&gt;10,LEN(INDEX($BE$4:$BJ$99,MATCH(BV279,$BE$4:$BE$99,0),3))-8,1)),1)*IF(LEFT(BV279,4)="pool",IF(INDEX($BE$4:$BJ$99,MATCH(BV279,$BE$4:$BE$99,0),6)&lt;1,1,INDEX($BE$4:$BJ$99,MATCH(BV279,$BE$4:$BE$99,0),6)),INDEX(Calculation_Tab,MATCH(BV279,Identifier,0),10)),1)*(1+Calculation!$Q$6),"-")</f>
        <v>-</v>
      </c>
      <c r="CD279" s="509" t="str">
        <f ca="1">IFERROR(INDEX(Cluster!AC:AD,MATCH(IF(LEFT(BV279,4)="Pool",INDEX(Cluster!$D$29:$AA$412,MATCH(INDEX(Calculation_Tab,MATCH(INDEX($BE$4:$BJ$99,MATCH(BV279,$BE$4:$BE$99,0),3),Flow_Cell_Lane,0),3),Cluster!$F$29:$F$412,0),24),INDEX(Cluster!$D$29:$AA$412,MATCH(BV279,Cluster!$F$29:$F$412,0),24)),Cluster!AC:AC,0),2),"-")</f>
        <v>-</v>
      </c>
      <c r="CE279" s="378" t="str">
        <f ca="1">IFERROR(IF(BV279&lt;&gt;"-",Calculation!$AK$6,"-"),"-")</f>
        <v>-</v>
      </c>
      <c r="CF279" s="378" t="str">
        <f ca="1">IF(OR(LEFT(ListAndConversion!BW279,3)="Dil",LEFT(ListAndConversion!BW279,3)="Poo"),ListAndConversion!$BT$4,IF(LEFT(ListAndConversion!BW279,3)="Sou",INDEX(ListAndConversion!$AT$3:$AV$387,MATCH(ListAndConversion!BV279,ListAndConversion!$AV$3:$AV$387,0),1),"-"))</f>
        <v>-</v>
      </c>
      <c r="CG279" s="498" t="str">
        <f ca="1">IF(OR(LEFT(ListAndConversion!BW279,3)="Dil",LEFT(ListAndConversion!BW279,3)="Poo"),ListAndConversion!BU279,IF(LEFT(ListAndConversion!BW279,3)="Sou",INDEX(ListAndConversion!$AT$4:$AV$387,MATCH(ListAndConversion!BV279,ListAndConversion!$AV$4:$AV$387,0),2),"-"))</f>
        <v>-</v>
      </c>
      <c r="CH279" s="378"/>
      <c r="CI279" s="487" t="str">
        <f t="shared" ca="1" si="151"/>
        <v>-</v>
      </c>
      <c r="CJ279" s="378" t="str">
        <f t="shared" ca="1" si="156"/>
        <v>-</v>
      </c>
      <c r="CK279" s="378" t="str">
        <f t="shared" ca="1" si="156"/>
        <v>-</v>
      </c>
      <c r="CL279" s="378" t="str">
        <f t="shared" ca="1" si="156"/>
        <v>-</v>
      </c>
      <c r="CM279" s="378" t="str">
        <f t="shared" ca="1" si="156"/>
        <v>-</v>
      </c>
      <c r="CN279" s="378" t="str">
        <f t="shared" ca="1" si="156"/>
        <v>-</v>
      </c>
      <c r="CO279" s="378" t="str">
        <f t="shared" ca="1" si="156"/>
        <v>-</v>
      </c>
      <c r="CP279" s="378" t="str">
        <f t="shared" ca="1" si="156"/>
        <v>-</v>
      </c>
      <c r="CQ279" s="378" t="str">
        <f t="shared" ca="1" si="156"/>
        <v>-</v>
      </c>
      <c r="CR279" s="510" t="str">
        <f ca="1">IFERROR(IF(LEFT(BW279,3)="Poo",INDEX($BE$4:$BJ$99,MATCH(CI279,$BG$4:$BG$99,0),6)*((15/50))*Calculation!$AK$6,INDEX(Calculation_Tab,MATCH(BV279,Identifier,0),10)/(IF(LEN(INDEX(Calculation_Tab,MATCH(BV279,Identifier,0),9))&gt;8,LEN(INDEX(Calculation_Tab,MATCH(BV279,Identifier,0),9))-8,1))*((15/50)*Calculation!$AK$6)),"-")</f>
        <v>-</v>
      </c>
      <c r="CS279" s="498" t="str">
        <f ca="1">IF(CI279="-","-",IF(COUNTIF($CI$3:CI279,CI279)&gt;1,0,IFERROR((35/50)*Calculation!$AK$6,"-")))</f>
        <v>-</v>
      </c>
    </row>
    <row r="280" spans="4:97" x14ac:dyDescent="0.5">
      <c r="D280" s="487" t="e">
        <f t="shared" si="137"/>
        <v>#DIV/0!</v>
      </c>
      <c r="E280" s="496" t="e">
        <f t="array" ref="E280">IF(IF((ROW(E280)-3)&lt;(ListAndConversion!$A$15),INDEX(Flow_Cell_Lane,MIN(IF(COUNTIF($E$2:E279,Flow_Cell_Lane)=0,ROW(Flow_Cell_Lane)-9))),"-")="","-",IF((ROW(E280)-3)&lt;(ListAndConversion!$A$15),INDEX(Flow_Cell_Lane,MIN(IF(COUNTIF($E$2:E279,Flow_Cell_Lane)=0,ROW(Flow_Cell_Lane)-9))),"-"))</f>
        <v>#DIV/0!</v>
      </c>
      <c r="F280" s="378" t="e">
        <f t="shared" si="138"/>
        <v>#DIV/0!</v>
      </c>
      <c r="G280" s="378" t="e">
        <f t="shared" si="155"/>
        <v>#DIV/0!</v>
      </c>
      <c r="H280" s="378" t="e">
        <f t="shared" si="155"/>
        <v>#DIV/0!</v>
      </c>
      <c r="I280" s="378" t="e">
        <f t="shared" si="155"/>
        <v>#DIV/0!</v>
      </c>
      <c r="J280" s="378" t="e">
        <f t="shared" si="155"/>
        <v>#DIV/0!</v>
      </c>
      <c r="K280" s="378" t="e">
        <f t="shared" si="155"/>
        <v>#DIV/0!</v>
      </c>
      <c r="L280" s="378" t="e">
        <f t="shared" si="155"/>
        <v>#DIV/0!</v>
      </c>
      <c r="M280" s="378" t="e">
        <f t="shared" si="155"/>
        <v>#DIV/0!</v>
      </c>
      <c r="N280" s="497" t="e">
        <f t="shared" si="139"/>
        <v>#DIV/0!</v>
      </c>
      <c r="O280" s="497" t="str">
        <f t="array" ref="O280">IFERROR(INDEX(Calculation!I:AN,MATCH(ListAndConversion!E280,Calculation!I:I,0),31),"-")</f>
        <v>-</v>
      </c>
      <c r="P280" s="498">
        <f>IF(COUNTIFS(Calculation!$I$10:$I$393,E280,Direct_Denaturation,"-")&lt;&gt;1,COUNTIFS(Calculation!$I$10:$I$393,E280,Direct_Denaturation,"-"),0)</f>
        <v>0</v>
      </c>
      <c r="V280" s="542" t="s">
        <v>82</v>
      </c>
      <c r="W280" s="542" t="s">
        <v>82</v>
      </c>
      <c r="X280" s="542" t="s">
        <v>82</v>
      </c>
      <c r="Y280" s="542" t="s">
        <v>82</v>
      </c>
      <c r="Z280" s="542" t="s">
        <v>82</v>
      </c>
      <c r="AA280" s="542" t="s">
        <v>82</v>
      </c>
      <c r="AB280" s="542" t="s">
        <v>82</v>
      </c>
      <c r="AC280" s="542" t="s">
        <v>82</v>
      </c>
      <c r="AD280" s="542" t="s">
        <v>82</v>
      </c>
      <c r="AE280" s="542" t="s">
        <v>82</v>
      </c>
      <c r="AF280" s="542" t="s">
        <v>82</v>
      </c>
      <c r="AG280" s="542" t="s">
        <v>82</v>
      </c>
      <c r="AH280" s="9"/>
      <c r="AI280" s="487">
        <v>277</v>
      </c>
      <c r="AJ280" s="497" t="s">
        <v>162</v>
      </c>
      <c r="AK280" s="378">
        <v>85</v>
      </c>
      <c r="AL280" s="378" t="str">
        <f t="shared" ca="1" si="140"/>
        <v>-</v>
      </c>
      <c r="AM280" s="378" t="str">
        <f t="array" aca="1" ref="AM280" ca="1">IFERROR(IF(AI280&lt;=$AB$2,"-",INDEX(Calculation_Tab,SMALL(ROW(Main_Dil)*(Main_Dil&lt;&gt;"-"),COUNTIF(Main_Dil,"-")+ROW()-3-$AB$2)-9,5)),"-")</f>
        <v>-</v>
      </c>
      <c r="AN280" s="378" t="str">
        <f t="array" aca="1" ref="AN280" ca="1">IFERROR(IF(AI280&lt;=$AB$2,"-",INDEX($A$3:$B$12,MATCH(INDEX(Calculation_Tab,SMALL(ROW(Main_Dil)*(Main_Dil&lt;&gt;"-"),COUNTIF(Main_Dil,"-")+ROW()-3-$AB$2)-9,5),$A$3:$A$12,0),2)),"-")</f>
        <v>-</v>
      </c>
      <c r="AO280" s="378" t="str">
        <f t="array" aca="1" ref="AO280" ca="1">IFERROR(IF(AI280&lt;=$AB$2,"-",INDEX(Coordinate,MATCH(INDEX(Calculation_Tab,SMALL(ROW(Main_Dil)*(Main_Dil&lt;&gt;"-"),COUNTIF(Main_Dil,"-")+ROW()-3-$AB$2)-9,6),$X$4:$X$99,0),2)),"-")</f>
        <v>-</v>
      </c>
      <c r="AP280" s="510" t="str">
        <f t="array" aca="1" ref="AP280" ca="1">IFERROR(IF(AI280&lt;=$AB$2,"-",INDEX(Calculation_Tab,SMALL(ROW(Main_Dil)*(Main_Dil&lt;&gt;"-"),COUNTIF(Main_Dil,"-")+ROW()-3-$AB$2)-9,21)),"-")</f>
        <v>-</v>
      </c>
      <c r="AQ280" s="511" t="str">
        <f t="array" aca="1" ref="AQ280" ca="1">IFERROR(IF(AI280&lt;=$AB$2,"-",INDEX(Calculation_Tab,SMALL(ROW(Main_Dil)*(Main_Dil&lt;&gt;"-"),COUNTIF(Main_Dil,"-")+ROW()-3-$AB$2)-9,22)),"-")</f>
        <v>-</v>
      </c>
      <c r="AR280" s="487" t="str">
        <f t="shared" ca="1" si="141"/>
        <v>-</v>
      </c>
      <c r="AS280" s="378">
        <v>277</v>
      </c>
      <c r="AT280" s="497" t="s">
        <v>162</v>
      </c>
      <c r="AU280" s="498">
        <v>85</v>
      </c>
      <c r="AV280" s="378" t="str">
        <f t="shared" ca="1" si="142"/>
        <v>-</v>
      </c>
      <c r="AW280" s="378" t="str">
        <f t="array" aca="1" ref="AW280" ca="1">IFERROR(IF(AS280&lt;=$AB$2+$AN$2,"-",INDEX(Calculation_Tab,SMALL(ROW(Direct_Denaturation)*(Direct_Denaturation&lt;&gt;"-"),COUNTIF(Direct_Denaturation,"-")+ROW()-3-$AB$2-$AN$2)-9,5)),"-")</f>
        <v>-</v>
      </c>
      <c r="AX280" s="378" t="str">
        <f t="array" aca="1" ref="AX280" ca="1">IFERROR(IF(AS280&lt;=$AB$2+$AN$2,"-",INDEX($A$3:$B$12,MATCH(INDEX(Calculation_Tab,SMALL(ROW(Direct_Denaturation)*(Direct_Denaturation&lt;&gt;"-"),COUNTIF(Direct_Denaturation,"-")+ROW()-3-$AB$2-$AN$2)-9,5),$A$3:$A$12,0),2)),"-")</f>
        <v>-</v>
      </c>
      <c r="AY280" s="378" t="str">
        <f t="array" aca="1" ref="AY280" ca="1">IFERROR(IF(AS280&lt;=$AB$2+$AN$2,"-",INDEX(Coordinate,MATCH(INDEX(Calculation_Tab,SMALL(ROW(Direct_Denaturation)*(Direct_Denaturation&lt;&gt;"-"),COUNTIF(Direct_Denaturation,"-")+ROW()-3-$AB$2-$AN$2)-9,6),$X$4:$X$99,0),2)),"-")</f>
        <v>-</v>
      </c>
      <c r="AZ280" s="510" t="str">
        <f t="array" aca="1" ref="AZ280" ca="1">IFERROR(IF(AS280&lt;=$AB$2+$AN$2,"-",INDEX(Calculation_Tab,SMALL(ROW(Direct_Denaturation)*(Direct_Denaturation&lt;&gt;"-"),COUNTIF(Direct_Denaturation,"-")+ROW()-3-$AB$2-$AN$2)-9,32)),"-")</f>
        <v>-</v>
      </c>
      <c r="BA280" s="510" t="str">
        <f t="array" aca="1" ref="BA280" ca="1">IFERROR(IF(AS280&lt;=$AB$2+$AN$2,"-",INDEX(Calculation_Tab,SMALL(ROW(Direct_Denaturation)*(Direct_Denaturation&lt;&gt;"-"),COUNTIF(Direct_Denaturation,"-")+ROW()-3-$AB$2-$AN$2)-9,34)),"-")</f>
        <v>-</v>
      </c>
      <c r="BB280" s="510" t="str">
        <f t="array" aca="1" ref="BB280" ca="1">IFERROR(IF(AS280&lt;=$AB$2+$AN$2,"-",INDEX(Calculation_Tab,SMALL(ROW(Direct_Denaturation)*(Direct_Denaturation&lt;&gt;"-"),COUNTIF(Direct_Denaturation,"-")+ROW()-3-$AB$2-$AN$2)-9,33)),"-")</f>
        <v>-</v>
      </c>
      <c r="BC280" s="510" t="str">
        <f t="array" aca="1" ref="BC280" ca="1">IFERROR(IF(AS280&lt;=$AB$2+$AN$2,"-",INDEX(Calculation_Tab,SMALL(ROW(Direct_Denaturation)*(Direct_Denaturation&lt;&gt;"-"),COUNTIF(Direct_Denaturation,"-")+ROW()-3-$AB$2-$AN$2)-9,35)),"-")</f>
        <v>-</v>
      </c>
      <c r="BD280" s="511" t="str">
        <f t="shared" ca="1" si="143"/>
        <v>-</v>
      </c>
      <c r="BK280" s="542" t="s">
        <v>82</v>
      </c>
      <c r="BL280" s="542" t="s">
        <v>82</v>
      </c>
      <c r="BM280" s="487" t="str">
        <f t="array" aca="1" ref="BM280" ca="1">IFERROR(INDEX(Calculation_Tab,SMALL(ROW(ToPool)*(ToPool&lt;&gt;"-"),COUNTIF(ToPool,"-")+ROW()-3)-9,3),"-")</f>
        <v>-</v>
      </c>
      <c r="BN280" s="378" t="str">
        <f t="shared" ca="1" si="144"/>
        <v>-</v>
      </c>
      <c r="BO280" s="378" t="str">
        <f t="shared" ca="1" si="145"/>
        <v>-</v>
      </c>
      <c r="BP280" s="523" t="str">
        <f t="shared" ca="1" si="146"/>
        <v>-</v>
      </c>
      <c r="BQ280" s="378" t="str">
        <f t="array" aca="1" ref="BQ280" ca="1">IFERROR(INDEX(BE:BG,MATCH(INDEX(Calculation_Tab,SMALL(ROW(ToPool)*(ToPool&lt;&gt;"-"),COUNTIF(ToPool,"-")+ROW()-3)-9,9),BG:BG,0),2),"-")</f>
        <v>-</v>
      </c>
      <c r="BR280" s="510" t="str">
        <f t="shared" ca="1" si="147"/>
        <v>-</v>
      </c>
      <c r="BS280" s="511" t="str">
        <f t="shared" ca="1" si="148"/>
        <v>-</v>
      </c>
      <c r="BT280" s="543" t="s">
        <v>82</v>
      </c>
      <c r="BU280" s="487" t="str">
        <f t="shared" ca="1" si="152"/>
        <v>-</v>
      </c>
      <c r="BV280" s="487" t="str">
        <f t="array" aca="1" ref="BV28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80" s="378" t="str">
        <f t="shared" ca="1" si="149"/>
        <v>-</v>
      </c>
      <c r="BX280" s="378" t="str">
        <f t="shared" ca="1" si="150"/>
        <v>-</v>
      </c>
      <c r="BY280" s="510" t="str">
        <f ca="1">IFERROR(ROUND(INDEX(Cluster,MATCH(IF(LEFT(BV280,4)="Pool",INDEX(Cluster,MATCH(INDEX(Calculation_Tab,MATCH(INDEX($BE$4:$BJ$99,MATCH(BV280,$BE$4:$BE$99,0),3),Flow_Cell_Lane,0),3),Cluster!$F$29:$F$412,0),6),BV280),Identifier_Cluster,0),19)*IF(LEFT(BV280,4)="pool",IF(LEN(INDEX($BE$4:$BJ$99,MATCH(BV280,$BE$4:$BE$99,0),3))=10,2,IF(LEN(INDEX($BE$4:$BJ$99,MATCH(BV280,$BE$4:$BE$99,0),3))&gt;10,LEN(INDEX($BE$4:$BJ$99,MATCH(BV280,$BE$4:$BE$99,0),3))-8,1)),1)*IF(LEFT(BV280,4)="pool",IF(INDEX($BE$4:$BJ$99,MATCH(BV280,$BE$4:$BE$99,0),6)&lt;1,1,INDEX($BE$4:$BJ$99,MATCH(BV280,$BE$4:$BE$99,0),6)),INDEX(Calculation_Tab,MATCH(BV280,Identifier,0),10)),1)*(1+Calculation!$Q$6),"-")</f>
        <v>-</v>
      </c>
      <c r="BZ280" s="378" t="str">
        <f ca="1">IFERROR((0.5/50)*CE280/Calculation!$AG$6*(IF(LEFT(BV280,4)="Pool",IF(LEN(INDEX($BE$4:$BJ$99,MATCH(BV280,$BE$4:$BE$99,0),3))=10,2,IF(LEN(INDEX($BE$4:$BJ$99,MATCH(BV280,$BE$4:$BE$99,0),3))&gt;10,LEN(INDEX($BE$4:$BJ$99,MATCH(BV280,$BE$4:$BE$99,0),3))-8,1)),IF(INDEX(Calculation_Tab,MATCH(BV280,Identifier,0),10)&gt;1,INDEX(Calculation_Tab,MATCH(BV280,Identifier,0),10),1)))*(1+Calculation!$Q$6),"-")</f>
        <v>-</v>
      </c>
      <c r="CA280" s="510" t="str">
        <f ca="1">IFERROR(IF((BZ280*Calculation!$AG$6/0.05)-SUM(BY280:BZ280,CC280)&gt;0,(BZ280*Calculation!$AG$6/0.05)-SUM(BY280:BZ280,CC280),0),"-")</f>
        <v>-</v>
      </c>
      <c r="CB280" s="510" t="str">
        <f ca="1">IFERROR(5/50*CE280*(IF(LEFT(BV280,4)="Pool",IF(LEN(INDEX($BE$4:$BJ$99,MATCH(BV280,$BE$4:$BE$99,0),3))=10,2,IF(LEN(INDEX($BE$4:$BJ$99,MATCH(BV280,$BE$4:$BE$99,0),3))&gt;10,LEN(INDEX($BE$4:$BJ$99,MATCH(BV280,$BE$4:$BE$99,0),3))-8,1)),IF(INDEX(Calculation_Tab,MATCH(BV280,Identifier,0),10)&gt;1,INDEX(Calculation_Tab,MATCH(BV280,Identifier,0),10),1)))*(1+Calculation!$Q$6),"-")</f>
        <v>-</v>
      </c>
      <c r="CC280" s="508" t="str">
        <f ca="1">IFERROR(ROUND(INDEX(Cluster,MATCH(IF(LEFT(BV280,4)="Pool",INDEX(Cluster,MATCH(INDEX(Calculation_Tab,MATCH(INDEX($BE$4:$BJ$99,MATCH(BV280,$BE$4:$BE$99,0),3),Flow_Cell_Lane,0),3),Cluster!$F$29:$F$412,0),6),BV280),Identifier_Cluster,0),20)*IF(LEFT(BV280,4)="pool",IF(LEN(INDEX($BE$4:$BJ$99,MATCH(BV280,$BE$4:$BE$99,0),3))=10,2,IF(LEN(INDEX($BE$4:$BJ$99,MATCH(BV280,$BE$4:$BE$99,0),3))&gt;10,LEN(INDEX($BE$4:$BJ$99,MATCH(BV280,$BE$4:$BE$99,0),3))-8,1)),1)*IF(LEFT(BV280,4)="pool",IF(INDEX($BE$4:$BJ$99,MATCH(BV280,$BE$4:$BE$99,0),6)&lt;1,1,INDEX($BE$4:$BJ$99,MATCH(BV280,$BE$4:$BE$99,0),6)),INDEX(Calculation_Tab,MATCH(BV280,Identifier,0),10)),1)*(1+Calculation!$Q$6),"-")</f>
        <v>-</v>
      </c>
      <c r="CD280" s="509" t="str">
        <f ca="1">IFERROR(INDEX(Cluster!AC:AD,MATCH(IF(LEFT(BV280,4)="Pool",INDEX(Cluster!$D$29:$AA$412,MATCH(INDEX(Calculation_Tab,MATCH(INDEX($BE$4:$BJ$99,MATCH(BV280,$BE$4:$BE$99,0),3),Flow_Cell_Lane,0),3),Cluster!$F$29:$F$412,0),24),INDEX(Cluster!$D$29:$AA$412,MATCH(BV280,Cluster!$F$29:$F$412,0),24)),Cluster!AC:AC,0),2),"-")</f>
        <v>-</v>
      </c>
      <c r="CE280" s="378" t="str">
        <f ca="1">IFERROR(IF(BV280&lt;&gt;"-",Calculation!$AK$6,"-"),"-")</f>
        <v>-</v>
      </c>
      <c r="CF280" s="378" t="str">
        <f ca="1">IF(OR(LEFT(ListAndConversion!BW280,3)="Dil",LEFT(ListAndConversion!BW280,3)="Poo"),ListAndConversion!$BT$4,IF(LEFT(ListAndConversion!BW280,3)="Sou",INDEX(ListAndConversion!$AT$3:$AV$387,MATCH(ListAndConversion!BV280,ListAndConversion!$AV$3:$AV$387,0),1),"-"))</f>
        <v>-</v>
      </c>
      <c r="CG280" s="498" t="str">
        <f ca="1">IF(OR(LEFT(ListAndConversion!BW280,3)="Dil",LEFT(ListAndConversion!BW280,3)="Poo"),ListAndConversion!BU280,IF(LEFT(ListAndConversion!BW280,3)="Sou",INDEX(ListAndConversion!$AT$4:$AV$387,MATCH(ListAndConversion!BV280,ListAndConversion!$AV$4:$AV$387,0),2),"-"))</f>
        <v>-</v>
      </c>
      <c r="CH280" s="378"/>
      <c r="CI280" s="487" t="str">
        <f t="shared" ca="1" si="151"/>
        <v>-</v>
      </c>
      <c r="CJ280" s="378" t="str">
        <f t="shared" ca="1" si="156"/>
        <v>-</v>
      </c>
      <c r="CK280" s="378" t="str">
        <f t="shared" ca="1" si="156"/>
        <v>-</v>
      </c>
      <c r="CL280" s="378" t="str">
        <f t="shared" ca="1" si="156"/>
        <v>-</v>
      </c>
      <c r="CM280" s="378" t="str">
        <f t="shared" ca="1" si="156"/>
        <v>-</v>
      </c>
      <c r="CN280" s="378" t="str">
        <f t="shared" ca="1" si="156"/>
        <v>-</v>
      </c>
      <c r="CO280" s="378" t="str">
        <f t="shared" ca="1" si="156"/>
        <v>-</v>
      </c>
      <c r="CP280" s="378" t="str">
        <f t="shared" ca="1" si="156"/>
        <v>-</v>
      </c>
      <c r="CQ280" s="378" t="str">
        <f t="shared" ca="1" si="156"/>
        <v>-</v>
      </c>
      <c r="CR280" s="510" t="str">
        <f ca="1">IFERROR(IF(LEFT(BW280,3)="Poo",INDEX($BE$4:$BJ$99,MATCH(CI280,$BG$4:$BG$99,0),6)*((15/50))*Calculation!$AK$6,INDEX(Calculation_Tab,MATCH(BV280,Identifier,0),10)/(IF(LEN(INDEX(Calculation_Tab,MATCH(BV280,Identifier,0),9))&gt;8,LEN(INDEX(Calculation_Tab,MATCH(BV280,Identifier,0),9))-8,1))*((15/50)*Calculation!$AK$6)),"-")</f>
        <v>-</v>
      </c>
      <c r="CS280" s="498" t="str">
        <f ca="1">IF(CI280="-","-",IF(COUNTIF($CI$3:CI280,CI280)&gt;1,0,IFERROR((35/50)*Calculation!$AK$6,"-")))</f>
        <v>-</v>
      </c>
    </row>
    <row r="281" spans="4:97" x14ac:dyDescent="0.5">
      <c r="D281" s="487" t="e">
        <f t="shared" si="137"/>
        <v>#DIV/0!</v>
      </c>
      <c r="E281" s="496" t="e">
        <f t="array" ref="E281">IF(IF((ROW(E281)-3)&lt;(ListAndConversion!$A$15),INDEX(Flow_Cell_Lane,MIN(IF(COUNTIF($E$2:E280,Flow_Cell_Lane)=0,ROW(Flow_Cell_Lane)-9))),"-")="","-",IF((ROW(E281)-3)&lt;(ListAndConversion!$A$15),INDEX(Flow_Cell_Lane,MIN(IF(COUNTIF($E$2:E280,Flow_Cell_Lane)=0,ROW(Flow_Cell_Lane)-9))),"-"))</f>
        <v>#DIV/0!</v>
      </c>
      <c r="F281" s="378" t="e">
        <f t="shared" si="138"/>
        <v>#DIV/0!</v>
      </c>
      <c r="G281" s="378" t="e">
        <f t="shared" si="155"/>
        <v>#DIV/0!</v>
      </c>
      <c r="H281" s="378" t="e">
        <f t="shared" si="155"/>
        <v>#DIV/0!</v>
      </c>
      <c r="I281" s="378" t="e">
        <f t="shared" si="155"/>
        <v>#DIV/0!</v>
      </c>
      <c r="J281" s="378" t="e">
        <f t="shared" si="155"/>
        <v>#DIV/0!</v>
      </c>
      <c r="K281" s="378" t="e">
        <f t="shared" si="155"/>
        <v>#DIV/0!</v>
      </c>
      <c r="L281" s="378" t="e">
        <f t="shared" si="155"/>
        <v>#DIV/0!</v>
      </c>
      <c r="M281" s="378" t="e">
        <f t="shared" si="155"/>
        <v>#DIV/0!</v>
      </c>
      <c r="N281" s="497" t="e">
        <f t="shared" si="139"/>
        <v>#DIV/0!</v>
      </c>
      <c r="O281" s="497" t="str">
        <f t="array" ref="O281">IFERROR(INDEX(Calculation!I:AN,MATCH(ListAndConversion!E281,Calculation!I:I,0),31),"-")</f>
        <v>-</v>
      </c>
      <c r="P281" s="498">
        <f>IF(COUNTIFS(Calculation!$I$10:$I$393,E281,Direct_Denaturation,"-")&lt;&gt;1,COUNTIFS(Calculation!$I$10:$I$393,E281,Direct_Denaturation,"-"),0)</f>
        <v>0</v>
      </c>
      <c r="V281" s="542" t="s">
        <v>82</v>
      </c>
      <c r="W281" s="542" t="s">
        <v>82</v>
      </c>
      <c r="X281" s="542" t="s">
        <v>82</v>
      </c>
      <c r="Y281" s="542" t="s">
        <v>82</v>
      </c>
      <c r="Z281" s="542" t="s">
        <v>82</v>
      </c>
      <c r="AA281" s="542" t="s">
        <v>82</v>
      </c>
      <c r="AB281" s="542" t="s">
        <v>82</v>
      </c>
      <c r="AC281" s="542" t="s">
        <v>82</v>
      </c>
      <c r="AD281" s="542" t="s">
        <v>82</v>
      </c>
      <c r="AE281" s="542" t="s">
        <v>82</v>
      </c>
      <c r="AF281" s="542" t="s">
        <v>82</v>
      </c>
      <c r="AG281" s="542" t="s">
        <v>82</v>
      </c>
      <c r="AH281" s="9"/>
      <c r="AI281" s="487">
        <v>278</v>
      </c>
      <c r="AJ281" s="497" t="s">
        <v>162</v>
      </c>
      <c r="AK281" s="378">
        <v>86</v>
      </c>
      <c r="AL281" s="378" t="str">
        <f t="shared" ca="1" si="140"/>
        <v>-</v>
      </c>
      <c r="AM281" s="378" t="str">
        <f t="array" aca="1" ref="AM281" ca="1">IFERROR(IF(AI281&lt;=$AB$2,"-",INDEX(Calculation_Tab,SMALL(ROW(Main_Dil)*(Main_Dil&lt;&gt;"-"),COUNTIF(Main_Dil,"-")+ROW()-3-$AB$2)-9,5)),"-")</f>
        <v>-</v>
      </c>
      <c r="AN281" s="378" t="str">
        <f t="array" aca="1" ref="AN281" ca="1">IFERROR(IF(AI281&lt;=$AB$2,"-",INDEX($A$3:$B$12,MATCH(INDEX(Calculation_Tab,SMALL(ROW(Main_Dil)*(Main_Dil&lt;&gt;"-"),COUNTIF(Main_Dil,"-")+ROW()-3-$AB$2)-9,5),$A$3:$A$12,0),2)),"-")</f>
        <v>-</v>
      </c>
      <c r="AO281" s="378" t="str">
        <f t="array" aca="1" ref="AO281" ca="1">IFERROR(IF(AI281&lt;=$AB$2,"-",INDEX(Coordinate,MATCH(INDEX(Calculation_Tab,SMALL(ROW(Main_Dil)*(Main_Dil&lt;&gt;"-"),COUNTIF(Main_Dil,"-")+ROW()-3-$AB$2)-9,6),$X$4:$X$99,0),2)),"-")</f>
        <v>-</v>
      </c>
      <c r="AP281" s="510" t="str">
        <f t="array" aca="1" ref="AP281" ca="1">IFERROR(IF(AI281&lt;=$AB$2,"-",INDEX(Calculation_Tab,SMALL(ROW(Main_Dil)*(Main_Dil&lt;&gt;"-"),COUNTIF(Main_Dil,"-")+ROW()-3-$AB$2)-9,21)),"-")</f>
        <v>-</v>
      </c>
      <c r="AQ281" s="511" t="str">
        <f t="array" aca="1" ref="AQ281" ca="1">IFERROR(IF(AI281&lt;=$AB$2,"-",INDEX(Calculation_Tab,SMALL(ROW(Main_Dil)*(Main_Dil&lt;&gt;"-"),COUNTIF(Main_Dil,"-")+ROW()-3-$AB$2)-9,22)),"-")</f>
        <v>-</v>
      </c>
      <c r="AR281" s="487" t="str">
        <f t="shared" ca="1" si="141"/>
        <v>-</v>
      </c>
      <c r="AS281" s="378">
        <v>278</v>
      </c>
      <c r="AT281" s="497" t="s">
        <v>162</v>
      </c>
      <c r="AU281" s="498">
        <v>86</v>
      </c>
      <c r="AV281" s="378" t="str">
        <f t="shared" ca="1" si="142"/>
        <v>-</v>
      </c>
      <c r="AW281" s="378" t="str">
        <f t="array" aca="1" ref="AW281" ca="1">IFERROR(IF(AS281&lt;=$AB$2+$AN$2,"-",INDEX(Calculation_Tab,SMALL(ROW(Direct_Denaturation)*(Direct_Denaturation&lt;&gt;"-"),COUNTIF(Direct_Denaturation,"-")+ROW()-3-$AB$2-$AN$2)-9,5)),"-")</f>
        <v>-</v>
      </c>
      <c r="AX281" s="378" t="str">
        <f t="array" aca="1" ref="AX281" ca="1">IFERROR(IF(AS281&lt;=$AB$2+$AN$2,"-",INDEX($A$3:$B$12,MATCH(INDEX(Calculation_Tab,SMALL(ROW(Direct_Denaturation)*(Direct_Denaturation&lt;&gt;"-"),COUNTIF(Direct_Denaturation,"-")+ROW()-3-$AB$2-$AN$2)-9,5),$A$3:$A$12,0),2)),"-")</f>
        <v>-</v>
      </c>
      <c r="AY281" s="378" t="str">
        <f t="array" aca="1" ref="AY281" ca="1">IFERROR(IF(AS281&lt;=$AB$2+$AN$2,"-",INDEX(Coordinate,MATCH(INDEX(Calculation_Tab,SMALL(ROW(Direct_Denaturation)*(Direct_Denaturation&lt;&gt;"-"),COUNTIF(Direct_Denaturation,"-")+ROW()-3-$AB$2-$AN$2)-9,6),$X$4:$X$99,0),2)),"-")</f>
        <v>-</v>
      </c>
      <c r="AZ281" s="510" t="str">
        <f t="array" aca="1" ref="AZ281" ca="1">IFERROR(IF(AS281&lt;=$AB$2+$AN$2,"-",INDEX(Calculation_Tab,SMALL(ROW(Direct_Denaturation)*(Direct_Denaturation&lt;&gt;"-"),COUNTIF(Direct_Denaturation,"-")+ROW()-3-$AB$2-$AN$2)-9,32)),"-")</f>
        <v>-</v>
      </c>
      <c r="BA281" s="510" t="str">
        <f t="array" aca="1" ref="BA281" ca="1">IFERROR(IF(AS281&lt;=$AB$2+$AN$2,"-",INDEX(Calculation_Tab,SMALL(ROW(Direct_Denaturation)*(Direct_Denaturation&lt;&gt;"-"),COUNTIF(Direct_Denaturation,"-")+ROW()-3-$AB$2-$AN$2)-9,34)),"-")</f>
        <v>-</v>
      </c>
      <c r="BB281" s="510" t="str">
        <f t="array" aca="1" ref="BB281" ca="1">IFERROR(IF(AS281&lt;=$AB$2+$AN$2,"-",INDEX(Calculation_Tab,SMALL(ROW(Direct_Denaturation)*(Direct_Denaturation&lt;&gt;"-"),COUNTIF(Direct_Denaturation,"-")+ROW()-3-$AB$2-$AN$2)-9,33)),"-")</f>
        <v>-</v>
      </c>
      <c r="BC281" s="510" t="str">
        <f t="array" aca="1" ref="BC281" ca="1">IFERROR(IF(AS281&lt;=$AB$2+$AN$2,"-",INDEX(Calculation_Tab,SMALL(ROW(Direct_Denaturation)*(Direct_Denaturation&lt;&gt;"-"),COUNTIF(Direct_Denaturation,"-")+ROW()-3-$AB$2-$AN$2)-9,35)),"-")</f>
        <v>-</v>
      </c>
      <c r="BD281" s="511" t="str">
        <f t="shared" ca="1" si="143"/>
        <v>-</v>
      </c>
      <c r="BK281" s="542" t="s">
        <v>82</v>
      </c>
      <c r="BL281" s="542" t="s">
        <v>82</v>
      </c>
      <c r="BM281" s="487" t="str">
        <f t="array" aca="1" ref="BM281" ca="1">IFERROR(INDEX(Calculation_Tab,SMALL(ROW(ToPool)*(ToPool&lt;&gt;"-"),COUNTIF(ToPool,"-")+ROW()-3)-9,3),"-")</f>
        <v>-</v>
      </c>
      <c r="BN281" s="378" t="str">
        <f t="shared" ca="1" si="144"/>
        <v>-</v>
      </c>
      <c r="BO281" s="378" t="str">
        <f t="shared" ca="1" si="145"/>
        <v>-</v>
      </c>
      <c r="BP281" s="523" t="str">
        <f t="shared" ca="1" si="146"/>
        <v>-</v>
      </c>
      <c r="BQ281" s="378" t="str">
        <f t="array" aca="1" ref="BQ281" ca="1">IFERROR(INDEX(BE:BG,MATCH(INDEX(Calculation_Tab,SMALL(ROW(ToPool)*(ToPool&lt;&gt;"-"),COUNTIF(ToPool,"-")+ROW()-3)-9,9),BG:BG,0),2),"-")</f>
        <v>-</v>
      </c>
      <c r="BR281" s="510" t="str">
        <f t="shared" ca="1" si="147"/>
        <v>-</v>
      </c>
      <c r="BS281" s="511" t="str">
        <f t="shared" ca="1" si="148"/>
        <v>-</v>
      </c>
      <c r="BT281" s="543" t="s">
        <v>82</v>
      </c>
      <c r="BU281" s="487" t="str">
        <f t="shared" ca="1" si="152"/>
        <v>-</v>
      </c>
      <c r="BV281" s="487" t="str">
        <f t="array" aca="1" ref="BV28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81" s="378" t="str">
        <f t="shared" ca="1" si="149"/>
        <v>-</v>
      </c>
      <c r="BX281" s="378" t="str">
        <f t="shared" ca="1" si="150"/>
        <v>-</v>
      </c>
      <c r="BY281" s="510" t="str">
        <f ca="1">IFERROR(ROUND(INDEX(Cluster,MATCH(IF(LEFT(BV281,4)="Pool",INDEX(Cluster,MATCH(INDEX(Calculation_Tab,MATCH(INDEX($BE$4:$BJ$99,MATCH(BV281,$BE$4:$BE$99,0),3),Flow_Cell_Lane,0),3),Cluster!$F$29:$F$412,0),6),BV281),Identifier_Cluster,0),19)*IF(LEFT(BV281,4)="pool",IF(LEN(INDEX($BE$4:$BJ$99,MATCH(BV281,$BE$4:$BE$99,0),3))=10,2,IF(LEN(INDEX($BE$4:$BJ$99,MATCH(BV281,$BE$4:$BE$99,0),3))&gt;10,LEN(INDEX($BE$4:$BJ$99,MATCH(BV281,$BE$4:$BE$99,0),3))-8,1)),1)*IF(LEFT(BV281,4)="pool",IF(INDEX($BE$4:$BJ$99,MATCH(BV281,$BE$4:$BE$99,0),6)&lt;1,1,INDEX($BE$4:$BJ$99,MATCH(BV281,$BE$4:$BE$99,0),6)),INDEX(Calculation_Tab,MATCH(BV281,Identifier,0),10)),1)*(1+Calculation!$Q$6),"-")</f>
        <v>-</v>
      </c>
      <c r="BZ281" s="378" t="str">
        <f ca="1">IFERROR((0.5/50)*CE281/Calculation!$AG$6*(IF(LEFT(BV281,4)="Pool",IF(LEN(INDEX($BE$4:$BJ$99,MATCH(BV281,$BE$4:$BE$99,0),3))=10,2,IF(LEN(INDEX($BE$4:$BJ$99,MATCH(BV281,$BE$4:$BE$99,0),3))&gt;10,LEN(INDEX($BE$4:$BJ$99,MATCH(BV281,$BE$4:$BE$99,0),3))-8,1)),IF(INDEX(Calculation_Tab,MATCH(BV281,Identifier,0),10)&gt;1,INDEX(Calculation_Tab,MATCH(BV281,Identifier,0),10),1)))*(1+Calculation!$Q$6),"-")</f>
        <v>-</v>
      </c>
      <c r="CA281" s="510" t="str">
        <f ca="1">IFERROR(IF((BZ281*Calculation!$AG$6/0.05)-SUM(BY281:BZ281,CC281)&gt;0,(BZ281*Calculation!$AG$6/0.05)-SUM(BY281:BZ281,CC281),0),"-")</f>
        <v>-</v>
      </c>
      <c r="CB281" s="510" t="str">
        <f ca="1">IFERROR(5/50*CE281*(IF(LEFT(BV281,4)="Pool",IF(LEN(INDEX($BE$4:$BJ$99,MATCH(BV281,$BE$4:$BE$99,0),3))=10,2,IF(LEN(INDEX($BE$4:$BJ$99,MATCH(BV281,$BE$4:$BE$99,0),3))&gt;10,LEN(INDEX($BE$4:$BJ$99,MATCH(BV281,$BE$4:$BE$99,0),3))-8,1)),IF(INDEX(Calculation_Tab,MATCH(BV281,Identifier,0),10)&gt;1,INDEX(Calculation_Tab,MATCH(BV281,Identifier,0),10),1)))*(1+Calculation!$Q$6),"-")</f>
        <v>-</v>
      </c>
      <c r="CC281" s="508" t="str">
        <f ca="1">IFERROR(ROUND(INDEX(Cluster,MATCH(IF(LEFT(BV281,4)="Pool",INDEX(Cluster,MATCH(INDEX(Calculation_Tab,MATCH(INDEX($BE$4:$BJ$99,MATCH(BV281,$BE$4:$BE$99,0),3),Flow_Cell_Lane,0),3),Cluster!$F$29:$F$412,0),6),BV281),Identifier_Cluster,0),20)*IF(LEFT(BV281,4)="pool",IF(LEN(INDEX($BE$4:$BJ$99,MATCH(BV281,$BE$4:$BE$99,0),3))=10,2,IF(LEN(INDEX($BE$4:$BJ$99,MATCH(BV281,$BE$4:$BE$99,0),3))&gt;10,LEN(INDEX($BE$4:$BJ$99,MATCH(BV281,$BE$4:$BE$99,0),3))-8,1)),1)*IF(LEFT(BV281,4)="pool",IF(INDEX($BE$4:$BJ$99,MATCH(BV281,$BE$4:$BE$99,0),6)&lt;1,1,INDEX($BE$4:$BJ$99,MATCH(BV281,$BE$4:$BE$99,0),6)),INDEX(Calculation_Tab,MATCH(BV281,Identifier,0),10)),1)*(1+Calculation!$Q$6),"-")</f>
        <v>-</v>
      </c>
      <c r="CD281" s="509" t="str">
        <f ca="1">IFERROR(INDEX(Cluster!AC:AD,MATCH(IF(LEFT(BV281,4)="Pool",INDEX(Cluster!$D$29:$AA$412,MATCH(INDEX(Calculation_Tab,MATCH(INDEX($BE$4:$BJ$99,MATCH(BV281,$BE$4:$BE$99,0),3),Flow_Cell_Lane,0),3),Cluster!$F$29:$F$412,0),24),INDEX(Cluster!$D$29:$AA$412,MATCH(BV281,Cluster!$F$29:$F$412,0),24)),Cluster!AC:AC,0),2),"-")</f>
        <v>-</v>
      </c>
      <c r="CE281" s="378" t="str">
        <f ca="1">IFERROR(IF(BV281&lt;&gt;"-",Calculation!$AK$6,"-"),"-")</f>
        <v>-</v>
      </c>
      <c r="CF281" s="378" t="str">
        <f ca="1">IF(OR(LEFT(ListAndConversion!BW281,3)="Dil",LEFT(ListAndConversion!BW281,3)="Poo"),ListAndConversion!$BT$4,IF(LEFT(ListAndConversion!BW281,3)="Sou",INDEX(ListAndConversion!$AT$3:$AV$387,MATCH(ListAndConversion!BV281,ListAndConversion!$AV$3:$AV$387,0),1),"-"))</f>
        <v>-</v>
      </c>
      <c r="CG281" s="498" t="str">
        <f ca="1">IF(OR(LEFT(ListAndConversion!BW281,3)="Dil",LEFT(ListAndConversion!BW281,3)="Poo"),ListAndConversion!BU281,IF(LEFT(ListAndConversion!BW281,3)="Sou",INDEX(ListAndConversion!$AT$4:$AV$387,MATCH(ListAndConversion!BV281,ListAndConversion!$AV$4:$AV$387,0),2),"-"))</f>
        <v>-</v>
      </c>
      <c r="CH281" s="378"/>
      <c r="CI281" s="487" t="str">
        <f t="shared" ca="1" si="151"/>
        <v>-</v>
      </c>
      <c r="CJ281" s="378" t="str">
        <f t="shared" ca="1" si="156"/>
        <v>-</v>
      </c>
      <c r="CK281" s="378" t="str">
        <f t="shared" ca="1" si="156"/>
        <v>-</v>
      </c>
      <c r="CL281" s="378" t="str">
        <f t="shared" ca="1" si="156"/>
        <v>-</v>
      </c>
      <c r="CM281" s="378" t="str">
        <f t="shared" ca="1" si="156"/>
        <v>-</v>
      </c>
      <c r="CN281" s="378" t="str">
        <f t="shared" ca="1" si="156"/>
        <v>-</v>
      </c>
      <c r="CO281" s="378" t="str">
        <f t="shared" ca="1" si="156"/>
        <v>-</v>
      </c>
      <c r="CP281" s="378" t="str">
        <f t="shared" ca="1" si="156"/>
        <v>-</v>
      </c>
      <c r="CQ281" s="378" t="str">
        <f t="shared" ca="1" si="156"/>
        <v>-</v>
      </c>
      <c r="CR281" s="510" t="str">
        <f ca="1">IFERROR(IF(LEFT(BW281,3)="Poo",INDEX($BE$4:$BJ$99,MATCH(CI281,$BG$4:$BG$99,0),6)*((15/50))*Calculation!$AK$6,INDEX(Calculation_Tab,MATCH(BV281,Identifier,0),10)/(IF(LEN(INDEX(Calculation_Tab,MATCH(BV281,Identifier,0),9))&gt;8,LEN(INDEX(Calculation_Tab,MATCH(BV281,Identifier,0),9))-8,1))*((15/50)*Calculation!$AK$6)),"-")</f>
        <v>-</v>
      </c>
      <c r="CS281" s="498" t="str">
        <f ca="1">IF(CI281="-","-",IF(COUNTIF($CI$3:CI281,CI281)&gt;1,0,IFERROR((35/50)*Calculation!$AK$6,"-")))</f>
        <v>-</v>
      </c>
    </row>
    <row r="282" spans="4:97" x14ac:dyDescent="0.5">
      <c r="D282" s="487" t="e">
        <f t="shared" si="137"/>
        <v>#DIV/0!</v>
      </c>
      <c r="E282" s="496" t="e">
        <f t="array" ref="E282">IF(IF((ROW(E282)-3)&lt;(ListAndConversion!$A$15),INDEX(Flow_Cell_Lane,MIN(IF(COUNTIF($E$2:E281,Flow_Cell_Lane)=0,ROW(Flow_Cell_Lane)-9))),"-")="","-",IF((ROW(E282)-3)&lt;(ListAndConversion!$A$15),INDEX(Flow_Cell_Lane,MIN(IF(COUNTIF($E$2:E281,Flow_Cell_Lane)=0,ROW(Flow_Cell_Lane)-9))),"-"))</f>
        <v>#DIV/0!</v>
      </c>
      <c r="F282" s="378" t="e">
        <f t="shared" si="138"/>
        <v>#DIV/0!</v>
      </c>
      <c r="G282" s="378" t="e">
        <f t="shared" si="155"/>
        <v>#DIV/0!</v>
      </c>
      <c r="H282" s="378" t="e">
        <f t="shared" si="155"/>
        <v>#DIV/0!</v>
      </c>
      <c r="I282" s="378" t="e">
        <f t="shared" si="155"/>
        <v>#DIV/0!</v>
      </c>
      <c r="J282" s="378" t="e">
        <f t="shared" si="155"/>
        <v>#DIV/0!</v>
      </c>
      <c r="K282" s="378" t="e">
        <f t="shared" si="155"/>
        <v>#DIV/0!</v>
      </c>
      <c r="L282" s="378" t="e">
        <f t="shared" si="155"/>
        <v>#DIV/0!</v>
      </c>
      <c r="M282" s="378" t="e">
        <f t="shared" si="155"/>
        <v>#DIV/0!</v>
      </c>
      <c r="N282" s="497" t="e">
        <f t="shared" si="139"/>
        <v>#DIV/0!</v>
      </c>
      <c r="O282" s="497" t="str">
        <f t="array" ref="O282">IFERROR(INDEX(Calculation!I:AN,MATCH(ListAndConversion!E282,Calculation!I:I,0),31),"-")</f>
        <v>-</v>
      </c>
      <c r="P282" s="498">
        <f>IF(COUNTIFS(Calculation!$I$10:$I$393,E282,Direct_Denaturation,"-")&lt;&gt;1,COUNTIFS(Calculation!$I$10:$I$393,E282,Direct_Denaturation,"-"),0)</f>
        <v>0</v>
      </c>
      <c r="V282" s="542" t="s">
        <v>82</v>
      </c>
      <c r="W282" s="542" t="s">
        <v>82</v>
      </c>
      <c r="X282" s="542" t="s">
        <v>82</v>
      </c>
      <c r="Y282" s="542" t="s">
        <v>82</v>
      </c>
      <c r="Z282" s="542" t="s">
        <v>82</v>
      </c>
      <c r="AA282" s="542" t="s">
        <v>82</v>
      </c>
      <c r="AB282" s="542" t="s">
        <v>82</v>
      </c>
      <c r="AC282" s="542" t="s">
        <v>82</v>
      </c>
      <c r="AD282" s="542" t="s">
        <v>82</v>
      </c>
      <c r="AE282" s="542" t="s">
        <v>82</v>
      </c>
      <c r="AF282" s="542" t="s">
        <v>82</v>
      </c>
      <c r="AG282" s="542" t="s">
        <v>82</v>
      </c>
      <c r="AH282" s="9"/>
      <c r="AI282" s="487">
        <v>279</v>
      </c>
      <c r="AJ282" s="497" t="s">
        <v>162</v>
      </c>
      <c r="AK282" s="378">
        <v>87</v>
      </c>
      <c r="AL282" s="378" t="str">
        <f t="shared" ca="1" si="140"/>
        <v>-</v>
      </c>
      <c r="AM282" s="378" t="str">
        <f t="array" aca="1" ref="AM282" ca="1">IFERROR(IF(AI282&lt;=$AB$2,"-",INDEX(Calculation_Tab,SMALL(ROW(Main_Dil)*(Main_Dil&lt;&gt;"-"),COUNTIF(Main_Dil,"-")+ROW()-3-$AB$2)-9,5)),"-")</f>
        <v>-</v>
      </c>
      <c r="AN282" s="378" t="str">
        <f t="array" aca="1" ref="AN282" ca="1">IFERROR(IF(AI282&lt;=$AB$2,"-",INDEX($A$3:$B$12,MATCH(INDEX(Calculation_Tab,SMALL(ROW(Main_Dil)*(Main_Dil&lt;&gt;"-"),COUNTIF(Main_Dil,"-")+ROW()-3-$AB$2)-9,5),$A$3:$A$12,0),2)),"-")</f>
        <v>-</v>
      </c>
      <c r="AO282" s="378" t="str">
        <f t="array" aca="1" ref="AO282" ca="1">IFERROR(IF(AI282&lt;=$AB$2,"-",INDEX(Coordinate,MATCH(INDEX(Calculation_Tab,SMALL(ROW(Main_Dil)*(Main_Dil&lt;&gt;"-"),COUNTIF(Main_Dil,"-")+ROW()-3-$AB$2)-9,6),$X$4:$X$99,0),2)),"-")</f>
        <v>-</v>
      </c>
      <c r="AP282" s="510" t="str">
        <f t="array" aca="1" ref="AP282" ca="1">IFERROR(IF(AI282&lt;=$AB$2,"-",INDEX(Calculation_Tab,SMALL(ROW(Main_Dil)*(Main_Dil&lt;&gt;"-"),COUNTIF(Main_Dil,"-")+ROW()-3-$AB$2)-9,21)),"-")</f>
        <v>-</v>
      </c>
      <c r="AQ282" s="511" t="str">
        <f t="array" aca="1" ref="AQ282" ca="1">IFERROR(IF(AI282&lt;=$AB$2,"-",INDEX(Calculation_Tab,SMALL(ROW(Main_Dil)*(Main_Dil&lt;&gt;"-"),COUNTIF(Main_Dil,"-")+ROW()-3-$AB$2)-9,22)),"-")</f>
        <v>-</v>
      </c>
      <c r="AR282" s="487" t="str">
        <f t="shared" ca="1" si="141"/>
        <v>-</v>
      </c>
      <c r="AS282" s="378">
        <v>279</v>
      </c>
      <c r="AT282" s="497" t="s">
        <v>162</v>
      </c>
      <c r="AU282" s="498">
        <v>87</v>
      </c>
      <c r="AV282" s="378" t="str">
        <f t="shared" ca="1" si="142"/>
        <v>-</v>
      </c>
      <c r="AW282" s="378" t="str">
        <f t="array" aca="1" ref="AW282" ca="1">IFERROR(IF(AS282&lt;=$AB$2+$AN$2,"-",INDEX(Calculation_Tab,SMALL(ROW(Direct_Denaturation)*(Direct_Denaturation&lt;&gt;"-"),COUNTIF(Direct_Denaturation,"-")+ROW()-3-$AB$2-$AN$2)-9,5)),"-")</f>
        <v>-</v>
      </c>
      <c r="AX282" s="378" t="str">
        <f t="array" aca="1" ref="AX282" ca="1">IFERROR(IF(AS282&lt;=$AB$2+$AN$2,"-",INDEX($A$3:$B$12,MATCH(INDEX(Calculation_Tab,SMALL(ROW(Direct_Denaturation)*(Direct_Denaturation&lt;&gt;"-"),COUNTIF(Direct_Denaturation,"-")+ROW()-3-$AB$2-$AN$2)-9,5),$A$3:$A$12,0),2)),"-")</f>
        <v>-</v>
      </c>
      <c r="AY282" s="378" t="str">
        <f t="array" aca="1" ref="AY282" ca="1">IFERROR(IF(AS282&lt;=$AB$2+$AN$2,"-",INDEX(Coordinate,MATCH(INDEX(Calculation_Tab,SMALL(ROW(Direct_Denaturation)*(Direct_Denaturation&lt;&gt;"-"),COUNTIF(Direct_Denaturation,"-")+ROW()-3-$AB$2-$AN$2)-9,6),$X$4:$X$99,0),2)),"-")</f>
        <v>-</v>
      </c>
      <c r="AZ282" s="510" t="str">
        <f t="array" aca="1" ref="AZ282" ca="1">IFERROR(IF(AS282&lt;=$AB$2+$AN$2,"-",INDEX(Calculation_Tab,SMALL(ROW(Direct_Denaturation)*(Direct_Denaturation&lt;&gt;"-"),COUNTIF(Direct_Denaturation,"-")+ROW()-3-$AB$2-$AN$2)-9,32)),"-")</f>
        <v>-</v>
      </c>
      <c r="BA282" s="510" t="str">
        <f t="array" aca="1" ref="BA282" ca="1">IFERROR(IF(AS282&lt;=$AB$2+$AN$2,"-",INDEX(Calculation_Tab,SMALL(ROW(Direct_Denaturation)*(Direct_Denaturation&lt;&gt;"-"),COUNTIF(Direct_Denaturation,"-")+ROW()-3-$AB$2-$AN$2)-9,34)),"-")</f>
        <v>-</v>
      </c>
      <c r="BB282" s="510" t="str">
        <f t="array" aca="1" ref="BB282" ca="1">IFERROR(IF(AS282&lt;=$AB$2+$AN$2,"-",INDEX(Calculation_Tab,SMALL(ROW(Direct_Denaturation)*(Direct_Denaturation&lt;&gt;"-"),COUNTIF(Direct_Denaturation,"-")+ROW()-3-$AB$2-$AN$2)-9,33)),"-")</f>
        <v>-</v>
      </c>
      <c r="BC282" s="510" t="str">
        <f t="array" aca="1" ref="BC282" ca="1">IFERROR(IF(AS282&lt;=$AB$2+$AN$2,"-",INDEX(Calculation_Tab,SMALL(ROW(Direct_Denaturation)*(Direct_Denaturation&lt;&gt;"-"),COUNTIF(Direct_Denaturation,"-")+ROW()-3-$AB$2-$AN$2)-9,35)),"-")</f>
        <v>-</v>
      </c>
      <c r="BD282" s="511" t="str">
        <f t="shared" ca="1" si="143"/>
        <v>-</v>
      </c>
      <c r="BK282" s="542" t="s">
        <v>82</v>
      </c>
      <c r="BL282" s="542" t="s">
        <v>82</v>
      </c>
      <c r="BM282" s="487" t="str">
        <f t="array" aca="1" ref="BM282" ca="1">IFERROR(INDEX(Calculation_Tab,SMALL(ROW(ToPool)*(ToPool&lt;&gt;"-"),COUNTIF(ToPool,"-")+ROW()-3)-9,3),"-")</f>
        <v>-</v>
      </c>
      <c r="BN282" s="378" t="str">
        <f t="shared" ca="1" si="144"/>
        <v>-</v>
      </c>
      <c r="BO282" s="378" t="str">
        <f t="shared" ca="1" si="145"/>
        <v>-</v>
      </c>
      <c r="BP282" s="523" t="str">
        <f t="shared" ca="1" si="146"/>
        <v>-</v>
      </c>
      <c r="BQ282" s="378" t="str">
        <f t="array" aca="1" ref="BQ282" ca="1">IFERROR(INDEX(BE:BG,MATCH(INDEX(Calculation_Tab,SMALL(ROW(ToPool)*(ToPool&lt;&gt;"-"),COUNTIF(ToPool,"-")+ROW()-3)-9,9),BG:BG,0),2),"-")</f>
        <v>-</v>
      </c>
      <c r="BR282" s="510" t="str">
        <f t="shared" ca="1" si="147"/>
        <v>-</v>
      </c>
      <c r="BS282" s="511" t="str">
        <f t="shared" ca="1" si="148"/>
        <v>-</v>
      </c>
      <c r="BT282" s="543" t="s">
        <v>82</v>
      </c>
      <c r="BU282" s="487" t="str">
        <f t="shared" ca="1" si="152"/>
        <v>-</v>
      </c>
      <c r="BV282" s="487" t="str">
        <f t="array" aca="1" ref="BV28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82" s="378" t="str">
        <f t="shared" ca="1" si="149"/>
        <v>-</v>
      </c>
      <c r="BX282" s="378" t="str">
        <f t="shared" ca="1" si="150"/>
        <v>-</v>
      </c>
      <c r="BY282" s="510" t="str">
        <f ca="1">IFERROR(ROUND(INDEX(Cluster,MATCH(IF(LEFT(BV282,4)="Pool",INDEX(Cluster,MATCH(INDEX(Calculation_Tab,MATCH(INDEX($BE$4:$BJ$99,MATCH(BV282,$BE$4:$BE$99,0),3),Flow_Cell_Lane,0),3),Cluster!$F$29:$F$412,0),6),BV282),Identifier_Cluster,0),19)*IF(LEFT(BV282,4)="pool",IF(LEN(INDEX($BE$4:$BJ$99,MATCH(BV282,$BE$4:$BE$99,0),3))=10,2,IF(LEN(INDEX($BE$4:$BJ$99,MATCH(BV282,$BE$4:$BE$99,0),3))&gt;10,LEN(INDEX($BE$4:$BJ$99,MATCH(BV282,$BE$4:$BE$99,0),3))-8,1)),1)*IF(LEFT(BV282,4)="pool",IF(INDEX($BE$4:$BJ$99,MATCH(BV282,$BE$4:$BE$99,0),6)&lt;1,1,INDEX($BE$4:$BJ$99,MATCH(BV282,$BE$4:$BE$99,0),6)),INDEX(Calculation_Tab,MATCH(BV282,Identifier,0),10)),1)*(1+Calculation!$Q$6),"-")</f>
        <v>-</v>
      </c>
      <c r="BZ282" s="378" t="str">
        <f ca="1">IFERROR((0.5/50)*CE282/Calculation!$AG$6*(IF(LEFT(BV282,4)="Pool",IF(LEN(INDEX($BE$4:$BJ$99,MATCH(BV282,$BE$4:$BE$99,0),3))=10,2,IF(LEN(INDEX($BE$4:$BJ$99,MATCH(BV282,$BE$4:$BE$99,0),3))&gt;10,LEN(INDEX($BE$4:$BJ$99,MATCH(BV282,$BE$4:$BE$99,0),3))-8,1)),IF(INDEX(Calculation_Tab,MATCH(BV282,Identifier,0),10)&gt;1,INDEX(Calculation_Tab,MATCH(BV282,Identifier,0),10),1)))*(1+Calculation!$Q$6),"-")</f>
        <v>-</v>
      </c>
      <c r="CA282" s="510" t="str">
        <f ca="1">IFERROR(IF((BZ282*Calculation!$AG$6/0.05)-SUM(BY282:BZ282,CC282)&gt;0,(BZ282*Calculation!$AG$6/0.05)-SUM(BY282:BZ282,CC282),0),"-")</f>
        <v>-</v>
      </c>
      <c r="CB282" s="510" t="str">
        <f ca="1">IFERROR(5/50*CE282*(IF(LEFT(BV282,4)="Pool",IF(LEN(INDEX($BE$4:$BJ$99,MATCH(BV282,$BE$4:$BE$99,0),3))=10,2,IF(LEN(INDEX($BE$4:$BJ$99,MATCH(BV282,$BE$4:$BE$99,0),3))&gt;10,LEN(INDEX($BE$4:$BJ$99,MATCH(BV282,$BE$4:$BE$99,0),3))-8,1)),IF(INDEX(Calculation_Tab,MATCH(BV282,Identifier,0),10)&gt;1,INDEX(Calculation_Tab,MATCH(BV282,Identifier,0),10),1)))*(1+Calculation!$Q$6),"-")</f>
        <v>-</v>
      </c>
      <c r="CC282" s="508" t="str">
        <f ca="1">IFERROR(ROUND(INDEX(Cluster,MATCH(IF(LEFT(BV282,4)="Pool",INDEX(Cluster,MATCH(INDEX(Calculation_Tab,MATCH(INDEX($BE$4:$BJ$99,MATCH(BV282,$BE$4:$BE$99,0),3),Flow_Cell_Lane,0),3),Cluster!$F$29:$F$412,0),6),BV282),Identifier_Cluster,0),20)*IF(LEFT(BV282,4)="pool",IF(LEN(INDEX($BE$4:$BJ$99,MATCH(BV282,$BE$4:$BE$99,0),3))=10,2,IF(LEN(INDEX($BE$4:$BJ$99,MATCH(BV282,$BE$4:$BE$99,0),3))&gt;10,LEN(INDEX($BE$4:$BJ$99,MATCH(BV282,$BE$4:$BE$99,0),3))-8,1)),1)*IF(LEFT(BV282,4)="pool",IF(INDEX($BE$4:$BJ$99,MATCH(BV282,$BE$4:$BE$99,0),6)&lt;1,1,INDEX($BE$4:$BJ$99,MATCH(BV282,$BE$4:$BE$99,0),6)),INDEX(Calculation_Tab,MATCH(BV282,Identifier,0),10)),1)*(1+Calculation!$Q$6),"-")</f>
        <v>-</v>
      </c>
      <c r="CD282" s="509" t="str">
        <f ca="1">IFERROR(INDEX(Cluster!AC:AD,MATCH(IF(LEFT(BV282,4)="Pool",INDEX(Cluster!$D$29:$AA$412,MATCH(INDEX(Calculation_Tab,MATCH(INDEX($BE$4:$BJ$99,MATCH(BV282,$BE$4:$BE$99,0),3),Flow_Cell_Lane,0),3),Cluster!$F$29:$F$412,0),24),INDEX(Cluster!$D$29:$AA$412,MATCH(BV282,Cluster!$F$29:$F$412,0),24)),Cluster!AC:AC,0),2),"-")</f>
        <v>-</v>
      </c>
      <c r="CE282" s="378" t="str">
        <f ca="1">IFERROR(IF(BV282&lt;&gt;"-",Calculation!$AK$6,"-"),"-")</f>
        <v>-</v>
      </c>
      <c r="CF282" s="378" t="str">
        <f ca="1">IF(OR(LEFT(ListAndConversion!BW282,3)="Dil",LEFT(ListAndConversion!BW282,3)="Poo"),ListAndConversion!$BT$4,IF(LEFT(ListAndConversion!BW282,3)="Sou",INDEX(ListAndConversion!$AT$3:$AV$387,MATCH(ListAndConversion!BV282,ListAndConversion!$AV$3:$AV$387,0),1),"-"))</f>
        <v>-</v>
      </c>
      <c r="CG282" s="498" t="str">
        <f ca="1">IF(OR(LEFT(ListAndConversion!BW282,3)="Dil",LEFT(ListAndConversion!BW282,3)="Poo"),ListAndConversion!BU282,IF(LEFT(ListAndConversion!BW282,3)="Sou",INDEX(ListAndConversion!$AT$4:$AV$387,MATCH(ListAndConversion!BV282,ListAndConversion!$AV$4:$AV$387,0),2),"-"))</f>
        <v>-</v>
      </c>
      <c r="CH282" s="378"/>
      <c r="CI282" s="487" t="str">
        <f t="shared" ca="1" si="151"/>
        <v>-</v>
      </c>
      <c r="CJ282" s="378" t="str">
        <f t="shared" ca="1" si="156"/>
        <v>-</v>
      </c>
      <c r="CK282" s="378" t="str">
        <f t="shared" ca="1" si="156"/>
        <v>-</v>
      </c>
      <c r="CL282" s="378" t="str">
        <f t="shared" ca="1" si="156"/>
        <v>-</v>
      </c>
      <c r="CM282" s="378" t="str">
        <f t="shared" ca="1" si="156"/>
        <v>-</v>
      </c>
      <c r="CN282" s="378" t="str">
        <f t="shared" ca="1" si="156"/>
        <v>-</v>
      </c>
      <c r="CO282" s="378" t="str">
        <f t="shared" ca="1" si="156"/>
        <v>-</v>
      </c>
      <c r="CP282" s="378" t="str">
        <f t="shared" ca="1" si="156"/>
        <v>-</v>
      </c>
      <c r="CQ282" s="378" t="str">
        <f t="shared" ca="1" si="156"/>
        <v>-</v>
      </c>
      <c r="CR282" s="510" t="str">
        <f ca="1">IFERROR(IF(LEFT(BW282,3)="Poo",INDEX($BE$4:$BJ$99,MATCH(CI282,$BG$4:$BG$99,0),6)*((15/50))*Calculation!$AK$6,INDEX(Calculation_Tab,MATCH(BV282,Identifier,0),10)/(IF(LEN(INDEX(Calculation_Tab,MATCH(BV282,Identifier,0),9))&gt;8,LEN(INDEX(Calculation_Tab,MATCH(BV282,Identifier,0),9))-8,1))*((15/50)*Calculation!$AK$6)),"-")</f>
        <v>-</v>
      </c>
      <c r="CS282" s="498" t="str">
        <f ca="1">IF(CI282="-","-",IF(COUNTIF($CI$3:CI282,CI282)&gt;1,0,IFERROR((35/50)*Calculation!$AK$6,"-")))</f>
        <v>-</v>
      </c>
    </row>
    <row r="283" spans="4:97" x14ac:dyDescent="0.5">
      <c r="D283" s="487" t="e">
        <f t="shared" si="137"/>
        <v>#DIV/0!</v>
      </c>
      <c r="E283" s="496" t="e">
        <f t="array" ref="E283">IF(IF((ROW(E283)-3)&lt;(ListAndConversion!$A$15),INDEX(Flow_Cell_Lane,MIN(IF(COUNTIF($E$2:E282,Flow_Cell_Lane)=0,ROW(Flow_Cell_Lane)-9))),"-")="","-",IF((ROW(E283)-3)&lt;(ListAndConversion!$A$15),INDEX(Flow_Cell_Lane,MIN(IF(COUNTIF($E$2:E282,Flow_Cell_Lane)=0,ROW(Flow_Cell_Lane)-9))),"-"))</f>
        <v>#DIV/0!</v>
      </c>
      <c r="F283" s="378" t="e">
        <f t="shared" si="138"/>
        <v>#DIV/0!</v>
      </c>
      <c r="G283" s="378" t="e">
        <f t="shared" ref="G283:M292" si="157">IF($D283&gt;8,IF($D283&gt;=(8+G$2),CONCATENATE(LEFT($E283,7),RIGHT(LEFT($E283,8+G$2),1)),""),"")</f>
        <v>#DIV/0!</v>
      </c>
      <c r="H283" s="378" t="e">
        <f t="shared" si="157"/>
        <v>#DIV/0!</v>
      </c>
      <c r="I283" s="378" t="e">
        <f t="shared" si="157"/>
        <v>#DIV/0!</v>
      </c>
      <c r="J283" s="378" t="e">
        <f t="shared" si="157"/>
        <v>#DIV/0!</v>
      </c>
      <c r="K283" s="378" t="e">
        <f t="shared" si="157"/>
        <v>#DIV/0!</v>
      </c>
      <c r="L283" s="378" t="e">
        <f t="shared" si="157"/>
        <v>#DIV/0!</v>
      </c>
      <c r="M283" s="378" t="e">
        <f t="shared" si="157"/>
        <v>#DIV/0!</v>
      </c>
      <c r="N283" s="497" t="e">
        <f t="shared" si="139"/>
        <v>#DIV/0!</v>
      </c>
      <c r="O283" s="497" t="str">
        <f t="array" ref="O283">IFERROR(INDEX(Calculation!I:AN,MATCH(ListAndConversion!E283,Calculation!I:I,0),31),"-")</f>
        <v>-</v>
      </c>
      <c r="P283" s="498">
        <f>IF(COUNTIFS(Calculation!$I$10:$I$393,E283,Direct_Denaturation,"-")&lt;&gt;1,COUNTIFS(Calculation!$I$10:$I$393,E283,Direct_Denaturation,"-"),0)</f>
        <v>0</v>
      </c>
      <c r="V283" s="542" t="s">
        <v>82</v>
      </c>
      <c r="W283" s="542" t="s">
        <v>82</v>
      </c>
      <c r="X283" s="542" t="s">
        <v>82</v>
      </c>
      <c r="Y283" s="542" t="s">
        <v>82</v>
      </c>
      <c r="Z283" s="542" t="s">
        <v>82</v>
      </c>
      <c r="AA283" s="542" t="s">
        <v>82</v>
      </c>
      <c r="AB283" s="542" t="s">
        <v>82</v>
      </c>
      <c r="AC283" s="542" t="s">
        <v>82</v>
      </c>
      <c r="AD283" s="542" t="s">
        <v>82</v>
      </c>
      <c r="AE283" s="542" t="s">
        <v>82</v>
      </c>
      <c r="AF283" s="542" t="s">
        <v>82</v>
      </c>
      <c r="AG283" s="542" t="s">
        <v>82</v>
      </c>
      <c r="AH283" s="9"/>
      <c r="AI283" s="487">
        <v>280</v>
      </c>
      <c r="AJ283" s="497" t="s">
        <v>162</v>
      </c>
      <c r="AK283" s="378">
        <v>88</v>
      </c>
      <c r="AL283" s="378" t="str">
        <f t="shared" ca="1" si="140"/>
        <v>-</v>
      </c>
      <c r="AM283" s="378" t="str">
        <f t="array" aca="1" ref="AM283" ca="1">IFERROR(IF(AI283&lt;=$AB$2,"-",INDEX(Calculation_Tab,SMALL(ROW(Main_Dil)*(Main_Dil&lt;&gt;"-"),COUNTIF(Main_Dil,"-")+ROW()-3-$AB$2)-9,5)),"-")</f>
        <v>-</v>
      </c>
      <c r="AN283" s="378" t="str">
        <f t="array" aca="1" ref="AN283" ca="1">IFERROR(IF(AI283&lt;=$AB$2,"-",INDEX($A$3:$B$12,MATCH(INDEX(Calculation_Tab,SMALL(ROW(Main_Dil)*(Main_Dil&lt;&gt;"-"),COUNTIF(Main_Dil,"-")+ROW()-3-$AB$2)-9,5),$A$3:$A$12,0),2)),"-")</f>
        <v>-</v>
      </c>
      <c r="AO283" s="378" t="str">
        <f t="array" aca="1" ref="AO283" ca="1">IFERROR(IF(AI283&lt;=$AB$2,"-",INDEX(Coordinate,MATCH(INDEX(Calculation_Tab,SMALL(ROW(Main_Dil)*(Main_Dil&lt;&gt;"-"),COUNTIF(Main_Dil,"-")+ROW()-3-$AB$2)-9,6),$X$4:$X$99,0),2)),"-")</f>
        <v>-</v>
      </c>
      <c r="AP283" s="510" t="str">
        <f t="array" aca="1" ref="AP283" ca="1">IFERROR(IF(AI283&lt;=$AB$2,"-",INDEX(Calculation_Tab,SMALL(ROW(Main_Dil)*(Main_Dil&lt;&gt;"-"),COUNTIF(Main_Dil,"-")+ROW()-3-$AB$2)-9,21)),"-")</f>
        <v>-</v>
      </c>
      <c r="AQ283" s="511" t="str">
        <f t="array" aca="1" ref="AQ283" ca="1">IFERROR(IF(AI283&lt;=$AB$2,"-",INDEX(Calculation_Tab,SMALL(ROW(Main_Dil)*(Main_Dil&lt;&gt;"-"),COUNTIF(Main_Dil,"-")+ROW()-3-$AB$2)-9,22)),"-")</f>
        <v>-</v>
      </c>
      <c r="AR283" s="487" t="str">
        <f t="shared" ca="1" si="141"/>
        <v>-</v>
      </c>
      <c r="AS283" s="378">
        <v>280</v>
      </c>
      <c r="AT283" s="497" t="s">
        <v>162</v>
      </c>
      <c r="AU283" s="498">
        <v>88</v>
      </c>
      <c r="AV283" s="378" t="str">
        <f t="shared" ca="1" si="142"/>
        <v>-</v>
      </c>
      <c r="AW283" s="378" t="str">
        <f t="array" aca="1" ref="AW283" ca="1">IFERROR(IF(AS283&lt;=$AB$2+$AN$2,"-",INDEX(Calculation_Tab,SMALL(ROW(Direct_Denaturation)*(Direct_Denaturation&lt;&gt;"-"),COUNTIF(Direct_Denaturation,"-")+ROW()-3-$AB$2-$AN$2)-9,5)),"-")</f>
        <v>-</v>
      </c>
      <c r="AX283" s="378" t="str">
        <f t="array" aca="1" ref="AX283" ca="1">IFERROR(IF(AS283&lt;=$AB$2+$AN$2,"-",INDEX($A$3:$B$12,MATCH(INDEX(Calculation_Tab,SMALL(ROW(Direct_Denaturation)*(Direct_Denaturation&lt;&gt;"-"),COUNTIF(Direct_Denaturation,"-")+ROW()-3-$AB$2-$AN$2)-9,5),$A$3:$A$12,0),2)),"-")</f>
        <v>-</v>
      </c>
      <c r="AY283" s="378" t="str">
        <f t="array" aca="1" ref="AY283" ca="1">IFERROR(IF(AS283&lt;=$AB$2+$AN$2,"-",INDEX(Coordinate,MATCH(INDEX(Calculation_Tab,SMALL(ROW(Direct_Denaturation)*(Direct_Denaturation&lt;&gt;"-"),COUNTIF(Direct_Denaturation,"-")+ROW()-3-$AB$2-$AN$2)-9,6),$X$4:$X$99,0),2)),"-")</f>
        <v>-</v>
      </c>
      <c r="AZ283" s="510" t="str">
        <f t="array" aca="1" ref="AZ283" ca="1">IFERROR(IF(AS283&lt;=$AB$2+$AN$2,"-",INDEX(Calculation_Tab,SMALL(ROW(Direct_Denaturation)*(Direct_Denaturation&lt;&gt;"-"),COUNTIF(Direct_Denaturation,"-")+ROW()-3-$AB$2-$AN$2)-9,32)),"-")</f>
        <v>-</v>
      </c>
      <c r="BA283" s="510" t="str">
        <f t="array" aca="1" ref="BA283" ca="1">IFERROR(IF(AS283&lt;=$AB$2+$AN$2,"-",INDEX(Calculation_Tab,SMALL(ROW(Direct_Denaturation)*(Direct_Denaturation&lt;&gt;"-"),COUNTIF(Direct_Denaturation,"-")+ROW()-3-$AB$2-$AN$2)-9,34)),"-")</f>
        <v>-</v>
      </c>
      <c r="BB283" s="510" t="str">
        <f t="array" aca="1" ref="BB283" ca="1">IFERROR(IF(AS283&lt;=$AB$2+$AN$2,"-",INDEX(Calculation_Tab,SMALL(ROW(Direct_Denaturation)*(Direct_Denaturation&lt;&gt;"-"),COUNTIF(Direct_Denaturation,"-")+ROW()-3-$AB$2-$AN$2)-9,33)),"-")</f>
        <v>-</v>
      </c>
      <c r="BC283" s="510" t="str">
        <f t="array" aca="1" ref="BC283" ca="1">IFERROR(IF(AS283&lt;=$AB$2+$AN$2,"-",INDEX(Calculation_Tab,SMALL(ROW(Direct_Denaturation)*(Direct_Denaturation&lt;&gt;"-"),COUNTIF(Direct_Denaturation,"-")+ROW()-3-$AB$2-$AN$2)-9,35)),"-")</f>
        <v>-</v>
      </c>
      <c r="BD283" s="511" t="str">
        <f t="shared" ca="1" si="143"/>
        <v>-</v>
      </c>
      <c r="BK283" s="542" t="s">
        <v>82</v>
      </c>
      <c r="BL283" s="542" t="s">
        <v>82</v>
      </c>
      <c r="BM283" s="487" t="str">
        <f t="array" aca="1" ref="BM283" ca="1">IFERROR(INDEX(Calculation_Tab,SMALL(ROW(ToPool)*(ToPool&lt;&gt;"-"),COUNTIF(ToPool,"-")+ROW()-3)-9,3),"-")</f>
        <v>-</v>
      </c>
      <c r="BN283" s="378" t="str">
        <f t="shared" ca="1" si="144"/>
        <v>-</v>
      </c>
      <c r="BO283" s="378" t="str">
        <f t="shared" ca="1" si="145"/>
        <v>-</v>
      </c>
      <c r="BP283" s="523" t="str">
        <f t="shared" ca="1" si="146"/>
        <v>-</v>
      </c>
      <c r="BQ283" s="378" t="str">
        <f t="array" aca="1" ref="BQ283" ca="1">IFERROR(INDEX(BE:BG,MATCH(INDEX(Calculation_Tab,SMALL(ROW(ToPool)*(ToPool&lt;&gt;"-"),COUNTIF(ToPool,"-")+ROW()-3)-9,9),BG:BG,0),2),"-")</f>
        <v>-</v>
      </c>
      <c r="BR283" s="510" t="str">
        <f t="shared" ca="1" si="147"/>
        <v>-</v>
      </c>
      <c r="BS283" s="511" t="str">
        <f t="shared" ca="1" si="148"/>
        <v>-</v>
      </c>
      <c r="BT283" s="543" t="s">
        <v>82</v>
      </c>
      <c r="BU283" s="487" t="str">
        <f t="shared" ca="1" si="152"/>
        <v>-</v>
      </c>
      <c r="BV283" s="487" t="str">
        <f t="array" aca="1" ref="BV28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83" s="378" t="str">
        <f t="shared" ca="1" si="149"/>
        <v>-</v>
      </c>
      <c r="BX283" s="378" t="str">
        <f t="shared" ca="1" si="150"/>
        <v>-</v>
      </c>
      <c r="BY283" s="510" t="str">
        <f ca="1">IFERROR(ROUND(INDEX(Cluster,MATCH(IF(LEFT(BV283,4)="Pool",INDEX(Cluster,MATCH(INDEX(Calculation_Tab,MATCH(INDEX($BE$4:$BJ$99,MATCH(BV283,$BE$4:$BE$99,0),3),Flow_Cell_Lane,0),3),Cluster!$F$29:$F$412,0),6),BV283),Identifier_Cluster,0),19)*IF(LEFT(BV283,4)="pool",IF(LEN(INDEX($BE$4:$BJ$99,MATCH(BV283,$BE$4:$BE$99,0),3))=10,2,IF(LEN(INDEX($BE$4:$BJ$99,MATCH(BV283,$BE$4:$BE$99,0),3))&gt;10,LEN(INDEX($BE$4:$BJ$99,MATCH(BV283,$BE$4:$BE$99,0),3))-8,1)),1)*IF(LEFT(BV283,4)="pool",IF(INDEX($BE$4:$BJ$99,MATCH(BV283,$BE$4:$BE$99,0),6)&lt;1,1,INDEX($BE$4:$BJ$99,MATCH(BV283,$BE$4:$BE$99,0),6)),INDEX(Calculation_Tab,MATCH(BV283,Identifier,0),10)),1)*(1+Calculation!$Q$6),"-")</f>
        <v>-</v>
      </c>
      <c r="BZ283" s="378" t="str">
        <f ca="1">IFERROR((0.5/50)*CE283/Calculation!$AG$6*(IF(LEFT(BV283,4)="Pool",IF(LEN(INDEX($BE$4:$BJ$99,MATCH(BV283,$BE$4:$BE$99,0),3))=10,2,IF(LEN(INDEX($BE$4:$BJ$99,MATCH(BV283,$BE$4:$BE$99,0),3))&gt;10,LEN(INDEX($BE$4:$BJ$99,MATCH(BV283,$BE$4:$BE$99,0),3))-8,1)),IF(INDEX(Calculation_Tab,MATCH(BV283,Identifier,0),10)&gt;1,INDEX(Calculation_Tab,MATCH(BV283,Identifier,0),10),1)))*(1+Calculation!$Q$6),"-")</f>
        <v>-</v>
      </c>
      <c r="CA283" s="510" t="str">
        <f ca="1">IFERROR(IF((BZ283*Calculation!$AG$6/0.05)-SUM(BY283:BZ283,CC283)&gt;0,(BZ283*Calculation!$AG$6/0.05)-SUM(BY283:BZ283,CC283),0),"-")</f>
        <v>-</v>
      </c>
      <c r="CB283" s="510" t="str">
        <f ca="1">IFERROR(5/50*CE283*(IF(LEFT(BV283,4)="Pool",IF(LEN(INDEX($BE$4:$BJ$99,MATCH(BV283,$BE$4:$BE$99,0),3))=10,2,IF(LEN(INDEX($BE$4:$BJ$99,MATCH(BV283,$BE$4:$BE$99,0),3))&gt;10,LEN(INDEX($BE$4:$BJ$99,MATCH(BV283,$BE$4:$BE$99,0),3))-8,1)),IF(INDEX(Calculation_Tab,MATCH(BV283,Identifier,0),10)&gt;1,INDEX(Calculation_Tab,MATCH(BV283,Identifier,0),10),1)))*(1+Calculation!$Q$6),"-")</f>
        <v>-</v>
      </c>
      <c r="CC283" s="508" t="str">
        <f ca="1">IFERROR(ROUND(INDEX(Cluster,MATCH(IF(LEFT(BV283,4)="Pool",INDEX(Cluster,MATCH(INDEX(Calculation_Tab,MATCH(INDEX($BE$4:$BJ$99,MATCH(BV283,$BE$4:$BE$99,0),3),Flow_Cell_Lane,0),3),Cluster!$F$29:$F$412,0),6),BV283),Identifier_Cluster,0),20)*IF(LEFT(BV283,4)="pool",IF(LEN(INDEX($BE$4:$BJ$99,MATCH(BV283,$BE$4:$BE$99,0),3))=10,2,IF(LEN(INDEX($BE$4:$BJ$99,MATCH(BV283,$BE$4:$BE$99,0),3))&gt;10,LEN(INDEX($BE$4:$BJ$99,MATCH(BV283,$BE$4:$BE$99,0),3))-8,1)),1)*IF(LEFT(BV283,4)="pool",IF(INDEX($BE$4:$BJ$99,MATCH(BV283,$BE$4:$BE$99,0),6)&lt;1,1,INDEX($BE$4:$BJ$99,MATCH(BV283,$BE$4:$BE$99,0),6)),INDEX(Calculation_Tab,MATCH(BV283,Identifier,0),10)),1)*(1+Calculation!$Q$6),"-")</f>
        <v>-</v>
      </c>
      <c r="CD283" s="509" t="str">
        <f ca="1">IFERROR(INDEX(Cluster!AC:AD,MATCH(IF(LEFT(BV283,4)="Pool",INDEX(Cluster!$D$29:$AA$412,MATCH(INDEX(Calculation_Tab,MATCH(INDEX($BE$4:$BJ$99,MATCH(BV283,$BE$4:$BE$99,0),3),Flow_Cell_Lane,0),3),Cluster!$F$29:$F$412,0),24),INDEX(Cluster!$D$29:$AA$412,MATCH(BV283,Cluster!$F$29:$F$412,0),24)),Cluster!AC:AC,0),2),"-")</f>
        <v>-</v>
      </c>
      <c r="CE283" s="378" t="str">
        <f ca="1">IFERROR(IF(BV283&lt;&gt;"-",Calculation!$AK$6,"-"),"-")</f>
        <v>-</v>
      </c>
      <c r="CF283" s="378" t="str">
        <f ca="1">IF(OR(LEFT(ListAndConversion!BW283,3)="Dil",LEFT(ListAndConversion!BW283,3)="Poo"),ListAndConversion!$BT$4,IF(LEFT(ListAndConversion!BW283,3)="Sou",INDEX(ListAndConversion!$AT$3:$AV$387,MATCH(ListAndConversion!BV283,ListAndConversion!$AV$3:$AV$387,0),1),"-"))</f>
        <v>-</v>
      </c>
      <c r="CG283" s="498" t="str">
        <f ca="1">IF(OR(LEFT(ListAndConversion!BW283,3)="Dil",LEFT(ListAndConversion!BW283,3)="Poo"),ListAndConversion!BU283,IF(LEFT(ListAndConversion!BW283,3)="Sou",INDEX(ListAndConversion!$AT$4:$AV$387,MATCH(ListAndConversion!BV283,ListAndConversion!$AV$4:$AV$387,0),2),"-"))</f>
        <v>-</v>
      </c>
      <c r="CH283" s="378"/>
      <c r="CI283" s="487" t="str">
        <f t="shared" ca="1" si="151"/>
        <v>-</v>
      </c>
      <c r="CJ283" s="378" t="str">
        <f t="shared" ca="1" si="156"/>
        <v>-</v>
      </c>
      <c r="CK283" s="378" t="str">
        <f t="shared" ca="1" si="156"/>
        <v>-</v>
      </c>
      <c r="CL283" s="378" t="str">
        <f t="shared" ca="1" si="156"/>
        <v>-</v>
      </c>
      <c r="CM283" s="378" t="str">
        <f t="shared" ca="1" si="156"/>
        <v>-</v>
      </c>
      <c r="CN283" s="378" t="str">
        <f t="shared" ca="1" si="156"/>
        <v>-</v>
      </c>
      <c r="CO283" s="378" t="str">
        <f t="shared" ca="1" si="156"/>
        <v>-</v>
      </c>
      <c r="CP283" s="378" t="str">
        <f t="shared" ca="1" si="156"/>
        <v>-</v>
      </c>
      <c r="CQ283" s="378" t="str">
        <f t="shared" ca="1" si="156"/>
        <v>-</v>
      </c>
      <c r="CR283" s="510" t="str">
        <f ca="1">IFERROR(IF(LEFT(BW283,3)="Poo",INDEX($BE$4:$BJ$99,MATCH(CI283,$BG$4:$BG$99,0),6)*((15/50))*Calculation!$AK$6,INDEX(Calculation_Tab,MATCH(BV283,Identifier,0),10)/(IF(LEN(INDEX(Calculation_Tab,MATCH(BV283,Identifier,0),9))&gt;8,LEN(INDEX(Calculation_Tab,MATCH(BV283,Identifier,0),9))-8,1))*((15/50)*Calculation!$AK$6)),"-")</f>
        <v>-</v>
      </c>
      <c r="CS283" s="498" t="str">
        <f ca="1">IF(CI283="-","-",IF(COUNTIF($CI$3:CI283,CI283)&gt;1,0,IFERROR((35/50)*Calculation!$AK$6,"-")))</f>
        <v>-</v>
      </c>
    </row>
    <row r="284" spans="4:97" x14ac:dyDescent="0.5">
      <c r="D284" s="487" t="e">
        <f t="shared" si="137"/>
        <v>#DIV/0!</v>
      </c>
      <c r="E284" s="496" t="e">
        <f t="array" ref="E284">IF(IF((ROW(E284)-3)&lt;(ListAndConversion!$A$15),INDEX(Flow_Cell_Lane,MIN(IF(COUNTIF($E$2:E283,Flow_Cell_Lane)=0,ROW(Flow_Cell_Lane)-9))),"-")="","-",IF((ROW(E284)-3)&lt;(ListAndConversion!$A$15),INDEX(Flow_Cell_Lane,MIN(IF(COUNTIF($E$2:E283,Flow_Cell_Lane)=0,ROW(Flow_Cell_Lane)-9))),"-"))</f>
        <v>#DIV/0!</v>
      </c>
      <c r="F284" s="378" t="e">
        <f t="shared" si="138"/>
        <v>#DIV/0!</v>
      </c>
      <c r="G284" s="378" t="e">
        <f t="shared" si="157"/>
        <v>#DIV/0!</v>
      </c>
      <c r="H284" s="378" t="e">
        <f t="shared" si="157"/>
        <v>#DIV/0!</v>
      </c>
      <c r="I284" s="378" t="e">
        <f t="shared" si="157"/>
        <v>#DIV/0!</v>
      </c>
      <c r="J284" s="378" t="e">
        <f t="shared" si="157"/>
        <v>#DIV/0!</v>
      </c>
      <c r="K284" s="378" t="e">
        <f t="shared" si="157"/>
        <v>#DIV/0!</v>
      </c>
      <c r="L284" s="378" t="e">
        <f t="shared" si="157"/>
        <v>#DIV/0!</v>
      </c>
      <c r="M284" s="378" t="e">
        <f t="shared" si="157"/>
        <v>#DIV/0!</v>
      </c>
      <c r="N284" s="497" t="e">
        <f t="shared" si="139"/>
        <v>#DIV/0!</v>
      </c>
      <c r="O284" s="497" t="str">
        <f t="array" ref="O284">IFERROR(INDEX(Calculation!I:AN,MATCH(ListAndConversion!E284,Calculation!I:I,0),31),"-")</f>
        <v>-</v>
      </c>
      <c r="P284" s="498">
        <f>IF(COUNTIFS(Calculation!$I$10:$I$393,E284,Direct_Denaturation,"-")&lt;&gt;1,COUNTIFS(Calculation!$I$10:$I$393,E284,Direct_Denaturation,"-"),0)</f>
        <v>0</v>
      </c>
      <c r="V284" s="542" t="s">
        <v>82</v>
      </c>
      <c r="W284" s="542" t="s">
        <v>82</v>
      </c>
      <c r="X284" s="542" t="s">
        <v>82</v>
      </c>
      <c r="Y284" s="542" t="s">
        <v>82</v>
      </c>
      <c r="Z284" s="542" t="s">
        <v>82</v>
      </c>
      <c r="AA284" s="542" t="s">
        <v>82</v>
      </c>
      <c r="AB284" s="542" t="s">
        <v>82</v>
      </c>
      <c r="AC284" s="542" t="s">
        <v>82</v>
      </c>
      <c r="AD284" s="542" t="s">
        <v>82</v>
      </c>
      <c r="AE284" s="542" t="s">
        <v>82</v>
      </c>
      <c r="AF284" s="542" t="s">
        <v>82</v>
      </c>
      <c r="AG284" s="542" t="s">
        <v>82</v>
      </c>
      <c r="AH284" s="9"/>
      <c r="AI284" s="487">
        <v>281</v>
      </c>
      <c r="AJ284" s="497" t="s">
        <v>162</v>
      </c>
      <c r="AK284" s="378">
        <v>89</v>
      </c>
      <c r="AL284" s="378" t="str">
        <f t="shared" ca="1" si="140"/>
        <v>-</v>
      </c>
      <c r="AM284" s="378" t="str">
        <f t="array" aca="1" ref="AM284" ca="1">IFERROR(IF(AI284&lt;=$AB$2,"-",INDEX(Calculation_Tab,SMALL(ROW(Main_Dil)*(Main_Dil&lt;&gt;"-"),COUNTIF(Main_Dil,"-")+ROW()-3-$AB$2)-9,5)),"-")</f>
        <v>-</v>
      </c>
      <c r="AN284" s="378" t="str">
        <f t="array" aca="1" ref="AN284" ca="1">IFERROR(IF(AI284&lt;=$AB$2,"-",INDEX($A$3:$B$12,MATCH(INDEX(Calculation_Tab,SMALL(ROW(Main_Dil)*(Main_Dil&lt;&gt;"-"),COUNTIF(Main_Dil,"-")+ROW()-3-$AB$2)-9,5),$A$3:$A$12,0),2)),"-")</f>
        <v>-</v>
      </c>
      <c r="AO284" s="378" t="str">
        <f t="array" aca="1" ref="AO284" ca="1">IFERROR(IF(AI284&lt;=$AB$2,"-",INDEX(Coordinate,MATCH(INDEX(Calculation_Tab,SMALL(ROW(Main_Dil)*(Main_Dil&lt;&gt;"-"),COUNTIF(Main_Dil,"-")+ROW()-3-$AB$2)-9,6),$X$4:$X$99,0),2)),"-")</f>
        <v>-</v>
      </c>
      <c r="AP284" s="510" t="str">
        <f t="array" aca="1" ref="AP284" ca="1">IFERROR(IF(AI284&lt;=$AB$2,"-",INDEX(Calculation_Tab,SMALL(ROW(Main_Dil)*(Main_Dil&lt;&gt;"-"),COUNTIF(Main_Dil,"-")+ROW()-3-$AB$2)-9,21)),"-")</f>
        <v>-</v>
      </c>
      <c r="AQ284" s="511" t="str">
        <f t="array" aca="1" ref="AQ284" ca="1">IFERROR(IF(AI284&lt;=$AB$2,"-",INDEX(Calculation_Tab,SMALL(ROW(Main_Dil)*(Main_Dil&lt;&gt;"-"),COUNTIF(Main_Dil,"-")+ROW()-3-$AB$2)-9,22)),"-")</f>
        <v>-</v>
      </c>
      <c r="AR284" s="487" t="str">
        <f t="shared" ca="1" si="141"/>
        <v>-</v>
      </c>
      <c r="AS284" s="378">
        <v>281</v>
      </c>
      <c r="AT284" s="497" t="s">
        <v>162</v>
      </c>
      <c r="AU284" s="498">
        <v>89</v>
      </c>
      <c r="AV284" s="378" t="str">
        <f t="shared" ca="1" si="142"/>
        <v>-</v>
      </c>
      <c r="AW284" s="378" t="str">
        <f t="array" aca="1" ref="AW284" ca="1">IFERROR(IF(AS284&lt;=$AB$2+$AN$2,"-",INDEX(Calculation_Tab,SMALL(ROW(Direct_Denaturation)*(Direct_Denaturation&lt;&gt;"-"),COUNTIF(Direct_Denaturation,"-")+ROW()-3-$AB$2-$AN$2)-9,5)),"-")</f>
        <v>-</v>
      </c>
      <c r="AX284" s="378" t="str">
        <f t="array" aca="1" ref="AX284" ca="1">IFERROR(IF(AS284&lt;=$AB$2+$AN$2,"-",INDEX($A$3:$B$12,MATCH(INDEX(Calculation_Tab,SMALL(ROW(Direct_Denaturation)*(Direct_Denaturation&lt;&gt;"-"),COUNTIF(Direct_Denaturation,"-")+ROW()-3-$AB$2-$AN$2)-9,5),$A$3:$A$12,0),2)),"-")</f>
        <v>-</v>
      </c>
      <c r="AY284" s="378" t="str">
        <f t="array" aca="1" ref="AY284" ca="1">IFERROR(IF(AS284&lt;=$AB$2+$AN$2,"-",INDEX(Coordinate,MATCH(INDEX(Calculation_Tab,SMALL(ROW(Direct_Denaturation)*(Direct_Denaturation&lt;&gt;"-"),COUNTIF(Direct_Denaturation,"-")+ROW()-3-$AB$2-$AN$2)-9,6),$X$4:$X$99,0),2)),"-")</f>
        <v>-</v>
      </c>
      <c r="AZ284" s="510" t="str">
        <f t="array" aca="1" ref="AZ284" ca="1">IFERROR(IF(AS284&lt;=$AB$2+$AN$2,"-",INDEX(Calculation_Tab,SMALL(ROW(Direct_Denaturation)*(Direct_Denaturation&lt;&gt;"-"),COUNTIF(Direct_Denaturation,"-")+ROW()-3-$AB$2-$AN$2)-9,32)),"-")</f>
        <v>-</v>
      </c>
      <c r="BA284" s="510" t="str">
        <f t="array" aca="1" ref="BA284" ca="1">IFERROR(IF(AS284&lt;=$AB$2+$AN$2,"-",INDEX(Calculation_Tab,SMALL(ROW(Direct_Denaturation)*(Direct_Denaturation&lt;&gt;"-"),COUNTIF(Direct_Denaturation,"-")+ROW()-3-$AB$2-$AN$2)-9,34)),"-")</f>
        <v>-</v>
      </c>
      <c r="BB284" s="510" t="str">
        <f t="array" aca="1" ref="BB284" ca="1">IFERROR(IF(AS284&lt;=$AB$2+$AN$2,"-",INDEX(Calculation_Tab,SMALL(ROW(Direct_Denaturation)*(Direct_Denaturation&lt;&gt;"-"),COUNTIF(Direct_Denaturation,"-")+ROW()-3-$AB$2-$AN$2)-9,33)),"-")</f>
        <v>-</v>
      </c>
      <c r="BC284" s="510" t="str">
        <f t="array" aca="1" ref="BC284" ca="1">IFERROR(IF(AS284&lt;=$AB$2+$AN$2,"-",INDEX(Calculation_Tab,SMALL(ROW(Direct_Denaturation)*(Direct_Denaturation&lt;&gt;"-"),COUNTIF(Direct_Denaturation,"-")+ROW()-3-$AB$2-$AN$2)-9,35)),"-")</f>
        <v>-</v>
      </c>
      <c r="BD284" s="511" t="str">
        <f t="shared" ca="1" si="143"/>
        <v>-</v>
      </c>
      <c r="BK284" s="542" t="s">
        <v>82</v>
      </c>
      <c r="BL284" s="542" t="s">
        <v>82</v>
      </c>
      <c r="BM284" s="487" t="str">
        <f t="array" aca="1" ref="BM284" ca="1">IFERROR(INDEX(Calculation_Tab,SMALL(ROW(ToPool)*(ToPool&lt;&gt;"-"),COUNTIF(ToPool,"-")+ROW()-3)-9,3),"-")</f>
        <v>-</v>
      </c>
      <c r="BN284" s="378" t="str">
        <f t="shared" ca="1" si="144"/>
        <v>-</v>
      </c>
      <c r="BO284" s="378" t="str">
        <f t="shared" ca="1" si="145"/>
        <v>-</v>
      </c>
      <c r="BP284" s="523" t="str">
        <f t="shared" ca="1" si="146"/>
        <v>-</v>
      </c>
      <c r="BQ284" s="378" t="str">
        <f t="array" aca="1" ref="BQ284" ca="1">IFERROR(INDEX(BE:BG,MATCH(INDEX(Calculation_Tab,SMALL(ROW(ToPool)*(ToPool&lt;&gt;"-"),COUNTIF(ToPool,"-")+ROW()-3)-9,9),BG:BG,0),2),"-")</f>
        <v>-</v>
      </c>
      <c r="BR284" s="510" t="str">
        <f t="shared" ca="1" si="147"/>
        <v>-</v>
      </c>
      <c r="BS284" s="511" t="str">
        <f t="shared" ca="1" si="148"/>
        <v>-</v>
      </c>
      <c r="BT284" s="543" t="s">
        <v>82</v>
      </c>
      <c r="BU284" s="487" t="str">
        <f t="shared" ca="1" si="152"/>
        <v>-</v>
      </c>
      <c r="BV284" s="487" t="str">
        <f t="array" aca="1" ref="BV28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84" s="378" t="str">
        <f t="shared" ca="1" si="149"/>
        <v>-</v>
      </c>
      <c r="BX284" s="378" t="str">
        <f t="shared" ca="1" si="150"/>
        <v>-</v>
      </c>
      <c r="BY284" s="510" t="str">
        <f ca="1">IFERROR(ROUND(INDEX(Cluster,MATCH(IF(LEFT(BV284,4)="Pool",INDEX(Cluster,MATCH(INDEX(Calculation_Tab,MATCH(INDEX($BE$4:$BJ$99,MATCH(BV284,$BE$4:$BE$99,0),3),Flow_Cell_Lane,0),3),Cluster!$F$29:$F$412,0),6),BV284),Identifier_Cluster,0),19)*IF(LEFT(BV284,4)="pool",IF(LEN(INDEX($BE$4:$BJ$99,MATCH(BV284,$BE$4:$BE$99,0),3))=10,2,IF(LEN(INDEX($BE$4:$BJ$99,MATCH(BV284,$BE$4:$BE$99,0),3))&gt;10,LEN(INDEX($BE$4:$BJ$99,MATCH(BV284,$BE$4:$BE$99,0),3))-8,1)),1)*IF(LEFT(BV284,4)="pool",IF(INDEX($BE$4:$BJ$99,MATCH(BV284,$BE$4:$BE$99,0),6)&lt;1,1,INDEX($BE$4:$BJ$99,MATCH(BV284,$BE$4:$BE$99,0),6)),INDEX(Calculation_Tab,MATCH(BV284,Identifier,0),10)),1)*(1+Calculation!$Q$6),"-")</f>
        <v>-</v>
      </c>
      <c r="BZ284" s="378" t="str">
        <f ca="1">IFERROR((0.5/50)*CE284/Calculation!$AG$6*(IF(LEFT(BV284,4)="Pool",IF(LEN(INDEX($BE$4:$BJ$99,MATCH(BV284,$BE$4:$BE$99,0),3))=10,2,IF(LEN(INDEX($BE$4:$BJ$99,MATCH(BV284,$BE$4:$BE$99,0),3))&gt;10,LEN(INDEX($BE$4:$BJ$99,MATCH(BV284,$BE$4:$BE$99,0),3))-8,1)),IF(INDEX(Calculation_Tab,MATCH(BV284,Identifier,0),10)&gt;1,INDEX(Calculation_Tab,MATCH(BV284,Identifier,0),10),1)))*(1+Calculation!$Q$6),"-")</f>
        <v>-</v>
      </c>
      <c r="CA284" s="510" t="str">
        <f ca="1">IFERROR(IF((BZ284*Calculation!$AG$6/0.05)-SUM(BY284:BZ284,CC284)&gt;0,(BZ284*Calculation!$AG$6/0.05)-SUM(BY284:BZ284,CC284),0),"-")</f>
        <v>-</v>
      </c>
      <c r="CB284" s="510" t="str">
        <f ca="1">IFERROR(5/50*CE284*(IF(LEFT(BV284,4)="Pool",IF(LEN(INDEX($BE$4:$BJ$99,MATCH(BV284,$BE$4:$BE$99,0),3))=10,2,IF(LEN(INDEX($BE$4:$BJ$99,MATCH(BV284,$BE$4:$BE$99,0),3))&gt;10,LEN(INDEX($BE$4:$BJ$99,MATCH(BV284,$BE$4:$BE$99,0),3))-8,1)),IF(INDEX(Calculation_Tab,MATCH(BV284,Identifier,0),10)&gt;1,INDEX(Calculation_Tab,MATCH(BV284,Identifier,0),10),1)))*(1+Calculation!$Q$6),"-")</f>
        <v>-</v>
      </c>
      <c r="CC284" s="508" t="str">
        <f ca="1">IFERROR(ROUND(INDEX(Cluster,MATCH(IF(LEFT(BV284,4)="Pool",INDEX(Cluster,MATCH(INDEX(Calculation_Tab,MATCH(INDEX($BE$4:$BJ$99,MATCH(BV284,$BE$4:$BE$99,0),3),Flow_Cell_Lane,0),3),Cluster!$F$29:$F$412,0),6),BV284),Identifier_Cluster,0),20)*IF(LEFT(BV284,4)="pool",IF(LEN(INDEX($BE$4:$BJ$99,MATCH(BV284,$BE$4:$BE$99,0),3))=10,2,IF(LEN(INDEX($BE$4:$BJ$99,MATCH(BV284,$BE$4:$BE$99,0),3))&gt;10,LEN(INDEX($BE$4:$BJ$99,MATCH(BV284,$BE$4:$BE$99,0),3))-8,1)),1)*IF(LEFT(BV284,4)="pool",IF(INDEX($BE$4:$BJ$99,MATCH(BV284,$BE$4:$BE$99,0),6)&lt;1,1,INDEX($BE$4:$BJ$99,MATCH(BV284,$BE$4:$BE$99,0),6)),INDEX(Calculation_Tab,MATCH(BV284,Identifier,0),10)),1)*(1+Calculation!$Q$6),"-")</f>
        <v>-</v>
      </c>
      <c r="CD284" s="509" t="str">
        <f ca="1">IFERROR(INDEX(Cluster!AC:AD,MATCH(IF(LEFT(BV284,4)="Pool",INDEX(Cluster!$D$29:$AA$412,MATCH(INDEX(Calculation_Tab,MATCH(INDEX($BE$4:$BJ$99,MATCH(BV284,$BE$4:$BE$99,0),3),Flow_Cell_Lane,0),3),Cluster!$F$29:$F$412,0),24),INDEX(Cluster!$D$29:$AA$412,MATCH(BV284,Cluster!$F$29:$F$412,0),24)),Cluster!AC:AC,0),2),"-")</f>
        <v>-</v>
      </c>
      <c r="CE284" s="378" t="str">
        <f ca="1">IFERROR(IF(BV284&lt;&gt;"-",Calculation!$AK$6,"-"),"-")</f>
        <v>-</v>
      </c>
      <c r="CF284" s="378" t="str">
        <f ca="1">IF(OR(LEFT(ListAndConversion!BW284,3)="Dil",LEFT(ListAndConversion!BW284,3)="Poo"),ListAndConversion!$BT$4,IF(LEFT(ListAndConversion!BW284,3)="Sou",INDEX(ListAndConversion!$AT$3:$AV$387,MATCH(ListAndConversion!BV284,ListAndConversion!$AV$3:$AV$387,0),1),"-"))</f>
        <v>-</v>
      </c>
      <c r="CG284" s="498" t="str">
        <f ca="1">IF(OR(LEFT(ListAndConversion!BW284,3)="Dil",LEFT(ListAndConversion!BW284,3)="Poo"),ListAndConversion!BU284,IF(LEFT(ListAndConversion!BW284,3)="Sou",INDEX(ListAndConversion!$AT$4:$AV$387,MATCH(ListAndConversion!BV284,ListAndConversion!$AV$4:$AV$387,0),2),"-"))</f>
        <v>-</v>
      </c>
      <c r="CH284" s="378"/>
      <c r="CI284" s="487" t="str">
        <f t="shared" ca="1" si="151"/>
        <v>-</v>
      </c>
      <c r="CJ284" s="378" t="str">
        <f t="shared" ref="CJ284:CQ293" ca="1" si="158">IFERROR(INDEX($R$3:$U$98,MATCH(INDEX($F$3:$M$387,MATCH($CI284,$E$3:$E$386,0),CJ$3),$S$3:$S$98,0),4),"-")</f>
        <v>-</v>
      </c>
      <c r="CK284" s="378" t="str">
        <f t="shared" ca="1" si="158"/>
        <v>-</v>
      </c>
      <c r="CL284" s="378" t="str">
        <f t="shared" ca="1" si="158"/>
        <v>-</v>
      </c>
      <c r="CM284" s="378" t="str">
        <f t="shared" ca="1" si="158"/>
        <v>-</v>
      </c>
      <c r="CN284" s="378" t="str">
        <f t="shared" ca="1" si="158"/>
        <v>-</v>
      </c>
      <c r="CO284" s="378" t="str">
        <f t="shared" ca="1" si="158"/>
        <v>-</v>
      </c>
      <c r="CP284" s="378" t="str">
        <f t="shared" ca="1" si="158"/>
        <v>-</v>
      </c>
      <c r="CQ284" s="378" t="str">
        <f t="shared" ca="1" si="158"/>
        <v>-</v>
      </c>
      <c r="CR284" s="510" t="str">
        <f ca="1">IFERROR(IF(LEFT(BW284,3)="Poo",INDEX($BE$4:$BJ$99,MATCH(CI284,$BG$4:$BG$99,0),6)*((15/50))*Calculation!$AK$6,INDEX(Calculation_Tab,MATCH(BV284,Identifier,0),10)/(IF(LEN(INDEX(Calculation_Tab,MATCH(BV284,Identifier,0),9))&gt;8,LEN(INDEX(Calculation_Tab,MATCH(BV284,Identifier,0),9))-8,1))*((15/50)*Calculation!$AK$6)),"-")</f>
        <v>-</v>
      </c>
      <c r="CS284" s="498" t="str">
        <f ca="1">IF(CI284="-","-",IF(COUNTIF($CI$3:CI284,CI284)&gt;1,0,IFERROR((35/50)*Calculation!$AK$6,"-")))</f>
        <v>-</v>
      </c>
    </row>
    <row r="285" spans="4:97" x14ac:dyDescent="0.5">
      <c r="D285" s="487" t="e">
        <f t="shared" si="137"/>
        <v>#DIV/0!</v>
      </c>
      <c r="E285" s="496" t="e">
        <f t="array" ref="E285">IF(IF((ROW(E285)-3)&lt;(ListAndConversion!$A$15),INDEX(Flow_Cell_Lane,MIN(IF(COUNTIF($E$2:E284,Flow_Cell_Lane)=0,ROW(Flow_Cell_Lane)-9))),"-")="","-",IF((ROW(E285)-3)&lt;(ListAndConversion!$A$15),INDEX(Flow_Cell_Lane,MIN(IF(COUNTIF($E$2:E284,Flow_Cell_Lane)=0,ROW(Flow_Cell_Lane)-9))),"-"))</f>
        <v>#DIV/0!</v>
      </c>
      <c r="F285" s="378" t="e">
        <f t="shared" si="138"/>
        <v>#DIV/0!</v>
      </c>
      <c r="G285" s="378" t="e">
        <f t="shared" si="157"/>
        <v>#DIV/0!</v>
      </c>
      <c r="H285" s="378" t="e">
        <f t="shared" si="157"/>
        <v>#DIV/0!</v>
      </c>
      <c r="I285" s="378" t="e">
        <f t="shared" si="157"/>
        <v>#DIV/0!</v>
      </c>
      <c r="J285" s="378" t="e">
        <f t="shared" si="157"/>
        <v>#DIV/0!</v>
      </c>
      <c r="K285" s="378" t="e">
        <f t="shared" si="157"/>
        <v>#DIV/0!</v>
      </c>
      <c r="L285" s="378" t="e">
        <f t="shared" si="157"/>
        <v>#DIV/0!</v>
      </c>
      <c r="M285" s="378" t="e">
        <f t="shared" si="157"/>
        <v>#DIV/0!</v>
      </c>
      <c r="N285" s="497" t="e">
        <f t="shared" si="139"/>
        <v>#DIV/0!</v>
      </c>
      <c r="O285" s="497" t="str">
        <f t="array" ref="O285">IFERROR(INDEX(Calculation!I:AN,MATCH(ListAndConversion!E285,Calculation!I:I,0),31),"-")</f>
        <v>-</v>
      </c>
      <c r="P285" s="498">
        <f>IF(COUNTIFS(Calculation!$I$10:$I$393,E285,Direct_Denaturation,"-")&lt;&gt;1,COUNTIFS(Calculation!$I$10:$I$393,E285,Direct_Denaturation,"-"),0)</f>
        <v>0</v>
      </c>
      <c r="V285" s="542" t="s">
        <v>82</v>
      </c>
      <c r="W285" s="542" t="s">
        <v>82</v>
      </c>
      <c r="X285" s="542" t="s">
        <v>82</v>
      </c>
      <c r="Y285" s="542" t="s">
        <v>82</v>
      </c>
      <c r="Z285" s="542" t="s">
        <v>82</v>
      </c>
      <c r="AA285" s="542" t="s">
        <v>82</v>
      </c>
      <c r="AB285" s="542" t="s">
        <v>82</v>
      </c>
      <c r="AC285" s="542" t="s">
        <v>82</v>
      </c>
      <c r="AD285" s="542" t="s">
        <v>82</v>
      </c>
      <c r="AE285" s="542" t="s">
        <v>82</v>
      </c>
      <c r="AF285" s="542" t="s">
        <v>82</v>
      </c>
      <c r="AG285" s="542" t="s">
        <v>82</v>
      </c>
      <c r="AH285" s="9"/>
      <c r="AI285" s="487">
        <v>282</v>
      </c>
      <c r="AJ285" s="497" t="s">
        <v>162</v>
      </c>
      <c r="AK285" s="378">
        <v>90</v>
      </c>
      <c r="AL285" s="378" t="str">
        <f t="shared" ca="1" si="140"/>
        <v>-</v>
      </c>
      <c r="AM285" s="378" t="str">
        <f t="array" aca="1" ref="AM285" ca="1">IFERROR(IF(AI285&lt;=$AB$2,"-",INDEX(Calculation_Tab,SMALL(ROW(Main_Dil)*(Main_Dil&lt;&gt;"-"),COUNTIF(Main_Dil,"-")+ROW()-3-$AB$2)-9,5)),"-")</f>
        <v>-</v>
      </c>
      <c r="AN285" s="378" t="str">
        <f t="array" aca="1" ref="AN285" ca="1">IFERROR(IF(AI285&lt;=$AB$2,"-",INDEX($A$3:$B$12,MATCH(INDEX(Calculation_Tab,SMALL(ROW(Main_Dil)*(Main_Dil&lt;&gt;"-"),COUNTIF(Main_Dil,"-")+ROW()-3-$AB$2)-9,5),$A$3:$A$12,0),2)),"-")</f>
        <v>-</v>
      </c>
      <c r="AO285" s="378" t="str">
        <f t="array" aca="1" ref="AO285" ca="1">IFERROR(IF(AI285&lt;=$AB$2,"-",INDEX(Coordinate,MATCH(INDEX(Calculation_Tab,SMALL(ROW(Main_Dil)*(Main_Dil&lt;&gt;"-"),COUNTIF(Main_Dil,"-")+ROW()-3-$AB$2)-9,6),$X$4:$X$99,0),2)),"-")</f>
        <v>-</v>
      </c>
      <c r="AP285" s="510" t="str">
        <f t="array" aca="1" ref="AP285" ca="1">IFERROR(IF(AI285&lt;=$AB$2,"-",INDEX(Calculation_Tab,SMALL(ROW(Main_Dil)*(Main_Dil&lt;&gt;"-"),COUNTIF(Main_Dil,"-")+ROW()-3-$AB$2)-9,21)),"-")</f>
        <v>-</v>
      </c>
      <c r="AQ285" s="511" t="str">
        <f t="array" aca="1" ref="AQ285" ca="1">IFERROR(IF(AI285&lt;=$AB$2,"-",INDEX(Calculation_Tab,SMALL(ROW(Main_Dil)*(Main_Dil&lt;&gt;"-"),COUNTIF(Main_Dil,"-")+ROW()-3-$AB$2)-9,22)),"-")</f>
        <v>-</v>
      </c>
      <c r="AR285" s="487" t="str">
        <f t="shared" ca="1" si="141"/>
        <v>-</v>
      </c>
      <c r="AS285" s="378">
        <v>282</v>
      </c>
      <c r="AT285" s="497" t="s">
        <v>162</v>
      </c>
      <c r="AU285" s="498">
        <v>90</v>
      </c>
      <c r="AV285" s="378" t="str">
        <f t="shared" ca="1" si="142"/>
        <v>-</v>
      </c>
      <c r="AW285" s="378" t="str">
        <f t="array" aca="1" ref="AW285" ca="1">IFERROR(IF(AS285&lt;=$AB$2+$AN$2,"-",INDEX(Calculation_Tab,SMALL(ROW(Direct_Denaturation)*(Direct_Denaturation&lt;&gt;"-"),COUNTIF(Direct_Denaturation,"-")+ROW()-3-$AB$2-$AN$2)-9,5)),"-")</f>
        <v>-</v>
      </c>
      <c r="AX285" s="378" t="str">
        <f t="array" aca="1" ref="AX285" ca="1">IFERROR(IF(AS285&lt;=$AB$2+$AN$2,"-",INDEX($A$3:$B$12,MATCH(INDEX(Calculation_Tab,SMALL(ROW(Direct_Denaturation)*(Direct_Denaturation&lt;&gt;"-"),COUNTIF(Direct_Denaturation,"-")+ROW()-3-$AB$2-$AN$2)-9,5),$A$3:$A$12,0),2)),"-")</f>
        <v>-</v>
      </c>
      <c r="AY285" s="378" t="str">
        <f t="array" aca="1" ref="AY285" ca="1">IFERROR(IF(AS285&lt;=$AB$2+$AN$2,"-",INDEX(Coordinate,MATCH(INDEX(Calculation_Tab,SMALL(ROW(Direct_Denaturation)*(Direct_Denaturation&lt;&gt;"-"),COUNTIF(Direct_Denaturation,"-")+ROW()-3-$AB$2-$AN$2)-9,6),$X$4:$X$99,0),2)),"-")</f>
        <v>-</v>
      </c>
      <c r="AZ285" s="510" t="str">
        <f t="array" aca="1" ref="AZ285" ca="1">IFERROR(IF(AS285&lt;=$AB$2+$AN$2,"-",INDEX(Calculation_Tab,SMALL(ROW(Direct_Denaturation)*(Direct_Denaturation&lt;&gt;"-"),COUNTIF(Direct_Denaturation,"-")+ROW()-3-$AB$2-$AN$2)-9,32)),"-")</f>
        <v>-</v>
      </c>
      <c r="BA285" s="510" t="str">
        <f t="array" aca="1" ref="BA285" ca="1">IFERROR(IF(AS285&lt;=$AB$2+$AN$2,"-",INDEX(Calculation_Tab,SMALL(ROW(Direct_Denaturation)*(Direct_Denaturation&lt;&gt;"-"),COUNTIF(Direct_Denaturation,"-")+ROW()-3-$AB$2-$AN$2)-9,34)),"-")</f>
        <v>-</v>
      </c>
      <c r="BB285" s="510" t="str">
        <f t="array" aca="1" ref="BB285" ca="1">IFERROR(IF(AS285&lt;=$AB$2+$AN$2,"-",INDEX(Calculation_Tab,SMALL(ROW(Direct_Denaturation)*(Direct_Denaturation&lt;&gt;"-"),COUNTIF(Direct_Denaturation,"-")+ROW()-3-$AB$2-$AN$2)-9,33)),"-")</f>
        <v>-</v>
      </c>
      <c r="BC285" s="510" t="str">
        <f t="array" aca="1" ref="BC285" ca="1">IFERROR(IF(AS285&lt;=$AB$2+$AN$2,"-",INDEX(Calculation_Tab,SMALL(ROW(Direct_Denaturation)*(Direct_Denaturation&lt;&gt;"-"),COUNTIF(Direct_Denaturation,"-")+ROW()-3-$AB$2-$AN$2)-9,35)),"-")</f>
        <v>-</v>
      </c>
      <c r="BD285" s="511" t="str">
        <f t="shared" ca="1" si="143"/>
        <v>-</v>
      </c>
      <c r="BK285" s="542" t="s">
        <v>82</v>
      </c>
      <c r="BL285" s="542" t="s">
        <v>82</v>
      </c>
      <c r="BM285" s="487" t="str">
        <f t="array" aca="1" ref="BM285" ca="1">IFERROR(INDEX(Calculation_Tab,SMALL(ROW(ToPool)*(ToPool&lt;&gt;"-"),COUNTIF(ToPool,"-")+ROW()-3)-9,3),"-")</f>
        <v>-</v>
      </c>
      <c r="BN285" s="378" t="str">
        <f t="shared" ca="1" si="144"/>
        <v>-</v>
      </c>
      <c r="BO285" s="378" t="str">
        <f t="shared" ca="1" si="145"/>
        <v>-</v>
      </c>
      <c r="BP285" s="523" t="str">
        <f t="shared" ca="1" si="146"/>
        <v>-</v>
      </c>
      <c r="BQ285" s="378" t="str">
        <f t="array" aca="1" ref="BQ285" ca="1">IFERROR(INDEX(BE:BG,MATCH(INDEX(Calculation_Tab,SMALL(ROW(ToPool)*(ToPool&lt;&gt;"-"),COUNTIF(ToPool,"-")+ROW()-3)-9,9),BG:BG,0),2),"-")</f>
        <v>-</v>
      </c>
      <c r="BR285" s="510" t="str">
        <f t="shared" ca="1" si="147"/>
        <v>-</v>
      </c>
      <c r="BS285" s="511" t="str">
        <f t="shared" ca="1" si="148"/>
        <v>-</v>
      </c>
      <c r="BT285" s="543" t="s">
        <v>82</v>
      </c>
      <c r="BU285" s="487" t="str">
        <f t="shared" ca="1" si="152"/>
        <v>-</v>
      </c>
      <c r="BV285" s="487" t="str">
        <f t="array" aca="1" ref="BV28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85" s="378" t="str">
        <f t="shared" ca="1" si="149"/>
        <v>-</v>
      </c>
      <c r="BX285" s="378" t="str">
        <f t="shared" ca="1" si="150"/>
        <v>-</v>
      </c>
      <c r="BY285" s="510" t="str">
        <f ca="1">IFERROR(ROUND(INDEX(Cluster,MATCH(IF(LEFT(BV285,4)="Pool",INDEX(Cluster,MATCH(INDEX(Calculation_Tab,MATCH(INDEX($BE$4:$BJ$99,MATCH(BV285,$BE$4:$BE$99,0),3),Flow_Cell_Lane,0),3),Cluster!$F$29:$F$412,0),6),BV285),Identifier_Cluster,0),19)*IF(LEFT(BV285,4)="pool",IF(LEN(INDEX($BE$4:$BJ$99,MATCH(BV285,$BE$4:$BE$99,0),3))=10,2,IF(LEN(INDEX($BE$4:$BJ$99,MATCH(BV285,$BE$4:$BE$99,0),3))&gt;10,LEN(INDEX($BE$4:$BJ$99,MATCH(BV285,$BE$4:$BE$99,0),3))-8,1)),1)*IF(LEFT(BV285,4)="pool",IF(INDEX($BE$4:$BJ$99,MATCH(BV285,$BE$4:$BE$99,0),6)&lt;1,1,INDEX($BE$4:$BJ$99,MATCH(BV285,$BE$4:$BE$99,0),6)),INDEX(Calculation_Tab,MATCH(BV285,Identifier,0),10)),1)*(1+Calculation!$Q$6),"-")</f>
        <v>-</v>
      </c>
      <c r="BZ285" s="378" t="str">
        <f ca="1">IFERROR((0.5/50)*CE285/Calculation!$AG$6*(IF(LEFT(BV285,4)="Pool",IF(LEN(INDEX($BE$4:$BJ$99,MATCH(BV285,$BE$4:$BE$99,0),3))=10,2,IF(LEN(INDEX($BE$4:$BJ$99,MATCH(BV285,$BE$4:$BE$99,0),3))&gt;10,LEN(INDEX($BE$4:$BJ$99,MATCH(BV285,$BE$4:$BE$99,0),3))-8,1)),IF(INDEX(Calculation_Tab,MATCH(BV285,Identifier,0),10)&gt;1,INDEX(Calculation_Tab,MATCH(BV285,Identifier,0),10),1)))*(1+Calculation!$Q$6),"-")</f>
        <v>-</v>
      </c>
      <c r="CA285" s="510" t="str">
        <f ca="1">IFERROR(IF((BZ285*Calculation!$AG$6/0.05)-SUM(BY285:BZ285,CC285)&gt;0,(BZ285*Calculation!$AG$6/0.05)-SUM(BY285:BZ285,CC285),0),"-")</f>
        <v>-</v>
      </c>
      <c r="CB285" s="510" t="str">
        <f ca="1">IFERROR(5/50*CE285*(IF(LEFT(BV285,4)="Pool",IF(LEN(INDEX($BE$4:$BJ$99,MATCH(BV285,$BE$4:$BE$99,0),3))=10,2,IF(LEN(INDEX($BE$4:$BJ$99,MATCH(BV285,$BE$4:$BE$99,0),3))&gt;10,LEN(INDEX($BE$4:$BJ$99,MATCH(BV285,$BE$4:$BE$99,0),3))-8,1)),IF(INDEX(Calculation_Tab,MATCH(BV285,Identifier,0),10)&gt;1,INDEX(Calculation_Tab,MATCH(BV285,Identifier,0),10),1)))*(1+Calculation!$Q$6),"-")</f>
        <v>-</v>
      </c>
      <c r="CC285" s="508" t="str">
        <f ca="1">IFERROR(ROUND(INDEX(Cluster,MATCH(IF(LEFT(BV285,4)="Pool",INDEX(Cluster,MATCH(INDEX(Calculation_Tab,MATCH(INDEX($BE$4:$BJ$99,MATCH(BV285,$BE$4:$BE$99,0),3),Flow_Cell_Lane,0),3),Cluster!$F$29:$F$412,0),6),BV285),Identifier_Cluster,0),20)*IF(LEFT(BV285,4)="pool",IF(LEN(INDEX($BE$4:$BJ$99,MATCH(BV285,$BE$4:$BE$99,0),3))=10,2,IF(LEN(INDEX($BE$4:$BJ$99,MATCH(BV285,$BE$4:$BE$99,0),3))&gt;10,LEN(INDEX($BE$4:$BJ$99,MATCH(BV285,$BE$4:$BE$99,0),3))-8,1)),1)*IF(LEFT(BV285,4)="pool",IF(INDEX($BE$4:$BJ$99,MATCH(BV285,$BE$4:$BE$99,0),6)&lt;1,1,INDEX($BE$4:$BJ$99,MATCH(BV285,$BE$4:$BE$99,0),6)),INDEX(Calculation_Tab,MATCH(BV285,Identifier,0),10)),1)*(1+Calculation!$Q$6),"-")</f>
        <v>-</v>
      </c>
      <c r="CD285" s="509" t="str">
        <f ca="1">IFERROR(INDEX(Cluster!AC:AD,MATCH(IF(LEFT(BV285,4)="Pool",INDEX(Cluster!$D$29:$AA$412,MATCH(INDEX(Calculation_Tab,MATCH(INDEX($BE$4:$BJ$99,MATCH(BV285,$BE$4:$BE$99,0),3),Flow_Cell_Lane,0),3),Cluster!$F$29:$F$412,0),24),INDEX(Cluster!$D$29:$AA$412,MATCH(BV285,Cluster!$F$29:$F$412,0),24)),Cluster!AC:AC,0),2),"-")</f>
        <v>-</v>
      </c>
      <c r="CE285" s="378" t="str">
        <f ca="1">IFERROR(IF(BV285&lt;&gt;"-",Calculation!$AK$6,"-"),"-")</f>
        <v>-</v>
      </c>
      <c r="CF285" s="378" t="str">
        <f ca="1">IF(OR(LEFT(ListAndConversion!BW285,3)="Dil",LEFT(ListAndConversion!BW285,3)="Poo"),ListAndConversion!$BT$4,IF(LEFT(ListAndConversion!BW285,3)="Sou",INDEX(ListAndConversion!$AT$3:$AV$387,MATCH(ListAndConversion!BV285,ListAndConversion!$AV$3:$AV$387,0),1),"-"))</f>
        <v>-</v>
      </c>
      <c r="CG285" s="498" t="str">
        <f ca="1">IF(OR(LEFT(ListAndConversion!BW285,3)="Dil",LEFT(ListAndConversion!BW285,3)="Poo"),ListAndConversion!BU285,IF(LEFT(ListAndConversion!BW285,3)="Sou",INDEX(ListAndConversion!$AT$4:$AV$387,MATCH(ListAndConversion!BV285,ListAndConversion!$AV$4:$AV$387,0),2),"-"))</f>
        <v>-</v>
      </c>
      <c r="CH285" s="378"/>
      <c r="CI285" s="487" t="str">
        <f t="shared" ca="1" si="151"/>
        <v>-</v>
      </c>
      <c r="CJ285" s="378" t="str">
        <f t="shared" ca="1" si="158"/>
        <v>-</v>
      </c>
      <c r="CK285" s="378" t="str">
        <f t="shared" ca="1" si="158"/>
        <v>-</v>
      </c>
      <c r="CL285" s="378" t="str">
        <f t="shared" ca="1" si="158"/>
        <v>-</v>
      </c>
      <c r="CM285" s="378" t="str">
        <f t="shared" ca="1" si="158"/>
        <v>-</v>
      </c>
      <c r="CN285" s="378" t="str">
        <f t="shared" ca="1" si="158"/>
        <v>-</v>
      </c>
      <c r="CO285" s="378" t="str">
        <f t="shared" ca="1" si="158"/>
        <v>-</v>
      </c>
      <c r="CP285" s="378" t="str">
        <f t="shared" ca="1" si="158"/>
        <v>-</v>
      </c>
      <c r="CQ285" s="378" t="str">
        <f t="shared" ca="1" si="158"/>
        <v>-</v>
      </c>
      <c r="CR285" s="510" t="str">
        <f ca="1">IFERROR(IF(LEFT(BW285,3)="Poo",INDEX($BE$4:$BJ$99,MATCH(CI285,$BG$4:$BG$99,0),6)*((15/50))*Calculation!$AK$6,INDEX(Calculation_Tab,MATCH(BV285,Identifier,0),10)/(IF(LEN(INDEX(Calculation_Tab,MATCH(BV285,Identifier,0),9))&gt;8,LEN(INDEX(Calculation_Tab,MATCH(BV285,Identifier,0),9))-8,1))*((15/50)*Calculation!$AK$6)),"-")</f>
        <v>-</v>
      </c>
      <c r="CS285" s="498" t="str">
        <f ca="1">IF(CI285="-","-",IF(COUNTIF($CI$3:CI285,CI285)&gt;1,0,IFERROR((35/50)*Calculation!$AK$6,"-")))</f>
        <v>-</v>
      </c>
    </row>
    <row r="286" spans="4:97" x14ac:dyDescent="0.5">
      <c r="D286" s="487" t="e">
        <f t="shared" si="137"/>
        <v>#DIV/0!</v>
      </c>
      <c r="E286" s="496" t="e">
        <f t="array" ref="E286">IF(IF((ROW(E286)-3)&lt;(ListAndConversion!$A$15),INDEX(Flow_Cell_Lane,MIN(IF(COUNTIF($E$2:E285,Flow_Cell_Lane)=0,ROW(Flow_Cell_Lane)-9))),"-")="","-",IF((ROW(E286)-3)&lt;(ListAndConversion!$A$15),INDEX(Flow_Cell_Lane,MIN(IF(COUNTIF($E$2:E285,Flow_Cell_Lane)=0,ROW(Flow_Cell_Lane)-9))),"-"))</f>
        <v>#DIV/0!</v>
      </c>
      <c r="F286" s="378" t="e">
        <f t="shared" si="138"/>
        <v>#DIV/0!</v>
      </c>
      <c r="G286" s="378" t="e">
        <f t="shared" si="157"/>
        <v>#DIV/0!</v>
      </c>
      <c r="H286" s="378" t="e">
        <f t="shared" si="157"/>
        <v>#DIV/0!</v>
      </c>
      <c r="I286" s="378" t="e">
        <f t="shared" si="157"/>
        <v>#DIV/0!</v>
      </c>
      <c r="J286" s="378" t="e">
        <f t="shared" si="157"/>
        <v>#DIV/0!</v>
      </c>
      <c r="K286" s="378" t="e">
        <f t="shared" si="157"/>
        <v>#DIV/0!</v>
      </c>
      <c r="L286" s="378" t="e">
        <f t="shared" si="157"/>
        <v>#DIV/0!</v>
      </c>
      <c r="M286" s="378" t="e">
        <f t="shared" si="157"/>
        <v>#DIV/0!</v>
      </c>
      <c r="N286" s="497" t="e">
        <f t="shared" si="139"/>
        <v>#DIV/0!</v>
      </c>
      <c r="O286" s="497" t="str">
        <f t="array" ref="O286">IFERROR(INDEX(Calculation!I:AN,MATCH(ListAndConversion!E286,Calculation!I:I,0),31),"-")</f>
        <v>-</v>
      </c>
      <c r="P286" s="498">
        <f>IF(COUNTIFS(Calculation!$I$10:$I$393,E286,Direct_Denaturation,"-")&lt;&gt;1,COUNTIFS(Calculation!$I$10:$I$393,E286,Direct_Denaturation,"-"),0)</f>
        <v>0</v>
      </c>
      <c r="V286" s="542" t="s">
        <v>82</v>
      </c>
      <c r="W286" s="542" t="s">
        <v>82</v>
      </c>
      <c r="X286" s="542" t="s">
        <v>82</v>
      </c>
      <c r="Y286" s="542" t="s">
        <v>82</v>
      </c>
      <c r="Z286" s="542" t="s">
        <v>82</v>
      </c>
      <c r="AA286" s="542" t="s">
        <v>82</v>
      </c>
      <c r="AB286" s="542" t="s">
        <v>82</v>
      </c>
      <c r="AC286" s="542" t="s">
        <v>82</v>
      </c>
      <c r="AD286" s="542" t="s">
        <v>82</v>
      </c>
      <c r="AE286" s="542" t="s">
        <v>82</v>
      </c>
      <c r="AF286" s="542" t="s">
        <v>82</v>
      </c>
      <c r="AG286" s="542" t="s">
        <v>82</v>
      </c>
      <c r="AH286" s="9"/>
      <c r="AI286" s="487">
        <v>283</v>
      </c>
      <c r="AJ286" s="497" t="s">
        <v>162</v>
      </c>
      <c r="AK286" s="378">
        <v>91</v>
      </c>
      <c r="AL286" s="378" t="str">
        <f t="shared" ca="1" si="140"/>
        <v>-</v>
      </c>
      <c r="AM286" s="378" t="str">
        <f t="array" aca="1" ref="AM286" ca="1">IFERROR(IF(AI286&lt;=$AB$2,"-",INDEX(Calculation_Tab,SMALL(ROW(Main_Dil)*(Main_Dil&lt;&gt;"-"),COUNTIF(Main_Dil,"-")+ROW()-3-$AB$2)-9,5)),"-")</f>
        <v>-</v>
      </c>
      <c r="AN286" s="378" t="str">
        <f t="array" aca="1" ref="AN286" ca="1">IFERROR(IF(AI286&lt;=$AB$2,"-",INDEX($A$3:$B$12,MATCH(INDEX(Calculation_Tab,SMALL(ROW(Main_Dil)*(Main_Dil&lt;&gt;"-"),COUNTIF(Main_Dil,"-")+ROW()-3-$AB$2)-9,5),$A$3:$A$12,0),2)),"-")</f>
        <v>-</v>
      </c>
      <c r="AO286" s="378" t="str">
        <f t="array" aca="1" ref="AO286" ca="1">IFERROR(IF(AI286&lt;=$AB$2,"-",INDEX(Coordinate,MATCH(INDEX(Calculation_Tab,SMALL(ROW(Main_Dil)*(Main_Dil&lt;&gt;"-"),COUNTIF(Main_Dil,"-")+ROW()-3-$AB$2)-9,6),$X$4:$X$99,0),2)),"-")</f>
        <v>-</v>
      </c>
      <c r="AP286" s="510" t="str">
        <f t="array" aca="1" ref="AP286" ca="1">IFERROR(IF(AI286&lt;=$AB$2,"-",INDEX(Calculation_Tab,SMALL(ROW(Main_Dil)*(Main_Dil&lt;&gt;"-"),COUNTIF(Main_Dil,"-")+ROW()-3-$AB$2)-9,21)),"-")</f>
        <v>-</v>
      </c>
      <c r="AQ286" s="511" t="str">
        <f t="array" aca="1" ref="AQ286" ca="1">IFERROR(IF(AI286&lt;=$AB$2,"-",INDEX(Calculation_Tab,SMALL(ROW(Main_Dil)*(Main_Dil&lt;&gt;"-"),COUNTIF(Main_Dil,"-")+ROW()-3-$AB$2)-9,22)),"-")</f>
        <v>-</v>
      </c>
      <c r="AR286" s="487" t="str">
        <f t="shared" ca="1" si="141"/>
        <v>-</v>
      </c>
      <c r="AS286" s="378">
        <v>283</v>
      </c>
      <c r="AT286" s="497" t="s">
        <v>162</v>
      </c>
      <c r="AU286" s="498">
        <v>91</v>
      </c>
      <c r="AV286" s="378" t="str">
        <f t="shared" ca="1" si="142"/>
        <v>-</v>
      </c>
      <c r="AW286" s="378" t="str">
        <f t="array" aca="1" ref="AW286" ca="1">IFERROR(IF(AS286&lt;=$AB$2+$AN$2,"-",INDEX(Calculation_Tab,SMALL(ROW(Direct_Denaturation)*(Direct_Denaturation&lt;&gt;"-"),COUNTIF(Direct_Denaturation,"-")+ROW()-3-$AB$2-$AN$2)-9,5)),"-")</f>
        <v>-</v>
      </c>
      <c r="AX286" s="378" t="str">
        <f t="array" aca="1" ref="AX286" ca="1">IFERROR(IF(AS286&lt;=$AB$2+$AN$2,"-",INDEX($A$3:$B$12,MATCH(INDEX(Calculation_Tab,SMALL(ROW(Direct_Denaturation)*(Direct_Denaturation&lt;&gt;"-"),COUNTIF(Direct_Denaturation,"-")+ROW()-3-$AB$2-$AN$2)-9,5),$A$3:$A$12,0),2)),"-")</f>
        <v>-</v>
      </c>
      <c r="AY286" s="378" t="str">
        <f t="array" aca="1" ref="AY286" ca="1">IFERROR(IF(AS286&lt;=$AB$2+$AN$2,"-",INDEX(Coordinate,MATCH(INDEX(Calculation_Tab,SMALL(ROW(Direct_Denaturation)*(Direct_Denaturation&lt;&gt;"-"),COUNTIF(Direct_Denaturation,"-")+ROW()-3-$AB$2-$AN$2)-9,6),$X$4:$X$99,0),2)),"-")</f>
        <v>-</v>
      </c>
      <c r="AZ286" s="510" t="str">
        <f t="array" aca="1" ref="AZ286" ca="1">IFERROR(IF(AS286&lt;=$AB$2+$AN$2,"-",INDEX(Calculation_Tab,SMALL(ROW(Direct_Denaturation)*(Direct_Denaturation&lt;&gt;"-"),COUNTIF(Direct_Denaturation,"-")+ROW()-3-$AB$2-$AN$2)-9,32)),"-")</f>
        <v>-</v>
      </c>
      <c r="BA286" s="510" t="str">
        <f t="array" aca="1" ref="BA286" ca="1">IFERROR(IF(AS286&lt;=$AB$2+$AN$2,"-",INDEX(Calculation_Tab,SMALL(ROW(Direct_Denaturation)*(Direct_Denaturation&lt;&gt;"-"),COUNTIF(Direct_Denaturation,"-")+ROW()-3-$AB$2-$AN$2)-9,34)),"-")</f>
        <v>-</v>
      </c>
      <c r="BB286" s="510" t="str">
        <f t="array" aca="1" ref="BB286" ca="1">IFERROR(IF(AS286&lt;=$AB$2+$AN$2,"-",INDEX(Calculation_Tab,SMALL(ROW(Direct_Denaturation)*(Direct_Denaturation&lt;&gt;"-"),COUNTIF(Direct_Denaturation,"-")+ROW()-3-$AB$2-$AN$2)-9,33)),"-")</f>
        <v>-</v>
      </c>
      <c r="BC286" s="510" t="str">
        <f t="array" aca="1" ref="BC286" ca="1">IFERROR(IF(AS286&lt;=$AB$2+$AN$2,"-",INDEX(Calculation_Tab,SMALL(ROW(Direct_Denaturation)*(Direct_Denaturation&lt;&gt;"-"),COUNTIF(Direct_Denaturation,"-")+ROW()-3-$AB$2-$AN$2)-9,35)),"-")</f>
        <v>-</v>
      </c>
      <c r="BD286" s="511" t="str">
        <f t="shared" ca="1" si="143"/>
        <v>-</v>
      </c>
      <c r="BK286" s="542" t="s">
        <v>82</v>
      </c>
      <c r="BL286" s="542" t="s">
        <v>82</v>
      </c>
      <c r="BM286" s="487" t="str">
        <f t="array" aca="1" ref="BM286" ca="1">IFERROR(INDEX(Calculation_Tab,SMALL(ROW(ToPool)*(ToPool&lt;&gt;"-"),COUNTIF(ToPool,"-")+ROW()-3)-9,3),"-")</f>
        <v>-</v>
      </c>
      <c r="BN286" s="378" t="str">
        <f t="shared" ca="1" si="144"/>
        <v>-</v>
      </c>
      <c r="BO286" s="378" t="str">
        <f t="shared" ca="1" si="145"/>
        <v>-</v>
      </c>
      <c r="BP286" s="523" t="str">
        <f t="shared" ca="1" si="146"/>
        <v>-</v>
      </c>
      <c r="BQ286" s="378" t="str">
        <f t="array" aca="1" ref="BQ286" ca="1">IFERROR(INDEX(BE:BG,MATCH(INDEX(Calculation_Tab,SMALL(ROW(ToPool)*(ToPool&lt;&gt;"-"),COUNTIF(ToPool,"-")+ROW()-3)-9,9),BG:BG,0),2),"-")</f>
        <v>-</v>
      </c>
      <c r="BR286" s="510" t="str">
        <f t="shared" ca="1" si="147"/>
        <v>-</v>
      </c>
      <c r="BS286" s="511" t="str">
        <f t="shared" ca="1" si="148"/>
        <v>-</v>
      </c>
      <c r="BT286" s="543" t="s">
        <v>82</v>
      </c>
      <c r="BU286" s="487" t="str">
        <f t="shared" ca="1" si="152"/>
        <v>-</v>
      </c>
      <c r="BV286" s="487" t="str">
        <f t="array" aca="1" ref="BV28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86" s="378" t="str">
        <f t="shared" ca="1" si="149"/>
        <v>-</v>
      </c>
      <c r="BX286" s="378" t="str">
        <f t="shared" ca="1" si="150"/>
        <v>-</v>
      </c>
      <c r="BY286" s="510" t="str">
        <f ca="1">IFERROR(ROUND(INDEX(Cluster,MATCH(IF(LEFT(BV286,4)="Pool",INDEX(Cluster,MATCH(INDEX(Calculation_Tab,MATCH(INDEX($BE$4:$BJ$99,MATCH(BV286,$BE$4:$BE$99,0),3),Flow_Cell_Lane,0),3),Cluster!$F$29:$F$412,0),6),BV286),Identifier_Cluster,0),19)*IF(LEFT(BV286,4)="pool",IF(LEN(INDEX($BE$4:$BJ$99,MATCH(BV286,$BE$4:$BE$99,0),3))=10,2,IF(LEN(INDEX($BE$4:$BJ$99,MATCH(BV286,$BE$4:$BE$99,0),3))&gt;10,LEN(INDEX($BE$4:$BJ$99,MATCH(BV286,$BE$4:$BE$99,0),3))-8,1)),1)*IF(LEFT(BV286,4)="pool",IF(INDEX($BE$4:$BJ$99,MATCH(BV286,$BE$4:$BE$99,0),6)&lt;1,1,INDEX($BE$4:$BJ$99,MATCH(BV286,$BE$4:$BE$99,0),6)),INDEX(Calculation_Tab,MATCH(BV286,Identifier,0),10)),1)*(1+Calculation!$Q$6),"-")</f>
        <v>-</v>
      </c>
      <c r="BZ286" s="378" t="str">
        <f ca="1">IFERROR((0.5/50)*CE286/Calculation!$AG$6*(IF(LEFT(BV286,4)="Pool",IF(LEN(INDEX($BE$4:$BJ$99,MATCH(BV286,$BE$4:$BE$99,0),3))=10,2,IF(LEN(INDEX($BE$4:$BJ$99,MATCH(BV286,$BE$4:$BE$99,0),3))&gt;10,LEN(INDEX($BE$4:$BJ$99,MATCH(BV286,$BE$4:$BE$99,0),3))-8,1)),IF(INDEX(Calculation_Tab,MATCH(BV286,Identifier,0),10)&gt;1,INDEX(Calculation_Tab,MATCH(BV286,Identifier,0),10),1)))*(1+Calculation!$Q$6),"-")</f>
        <v>-</v>
      </c>
      <c r="CA286" s="510" t="str">
        <f ca="1">IFERROR(IF((BZ286*Calculation!$AG$6/0.05)-SUM(BY286:BZ286,CC286)&gt;0,(BZ286*Calculation!$AG$6/0.05)-SUM(BY286:BZ286,CC286),0),"-")</f>
        <v>-</v>
      </c>
      <c r="CB286" s="510" t="str">
        <f ca="1">IFERROR(5/50*CE286*(IF(LEFT(BV286,4)="Pool",IF(LEN(INDEX($BE$4:$BJ$99,MATCH(BV286,$BE$4:$BE$99,0),3))=10,2,IF(LEN(INDEX($BE$4:$BJ$99,MATCH(BV286,$BE$4:$BE$99,0),3))&gt;10,LEN(INDEX($BE$4:$BJ$99,MATCH(BV286,$BE$4:$BE$99,0),3))-8,1)),IF(INDEX(Calculation_Tab,MATCH(BV286,Identifier,0),10)&gt;1,INDEX(Calculation_Tab,MATCH(BV286,Identifier,0),10),1)))*(1+Calculation!$Q$6),"-")</f>
        <v>-</v>
      </c>
      <c r="CC286" s="508" t="str">
        <f ca="1">IFERROR(ROUND(INDEX(Cluster,MATCH(IF(LEFT(BV286,4)="Pool",INDEX(Cluster,MATCH(INDEX(Calculation_Tab,MATCH(INDEX($BE$4:$BJ$99,MATCH(BV286,$BE$4:$BE$99,0),3),Flow_Cell_Lane,0),3),Cluster!$F$29:$F$412,0),6),BV286),Identifier_Cluster,0),20)*IF(LEFT(BV286,4)="pool",IF(LEN(INDEX($BE$4:$BJ$99,MATCH(BV286,$BE$4:$BE$99,0),3))=10,2,IF(LEN(INDEX($BE$4:$BJ$99,MATCH(BV286,$BE$4:$BE$99,0),3))&gt;10,LEN(INDEX($BE$4:$BJ$99,MATCH(BV286,$BE$4:$BE$99,0),3))-8,1)),1)*IF(LEFT(BV286,4)="pool",IF(INDEX($BE$4:$BJ$99,MATCH(BV286,$BE$4:$BE$99,0),6)&lt;1,1,INDEX($BE$4:$BJ$99,MATCH(BV286,$BE$4:$BE$99,0),6)),INDEX(Calculation_Tab,MATCH(BV286,Identifier,0),10)),1)*(1+Calculation!$Q$6),"-")</f>
        <v>-</v>
      </c>
      <c r="CD286" s="509" t="str">
        <f ca="1">IFERROR(INDEX(Cluster!AC:AD,MATCH(IF(LEFT(BV286,4)="Pool",INDEX(Cluster!$D$29:$AA$412,MATCH(INDEX(Calculation_Tab,MATCH(INDEX($BE$4:$BJ$99,MATCH(BV286,$BE$4:$BE$99,0),3),Flow_Cell_Lane,0),3),Cluster!$F$29:$F$412,0),24),INDEX(Cluster!$D$29:$AA$412,MATCH(BV286,Cluster!$F$29:$F$412,0),24)),Cluster!AC:AC,0),2),"-")</f>
        <v>-</v>
      </c>
      <c r="CE286" s="378" t="str">
        <f ca="1">IFERROR(IF(BV286&lt;&gt;"-",Calculation!$AK$6,"-"),"-")</f>
        <v>-</v>
      </c>
      <c r="CF286" s="378" t="str">
        <f ca="1">IF(OR(LEFT(ListAndConversion!BW286,3)="Dil",LEFT(ListAndConversion!BW286,3)="Poo"),ListAndConversion!$BT$4,IF(LEFT(ListAndConversion!BW286,3)="Sou",INDEX(ListAndConversion!$AT$3:$AV$387,MATCH(ListAndConversion!BV286,ListAndConversion!$AV$3:$AV$387,0),1),"-"))</f>
        <v>-</v>
      </c>
      <c r="CG286" s="498" t="str">
        <f ca="1">IF(OR(LEFT(ListAndConversion!BW286,3)="Dil",LEFT(ListAndConversion!BW286,3)="Poo"),ListAndConversion!BU286,IF(LEFT(ListAndConversion!BW286,3)="Sou",INDEX(ListAndConversion!$AT$4:$AV$387,MATCH(ListAndConversion!BV286,ListAndConversion!$AV$4:$AV$387,0),2),"-"))</f>
        <v>-</v>
      </c>
      <c r="CH286" s="378"/>
      <c r="CI286" s="487" t="str">
        <f t="shared" ca="1" si="151"/>
        <v>-</v>
      </c>
      <c r="CJ286" s="378" t="str">
        <f t="shared" ca="1" si="158"/>
        <v>-</v>
      </c>
      <c r="CK286" s="378" t="str">
        <f t="shared" ca="1" si="158"/>
        <v>-</v>
      </c>
      <c r="CL286" s="378" t="str">
        <f t="shared" ca="1" si="158"/>
        <v>-</v>
      </c>
      <c r="CM286" s="378" t="str">
        <f t="shared" ca="1" si="158"/>
        <v>-</v>
      </c>
      <c r="CN286" s="378" t="str">
        <f t="shared" ca="1" si="158"/>
        <v>-</v>
      </c>
      <c r="CO286" s="378" t="str">
        <f t="shared" ca="1" si="158"/>
        <v>-</v>
      </c>
      <c r="CP286" s="378" t="str">
        <f t="shared" ca="1" si="158"/>
        <v>-</v>
      </c>
      <c r="CQ286" s="378" t="str">
        <f t="shared" ca="1" si="158"/>
        <v>-</v>
      </c>
      <c r="CR286" s="510" t="str">
        <f ca="1">IFERROR(IF(LEFT(BW286,3)="Poo",INDEX($BE$4:$BJ$99,MATCH(CI286,$BG$4:$BG$99,0),6)*((15/50))*Calculation!$AK$6,INDEX(Calculation_Tab,MATCH(BV286,Identifier,0),10)/(IF(LEN(INDEX(Calculation_Tab,MATCH(BV286,Identifier,0),9))&gt;8,LEN(INDEX(Calculation_Tab,MATCH(BV286,Identifier,0),9))-8,1))*((15/50)*Calculation!$AK$6)),"-")</f>
        <v>-</v>
      </c>
      <c r="CS286" s="498" t="str">
        <f ca="1">IF(CI286="-","-",IF(COUNTIF($CI$3:CI286,CI286)&gt;1,0,IFERROR((35/50)*Calculation!$AK$6,"-")))</f>
        <v>-</v>
      </c>
    </row>
    <row r="287" spans="4:97" x14ac:dyDescent="0.5">
      <c r="D287" s="487" t="e">
        <f t="shared" si="137"/>
        <v>#DIV/0!</v>
      </c>
      <c r="E287" s="496" t="e">
        <f t="array" ref="E287">IF(IF((ROW(E287)-3)&lt;(ListAndConversion!$A$15),INDEX(Flow_Cell_Lane,MIN(IF(COUNTIF($E$2:E286,Flow_Cell_Lane)=0,ROW(Flow_Cell_Lane)-9))),"-")="","-",IF((ROW(E287)-3)&lt;(ListAndConversion!$A$15),INDEX(Flow_Cell_Lane,MIN(IF(COUNTIF($E$2:E286,Flow_Cell_Lane)=0,ROW(Flow_Cell_Lane)-9))),"-"))</f>
        <v>#DIV/0!</v>
      </c>
      <c r="F287" s="378" t="e">
        <f t="shared" si="138"/>
        <v>#DIV/0!</v>
      </c>
      <c r="G287" s="378" t="e">
        <f t="shared" si="157"/>
        <v>#DIV/0!</v>
      </c>
      <c r="H287" s="378" t="e">
        <f t="shared" si="157"/>
        <v>#DIV/0!</v>
      </c>
      <c r="I287" s="378" t="e">
        <f t="shared" si="157"/>
        <v>#DIV/0!</v>
      </c>
      <c r="J287" s="378" t="e">
        <f t="shared" si="157"/>
        <v>#DIV/0!</v>
      </c>
      <c r="K287" s="378" t="e">
        <f t="shared" si="157"/>
        <v>#DIV/0!</v>
      </c>
      <c r="L287" s="378" t="e">
        <f t="shared" si="157"/>
        <v>#DIV/0!</v>
      </c>
      <c r="M287" s="378" t="e">
        <f t="shared" si="157"/>
        <v>#DIV/0!</v>
      </c>
      <c r="N287" s="497" t="e">
        <f t="shared" si="139"/>
        <v>#DIV/0!</v>
      </c>
      <c r="O287" s="497" t="str">
        <f t="array" ref="O287">IFERROR(INDEX(Calculation!I:AN,MATCH(ListAndConversion!E287,Calculation!I:I,0),31),"-")</f>
        <v>-</v>
      </c>
      <c r="P287" s="498">
        <f>IF(COUNTIFS(Calculation!$I$10:$I$393,E287,Direct_Denaturation,"-")&lt;&gt;1,COUNTIFS(Calculation!$I$10:$I$393,E287,Direct_Denaturation,"-"),0)</f>
        <v>0</v>
      </c>
      <c r="V287" s="542" t="s">
        <v>82</v>
      </c>
      <c r="W287" s="542" t="s">
        <v>82</v>
      </c>
      <c r="X287" s="542" t="s">
        <v>82</v>
      </c>
      <c r="Y287" s="542" t="s">
        <v>82</v>
      </c>
      <c r="Z287" s="542" t="s">
        <v>82</v>
      </c>
      <c r="AA287" s="542" t="s">
        <v>82</v>
      </c>
      <c r="AB287" s="542" t="s">
        <v>82</v>
      </c>
      <c r="AC287" s="542" t="s">
        <v>82</v>
      </c>
      <c r="AD287" s="542" t="s">
        <v>82</v>
      </c>
      <c r="AE287" s="542" t="s">
        <v>82</v>
      </c>
      <c r="AF287" s="542" t="s">
        <v>82</v>
      </c>
      <c r="AG287" s="542" t="s">
        <v>82</v>
      </c>
      <c r="AH287" s="9"/>
      <c r="AI287" s="487">
        <v>284</v>
      </c>
      <c r="AJ287" s="497" t="s">
        <v>162</v>
      </c>
      <c r="AK287" s="378">
        <v>92</v>
      </c>
      <c r="AL287" s="378" t="str">
        <f t="shared" ca="1" si="140"/>
        <v>-</v>
      </c>
      <c r="AM287" s="378" t="str">
        <f t="array" aca="1" ref="AM287" ca="1">IFERROR(IF(AI287&lt;=$AB$2,"-",INDEX(Calculation_Tab,SMALL(ROW(Main_Dil)*(Main_Dil&lt;&gt;"-"),COUNTIF(Main_Dil,"-")+ROW()-3-$AB$2)-9,5)),"-")</f>
        <v>-</v>
      </c>
      <c r="AN287" s="378" t="str">
        <f t="array" aca="1" ref="AN287" ca="1">IFERROR(IF(AI287&lt;=$AB$2,"-",INDEX($A$3:$B$12,MATCH(INDEX(Calculation_Tab,SMALL(ROW(Main_Dil)*(Main_Dil&lt;&gt;"-"),COUNTIF(Main_Dil,"-")+ROW()-3-$AB$2)-9,5),$A$3:$A$12,0),2)),"-")</f>
        <v>-</v>
      </c>
      <c r="AO287" s="378" t="str">
        <f t="array" aca="1" ref="AO287" ca="1">IFERROR(IF(AI287&lt;=$AB$2,"-",INDEX(Coordinate,MATCH(INDEX(Calculation_Tab,SMALL(ROW(Main_Dil)*(Main_Dil&lt;&gt;"-"),COUNTIF(Main_Dil,"-")+ROW()-3-$AB$2)-9,6),$X$4:$X$99,0),2)),"-")</f>
        <v>-</v>
      </c>
      <c r="AP287" s="510" t="str">
        <f t="array" aca="1" ref="AP287" ca="1">IFERROR(IF(AI287&lt;=$AB$2,"-",INDEX(Calculation_Tab,SMALL(ROW(Main_Dil)*(Main_Dil&lt;&gt;"-"),COUNTIF(Main_Dil,"-")+ROW()-3-$AB$2)-9,21)),"-")</f>
        <v>-</v>
      </c>
      <c r="AQ287" s="511" t="str">
        <f t="array" aca="1" ref="AQ287" ca="1">IFERROR(IF(AI287&lt;=$AB$2,"-",INDEX(Calculation_Tab,SMALL(ROW(Main_Dil)*(Main_Dil&lt;&gt;"-"),COUNTIF(Main_Dil,"-")+ROW()-3-$AB$2)-9,22)),"-")</f>
        <v>-</v>
      </c>
      <c r="AR287" s="487" t="str">
        <f t="shared" ca="1" si="141"/>
        <v>-</v>
      </c>
      <c r="AS287" s="378">
        <v>284</v>
      </c>
      <c r="AT287" s="497" t="s">
        <v>162</v>
      </c>
      <c r="AU287" s="498">
        <v>92</v>
      </c>
      <c r="AV287" s="378" t="str">
        <f t="shared" ca="1" si="142"/>
        <v>-</v>
      </c>
      <c r="AW287" s="378" t="str">
        <f t="array" aca="1" ref="AW287" ca="1">IFERROR(IF(AS287&lt;=$AB$2+$AN$2,"-",INDEX(Calculation_Tab,SMALL(ROW(Direct_Denaturation)*(Direct_Denaturation&lt;&gt;"-"),COUNTIF(Direct_Denaturation,"-")+ROW()-3-$AB$2-$AN$2)-9,5)),"-")</f>
        <v>-</v>
      </c>
      <c r="AX287" s="378" t="str">
        <f t="array" aca="1" ref="AX287" ca="1">IFERROR(IF(AS287&lt;=$AB$2+$AN$2,"-",INDEX($A$3:$B$12,MATCH(INDEX(Calculation_Tab,SMALL(ROW(Direct_Denaturation)*(Direct_Denaturation&lt;&gt;"-"),COUNTIF(Direct_Denaturation,"-")+ROW()-3-$AB$2-$AN$2)-9,5),$A$3:$A$12,0),2)),"-")</f>
        <v>-</v>
      </c>
      <c r="AY287" s="378" t="str">
        <f t="array" aca="1" ref="AY287" ca="1">IFERROR(IF(AS287&lt;=$AB$2+$AN$2,"-",INDEX(Coordinate,MATCH(INDEX(Calculation_Tab,SMALL(ROW(Direct_Denaturation)*(Direct_Denaturation&lt;&gt;"-"),COUNTIF(Direct_Denaturation,"-")+ROW()-3-$AB$2-$AN$2)-9,6),$X$4:$X$99,0),2)),"-")</f>
        <v>-</v>
      </c>
      <c r="AZ287" s="510" t="str">
        <f t="array" aca="1" ref="AZ287" ca="1">IFERROR(IF(AS287&lt;=$AB$2+$AN$2,"-",INDEX(Calculation_Tab,SMALL(ROW(Direct_Denaturation)*(Direct_Denaturation&lt;&gt;"-"),COUNTIF(Direct_Denaturation,"-")+ROW()-3-$AB$2-$AN$2)-9,32)),"-")</f>
        <v>-</v>
      </c>
      <c r="BA287" s="510" t="str">
        <f t="array" aca="1" ref="BA287" ca="1">IFERROR(IF(AS287&lt;=$AB$2+$AN$2,"-",INDEX(Calculation_Tab,SMALL(ROW(Direct_Denaturation)*(Direct_Denaturation&lt;&gt;"-"),COUNTIF(Direct_Denaturation,"-")+ROW()-3-$AB$2-$AN$2)-9,34)),"-")</f>
        <v>-</v>
      </c>
      <c r="BB287" s="510" t="str">
        <f t="array" aca="1" ref="BB287" ca="1">IFERROR(IF(AS287&lt;=$AB$2+$AN$2,"-",INDEX(Calculation_Tab,SMALL(ROW(Direct_Denaturation)*(Direct_Denaturation&lt;&gt;"-"),COUNTIF(Direct_Denaturation,"-")+ROW()-3-$AB$2-$AN$2)-9,33)),"-")</f>
        <v>-</v>
      </c>
      <c r="BC287" s="510" t="str">
        <f t="array" aca="1" ref="BC287" ca="1">IFERROR(IF(AS287&lt;=$AB$2+$AN$2,"-",INDEX(Calculation_Tab,SMALL(ROW(Direct_Denaturation)*(Direct_Denaturation&lt;&gt;"-"),COUNTIF(Direct_Denaturation,"-")+ROW()-3-$AB$2-$AN$2)-9,35)),"-")</f>
        <v>-</v>
      </c>
      <c r="BD287" s="511" t="str">
        <f t="shared" ca="1" si="143"/>
        <v>-</v>
      </c>
      <c r="BK287" s="542" t="s">
        <v>82</v>
      </c>
      <c r="BL287" s="542" t="s">
        <v>82</v>
      </c>
      <c r="BM287" s="487" t="str">
        <f t="array" aca="1" ref="BM287" ca="1">IFERROR(INDEX(Calculation_Tab,SMALL(ROW(ToPool)*(ToPool&lt;&gt;"-"),COUNTIF(ToPool,"-")+ROW()-3)-9,3),"-")</f>
        <v>-</v>
      </c>
      <c r="BN287" s="378" t="str">
        <f t="shared" ca="1" si="144"/>
        <v>-</v>
      </c>
      <c r="BO287" s="378" t="str">
        <f t="shared" ca="1" si="145"/>
        <v>-</v>
      </c>
      <c r="BP287" s="523" t="str">
        <f t="shared" ca="1" si="146"/>
        <v>-</v>
      </c>
      <c r="BQ287" s="378" t="str">
        <f t="array" aca="1" ref="BQ287" ca="1">IFERROR(INDEX(BE:BG,MATCH(INDEX(Calculation_Tab,SMALL(ROW(ToPool)*(ToPool&lt;&gt;"-"),COUNTIF(ToPool,"-")+ROW()-3)-9,9),BG:BG,0),2),"-")</f>
        <v>-</v>
      </c>
      <c r="BR287" s="510" t="str">
        <f t="shared" ca="1" si="147"/>
        <v>-</v>
      </c>
      <c r="BS287" s="511" t="str">
        <f t="shared" ca="1" si="148"/>
        <v>-</v>
      </c>
      <c r="BT287" s="543" t="s">
        <v>82</v>
      </c>
      <c r="BU287" s="487" t="str">
        <f t="shared" ca="1" si="152"/>
        <v>-</v>
      </c>
      <c r="BV287" s="487" t="str">
        <f t="array" aca="1" ref="BV28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87" s="378" t="str">
        <f t="shared" ca="1" si="149"/>
        <v>-</v>
      </c>
      <c r="BX287" s="378" t="str">
        <f t="shared" ca="1" si="150"/>
        <v>-</v>
      </c>
      <c r="BY287" s="510" t="str">
        <f ca="1">IFERROR(ROUND(INDEX(Cluster,MATCH(IF(LEFT(BV287,4)="Pool",INDEX(Cluster,MATCH(INDEX(Calculation_Tab,MATCH(INDEX($BE$4:$BJ$99,MATCH(BV287,$BE$4:$BE$99,0),3),Flow_Cell_Lane,0),3),Cluster!$F$29:$F$412,0),6),BV287),Identifier_Cluster,0),19)*IF(LEFT(BV287,4)="pool",IF(LEN(INDEX($BE$4:$BJ$99,MATCH(BV287,$BE$4:$BE$99,0),3))=10,2,IF(LEN(INDEX($BE$4:$BJ$99,MATCH(BV287,$BE$4:$BE$99,0),3))&gt;10,LEN(INDEX($BE$4:$BJ$99,MATCH(BV287,$BE$4:$BE$99,0),3))-8,1)),1)*IF(LEFT(BV287,4)="pool",IF(INDEX($BE$4:$BJ$99,MATCH(BV287,$BE$4:$BE$99,0),6)&lt;1,1,INDEX($BE$4:$BJ$99,MATCH(BV287,$BE$4:$BE$99,0),6)),INDEX(Calculation_Tab,MATCH(BV287,Identifier,0),10)),1)*(1+Calculation!$Q$6),"-")</f>
        <v>-</v>
      </c>
      <c r="BZ287" s="378" t="str">
        <f ca="1">IFERROR((0.5/50)*CE287/Calculation!$AG$6*(IF(LEFT(BV287,4)="Pool",IF(LEN(INDEX($BE$4:$BJ$99,MATCH(BV287,$BE$4:$BE$99,0),3))=10,2,IF(LEN(INDEX($BE$4:$BJ$99,MATCH(BV287,$BE$4:$BE$99,0),3))&gt;10,LEN(INDEX($BE$4:$BJ$99,MATCH(BV287,$BE$4:$BE$99,0),3))-8,1)),IF(INDEX(Calculation_Tab,MATCH(BV287,Identifier,0),10)&gt;1,INDEX(Calculation_Tab,MATCH(BV287,Identifier,0),10),1)))*(1+Calculation!$Q$6),"-")</f>
        <v>-</v>
      </c>
      <c r="CA287" s="510" t="str">
        <f ca="1">IFERROR(IF((BZ287*Calculation!$AG$6/0.05)-SUM(BY287:BZ287,CC287)&gt;0,(BZ287*Calculation!$AG$6/0.05)-SUM(BY287:BZ287,CC287),0),"-")</f>
        <v>-</v>
      </c>
      <c r="CB287" s="510" t="str">
        <f ca="1">IFERROR(5/50*CE287*(IF(LEFT(BV287,4)="Pool",IF(LEN(INDEX($BE$4:$BJ$99,MATCH(BV287,$BE$4:$BE$99,0),3))=10,2,IF(LEN(INDEX($BE$4:$BJ$99,MATCH(BV287,$BE$4:$BE$99,0),3))&gt;10,LEN(INDEX($BE$4:$BJ$99,MATCH(BV287,$BE$4:$BE$99,0),3))-8,1)),IF(INDEX(Calculation_Tab,MATCH(BV287,Identifier,0),10)&gt;1,INDEX(Calculation_Tab,MATCH(BV287,Identifier,0),10),1)))*(1+Calculation!$Q$6),"-")</f>
        <v>-</v>
      </c>
      <c r="CC287" s="508" t="str">
        <f ca="1">IFERROR(ROUND(INDEX(Cluster,MATCH(IF(LEFT(BV287,4)="Pool",INDEX(Cluster,MATCH(INDEX(Calculation_Tab,MATCH(INDEX($BE$4:$BJ$99,MATCH(BV287,$BE$4:$BE$99,0),3),Flow_Cell_Lane,0),3),Cluster!$F$29:$F$412,0),6),BV287),Identifier_Cluster,0),20)*IF(LEFT(BV287,4)="pool",IF(LEN(INDEX($BE$4:$BJ$99,MATCH(BV287,$BE$4:$BE$99,0),3))=10,2,IF(LEN(INDEX($BE$4:$BJ$99,MATCH(BV287,$BE$4:$BE$99,0),3))&gt;10,LEN(INDEX($BE$4:$BJ$99,MATCH(BV287,$BE$4:$BE$99,0),3))-8,1)),1)*IF(LEFT(BV287,4)="pool",IF(INDEX($BE$4:$BJ$99,MATCH(BV287,$BE$4:$BE$99,0),6)&lt;1,1,INDEX($BE$4:$BJ$99,MATCH(BV287,$BE$4:$BE$99,0),6)),INDEX(Calculation_Tab,MATCH(BV287,Identifier,0),10)),1)*(1+Calculation!$Q$6),"-")</f>
        <v>-</v>
      </c>
      <c r="CD287" s="509" t="str">
        <f ca="1">IFERROR(INDEX(Cluster!AC:AD,MATCH(IF(LEFT(BV287,4)="Pool",INDEX(Cluster!$D$29:$AA$412,MATCH(INDEX(Calculation_Tab,MATCH(INDEX($BE$4:$BJ$99,MATCH(BV287,$BE$4:$BE$99,0),3),Flow_Cell_Lane,0),3),Cluster!$F$29:$F$412,0),24),INDEX(Cluster!$D$29:$AA$412,MATCH(BV287,Cluster!$F$29:$F$412,0),24)),Cluster!AC:AC,0),2),"-")</f>
        <v>-</v>
      </c>
      <c r="CE287" s="378" t="str">
        <f ca="1">IFERROR(IF(BV287&lt;&gt;"-",Calculation!$AK$6,"-"),"-")</f>
        <v>-</v>
      </c>
      <c r="CF287" s="378" t="str">
        <f ca="1">IF(OR(LEFT(ListAndConversion!BW287,3)="Dil",LEFT(ListAndConversion!BW287,3)="Poo"),ListAndConversion!$BT$4,IF(LEFT(ListAndConversion!BW287,3)="Sou",INDEX(ListAndConversion!$AT$3:$AV$387,MATCH(ListAndConversion!BV287,ListAndConversion!$AV$3:$AV$387,0),1),"-"))</f>
        <v>-</v>
      </c>
      <c r="CG287" s="498" t="str">
        <f ca="1">IF(OR(LEFT(ListAndConversion!BW287,3)="Dil",LEFT(ListAndConversion!BW287,3)="Poo"),ListAndConversion!BU287,IF(LEFT(ListAndConversion!BW287,3)="Sou",INDEX(ListAndConversion!$AT$4:$AV$387,MATCH(ListAndConversion!BV287,ListAndConversion!$AV$4:$AV$387,0),2),"-"))</f>
        <v>-</v>
      </c>
      <c r="CH287" s="378"/>
      <c r="CI287" s="487" t="str">
        <f t="shared" ca="1" si="151"/>
        <v>-</v>
      </c>
      <c r="CJ287" s="378" t="str">
        <f t="shared" ca="1" si="158"/>
        <v>-</v>
      </c>
      <c r="CK287" s="378" t="str">
        <f t="shared" ca="1" si="158"/>
        <v>-</v>
      </c>
      <c r="CL287" s="378" t="str">
        <f t="shared" ca="1" si="158"/>
        <v>-</v>
      </c>
      <c r="CM287" s="378" t="str">
        <f t="shared" ca="1" si="158"/>
        <v>-</v>
      </c>
      <c r="CN287" s="378" t="str">
        <f t="shared" ca="1" si="158"/>
        <v>-</v>
      </c>
      <c r="CO287" s="378" t="str">
        <f t="shared" ca="1" si="158"/>
        <v>-</v>
      </c>
      <c r="CP287" s="378" t="str">
        <f t="shared" ca="1" si="158"/>
        <v>-</v>
      </c>
      <c r="CQ287" s="378" t="str">
        <f t="shared" ca="1" si="158"/>
        <v>-</v>
      </c>
      <c r="CR287" s="510" t="str">
        <f ca="1">IFERROR(IF(LEFT(BW287,3)="Poo",INDEX($BE$4:$BJ$99,MATCH(CI287,$BG$4:$BG$99,0),6)*((15/50))*Calculation!$AK$6,INDEX(Calculation_Tab,MATCH(BV287,Identifier,0),10)/(IF(LEN(INDEX(Calculation_Tab,MATCH(BV287,Identifier,0),9))&gt;8,LEN(INDEX(Calculation_Tab,MATCH(BV287,Identifier,0),9))-8,1))*((15/50)*Calculation!$AK$6)),"-")</f>
        <v>-</v>
      </c>
      <c r="CS287" s="498" t="str">
        <f ca="1">IF(CI287="-","-",IF(COUNTIF($CI$3:CI287,CI287)&gt;1,0,IFERROR((35/50)*Calculation!$AK$6,"-")))</f>
        <v>-</v>
      </c>
    </row>
    <row r="288" spans="4:97" x14ac:dyDescent="0.5">
      <c r="D288" s="487" t="e">
        <f t="shared" si="137"/>
        <v>#DIV/0!</v>
      </c>
      <c r="E288" s="496" t="e">
        <f t="array" ref="E288">IF(IF((ROW(E288)-3)&lt;(ListAndConversion!$A$15),INDEX(Flow_Cell_Lane,MIN(IF(COUNTIF($E$2:E287,Flow_Cell_Lane)=0,ROW(Flow_Cell_Lane)-9))),"-")="","-",IF((ROW(E288)-3)&lt;(ListAndConversion!$A$15),INDEX(Flow_Cell_Lane,MIN(IF(COUNTIF($E$2:E287,Flow_Cell_Lane)=0,ROW(Flow_Cell_Lane)-9))),"-"))</f>
        <v>#DIV/0!</v>
      </c>
      <c r="F288" s="378" t="e">
        <f t="shared" si="138"/>
        <v>#DIV/0!</v>
      </c>
      <c r="G288" s="378" t="e">
        <f t="shared" si="157"/>
        <v>#DIV/0!</v>
      </c>
      <c r="H288" s="378" t="e">
        <f t="shared" si="157"/>
        <v>#DIV/0!</v>
      </c>
      <c r="I288" s="378" t="e">
        <f t="shared" si="157"/>
        <v>#DIV/0!</v>
      </c>
      <c r="J288" s="378" t="e">
        <f t="shared" si="157"/>
        <v>#DIV/0!</v>
      </c>
      <c r="K288" s="378" t="e">
        <f t="shared" si="157"/>
        <v>#DIV/0!</v>
      </c>
      <c r="L288" s="378" t="e">
        <f t="shared" si="157"/>
        <v>#DIV/0!</v>
      </c>
      <c r="M288" s="378" t="e">
        <f t="shared" si="157"/>
        <v>#DIV/0!</v>
      </c>
      <c r="N288" s="497" t="e">
        <f t="shared" si="139"/>
        <v>#DIV/0!</v>
      </c>
      <c r="O288" s="497" t="str">
        <f t="array" ref="O288">IFERROR(INDEX(Calculation!I:AN,MATCH(ListAndConversion!E288,Calculation!I:I,0),31),"-")</f>
        <v>-</v>
      </c>
      <c r="P288" s="498">
        <f>IF(COUNTIFS(Calculation!$I$10:$I$393,E288,Direct_Denaturation,"-")&lt;&gt;1,COUNTIFS(Calculation!$I$10:$I$393,E288,Direct_Denaturation,"-"),0)</f>
        <v>0</v>
      </c>
      <c r="V288" s="542" t="s">
        <v>82</v>
      </c>
      <c r="W288" s="542" t="s">
        <v>82</v>
      </c>
      <c r="X288" s="542" t="s">
        <v>82</v>
      </c>
      <c r="Y288" s="542" t="s">
        <v>82</v>
      </c>
      <c r="Z288" s="542" t="s">
        <v>82</v>
      </c>
      <c r="AA288" s="542" t="s">
        <v>82</v>
      </c>
      <c r="AB288" s="542" t="s">
        <v>82</v>
      </c>
      <c r="AC288" s="542" t="s">
        <v>82</v>
      </c>
      <c r="AD288" s="542" t="s">
        <v>82</v>
      </c>
      <c r="AE288" s="542" t="s">
        <v>82</v>
      </c>
      <c r="AF288" s="542" t="s">
        <v>82</v>
      </c>
      <c r="AG288" s="542" t="s">
        <v>82</v>
      </c>
      <c r="AH288" s="9"/>
      <c r="AI288" s="487">
        <v>285</v>
      </c>
      <c r="AJ288" s="497" t="s">
        <v>162</v>
      </c>
      <c r="AK288" s="378">
        <v>93</v>
      </c>
      <c r="AL288" s="378" t="str">
        <f t="shared" ca="1" si="140"/>
        <v>-</v>
      </c>
      <c r="AM288" s="378" t="str">
        <f t="array" aca="1" ref="AM288" ca="1">IFERROR(IF(AI288&lt;=$AB$2,"-",INDEX(Calculation_Tab,SMALL(ROW(Main_Dil)*(Main_Dil&lt;&gt;"-"),COUNTIF(Main_Dil,"-")+ROW()-3-$AB$2)-9,5)),"-")</f>
        <v>-</v>
      </c>
      <c r="AN288" s="378" t="str">
        <f t="array" aca="1" ref="AN288" ca="1">IFERROR(IF(AI288&lt;=$AB$2,"-",INDEX($A$3:$B$12,MATCH(INDEX(Calculation_Tab,SMALL(ROW(Main_Dil)*(Main_Dil&lt;&gt;"-"),COUNTIF(Main_Dil,"-")+ROW()-3-$AB$2)-9,5),$A$3:$A$12,0),2)),"-")</f>
        <v>-</v>
      </c>
      <c r="AO288" s="378" t="str">
        <f t="array" aca="1" ref="AO288" ca="1">IFERROR(IF(AI288&lt;=$AB$2,"-",INDEX(Coordinate,MATCH(INDEX(Calculation_Tab,SMALL(ROW(Main_Dil)*(Main_Dil&lt;&gt;"-"),COUNTIF(Main_Dil,"-")+ROW()-3-$AB$2)-9,6),$X$4:$X$99,0),2)),"-")</f>
        <v>-</v>
      </c>
      <c r="AP288" s="510" t="str">
        <f t="array" aca="1" ref="AP288" ca="1">IFERROR(IF(AI288&lt;=$AB$2,"-",INDEX(Calculation_Tab,SMALL(ROW(Main_Dil)*(Main_Dil&lt;&gt;"-"),COUNTIF(Main_Dil,"-")+ROW()-3-$AB$2)-9,21)),"-")</f>
        <v>-</v>
      </c>
      <c r="AQ288" s="511" t="str">
        <f t="array" aca="1" ref="AQ288" ca="1">IFERROR(IF(AI288&lt;=$AB$2,"-",INDEX(Calculation_Tab,SMALL(ROW(Main_Dil)*(Main_Dil&lt;&gt;"-"),COUNTIF(Main_Dil,"-")+ROW()-3-$AB$2)-9,22)),"-")</f>
        <v>-</v>
      </c>
      <c r="AR288" s="487" t="str">
        <f t="shared" ca="1" si="141"/>
        <v>-</v>
      </c>
      <c r="AS288" s="378">
        <v>285</v>
      </c>
      <c r="AT288" s="497" t="s">
        <v>162</v>
      </c>
      <c r="AU288" s="498">
        <v>93</v>
      </c>
      <c r="AV288" s="378" t="str">
        <f t="shared" ca="1" si="142"/>
        <v>-</v>
      </c>
      <c r="AW288" s="378" t="str">
        <f t="array" aca="1" ref="AW288" ca="1">IFERROR(IF(AS288&lt;=$AB$2+$AN$2,"-",INDEX(Calculation_Tab,SMALL(ROW(Direct_Denaturation)*(Direct_Denaturation&lt;&gt;"-"),COUNTIF(Direct_Denaturation,"-")+ROW()-3-$AB$2-$AN$2)-9,5)),"-")</f>
        <v>-</v>
      </c>
      <c r="AX288" s="378" t="str">
        <f t="array" aca="1" ref="AX288" ca="1">IFERROR(IF(AS288&lt;=$AB$2+$AN$2,"-",INDEX($A$3:$B$12,MATCH(INDEX(Calculation_Tab,SMALL(ROW(Direct_Denaturation)*(Direct_Denaturation&lt;&gt;"-"),COUNTIF(Direct_Denaturation,"-")+ROW()-3-$AB$2-$AN$2)-9,5),$A$3:$A$12,0),2)),"-")</f>
        <v>-</v>
      </c>
      <c r="AY288" s="378" t="str">
        <f t="array" aca="1" ref="AY288" ca="1">IFERROR(IF(AS288&lt;=$AB$2+$AN$2,"-",INDEX(Coordinate,MATCH(INDEX(Calculation_Tab,SMALL(ROW(Direct_Denaturation)*(Direct_Denaturation&lt;&gt;"-"),COUNTIF(Direct_Denaturation,"-")+ROW()-3-$AB$2-$AN$2)-9,6),$X$4:$X$99,0),2)),"-")</f>
        <v>-</v>
      </c>
      <c r="AZ288" s="510" t="str">
        <f t="array" aca="1" ref="AZ288" ca="1">IFERROR(IF(AS288&lt;=$AB$2+$AN$2,"-",INDEX(Calculation_Tab,SMALL(ROW(Direct_Denaturation)*(Direct_Denaturation&lt;&gt;"-"),COUNTIF(Direct_Denaturation,"-")+ROW()-3-$AB$2-$AN$2)-9,32)),"-")</f>
        <v>-</v>
      </c>
      <c r="BA288" s="510" t="str">
        <f t="array" aca="1" ref="BA288" ca="1">IFERROR(IF(AS288&lt;=$AB$2+$AN$2,"-",INDEX(Calculation_Tab,SMALL(ROW(Direct_Denaturation)*(Direct_Denaturation&lt;&gt;"-"),COUNTIF(Direct_Denaturation,"-")+ROW()-3-$AB$2-$AN$2)-9,34)),"-")</f>
        <v>-</v>
      </c>
      <c r="BB288" s="510" t="str">
        <f t="array" aca="1" ref="BB288" ca="1">IFERROR(IF(AS288&lt;=$AB$2+$AN$2,"-",INDEX(Calculation_Tab,SMALL(ROW(Direct_Denaturation)*(Direct_Denaturation&lt;&gt;"-"),COUNTIF(Direct_Denaturation,"-")+ROW()-3-$AB$2-$AN$2)-9,33)),"-")</f>
        <v>-</v>
      </c>
      <c r="BC288" s="510" t="str">
        <f t="array" aca="1" ref="BC288" ca="1">IFERROR(IF(AS288&lt;=$AB$2+$AN$2,"-",INDEX(Calculation_Tab,SMALL(ROW(Direct_Denaturation)*(Direct_Denaturation&lt;&gt;"-"),COUNTIF(Direct_Denaturation,"-")+ROW()-3-$AB$2-$AN$2)-9,35)),"-")</f>
        <v>-</v>
      </c>
      <c r="BD288" s="511" t="str">
        <f t="shared" ca="1" si="143"/>
        <v>-</v>
      </c>
      <c r="BK288" s="542" t="s">
        <v>82</v>
      </c>
      <c r="BL288" s="542" t="s">
        <v>82</v>
      </c>
      <c r="BM288" s="487" t="str">
        <f t="array" aca="1" ref="BM288" ca="1">IFERROR(INDEX(Calculation_Tab,SMALL(ROW(ToPool)*(ToPool&lt;&gt;"-"),COUNTIF(ToPool,"-")+ROW()-3)-9,3),"-")</f>
        <v>-</v>
      </c>
      <c r="BN288" s="378" t="str">
        <f t="shared" ca="1" si="144"/>
        <v>-</v>
      </c>
      <c r="BO288" s="378" t="str">
        <f t="shared" ca="1" si="145"/>
        <v>-</v>
      </c>
      <c r="BP288" s="523" t="str">
        <f t="shared" ca="1" si="146"/>
        <v>-</v>
      </c>
      <c r="BQ288" s="378" t="str">
        <f t="array" aca="1" ref="BQ288" ca="1">IFERROR(INDEX(BE:BG,MATCH(INDEX(Calculation_Tab,SMALL(ROW(ToPool)*(ToPool&lt;&gt;"-"),COUNTIF(ToPool,"-")+ROW()-3)-9,9),BG:BG,0),2),"-")</f>
        <v>-</v>
      </c>
      <c r="BR288" s="510" t="str">
        <f t="shared" ca="1" si="147"/>
        <v>-</v>
      </c>
      <c r="BS288" s="511" t="str">
        <f t="shared" ca="1" si="148"/>
        <v>-</v>
      </c>
      <c r="BT288" s="543" t="s">
        <v>82</v>
      </c>
      <c r="BU288" s="487" t="str">
        <f t="shared" ca="1" si="152"/>
        <v>-</v>
      </c>
      <c r="BV288" s="487" t="str">
        <f t="array" aca="1" ref="BV28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88" s="378" t="str">
        <f t="shared" ca="1" si="149"/>
        <v>-</v>
      </c>
      <c r="BX288" s="378" t="str">
        <f t="shared" ca="1" si="150"/>
        <v>-</v>
      </c>
      <c r="BY288" s="510" t="str">
        <f ca="1">IFERROR(ROUND(INDEX(Cluster,MATCH(IF(LEFT(BV288,4)="Pool",INDEX(Cluster,MATCH(INDEX(Calculation_Tab,MATCH(INDEX($BE$4:$BJ$99,MATCH(BV288,$BE$4:$BE$99,0),3),Flow_Cell_Lane,0),3),Cluster!$F$29:$F$412,0),6),BV288),Identifier_Cluster,0),19)*IF(LEFT(BV288,4)="pool",IF(LEN(INDEX($BE$4:$BJ$99,MATCH(BV288,$BE$4:$BE$99,0),3))=10,2,IF(LEN(INDEX($BE$4:$BJ$99,MATCH(BV288,$BE$4:$BE$99,0),3))&gt;10,LEN(INDEX($BE$4:$BJ$99,MATCH(BV288,$BE$4:$BE$99,0),3))-8,1)),1)*IF(LEFT(BV288,4)="pool",IF(INDEX($BE$4:$BJ$99,MATCH(BV288,$BE$4:$BE$99,0),6)&lt;1,1,INDEX($BE$4:$BJ$99,MATCH(BV288,$BE$4:$BE$99,0),6)),INDEX(Calculation_Tab,MATCH(BV288,Identifier,0),10)),1)*(1+Calculation!$Q$6),"-")</f>
        <v>-</v>
      </c>
      <c r="BZ288" s="378" t="str">
        <f ca="1">IFERROR((0.5/50)*CE288/Calculation!$AG$6*(IF(LEFT(BV288,4)="Pool",IF(LEN(INDEX($BE$4:$BJ$99,MATCH(BV288,$BE$4:$BE$99,0),3))=10,2,IF(LEN(INDEX($BE$4:$BJ$99,MATCH(BV288,$BE$4:$BE$99,0),3))&gt;10,LEN(INDEX($BE$4:$BJ$99,MATCH(BV288,$BE$4:$BE$99,0),3))-8,1)),IF(INDEX(Calculation_Tab,MATCH(BV288,Identifier,0),10)&gt;1,INDEX(Calculation_Tab,MATCH(BV288,Identifier,0),10),1)))*(1+Calculation!$Q$6),"-")</f>
        <v>-</v>
      </c>
      <c r="CA288" s="510" t="str">
        <f ca="1">IFERROR(IF((BZ288*Calculation!$AG$6/0.05)-SUM(BY288:BZ288,CC288)&gt;0,(BZ288*Calculation!$AG$6/0.05)-SUM(BY288:BZ288,CC288),0),"-")</f>
        <v>-</v>
      </c>
      <c r="CB288" s="510" t="str">
        <f ca="1">IFERROR(5/50*CE288*(IF(LEFT(BV288,4)="Pool",IF(LEN(INDEX($BE$4:$BJ$99,MATCH(BV288,$BE$4:$BE$99,0),3))=10,2,IF(LEN(INDEX($BE$4:$BJ$99,MATCH(BV288,$BE$4:$BE$99,0),3))&gt;10,LEN(INDEX($BE$4:$BJ$99,MATCH(BV288,$BE$4:$BE$99,0),3))-8,1)),IF(INDEX(Calculation_Tab,MATCH(BV288,Identifier,0),10)&gt;1,INDEX(Calculation_Tab,MATCH(BV288,Identifier,0),10),1)))*(1+Calculation!$Q$6),"-")</f>
        <v>-</v>
      </c>
      <c r="CC288" s="508" t="str">
        <f ca="1">IFERROR(ROUND(INDEX(Cluster,MATCH(IF(LEFT(BV288,4)="Pool",INDEX(Cluster,MATCH(INDEX(Calculation_Tab,MATCH(INDEX($BE$4:$BJ$99,MATCH(BV288,$BE$4:$BE$99,0),3),Flow_Cell_Lane,0),3),Cluster!$F$29:$F$412,0),6),BV288),Identifier_Cluster,0),20)*IF(LEFT(BV288,4)="pool",IF(LEN(INDEX($BE$4:$BJ$99,MATCH(BV288,$BE$4:$BE$99,0),3))=10,2,IF(LEN(INDEX($BE$4:$BJ$99,MATCH(BV288,$BE$4:$BE$99,0),3))&gt;10,LEN(INDEX($BE$4:$BJ$99,MATCH(BV288,$BE$4:$BE$99,0),3))-8,1)),1)*IF(LEFT(BV288,4)="pool",IF(INDEX($BE$4:$BJ$99,MATCH(BV288,$BE$4:$BE$99,0),6)&lt;1,1,INDEX($BE$4:$BJ$99,MATCH(BV288,$BE$4:$BE$99,0),6)),INDEX(Calculation_Tab,MATCH(BV288,Identifier,0),10)),1)*(1+Calculation!$Q$6),"-")</f>
        <v>-</v>
      </c>
      <c r="CD288" s="509" t="str">
        <f ca="1">IFERROR(INDEX(Cluster!AC:AD,MATCH(IF(LEFT(BV288,4)="Pool",INDEX(Cluster!$D$29:$AA$412,MATCH(INDEX(Calculation_Tab,MATCH(INDEX($BE$4:$BJ$99,MATCH(BV288,$BE$4:$BE$99,0),3),Flow_Cell_Lane,0),3),Cluster!$F$29:$F$412,0),24),INDEX(Cluster!$D$29:$AA$412,MATCH(BV288,Cluster!$F$29:$F$412,0),24)),Cluster!AC:AC,0),2),"-")</f>
        <v>-</v>
      </c>
      <c r="CE288" s="378" t="str">
        <f ca="1">IFERROR(IF(BV288&lt;&gt;"-",Calculation!$AK$6,"-"),"-")</f>
        <v>-</v>
      </c>
      <c r="CF288" s="378" t="str">
        <f ca="1">IF(OR(LEFT(ListAndConversion!BW288,3)="Dil",LEFT(ListAndConversion!BW288,3)="Poo"),ListAndConversion!$BT$4,IF(LEFT(ListAndConversion!BW288,3)="Sou",INDEX(ListAndConversion!$AT$3:$AV$387,MATCH(ListAndConversion!BV288,ListAndConversion!$AV$3:$AV$387,0),1),"-"))</f>
        <v>-</v>
      </c>
      <c r="CG288" s="498" t="str">
        <f ca="1">IF(OR(LEFT(ListAndConversion!BW288,3)="Dil",LEFT(ListAndConversion!BW288,3)="Poo"),ListAndConversion!BU288,IF(LEFT(ListAndConversion!BW288,3)="Sou",INDEX(ListAndConversion!$AT$4:$AV$387,MATCH(ListAndConversion!BV288,ListAndConversion!$AV$4:$AV$387,0),2),"-"))</f>
        <v>-</v>
      </c>
      <c r="CH288" s="378"/>
      <c r="CI288" s="487" t="str">
        <f t="shared" ca="1" si="151"/>
        <v>-</v>
      </c>
      <c r="CJ288" s="378" t="str">
        <f t="shared" ca="1" si="158"/>
        <v>-</v>
      </c>
      <c r="CK288" s="378" t="str">
        <f t="shared" ca="1" si="158"/>
        <v>-</v>
      </c>
      <c r="CL288" s="378" t="str">
        <f t="shared" ca="1" si="158"/>
        <v>-</v>
      </c>
      <c r="CM288" s="378" t="str">
        <f t="shared" ca="1" si="158"/>
        <v>-</v>
      </c>
      <c r="CN288" s="378" t="str">
        <f t="shared" ca="1" si="158"/>
        <v>-</v>
      </c>
      <c r="CO288" s="378" t="str">
        <f t="shared" ca="1" si="158"/>
        <v>-</v>
      </c>
      <c r="CP288" s="378" t="str">
        <f t="shared" ca="1" si="158"/>
        <v>-</v>
      </c>
      <c r="CQ288" s="378" t="str">
        <f t="shared" ca="1" si="158"/>
        <v>-</v>
      </c>
      <c r="CR288" s="510" t="str">
        <f ca="1">IFERROR(IF(LEFT(BW288,3)="Poo",INDEX($BE$4:$BJ$99,MATCH(CI288,$BG$4:$BG$99,0),6)*((15/50))*Calculation!$AK$6,INDEX(Calculation_Tab,MATCH(BV288,Identifier,0),10)/(IF(LEN(INDEX(Calculation_Tab,MATCH(BV288,Identifier,0),9))&gt;8,LEN(INDEX(Calculation_Tab,MATCH(BV288,Identifier,0),9))-8,1))*((15/50)*Calculation!$AK$6)),"-")</f>
        <v>-</v>
      </c>
      <c r="CS288" s="498" t="str">
        <f ca="1">IF(CI288="-","-",IF(COUNTIF($CI$3:CI288,CI288)&gt;1,0,IFERROR((35/50)*Calculation!$AK$6,"-")))</f>
        <v>-</v>
      </c>
    </row>
    <row r="289" spans="4:97" x14ac:dyDescent="0.5">
      <c r="D289" s="487" t="e">
        <f t="shared" si="137"/>
        <v>#DIV/0!</v>
      </c>
      <c r="E289" s="496" t="e">
        <f t="array" ref="E289">IF(IF((ROW(E289)-3)&lt;(ListAndConversion!$A$15),INDEX(Flow_Cell_Lane,MIN(IF(COUNTIF($E$2:E288,Flow_Cell_Lane)=0,ROW(Flow_Cell_Lane)-9))),"-")="","-",IF((ROW(E289)-3)&lt;(ListAndConversion!$A$15),INDEX(Flow_Cell_Lane,MIN(IF(COUNTIF($E$2:E288,Flow_Cell_Lane)=0,ROW(Flow_Cell_Lane)-9))),"-"))</f>
        <v>#DIV/0!</v>
      </c>
      <c r="F289" s="378" t="e">
        <f t="shared" si="138"/>
        <v>#DIV/0!</v>
      </c>
      <c r="G289" s="378" t="e">
        <f t="shared" si="157"/>
        <v>#DIV/0!</v>
      </c>
      <c r="H289" s="378" t="e">
        <f t="shared" si="157"/>
        <v>#DIV/0!</v>
      </c>
      <c r="I289" s="378" t="e">
        <f t="shared" si="157"/>
        <v>#DIV/0!</v>
      </c>
      <c r="J289" s="378" t="e">
        <f t="shared" si="157"/>
        <v>#DIV/0!</v>
      </c>
      <c r="K289" s="378" t="e">
        <f t="shared" si="157"/>
        <v>#DIV/0!</v>
      </c>
      <c r="L289" s="378" t="e">
        <f t="shared" si="157"/>
        <v>#DIV/0!</v>
      </c>
      <c r="M289" s="378" t="e">
        <f t="shared" si="157"/>
        <v>#DIV/0!</v>
      </c>
      <c r="N289" s="497" t="e">
        <f t="shared" si="139"/>
        <v>#DIV/0!</v>
      </c>
      <c r="O289" s="497" t="str">
        <f t="array" ref="O289">IFERROR(INDEX(Calculation!I:AN,MATCH(ListAndConversion!E289,Calculation!I:I,0),31),"-")</f>
        <v>-</v>
      </c>
      <c r="P289" s="498">
        <f>IF(COUNTIFS(Calculation!$I$10:$I$393,E289,Direct_Denaturation,"-")&lt;&gt;1,COUNTIFS(Calculation!$I$10:$I$393,E289,Direct_Denaturation,"-"),0)</f>
        <v>0</v>
      </c>
      <c r="V289" s="542" t="s">
        <v>82</v>
      </c>
      <c r="W289" s="542" t="s">
        <v>82</v>
      </c>
      <c r="X289" s="542" t="s">
        <v>82</v>
      </c>
      <c r="Y289" s="542" t="s">
        <v>82</v>
      </c>
      <c r="Z289" s="542" t="s">
        <v>82</v>
      </c>
      <c r="AA289" s="542" t="s">
        <v>82</v>
      </c>
      <c r="AB289" s="542" t="s">
        <v>82</v>
      </c>
      <c r="AC289" s="542" t="s">
        <v>82</v>
      </c>
      <c r="AD289" s="542" t="s">
        <v>82</v>
      </c>
      <c r="AE289" s="542" t="s">
        <v>82</v>
      </c>
      <c r="AF289" s="542" t="s">
        <v>82</v>
      </c>
      <c r="AG289" s="542" t="s">
        <v>82</v>
      </c>
      <c r="AH289" s="9"/>
      <c r="AI289" s="487">
        <v>286</v>
      </c>
      <c r="AJ289" s="497" t="s">
        <v>162</v>
      </c>
      <c r="AK289" s="378">
        <v>94</v>
      </c>
      <c r="AL289" s="378" t="str">
        <f t="shared" ca="1" si="140"/>
        <v>-</v>
      </c>
      <c r="AM289" s="378" t="str">
        <f t="array" aca="1" ref="AM289" ca="1">IFERROR(IF(AI289&lt;=$AB$2,"-",INDEX(Calculation_Tab,SMALL(ROW(Main_Dil)*(Main_Dil&lt;&gt;"-"),COUNTIF(Main_Dil,"-")+ROW()-3-$AB$2)-9,5)),"-")</f>
        <v>-</v>
      </c>
      <c r="AN289" s="378" t="str">
        <f t="array" aca="1" ref="AN289" ca="1">IFERROR(IF(AI289&lt;=$AB$2,"-",INDEX($A$3:$B$12,MATCH(INDEX(Calculation_Tab,SMALL(ROW(Main_Dil)*(Main_Dil&lt;&gt;"-"),COUNTIF(Main_Dil,"-")+ROW()-3-$AB$2)-9,5),$A$3:$A$12,0),2)),"-")</f>
        <v>-</v>
      </c>
      <c r="AO289" s="378" t="str">
        <f t="array" aca="1" ref="AO289" ca="1">IFERROR(IF(AI289&lt;=$AB$2,"-",INDEX(Coordinate,MATCH(INDEX(Calculation_Tab,SMALL(ROW(Main_Dil)*(Main_Dil&lt;&gt;"-"),COUNTIF(Main_Dil,"-")+ROW()-3-$AB$2)-9,6),$X$4:$X$99,0),2)),"-")</f>
        <v>-</v>
      </c>
      <c r="AP289" s="510" t="str">
        <f t="array" aca="1" ref="AP289" ca="1">IFERROR(IF(AI289&lt;=$AB$2,"-",INDEX(Calculation_Tab,SMALL(ROW(Main_Dil)*(Main_Dil&lt;&gt;"-"),COUNTIF(Main_Dil,"-")+ROW()-3-$AB$2)-9,21)),"-")</f>
        <v>-</v>
      </c>
      <c r="AQ289" s="511" t="str">
        <f t="array" aca="1" ref="AQ289" ca="1">IFERROR(IF(AI289&lt;=$AB$2,"-",INDEX(Calculation_Tab,SMALL(ROW(Main_Dil)*(Main_Dil&lt;&gt;"-"),COUNTIF(Main_Dil,"-")+ROW()-3-$AB$2)-9,22)),"-")</f>
        <v>-</v>
      </c>
      <c r="AR289" s="487" t="str">
        <f t="shared" ca="1" si="141"/>
        <v>-</v>
      </c>
      <c r="AS289" s="378">
        <v>286</v>
      </c>
      <c r="AT289" s="497" t="s">
        <v>162</v>
      </c>
      <c r="AU289" s="498">
        <v>94</v>
      </c>
      <c r="AV289" s="378" t="str">
        <f t="shared" ca="1" si="142"/>
        <v>-</v>
      </c>
      <c r="AW289" s="378" t="str">
        <f t="array" aca="1" ref="AW289" ca="1">IFERROR(IF(AS289&lt;=$AB$2+$AN$2,"-",INDEX(Calculation_Tab,SMALL(ROW(Direct_Denaturation)*(Direct_Denaturation&lt;&gt;"-"),COUNTIF(Direct_Denaturation,"-")+ROW()-3-$AB$2-$AN$2)-9,5)),"-")</f>
        <v>-</v>
      </c>
      <c r="AX289" s="378" t="str">
        <f t="array" aca="1" ref="AX289" ca="1">IFERROR(IF(AS289&lt;=$AB$2+$AN$2,"-",INDEX($A$3:$B$12,MATCH(INDEX(Calculation_Tab,SMALL(ROW(Direct_Denaturation)*(Direct_Denaturation&lt;&gt;"-"),COUNTIF(Direct_Denaturation,"-")+ROW()-3-$AB$2-$AN$2)-9,5),$A$3:$A$12,0),2)),"-")</f>
        <v>-</v>
      </c>
      <c r="AY289" s="378" t="str">
        <f t="array" aca="1" ref="AY289" ca="1">IFERROR(IF(AS289&lt;=$AB$2+$AN$2,"-",INDEX(Coordinate,MATCH(INDEX(Calculation_Tab,SMALL(ROW(Direct_Denaturation)*(Direct_Denaturation&lt;&gt;"-"),COUNTIF(Direct_Denaturation,"-")+ROW()-3-$AB$2-$AN$2)-9,6),$X$4:$X$99,0),2)),"-")</f>
        <v>-</v>
      </c>
      <c r="AZ289" s="510" t="str">
        <f t="array" aca="1" ref="AZ289" ca="1">IFERROR(IF(AS289&lt;=$AB$2+$AN$2,"-",INDEX(Calculation_Tab,SMALL(ROW(Direct_Denaturation)*(Direct_Denaturation&lt;&gt;"-"),COUNTIF(Direct_Denaturation,"-")+ROW()-3-$AB$2-$AN$2)-9,32)),"-")</f>
        <v>-</v>
      </c>
      <c r="BA289" s="510" t="str">
        <f t="array" aca="1" ref="BA289" ca="1">IFERROR(IF(AS289&lt;=$AB$2+$AN$2,"-",INDEX(Calculation_Tab,SMALL(ROW(Direct_Denaturation)*(Direct_Denaturation&lt;&gt;"-"),COUNTIF(Direct_Denaturation,"-")+ROW()-3-$AB$2-$AN$2)-9,34)),"-")</f>
        <v>-</v>
      </c>
      <c r="BB289" s="510" t="str">
        <f t="array" aca="1" ref="BB289" ca="1">IFERROR(IF(AS289&lt;=$AB$2+$AN$2,"-",INDEX(Calculation_Tab,SMALL(ROW(Direct_Denaturation)*(Direct_Denaturation&lt;&gt;"-"),COUNTIF(Direct_Denaturation,"-")+ROW()-3-$AB$2-$AN$2)-9,33)),"-")</f>
        <v>-</v>
      </c>
      <c r="BC289" s="510" t="str">
        <f t="array" aca="1" ref="BC289" ca="1">IFERROR(IF(AS289&lt;=$AB$2+$AN$2,"-",INDEX(Calculation_Tab,SMALL(ROW(Direct_Denaturation)*(Direct_Denaturation&lt;&gt;"-"),COUNTIF(Direct_Denaturation,"-")+ROW()-3-$AB$2-$AN$2)-9,35)),"-")</f>
        <v>-</v>
      </c>
      <c r="BD289" s="511" t="str">
        <f t="shared" ca="1" si="143"/>
        <v>-</v>
      </c>
      <c r="BK289" s="542" t="s">
        <v>82</v>
      </c>
      <c r="BL289" s="542" t="s">
        <v>82</v>
      </c>
      <c r="BM289" s="487" t="str">
        <f t="array" aca="1" ref="BM289" ca="1">IFERROR(INDEX(Calculation_Tab,SMALL(ROW(ToPool)*(ToPool&lt;&gt;"-"),COUNTIF(ToPool,"-")+ROW()-3)-9,3),"-")</f>
        <v>-</v>
      </c>
      <c r="BN289" s="378" t="str">
        <f t="shared" ca="1" si="144"/>
        <v>-</v>
      </c>
      <c r="BO289" s="378" t="str">
        <f t="shared" ca="1" si="145"/>
        <v>-</v>
      </c>
      <c r="BP289" s="523" t="str">
        <f t="shared" ca="1" si="146"/>
        <v>-</v>
      </c>
      <c r="BQ289" s="378" t="str">
        <f t="array" aca="1" ref="BQ289" ca="1">IFERROR(INDEX(BE:BG,MATCH(INDEX(Calculation_Tab,SMALL(ROW(ToPool)*(ToPool&lt;&gt;"-"),COUNTIF(ToPool,"-")+ROW()-3)-9,9),BG:BG,0),2),"-")</f>
        <v>-</v>
      </c>
      <c r="BR289" s="510" t="str">
        <f t="shared" ca="1" si="147"/>
        <v>-</v>
      </c>
      <c r="BS289" s="511" t="str">
        <f t="shared" ca="1" si="148"/>
        <v>-</v>
      </c>
      <c r="BT289" s="543" t="s">
        <v>82</v>
      </c>
      <c r="BU289" s="487" t="str">
        <f t="shared" ca="1" si="152"/>
        <v>-</v>
      </c>
      <c r="BV289" s="487" t="str">
        <f t="array" aca="1" ref="BV28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89" s="378" t="str">
        <f t="shared" ca="1" si="149"/>
        <v>-</v>
      </c>
      <c r="BX289" s="378" t="str">
        <f t="shared" ca="1" si="150"/>
        <v>-</v>
      </c>
      <c r="BY289" s="510" t="str">
        <f ca="1">IFERROR(ROUND(INDEX(Cluster,MATCH(IF(LEFT(BV289,4)="Pool",INDEX(Cluster,MATCH(INDEX(Calculation_Tab,MATCH(INDEX($BE$4:$BJ$99,MATCH(BV289,$BE$4:$BE$99,0),3),Flow_Cell_Lane,0),3),Cluster!$F$29:$F$412,0),6),BV289),Identifier_Cluster,0),19)*IF(LEFT(BV289,4)="pool",IF(LEN(INDEX($BE$4:$BJ$99,MATCH(BV289,$BE$4:$BE$99,0),3))=10,2,IF(LEN(INDEX($BE$4:$BJ$99,MATCH(BV289,$BE$4:$BE$99,0),3))&gt;10,LEN(INDEX($BE$4:$BJ$99,MATCH(BV289,$BE$4:$BE$99,0),3))-8,1)),1)*IF(LEFT(BV289,4)="pool",IF(INDEX($BE$4:$BJ$99,MATCH(BV289,$BE$4:$BE$99,0),6)&lt;1,1,INDEX($BE$4:$BJ$99,MATCH(BV289,$BE$4:$BE$99,0),6)),INDEX(Calculation_Tab,MATCH(BV289,Identifier,0),10)),1)*(1+Calculation!$Q$6),"-")</f>
        <v>-</v>
      </c>
      <c r="BZ289" s="378" t="str">
        <f ca="1">IFERROR((0.5/50)*CE289/Calculation!$AG$6*(IF(LEFT(BV289,4)="Pool",IF(LEN(INDEX($BE$4:$BJ$99,MATCH(BV289,$BE$4:$BE$99,0),3))=10,2,IF(LEN(INDEX($BE$4:$BJ$99,MATCH(BV289,$BE$4:$BE$99,0),3))&gt;10,LEN(INDEX($BE$4:$BJ$99,MATCH(BV289,$BE$4:$BE$99,0),3))-8,1)),IF(INDEX(Calculation_Tab,MATCH(BV289,Identifier,0),10)&gt;1,INDEX(Calculation_Tab,MATCH(BV289,Identifier,0),10),1)))*(1+Calculation!$Q$6),"-")</f>
        <v>-</v>
      </c>
      <c r="CA289" s="510" t="str">
        <f ca="1">IFERROR(IF((BZ289*Calculation!$AG$6/0.05)-SUM(BY289:BZ289,CC289)&gt;0,(BZ289*Calculation!$AG$6/0.05)-SUM(BY289:BZ289,CC289),0),"-")</f>
        <v>-</v>
      </c>
      <c r="CB289" s="510" t="str">
        <f ca="1">IFERROR(5/50*CE289*(IF(LEFT(BV289,4)="Pool",IF(LEN(INDEX($BE$4:$BJ$99,MATCH(BV289,$BE$4:$BE$99,0),3))=10,2,IF(LEN(INDEX($BE$4:$BJ$99,MATCH(BV289,$BE$4:$BE$99,0),3))&gt;10,LEN(INDEX($BE$4:$BJ$99,MATCH(BV289,$BE$4:$BE$99,0),3))-8,1)),IF(INDEX(Calculation_Tab,MATCH(BV289,Identifier,0),10)&gt;1,INDEX(Calculation_Tab,MATCH(BV289,Identifier,0),10),1)))*(1+Calculation!$Q$6),"-")</f>
        <v>-</v>
      </c>
      <c r="CC289" s="508" t="str">
        <f ca="1">IFERROR(ROUND(INDEX(Cluster,MATCH(IF(LEFT(BV289,4)="Pool",INDEX(Cluster,MATCH(INDEX(Calculation_Tab,MATCH(INDEX($BE$4:$BJ$99,MATCH(BV289,$BE$4:$BE$99,0),3),Flow_Cell_Lane,0),3),Cluster!$F$29:$F$412,0),6),BV289),Identifier_Cluster,0),20)*IF(LEFT(BV289,4)="pool",IF(LEN(INDEX($BE$4:$BJ$99,MATCH(BV289,$BE$4:$BE$99,0),3))=10,2,IF(LEN(INDEX($BE$4:$BJ$99,MATCH(BV289,$BE$4:$BE$99,0),3))&gt;10,LEN(INDEX($BE$4:$BJ$99,MATCH(BV289,$BE$4:$BE$99,0),3))-8,1)),1)*IF(LEFT(BV289,4)="pool",IF(INDEX($BE$4:$BJ$99,MATCH(BV289,$BE$4:$BE$99,0),6)&lt;1,1,INDEX($BE$4:$BJ$99,MATCH(BV289,$BE$4:$BE$99,0),6)),INDEX(Calculation_Tab,MATCH(BV289,Identifier,0),10)),1)*(1+Calculation!$Q$6),"-")</f>
        <v>-</v>
      </c>
      <c r="CD289" s="509" t="str">
        <f ca="1">IFERROR(INDEX(Cluster!AC:AD,MATCH(IF(LEFT(BV289,4)="Pool",INDEX(Cluster!$D$29:$AA$412,MATCH(INDEX(Calculation_Tab,MATCH(INDEX($BE$4:$BJ$99,MATCH(BV289,$BE$4:$BE$99,0),3),Flow_Cell_Lane,0),3),Cluster!$F$29:$F$412,0),24),INDEX(Cluster!$D$29:$AA$412,MATCH(BV289,Cluster!$F$29:$F$412,0),24)),Cluster!AC:AC,0),2),"-")</f>
        <v>-</v>
      </c>
      <c r="CE289" s="378" t="str">
        <f ca="1">IFERROR(IF(BV289&lt;&gt;"-",Calculation!$AK$6,"-"),"-")</f>
        <v>-</v>
      </c>
      <c r="CF289" s="378" t="str">
        <f ca="1">IF(OR(LEFT(ListAndConversion!BW289,3)="Dil",LEFT(ListAndConversion!BW289,3)="Poo"),ListAndConversion!$BT$4,IF(LEFT(ListAndConversion!BW289,3)="Sou",INDEX(ListAndConversion!$AT$3:$AV$387,MATCH(ListAndConversion!BV289,ListAndConversion!$AV$3:$AV$387,0),1),"-"))</f>
        <v>-</v>
      </c>
      <c r="CG289" s="498" t="str">
        <f ca="1">IF(OR(LEFT(ListAndConversion!BW289,3)="Dil",LEFT(ListAndConversion!BW289,3)="Poo"),ListAndConversion!BU289,IF(LEFT(ListAndConversion!BW289,3)="Sou",INDEX(ListAndConversion!$AT$4:$AV$387,MATCH(ListAndConversion!BV289,ListAndConversion!$AV$4:$AV$387,0),2),"-"))</f>
        <v>-</v>
      </c>
      <c r="CH289" s="378"/>
      <c r="CI289" s="487" t="str">
        <f t="shared" ca="1" si="151"/>
        <v>-</v>
      </c>
      <c r="CJ289" s="378" t="str">
        <f t="shared" ca="1" si="158"/>
        <v>-</v>
      </c>
      <c r="CK289" s="378" t="str">
        <f t="shared" ca="1" si="158"/>
        <v>-</v>
      </c>
      <c r="CL289" s="378" t="str">
        <f t="shared" ca="1" si="158"/>
        <v>-</v>
      </c>
      <c r="CM289" s="378" t="str">
        <f t="shared" ca="1" si="158"/>
        <v>-</v>
      </c>
      <c r="CN289" s="378" t="str">
        <f t="shared" ca="1" si="158"/>
        <v>-</v>
      </c>
      <c r="CO289" s="378" t="str">
        <f t="shared" ca="1" si="158"/>
        <v>-</v>
      </c>
      <c r="CP289" s="378" t="str">
        <f t="shared" ca="1" si="158"/>
        <v>-</v>
      </c>
      <c r="CQ289" s="378" t="str">
        <f t="shared" ca="1" si="158"/>
        <v>-</v>
      </c>
      <c r="CR289" s="510" t="str">
        <f ca="1">IFERROR(IF(LEFT(BW289,3)="Poo",INDEX($BE$4:$BJ$99,MATCH(CI289,$BG$4:$BG$99,0),6)*((15/50))*Calculation!$AK$6,INDEX(Calculation_Tab,MATCH(BV289,Identifier,0),10)/(IF(LEN(INDEX(Calculation_Tab,MATCH(BV289,Identifier,0),9))&gt;8,LEN(INDEX(Calculation_Tab,MATCH(BV289,Identifier,0),9))-8,1))*((15/50)*Calculation!$AK$6)),"-")</f>
        <v>-</v>
      </c>
      <c r="CS289" s="498" t="str">
        <f ca="1">IF(CI289="-","-",IF(COUNTIF($CI$3:CI289,CI289)&gt;1,0,IFERROR((35/50)*Calculation!$AK$6,"-")))</f>
        <v>-</v>
      </c>
    </row>
    <row r="290" spans="4:97" x14ac:dyDescent="0.5">
      <c r="D290" s="487" t="e">
        <f t="shared" si="137"/>
        <v>#DIV/0!</v>
      </c>
      <c r="E290" s="496" t="e">
        <f t="array" ref="E290">IF(IF((ROW(E290)-3)&lt;(ListAndConversion!$A$15),INDEX(Flow_Cell_Lane,MIN(IF(COUNTIF($E$2:E289,Flow_Cell_Lane)=0,ROW(Flow_Cell_Lane)-9))),"-")="","-",IF((ROW(E290)-3)&lt;(ListAndConversion!$A$15),INDEX(Flow_Cell_Lane,MIN(IF(COUNTIF($E$2:E289,Flow_Cell_Lane)=0,ROW(Flow_Cell_Lane)-9))),"-"))</f>
        <v>#DIV/0!</v>
      </c>
      <c r="F290" s="378" t="e">
        <f t="shared" si="138"/>
        <v>#DIV/0!</v>
      </c>
      <c r="G290" s="378" t="e">
        <f t="shared" si="157"/>
        <v>#DIV/0!</v>
      </c>
      <c r="H290" s="378" t="e">
        <f t="shared" si="157"/>
        <v>#DIV/0!</v>
      </c>
      <c r="I290" s="378" t="e">
        <f t="shared" si="157"/>
        <v>#DIV/0!</v>
      </c>
      <c r="J290" s="378" t="e">
        <f t="shared" si="157"/>
        <v>#DIV/0!</v>
      </c>
      <c r="K290" s="378" t="e">
        <f t="shared" si="157"/>
        <v>#DIV/0!</v>
      </c>
      <c r="L290" s="378" t="e">
        <f t="shared" si="157"/>
        <v>#DIV/0!</v>
      </c>
      <c r="M290" s="378" t="e">
        <f t="shared" si="157"/>
        <v>#DIV/0!</v>
      </c>
      <c r="N290" s="497" t="e">
        <f t="shared" si="139"/>
        <v>#DIV/0!</v>
      </c>
      <c r="O290" s="497" t="str">
        <f t="array" ref="O290">IFERROR(INDEX(Calculation!I:AN,MATCH(ListAndConversion!E290,Calculation!I:I,0),31),"-")</f>
        <v>-</v>
      </c>
      <c r="P290" s="498">
        <f>IF(COUNTIFS(Calculation!$I$10:$I$393,E290,Direct_Denaturation,"-")&lt;&gt;1,COUNTIFS(Calculation!$I$10:$I$393,E290,Direct_Denaturation,"-"),0)</f>
        <v>0</v>
      </c>
      <c r="V290" s="542" t="s">
        <v>82</v>
      </c>
      <c r="W290" s="542" t="s">
        <v>82</v>
      </c>
      <c r="X290" s="542" t="s">
        <v>82</v>
      </c>
      <c r="Y290" s="542" t="s">
        <v>82</v>
      </c>
      <c r="Z290" s="542" t="s">
        <v>82</v>
      </c>
      <c r="AA290" s="542" t="s">
        <v>82</v>
      </c>
      <c r="AB290" s="542" t="s">
        <v>82</v>
      </c>
      <c r="AC290" s="542" t="s">
        <v>82</v>
      </c>
      <c r="AD290" s="542" t="s">
        <v>82</v>
      </c>
      <c r="AE290" s="542" t="s">
        <v>82</v>
      </c>
      <c r="AF290" s="542" t="s">
        <v>82</v>
      </c>
      <c r="AG290" s="542" t="s">
        <v>82</v>
      </c>
      <c r="AH290" s="9"/>
      <c r="AI290" s="487">
        <v>287</v>
      </c>
      <c r="AJ290" s="497" t="s">
        <v>162</v>
      </c>
      <c r="AK290" s="378">
        <v>95</v>
      </c>
      <c r="AL290" s="378" t="str">
        <f t="shared" ca="1" si="140"/>
        <v>-</v>
      </c>
      <c r="AM290" s="378" t="str">
        <f t="array" aca="1" ref="AM290" ca="1">IFERROR(IF(AI290&lt;=$AB$2,"-",INDEX(Calculation_Tab,SMALL(ROW(Main_Dil)*(Main_Dil&lt;&gt;"-"),COUNTIF(Main_Dil,"-")+ROW()-3-$AB$2)-9,5)),"-")</f>
        <v>-</v>
      </c>
      <c r="AN290" s="378" t="str">
        <f t="array" aca="1" ref="AN290" ca="1">IFERROR(IF(AI290&lt;=$AB$2,"-",INDEX($A$3:$B$12,MATCH(INDEX(Calculation_Tab,SMALL(ROW(Main_Dil)*(Main_Dil&lt;&gt;"-"),COUNTIF(Main_Dil,"-")+ROW()-3-$AB$2)-9,5),$A$3:$A$12,0),2)),"-")</f>
        <v>-</v>
      </c>
      <c r="AO290" s="378" t="str">
        <f t="array" aca="1" ref="AO290" ca="1">IFERROR(IF(AI290&lt;=$AB$2,"-",INDEX(Coordinate,MATCH(INDEX(Calculation_Tab,SMALL(ROW(Main_Dil)*(Main_Dil&lt;&gt;"-"),COUNTIF(Main_Dil,"-")+ROW()-3-$AB$2)-9,6),$X$4:$X$99,0),2)),"-")</f>
        <v>-</v>
      </c>
      <c r="AP290" s="510" t="str">
        <f t="array" aca="1" ref="AP290" ca="1">IFERROR(IF(AI290&lt;=$AB$2,"-",INDEX(Calculation_Tab,SMALL(ROW(Main_Dil)*(Main_Dil&lt;&gt;"-"),COUNTIF(Main_Dil,"-")+ROW()-3-$AB$2)-9,21)),"-")</f>
        <v>-</v>
      </c>
      <c r="AQ290" s="511" t="str">
        <f t="array" aca="1" ref="AQ290" ca="1">IFERROR(IF(AI290&lt;=$AB$2,"-",INDEX(Calculation_Tab,SMALL(ROW(Main_Dil)*(Main_Dil&lt;&gt;"-"),COUNTIF(Main_Dil,"-")+ROW()-3-$AB$2)-9,22)),"-")</f>
        <v>-</v>
      </c>
      <c r="AR290" s="487" t="str">
        <f t="shared" ca="1" si="141"/>
        <v>-</v>
      </c>
      <c r="AS290" s="378">
        <v>287</v>
      </c>
      <c r="AT290" s="497" t="s">
        <v>162</v>
      </c>
      <c r="AU290" s="498">
        <v>95</v>
      </c>
      <c r="AV290" s="378" t="str">
        <f t="shared" ca="1" si="142"/>
        <v>-</v>
      </c>
      <c r="AW290" s="378" t="str">
        <f t="array" aca="1" ref="AW290" ca="1">IFERROR(IF(AS290&lt;=$AB$2+$AN$2,"-",INDEX(Calculation_Tab,SMALL(ROW(Direct_Denaturation)*(Direct_Denaturation&lt;&gt;"-"),COUNTIF(Direct_Denaturation,"-")+ROW()-3-$AB$2-$AN$2)-9,5)),"-")</f>
        <v>-</v>
      </c>
      <c r="AX290" s="378" t="str">
        <f t="array" aca="1" ref="AX290" ca="1">IFERROR(IF(AS290&lt;=$AB$2+$AN$2,"-",INDEX($A$3:$B$12,MATCH(INDEX(Calculation_Tab,SMALL(ROW(Direct_Denaturation)*(Direct_Denaturation&lt;&gt;"-"),COUNTIF(Direct_Denaturation,"-")+ROW()-3-$AB$2-$AN$2)-9,5),$A$3:$A$12,0),2)),"-")</f>
        <v>-</v>
      </c>
      <c r="AY290" s="378" t="str">
        <f t="array" aca="1" ref="AY290" ca="1">IFERROR(IF(AS290&lt;=$AB$2+$AN$2,"-",INDEX(Coordinate,MATCH(INDEX(Calculation_Tab,SMALL(ROW(Direct_Denaturation)*(Direct_Denaturation&lt;&gt;"-"),COUNTIF(Direct_Denaturation,"-")+ROW()-3-$AB$2-$AN$2)-9,6),$X$4:$X$99,0),2)),"-")</f>
        <v>-</v>
      </c>
      <c r="AZ290" s="510" t="str">
        <f t="array" aca="1" ref="AZ290" ca="1">IFERROR(IF(AS290&lt;=$AB$2+$AN$2,"-",INDEX(Calculation_Tab,SMALL(ROW(Direct_Denaturation)*(Direct_Denaturation&lt;&gt;"-"),COUNTIF(Direct_Denaturation,"-")+ROW()-3-$AB$2-$AN$2)-9,32)),"-")</f>
        <v>-</v>
      </c>
      <c r="BA290" s="510" t="str">
        <f t="array" aca="1" ref="BA290" ca="1">IFERROR(IF(AS290&lt;=$AB$2+$AN$2,"-",INDEX(Calculation_Tab,SMALL(ROW(Direct_Denaturation)*(Direct_Denaturation&lt;&gt;"-"),COUNTIF(Direct_Denaturation,"-")+ROW()-3-$AB$2-$AN$2)-9,34)),"-")</f>
        <v>-</v>
      </c>
      <c r="BB290" s="510" t="str">
        <f t="array" aca="1" ref="BB290" ca="1">IFERROR(IF(AS290&lt;=$AB$2+$AN$2,"-",INDEX(Calculation_Tab,SMALL(ROW(Direct_Denaturation)*(Direct_Denaturation&lt;&gt;"-"),COUNTIF(Direct_Denaturation,"-")+ROW()-3-$AB$2-$AN$2)-9,33)),"-")</f>
        <v>-</v>
      </c>
      <c r="BC290" s="510" t="str">
        <f t="array" aca="1" ref="BC290" ca="1">IFERROR(IF(AS290&lt;=$AB$2+$AN$2,"-",INDEX(Calculation_Tab,SMALL(ROW(Direct_Denaturation)*(Direct_Denaturation&lt;&gt;"-"),COUNTIF(Direct_Denaturation,"-")+ROW()-3-$AB$2-$AN$2)-9,35)),"-")</f>
        <v>-</v>
      </c>
      <c r="BD290" s="511" t="str">
        <f t="shared" ca="1" si="143"/>
        <v>-</v>
      </c>
      <c r="BK290" s="542" t="s">
        <v>82</v>
      </c>
      <c r="BL290" s="542" t="s">
        <v>82</v>
      </c>
      <c r="BM290" s="487" t="str">
        <f t="array" aca="1" ref="BM290" ca="1">IFERROR(INDEX(Calculation_Tab,SMALL(ROW(ToPool)*(ToPool&lt;&gt;"-"),COUNTIF(ToPool,"-")+ROW()-3)-9,3),"-")</f>
        <v>-</v>
      </c>
      <c r="BN290" s="378" t="str">
        <f t="shared" ca="1" si="144"/>
        <v>-</v>
      </c>
      <c r="BO290" s="378" t="str">
        <f t="shared" ca="1" si="145"/>
        <v>-</v>
      </c>
      <c r="BP290" s="523" t="str">
        <f t="shared" ca="1" si="146"/>
        <v>-</v>
      </c>
      <c r="BQ290" s="378" t="str">
        <f t="array" aca="1" ref="BQ290" ca="1">IFERROR(INDEX(BE:BG,MATCH(INDEX(Calculation_Tab,SMALL(ROW(ToPool)*(ToPool&lt;&gt;"-"),COUNTIF(ToPool,"-")+ROW()-3)-9,9),BG:BG,0),2),"-")</f>
        <v>-</v>
      </c>
      <c r="BR290" s="510" t="str">
        <f t="shared" ca="1" si="147"/>
        <v>-</v>
      </c>
      <c r="BS290" s="511" t="str">
        <f t="shared" ca="1" si="148"/>
        <v>-</v>
      </c>
      <c r="BT290" s="543" t="s">
        <v>82</v>
      </c>
      <c r="BU290" s="487" t="str">
        <f t="shared" ca="1" si="152"/>
        <v>-</v>
      </c>
      <c r="BV290" s="487" t="str">
        <f t="array" aca="1" ref="BV29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90" s="378" t="str">
        <f t="shared" ca="1" si="149"/>
        <v>-</v>
      </c>
      <c r="BX290" s="378" t="str">
        <f t="shared" ca="1" si="150"/>
        <v>-</v>
      </c>
      <c r="BY290" s="510" t="str">
        <f ca="1">IFERROR(ROUND(INDEX(Cluster,MATCH(IF(LEFT(BV290,4)="Pool",INDEX(Cluster,MATCH(INDEX(Calculation_Tab,MATCH(INDEX($BE$4:$BJ$99,MATCH(BV290,$BE$4:$BE$99,0),3),Flow_Cell_Lane,0),3),Cluster!$F$29:$F$412,0),6),BV290),Identifier_Cluster,0),19)*IF(LEFT(BV290,4)="pool",IF(LEN(INDEX($BE$4:$BJ$99,MATCH(BV290,$BE$4:$BE$99,0),3))=10,2,IF(LEN(INDEX($BE$4:$BJ$99,MATCH(BV290,$BE$4:$BE$99,0),3))&gt;10,LEN(INDEX($BE$4:$BJ$99,MATCH(BV290,$BE$4:$BE$99,0),3))-8,1)),1)*IF(LEFT(BV290,4)="pool",IF(INDEX($BE$4:$BJ$99,MATCH(BV290,$BE$4:$BE$99,0),6)&lt;1,1,INDEX($BE$4:$BJ$99,MATCH(BV290,$BE$4:$BE$99,0),6)),INDEX(Calculation_Tab,MATCH(BV290,Identifier,0),10)),1)*(1+Calculation!$Q$6),"-")</f>
        <v>-</v>
      </c>
      <c r="BZ290" s="378" t="str">
        <f ca="1">IFERROR((0.5/50)*CE290/Calculation!$AG$6*(IF(LEFT(BV290,4)="Pool",IF(LEN(INDEX($BE$4:$BJ$99,MATCH(BV290,$BE$4:$BE$99,0),3))=10,2,IF(LEN(INDEX($BE$4:$BJ$99,MATCH(BV290,$BE$4:$BE$99,0),3))&gt;10,LEN(INDEX($BE$4:$BJ$99,MATCH(BV290,$BE$4:$BE$99,0),3))-8,1)),IF(INDEX(Calculation_Tab,MATCH(BV290,Identifier,0),10)&gt;1,INDEX(Calculation_Tab,MATCH(BV290,Identifier,0),10),1)))*(1+Calculation!$Q$6),"-")</f>
        <v>-</v>
      </c>
      <c r="CA290" s="510" t="str">
        <f ca="1">IFERROR(IF((BZ290*Calculation!$AG$6/0.05)-SUM(BY290:BZ290,CC290)&gt;0,(BZ290*Calculation!$AG$6/0.05)-SUM(BY290:BZ290,CC290),0),"-")</f>
        <v>-</v>
      </c>
      <c r="CB290" s="510" t="str">
        <f ca="1">IFERROR(5/50*CE290*(IF(LEFT(BV290,4)="Pool",IF(LEN(INDEX($BE$4:$BJ$99,MATCH(BV290,$BE$4:$BE$99,0),3))=10,2,IF(LEN(INDEX($BE$4:$BJ$99,MATCH(BV290,$BE$4:$BE$99,0),3))&gt;10,LEN(INDEX($BE$4:$BJ$99,MATCH(BV290,$BE$4:$BE$99,0),3))-8,1)),IF(INDEX(Calculation_Tab,MATCH(BV290,Identifier,0),10)&gt;1,INDEX(Calculation_Tab,MATCH(BV290,Identifier,0),10),1)))*(1+Calculation!$Q$6),"-")</f>
        <v>-</v>
      </c>
      <c r="CC290" s="508" t="str">
        <f ca="1">IFERROR(ROUND(INDEX(Cluster,MATCH(IF(LEFT(BV290,4)="Pool",INDEX(Cluster,MATCH(INDEX(Calculation_Tab,MATCH(INDEX($BE$4:$BJ$99,MATCH(BV290,$BE$4:$BE$99,0),3),Flow_Cell_Lane,0),3),Cluster!$F$29:$F$412,0),6),BV290),Identifier_Cluster,0),20)*IF(LEFT(BV290,4)="pool",IF(LEN(INDEX($BE$4:$BJ$99,MATCH(BV290,$BE$4:$BE$99,0),3))=10,2,IF(LEN(INDEX($BE$4:$BJ$99,MATCH(BV290,$BE$4:$BE$99,0),3))&gt;10,LEN(INDEX($BE$4:$BJ$99,MATCH(BV290,$BE$4:$BE$99,0),3))-8,1)),1)*IF(LEFT(BV290,4)="pool",IF(INDEX($BE$4:$BJ$99,MATCH(BV290,$BE$4:$BE$99,0),6)&lt;1,1,INDEX($BE$4:$BJ$99,MATCH(BV290,$BE$4:$BE$99,0),6)),INDEX(Calculation_Tab,MATCH(BV290,Identifier,0),10)),1)*(1+Calculation!$Q$6),"-")</f>
        <v>-</v>
      </c>
      <c r="CD290" s="509" t="str">
        <f ca="1">IFERROR(INDEX(Cluster!AC:AD,MATCH(IF(LEFT(BV290,4)="Pool",INDEX(Cluster!$D$29:$AA$412,MATCH(INDEX(Calculation_Tab,MATCH(INDEX($BE$4:$BJ$99,MATCH(BV290,$BE$4:$BE$99,0),3),Flow_Cell_Lane,0),3),Cluster!$F$29:$F$412,0),24),INDEX(Cluster!$D$29:$AA$412,MATCH(BV290,Cluster!$F$29:$F$412,0),24)),Cluster!AC:AC,0),2),"-")</f>
        <v>-</v>
      </c>
      <c r="CE290" s="378" t="str">
        <f ca="1">IFERROR(IF(BV290&lt;&gt;"-",Calculation!$AK$6,"-"),"-")</f>
        <v>-</v>
      </c>
      <c r="CF290" s="378" t="str">
        <f ca="1">IF(OR(LEFT(ListAndConversion!BW290,3)="Dil",LEFT(ListAndConversion!BW290,3)="Poo"),ListAndConversion!$BT$4,IF(LEFT(ListAndConversion!BW290,3)="Sou",INDEX(ListAndConversion!$AT$3:$AV$387,MATCH(ListAndConversion!BV290,ListAndConversion!$AV$3:$AV$387,0),1),"-"))</f>
        <v>-</v>
      </c>
      <c r="CG290" s="498" t="str">
        <f ca="1">IF(OR(LEFT(ListAndConversion!BW290,3)="Dil",LEFT(ListAndConversion!BW290,3)="Poo"),ListAndConversion!BU290,IF(LEFT(ListAndConversion!BW290,3)="Sou",INDEX(ListAndConversion!$AT$4:$AV$387,MATCH(ListAndConversion!BV290,ListAndConversion!$AV$4:$AV$387,0),2),"-"))</f>
        <v>-</v>
      </c>
      <c r="CH290" s="378"/>
      <c r="CI290" s="487" t="str">
        <f t="shared" ca="1" si="151"/>
        <v>-</v>
      </c>
      <c r="CJ290" s="378" t="str">
        <f t="shared" ca="1" si="158"/>
        <v>-</v>
      </c>
      <c r="CK290" s="378" t="str">
        <f t="shared" ca="1" si="158"/>
        <v>-</v>
      </c>
      <c r="CL290" s="378" t="str">
        <f t="shared" ca="1" si="158"/>
        <v>-</v>
      </c>
      <c r="CM290" s="378" t="str">
        <f t="shared" ca="1" si="158"/>
        <v>-</v>
      </c>
      <c r="CN290" s="378" t="str">
        <f t="shared" ca="1" si="158"/>
        <v>-</v>
      </c>
      <c r="CO290" s="378" t="str">
        <f t="shared" ca="1" si="158"/>
        <v>-</v>
      </c>
      <c r="CP290" s="378" t="str">
        <f t="shared" ca="1" si="158"/>
        <v>-</v>
      </c>
      <c r="CQ290" s="378" t="str">
        <f t="shared" ca="1" si="158"/>
        <v>-</v>
      </c>
      <c r="CR290" s="510" t="str">
        <f ca="1">IFERROR(IF(LEFT(BW290,3)="Poo",INDEX($BE$4:$BJ$99,MATCH(CI290,$BG$4:$BG$99,0),6)*((15/50))*Calculation!$AK$6,INDEX(Calculation_Tab,MATCH(BV290,Identifier,0),10)/(IF(LEN(INDEX(Calculation_Tab,MATCH(BV290,Identifier,0),9))&gt;8,LEN(INDEX(Calculation_Tab,MATCH(BV290,Identifier,0),9))-8,1))*((15/50)*Calculation!$AK$6)),"-")</f>
        <v>-</v>
      </c>
      <c r="CS290" s="498" t="str">
        <f ca="1">IF(CI290="-","-",IF(COUNTIF($CI$3:CI290,CI290)&gt;1,0,IFERROR((35/50)*Calculation!$AK$6,"-")))</f>
        <v>-</v>
      </c>
    </row>
    <row r="291" spans="4:97" x14ac:dyDescent="0.5">
      <c r="D291" s="487" t="e">
        <f t="shared" si="137"/>
        <v>#DIV/0!</v>
      </c>
      <c r="E291" s="496" t="e">
        <f t="array" ref="E291">IF(IF((ROW(E291)-3)&lt;(ListAndConversion!$A$15),INDEX(Flow_Cell_Lane,MIN(IF(COUNTIF($E$2:E290,Flow_Cell_Lane)=0,ROW(Flow_Cell_Lane)-9))),"-")="","-",IF((ROW(E291)-3)&lt;(ListAndConversion!$A$15),INDEX(Flow_Cell_Lane,MIN(IF(COUNTIF($E$2:E290,Flow_Cell_Lane)=0,ROW(Flow_Cell_Lane)-9))),"-"))</f>
        <v>#DIV/0!</v>
      </c>
      <c r="F291" s="378" t="e">
        <f t="shared" si="138"/>
        <v>#DIV/0!</v>
      </c>
      <c r="G291" s="378" t="e">
        <f t="shared" si="157"/>
        <v>#DIV/0!</v>
      </c>
      <c r="H291" s="378" t="e">
        <f t="shared" si="157"/>
        <v>#DIV/0!</v>
      </c>
      <c r="I291" s="378" t="e">
        <f t="shared" si="157"/>
        <v>#DIV/0!</v>
      </c>
      <c r="J291" s="378" t="e">
        <f t="shared" si="157"/>
        <v>#DIV/0!</v>
      </c>
      <c r="K291" s="378" t="e">
        <f t="shared" si="157"/>
        <v>#DIV/0!</v>
      </c>
      <c r="L291" s="378" t="e">
        <f t="shared" si="157"/>
        <v>#DIV/0!</v>
      </c>
      <c r="M291" s="378" t="e">
        <f t="shared" si="157"/>
        <v>#DIV/0!</v>
      </c>
      <c r="N291" s="497" t="e">
        <f t="shared" si="139"/>
        <v>#DIV/0!</v>
      </c>
      <c r="O291" s="497" t="str">
        <f t="array" ref="O291">IFERROR(INDEX(Calculation!I:AN,MATCH(ListAndConversion!E291,Calculation!I:I,0),31),"-")</f>
        <v>-</v>
      </c>
      <c r="P291" s="498">
        <f>IF(COUNTIFS(Calculation!$I$10:$I$393,E291,Direct_Denaturation,"-")&lt;&gt;1,COUNTIFS(Calculation!$I$10:$I$393,E291,Direct_Denaturation,"-"),0)</f>
        <v>0</v>
      </c>
      <c r="V291" s="542" t="s">
        <v>82</v>
      </c>
      <c r="W291" s="542" t="s">
        <v>82</v>
      </c>
      <c r="X291" s="542" t="s">
        <v>82</v>
      </c>
      <c r="Y291" s="542" t="s">
        <v>82</v>
      </c>
      <c r="Z291" s="542" t="s">
        <v>82</v>
      </c>
      <c r="AA291" s="542" t="s">
        <v>82</v>
      </c>
      <c r="AB291" s="542" t="s">
        <v>82</v>
      </c>
      <c r="AC291" s="542" t="s">
        <v>82</v>
      </c>
      <c r="AD291" s="542" t="s">
        <v>82</v>
      </c>
      <c r="AE291" s="542" t="s">
        <v>82</v>
      </c>
      <c r="AF291" s="542" t="s">
        <v>82</v>
      </c>
      <c r="AG291" s="542" t="s">
        <v>82</v>
      </c>
      <c r="AH291" s="9"/>
      <c r="AI291" s="487">
        <v>288</v>
      </c>
      <c r="AJ291" s="497" t="s">
        <v>162</v>
      </c>
      <c r="AK291" s="378">
        <v>96</v>
      </c>
      <c r="AL291" s="378" t="str">
        <f t="shared" ca="1" si="140"/>
        <v>-</v>
      </c>
      <c r="AM291" s="378" t="str">
        <f t="array" aca="1" ref="AM291" ca="1">IFERROR(IF(AI291&lt;=$AB$2,"-",INDEX(Calculation_Tab,SMALL(ROW(Main_Dil)*(Main_Dil&lt;&gt;"-"),COUNTIF(Main_Dil,"-")+ROW()-3-$AB$2)-9,5)),"-")</f>
        <v>-</v>
      </c>
      <c r="AN291" s="378" t="str">
        <f t="array" aca="1" ref="AN291" ca="1">IFERROR(IF(AI291&lt;=$AB$2,"-",INDEX($A$3:$B$12,MATCH(INDEX(Calculation_Tab,SMALL(ROW(Main_Dil)*(Main_Dil&lt;&gt;"-"),COUNTIF(Main_Dil,"-")+ROW()-3-$AB$2)-9,5),$A$3:$A$12,0),2)),"-")</f>
        <v>-</v>
      </c>
      <c r="AO291" s="378" t="str">
        <f t="array" aca="1" ref="AO291" ca="1">IFERROR(IF(AI291&lt;=$AB$2,"-",INDEX(Coordinate,MATCH(INDEX(Calculation_Tab,SMALL(ROW(Main_Dil)*(Main_Dil&lt;&gt;"-"),COUNTIF(Main_Dil,"-")+ROW()-3-$AB$2)-9,6),$X$4:$X$99,0),2)),"-")</f>
        <v>-</v>
      </c>
      <c r="AP291" s="510" t="str">
        <f t="array" aca="1" ref="AP291" ca="1">IFERROR(IF(AI291&lt;=$AB$2,"-",INDEX(Calculation_Tab,SMALL(ROW(Main_Dil)*(Main_Dil&lt;&gt;"-"),COUNTIF(Main_Dil,"-")+ROW()-3-$AB$2)-9,21)),"-")</f>
        <v>-</v>
      </c>
      <c r="AQ291" s="511" t="str">
        <f t="array" aca="1" ref="AQ291" ca="1">IFERROR(IF(AI291&lt;=$AB$2,"-",INDEX(Calculation_Tab,SMALL(ROW(Main_Dil)*(Main_Dil&lt;&gt;"-"),COUNTIF(Main_Dil,"-")+ROW()-3-$AB$2)-9,22)),"-")</f>
        <v>-</v>
      </c>
      <c r="AR291" s="487" t="str">
        <f t="shared" ca="1" si="141"/>
        <v>-</v>
      </c>
      <c r="AS291" s="378">
        <v>288</v>
      </c>
      <c r="AT291" s="497" t="s">
        <v>162</v>
      </c>
      <c r="AU291" s="498">
        <v>96</v>
      </c>
      <c r="AV291" s="378" t="str">
        <f t="shared" ca="1" si="142"/>
        <v>-</v>
      </c>
      <c r="AW291" s="378" t="str">
        <f t="array" aca="1" ref="AW291" ca="1">IFERROR(IF(AS291&lt;=$AB$2+$AN$2,"-",INDEX(Calculation_Tab,SMALL(ROW(Direct_Denaturation)*(Direct_Denaturation&lt;&gt;"-"),COUNTIF(Direct_Denaturation,"-")+ROW()-3-$AB$2-$AN$2)-9,5)),"-")</f>
        <v>-</v>
      </c>
      <c r="AX291" s="378" t="str">
        <f t="array" aca="1" ref="AX291" ca="1">IFERROR(IF(AS291&lt;=$AB$2+$AN$2,"-",INDEX($A$3:$B$12,MATCH(INDEX(Calculation_Tab,SMALL(ROW(Direct_Denaturation)*(Direct_Denaturation&lt;&gt;"-"),COUNTIF(Direct_Denaturation,"-")+ROW()-3-$AB$2-$AN$2)-9,5),$A$3:$A$12,0),2)),"-")</f>
        <v>-</v>
      </c>
      <c r="AY291" s="378" t="str">
        <f t="array" aca="1" ref="AY291" ca="1">IFERROR(IF(AS291&lt;=$AB$2+$AN$2,"-",INDEX(Coordinate,MATCH(INDEX(Calculation_Tab,SMALL(ROW(Direct_Denaturation)*(Direct_Denaturation&lt;&gt;"-"),COUNTIF(Direct_Denaturation,"-")+ROW()-3-$AB$2-$AN$2)-9,6),$X$4:$X$99,0),2)),"-")</f>
        <v>-</v>
      </c>
      <c r="AZ291" s="510" t="str">
        <f t="array" aca="1" ref="AZ291" ca="1">IFERROR(IF(AS291&lt;=$AB$2+$AN$2,"-",INDEX(Calculation_Tab,SMALL(ROW(Direct_Denaturation)*(Direct_Denaturation&lt;&gt;"-"),COUNTIF(Direct_Denaturation,"-")+ROW()-3-$AB$2-$AN$2)-9,32)),"-")</f>
        <v>-</v>
      </c>
      <c r="BA291" s="510" t="str">
        <f t="array" aca="1" ref="BA291" ca="1">IFERROR(IF(AS291&lt;=$AB$2+$AN$2,"-",INDEX(Calculation_Tab,SMALL(ROW(Direct_Denaturation)*(Direct_Denaturation&lt;&gt;"-"),COUNTIF(Direct_Denaturation,"-")+ROW()-3-$AB$2-$AN$2)-9,34)),"-")</f>
        <v>-</v>
      </c>
      <c r="BB291" s="510" t="str">
        <f t="array" aca="1" ref="BB291" ca="1">IFERROR(IF(AS291&lt;=$AB$2+$AN$2,"-",INDEX(Calculation_Tab,SMALL(ROW(Direct_Denaturation)*(Direct_Denaturation&lt;&gt;"-"),COUNTIF(Direct_Denaturation,"-")+ROW()-3-$AB$2-$AN$2)-9,33)),"-")</f>
        <v>-</v>
      </c>
      <c r="BC291" s="510" t="str">
        <f t="array" aca="1" ref="BC291" ca="1">IFERROR(IF(AS291&lt;=$AB$2+$AN$2,"-",INDEX(Calculation_Tab,SMALL(ROW(Direct_Denaturation)*(Direct_Denaturation&lt;&gt;"-"),COUNTIF(Direct_Denaturation,"-")+ROW()-3-$AB$2-$AN$2)-9,35)),"-")</f>
        <v>-</v>
      </c>
      <c r="BD291" s="511" t="str">
        <f t="shared" ca="1" si="143"/>
        <v>-</v>
      </c>
      <c r="BK291" s="542" t="s">
        <v>82</v>
      </c>
      <c r="BL291" s="542" t="s">
        <v>82</v>
      </c>
      <c r="BM291" s="487" t="str">
        <f t="array" aca="1" ref="BM291" ca="1">IFERROR(INDEX(Calculation_Tab,SMALL(ROW(ToPool)*(ToPool&lt;&gt;"-"),COUNTIF(ToPool,"-")+ROW()-3)-9,3),"-")</f>
        <v>-</v>
      </c>
      <c r="BN291" s="378" t="str">
        <f t="shared" ca="1" si="144"/>
        <v>-</v>
      </c>
      <c r="BO291" s="378" t="str">
        <f t="shared" ca="1" si="145"/>
        <v>-</v>
      </c>
      <c r="BP291" s="523" t="str">
        <f t="shared" ca="1" si="146"/>
        <v>-</v>
      </c>
      <c r="BQ291" s="378" t="str">
        <f t="array" aca="1" ref="BQ291" ca="1">IFERROR(INDEX(BE:BG,MATCH(INDEX(Calculation_Tab,SMALL(ROW(ToPool)*(ToPool&lt;&gt;"-"),COUNTIF(ToPool,"-")+ROW()-3)-9,9),BG:BG,0),2),"-")</f>
        <v>-</v>
      </c>
      <c r="BR291" s="510" t="str">
        <f t="shared" ca="1" si="147"/>
        <v>-</v>
      </c>
      <c r="BS291" s="511" t="str">
        <f t="shared" ca="1" si="148"/>
        <v>-</v>
      </c>
      <c r="BT291" s="543" t="s">
        <v>82</v>
      </c>
      <c r="BU291" s="487" t="str">
        <f t="shared" ca="1" si="152"/>
        <v>-</v>
      </c>
      <c r="BV291" s="487" t="str">
        <f t="array" aca="1" ref="BV29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91" s="378" t="str">
        <f t="shared" ca="1" si="149"/>
        <v>-</v>
      </c>
      <c r="BX291" s="378" t="str">
        <f t="shared" ca="1" si="150"/>
        <v>-</v>
      </c>
      <c r="BY291" s="510" t="str">
        <f ca="1">IFERROR(ROUND(INDEX(Cluster,MATCH(IF(LEFT(BV291,4)="Pool",INDEX(Cluster,MATCH(INDEX(Calculation_Tab,MATCH(INDEX($BE$4:$BJ$99,MATCH(BV291,$BE$4:$BE$99,0),3),Flow_Cell_Lane,0),3),Cluster!$F$29:$F$412,0),6),BV291),Identifier_Cluster,0),19)*IF(LEFT(BV291,4)="pool",IF(LEN(INDEX($BE$4:$BJ$99,MATCH(BV291,$BE$4:$BE$99,0),3))=10,2,IF(LEN(INDEX($BE$4:$BJ$99,MATCH(BV291,$BE$4:$BE$99,0),3))&gt;10,LEN(INDEX($BE$4:$BJ$99,MATCH(BV291,$BE$4:$BE$99,0),3))-8,1)),1)*IF(LEFT(BV291,4)="pool",IF(INDEX($BE$4:$BJ$99,MATCH(BV291,$BE$4:$BE$99,0),6)&lt;1,1,INDEX($BE$4:$BJ$99,MATCH(BV291,$BE$4:$BE$99,0),6)),INDEX(Calculation_Tab,MATCH(BV291,Identifier,0),10)),1)*(1+Calculation!$Q$6),"-")</f>
        <v>-</v>
      </c>
      <c r="BZ291" s="378" t="str">
        <f ca="1">IFERROR((0.5/50)*CE291/Calculation!$AG$6*(IF(LEFT(BV291,4)="Pool",IF(LEN(INDEX($BE$4:$BJ$99,MATCH(BV291,$BE$4:$BE$99,0),3))=10,2,IF(LEN(INDEX($BE$4:$BJ$99,MATCH(BV291,$BE$4:$BE$99,0),3))&gt;10,LEN(INDEX($BE$4:$BJ$99,MATCH(BV291,$BE$4:$BE$99,0),3))-8,1)),IF(INDEX(Calculation_Tab,MATCH(BV291,Identifier,0),10)&gt;1,INDEX(Calculation_Tab,MATCH(BV291,Identifier,0),10),1)))*(1+Calculation!$Q$6),"-")</f>
        <v>-</v>
      </c>
      <c r="CA291" s="510" t="str">
        <f ca="1">IFERROR(IF((BZ291*Calculation!$AG$6/0.05)-SUM(BY291:BZ291,CC291)&gt;0,(BZ291*Calculation!$AG$6/0.05)-SUM(BY291:BZ291,CC291),0),"-")</f>
        <v>-</v>
      </c>
      <c r="CB291" s="510" t="str">
        <f ca="1">IFERROR(5/50*CE291*(IF(LEFT(BV291,4)="Pool",IF(LEN(INDEX($BE$4:$BJ$99,MATCH(BV291,$BE$4:$BE$99,0),3))=10,2,IF(LEN(INDEX($BE$4:$BJ$99,MATCH(BV291,$BE$4:$BE$99,0),3))&gt;10,LEN(INDEX($BE$4:$BJ$99,MATCH(BV291,$BE$4:$BE$99,0),3))-8,1)),IF(INDEX(Calculation_Tab,MATCH(BV291,Identifier,0),10)&gt;1,INDEX(Calculation_Tab,MATCH(BV291,Identifier,0),10),1)))*(1+Calculation!$Q$6),"-")</f>
        <v>-</v>
      </c>
      <c r="CC291" s="508" t="str">
        <f ca="1">IFERROR(ROUND(INDEX(Cluster,MATCH(IF(LEFT(BV291,4)="Pool",INDEX(Cluster,MATCH(INDEX(Calculation_Tab,MATCH(INDEX($BE$4:$BJ$99,MATCH(BV291,$BE$4:$BE$99,0),3),Flow_Cell_Lane,0),3),Cluster!$F$29:$F$412,0),6),BV291),Identifier_Cluster,0),20)*IF(LEFT(BV291,4)="pool",IF(LEN(INDEX($BE$4:$BJ$99,MATCH(BV291,$BE$4:$BE$99,0),3))=10,2,IF(LEN(INDEX($BE$4:$BJ$99,MATCH(BV291,$BE$4:$BE$99,0),3))&gt;10,LEN(INDEX($BE$4:$BJ$99,MATCH(BV291,$BE$4:$BE$99,0),3))-8,1)),1)*IF(LEFT(BV291,4)="pool",IF(INDEX($BE$4:$BJ$99,MATCH(BV291,$BE$4:$BE$99,0),6)&lt;1,1,INDEX($BE$4:$BJ$99,MATCH(BV291,$BE$4:$BE$99,0),6)),INDEX(Calculation_Tab,MATCH(BV291,Identifier,0),10)),1)*(1+Calculation!$Q$6),"-")</f>
        <v>-</v>
      </c>
      <c r="CD291" s="509" t="str">
        <f ca="1">IFERROR(INDEX(Cluster!AC:AD,MATCH(IF(LEFT(BV291,4)="Pool",INDEX(Cluster!$D$29:$AA$412,MATCH(INDEX(Calculation_Tab,MATCH(INDEX($BE$4:$BJ$99,MATCH(BV291,$BE$4:$BE$99,0),3),Flow_Cell_Lane,0),3),Cluster!$F$29:$F$412,0),24),INDEX(Cluster!$D$29:$AA$412,MATCH(BV291,Cluster!$F$29:$F$412,0),24)),Cluster!AC:AC,0),2),"-")</f>
        <v>-</v>
      </c>
      <c r="CE291" s="378" t="str">
        <f ca="1">IFERROR(IF(BV291&lt;&gt;"-",Calculation!$AK$6,"-"),"-")</f>
        <v>-</v>
      </c>
      <c r="CF291" s="378" t="str">
        <f ca="1">IF(OR(LEFT(ListAndConversion!BW291,3)="Dil",LEFT(ListAndConversion!BW291,3)="Poo"),ListAndConversion!$BT$4,IF(LEFT(ListAndConversion!BW291,3)="Sou",INDEX(ListAndConversion!$AT$3:$AV$387,MATCH(ListAndConversion!BV291,ListAndConversion!$AV$3:$AV$387,0),1),"-"))</f>
        <v>-</v>
      </c>
      <c r="CG291" s="498" t="str">
        <f ca="1">IF(OR(LEFT(ListAndConversion!BW291,3)="Dil",LEFT(ListAndConversion!BW291,3)="Poo"),ListAndConversion!BU291,IF(LEFT(ListAndConversion!BW291,3)="Sou",INDEX(ListAndConversion!$AT$4:$AV$387,MATCH(ListAndConversion!BV291,ListAndConversion!$AV$4:$AV$387,0),2),"-"))</f>
        <v>-</v>
      </c>
      <c r="CH291" s="378"/>
      <c r="CI291" s="487" t="str">
        <f t="shared" ca="1" si="151"/>
        <v>-</v>
      </c>
      <c r="CJ291" s="378" t="str">
        <f t="shared" ca="1" si="158"/>
        <v>-</v>
      </c>
      <c r="CK291" s="378" t="str">
        <f t="shared" ca="1" si="158"/>
        <v>-</v>
      </c>
      <c r="CL291" s="378" t="str">
        <f t="shared" ca="1" si="158"/>
        <v>-</v>
      </c>
      <c r="CM291" s="378" t="str">
        <f t="shared" ca="1" si="158"/>
        <v>-</v>
      </c>
      <c r="CN291" s="378" t="str">
        <f t="shared" ca="1" si="158"/>
        <v>-</v>
      </c>
      <c r="CO291" s="378" t="str">
        <f t="shared" ca="1" si="158"/>
        <v>-</v>
      </c>
      <c r="CP291" s="378" t="str">
        <f t="shared" ca="1" si="158"/>
        <v>-</v>
      </c>
      <c r="CQ291" s="378" t="str">
        <f t="shared" ca="1" si="158"/>
        <v>-</v>
      </c>
      <c r="CR291" s="510" t="str">
        <f ca="1">IFERROR(IF(LEFT(BW291,3)="Poo",INDEX($BE$4:$BJ$99,MATCH(CI291,$BG$4:$BG$99,0),6)*((15/50))*Calculation!$AK$6,INDEX(Calculation_Tab,MATCH(BV291,Identifier,0),10)/(IF(LEN(INDEX(Calculation_Tab,MATCH(BV291,Identifier,0),9))&gt;8,LEN(INDEX(Calculation_Tab,MATCH(BV291,Identifier,0),9))-8,1))*((15/50)*Calculation!$AK$6)),"-")</f>
        <v>-</v>
      </c>
      <c r="CS291" s="498" t="str">
        <f ca="1">IF(CI291="-","-",IF(COUNTIF($CI$3:CI291,CI291)&gt;1,0,IFERROR((35/50)*Calculation!$AK$6,"-")))</f>
        <v>-</v>
      </c>
    </row>
    <row r="292" spans="4:97" x14ac:dyDescent="0.5">
      <c r="D292" s="487" t="e">
        <f t="shared" si="137"/>
        <v>#DIV/0!</v>
      </c>
      <c r="E292" s="496" t="e">
        <f t="array" ref="E292">IF(IF((ROW(E292)-3)&lt;(ListAndConversion!$A$15),INDEX(Flow_Cell_Lane,MIN(IF(COUNTIF($E$2:E291,Flow_Cell_Lane)=0,ROW(Flow_Cell_Lane)-9))),"-")="","-",IF((ROW(E292)-3)&lt;(ListAndConversion!$A$15),INDEX(Flow_Cell_Lane,MIN(IF(COUNTIF($E$2:E291,Flow_Cell_Lane)=0,ROW(Flow_Cell_Lane)-9))),"-"))</f>
        <v>#DIV/0!</v>
      </c>
      <c r="F292" s="378" t="e">
        <f t="shared" si="138"/>
        <v>#DIV/0!</v>
      </c>
      <c r="G292" s="378" t="e">
        <f t="shared" si="157"/>
        <v>#DIV/0!</v>
      </c>
      <c r="H292" s="378" t="e">
        <f t="shared" si="157"/>
        <v>#DIV/0!</v>
      </c>
      <c r="I292" s="378" t="e">
        <f t="shared" si="157"/>
        <v>#DIV/0!</v>
      </c>
      <c r="J292" s="378" t="e">
        <f t="shared" si="157"/>
        <v>#DIV/0!</v>
      </c>
      <c r="K292" s="378" t="e">
        <f t="shared" si="157"/>
        <v>#DIV/0!</v>
      </c>
      <c r="L292" s="378" t="e">
        <f t="shared" si="157"/>
        <v>#DIV/0!</v>
      </c>
      <c r="M292" s="378" t="e">
        <f t="shared" si="157"/>
        <v>#DIV/0!</v>
      </c>
      <c r="N292" s="497" t="e">
        <f t="shared" si="139"/>
        <v>#DIV/0!</v>
      </c>
      <c r="O292" s="497" t="str">
        <f t="array" ref="O292">IFERROR(INDEX(Calculation!I:AN,MATCH(ListAndConversion!E292,Calculation!I:I,0),31),"-")</f>
        <v>-</v>
      </c>
      <c r="P292" s="498">
        <f>IF(COUNTIFS(Calculation!$I$10:$I$393,E292,Direct_Denaturation,"-")&lt;&gt;1,COUNTIFS(Calculation!$I$10:$I$393,E292,Direct_Denaturation,"-"),0)</f>
        <v>0</v>
      </c>
      <c r="V292" s="542" t="s">
        <v>82</v>
      </c>
      <c r="W292" s="542" t="s">
        <v>82</v>
      </c>
      <c r="X292" s="542" t="s">
        <v>82</v>
      </c>
      <c r="Y292" s="542" t="s">
        <v>82</v>
      </c>
      <c r="Z292" s="542" t="s">
        <v>82</v>
      </c>
      <c r="AA292" s="542" t="s">
        <v>82</v>
      </c>
      <c r="AB292" s="542" t="s">
        <v>82</v>
      </c>
      <c r="AC292" s="542" t="s">
        <v>82</v>
      </c>
      <c r="AD292" s="542" t="s">
        <v>82</v>
      </c>
      <c r="AE292" s="542" t="s">
        <v>82</v>
      </c>
      <c r="AF292" s="542" t="s">
        <v>82</v>
      </c>
      <c r="AG292" s="542" t="s">
        <v>82</v>
      </c>
      <c r="AH292" s="9"/>
      <c r="AI292" s="487">
        <v>289</v>
      </c>
      <c r="AJ292" s="497" t="s">
        <v>479</v>
      </c>
      <c r="AK292" s="378">
        <v>1</v>
      </c>
      <c r="AL292" s="378" t="str">
        <f t="shared" ca="1" si="140"/>
        <v>-</v>
      </c>
      <c r="AM292" s="378" t="str">
        <f t="array" aca="1" ref="AM292" ca="1">IFERROR(IF(AI292&lt;=$AB$2,"-",INDEX(Calculation_Tab,SMALL(ROW(Main_Dil)*(Main_Dil&lt;&gt;"-"),COUNTIF(Main_Dil,"-")+ROW()-3-$AB$2)-9,5)),"-")</f>
        <v>-</v>
      </c>
      <c r="AN292" s="378" t="str">
        <f t="array" aca="1" ref="AN292" ca="1">IFERROR(IF(AI292&lt;=$AB$2,"-",INDEX($A$3:$B$12,MATCH(INDEX(Calculation_Tab,SMALL(ROW(Main_Dil)*(Main_Dil&lt;&gt;"-"),COUNTIF(Main_Dil,"-")+ROW()-3-$AB$2)-9,5),$A$3:$A$12,0),2)),"-")</f>
        <v>-</v>
      </c>
      <c r="AO292" s="378" t="str">
        <f t="array" aca="1" ref="AO292" ca="1">IFERROR(IF(AI292&lt;=$AB$2,"-",INDEX(Coordinate,MATCH(INDEX(Calculation_Tab,SMALL(ROW(Main_Dil)*(Main_Dil&lt;&gt;"-"),COUNTIF(Main_Dil,"-")+ROW()-3-$AB$2)-9,6),$X$4:$X$99,0),2)),"-")</f>
        <v>-</v>
      </c>
      <c r="AP292" s="510" t="str">
        <f t="array" aca="1" ref="AP292" ca="1">IFERROR(IF(AI292&lt;=$AB$2,"-",INDEX(Calculation_Tab,SMALL(ROW(Main_Dil)*(Main_Dil&lt;&gt;"-"),COUNTIF(Main_Dil,"-")+ROW()-3-$AB$2)-9,21)),"-")</f>
        <v>-</v>
      </c>
      <c r="AQ292" s="511" t="str">
        <f t="array" aca="1" ref="AQ292" ca="1">IFERROR(IF(AI292&lt;=$AB$2,"-",INDEX(Calculation_Tab,SMALL(ROW(Main_Dil)*(Main_Dil&lt;&gt;"-"),COUNTIF(Main_Dil,"-")+ROW()-3-$AB$2)-9,22)),"-")</f>
        <v>-</v>
      </c>
      <c r="AR292" s="487" t="str">
        <f t="shared" ca="1" si="141"/>
        <v>-</v>
      </c>
      <c r="AS292" s="378">
        <v>289</v>
      </c>
      <c r="AT292" s="497" t="s">
        <v>479</v>
      </c>
      <c r="AU292" s="498">
        <v>1</v>
      </c>
      <c r="AV292" s="378" t="str">
        <f t="shared" ca="1" si="142"/>
        <v>-</v>
      </c>
      <c r="AW292" s="378" t="str">
        <f t="array" aca="1" ref="AW292" ca="1">IFERROR(IF(AS292&lt;=$AB$2+$AN$2,"-",INDEX(Calculation_Tab,SMALL(ROW(Direct_Denaturation)*(Direct_Denaturation&lt;&gt;"-"),COUNTIF(Direct_Denaturation,"-")+ROW()-3-$AB$2-$AN$2)-9,5)),"-")</f>
        <v>-</v>
      </c>
      <c r="AX292" s="378" t="str">
        <f t="array" aca="1" ref="AX292" ca="1">IFERROR(IF(AS292&lt;=$AB$2+$AN$2,"-",INDEX($A$3:$B$12,MATCH(INDEX(Calculation_Tab,SMALL(ROW(Direct_Denaturation)*(Direct_Denaturation&lt;&gt;"-"),COUNTIF(Direct_Denaturation,"-")+ROW()-3-$AB$2-$AN$2)-9,5),$A$3:$A$12,0),2)),"-")</f>
        <v>-</v>
      </c>
      <c r="AY292" s="378" t="str">
        <f t="array" aca="1" ref="AY292" ca="1">IFERROR(IF(AS292&lt;=$AB$2+$AN$2,"-",INDEX(Coordinate,MATCH(INDEX(Calculation_Tab,SMALL(ROW(Direct_Denaturation)*(Direct_Denaturation&lt;&gt;"-"),COUNTIF(Direct_Denaturation,"-")+ROW()-3-$AB$2-$AN$2)-9,6),$X$4:$X$99,0),2)),"-")</f>
        <v>-</v>
      </c>
      <c r="AZ292" s="510" t="str">
        <f t="array" aca="1" ref="AZ292" ca="1">IFERROR(IF(AS292&lt;=$AB$2+$AN$2,"-",INDEX(Calculation_Tab,SMALL(ROW(Direct_Denaturation)*(Direct_Denaturation&lt;&gt;"-"),COUNTIF(Direct_Denaturation,"-")+ROW()-3-$AB$2-$AN$2)-9,32)),"-")</f>
        <v>-</v>
      </c>
      <c r="BA292" s="510" t="str">
        <f t="array" aca="1" ref="BA292" ca="1">IFERROR(IF(AS292&lt;=$AB$2+$AN$2,"-",INDEX(Calculation_Tab,SMALL(ROW(Direct_Denaturation)*(Direct_Denaturation&lt;&gt;"-"),COUNTIF(Direct_Denaturation,"-")+ROW()-3-$AB$2-$AN$2)-9,34)),"-")</f>
        <v>-</v>
      </c>
      <c r="BB292" s="510" t="str">
        <f t="array" aca="1" ref="BB292" ca="1">IFERROR(IF(AS292&lt;=$AB$2+$AN$2,"-",INDEX(Calculation_Tab,SMALL(ROW(Direct_Denaturation)*(Direct_Denaturation&lt;&gt;"-"),COUNTIF(Direct_Denaturation,"-")+ROW()-3-$AB$2-$AN$2)-9,33)),"-")</f>
        <v>-</v>
      </c>
      <c r="BC292" s="510" t="str">
        <f t="array" aca="1" ref="BC292" ca="1">IFERROR(IF(AS292&lt;=$AB$2+$AN$2,"-",INDEX(Calculation_Tab,SMALL(ROW(Direct_Denaturation)*(Direct_Denaturation&lt;&gt;"-"),COUNTIF(Direct_Denaturation,"-")+ROW()-3-$AB$2-$AN$2)-9,35)),"-")</f>
        <v>-</v>
      </c>
      <c r="BD292" s="511" t="str">
        <f t="shared" ca="1" si="143"/>
        <v>-</v>
      </c>
      <c r="BK292" s="542" t="s">
        <v>82</v>
      </c>
      <c r="BL292" s="542" t="s">
        <v>82</v>
      </c>
      <c r="BM292" s="487" t="str">
        <f t="array" aca="1" ref="BM292" ca="1">IFERROR(INDEX(Calculation_Tab,SMALL(ROW(ToPool)*(ToPool&lt;&gt;"-"),COUNTIF(ToPool,"-")+ROW()-3)-9,3),"-")</f>
        <v>-</v>
      </c>
      <c r="BN292" s="378" t="str">
        <f t="shared" ca="1" si="144"/>
        <v>-</v>
      </c>
      <c r="BO292" s="378" t="str">
        <f t="shared" ca="1" si="145"/>
        <v>-</v>
      </c>
      <c r="BP292" s="523" t="str">
        <f t="shared" ca="1" si="146"/>
        <v>-</v>
      </c>
      <c r="BQ292" s="378" t="str">
        <f t="array" aca="1" ref="BQ292" ca="1">IFERROR(INDEX(BE:BG,MATCH(INDEX(Calculation_Tab,SMALL(ROW(ToPool)*(ToPool&lt;&gt;"-"),COUNTIF(ToPool,"-")+ROW()-3)-9,9),BG:BG,0),2),"-")</f>
        <v>-</v>
      </c>
      <c r="BR292" s="510" t="str">
        <f t="shared" ca="1" si="147"/>
        <v>-</v>
      </c>
      <c r="BS292" s="511" t="str">
        <f t="shared" ca="1" si="148"/>
        <v>-</v>
      </c>
      <c r="BT292" s="543" t="s">
        <v>82</v>
      </c>
      <c r="BU292" s="487" t="str">
        <f t="shared" ca="1" si="152"/>
        <v>-</v>
      </c>
      <c r="BV292" s="487" t="str">
        <f t="array" aca="1" ref="BV29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92" s="378" t="str">
        <f t="shared" ca="1" si="149"/>
        <v>-</v>
      </c>
      <c r="BX292" s="378" t="str">
        <f t="shared" ca="1" si="150"/>
        <v>-</v>
      </c>
      <c r="BY292" s="510" t="str">
        <f ca="1">IFERROR(ROUND(INDEX(Cluster,MATCH(IF(LEFT(BV292,4)="Pool",INDEX(Cluster,MATCH(INDEX(Calculation_Tab,MATCH(INDEX($BE$4:$BJ$99,MATCH(BV292,$BE$4:$BE$99,0),3),Flow_Cell_Lane,0),3),Cluster!$F$29:$F$412,0),6),BV292),Identifier_Cluster,0),19)*IF(LEFT(BV292,4)="pool",IF(LEN(INDEX($BE$4:$BJ$99,MATCH(BV292,$BE$4:$BE$99,0),3))=10,2,IF(LEN(INDEX($BE$4:$BJ$99,MATCH(BV292,$BE$4:$BE$99,0),3))&gt;10,LEN(INDEX($BE$4:$BJ$99,MATCH(BV292,$BE$4:$BE$99,0),3))-8,1)),1)*IF(LEFT(BV292,4)="pool",IF(INDEX($BE$4:$BJ$99,MATCH(BV292,$BE$4:$BE$99,0),6)&lt;1,1,INDEX($BE$4:$BJ$99,MATCH(BV292,$BE$4:$BE$99,0),6)),INDEX(Calculation_Tab,MATCH(BV292,Identifier,0),10)),1)*(1+Calculation!$Q$6),"-")</f>
        <v>-</v>
      </c>
      <c r="BZ292" s="378" t="str">
        <f ca="1">IFERROR((0.5/50)*CE292/Calculation!$AG$6*(IF(LEFT(BV292,4)="Pool",IF(LEN(INDEX($BE$4:$BJ$99,MATCH(BV292,$BE$4:$BE$99,0),3))=10,2,IF(LEN(INDEX($BE$4:$BJ$99,MATCH(BV292,$BE$4:$BE$99,0),3))&gt;10,LEN(INDEX($BE$4:$BJ$99,MATCH(BV292,$BE$4:$BE$99,0),3))-8,1)),IF(INDEX(Calculation_Tab,MATCH(BV292,Identifier,0),10)&gt;1,INDEX(Calculation_Tab,MATCH(BV292,Identifier,0),10),1)))*(1+Calculation!$Q$6),"-")</f>
        <v>-</v>
      </c>
      <c r="CA292" s="510" t="str">
        <f ca="1">IFERROR(IF((BZ292*Calculation!$AG$6/0.05)-SUM(BY292:BZ292,CC292)&gt;0,(BZ292*Calculation!$AG$6/0.05)-SUM(BY292:BZ292,CC292),0),"-")</f>
        <v>-</v>
      </c>
      <c r="CB292" s="510" t="str">
        <f ca="1">IFERROR(5/50*CE292*(IF(LEFT(BV292,4)="Pool",IF(LEN(INDEX($BE$4:$BJ$99,MATCH(BV292,$BE$4:$BE$99,0),3))=10,2,IF(LEN(INDEX($BE$4:$BJ$99,MATCH(BV292,$BE$4:$BE$99,0),3))&gt;10,LEN(INDEX($BE$4:$BJ$99,MATCH(BV292,$BE$4:$BE$99,0),3))-8,1)),IF(INDEX(Calculation_Tab,MATCH(BV292,Identifier,0),10)&gt;1,INDEX(Calculation_Tab,MATCH(BV292,Identifier,0),10),1)))*(1+Calculation!$Q$6),"-")</f>
        <v>-</v>
      </c>
      <c r="CC292" s="508" t="str">
        <f ca="1">IFERROR(ROUND(INDEX(Cluster,MATCH(IF(LEFT(BV292,4)="Pool",INDEX(Cluster,MATCH(INDEX(Calculation_Tab,MATCH(INDEX($BE$4:$BJ$99,MATCH(BV292,$BE$4:$BE$99,0),3),Flow_Cell_Lane,0),3),Cluster!$F$29:$F$412,0),6),BV292),Identifier_Cluster,0),20)*IF(LEFT(BV292,4)="pool",IF(LEN(INDEX($BE$4:$BJ$99,MATCH(BV292,$BE$4:$BE$99,0),3))=10,2,IF(LEN(INDEX($BE$4:$BJ$99,MATCH(BV292,$BE$4:$BE$99,0),3))&gt;10,LEN(INDEX($BE$4:$BJ$99,MATCH(BV292,$BE$4:$BE$99,0),3))-8,1)),1)*IF(LEFT(BV292,4)="pool",IF(INDEX($BE$4:$BJ$99,MATCH(BV292,$BE$4:$BE$99,0),6)&lt;1,1,INDEX($BE$4:$BJ$99,MATCH(BV292,$BE$4:$BE$99,0),6)),INDEX(Calculation_Tab,MATCH(BV292,Identifier,0),10)),1)*(1+Calculation!$Q$6),"-")</f>
        <v>-</v>
      </c>
      <c r="CD292" s="509" t="str">
        <f ca="1">IFERROR(INDEX(Cluster!AC:AD,MATCH(IF(LEFT(BV292,4)="Pool",INDEX(Cluster!$D$29:$AA$412,MATCH(INDEX(Calculation_Tab,MATCH(INDEX($BE$4:$BJ$99,MATCH(BV292,$BE$4:$BE$99,0),3),Flow_Cell_Lane,0),3),Cluster!$F$29:$F$412,0),24),INDEX(Cluster!$D$29:$AA$412,MATCH(BV292,Cluster!$F$29:$F$412,0),24)),Cluster!AC:AC,0),2),"-")</f>
        <v>-</v>
      </c>
      <c r="CE292" s="378" t="str">
        <f ca="1">IFERROR(IF(BV292&lt;&gt;"-",Calculation!$AK$6,"-"),"-")</f>
        <v>-</v>
      </c>
      <c r="CF292" s="378" t="str">
        <f ca="1">IF(OR(LEFT(ListAndConversion!BW292,3)="Dil",LEFT(ListAndConversion!BW292,3)="Poo"),ListAndConversion!$BT$4,IF(LEFT(ListAndConversion!BW292,3)="Sou",INDEX(ListAndConversion!$AT$3:$AV$387,MATCH(ListAndConversion!BV292,ListAndConversion!$AV$3:$AV$387,0),1),"-"))</f>
        <v>-</v>
      </c>
      <c r="CG292" s="498" t="str">
        <f ca="1">IF(OR(LEFT(ListAndConversion!BW292,3)="Dil",LEFT(ListAndConversion!BW292,3)="Poo"),ListAndConversion!BU292,IF(LEFT(ListAndConversion!BW292,3)="Sou",INDEX(ListAndConversion!$AT$4:$AV$387,MATCH(ListAndConversion!BV292,ListAndConversion!$AV$4:$AV$387,0),2),"-"))</f>
        <v>-</v>
      </c>
      <c r="CH292" s="378"/>
      <c r="CI292" s="487" t="str">
        <f t="shared" ca="1" si="151"/>
        <v>-</v>
      </c>
      <c r="CJ292" s="378" t="str">
        <f t="shared" ca="1" si="158"/>
        <v>-</v>
      </c>
      <c r="CK292" s="378" t="str">
        <f t="shared" ca="1" si="158"/>
        <v>-</v>
      </c>
      <c r="CL292" s="378" t="str">
        <f t="shared" ca="1" si="158"/>
        <v>-</v>
      </c>
      <c r="CM292" s="378" t="str">
        <f t="shared" ca="1" si="158"/>
        <v>-</v>
      </c>
      <c r="CN292" s="378" t="str">
        <f t="shared" ca="1" si="158"/>
        <v>-</v>
      </c>
      <c r="CO292" s="378" t="str">
        <f t="shared" ca="1" si="158"/>
        <v>-</v>
      </c>
      <c r="CP292" s="378" t="str">
        <f t="shared" ca="1" si="158"/>
        <v>-</v>
      </c>
      <c r="CQ292" s="378" t="str">
        <f t="shared" ca="1" si="158"/>
        <v>-</v>
      </c>
      <c r="CR292" s="510" t="str">
        <f ca="1">IFERROR(IF(LEFT(BW292,3)="Poo",INDEX($BE$4:$BJ$99,MATCH(CI292,$BG$4:$BG$99,0),6)*((15/50))*Calculation!$AK$6,INDEX(Calculation_Tab,MATCH(BV292,Identifier,0),10)/(IF(LEN(INDEX(Calculation_Tab,MATCH(BV292,Identifier,0),9))&gt;8,LEN(INDEX(Calculation_Tab,MATCH(BV292,Identifier,0),9))-8,1))*((15/50)*Calculation!$AK$6)),"-")</f>
        <v>-</v>
      </c>
      <c r="CS292" s="498" t="str">
        <f ca="1">IF(CI292="-","-",IF(COUNTIF($CI$3:CI292,CI292)&gt;1,0,IFERROR((35/50)*Calculation!$AK$6,"-")))</f>
        <v>-</v>
      </c>
    </row>
    <row r="293" spans="4:97" x14ac:dyDescent="0.5">
      <c r="D293" s="487" t="e">
        <f t="shared" si="137"/>
        <v>#DIV/0!</v>
      </c>
      <c r="E293" s="496" t="e">
        <f t="array" ref="E293">IF(IF((ROW(E293)-3)&lt;(ListAndConversion!$A$15),INDEX(Flow_Cell_Lane,MIN(IF(COUNTIF($E$2:E292,Flow_Cell_Lane)=0,ROW(Flow_Cell_Lane)-9))),"-")="","-",IF((ROW(E293)-3)&lt;(ListAndConversion!$A$15),INDEX(Flow_Cell_Lane,MIN(IF(COUNTIF($E$2:E292,Flow_Cell_Lane)=0,ROW(Flow_Cell_Lane)-9))),"-"))</f>
        <v>#DIV/0!</v>
      </c>
      <c r="F293" s="378" t="e">
        <f t="shared" si="138"/>
        <v>#DIV/0!</v>
      </c>
      <c r="G293" s="378" t="e">
        <f t="shared" ref="G293:M302" si="159">IF($D293&gt;8,IF($D293&gt;=(8+G$2),CONCATENATE(LEFT($E293,7),RIGHT(LEFT($E293,8+G$2),1)),""),"")</f>
        <v>#DIV/0!</v>
      </c>
      <c r="H293" s="378" t="e">
        <f t="shared" si="159"/>
        <v>#DIV/0!</v>
      </c>
      <c r="I293" s="378" t="e">
        <f t="shared" si="159"/>
        <v>#DIV/0!</v>
      </c>
      <c r="J293" s="378" t="e">
        <f t="shared" si="159"/>
        <v>#DIV/0!</v>
      </c>
      <c r="K293" s="378" t="e">
        <f t="shared" si="159"/>
        <v>#DIV/0!</v>
      </c>
      <c r="L293" s="378" t="e">
        <f t="shared" si="159"/>
        <v>#DIV/0!</v>
      </c>
      <c r="M293" s="378" t="e">
        <f t="shared" si="159"/>
        <v>#DIV/0!</v>
      </c>
      <c r="N293" s="497" t="e">
        <f t="shared" si="139"/>
        <v>#DIV/0!</v>
      </c>
      <c r="O293" s="497" t="str">
        <f t="array" ref="O293">IFERROR(INDEX(Calculation!I:AN,MATCH(ListAndConversion!E293,Calculation!I:I,0),31),"-")</f>
        <v>-</v>
      </c>
      <c r="P293" s="498">
        <f>IF(COUNTIFS(Calculation!$I$10:$I$393,E293,Direct_Denaturation,"-")&lt;&gt;1,COUNTIFS(Calculation!$I$10:$I$393,E293,Direct_Denaturation,"-"),0)</f>
        <v>0</v>
      </c>
      <c r="V293" s="542" t="s">
        <v>82</v>
      </c>
      <c r="W293" s="542" t="s">
        <v>82</v>
      </c>
      <c r="X293" s="542" t="s">
        <v>82</v>
      </c>
      <c r="Y293" s="542" t="s">
        <v>82</v>
      </c>
      <c r="Z293" s="542" t="s">
        <v>82</v>
      </c>
      <c r="AA293" s="542" t="s">
        <v>82</v>
      </c>
      <c r="AB293" s="542" t="s">
        <v>82</v>
      </c>
      <c r="AC293" s="542" t="s">
        <v>82</v>
      </c>
      <c r="AD293" s="542" t="s">
        <v>82</v>
      </c>
      <c r="AE293" s="542" t="s">
        <v>82</v>
      </c>
      <c r="AF293" s="542" t="s">
        <v>82</v>
      </c>
      <c r="AG293" s="542" t="s">
        <v>82</v>
      </c>
      <c r="AH293" s="9"/>
      <c r="AI293" s="487">
        <v>290</v>
      </c>
      <c r="AJ293" s="497" t="s">
        <v>479</v>
      </c>
      <c r="AK293" s="378">
        <v>2</v>
      </c>
      <c r="AL293" s="378" t="str">
        <f t="shared" ca="1" si="140"/>
        <v>-</v>
      </c>
      <c r="AM293" s="378" t="str">
        <f t="array" aca="1" ref="AM293" ca="1">IFERROR(IF(AI293&lt;=$AB$2,"-",INDEX(Calculation_Tab,SMALL(ROW(Main_Dil)*(Main_Dil&lt;&gt;"-"),COUNTIF(Main_Dil,"-")+ROW()-3-$AB$2)-9,5)),"-")</f>
        <v>-</v>
      </c>
      <c r="AN293" s="378" t="str">
        <f t="array" aca="1" ref="AN293" ca="1">IFERROR(IF(AI293&lt;=$AB$2,"-",INDEX($A$3:$B$12,MATCH(INDEX(Calculation_Tab,SMALL(ROW(Main_Dil)*(Main_Dil&lt;&gt;"-"),COUNTIF(Main_Dil,"-")+ROW()-3-$AB$2)-9,5),$A$3:$A$12,0),2)),"-")</f>
        <v>-</v>
      </c>
      <c r="AO293" s="378" t="str">
        <f t="array" aca="1" ref="AO293" ca="1">IFERROR(IF(AI293&lt;=$AB$2,"-",INDEX(Coordinate,MATCH(INDEX(Calculation_Tab,SMALL(ROW(Main_Dil)*(Main_Dil&lt;&gt;"-"),COUNTIF(Main_Dil,"-")+ROW()-3-$AB$2)-9,6),$X$4:$X$99,0),2)),"-")</f>
        <v>-</v>
      </c>
      <c r="AP293" s="510" t="str">
        <f t="array" aca="1" ref="AP293" ca="1">IFERROR(IF(AI293&lt;=$AB$2,"-",INDEX(Calculation_Tab,SMALL(ROW(Main_Dil)*(Main_Dil&lt;&gt;"-"),COUNTIF(Main_Dil,"-")+ROW()-3-$AB$2)-9,21)),"-")</f>
        <v>-</v>
      </c>
      <c r="AQ293" s="511" t="str">
        <f t="array" aca="1" ref="AQ293" ca="1">IFERROR(IF(AI293&lt;=$AB$2,"-",INDEX(Calculation_Tab,SMALL(ROW(Main_Dil)*(Main_Dil&lt;&gt;"-"),COUNTIF(Main_Dil,"-")+ROW()-3-$AB$2)-9,22)),"-")</f>
        <v>-</v>
      </c>
      <c r="AR293" s="487" t="str">
        <f t="shared" ca="1" si="141"/>
        <v>-</v>
      </c>
      <c r="AS293" s="378">
        <v>290</v>
      </c>
      <c r="AT293" s="497" t="s">
        <v>479</v>
      </c>
      <c r="AU293" s="498">
        <v>2</v>
      </c>
      <c r="AV293" s="378" t="str">
        <f t="shared" ca="1" si="142"/>
        <v>-</v>
      </c>
      <c r="AW293" s="378" t="str">
        <f t="array" aca="1" ref="AW293" ca="1">IFERROR(IF(AS293&lt;=$AB$2+$AN$2,"-",INDEX(Calculation_Tab,SMALL(ROW(Direct_Denaturation)*(Direct_Denaturation&lt;&gt;"-"),COUNTIF(Direct_Denaturation,"-")+ROW()-3-$AB$2-$AN$2)-9,5)),"-")</f>
        <v>-</v>
      </c>
      <c r="AX293" s="378" t="str">
        <f t="array" aca="1" ref="AX293" ca="1">IFERROR(IF(AS293&lt;=$AB$2+$AN$2,"-",INDEX($A$3:$B$12,MATCH(INDEX(Calculation_Tab,SMALL(ROW(Direct_Denaturation)*(Direct_Denaturation&lt;&gt;"-"),COUNTIF(Direct_Denaturation,"-")+ROW()-3-$AB$2-$AN$2)-9,5),$A$3:$A$12,0),2)),"-")</f>
        <v>-</v>
      </c>
      <c r="AY293" s="378" t="str">
        <f t="array" aca="1" ref="AY293" ca="1">IFERROR(IF(AS293&lt;=$AB$2+$AN$2,"-",INDEX(Coordinate,MATCH(INDEX(Calculation_Tab,SMALL(ROW(Direct_Denaturation)*(Direct_Denaturation&lt;&gt;"-"),COUNTIF(Direct_Denaturation,"-")+ROW()-3-$AB$2-$AN$2)-9,6),$X$4:$X$99,0),2)),"-")</f>
        <v>-</v>
      </c>
      <c r="AZ293" s="510" t="str">
        <f t="array" aca="1" ref="AZ293" ca="1">IFERROR(IF(AS293&lt;=$AB$2+$AN$2,"-",INDEX(Calculation_Tab,SMALL(ROW(Direct_Denaturation)*(Direct_Denaturation&lt;&gt;"-"),COUNTIF(Direct_Denaturation,"-")+ROW()-3-$AB$2-$AN$2)-9,32)),"-")</f>
        <v>-</v>
      </c>
      <c r="BA293" s="510" t="str">
        <f t="array" aca="1" ref="BA293" ca="1">IFERROR(IF(AS293&lt;=$AB$2+$AN$2,"-",INDEX(Calculation_Tab,SMALL(ROW(Direct_Denaturation)*(Direct_Denaturation&lt;&gt;"-"),COUNTIF(Direct_Denaturation,"-")+ROW()-3-$AB$2-$AN$2)-9,34)),"-")</f>
        <v>-</v>
      </c>
      <c r="BB293" s="510" t="str">
        <f t="array" aca="1" ref="BB293" ca="1">IFERROR(IF(AS293&lt;=$AB$2+$AN$2,"-",INDEX(Calculation_Tab,SMALL(ROW(Direct_Denaturation)*(Direct_Denaturation&lt;&gt;"-"),COUNTIF(Direct_Denaturation,"-")+ROW()-3-$AB$2-$AN$2)-9,33)),"-")</f>
        <v>-</v>
      </c>
      <c r="BC293" s="510" t="str">
        <f t="array" aca="1" ref="BC293" ca="1">IFERROR(IF(AS293&lt;=$AB$2+$AN$2,"-",INDEX(Calculation_Tab,SMALL(ROW(Direct_Denaturation)*(Direct_Denaturation&lt;&gt;"-"),COUNTIF(Direct_Denaturation,"-")+ROW()-3-$AB$2-$AN$2)-9,35)),"-")</f>
        <v>-</v>
      </c>
      <c r="BD293" s="511" t="str">
        <f t="shared" ca="1" si="143"/>
        <v>-</v>
      </c>
      <c r="BK293" s="542" t="s">
        <v>82</v>
      </c>
      <c r="BL293" s="542" t="s">
        <v>82</v>
      </c>
      <c r="BM293" s="487" t="str">
        <f t="array" aca="1" ref="BM293" ca="1">IFERROR(INDEX(Calculation_Tab,SMALL(ROW(ToPool)*(ToPool&lt;&gt;"-"),COUNTIF(ToPool,"-")+ROW()-3)-9,3),"-")</f>
        <v>-</v>
      </c>
      <c r="BN293" s="378" t="str">
        <f t="shared" ca="1" si="144"/>
        <v>-</v>
      </c>
      <c r="BO293" s="378" t="str">
        <f t="shared" ca="1" si="145"/>
        <v>-</v>
      </c>
      <c r="BP293" s="523" t="str">
        <f t="shared" ca="1" si="146"/>
        <v>-</v>
      </c>
      <c r="BQ293" s="378" t="str">
        <f t="array" aca="1" ref="BQ293" ca="1">IFERROR(INDEX(BE:BG,MATCH(INDEX(Calculation_Tab,SMALL(ROW(ToPool)*(ToPool&lt;&gt;"-"),COUNTIF(ToPool,"-")+ROW()-3)-9,9),BG:BG,0),2),"-")</f>
        <v>-</v>
      </c>
      <c r="BR293" s="510" t="str">
        <f t="shared" ca="1" si="147"/>
        <v>-</v>
      </c>
      <c r="BS293" s="511" t="str">
        <f t="shared" ca="1" si="148"/>
        <v>-</v>
      </c>
      <c r="BT293" s="543" t="s">
        <v>82</v>
      </c>
      <c r="BU293" s="487" t="str">
        <f t="shared" ca="1" si="152"/>
        <v>-</v>
      </c>
      <c r="BV293" s="487" t="str">
        <f t="array" aca="1" ref="BV29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93" s="378" t="str">
        <f t="shared" ca="1" si="149"/>
        <v>-</v>
      </c>
      <c r="BX293" s="378" t="str">
        <f t="shared" ca="1" si="150"/>
        <v>-</v>
      </c>
      <c r="BY293" s="510" t="str">
        <f ca="1">IFERROR(ROUND(INDEX(Cluster,MATCH(IF(LEFT(BV293,4)="Pool",INDEX(Cluster,MATCH(INDEX(Calculation_Tab,MATCH(INDEX($BE$4:$BJ$99,MATCH(BV293,$BE$4:$BE$99,0),3),Flow_Cell_Lane,0),3),Cluster!$F$29:$F$412,0),6),BV293),Identifier_Cluster,0),19)*IF(LEFT(BV293,4)="pool",IF(LEN(INDEX($BE$4:$BJ$99,MATCH(BV293,$BE$4:$BE$99,0),3))=10,2,IF(LEN(INDEX($BE$4:$BJ$99,MATCH(BV293,$BE$4:$BE$99,0),3))&gt;10,LEN(INDEX($BE$4:$BJ$99,MATCH(BV293,$BE$4:$BE$99,0),3))-8,1)),1)*IF(LEFT(BV293,4)="pool",IF(INDEX($BE$4:$BJ$99,MATCH(BV293,$BE$4:$BE$99,0),6)&lt;1,1,INDEX($BE$4:$BJ$99,MATCH(BV293,$BE$4:$BE$99,0),6)),INDEX(Calculation_Tab,MATCH(BV293,Identifier,0),10)),1)*(1+Calculation!$Q$6),"-")</f>
        <v>-</v>
      </c>
      <c r="BZ293" s="378" t="str">
        <f ca="1">IFERROR((0.5/50)*CE293/Calculation!$AG$6*(IF(LEFT(BV293,4)="Pool",IF(LEN(INDEX($BE$4:$BJ$99,MATCH(BV293,$BE$4:$BE$99,0),3))=10,2,IF(LEN(INDEX($BE$4:$BJ$99,MATCH(BV293,$BE$4:$BE$99,0),3))&gt;10,LEN(INDEX($BE$4:$BJ$99,MATCH(BV293,$BE$4:$BE$99,0),3))-8,1)),IF(INDEX(Calculation_Tab,MATCH(BV293,Identifier,0),10)&gt;1,INDEX(Calculation_Tab,MATCH(BV293,Identifier,0),10),1)))*(1+Calculation!$Q$6),"-")</f>
        <v>-</v>
      </c>
      <c r="CA293" s="510" t="str">
        <f ca="1">IFERROR(IF((BZ293*Calculation!$AG$6/0.05)-SUM(BY293:BZ293,CC293)&gt;0,(BZ293*Calculation!$AG$6/0.05)-SUM(BY293:BZ293,CC293),0),"-")</f>
        <v>-</v>
      </c>
      <c r="CB293" s="510" t="str">
        <f ca="1">IFERROR(5/50*CE293*(IF(LEFT(BV293,4)="Pool",IF(LEN(INDEX($BE$4:$BJ$99,MATCH(BV293,$BE$4:$BE$99,0),3))=10,2,IF(LEN(INDEX($BE$4:$BJ$99,MATCH(BV293,$BE$4:$BE$99,0),3))&gt;10,LEN(INDEX($BE$4:$BJ$99,MATCH(BV293,$BE$4:$BE$99,0),3))-8,1)),IF(INDEX(Calculation_Tab,MATCH(BV293,Identifier,0),10)&gt;1,INDEX(Calculation_Tab,MATCH(BV293,Identifier,0),10),1)))*(1+Calculation!$Q$6),"-")</f>
        <v>-</v>
      </c>
      <c r="CC293" s="508" t="str">
        <f ca="1">IFERROR(ROUND(INDEX(Cluster,MATCH(IF(LEFT(BV293,4)="Pool",INDEX(Cluster,MATCH(INDEX(Calculation_Tab,MATCH(INDEX($BE$4:$BJ$99,MATCH(BV293,$BE$4:$BE$99,0),3),Flow_Cell_Lane,0),3),Cluster!$F$29:$F$412,0),6),BV293),Identifier_Cluster,0),20)*IF(LEFT(BV293,4)="pool",IF(LEN(INDEX($BE$4:$BJ$99,MATCH(BV293,$BE$4:$BE$99,0),3))=10,2,IF(LEN(INDEX($BE$4:$BJ$99,MATCH(BV293,$BE$4:$BE$99,0),3))&gt;10,LEN(INDEX($BE$4:$BJ$99,MATCH(BV293,$BE$4:$BE$99,0),3))-8,1)),1)*IF(LEFT(BV293,4)="pool",IF(INDEX($BE$4:$BJ$99,MATCH(BV293,$BE$4:$BE$99,0),6)&lt;1,1,INDEX($BE$4:$BJ$99,MATCH(BV293,$BE$4:$BE$99,0),6)),INDEX(Calculation_Tab,MATCH(BV293,Identifier,0),10)),1)*(1+Calculation!$Q$6),"-")</f>
        <v>-</v>
      </c>
      <c r="CD293" s="509" t="str">
        <f ca="1">IFERROR(INDEX(Cluster!AC:AD,MATCH(IF(LEFT(BV293,4)="Pool",INDEX(Cluster!$D$29:$AA$412,MATCH(INDEX(Calculation_Tab,MATCH(INDEX($BE$4:$BJ$99,MATCH(BV293,$BE$4:$BE$99,0),3),Flow_Cell_Lane,0),3),Cluster!$F$29:$F$412,0),24),INDEX(Cluster!$D$29:$AA$412,MATCH(BV293,Cluster!$F$29:$F$412,0),24)),Cluster!AC:AC,0),2),"-")</f>
        <v>-</v>
      </c>
      <c r="CE293" s="378" t="str">
        <f ca="1">IFERROR(IF(BV293&lt;&gt;"-",Calculation!$AK$6,"-"),"-")</f>
        <v>-</v>
      </c>
      <c r="CF293" s="378" t="str">
        <f ca="1">IF(OR(LEFT(ListAndConversion!BW293,3)="Dil",LEFT(ListAndConversion!BW293,3)="Poo"),ListAndConversion!$BT$4,IF(LEFT(ListAndConversion!BW293,3)="Sou",INDEX(ListAndConversion!$AT$3:$AV$387,MATCH(ListAndConversion!BV293,ListAndConversion!$AV$3:$AV$387,0),1),"-"))</f>
        <v>-</v>
      </c>
      <c r="CG293" s="498" t="str">
        <f ca="1">IF(OR(LEFT(ListAndConversion!BW293,3)="Dil",LEFT(ListAndConversion!BW293,3)="Poo"),ListAndConversion!BU293,IF(LEFT(ListAndConversion!BW293,3)="Sou",INDEX(ListAndConversion!$AT$4:$AV$387,MATCH(ListAndConversion!BV293,ListAndConversion!$AV$4:$AV$387,0),2),"-"))</f>
        <v>-</v>
      </c>
      <c r="CH293" s="378"/>
      <c r="CI293" s="487" t="str">
        <f t="shared" ca="1" si="151"/>
        <v>-</v>
      </c>
      <c r="CJ293" s="378" t="str">
        <f t="shared" ca="1" si="158"/>
        <v>-</v>
      </c>
      <c r="CK293" s="378" t="str">
        <f t="shared" ca="1" si="158"/>
        <v>-</v>
      </c>
      <c r="CL293" s="378" t="str">
        <f t="shared" ca="1" si="158"/>
        <v>-</v>
      </c>
      <c r="CM293" s="378" t="str">
        <f t="shared" ca="1" si="158"/>
        <v>-</v>
      </c>
      <c r="CN293" s="378" t="str">
        <f t="shared" ca="1" si="158"/>
        <v>-</v>
      </c>
      <c r="CO293" s="378" t="str">
        <f t="shared" ca="1" si="158"/>
        <v>-</v>
      </c>
      <c r="CP293" s="378" t="str">
        <f t="shared" ca="1" si="158"/>
        <v>-</v>
      </c>
      <c r="CQ293" s="378" t="str">
        <f t="shared" ca="1" si="158"/>
        <v>-</v>
      </c>
      <c r="CR293" s="510" t="str">
        <f ca="1">IFERROR(IF(LEFT(BW293,3)="Poo",INDEX($BE$4:$BJ$99,MATCH(CI293,$BG$4:$BG$99,0),6)*((15/50))*Calculation!$AK$6,INDEX(Calculation_Tab,MATCH(BV293,Identifier,0),10)/(IF(LEN(INDEX(Calculation_Tab,MATCH(BV293,Identifier,0),9))&gt;8,LEN(INDEX(Calculation_Tab,MATCH(BV293,Identifier,0),9))-8,1))*((15/50)*Calculation!$AK$6)),"-")</f>
        <v>-</v>
      </c>
      <c r="CS293" s="498" t="str">
        <f ca="1">IF(CI293="-","-",IF(COUNTIF($CI$3:CI293,CI293)&gt;1,0,IFERROR((35/50)*Calculation!$AK$6,"-")))</f>
        <v>-</v>
      </c>
    </row>
    <row r="294" spans="4:97" x14ac:dyDescent="0.5">
      <c r="D294" s="487" t="e">
        <f t="shared" si="137"/>
        <v>#DIV/0!</v>
      </c>
      <c r="E294" s="496" t="e">
        <f t="array" ref="E294">IF(IF((ROW(E294)-3)&lt;(ListAndConversion!$A$15),INDEX(Flow_Cell_Lane,MIN(IF(COUNTIF($E$2:E293,Flow_Cell_Lane)=0,ROW(Flow_Cell_Lane)-9))),"-")="","-",IF((ROW(E294)-3)&lt;(ListAndConversion!$A$15),INDEX(Flow_Cell_Lane,MIN(IF(COUNTIF($E$2:E293,Flow_Cell_Lane)=0,ROW(Flow_Cell_Lane)-9))),"-"))</f>
        <v>#DIV/0!</v>
      </c>
      <c r="F294" s="378" t="e">
        <f t="shared" si="138"/>
        <v>#DIV/0!</v>
      </c>
      <c r="G294" s="378" t="e">
        <f t="shared" si="159"/>
        <v>#DIV/0!</v>
      </c>
      <c r="H294" s="378" t="e">
        <f t="shared" si="159"/>
        <v>#DIV/0!</v>
      </c>
      <c r="I294" s="378" t="e">
        <f t="shared" si="159"/>
        <v>#DIV/0!</v>
      </c>
      <c r="J294" s="378" t="e">
        <f t="shared" si="159"/>
        <v>#DIV/0!</v>
      </c>
      <c r="K294" s="378" t="e">
        <f t="shared" si="159"/>
        <v>#DIV/0!</v>
      </c>
      <c r="L294" s="378" t="e">
        <f t="shared" si="159"/>
        <v>#DIV/0!</v>
      </c>
      <c r="M294" s="378" t="e">
        <f t="shared" si="159"/>
        <v>#DIV/0!</v>
      </c>
      <c r="N294" s="497" t="e">
        <f t="shared" si="139"/>
        <v>#DIV/0!</v>
      </c>
      <c r="O294" s="497" t="str">
        <f t="array" ref="O294">IFERROR(INDEX(Calculation!I:AN,MATCH(ListAndConversion!E294,Calculation!I:I,0),31),"-")</f>
        <v>-</v>
      </c>
      <c r="P294" s="498">
        <f>IF(COUNTIFS(Calculation!$I$10:$I$393,E294,Direct_Denaturation,"-")&lt;&gt;1,COUNTIFS(Calculation!$I$10:$I$393,E294,Direct_Denaturation,"-"),0)</f>
        <v>0</v>
      </c>
      <c r="V294" s="542" t="s">
        <v>82</v>
      </c>
      <c r="W294" s="542" t="s">
        <v>82</v>
      </c>
      <c r="X294" s="542" t="s">
        <v>82</v>
      </c>
      <c r="Y294" s="542" t="s">
        <v>82</v>
      </c>
      <c r="Z294" s="542" t="s">
        <v>82</v>
      </c>
      <c r="AA294" s="542" t="s">
        <v>82</v>
      </c>
      <c r="AB294" s="542" t="s">
        <v>82</v>
      </c>
      <c r="AC294" s="542" t="s">
        <v>82</v>
      </c>
      <c r="AD294" s="542" t="s">
        <v>82</v>
      </c>
      <c r="AE294" s="542" t="s">
        <v>82</v>
      </c>
      <c r="AF294" s="542" t="s">
        <v>82</v>
      </c>
      <c r="AG294" s="542" t="s">
        <v>82</v>
      </c>
      <c r="AH294" s="9"/>
      <c r="AI294" s="487">
        <v>291</v>
      </c>
      <c r="AJ294" s="497" t="s">
        <v>479</v>
      </c>
      <c r="AK294" s="378">
        <v>3</v>
      </c>
      <c r="AL294" s="378" t="str">
        <f t="shared" ca="1" si="140"/>
        <v>-</v>
      </c>
      <c r="AM294" s="378" t="str">
        <f t="array" aca="1" ref="AM294" ca="1">IFERROR(IF(AI294&lt;=$AB$2,"-",INDEX(Calculation_Tab,SMALL(ROW(Main_Dil)*(Main_Dil&lt;&gt;"-"),COUNTIF(Main_Dil,"-")+ROW()-3-$AB$2)-9,5)),"-")</f>
        <v>-</v>
      </c>
      <c r="AN294" s="378" t="str">
        <f t="array" aca="1" ref="AN294" ca="1">IFERROR(IF(AI294&lt;=$AB$2,"-",INDEX($A$3:$B$12,MATCH(INDEX(Calculation_Tab,SMALL(ROW(Main_Dil)*(Main_Dil&lt;&gt;"-"),COUNTIF(Main_Dil,"-")+ROW()-3-$AB$2)-9,5),$A$3:$A$12,0),2)),"-")</f>
        <v>-</v>
      </c>
      <c r="AO294" s="378" t="str">
        <f t="array" aca="1" ref="AO294" ca="1">IFERROR(IF(AI294&lt;=$AB$2,"-",INDEX(Coordinate,MATCH(INDEX(Calculation_Tab,SMALL(ROW(Main_Dil)*(Main_Dil&lt;&gt;"-"),COUNTIF(Main_Dil,"-")+ROW()-3-$AB$2)-9,6),$X$4:$X$99,0),2)),"-")</f>
        <v>-</v>
      </c>
      <c r="AP294" s="510" t="str">
        <f t="array" aca="1" ref="AP294" ca="1">IFERROR(IF(AI294&lt;=$AB$2,"-",INDEX(Calculation_Tab,SMALL(ROW(Main_Dil)*(Main_Dil&lt;&gt;"-"),COUNTIF(Main_Dil,"-")+ROW()-3-$AB$2)-9,21)),"-")</f>
        <v>-</v>
      </c>
      <c r="AQ294" s="511" t="str">
        <f t="array" aca="1" ref="AQ294" ca="1">IFERROR(IF(AI294&lt;=$AB$2,"-",INDEX(Calculation_Tab,SMALL(ROW(Main_Dil)*(Main_Dil&lt;&gt;"-"),COUNTIF(Main_Dil,"-")+ROW()-3-$AB$2)-9,22)),"-")</f>
        <v>-</v>
      </c>
      <c r="AR294" s="487" t="str">
        <f t="shared" ca="1" si="141"/>
        <v>-</v>
      </c>
      <c r="AS294" s="378">
        <v>291</v>
      </c>
      <c r="AT294" s="497" t="s">
        <v>479</v>
      </c>
      <c r="AU294" s="498">
        <v>3</v>
      </c>
      <c r="AV294" s="378" t="str">
        <f t="shared" ca="1" si="142"/>
        <v>-</v>
      </c>
      <c r="AW294" s="378" t="str">
        <f t="array" aca="1" ref="AW294" ca="1">IFERROR(IF(AS294&lt;=$AB$2+$AN$2,"-",INDEX(Calculation_Tab,SMALL(ROW(Direct_Denaturation)*(Direct_Denaturation&lt;&gt;"-"),COUNTIF(Direct_Denaturation,"-")+ROW()-3-$AB$2-$AN$2)-9,5)),"-")</f>
        <v>-</v>
      </c>
      <c r="AX294" s="378" t="str">
        <f t="array" aca="1" ref="AX294" ca="1">IFERROR(IF(AS294&lt;=$AB$2+$AN$2,"-",INDEX($A$3:$B$12,MATCH(INDEX(Calculation_Tab,SMALL(ROW(Direct_Denaturation)*(Direct_Denaturation&lt;&gt;"-"),COUNTIF(Direct_Denaturation,"-")+ROW()-3-$AB$2-$AN$2)-9,5),$A$3:$A$12,0),2)),"-")</f>
        <v>-</v>
      </c>
      <c r="AY294" s="378" t="str">
        <f t="array" aca="1" ref="AY294" ca="1">IFERROR(IF(AS294&lt;=$AB$2+$AN$2,"-",INDEX(Coordinate,MATCH(INDEX(Calculation_Tab,SMALL(ROW(Direct_Denaturation)*(Direct_Denaturation&lt;&gt;"-"),COUNTIF(Direct_Denaturation,"-")+ROW()-3-$AB$2-$AN$2)-9,6),$X$4:$X$99,0),2)),"-")</f>
        <v>-</v>
      </c>
      <c r="AZ294" s="510" t="str">
        <f t="array" aca="1" ref="AZ294" ca="1">IFERROR(IF(AS294&lt;=$AB$2+$AN$2,"-",INDEX(Calculation_Tab,SMALL(ROW(Direct_Denaturation)*(Direct_Denaturation&lt;&gt;"-"),COUNTIF(Direct_Denaturation,"-")+ROW()-3-$AB$2-$AN$2)-9,32)),"-")</f>
        <v>-</v>
      </c>
      <c r="BA294" s="510" t="str">
        <f t="array" aca="1" ref="BA294" ca="1">IFERROR(IF(AS294&lt;=$AB$2+$AN$2,"-",INDEX(Calculation_Tab,SMALL(ROW(Direct_Denaturation)*(Direct_Denaturation&lt;&gt;"-"),COUNTIF(Direct_Denaturation,"-")+ROW()-3-$AB$2-$AN$2)-9,34)),"-")</f>
        <v>-</v>
      </c>
      <c r="BB294" s="510" t="str">
        <f t="array" aca="1" ref="BB294" ca="1">IFERROR(IF(AS294&lt;=$AB$2+$AN$2,"-",INDEX(Calculation_Tab,SMALL(ROW(Direct_Denaturation)*(Direct_Denaturation&lt;&gt;"-"),COUNTIF(Direct_Denaturation,"-")+ROW()-3-$AB$2-$AN$2)-9,33)),"-")</f>
        <v>-</v>
      </c>
      <c r="BC294" s="510" t="str">
        <f t="array" aca="1" ref="BC294" ca="1">IFERROR(IF(AS294&lt;=$AB$2+$AN$2,"-",INDEX(Calculation_Tab,SMALL(ROW(Direct_Denaturation)*(Direct_Denaturation&lt;&gt;"-"),COUNTIF(Direct_Denaturation,"-")+ROW()-3-$AB$2-$AN$2)-9,35)),"-")</f>
        <v>-</v>
      </c>
      <c r="BD294" s="511" t="str">
        <f t="shared" ca="1" si="143"/>
        <v>-</v>
      </c>
      <c r="BK294" s="542" t="s">
        <v>82</v>
      </c>
      <c r="BL294" s="542" t="s">
        <v>82</v>
      </c>
      <c r="BM294" s="487" t="str">
        <f t="array" aca="1" ref="BM294" ca="1">IFERROR(INDEX(Calculation_Tab,SMALL(ROW(ToPool)*(ToPool&lt;&gt;"-"),COUNTIF(ToPool,"-")+ROW()-3)-9,3),"-")</f>
        <v>-</v>
      </c>
      <c r="BN294" s="378" t="str">
        <f t="shared" ca="1" si="144"/>
        <v>-</v>
      </c>
      <c r="BO294" s="378" t="str">
        <f t="shared" ca="1" si="145"/>
        <v>-</v>
      </c>
      <c r="BP294" s="523" t="str">
        <f t="shared" ca="1" si="146"/>
        <v>-</v>
      </c>
      <c r="BQ294" s="378" t="str">
        <f t="array" aca="1" ref="BQ294" ca="1">IFERROR(INDEX(BE:BG,MATCH(INDEX(Calculation_Tab,SMALL(ROW(ToPool)*(ToPool&lt;&gt;"-"),COUNTIF(ToPool,"-")+ROW()-3)-9,9),BG:BG,0),2),"-")</f>
        <v>-</v>
      </c>
      <c r="BR294" s="510" t="str">
        <f t="shared" ca="1" si="147"/>
        <v>-</v>
      </c>
      <c r="BS294" s="511" t="str">
        <f t="shared" ca="1" si="148"/>
        <v>-</v>
      </c>
      <c r="BT294" s="543" t="s">
        <v>82</v>
      </c>
      <c r="BU294" s="487" t="str">
        <f t="shared" ca="1" si="152"/>
        <v>-</v>
      </c>
      <c r="BV294" s="487" t="str">
        <f t="array" aca="1" ref="BV29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94" s="378" t="str">
        <f t="shared" ca="1" si="149"/>
        <v>-</v>
      </c>
      <c r="BX294" s="378" t="str">
        <f t="shared" ca="1" si="150"/>
        <v>-</v>
      </c>
      <c r="BY294" s="510" t="str">
        <f ca="1">IFERROR(ROUND(INDEX(Cluster,MATCH(IF(LEFT(BV294,4)="Pool",INDEX(Cluster,MATCH(INDEX(Calculation_Tab,MATCH(INDEX($BE$4:$BJ$99,MATCH(BV294,$BE$4:$BE$99,0),3),Flow_Cell_Lane,0),3),Cluster!$F$29:$F$412,0),6),BV294),Identifier_Cluster,0),19)*IF(LEFT(BV294,4)="pool",IF(LEN(INDEX($BE$4:$BJ$99,MATCH(BV294,$BE$4:$BE$99,0),3))=10,2,IF(LEN(INDEX($BE$4:$BJ$99,MATCH(BV294,$BE$4:$BE$99,0),3))&gt;10,LEN(INDEX($BE$4:$BJ$99,MATCH(BV294,$BE$4:$BE$99,0),3))-8,1)),1)*IF(LEFT(BV294,4)="pool",IF(INDEX($BE$4:$BJ$99,MATCH(BV294,$BE$4:$BE$99,0),6)&lt;1,1,INDEX($BE$4:$BJ$99,MATCH(BV294,$BE$4:$BE$99,0),6)),INDEX(Calculation_Tab,MATCH(BV294,Identifier,0),10)),1)*(1+Calculation!$Q$6),"-")</f>
        <v>-</v>
      </c>
      <c r="BZ294" s="378" t="str">
        <f ca="1">IFERROR((0.5/50)*CE294/Calculation!$AG$6*(IF(LEFT(BV294,4)="Pool",IF(LEN(INDEX($BE$4:$BJ$99,MATCH(BV294,$BE$4:$BE$99,0),3))=10,2,IF(LEN(INDEX($BE$4:$BJ$99,MATCH(BV294,$BE$4:$BE$99,0),3))&gt;10,LEN(INDEX($BE$4:$BJ$99,MATCH(BV294,$BE$4:$BE$99,0),3))-8,1)),IF(INDEX(Calculation_Tab,MATCH(BV294,Identifier,0),10)&gt;1,INDEX(Calculation_Tab,MATCH(BV294,Identifier,0),10),1)))*(1+Calculation!$Q$6),"-")</f>
        <v>-</v>
      </c>
      <c r="CA294" s="510" t="str">
        <f ca="1">IFERROR(IF((BZ294*Calculation!$AG$6/0.05)-SUM(BY294:BZ294,CC294)&gt;0,(BZ294*Calculation!$AG$6/0.05)-SUM(BY294:BZ294,CC294),0),"-")</f>
        <v>-</v>
      </c>
      <c r="CB294" s="510" t="str">
        <f ca="1">IFERROR(5/50*CE294*(IF(LEFT(BV294,4)="Pool",IF(LEN(INDEX($BE$4:$BJ$99,MATCH(BV294,$BE$4:$BE$99,0),3))=10,2,IF(LEN(INDEX($BE$4:$BJ$99,MATCH(BV294,$BE$4:$BE$99,0),3))&gt;10,LEN(INDEX($BE$4:$BJ$99,MATCH(BV294,$BE$4:$BE$99,0),3))-8,1)),IF(INDEX(Calculation_Tab,MATCH(BV294,Identifier,0),10)&gt;1,INDEX(Calculation_Tab,MATCH(BV294,Identifier,0),10),1)))*(1+Calculation!$Q$6),"-")</f>
        <v>-</v>
      </c>
      <c r="CC294" s="508" t="str">
        <f ca="1">IFERROR(ROUND(INDEX(Cluster,MATCH(IF(LEFT(BV294,4)="Pool",INDEX(Cluster,MATCH(INDEX(Calculation_Tab,MATCH(INDEX($BE$4:$BJ$99,MATCH(BV294,$BE$4:$BE$99,0),3),Flow_Cell_Lane,0),3),Cluster!$F$29:$F$412,0),6),BV294),Identifier_Cluster,0),20)*IF(LEFT(BV294,4)="pool",IF(LEN(INDEX($BE$4:$BJ$99,MATCH(BV294,$BE$4:$BE$99,0),3))=10,2,IF(LEN(INDEX($BE$4:$BJ$99,MATCH(BV294,$BE$4:$BE$99,0),3))&gt;10,LEN(INDEX($BE$4:$BJ$99,MATCH(BV294,$BE$4:$BE$99,0),3))-8,1)),1)*IF(LEFT(BV294,4)="pool",IF(INDEX($BE$4:$BJ$99,MATCH(BV294,$BE$4:$BE$99,0),6)&lt;1,1,INDEX($BE$4:$BJ$99,MATCH(BV294,$BE$4:$BE$99,0),6)),INDEX(Calculation_Tab,MATCH(BV294,Identifier,0),10)),1)*(1+Calculation!$Q$6),"-")</f>
        <v>-</v>
      </c>
      <c r="CD294" s="509" t="str">
        <f ca="1">IFERROR(INDEX(Cluster!AC:AD,MATCH(IF(LEFT(BV294,4)="Pool",INDEX(Cluster!$D$29:$AA$412,MATCH(INDEX(Calculation_Tab,MATCH(INDEX($BE$4:$BJ$99,MATCH(BV294,$BE$4:$BE$99,0),3),Flow_Cell_Lane,0),3),Cluster!$F$29:$F$412,0),24),INDEX(Cluster!$D$29:$AA$412,MATCH(BV294,Cluster!$F$29:$F$412,0),24)),Cluster!AC:AC,0),2),"-")</f>
        <v>-</v>
      </c>
      <c r="CE294" s="378" t="str">
        <f ca="1">IFERROR(IF(BV294&lt;&gt;"-",Calculation!$AK$6,"-"),"-")</f>
        <v>-</v>
      </c>
      <c r="CF294" s="378" t="str">
        <f ca="1">IF(OR(LEFT(ListAndConversion!BW294,3)="Dil",LEFT(ListAndConversion!BW294,3)="Poo"),ListAndConversion!$BT$4,IF(LEFT(ListAndConversion!BW294,3)="Sou",INDEX(ListAndConversion!$AT$3:$AV$387,MATCH(ListAndConversion!BV294,ListAndConversion!$AV$3:$AV$387,0),1),"-"))</f>
        <v>-</v>
      </c>
      <c r="CG294" s="498" t="str">
        <f ca="1">IF(OR(LEFT(ListAndConversion!BW294,3)="Dil",LEFT(ListAndConversion!BW294,3)="Poo"),ListAndConversion!BU294,IF(LEFT(ListAndConversion!BW294,3)="Sou",INDEX(ListAndConversion!$AT$4:$AV$387,MATCH(ListAndConversion!BV294,ListAndConversion!$AV$4:$AV$387,0),2),"-"))</f>
        <v>-</v>
      </c>
      <c r="CH294" s="378"/>
      <c r="CI294" s="487" t="str">
        <f t="shared" ca="1" si="151"/>
        <v>-</v>
      </c>
      <c r="CJ294" s="378" t="str">
        <f t="shared" ref="CJ294:CQ303" ca="1" si="160">IFERROR(INDEX($R$3:$U$98,MATCH(INDEX($F$3:$M$387,MATCH($CI294,$E$3:$E$386,0),CJ$3),$S$3:$S$98,0),4),"-")</f>
        <v>-</v>
      </c>
      <c r="CK294" s="378" t="str">
        <f t="shared" ca="1" si="160"/>
        <v>-</v>
      </c>
      <c r="CL294" s="378" t="str">
        <f t="shared" ca="1" si="160"/>
        <v>-</v>
      </c>
      <c r="CM294" s="378" t="str">
        <f t="shared" ca="1" si="160"/>
        <v>-</v>
      </c>
      <c r="CN294" s="378" t="str">
        <f t="shared" ca="1" si="160"/>
        <v>-</v>
      </c>
      <c r="CO294" s="378" t="str">
        <f t="shared" ca="1" si="160"/>
        <v>-</v>
      </c>
      <c r="CP294" s="378" t="str">
        <f t="shared" ca="1" si="160"/>
        <v>-</v>
      </c>
      <c r="CQ294" s="378" t="str">
        <f t="shared" ca="1" si="160"/>
        <v>-</v>
      </c>
      <c r="CR294" s="510" t="str">
        <f ca="1">IFERROR(IF(LEFT(BW294,3)="Poo",INDEX($BE$4:$BJ$99,MATCH(CI294,$BG$4:$BG$99,0),6)*((15/50))*Calculation!$AK$6,INDEX(Calculation_Tab,MATCH(BV294,Identifier,0),10)/(IF(LEN(INDEX(Calculation_Tab,MATCH(BV294,Identifier,0),9))&gt;8,LEN(INDEX(Calculation_Tab,MATCH(BV294,Identifier,0),9))-8,1))*((15/50)*Calculation!$AK$6)),"-")</f>
        <v>-</v>
      </c>
      <c r="CS294" s="498" t="str">
        <f ca="1">IF(CI294="-","-",IF(COUNTIF($CI$3:CI294,CI294)&gt;1,0,IFERROR((35/50)*Calculation!$AK$6,"-")))</f>
        <v>-</v>
      </c>
    </row>
    <row r="295" spans="4:97" x14ac:dyDescent="0.5">
      <c r="D295" s="487" t="e">
        <f t="shared" si="137"/>
        <v>#DIV/0!</v>
      </c>
      <c r="E295" s="496" t="e">
        <f t="array" ref="E295">IF(IF((ROW(E295)-3)&lt;(ListAndConversion!$A$15),INDEX(Flow_Cell_Lane,MIN(IF(COUNTIF($E$2:E294,Flow_Cell_Lane)=0,ROW(Flow_Cell_Lane)-9))),"-")="","-",IF((ROW(E295)-3)&lt;(ListAndConversion!$A$15),INDEX(Flow_Cell_Lane,MIN(IF(COUNTIF($E$2:E294,Flow_Cell_Lane)=0,ROW(Flow_Cell_Lane)-9))),"-"))</f>
        <v>#DIV/0!</v>
      </c>
      <c r="F295" s="378" t="e">
        <f t="shared" si="138"/>
        <v>#DIV/0!</v>
      </c>
      <c r="G295" s="378" t="e">
        <f t="shared" si="159"/>
        <v>#DIV/0!</v>
      </c>
      <c r="H295" s="378" t="e">
        <f t="shared" si="159"/>
        <v>#DIV/0!</v>
      </c>
      <c r="I295" s="378" t="e">
        <f t="shared" si="159"/>
        <v>#DIV/0!</v>
      </c>
      <c r="J295" s="378" t="e">
        <f t="shared" si="159"/>
        <v>#DIV/0!</v>
      </c>
      <c r="K295" s="378" t="e">
        <f t="shared" si="159"/>
        <v>#DIV/0!</v>
      </c>
      <c r="L295" s="378" t="e">
        <f t="shared" si="159"/>
        <v>#DIV/0!</v>
      </c>
      <c r="M295" s="378" t="e">
        <f t="shared" si="159"/>
        <v>#DIV/0!</v>
      </c>
      <c r="N295" s="497" t="e">
        <f t="shared" si="139"/>
        <v>#DIV/0!</v>
      </c>
      <c r="O295" s="497" t="str">
        <f t="array" ref="O295">IFERROR(INDEX(Calculation!I:AN,MATCH(ListAndConversion!E295,Calculation!I:I,0),31),"-")</f>
        <v>-</v>
      </c>
      <c r="P295" s="498">
        <f>IF(COUNTIFS(Calculation!$I$10:$I$393,E295,Direct_Denaturation,"-")&lt;&gt;1,COUNTIFS(Calculation!$I$10:$I$393,E295,Direct_Denaturation,"-"),0)</f>
        <v>0</v>
      </c>
      <c r="V295" s="542" t="s">
        <v>82</v>
      </c>
      <c r="W295" s="542" t="s">
        <v>82</v>
      </c>
      <c r="X295" s="542" t="s">
        <v>82</v>
      </c>
      <c r="Y295" s="542" t="s">
        <v>82</v>
      </c>
      <c r="Z295" s="542" t="s">
        <v>82</v>
      </c>
      <c r="AA295" s="542" t="s">
        <v>82</v>
      </c>
      <c r="AB295" s="542" t="s">
        <v>82</v>
      </c>
      <c r="AC295" s="542" t="s">
        <v>82</v>
      </c>
      <c r="AD295" s="542" t="s">
        <v>82</v>
      </c>
      <c r="AE295" s="542" t="s">
        <v>82</v>
      </c>
      <c r="AF295" s="542" t="s">
        <v>82</v>
      </c>
      <c r="AG295" s="542" t="s">
        <v>82</v>
      </c>
      <c r="AH295" s="9"/>
      <c r="AI295" s="487">
        <v>292</v>
      </c>
      <c r="AJ295" s="497" t="s">
        <v>479</v>
      </c>
      <c r="AK295" s="378">
        <v>4</v>
      </c>
      <c r="AL295" s="378" t="str">
        <f t="shared" ca="1" si="140"/>
        <v>-</v>
      </c>
      <c r="AM295" s="378" t="str">
        <f t="array" aca="1" ref="AM295" ca="1">IFERROR(IF(AI295&lt;=$AB$2,"-",INDEX(Calculation_Tab,SMALL(ROW(Main_Dil)*(Main_Dil&lt;&gt;"-"),COUNTIF(Main_Dil,"-")+ROW()-3-$AB$2)-9,5)),"-")</f>
        <v>-</v>
      </c>
      <c r="AN295" s="378" t="str">
        <f t="array" aca="1" ref="AN295" ca="1">IFERROR(IF(AI295&lt;=$AB$2,"-",INDEX($A$3:$B$12,MATCH(INDEX(Calculation_Tab,SMALL(ROW(Main_Dil)*(Main_Dil&lt;&gt;"-"),COUNTIF(Main_Dil,"-")+ROW()-3-$AB$2)-9,5),$A$3:$A$12,0),2)),"-")</f>
        <v>-</v>
      </c>
      <c r="AO295" s="378" t="str">
        <f t="array" aca="1" ref="AO295" ca="1">IFERROR(IF(AI295&lt;=$AB$2,"-",INDEX(Coordinate,MATCH(INDEX(Calculation_Tab,SMALL(ROW(Main_Dil)*(Main_Dil&lt;&gt;"-"),COUNTIF(Main_Dil,"-")+ROW()-3-$AB$2)-9,6),$X$4:$X$99,0),2)),"-")</f>
        <v>-</v>
      </c>
      <c r="AP295" s="510" t="str">
        <f t="array" aca="1" ref="AP295" ca="1">IFERROR(IF(AI295&lt;=$AB$2,"-",INDEX(Calculation_Tab,SMALL(ROW(Main_Dil)*(Main_Dil&lt;&gt;"-"),COUNTIF(Main_Dil,"-")+ROW()-3-$AB$2)-9,21)),"-")</f>
        <v>-</v>
      </c>
      <c r="AQ295" s="511" t="str">
        <f t="array" aca="1" ref="AQ295" ca="1">IFERROR(IF(AI295&lt;=$AB$2,"-",INDEX(Calculation_Tab,SMALL(ROW(Main_Dil)*(Main_Dil&lt;&gt;"-"),COUNTIF(Main_Dil,"-")+ROW()-3-$AB$2)-9,22)),"-")</f>
        <v>-</v>
      </c>
      <c r="AR295" s="487" t="str">
        <f t="shared" ca="1" si="141"/>
        <v>-</v>
      </c>
      <c r="AS295" s="378">
        <v>292</v>
      </c>
      <c r="AT295" s="497" t="s">
        <v>479</v>
      </c>
      <c r="AU295" s="498">
        <v>4</v>
      </c>
      <c r="AV295" s="378" t="str">
        <f t="shared" ca="1" si="142"/>
        <v>-</v>
      </c>
      <c r="AW295" s="378" t="str">
        <f t="array" aca="1" ref="AW295" ca="1">IFERROR(IF(AS295&lt;=$AB$2+$AN$2,"-",INDEX(Calculation_Tab,SMALL(ROW(Direct_Denaturation)*(Direct_Denaturation&lt;&gt;"-"),COUNTIF(Direct_Denaturation,"-")+ROW()-3-$AB$2-$AN$2)-9,5)),"-")</f>
        <v>-</v>
      </c>
      <c r="AX295" s="378" t="str">
        <f t="array" aca="1" ref="AX295" ca="1">IFERROR(IF(AS295&lt;=$AB$2+$AN$2,"-",INDEX($A$3:$B$12,MATCH(INDEX(Calculation_Tab,SMALL(ROW(Direct_Denaturation)*(Direct_Denaturation&lt;&gt;"-"),COUNTIF(Direct_Denaturation,"-")+ROW()-3-$AB$2-$AN$2)-9,5),$A$3:$A$12,0),2)),"-")</f>
        <v>-</v>
      </c>
      <c r="AY295" s="378" t="str">
        <f t="array" aca="1" ref="AY295" ca="1">IFERROR(IF(AS295&lt;=$AB$2+$AN$2,"-",INDEX(Coordinate,MATCH(INDEX(Calculation_Tab,SMALL(ROW(Direct_Denaturation)*(Direct_Denaturation&lt;&gt;"-"),COUNTIF(Direct_Denaturation,"-")+ROW()-3-$AB$2-$AN$2)-9,6),$X$4:$X$99,0),2)),"-")</f>
        <v>-</v>
      </c>
      <c r="AZ295" s="510" t="str">
        <f t="array" aca="1" ref="AZ295" ca="1">IFERROR(IF(AS295&lt;=$AB$2+$AN$2,"-",INDEX(Calculation_Tab,SMALL(ROW(Direct_Denaturation)*(Direct_Denaturation&lt;&gt;"-"),COUNTIF(Direct_Denaturation,"-")+ROW()-3-$AB$2-$AN$2)-9,32)),"-")</f>
        <v>-</v>
      </c>
      <c r="BA295" s="510" t="str">
        <f t="array" aca="1" ref="BA295" ca="1">IFERROR(IF(AS295&lt;=$AB$2+$AN$2,"-",INDEX(Calculation_Tab,SMALL(ROW(Direct_Denaturation)*(Direct_Denaturation&lt;&gt;"-"),COUNTIF(Direct_Denaturation,"-")+ROW()-3-$AB$2-$AN$2)-9,34)),"-")</f>
        <v>-</v>
      </c>
      <c r="BB295" s="510" t="str">
        <f t="array" aca="1" ref="BB295" ca="1">IFERROR(IF(AS295&lt;=$AB$2+$AN$2,"-",INDEX(Calculation_Tab,SMALL(ROW(Direct_Denaturation)*(Direct_Denaturation&lt;&gt;"-"),COUNTIF(Direct_Denaturation,"-")+ROW()-3-$AB$2-$AN$2)-9,33)),"-")</f>
        <v>-</v>
      </c>
      <c r="BC295" s="510" t="str">
        <f t="array" aca="1" ref="BC295" ca="1">IFERROR(IF(AS295&lt;=$AB$2+$AN$2,"-",INDEX(Calculation_Tab,SMALL(ROW(Direct_Denaturation)*(Direct_Denaturation&lt;&gt;"-"),COUNTIF(Direct_Denaturation,"-")+ROW()-3-$AB$2-$AN$2)-9,35)),"-")</f>
        <v>-</v>
      </c>
      <c r="BD295" s="511" t="str">
        <f t="shared" ca="1" si="143"/>
        <v>-</v>
      </c>
      <c r="BK295" s="542" t="s">
        <v>82</v>
      </c>
      <c r="BL295" s="542" t="s">
        <v>82</v>
      </c>
      <c r="BM295" s="487" t="str">
        <f t="array" aca="1" ref="BM295" ca="1">IFERROR(INDEX(Calculation_Tab,SMALL(ROW(ToPool)*(ToPool&lt;&gt;"-"),COUNTIF(ToPool,"-")+ROW()-3)-9,3),"-")</f>
        <v>-</v>
      </c>
      <c r="BN295" s="378" t="str">
        <f t="shared" ca="1" si="144"/>
        <v>-</v>
      </c>
      <c r="BO295" s="378" t="str">
        <f t="shared" ca="1" si="145"/>
        <v>-</v>
      </c>
      <c r="BP295" s="523" t="str">
        <f t="shared" ca="1" si="146"/>
        <v>-</v>
      </c>
      <c r="BQ295" s="378" t="str">
        <f t="array" aca="1" ref="BQ295" ca="1">IFERROR(INDEX(BE:BG,MATCH(INDEX(Calculation_Tab,SMALL(ROW(ToPool)*(ToPool&lt;&gt;"-"),COUNTIF(ToPool,"-")+ROW()-3)-9,9),BG:BG,0),2),"-")</f>
        <v>-</v>
      </c>
      <c r="BR295" s="510" t="str">
        <f t="shared" ca="1" si="147"/>
        <v>-</v>
      </c>
      <c r="BS295" s="511" t="str">
        <f t="shared" ca="1" si="148"/>
        <v>-</v>
      </c>
      <c r="BT295" s="543" t="s">
        <v>82</v>
      </c>
      <c r="BU295" s="487" t="str">
        <f t="shared" ca="1" si="152"/>
        <v>-</v>
      </c>
      <c r="BV295" s="487" t="str">
        <f t="array" aca="1" ref="BV29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95" s="378" t="str">
        <f t="shared" ca="1" si="149"/>
        <v>-</v>
      </c>
      <c r="BX295" s="378" t="str">
        <f t="shared" ca="1" si="150"/>
        <v>-</v>
      </c>
      <c r="BY295" s="510" t="str">
        <f ca="1">IFERROR(ROUND(INDEX(Cluster,MATCH(IF(LEFT(BV295,4)="Pool",INDEX(Cluster,MATCH(INDEX(Calculation_Tab,MATCH(INDEX($BE$4:$BJ$99,MATCH(BV295,$BE$4:$BE$99,0),3),Flow_Cell_Lane,0),3),Cluster!$F$29:$F$412,0),6),BV295),Identifier_Cluster,0),19)*IF(LEFT(BV295,4)="pool",IF(LEN(INDEX($BE$4:$BJ$99,MATCH(BV295,$BE$4:$BE$99,0),3))=10,2,IF(LEN(INDEX($BE$4:$BJ$99,MATCH(BV295,$BE$4:$BE$99,0),3))&gt;10,LEN(INDEX($BE$4:$BJ$99,MATCH(BV295,$BE$4:$BE$99,0),3))-8,1)),1)*IF(LEFT(BV295,4)="pool",IF(INDEX($BE$4:$BJ$99,MATCH(BV295,$BE$4:$BE$99,0),6)&lt;1,1,INDEX($BE$4:$BJ$99,MATCH(BV295,$BE$4:$BE$99,0),6)),INDEX(Calculation_Tab,MATCH(BV295,Identifier,0),10)),1)*(1+Calculation!$Q$6),"-")</f>
        <v>-</v>
      </c>
      <c r="BZ295" s="378" t="str">
        <f ca="1">IFERROR((0.5/50)*CE295/Calculation!$AG$6*(IF(LEFT(BV295,4)="Pool",IF(LEN(INDEX($BE$4:$BJ$99,MATCH(BV295,$BE$4:$BE$99,0),3))=10,2,IF(LEN(INDEX($BE$4:$BJ$99,MATCH(BV295,$BE$4:$BE$99,0),3))&gt;10,LEN(INDEX($BE$4:$BJ$99,MATCH(BV295,$BE$4:$BE$99,0),3))-8,1)),IF(INDEX(Calculation_Tab,MATCH(BV295,Identifier,0),10)&gt;1,INDEX(Calculation_Tab,MATCH(BV295,Identifier,0),10),1)))*(1+Calculation!$Q$6),"-")</f>
        <v>-</v>
      </c>
      <c r="CA295" s="510" t="str">
        <f ca="1">IFERROR(IF((BZ295*Calculation!$AG$6/0.05)-SUM(BY295:BZ295,CC295)&gt;0,(BZ295*Calculation!$AG$6/0.05)-SUM(BY295:BZ295,CC295),0),"-")</f>
        <v>-</v>
      </c>
      <c r="CB295" s="510" t="str">
        <f ca="1">IFERROR(5/50*CE295*(IF(LEFT(BV295,4)="Pool",IF(LEN(INDEX($BE$4:$BJ$99,MATCH(BV295,$BE$4:$BE$99,0),3))=10,2,IF(LEN(INDEX($BE$4:$BJ$99,MATCH(BV295,$BE$4:$BE$99,0),3))&gt;10,LEN(INDEX($BE$4:$BJ$99,MATCH(BV295,$BE$4:$BE$99,0),3))-8,1)),IF(INDEX(Calculation_Tab,MATCH(BV295,Identifier,0),10)&gt;1,INDEX(Calculation_Tab,MATCH(BV295,Identifier,0),10),1)))*(1+Calculation!$Q$6),"-")</f>
        <v>-</v>
      </c>
      <c r="CC295" s="508" t="str">
        <f ca="1">IFERROR(ROUND(INDEX(Cluster,MATCH(IF(LEFT(BV295,4)="Pool",INDEX(Cluster,MATCH(INDEX(Calculation_Tab,MATCH(INDEX($BE$4:$BJ$99,MATCH(BV295,$BE$4:$BE$99,0),3),Flow_Cell_Lane,0),3),Cluster!$F$29:$F$412,0),6),BV295),Identifier_Cluster,0),20)*IF(LEFT(BV295,4)="pool",IF(LEN(INDEX($BE$4:$BJ$99,MATCH(BV295,$BE$4:$BE$99,0),3))=10,2,IF(LEN(INDEX($BE$4:$BJ$99,MATCH(BV295,$BE$4:$BE$99,0),3))&gt;10,LEN(INDEX($BE$4:$BJ$99,MATCH(BV295,$BE$4:$BE$99,0),3))-8,1)),1)*IF(LEFT(BV295,4)="pool",IF(INDEX($BE$4:$BJ$99,MATCH(BV295,$BE$4:$BE$99,0),6)&lt;1,1,INDEX($BE$4:$BJ$99,MATCH(BV295,$BE$4:$BE$99,0),6)),INDEX(Calculation_Tab,MATCH(BV295,Identifier,0),10)),1)*(1+Calculation!$Q$6),"-")</f>
        <v>-</v>
      </c>
      <c r="CD295" s="509" t="str">
        <f ca="1">IFERROR(INDEX(Cluster!AC:AD,MATCH(IF(LEFT(BV295,4)="Pool",INDEX(Cluster!$D$29:$AA$412,MATCH(INDEX(Calculation_Tab,MATCH(INDEX($BE$4:$BJ$99,MATCH(BV295,$BE$4:$BE$99,0),3),Flow_Cell_Lane,0),3),Cluster!$F$29:$F$412,0),24),INDEX(Cluster!$D$29:$AA$412,MATCH(BV295,Cluster!$F$29:$F$412,0),24)),Cluster!AC:AC,0),2),"-")</f>
        <v>-</v>
      </c>
      <c r="CE295" s="378" t="str">
        <f ca="1">IFERROR(IF(BV295&lt;&gt;"-",Calculation!$AK$6,"-"),"-")</f>
        <v>-</v>
      </c>
      <c r="CF295" s="378" t="str">
        <f ca="1">IF(OR(LEFT(ListAndConversion!BW295,3)="Dil",LEFT(ListAndConversion!BW295,3)="Poo"),ListAndConversion!$BT$4,IF(LEFT(ListAndConversion!BW295,3)="Sou",INDEX(ListAndConversion!$AT$3:$AV$387,MATCH(ListAndConversion!BV295,ListAndConversion!$AV$3:$AV$387,0),1),"-"))</f>
        <v>-</v>
      </c>
      <c r="CG295" s="498" t="str">
        <f ca="1">IF(OR(LEFT(ListAndConversion!BW295,3)="Dil",LEFT(ListAndConversion!BW295,3)="Poo"),ListAndConversion!BU295,IF(LEFT(ListAndConversion!BW295,3)="Sou",INDEX(ListAndConversion!$AT$4:$AV$387,MATCH(ListAndConversion!BV295,ListAndConversion!$AV$4:$AV$387,0),2),"-"))</f>
        <v>-</v>
      </c>
      <c r="CH295" s="378"/>
      <c r="CI295" s="487" t="str">
        <f t="shared" ca="1" si="151"/>
        <v>-</v>
      </c>
      <c r="CJ295" s="378" t="str">
        <f t="shared" ca="1" si="160"/>
        <v>-</v>
      </c>
      <c r="CK295" s="378" t="str">
        <f t="shared" ca="1" si="160"/>
        <v>-</v>
      </c>
      <c r="CL295" s="378" t="str">
        <f t="shared" ca="1" si="160"/>
        <v>-</v>
      </c>
      <c r="CM295" s="378" t="str">
        <f t="shared" ca="1" si="160"/>
        <v>-</v>
      </c>
      <c r="CN295" s="378" t="str">
        <f t="shared" ca="1" si="160"/>
        <v>-</v>
      </c>
      <c r="CO295" s="378" t="str">
        <f t="shared" ca="1" si="160"/>
        <v>-</v>
      </c>
      <c r="CP295" s="378" t="str">
        <f t="shared" ca="1" si="160"/>
        <v>-</v>
      </c>
      <c r="CQ295" s="378" t="str">
        <f t="shared" ca="1" si="160"/>
        <v>-</v>
      </c>
      <c r="CR295" s="510" t="str">
        <f ca="1">IFERROR(IF(LEFT(BW295,3)="Poo",INDEX($BE$4:$BJ$99,MATCH(CI295,$BG$4:$BG$99,0),6)*((15/50))*Calculation!$AK$6,INDEX(Calculation_Tab,MATCH(BV295,Identifier,0),10)/(IF(LEN(INDEX(Calculation_Tab,MATCH(BV295,Identifier,0),9))&gt;8,LEN(INDEX(Calculation_Tab,MATCH(BV295,Identifier,0),9))-8,1))*((15/50)*Calculation!$AK$6)),"-")</f>
        <v>-</v>
      </c>
      <c r="CS295" s="498" t="str">
        <f ca="1">IF(CI295="-","-",IF(COUNTIF($CI$3:CI295,CI295)&gt;1,0,IFERROR((35/50)*Calculation!$AK$6,"-")))</f>
        <v>-</v>
      </c>
    </row>
    <row r="296" spans="4:97" x14ac:dyDescent="0.5">
      <c r="D296" s="487" t="e">
        <f t="shared" si="137"/>
        <v>#DIV/0!</v>
      </c>
      <c r="E296" s="496" t="e">
        <f t="array" ref="E296">IF(IF((ROW(E296)-3)&lt;(ListAndConversion!$A$15),INDEX(Flow_Cell_Lane,MIN(IF(COUNTIF($E$2:E295,Flow_Cell_Lane)=0,ROW(Flow_Cell_Lane)-9))),"-")="","-",IF((ROW(E296)-3)&lt;(ListAndConversion!$A$15),INDEX(Flow_Cell_Lane,MIN(IF(COUNTIF($E$2:E295,Flow_Cell_Lane)=0,ROW(Flow_Cell_Lane)-9))),"-"))</f>
        <v>#DIV/0!</v>
      </c>
      <c r="F296" s="378" t="e">
        <f t="shared" si="138"/>
        <v>#DIV/0!</v>
      </c>
      <c r="G296" s="378" t="e">
        <f t="shared" si="159"/>
        <v>#DIV/0!</v>
      </c>
      <c r="H296" s="378" t="e">
        <f t="shared" si="159"/>
        <v>#DIV/0!</v>
      </c>
      <c r="I296" s="378" t="e">
        <f t="shared" si="159"/>
        <v>#DIV/0!</v>
      </c>
      <c r="J296" s="378" t="e">
        <f t="shared" si="159"/>
        <v>#DIV/0!</v>
      </c>
      <c r="K296" s="378" t="e">
        <f t="shared" si="159"/>
        <v>#DIV/0!</v>
      </c>
      <c r="L296" s="378" t="e">
        <f t="shared" si="159"/>
        <v>#DIV/0!</v>
      </c>
      <c r="M296" s="378" t="e">
        <f t="shared" si="159"/>
        <v>#DIV/0!</v>
      </c>
      <c r="N296" s="497" t="e">
        <f t="shared" si="139"/>
        <v>#DIV/0!</v>
      </c>
      <c r="O296" s="497" t="str">
        <f t="array" ref="O296">IFERROR(INDEX(Calculation!I:AN,MATCH(ListAndConversion!E296,Calculation!I:I,0),31),"-")</f>
        <v>-</v>
      </c>
      <c r="P296" s="498">
        <f>IF(COUNTIFS(Calculation!$I$10:$I$393,E296,Direct_Denaturation,"-")&lt;&gt;1,COUNTIFS(Calculation!$I$10:$I$393,E296,Direct_Denaturation,"-"),0)</f>
        <v>0</v>
      </c>
      <c r="V296" s="542" t="s">
        <v>82</v>
      </c>
      <c r="W296" s="542" t="s">
        <v>82</v>
      </c>
      <c r="X296" s="542" t="s">
        <v>82</v>
      </c>
      <c r="Y296" s="542" t="s">
        <v>82</v>
      </c>
      <c r="Z296" s="542" t="s">
        <v>82</v>
      </c>
      <c r="AA296" s="542" t="s">
        <v>82</v>
      </c>
      <c r="AB296" s="542" t="s">
        <v>82</v>
      </c>
      <c r="AC296" s="542" t="s">
        <v>82</v>
      </c>
      <c r="AD296" s="542" t="s">
        <v>82</v>
      </c>
      <c r="AE296" s="542" t="s">
        <v>82</v>
      </c>
      <c r="AF296" s="542" t="s">
        <v>82</v>
      </c>
      <c r="AG296" s="542" t="s">
        <v>82</v>
      </c>
      <c r="AH296" s="9"/>
      <c r="AI296" s="487">
        <v>293</v>
      </c>
      <c r="AJ296" s="497" t="s">
        <v>479</v>
      </c>
      <c r="AK296" s="378">
        <v>5</v>
      </c>
      <c r="AL296" s="378" t="str">
        <f t="shared" ca="1" si="140"/>
        <v>-</v>
      </c>
      <c r="AM296" s="378" t="str">
        <f t="array" aca="1" ref="AM296" ca="1">IFERROR(IF(AI296&lt;=$AB$2,"-",INDEX(Calculation_Tab,SMALL(ROW(Main_Dil)*(Main_Dil&lt;&gt;"-"),COUNTIF(Main_Dil,"-")+ROW()-3-$AB$2)-9,5)),"-")</f>
        <v>-</v>
      </c>
      <c r="AN296" s="378" t="str">
        <f t="array" aca="1" ref="AN296" ca="1">IFERROR(IF(AI296&lt;=$AB$2,"-",INDEX($A$3:$B$12,MATCH(INDEX(Calculation_Tab,SMALL(ROW(Main_Dil)*(Main_Dil&lt;&gt;"-"),COUNTIF(Main_Dil,"-")+ROW()-3-$AB$2)-9,5),$A$3:$A$12,0),2)),"-")</f>
        <v>-</v>
      </c>
      <c r="AO296" s="378" t="str">
        <f t="array" aca="1" ref="AO296" ca="1">IFERROR(IF(AI296&lt;=$AB$2,"-",INDEX(Coordinate,MATCH(INDEX(Calculation_Tab,SMALL(ROW(Main_Dil)*(Main_Dil&lt;&gt;"-"),COUNTIF(Main_Dil,"-")+ROW()-3-$AB$2)-9,6),$X$4:$X$99,0),2)),"-")</f>
        <v>-</v>
      </c>
      <c r="AP296" s="510" t="str">
        <f t="array" aca="1" ref="AP296" ca="1">IFERROR(IF(AI296&lt;=$AB$2,"-",INDEX(Calculation_Tab,SMALL(ROW(Main_Dil)*(Main_Dil&lt;&gt;"-"),COUNTIF(Main_Dil,"-")+ROW()-3-$AB$2)-9,21)),"-")</f>
        <v>-</v>
      </c>
      <c r="AQ296" s="511" t="str">
        <f t="array" aca="1" ref="AQ296" ca="1">IFERROR(IF(AI296&lt;=$AB$2,"-",INDEX(Calculation_Tab,SMALL(ROW(Main_Dil)*(Main_Dil&lt;&gt;"-"),COUNTIF(Main_Dil,"-")+ROW()-3-$AB$2)-9,22)),"-")</f>
        <v>-</v>
      </c>
      <c r="AR296" s="487" t="str">
        <f t="shared" ca="1" si="141"/>
        <v>-</v>
      </c>
      <c r="AS296" s="378">
        <v>293</v>
      </c>
      <c r="AT296" s="497" t="s">
        <v>479</v>
      </c>
      <c r="AU296" s="498">
        <v>5</v>
      </c>
      <c r="AV296" s="378" t="str">
        <f t="shared" ca="1" si="142"/>
        <v>-</v>
      </c>
      <c r="AW296" s="378" t="str">
        <f t="array" aca="1" ref="AW296" ca="1">IFERROR(IF(AS296&lt;=$AB$2+$AN$2,"-",INDEX(Calculation_Tab,SMALL(ROW(Direct_Denaturation)*(Direct_Denaturation&lt;&gt;"-"),COUNTIF(Direct_Denaturation,"-")+ROW()-3-$AB$2-$AN$2)-9,5)),"-")</f>
        <v>-</v>
      </c>
      <c r="AX296" s="378" t="str">
        <f t="array" aca="1" ref="AX296" ca="1">IFERROR(IF(AS296&lt;=$AB$2+$AN$2,"-",INDEX($A$3:$B$12,MATCH(INDEX(Calculation_Tab,SMALL(ROW(Direct_Denaturation)*(Direct_Denaturation&lt;&gt;"-"),COUNTIF(Direct_Denaturation,"-")+ROW()-3-$AB$2-$AN$2)-9,5),$A$3:$A$12,0),2)),"-")</f>
        <v>-</v>
      </c>
      <c r="AY296" s="378" t="str">
        <f t="array" aca="1" ref="AY296" ca="1">IFERROR(IF(AS296&lt;=$AB$2+$AN$2,"-",INDEX(Coordinate,MATCH(INDEX(Calculation_Tab,SMALL(ROW(Direct_Denaturation)*(Direct_Denaturation&lt;&gt;"-"),COUNTIF(Direct_Denaturation,"-")+ROW()-3-$AB$2-$AN$2)-9,6),$X$4:$X$99,0),2)),"-")</f>
        <v>-</v>
      </c>
      <c r="AZ296" s="510" t="str">
        <f t="array" aca="1" ref="AZ296" ca="1">IFERROR(IF(AS296&lt;=$AB$2+$AN$2,"-",INDEX(Calculation_Tab,SMALL(ROW(Direct_Denaturation)*(Direct_Denaturation&lt;&gt;"-"),COUNTIF(Direct_Denaturation,"-")+ROW()-3-$AB$2-$AN$2)-9,32)),"-")</f>
        <v>-</v>
      </c>
      <c r="BA296" s="510" t="str">
        <f t="array" aca="1" ref="BA296" ca="1">IFERROR(IF(AS296&lt;=$AB$2+$AN$2,"-",INDEX(Calculation_Tab,SMALL(ROW(Direct_Denaturation)*(Direct_Denaturation&lt;&gt;"-"),COUNTIF(Direct_Denaturation,"-")+ROW()-3-$AB$2-$AN$2)-9,34)),"-")</f>
        <v>-</v>
      </c>
      <c r="BB296" s="510" t="str">
        <f t="array" aca="1" ref="BB296" ca="1">IFERROR(IF(AS296&lt;=$AB$2+$AN$2,"-",INDEX(Calculation_Tab,SMALL(ROW(Direct_Denaturation)*(Direct_Denaturation&lt;&gt;"-"),COUNTIF(Direct_Denaturation,"-")+ROW()-3-$AB$2-$AN$2)-9,33)),"-")</f>
        <v>-</v>
      </c>
      <c r="BC296" s="510" t="str">
        <f t="array" aca="1" ref="BC296" ca="1">IFERROR(IF(AS296&lt;=$AB$2+$AN$2,"-",INDEX(Calculation_Tab,SMALL(ROW(Direct_Denaturation)*(Direct_Denaturation&lt;&gt;"-"),COUNTIF(Direct_Denaturation,"-")+ROW()-3-$AB$2-$AN$2)-9,35)),"-")</f>
        <v>-</v>
      </c>
      <c r="BD296" s="511" t="str">
        <f t="shared" ca="1" si="143"/>
        <v>-</v>
      </c>
      <c r="BK296" s="542" t="s">
        <v>82</v>
      </c>
      <c r="BL296" s="542" t="s">
        <v>82</v>
      </c>
      <c r="BM296" s="487" t="str">
        <f t="array" aca="1" ref="BM296" ca="1">IFERROR(INDEX(Calculation_Tab,SMALL(ROW(ToPool)*(ToPool&lt;&gt;"-"),COUNTIF(ToPool,"-")+ROW()-3)-9,3),"-")</f>
        <v>-</v>
      </c>
      <c r="BN296" s="378" t="str">
        <f t="shared" ca="1" si="144"/>
        <v>-</v>
      </c>
      <c r="BO296" s="378" t="str">
        <f t="shared" ca="1" si="145"/>
        <v>-</v>
      </c>
      <c r="BP296" s="523" t="str">
        <f t="shared" ca="1" si="146"/>
        <v>-</v>
      </c>
      <c r="BQ296" s="378" t="str">
        <f t="array" aca="1" ref="BQ296" ca="1">IFERROR(INDEX(BE:BG,MATCH(INDEX(Calculation_Tab,SMALL(ROW(ToPool)*(ToPool&lt;&gt;"-"),COUNTIF(ToPool,"-")+ROW()-3)-9,9),BG:BG,0),2),"-")</f>
        <v>-</v>
      </c>
      <c r="BR296" s="510" t="str">
        <f t="shared" ca="1" si="147"/>
        <v>-</v>
      </c>
      <c r="BS296" s="511" t="str">
        <f t="shared" ca="1" si="148"/>
        <v>-</v>
      </c>
      <c r="BT296" s="543" t="s">
        <v>82</v>
      </c>
      <c r="BU296" s="487" t="str">
        <f t="shared" ca="1" si="152"/>
        <v>-</v>
      </c>
      <c r="BV296" s="487" t="str">
        <f t="array" aca="1" ref="BV29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96" s="378" t="str">
        <f t="shared" ca="1" si="149"/>
        <v>-</v>
      </c>
      <c r="BX296" s="378" t="str">
        <f t="shared" ca="1" si="150"/>
        <v>-</v>
      </c>
      <c r="BY296" s="510" t="str">
        <f ca="1">IFERROR(ROUND(INDEX(Cluster,MATCH(IF(LEFT(BV296,4)="Pool",INDEX(Cluster,MATCH(INDEX(Calculation_Tab,MATCH(INDEX($BE$4:$BJ$99,MATCH(BV296,$BE$4:$BE$99,0),3),Flow_Cell_Lane,0),3),Cluster!$F$29:$F$412,0),6),BV296),Identifier_Cluster,0),19)*IF(LEFT(BV296,4)="pool",IF(LEN(INDEX($BE$4:$BJ$99,MATCH(BV296,$BE$4:$BE$99,0),3))=10,2,IF(LEN(INDEX($BE$4:$BJ$99,MATCH(BV296,$BE$4:$BE$99,0),3))&gt;10,LEN(INDEX($BE$4:$BJ$99,MATCH(BV296,$BE$4:$BE$99,0),3))-8,1)),1)*IF(LEFT(BV296,4)="pool",IF(INDEX($BE$4:$BJ$99,MATCH(BV296,$BE$4:$BE$99,0),6)&lt;1,1,INDEX($BE$4:$BJ$99,MATCH(BV296,$BE$4:$BE$99,0),6)),INDEX(Calculation_Tab,MATCH(BV296,Identifier,0),10)),1)*(1+Calculation!$Q$6),"-")</f>
        <v>-</v>
      </c>
      <c r="BZ296" s="378" t="str">
        <f ca="1">IFERROR((0.5/50)*CE296/Calculation!$AG$6*(IF(LEFT(BV296,4)="Pool",IF(LEN(INDEX($BE$4:$BJ$99,MATCH(BV296,$BE$4:$BE$99,0),3))=10,2,IF(LEN(INDEX($BE$4:$BJ$99,MATCH(BV296,$BE$4:$BE$99,0),3))&gt;10,LEN(INDEX($BE$4:$BJ$99,MATCH(BV296,$BE$4:$BE$99,0),3))-8,1)),IF(INDEX(Calculation_Tab,MATCH(BV296,Identifier,0),10)&gt;1,INDEX(Calculation_Tab,MATCH(BV296,Identifier,0),10),1)))*(1+Calculation!$Q$6),"-")</f>
        <v>-</v>
      </c>
      <c r="CA296" s="510" t="str">
        <f ca="1">IFERROR(IF((BZ296*Calculation!$AG$6/0.05)-SUM(BY296:BZ296,CC296)&gt;0,(BZ296*Calculation!$AG$6/0.05)-SUM(BY296:BZ296,CC296),0),"-")</f>
        <v>-</v>
      </c>
      <c r="CB296" s="510" t="str">
        <f ca="1">IFERROR(5/50*CE296*(IF(LEFT(BV296,4)="Pool",IF(LEN(INDEX($BE$4:$BJ$99,MATCH(BV296,$BE$4:$BE$99,0),3))=10,2,IF(LEN(INDEX($BE$4:$BJ$99,MATCH(BV296,$BE$4:$BE$99,0),3))&gt;10,LEN(INDEX($BE$4:$BJ$99,MATCH(BV296,$BE$4:$BE$99,0),3))-8,1)),IF(INDEX(Calculation_Tab,MATCH(BV296,Identifier,0),10)&gt;1,INDEX(Calculation_Tab,MATCH(BV296,Identifier,0),10),1)))*(1+Calculation!$Q$6),"-")</f>
        <v>-</v>
      </c>
      <c r="CC296" s="508" t="str">
        <f ca="1">IFERROR(ROUND(INDEX(Cluster,MATCH(IF(LEFT(BV296,4)="Pool",INDEX(Cluster,MATCH(INDEX(Calculation_Tab,MATCH(INDEX($BE$4:$BJ$99,MATCH(BV296,$BE$4:$BE$99,0),3),Flow_Cell_Lane,0),3),Cluster!$F$29:$F$412,0),6),BV296),Identifier_Cluster,0),20)*IF(LEFT(BV296,4)="pool",IF(LEN(INDEX($BE$4:$BJ$99,MATCH(BV296,$BE$4:$BE$99,0),3))=10,2,IF(LEN(INDEX($BE$4:$BJ$99,MATCH(BV296,$BE$4:$BE$99,0),3))&gt;10,LEN(INDEX($BE$4:$BJ$99,MATCH(BV296,$BE$4:$BE$99,0),3))-8,1)),1)*IF(LEFT(BV296,4)="pool",IF(INDEX($BE$4:$BJ$99,MATCH(BV296,$BE$4:$BE$99,0),6)&lt;1,1,INDEX($BE$4:$BJ$99,MATCH(BV296,$BE$4:$BE$99,0),6)),INDEX(Calculation_Tab,MATCH(BV296,Identifier,0),10)),1)*(1+Calculation!$Q$6),"-")</f>
        <v>-</v>
      </c>
      <c r="CD296" s="509" t="str">
        <f ca="1">IFERROR(INDEX(Cluster!AC:AD,MATCH(IF(LEFT(BV296,4)="Pool",INDEX(Cluster!$D$29:$AA$412,MATCH(INDEX(Calculation_Tab,MATCH(INDEX($BE$4:$BJ$99,MATCH(BV296,$BE$4:$BE$99,0),3),Flow_Cell_Lane,0),3),Cluster!$F$29:$F$412,0),24),INDEX(Cluster!$D$29:$AA$412,MATCH(BV296,Cluster!$F$29:$F$412,0),24)),Cluster!AC:AC,0),2),"-")</f>
        <v>-</v>
      </c>
      <c r="CE296" s="378" t="str">
        <f ca="1">IFERROR(IF(BV296&lt;&gt;"-",Calculation!$AK$6,"-"),"-")</f>
        <v>-</v>
      </c>
      <c r="CF296" s="378" t="str">
        <f ca="1">IF(OR(LEFT(ListAndConversion!BW296,3)="Dil",LEFT(ListAndConversion!BW296,3)="Poo"),ListAndConversion!$BT$4,IF(LEFT(ListAndConversion!BW296,3)="Sou",INDEX(ListAndConversion!$AT$3:$AV$387,MATCH(ListAndConversion!BV296,ListAndConversion!$AV$3:$AV$387,0),1),"-"))</f>
        <v>-</v>
      </c>
      <c r="CG296" s="498" t="str">
        <f ca="1">IF(OR(LEFT(ListAndConversion!BW296,3)="Dil",LEFT(ListAndConversion!BW296,3)="Poo"),ListAndConversion!BU296,IF(LEFT(ListAndConversion!BW296,3)="Sou",INDEX(ListAndConversion!$AT$4:$AV$387,MATCH(ListAndConversion!BV296,ListAndConversion!$AV$4:$AV$387,0),2),"-"))</f>
        <v>-</v>
      </c>
      <c r="CH296" s="378"/>
      <c r="CI296" s="487" t="str">
        <f t="shared" ca="1" si="151"/>
        <v>-</v>
      </c>
      <c r="CJ296" s="378" t="str">
        <f t="shared" ca="1" si="160"/>
        <v>-</v>
      </c>
      <c r="CK296" s="378" t="str">
        <f t="shared" ca="1" si="160"/>
        <v>-</v>
      </c>
      <c r="CL296" s="378" t="str">
        <f t="shared" ca="1" si="160"/>
        <v>-</v>
      </c>
      <c r="CM296" s="378" t="str">
        <f t="shared" ca="1" si="160"/>
        <v>-</v>
      </c>
      <c r="CN296" s="378" t="str">
        <f t="shared" ca="1" si="160"/>
        <v>-</v>
      </c>
      <c r="CO296" s="378" t="str">
        <f t="shared" ca="1" si="160"/>
        <v>-</v>
      </c>
      <c r="CP296" s="378" t="str">
        <f t="shared" ca="1" si="160"/>
        <v>-</v>
      </c>
      <c r="CQ296" s="378" t="str">
        <f t="shared" ca="1" si="160"/>
        <v>-</v>
      </c>
      <c r="CR296" s="510" t="str">
        <f ca="1">IFERROR(IF(LEFT(BW296,3)="Poo",INDEX($BE$4:$BJ$99,MATCH(CI296,$BG$4:$BG$99,0),6)*((15/50))*Calculation!$AK$6,INDEX(Calculation_Tab,MATCH(BV296,Identifier,0),10)/(IF(LEN(INDEX(Calculation_Tab,MATCH(BV296,Identifier,0),9))&gt;8,LEN(INDEX(Calculation_Tab,MATCH(BV296,Identifier,0),9))-8,1))*((15/50)*Calculation!$AK$6)),"-")</f>
        <v>-</v>
      </c>
      <c r="CS296" s="498" t="str">
        <f ca="1">IF(CI296="-","-",IF(COUNTIF($CI$3:CI296,CI296)&gt;1,0,IFERROR((35/50)*Calculation!$AK$6,"-")))</f>
        <v>-</v>
      </c>
    </row>
    <row r="297" spans="4:97" x14ac:dyDescent="0.5">
      <c r="D297" s="487" t="e">
        <f t="shared" si="137"/>
        <v>#DIV/0!</v>
      </c>
      <c r="E297" s="496" t="e">
        <f t="array" ref="E297">IF(IF((ROW(E297)-3)&lt;(ListAndConversion!$A$15),INDEX(Flow_Cell_Lane,MIN(IF(COUNTIF($E$2:E296,Flow_Cell_Lane)=0,ROW(Flow_Cell_Lane)-9))),"-")="","-",IF((ROW(E297)-3)&lt;(ListAndConversion!$A$15),INDEX(Flow_Cell_Lane,MIN(IF(COUNTIF($E$2:E296,Flow_Cell_Lane)=0,ROW(Flow_Cell_Lane)-9))),"-"))</f>
        <v>#DIV/0!</v>
      </c>
      <c r="F297" s="378" t="e">
        <f t="shared" si="138"/>
        <v>#DIV/0!</v>
      </c>
      <c r="G297" s="378" t="e">
        <f t="shared" si="159"/>
        <v>#DIV/0!</v>
      </c>
      <c r="H297" s="378" t="e">
        <f t="shared" si="159"/>
        <v>#DIV/0!</v>
      </c>
      <c r="I297" s="378" t="e">
        <f t="shared" si="159"/>
        <v>#DIV/0!</v>
      </c>
      <c r="J297" s="378" t="e">
        <f t="shared" si="159"/>
        <v>#DIV/0!</v>
      </c>
      <c r="K297" s="378" t="e">
        <f t="shared" si="159"/>
        <v>#DIV/0!</v>
      </c>
      <c r="L297" s="378" t="e">
        <f t="shared" si="159"/>
        <v>#DIV/0!</v>
      </c>
      <c r="M297" s="378" t="e">
        <f t="shared" si="159"/>
        <v>#DIV/0!</v>
      </c>
      <c r="N297" s="497" t="e">
        <f t="shared" si="139"/>
        <v>#DIV/0!</v>
      </c>
      <c r="O297" s="497" t="str">
        <f t="array" ref="O297">IFERROR(INDEX(Calculation!I:AN,MATCH(ListAndConversion!E297,Calculation!I:I,0),31),"-")</f>
        <v>-</v>
      </c>
      <c r="P297" s="498">
        <f>IF(COUNTIFS(Calculation!$I$10:$I$393,E297,Direct_Denaturation,"-")&lt;&gt;1,COUNTIFS(Calculation!$I$10:$I$393,E297,Direct_Denaturation,"-"),0)</f>
        <v>0</v>
      </c>
      <c r="V297" s="542" t="s">
        <v>82</v>
      </c>
      <c r="W297" s="542" t="s">
        <v>82</v>
      </c>
      <c r="X297" s="542" t="s">
        <v>82</v>
      </c>
      <c r="Y297" s="542" t="s">
        <v>82</v>
      </c>
      <c r="Z297" s="542" t="s">
        <v>82</v>
      </c>
      <c r="AA297" s="542" t="s">
        <v>82</v>
      </c>
      <c r="AB297" s="542" t="s">
        <v>82</v>
      </c>
      <c r="AC297" s="542" t="s">
        <v>82</v>
      </c>
      <c r="AD297" s="542" t="s">
        <v>82</v>
      </c>
      <c r="AE297" s="542" t="s">
        <v>82</v>
      </c>
      <c r="AF297" s="542" t="s">
        <v>82</v>
      </c>
      <c r="AG297" s="542" t="s">
        <v>82</v>
      </c>
      <c r="AH297" s="9"/>
      <c r="AI297" s="487">
        <v>294</v>
      </c>
      <c r="AJ297" s="497" t="s">
        <v>479</v>
      </c>
      <c r="AK297" s="378">
        <v>6</v>
      </c>
      <c r="AL297" s="378" t="str">
        <f t="shared" ca="1" si="140"/>
        <v>-</v>
      </c>
      <c r="AM297" s="378" t="str">
        <f t="array" aca="1" ref="AM297" ca="1">IFERROR(IF(AI297&lt;=$AB$2,"-",INDEX(Calculation_Tab,SMALL(ROW(Main_Dil)*(Main_Dil&lt;&gt;"-"),COUNTIF(Main_Dil,"-")+ROW()-3-$AB$2)-9,5)),"-")</f>
        <v>-</v>
      </c>
      <c r="AN297" s="378" t="str">
        <f t="array" aca="1" ref="AN297" ca="1">IFERROR(IF(AI297&lt;=$AB$2,"-",INDEX($A$3:$B$12,MATCH(INDEX(Calculation_Tab,SMALL(ROW(Main_Dil)*(Main_Dil&lt;&gt;"-"),COUNTIF(Main_Dil,"-")+ROW()-3-$AB$2)-9,5),$A$3:$A$12,0),2)),"-")</f>
        <v>-</v>
      </c>
      <c r="AO297" s="378" t="str">
        <f t="array" aca="1" ref="AO297" ca="1">IFERROR(IF(AI297&lt;=$AB$2,"-",INDEX(Coordinate,MATCH(INDEX(Calculation_Tab,SMALL(ROW(Main_Dil)*(Main_Dil&lt;&gt;"-"),COUNTIF(Main_Dil,"-")+ROW()-3-$AB$2)-9,6),$X$4:$X$99,0),2)),"-")</f>
        <v>-</v>
      </c>
      <c r="AP297" s="510" t="str">
        <f t="array" aca="1" ref="AP297" ca="1">IFERROR(IF(AI297&lt;=$AB$2,"-",INDEX(Calculation_Tab,SMALL(ROW(Main_Dil)*(Main_Dil&lt;&gt;"-"),COUNTIF(Main_Dil,"-")+ROW()-3-$AB$2)-9,21)),"-")</f>
        <v>-</v>
      </c>
      <c r="AQ297" s="511" t="str">
        <f t="array" aca="1" ref="AQ297" ca="1">IFERROR(IF(AI297&lt;=$AB$2,"-",INDEX(Calculation_Tab,SMALL(ROW(Main_Dil)*(Main_Dil&lt;&gt;"-"),COUNTIF(Main_Dil,"-")+ROW()-3-$AB$2)-9,22)),"-")</f>
        <v>-</v>
      </c>
      <c r="AR297" s="487" t="str">
        <f t="shared" ca="1" si="141"/>
        <v>-</v>
      </c>
      <c r="AS297" s="378">
        <v>294</v>
      </c>
      <c r="AT297" s="497" t="s">
        <v>479</v>
      </c>
      <c r="AU297" s="498">
        <v>6</v>
      </c>
      <c r="AV297" s="378" t="str">
        <f t="shared" ca="1" si="142"/>
        <v>-</v>
      </c>
      <c r="AW297" s="378" t="str">
        <f t="array" aca="1" ref="AW297" ca="1">IFERROR(IF(AS297&lt;=$AB$2+$AN$2,"-",INDEX(Calculation_Tab,SMALL(ROW(Direct_Denaturation)*(Direct_Denaturation&lt;&gt;"-"),COUNTIF(Direct_Denaturation,"-")+ROW()-3-$AB$2-$AN$2)-9,5)),"-")</f>
        <v>-</v>
      </c>
      <c r="AX297" s="378" t="str">
        <f t="array" aca="1" ref="AX297" ca="1">IFERROR(IF(AS297&lt;=$AB$2+$AN$2,"-",INDEX($A$3:$B$12,MATCH(INDEX(Calculation_Tab,SMALL(ROW(Direct_Denaturation)*(Direct_Denaturation&lt;&gt;"-"),COUNTIF(Direct_Denaturation,"-")+ROW()-3-$AB$2-$AN$2)-9,5),$A$3:$A$12,0),2)),"-")</f>
        <v>-</v>
      </c>
      <c r="AY297" s="378" t="str">
        <f t="array" aca="1" ref="AY297" ca="1">IFERROR(IF(AS297&lt;=$AB$2+$AN$2,"-",INDEX(Coordinate,MATCH(INDEX(Calculation_Tab,SMALL(ROW(Direct_Denaturation)*(Direct_Denaturation&lt;&gt;"-"),COUNTIF(Direct_Denaturation,"-")+ROW()-3-$AB$2-$AN$2)-9,6),$X$4:$X$99,0),2)),"-")</f>
        <v>-</v>
      </c>
      <c r="AZ297" s="510" t="str">
        <f t="array" aca="1" ref="AZ297" ca="1">IFERROR(IF(AS297&lt;=$AB$2+$AN$2,"-",INDEX(Calculation_Tab,SMALL(ROW(Direct_Denaturation)*(Direct_Denaturation&lt;&gt;"-"),COUNTIF(Direct_Denaturation,"-")+ROW()-3-$AB$2-$AN$2)-9,32)),"-")</f>
        <v>-</v>
      </c>
      <c r="BA297" s="510" t="str">
        <f t="array" aca="1" ref="BA297" ca="1">IFERROR(IF(AS297&lt;=$AB$2+$AN$2,"-",INDEX(Calculation_Tab,SMALL(ROW(Direct_Denaturation)*(Direct_Denaturation&lt;&gt;"-"),COUNTIF(Direct_Denaturation,"-")+ROW()-3-$AB$2-$AN$2)-9,34)),"-")</f>
        <v>-</v>
      </c>
      <c r="BB297" s="510" t="str">
        <f t="array" aca="1" ref="BB297" ca="1">IFERROR(IF(AS297&lt;=$AB$2+$AN$2,"-",INDEX(Calculation_Tab,SMALL(ROW(Direct_Denaturation)*(Direct_Denaturation&lt;&gt;"-"),COUNTIF(Direct_Denaturation,"-")+ROW()-3-$AB$2-$AN$2)-9,33)),"-")</f>
        <v>-</v>
      </c>
      <c r="BC297" s="510" t="str">
        <f t="array" aca="1" ref="BC297" ca="1">IFERROR(IF(AS297&lt;=$AB$2+$AN$2,"-",INDEX(Calculation_Tab,SMALL(ROW(Direct_Denaturation)*(Direct_Denaturation&lt;&gt;"-"),COUNTIF(Direct_Denaturation,"-")+ROW()-3-$AB$2-$AN$2)-9,35)),"-")</f>
        <v>-</v>
      </c>
      <c r="BD297" s="511" t="str">
        <f t="shared" ca="1" si="143"/>
        <v>-</v>
      </c>
      <c r="BK297" s="542" t="s">
        <v>82</v>
      </c>
      <c r="BL297" s="542" t="s">
        <v>82</v>
      </c>
      <c r="BM297" s="487" t="str">
        <f t="array" aca="1" ref="BM297" ca="1">IFERROR(INDEX(Calculation_Tab,SMALL(ROW(ToPool)*(ToPool&lt;&gt;"-"),COUNTIF(ToPool,"-")+ROW()-3)-9,3),"-")</f>
        <v>-</v>
      </c>
      <c r="BN297" s="378" t="str">
        <f t="shared" ca="1" si="144"/>
        <v>-</v>
      </c>
      <c r="BO297" s="378" t="str">
        <f t="shared" ca="1" si="145"/>
        <v>-</v>
      </c>
      <c r="BP297" s="523" t="str">
        <f t="shared" ca="1" si="146"/>
        <v>-</v>
      </c>
      <c r="BQ297" s="378" t="str">
        <f t="array" aca="1" ref="BQ297" ca="1">IFERROR(INDEX(BE:BG,MATCH(INDEX(Calculation_Tab,SMALL(ROW(ToPool)*(ToPool&lt;&gt;"-"),COUNTIF(ToPool,"-")+ROW()-3)-9,9),BG:BG,0),2),"-")</f>
        <v>-</v>
      </c>
      <c r="BR297" s="510" t="str">
        <f t="shared" ca="1" si="147"/>
        <v>-</v>
      </c>
      <c r="BS297" s="511" t="str">
        <f t="shared" ca="1" si="148"/>
        <v>-</v>
      </c>
      <c r="BT297" s="543" t="s">
        <v>82</v>
      </c>
      <c r="BU297" s="487" t="str">
        <f t="shared" ca="1" si="152"/>
        <v>-</v>
      </c>
      <c r="BV297" s="487" t="str">
        <f t="array" aca="1" ref="BV29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97" s="378" t="str">
        <f t="shared" ca="1" si="149"/>
        <v>-</v>
      </c>
      <c r="BX297" s="378" t="str">
        <f t="shared" ca="1" si="150"/>
        <v>-</v>
      </c>
      <c r="BY297" s="510" t="str">
        <f ca="1">IFERROR(ROUND(INDEX(Cluster,MATCH(IF(LEFT(BV297,4)="Pool",INDEX(Cluster,MATCH(INDEX(Calculation_Tab,MATCH(INDEX($BE$4:$BJ$99,MATCH(BV297,$BE$4:$BE$99,0),3),Flow_Cell_Lane,0),3),Cluster!$F$29:$F$412,0),6),BV297),Identifier_Cluster,0),19)*IF(LEFT(BV297,4)="pool",IF(LEN(INDEX($BE$4:$BJ$99,MATCH(BV297,$BE$4:$BE$99,0),3))=10,2,IF(LEN(INDEX($BE$4:$BJ$99,MATCH(BV297,$BE$4:$BE$99,0),3))&gt;10,LEN(INDEX($BE$4:$BJ$99,MATCH(BV297,$BE$4:$BE$99,0),3))-8,1)),1)*IF(LEFT(BV297,4)="pool",IF(INDEX($BE$4:$BJ$99,MATCH(BV297,$BE$4:$BE$99,0),6)&lt;1,1,INDEX($BE$4:$BJ$99,MATCH(BV297,$BE$4:$BE$99,0),6)),INDEX(Calculation_Tab,MATCH(BV297,Identifier,0),10)),1)*(1+Calculation!$Q$6),"-")</f>
        <v>-</v>
      </c>
      <c r="BZ297" s="378" t="str">
        <f ca="1">IFERROR((0.5/50)*CE297/Calculation!$AG$6*(IF(LEFT(BV297,4)="Pool",IF(LEN(INDEX($BE$4:$BJ$99,MATCH(BV297,$BE$4:$BE$99,0),3))=10,2,IF(LEN(INDEX($BE$4:$BJ$99,MATCH(BV297,$BE$4:$BE$99,0),3))&gt;10,LEN(INDEX($BE$4:$BJ$99,MATCH(BV297,$BE$4:$BE$99,0),3))-8,1)),IF(INDEX(Calculation_Tab,MATCH(BV297,Identifier,0),10)&gt;1,INDEX(Calculation_Tab,MATCH(BV297,Identifier,0),10),1)))*(1+Calculation!$Q$6),"-")</f>
        <v>-</v>
      </c>
      <c r="CA297" s="510" t="str">
        <f ca="1">IFERROR(IF((BZ297*Calculation!$AG$6/0.05)-SUM(BY297:BZ297,CC297)&gt;0,(BZ297*Calculation!$AG$6/0.05)-SUM(BY297:BZ297,CC297),0),"-")</f>
        <v>-</v>
      </c>
      <c r="CB297" s="510" t="str">
        <f ca="1">IFERROR(5/50*CE297*(IF(LEFT(BV297,4)="Pool",IF(LEN(INDEX($BE$4:$BJ$99,MATCH(BV297,$BE$4:$BE$99,0),3))=10,2,IF(LEN(INDEX($BE$4:$BJ$99,MATCH(BV297,$BE$4:$BE$99,0),3))&gt;10,LEN(INDEX($BE$4:$BJ$99,MATCH(BV297,$BE$4:$BE$99,0),3))-8,1)),IF(INDEX(Calculation_Tab,MATCH(BV297,Identifier,0),10)&gt;1,INDEX(Calculation_Tab,MATCH(BV297,Identifier,0),10),1)))*(1+Calculation!$Q$6),"-")</f>
        <v>-</v>
      </c>
      <c r="CC297" s="508" t="str">
        <f ca="1">IFERROR(ROUND(INDEX(Cluster,MATCH(IF(LEFT(BV297,4)="Pool",INDEX(Cluster,MATCH(INDEX(Calculation_Tab,MATCH(INDEX($BE$4:$BJ$99,MATCH(BV297,$BE$4:$BE$99,0),3),Flow_Cell_Lane,0),3),Cluster!$F$29:$F$412,0),6),BV297),Identifier_Cluster,0),20)*IF(LEFT(BV297,4)="pool",IF(LEN(INDEX($BE$4:$BJ$99,MATCH(BV297,$BE$4:$BE$99,0),3))=10,2,IF(LEN(INDEX($BE$4:$BJ$99,MATCH(BV297,$BE$4:$BE$99,0),3))&gt;10,LEN(INDEX($BE$4:$BJ$99,MATCH(BV297,$BE$4:$BE$99,0),3))-8,1)),1)*IF(LEFT(BV297,4)="pool",IF(INDEX($BE$4:$BJ$99,MATCH(BV297,$BE$4:$BE$99,0),6)&lt;1,1,INDEX($BE$4:$BJ$99,MATCH(BV297,$BE$4:$BE$99,0),6)),INDEX(Calculation_Tab,MATCH(BV297,Identifier,0),10)),1)*(1+Calculation!$Q$6),"-")</f>
        <v>-</v>
      </c>
      <c r="CD297" s="509" t="str">
        <f ca="1">IFERROR(INDEX(Cluster!AC:AD,MATCH(IF(LEFT(BV297,4)="Pool",INDEX(Cluster!$D$29:$AA$412,MATCH(INDEX(Calculation_Tab,MATCH(INDEX($BE$4:$BJ$99,MATCH(BV297,$BE$4:$BE$99,0),3),Flow_Cell_Lane,0),3),Cluster!$F$29:$F$412,0),24),INDEX(Cluster!$D$29:$AA$412,MATCH(BV297,Cluster!$F$29:$F$412,0),24)),Cluster!AC:AC,0),2),"-")</f>
        <v>-</v>
      </c>
      <c r="CE297" s="378" t="str">
        <f ca="1">IFERROR(IF(BV297&lt;&gt;"-",Calculation!$AK$6,"-"),"-")</f>
        <v>-</v>
      </c>
      <c r="CF297" s="378" t="str">
        <f ca="1">IF(OR(LEFT(ListAndConversion!BW297,3)="Dil",LEFT(ListAndConversion!BW297,3)="Poo"),ListAndConversion!$BT$4,IF(LEFT(ListAndConversion!BW297,3)="Sou",INDEX(ListAndConversion!$AT$3:$AV$387,MATCH(ListAndConversion!BV297,ListAndConversion!$AV$3:$AV$387,0),1),"-"))</f>
        <v>-</v>
      </c>
      <c r="CG297" s="498" t="str">
        <f ca="1">IF(OR(LEFT(ListAndConversion!BW297,3)="Dil",LEFT(ListAndConversion!BW297,3)="Poo"),ListAndConversion!BU297,IF(LEFT(ListAndConversion!BW297,3)="Sou",INDEX(ListAndConversion!$AT$4:$AV$387,MATCH(ListAndConversion!BV297,ListAndConversion!$AV$4:$AV$387,0),2),"-"))</f>
        <v>-</v>
      </c>
      <c r="CH297" s="378"/>
      <c r="CI297" s="487" t="str">
        <f t="shared" ca="1" si="151"/>
        <v>-</v>
      </c>
      <c r="CJ297" s="378" t="str">
        <f t="shared" ca="1" si="160"/>
        <v>-</v>
      </c>
      <c r="CK297" s="378" t="str">
        <f t="shared" ca="1" si="160"/>
        <v>-</v>
      </c>
      <c r="CL297" s="378" t="str">
        <f t="shared" ca="1" si="160"/>
        <v>-</v>
      </c>
      <c r="CM297" s="378" t="str">
        <f t="shared" ca="1" si="160"/>
        <v>-</v>
      </c>
      <c r="CN297" s="378" t="str">
        <f t="shared" ca="1" si="160"/>
        <v>-</v>
      </c>
      <c r="CO297" s="378" t="str">
        <f t="shared" ca="1" si="160"/>
        <v>-</v>
      </c>
      <c r="CP297" s="378" t="str">
        <f t="shared" ca="1" si="160"/>
        <v>-</v>
      </c>
      <c r="CQ297" s="378" t="str">
        <f t="shared" ca="1" si="160"/>
        <v>-</v>
      </c>
      <c r="CR297" s="510" t="str">
        <f ca="1">IFERROR(IF(LEFT(BW297,3)="Poo",INDEX($BE$4:$BJ$99,MATCH(CI297,$BG$4:$BG$99,0),6)*((15/50))*Calculation!$AK$6,INDEX(Calculation_Tab,MATCH(BV297,Identifier,0),10)/(IF(LEN(INDEX(Calculation_Tab,MATCH(BV297,Identifier,0),9))&gt;8,LEN(INDEX(Calculation_Tab,MATCH(BV297,Identifier,0),9))-8,1))*((15/50)*Calculation!$AK$6)),"-")</f>
        <v>-</v>
      </c>
      <c r="CS297" s="498" t="str">
        <f ca="1">IF(CI297="-","-",IF(COUNTIF($CI$3:CI297,CI297)&gt;1,0,IFERROR((35/50)*Calculation!$AK$6,"-")))</f>
        <v>-</v>
      </c>
    </row>
    <row r="298" spans="4:97" x14ac:dyDescent="0.5">
      <c r="D298" s="487" t="e">
        <f t="shared" si="137"/>
        <v>#DIV/0!</v>
      </c>
      <c r="E298" s="496" t="e">
        <f t="array" ref="E298">IF(IF((ROW(E298)-3)&lt;(ListAndConversion!$A$15),INDEX(Flow_Cell_Lane,MIN(IF(COUNTIF($E$2:E297,Flow_Cell_Lane)=0,ROW(Flow_Cell_Lane)-9))),"-")="","-",IF((ROW(E298)-3)&lt;(ListAndConversion!$A$15),INDEX(Flow_Cell_Lane,MIN(IF(COUNTIF($E$2:E297,Flow_Cell_Lane)=0,ROW(Flow_Cell_Lane)-9))),"-"))</f>
        <v>#DIV/0!</v>
      </c>
      <c r="F298" s="378" t="e">
        <f t="shared" si="138"/>
        <v>#DIV/0!</v>
      </c>
      <c r="G298" s="378" t="e">
        <f t="shared" si="159"/>
        <v>#DIV/0!</v>
      </c>
      <c r="H298" s="378" t="e">
        <f t="shared" si="159"/>
        <v>#DIV/0!</v>
      </c>
      <c r="I298" s="378" t="e">
        <f t="shared" si="159"/>
        <v>#DIV/0!</v>
      </c>
      <c r="J298" s="378" t="e">
        <f t="shared" si="159"/>
        <v>#DIV/0!</v>
      </c>
      <c r="K298" s="378" t="e">
        <f t="shared" si="159"/>
        <v>#DIV/0!</v>
      </c>
      <c r="L298" s="378" t="e">
        <f t="shared" si="159"/>
        <v>#DIV/0!</v>
      </c>
      <c r="M298" s="378" t="e">
        <f t="shared" si="159"/>
        <v>#DIV/0!</v>
      </c>
      <c r="N298" s="497" t="e">
        <f t="shared" si="139"/>
        <v>#DIV/0!</v>
      </c>
      <c r="O298" s="497" t="str">
        <f t="array" ref="O298">IFERROR(INDEX(Calculation!I:AN,MATCH(ListAndConversion!E298,Calculation!I:I,0),31),"-")</f>
        <v>-</v>
      </c>
      <c r="P298" s="498">
        <f>IF(COUNTIFS(Calculation!$I$10:$I$393,E298,Direct_Denaturation,"-")&lt;&gt;1,COUNTIFS(Calculation!$I$10:$I$393,E298,Direct_Denaturation,"-"),0)</f>
        <v>0</v>
      </c>
      <c r="V298" s="542" t="s">
        <v>82</v>
      </c>
      <c r="W298" s="542" t="s">
        <v>82</v>
      </c>
      <c r="X298" s="542" t="s">
        <v>82</v>
      </c>
      <c r="Y298" s="542" t="s">
        <v>82</v>
      </c>
      <c r="Z298" s="542" t="s">
        <v>82</v>
      </c>
      <c r="AA298" s="542" t="s">
        <v>82</v>
      </c>
      <c r="AB298" s="542" t="s">
        <v>82</v>
      </c>
      <c r="AC298" s="542" t="s">
        <v>82</v>
      </c>
      <c r="AD298" s="542" t="s">
        <v>82</v>
      </c>
      <c r="AE298" s="542" t="s">
        <v>82</v>
      </c>
      <c r="AF298" s="542" t="s">
        <v>82</v>
      </c>
      <c r="AG298" s="542" t="s">
        <v>82</v>
      </c>
      <c r="AH298" s="9"/>
      <c r="AI298" s="487">
        <v>295</v>
      </c>
      <c r="AJ298" s="497" t="s">
        <v>479</v>
      </c>
      <c r="AK298" s="378">
        <v>7</v>
      </c>
      <c r="AL298" s="378" t="str">
        <f t="shared" ca="1" si="140"/>
        <v>-</v>
      </c>
      <c r="AM298" s="378" t="str">
        <f t="array" aca="1" ref="AM298" ca="1">IFERROR(IF(AI298&lt;=$AB$2,"-",INDEX(Calculation_Tab,SMALL(ROW(Main_Dil)*(Main_Dil&lt;&gt;"-"),COUNTIF(Main_Dil,"-")+ROW()-3-$AB$2)-9,5)),"-")</f>
        <v>-</v>
      </c>
      <c r="AN298" s="378" t="str">
        <f t="array" aca="1" ref="AN298" ca="1">IFERROR(IF(AI298&lt;=$AB$2,"-",INDEX($A$3:$B$12,MATCH(INDEX(Calculation_Tab,SMALL(ROW(Main_Dil)*(Main_Dil&lt;&gt;"-"),COUNTIF(Main_Dil,"-")+ROW()-3-$AB$2)-9,5),$A$3:$A$12,0),2)),"-")</f>
        <v>-</v>
      </c>
      <c r="AO298" s="378" t="str">
        <f t="array" aca="1" ref="AO298" ca="1">IFERROR(IF(AI298&lt;=$AB$2,"-",INDEX(Coordinate,MATCH(INDEX(Calculation_Tab,SMALL(ROW(Main_Dil)*(Main_Dil&lt;&gt;"-"),COUNTIF(Main_Dil,"-")+ROW()-3-$AB$2)-9,6),$X$4:$X$99,0),2)),"-")</f>
        <v>-</v>
      </c>
      <c r="AP298" s="510" t="str">
        <f t="array" aca="1" ref="AP298" ca="1">IFERROR(IF(AI298&lt;=$AB$2,"-",INDEX(Calculation_Tab,SMALL(ROW(Main_Dil)*(Main_Dil&lt;&gt;"-"),COUNTIF(Main_Dil,"-")+ROW()-3-$AB$2)-9,21)),"-")</f>
        <v>-</v>
      </c>
      <c r="AQ298" s="511" t="str">
        <f t="array" aca="1" ref="AQ298" ca="1">IFERROR(IF(AI298&lt;=$AB$2,"-",INDEX(Calculation_Tab,SMALL(ROW(Main_Dil)*(Main_Dil&lt;&gt;"-"),COUNTIF(Main_Dil,"-")+ROW()-3-$AB$2)-9,22)),"-")</f>
        <v>-</v>
      </c>
      <c r="AR298" s="487" t="str">
        <f t="shared" ca="1" si="141"/>
        <v>-</v>
      </c>
      <c r="AS298" s="378">
        <v>295</v>
      </c>
      <c r="AT298" s="497" t="s">
        <v>479</v>
      </c>
      <c r="AU298" s="498">
        <v>7</v>
      </c>
      <c r="AV298" s="378" t="str">
        <f t="shared" ca="1" si="142"/>
        <v>-</v>
      </c>
      <c r="AW298" s="378" t="str">
        <f t="array" aca="1" ref="AW298" ca="1">IFERROR(IF(AS298&lt;=$AB$2+$AN$2,"-",INDEX(Calculation_Tab,SMALL(ROW(Direct_Denaturation)*(Direct_Denaturation&lt;&gt;"-"),COUNTIF(Direct_Denaturation,"-")+ROW()-3-$AB$2-$AN$2)-9,5)),"-")</f>
        <v>-</v>
      </c>
      <c r="AX298" s="378" t="str">
        <f t="array" aca="1" ref="AX298" ca="1">IFERROR(IF(AS298&lt;=$AB$2+$AN$2,"-",INDEX($A$3:$B$12,MATCH(INDEX(Calculation_Tab,SMALL(ROW(Direct_Denaturation)*(Direct_Denaturation&lt;&gt;"-"),COUNTIF(Direct_Denaturation,"-")+ROW()-3-$AB$2-$AN$2)-9,5),$A$3:$A$12,0),2)),"-")</f>
        <v>-</v>
      </c>
      <c r="AY298" s="378" t="str">
        <f t="array" aca="1" ref="AY298" ca="1">IFERROR(IF(AS298&lt;=$AB$2+$AN$2,"-",INDEX(Coordinate,MATCH(INDEX(Calculation_Tab,SMALL(ROW(Direct_Denaturation)*(Direct_Denaturation&lt;&gt;"-"),COUNTIF(Direct_Denaturation,"-")+ROW()-3-$AB$2-$AN$2)-9,6),$X$4:$X$99,0),2)),"-")</f>
        <v>-</v>
      </c>
      <c r="AZ298" s="510" t="str">
        <f t="array" aca="1" ref="AZ298" ca="1">IFERROR(IF(AS298&lt;=$AB$2+$AN$2,"-",INDEX(Calculation_Tab,SMALL(ROW(Direct_Denaturation)*(Direct_Denaturation&lt;&gt;"-"),COUNTIF(Direct_Denaturation,"-")+ROW()-3-$AB$2-$AN$2)-9,32)),"-")</f>
        <v>-</v>
      </c>
      <c r="BA298" s="510" t="str">
        <f t="array" aca="1" ref="BA298" ca="1">IFERROR(IF(AS298&lt;=$AB$2+$AN$2,"-",INDEX(Calculation_Tab,SMALL(ROW(Direct_Denaturation)*(Direct_Denaturation&lt;&gt;"-"),COUNTIF(Direct_Denaturation,"-")+ROW()-3-$AB$2-$AN$2)-9,34)),"-")</f>
        <v>-</v>
      </c>
      <c r="BB298" s="510" t="str">
        <f t="array" aca="1" ref="BB298" ca="1">IFERROR(IF(AS298&lt;=$AB$2+$AN$2,"-",INDEX(Calculation_Tab,SMALL(ROW(Direct_Denaturation)*(Direct_Denaturation&lt;&gt;"-"),COUNTIF(Direct_Denaturation,"-")+ROW()-3-$AB$2-$AN$2)-9,33)),"-")</f>
        <v>-</v>
      </c>
      <c r="BC298" s="510" t="str">
        <f t="array" aca="1" ref="BC298" ca="1">IFERROR(IF(AS298&lt;=$AB$2+$AN$2,"-",INDEX(Calculation_Tab,SMALL(ROW(Direct_Denaturation)*(Direct_Denaturation&lt;&gt;"-"),COUNTIF(Direct_Denaturation,"-")+ROW()-3-$AB$2-$AN$2)-9,35)),"-")</f>
        <v>-</v>
      </c>
      <c r="BD298" s="511" t="str">
        <f t="shared" ca="1" si="143"/>
        <v>-</v>
      </c>
      <c r="BK298" s="542" t="s">
        <v>82</v>
      </c>
      <c r="BL298" s="542" t="s">
        <v>82</v>
      </c>
      <c r="BM298" s="487" t="str">
        <f t="array" aca="1" ref="BM298" ca="1">IFERROR(INDEX(Calculation_Tab,SMALL(ROW(ToPool)*(ToPool&lt;&gt;"-"),COUNTIF(ToPool,"-")+ROW()-3)-9,3),"-")</f>
        <v>-</v>
      </c>
      <c r="BN298" s="378" t="str">
        <f t="shared" ca="1" si="144"/>
        <v>-</v>
      </c>
      <c r="BO298" s="378" t="str">
        <f t="shared" ca="1" si="145"/>
        <v>-</v>
      </c>
      <c r="BP298" s="523" t="str">
        <f t="shared" ca="1" si="146"/>
        <v>-</v>
      </c>
      <c r="BQ298" s="378" t="str">
        <f t="array" aca="1" ref="BQ298" ca="1">IFERROR(INDEX(BE:BG,MATCH(INDEX(Calculation_Tab,SMALL(ROW(ToPool)*(ToPool&lt;&gt;"-"),COUNTIF(ToPool,"-")+ROW()-3)-9,9),BG:BG,0),2),"-")</f>
        <v>-</v>
      </c>
      <c r="BR298" s="510" t="str">
        <f t="shared" ca="1" si="147"/>
        <v>-</v>
      </c>
      <c r="BS298" s="511" t="str">
        <f t="shared" ca="1" si="148"/>
        <v>-</v>
      </c>
      <c r="BT298" s="543" t="s">
        <v>82</v>
      </c>
      <c r="BU298" s="487" t="str">
        <f t="shared" ca="1" si="152"/>
        <v>-</v>
      </c>
      <c r="BV298" s="487" t="str">
        <f t="array" aca="1" ref="BV29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98" s="378" t="str">
        <f t="shared" ca="1" si="149"/>
        <v>-</v>
      </c>
      <c r="BX298" s="378" t="str">
        <f t="shared" ca="1" si="150"/>
        <v>-</v>
      </c>
      <c r="BY298" s="510" t="str">
        <f ca="1">IFERROR(ROUND(INDEX(Cluster,MATCH(IF(LEFT(BV298,4)="Pool",INDEX(Cluster,MATCH(INDEX(Calculation_Tab,MATCH(INDEX($BE$4:$BJ$99,MATCH(BV298,$BE$4:$BE$99,0),3),Flow_Cell_Lane,0),3),Cluster!$F$29:$F$412,0),6),BV298),Identifier_Cluster,0),19)*IF(LEFT(BV298,4)="pool",IF(LEN(INDEX($BE$4:$BJ$99,MATCH(BV298,$BE$4:$BE$99,0),3))=10,2,IF(LEN(INDEX($BE$4:$BJ$99,MATCH(BV298,$BE$4:$BE$99,0),3))&gt;10,LEN(INDEX($BE$4:$BJ$99,MATCH(BV298,$BE$4:$BE$99,0),3))-8,1)),1)*IF(LEFT(BV298,4)="pool",IF(INDEX($BE$4:$BJ$99,MATCH(BV298,$BE$4:$BE$99,0),6)&lt;1,1,INDEX($BE$4:$BJ$99,MATCH(BV298,$BE$4:$BE$99,0),6)),INDEX(Calculation_Tab,MATCH(BV298,Identifier,0),10)),1)*(1+Calculation!$Q$6),"-")</f>
        <v>-</v>
      </c>
      <c r="BZ298" s="378" t="str">
        <f ca="1">IFERROR((0.5/50)*CE298/Calculation!$AG$6*(IF(LEFT(BV298,4)="Pool",IF(LEN(INDEX($BE$4:$BJ$99,MATCH(BV298,$BE$4:$BE$99,0),3))=10,2,IF(LEN(INDEX($BE$4:$BJ$99,MATCH(BV298,$BE$4:$BE$99,0),3))&gt;10,LEN(INDEX($BE$4:$BJ$99,MATCH(BV298,$BE$4:$BE$99,0),3))-8,1)),IF(INDEX(Calculation_Tab,MATCH(BV298,Identifier,0),10)&gt;1,INDEX(Calculation_Tab,MATCH(BV298,Identifier,0),10),1)))*(1+Calculation!$Q$6),"-")</f>
        <v>-</v>
      </c>
      <c r="CA298" s="510" t="str">
        <f ca="1">IFERROR(IF((BZ298*Calculation!$AG$6/0.05)-SUM(BY298:BZ298,CC298)&gt;0,(BZ298*Calculation!$AG$6/0.05)-SUM(BY298:BZ298,CC298),0),"-")</f>
        <v>-</v>
      </c>
      <c r="CB298" s="510" t="str">
        <f ca="1">IFERROR(5/50*CE298*(IF(LEFT(BV298,4)="Pool",IF(LEN(INDEX($BE$4:$BJ$99,MATCH(BV298,$BE$4:$BE$99,0),3))=10,2,IF(LEN(INDEX($BE$4:$BJ$99,MATCH(BV298,$BE$4:$BE$99,0),3))&gt;10,LEN(INDEX($BE$4:$BJ$99,MATCH(BV298,$BE$4:$BE$99,0),3))-8,1)),IF(INDEX(Calculation_Tab,MATCH(BV298,Identifier,0),10)&gt;1,INDEX(Calculation_Tab,MATCH(BV298,Identifier,0),10),1)))*(1+Calculation!$Q$6),"-")</f>
        <v>-</v>
      </c>
      <c r="CC298" s="508" t="str">
        <f ca="1">IFERROR(ROUND(INDEX(Cluster,MATCH(IF(LEFT(BV298,4)="Pool",INDEX(Cluster,MATCH(INDEX(Calculation_Tab,MATCH(INDEX($BE$4:$BJ$99,MATCH(BV298,$BE$4:$BE$99,0),3),Flow_Cell_Lane,0),3),Cluster!$F$29:$F$412,0),6),BV298),Identifier_Cluster,0),20)*IF(LEFT(BV298,4)="pool",IF(LEN(INDEX($BE$4:$BJ$99,MATCH(BV298,$BE$4:$BE$99,0),3))=10,2,IF(LEN(INDEX($BE$4:$BJ$99,MATCH(BV298,$BE$4:$BE$99,0),3))&gt;10,LEN(INDEX($BE$4:$BJ$99,MATCH(BV298,$BE$4:$BE$99,0),3))-8,1)),1)*IF(LEFT(BV298,4)="pool",IF(INDEX($BE$4:$BJ$99,MATCH(BV298,$BE$4:$BE$99,0),6)&lt;1,1,INDEX($BE$4:$BJ$99,MATCH(BV298,$BE$4:$BE$99,0),6)),INDEX(Calculation_Tab,MATCH(BV298,Identifier,0),10)),1)*(1+Calculation!$Q$6),"-")</f>
        <v>-</v>
      </c>
      <c r="CD298" s="509" t="str">
        <f ca="1">IFERROR(INDEX(Cluster!AC:AD,MATCH(IF(LEFT(BV298,4)="Pool",INDEX(Cluster!$D$29:$AA$412,MATCH(INDEX(Calculation_Tab,MATCH(INDEX($BE$4:$BJ$99,MATCH(BV298,$BE$4:$BE$99,0),3),Flow_Cell_Lane,0),3),Cluster!$F$29:$F$412,0),24),INDEX(Cluster!$D$29:$AA$412,MATCH(BV298,Cluster!$F$29:$F$412,0),24)),Cluster!AC:AC,0),2),"-")</f>
        <v>-</v>
      </c>
      <c r="CE298" s="378" t="str">
        <f ca="1">IFERROR(IF(BV298&lt;&gt;"-",Calculation!$AK$6,"-"),"-")</f>
        <v>-</v>
      </c>
      <c r="CF298" s="378" t="str">
        <f ca="1">IF(OR(LEFT(ListAndConversion!BW298,3)="Dil",LEFT(ListAndConversion!BW298,3)="Poo"),ListAndConversion!$BT$4,IF(LEFT(ListAndConversion!BW298,3)="Sou",INDEX(ListAndConversion!$AT$3:$AV$387,MATCH(ListAndConversion!BV298,ListAndConversion!$AV$3:$AV$387,0),1),"-"))</f>
        <v>-</v>
      </c>
      <c r="CG298" s="498" t="str">
        <f ca="1">IF(OR(LEFT(ListAndConversion!BW298,3)="Dil",LEFT(ListAndConversion!BW298,3)="Poo"),ListAndConversion!BU298,IF(LEFT(ListAndConversion!BW298,3)="Sou",INDEX(ListAndConversion!$AT$4:$AV$387,MATCH(ListAndConversion!BV298,ListAndConversion!$AV$4:$AV$387,0),2),"-"))</f>
        <v>-</v>
      </c>
      <c r="CH298" s="378"/>
      <c r="CI298" s="487" t="str">
        <f t="shared" ca="1" si="151"/>
        <v>-</v>
      </c>
      <c r="CJ298" s="378" t="str">
        <f t="shared" ca="1" si="160"/>
        <v>-</v>
      </c>
      <c r="CK298" s="378" t="str">
        <f t="shared" ca="1" si="160"/>
        <v>-</v>
      </c>
      <c r="CL298" s="378" t="str">
        <f t="shared" ca="1" si="160"/>
        <v>-</v>
      </c>
      <c r="CM298" s="378" t="str">
        <f t="shared" ca="1" si="160"/>
        <v>-</v>
      </c>
      <c r="CN298" s="378" t="str">
        <f t="shared" ca="1" si="160"/>
        <v>-</v>
      </c>
      <c r="CO298" s="378" t="str">
        <f t="shared" ca="1" si="160"/>
        <v>-</v>
      </c>
      <c r="CP298" s="378" t="str">
        <f t="shared" ca="1" si="160"/>
        <v>-</v>
      </c>
      <c r="CQ298" s="378" t="str">
        <f t="shared" ca="1" si="160"/>
        <v>-</v>
      </c>
      <c r="CR298" s="510" t="str">
        <f ca="1">IFERROR(IF(LEFT(BW298,3)="Poo",INDEX($BE$4:$BJ$99,MATCH(CI298,$BG$4:$BG$99,0),6)*((15/50))*Calculation!$AK$6,INDEX(Calculation_Tab,MATCH(BV298,Identifier,0),10)/(IF(LEN(INDEX(Calculation_Tab,MATCH(BV298,Identifier,0),9))&gt;8,LEN(INDEX(Calculation_Tab,MATCH(BV298,Identifier,0),9))-8,1))*((15/50)*Calculation!$AK$6)),"-")</f>
        <v>-</v>
      </c>
      <c r="CS298" s="498" t="str">
        <f ca="1">IF(CI298="-","-",IF(COUNTIF($CI$3:CI298,CI298)&gt;1,0,IFERROR((35/50)*Calculation!$AK$6,"-")))</f>
        <v>-</v>
      </c>
    </row>
    <row r="299" spans="4:97" x14ac:dyDescent="0.5">
      <c r="D299" s="487" t="e">
        <f t="shared" si="137"/>
        <v>#DIV/0!</v>
      </c>
      <c r="E299" s="496" t="e">
        <f t="array" ref="E299">IF(IF((ROW(E299)-3)&lt;(ListAndConversion!$A$15),INDEX(Flow_Cell_Lane,MIN(IF(COUNTIF($E$2:E298,Flow_Cell_Lane)=0,ROW(Flow_Cell_Lane)-9))),"-")="","-",IF((ROW(E299)-3)&lt;(ListAndConversion!$A$15),INDEX(Flow_Cell_Lane,MIN(IF(COUNTIF($E$2:E298,Flow_Cell_Lane)=0,ROW(Flow_Cell_Lane)-9))),"-"))</f>
        <v>#DIV/0!</v>
      </c>
      <c r="F299" s="378" t="e">
        <f t="shared" si="138"/>
        <v>#DIV/0!</v>
      </c>
      <c r="G299" s="378" t="e">
        <f t="shared" si="159"/>
        <v>#DIV/0!</v>
      </c>
      <c r="H299" s="378" t="e">
        <f t="shared" si="159"/>
        <v>#DIV/0!</v>
      </c>
      <c r="I299" s="378" t="e">
        <f t="shared" si="159"/>
        <v>#DIV/0!</v>
      </c>
      <c r="J299" s="378" t="e">
        <f t="shared" si="159"/>
        <v>#DIV/0!</v>
      </c>
      <c r="K299" s="378" t="e">
        <f t="shared" si="159"/>
        <v>#DIV/0!</v>
      </c>
      <c r="L299" s="378" t="e">
        <f t="shared" si="159"/>
        <v>#DIV/0!</v>
      </c>
      <c r="M299" s="378" t="e">
        <f t="shared" si="159"/>
        <v>#DIV/0!</v>
      </c>
      <c r="N299" s="497" t="e">
        <f t="shared" si="139"/>
        <v>#DIV/0!</v>
      </c>
      <c r="O299" s="497" t="str">
        <f t="array" ref="O299">IFERROR(INDEX(Calculation!I:AN,MATCH(ListAndConversion!E299,Calculation!I:I,0),31),"-")</f>
        <v>-</v>
      </c>
      <c r="P299" s="498">
        <f>IF(COUNTIFS(Calculation!$I$10:$I$393,E299,Direct_Denaturation,"-")&lt;&gt;1,COUNTIFS(Calculation!$I$10:$I$393,E299,Direct_Denaturation,"-"),0)</f>
        <v>0</v>
      </c>
      <c r="V299" s="542" t="s">
        <v>82</v>
      </c>
      <c r="W299" s="542" t="s">
        <v>82</v>
      </c>
      <c r="X299" s="542" t="s">
        <v>82</v>
      </c>
      <c r="Y299" s="542" t="s">
        <v>82</v>
      </c>
      <c r="Z299" s="542" t="s">
        <v>82</v>
      </c>
      <c r="AA299" s="542" t="s">
        <v>82</v>
      </c>
      <c r="AB299" s="542" t="s">
        <v>82</v>
      </c>
      <c r="AC299" s="542" t="s">
        <v>82</v>
      </c>
      <c r="AD299" s="542" t="s">
        <v>82</v>
      </c>
      <c r="AE299" s="542" t="s">
        <v>82</v>
      </c>
      <c r="AF299" s="542" t="s">
        <v>82</v>
      </c>
      <c r="AG299" s="542" t="s">
        <v>82</v>
      </c>
      <c r="AH299" s="9"/>
      <c r="AI299" s="487">
        <v>296</v>
      </c>
      <c r="AJ299" s="497" t="s">
        <v>479</v>
      </c>
      <c r="AK299" s="378">
        <v>8</v>
      </c>
      <c r="AL299" s="378" t="str">
        <f t="shared" ca="1" si="140"/>
        <v>-</v>
      </c>
      <c r="AM299" s="378" t="str">
        <f t="array" aca="1" ref="AM299" ca="1">IFERROR(IF(AI299&lt;=$AB$2,"-",INDEX(Calculation_Tab,SMALL(ROW(Main_Dil)*(Main_Dil&lt;&gt;"-"),COUNTIF(Main_Dil,"-")+ROW()-3-$AB$2)-9,5)),"-")</f>
        <v>-</v>
      </c>
      <c r="AN299" s="378" t="str">
        <f t="array" aca="1" ref="AN299" ca="1">IFERROR(IF(AI299&lt;=$AB$2,"-",INDEX($A$3:$B$12,MATCH(INDEX(Calculation_Tab,SMALL(ROW(Main_Dil)*(Main_Dil&lt;&gt;"-"),COUNTIF(Main_Dil,"-")+ROW()-3-$AB$2)-9,5),$A$3:$A$12,0),2)),"-")</f>
        <v>-</v>
      </c>
      <c r="AO299" s="378" t="str">
        <f t="array" aca="1" ref="AO299" ca="1">IFERROR(IF(AI299&lt;=$AB$2,"-",INDEX(Coordinate,MATCH(INDEX(Calculation_Tab,SMALL(ROW(Main_Dil)*(Main_Dil&lt;&gt;"-"),COUNTIF(Main_Dil,"-")+ROW()-3-$AB$2)-9,6),$X$4:$X$99,0),2)),"-")</f>
        <v>-</v>
      </c>
      <c r="AP299" s="510" t="str">
        <f t="array" aca="1" ref="AP299" ca="1">IFERROR(IF(AI299&lt;=$AB$2,"-",INDEX(Calculation_Tab,SMALL(ROW(Main_Dil)*(Main_Dil&lt;&gt;"-"),COUNTIF(Main_Dil,"-")+ROW()-3-$AB$2)-9,21)),"-")</f>
        <v>-</v>
      </c>
      <c r="AQ299" s="511" t="str">
        <f t="array" aca="1" ref="AQ299" ca="1">IFERROR(IF(AI299&lt;=$AB$2,"-",INDEX(Calculation_Tab,SMALL(ROW(Main_Dil)*(Main_Dil&lt;&gt;"-"),COUNTIF(Main_Dil,"-")+ROW()-3-$AB$2)-9,22)),"-")</f>
        <v>-</v>
      </c>
      <c r="AR299" s="487" t="str">
        <f t="shared" ca="1" si="141"/>
        <v>-</v>
      </c>
      <c r="AS299" s="378">
        <v>296</v>
      </c>
      <c r="AT299" s="497" t="s">
        <v>479</v>
      </c>
      <c r="AU299" s="498">
        <v>8</v>
      </c>
      <c r="AV299" s="378" t="str">
        <f t="shared" ca="1" si="142"/>
        <v>-</v>
      </c>
      <c r="AW299" s="378" t="str">
        <f t="array" aca="1" ref="AW299" ca="1">IFERROR(IF(AS299&lt;=$AB$2+$AN$2,"-",INDEX(Calculation_Tab,SMALL(ROW(Direct_Denaturation)*(Direct_Denaturation&lt;&gt;"-"),COUNTIF(Direct_Denaturation,"-")+ROW()-3-$AB$2-$AN$2)-9,5)),"-")</f>
        <v>-</v>
      </c>
      <c r="AX299" s="378" t="str">
        <f t="array" aca="1" ref="AX299" ca="1">IFERROR(IF(AS299&lt;=$AB$2+$AN$2,"-",INDEX($A$3:$B$12,MATCH(INDEX(Calculation_Tab,SMALL(ROW(Direct_Denaturation)*(Direct_Denaturation&lt;&gt;"-"),COUNTIF(Direct_Denaturation,"-")+ROW()-3-$AB$2-$AN$2)-9,5),$A$3:$A$12,0),2)),"-")</f>
        <v>-</v>
      </c>
      <c r="AY299" s="378" t="str">
        <f t="array" aca="1" ref="AY299" ca="1">IFERROR(IF(AS299&lt;=$AB$2+$AN$2,"-",INDEX(Coordinate,MATCH(INDEX(Calculation_Tab,SMALL(ROW(Direct_Denaturation)*(Direct_Denaturation&lt;&gt;"-"),COUNTIF(Direct_Denaturation,"-")+ROW()-3-$AB$2-$AN$2)-9,6),$X$4:$X$99,0),2)),"-")</f>
        <v>-</v>
      </c>
      <c r="AZ299" s="510" t="str">
        <f t="array" aca="1" ref="AZ299" ca="1">IFERROR(IF(AS299&lt;=$AB$2+$AN$2,"-",INDEX(Calculation_Tab,SMALL(ROW(Direct_Denaturation)*(Direct_Denaturation&lt;&gt;"-"),COUNTIF(Direct_Denaturation,"-")+ROW()-3-$AB$2-$AN$2)-9,32)),"-")</f>
        <v>-</v>
      </c>
      <c r="BA299" s="510" t="str">
        <f t="array" aca="1" ref="BA299" ca="1">IFERROR(IF(AS299&lt;=$AB$2+$AN$2,"-",INDEX(Calculation_Tab,SMALL(ROW(Direct_Denaturation)*(Direct_Denaturation&lt;&gt;"-"),COUNTIF(Direct_Denaturation,"-")+ROW()-3-$AB$2-$AN$2)-9,34)),"-")</f>
        <v>-</v>
      </c>
      <c r="BB299" s="510" t="str">
        <f t="array" aca="1" ref="BB299" ca="1">IFERROR(IF(AS299&lt;=$AB$2+$AN$2,"-",INDEX(Calculation_Tab,SMALL(ROW(Direct_Denaturation)*(Direct_Denaturation&lt;&gt;"-"),COUNTIF(Direct_Denaturation,"-")+ROW()-3-$AB$2-$AN$2)-9,33)),"-")</f>
        <v>-</v>
      </c>
      <c r="BC299" s="510" t="str">
        <f t="array" aca="1" ref="BC299" ca="1">IFERROR(IF(AS299&lt;=$AB$2+$AN$2,"-",INDEX(Calculation_Tab,SMALL(ROW(Direct_Denaturation)*(Direct_Denaturation&lt;&gt;"-"),COUNTIF(Direct_Denaturation,"-")+ROW()-3-$AB$2-$AN$2)-9,35)),"-")</f>
        <v>-</v>
      </c>
      <c r="BD299" s="511" t="str">
        <f t="shared" ca="1" si="143"/>
        <v>-</v>
      </c>
      <c r="BK299" s="542" t="s">
        <v>82</v>
      </c>
      <c r="BL299" s="542" t="s">
        <v>82</v>
      </c>
      <c r="BM299" s="487" t="str">
        <f t="array" aca="1" ref="BM299" ca="1">IFERROR(INDEX(Calculation_Tab,SMALL(ROW(ToPool)*(ToPool&lt;&gt;"-"),COUNTIF(ToPool,"-")+ROW()-3)-9,3),"-")</f>
        <v>-</v>
      </c>
      <c r="BN299" s="378" t="str">
        <f t="shared" ca="1" si="144"/>
        <v>-</v>
      </c>
      <c r="BO299" s="378" t="str">
        <f t="shared" ca="1" si="145"/>
        <v>-</v>
      </c>
      <c r="BP299" s="523" t="str">
        <f t="shared" ca="1" si="146"/>
        <v>-</v>
      </c>
      <c r="BQ299" s="378" t="str">
        <f t="array" aca="1" ref="BQ299" ca="1">IFERROR(INDEX(BE:BG,MATCH(INDEX(Calculation_Tab,SMALL(ROW(ToPool)*(ToPool&lt;&gt;"-"),COUNTIF(ToPool,"-")+ROW()-3)-9,9),BG:BG,0),2),"-")</f>
        <v>-</v>
      </c>
      <c r="BR299" s="510" t="str">
        <f t="shared" ca="1" si="147"/>
        <v>-</v>
      </c>
      <c r="BS299" s="511" t="str">
        <f t="shared" ca="1" si="148"/>
        <v>-</v>
      </c>
      <c r="BT299" s="543" t="s">
        <v>82</v>
      </c>
      <c r="BU299" s="487" t="str">
        <f t="shared" ca="1" si="152"/>
        <v>-</v>
      </c>
      <c r="BV299" s="487" t="str">
        <f t="array" aca="1" ref="BV29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299" s="378" t="str">
        <f t="shared" ca="1" si="149"/>
        <v>-</v>
      </c>
      <c r="BX299" s="378" t="str">
        <f t="shared" ca="1" si="150"/>
        <v>-</v>
      </c>
      <c r="BY299" s="510" t="str">
        <f ca="1">IFERROR(ROUND(INDEX(Cluster,MATCH(IF(LEFT(BV299,4)="Pool",INDEX(Cluster,MATCH(INDEX(Calculation_Tab,MATCH(INDEX($BE$4:$BJ$99,MATCH(BV299,$BE$4:$BE$99,0),3),Flow_Cell_Lane,0),3),Cluster!$F$29:$F$412,0),6),BV299),Identifier_Cluster,0),19)*IF(LEFT(BV299,4)="pool",IF(LEN(INDEX($BE$4:$BJ$99,MATCH(BV299,$BE$4:$BE$99,0),3))=10,2,IF(LEN(INDEX($BE$4:$BJ$99,MATCH(BV299,$BE$4:$BE$99,0),3))&gt;10,LEN(INDEX($BE$4:$BJ$99,MATCH(BV299,$BE$4:$BE$99,0),3))-8,1)),1)*IF(LEFT(BV299,4)="pool",IF(INDEX($BE$4:$BJ$99,MATCH(BV299,$BE$4:$BE$99,0),6)&lt;1,1,INDEX($BE$4:$BJ$99,MATCH(BV299,$BE$4:$BE$99,0),6)),INDEX(Calculation_Tab,MATCH(BV299,Identifier,0),10)),1)*(1+Calculation!$Q$6),"-")</f>
        <v>-</v>
      </c>
      <c r="BZ299" s="378" t="str">
        <f ca="1">IFERROR((0.5/50)*CE299/Calculation!$AG$6*(IF(LEFT(BV299,4)="Pool",IF(LEN(INDEX($BE$4:$BJ$99,MATCH(BV299,$BE$4:$BE$99,0),3))=10,2,IF(LEN(INDEX($BE$4:$BJ$99,MATCH(BV299,$BE$4:$BE$99,0),3))&gt;10,LEN(INDEX($BE$4:$BJ$99,MATCH(BV299,$BE$4:$BE$99,0),3))-8,1)),IF(INDEX(Calculation_Tab,MATCH(BV299,Identifier,0),10)&gt;1,INDEX(Calculation_Tab,MATCH(BV299,Identifier,0),10),1)))*(1+Calculation!$Q$6),"-")</f>
        <v>-</v>
      </c>
      <c r="CA299" s="510" t="str">
        <f ca="1">IFERROR(IF((BZ299*Calculation!$AG$6/0.05)-SUM(BY299:BZ299,CC299)&gt;0,(BZ299*Calculation!$AG$6/0.05)-SUM(BY299:BZ299,CC299),0),"-")</f>
        <v>-</v>
      </c>
      <c r="CB299" s="510" t="str">
        <f ca="1">IFERROR(5/50*CE299*(IF(LEFT(BV299,4)="Pool",IF(LEN(INDEX($BE$4:$BJ$99,MATCH(BV299,$BE$4:$BE$99,0),3))=10,2,IF(LEN(INDEX($BE$4:$BJ$99,MATCH(BV299,$BE$4:$BE$99,0),3))&gt;10,LEN(INDEX($BE$4:$BJ$99,MATCH(BV299,$BE$4:$BE$99,0),3))-8,1)),IF(INDEX(Calculation_Tab,MATCH(BV299,Identifier,0),10)&gt;1,INDEX(Calculation_Tab,MATCH(BV299,Identifier,0),10),1)))*(1+Calculation!$Q$6),"-")</f>
        <v>-</v>
      </c>
      <c r="CC299" s="508" t="str">
        <f ca="1">IFERROR(ROUND(INDEX(Cluster,MATCH(IF(LEFT(BV299,4)="Pool",INDEX(Cluster,MATCH(INDEX(Calculation_Tab,MATCH(INDEX($BE$4:$BJ$99,MATCH(BV299,$BE$4:$BE$99,0),3),Flow_Cell_Lane,0),3),Cluster!$F$29:$F$412,0),6),BV299),Identifier_Cluster,0),20)*IF(LEFT(BV299,4)="pool",IF(LEN(INDEX($BE$4:$BJ$99,MATCH(BV299,$BE$4:$BE$99,0),3))=10,2,IF(LEN(INDEX($BE$4:$BJ$99,MATCH(BV299,$BE$4:$BE$99,0),3))&gt;10,LEN(INDEX($BE$4:$BJ$99,MATCH(BV299,$BE$4:$BE$99,0),3))-8,1)),1)*IF(LEFT(BV299,4)="pool",IF(INDEX($BE$4:$BJ$99,MATCH(BV299,$BE$4:$BE$99,0),6)&lt;1,1,INDEX($BE$4:$BJ$99,MATCH(BV299,$BE$4:$BE$99,0),6)),INDEX(Calculation_Tab,MATCH(BV299,Identifier,0),10)),1)*(1+Calculation!$Q$6),"-")</f>
        <v>-</v>
      </c>
      <c r="CD299" s="509" t="str">
        <f ca="1">IFERROR(INDEX(Cluster!AC:AD,MATCH(IF(LEFT(BV299,4)="Pool",INDEX(Cluster!$D$29:$AA$412,MATCH(INDEX(Calculation_Tab,MATCH(INDEX($BE$4:$BJ$99,MATCH(BV299,$BE$4:$BE$99,0),3),Flow_Cell_Lane,0),3),Cluster!$F$29:$F$412,0),24),INDEX(Cluster!$D$29:$AA$412,MATCH(BV299,Cluster!$F$29:$F$412,0),24)),Cluster!AC:AC,0),2),"-")</f>
        <v>-</v>
      </c>
      <c r="CE299" s="378" t="str">
        <f ca="1">IFERROR(IF(BV299&lt;&gt;"-",Calculation!$AK$6,"-"),"-")</f>
        <v>-</v>
      </c>
      <c r="CF299" s="378" t="str">
        <f ca="1">IF(OR(LEFT(ListAndConversion!BW299,3)="Dil",LEFT(ListAndConversion!BW299,3)="Poo"),ListAndConversion!$BT$4,IF(LEFT(ListAndConversion!BW299,3)="Sou",INDEX(ListAndConversion!$AT$3:$AV$387,MATCH(ListAndConversion!BV299,ListAndConversion!$AV$3:$AV$387,0),1),"-"))</f>
        <v>-</v>
      </c>
      <c r="CG299" s="498" t="str">
        <f ca="1">IF(OR(LEFT(ListAndConversion!BW299,3)="Dil",LEFT(ListAndConversion!BW299,3)="Poo"),ListAndConversion!BU299,IF(LEFT(ListAndConversion!BW299,3)="Sou",INDEX(ListAndConversion!$AT$4:$AV$387,MATCH(ListAndConversion!BV299,ListAndConversion!$AV$4:$AV$387,0),2),"-"))</f>
        <v>-</v>
      </c>
      <c r="CH299" s="378"/>
      <c r="CI299" s="487" t="str">
        <f t="shared" ca="1" si="151"/>
        <v>-</v>
      </c>
      <c r="CJ299" s="378" t="str">
        <f t="shared" ca="1" si="160"/>
        <v>-</v>
      </c>
      <c r="CK299" s="378" t="str">
        <f t="shared" ca="1" si="160"/>
        <v>-</v>
      </c>
      <c r="CL299" s="378" t="str">
        <f t="shared" ca="1" si="160"/>
        <v>-</v>
      </c>
      <c r="CM299" s="378" t="str">
        <f t="shared" ca="1" si="160"/>
        <v>-</v>
      </c>
      <c r="CN299" s="378" t="str">
        <f t="shared" ca="1" si="160"/>
        <v>-</v>
      </c>
      <c r="CO299" s="378" t="str">
        <f t="shared" ca="1" si="160"/>
        <v>-</v>
      </c>
      <c r="CP299" s="378" t="str">
        <f t="shared" ca="1" si="160"/>
        <v>-</v>
      </c>
      <c r="CQ299" s="378" t="str">
        <f t="shared" ca="1" si="160"/>
        <v>-</v>
      </c>
      <c r="CR299" s="510" t="str">
        <f ca="1">IFERROR(IF(LEFT(BW299,3)="Poo",INDEX($BE$4:$BJ$99,MATCH(CI299,$BG$4:$BG$99,0),6)*((15/50))*Calculation!$AK$6,INDEX(Calculation_Tab,MATCH(BV299,Identifier,0),10)/(IF(LEN(INDEX(Calculation_Tab,MATCH(BV299,Identifier,0),9))&gt;8,LEN(INDEX(Calculation_Tab,MATCH(BV299,Identifier,0),9))-8,1))*((15/50)*Calculation!$AK$6)),"-")</f>
        <v>-</v>
      </c>
      <c r="CS299" s="498" t="str">
        <f ca="1">IF(CI299="-","-",IF(COUNTIF($CI$3:CI299,CI299)&gt;1,0,IFERROR((35/50)*Calculation!$AK$6,"-")))</f>
        <v>-</v>
      </c>
    </row>
    <row r="300" spans="4:97" x14ac:dyDescent="0.5">
      <c r="D300" s="487" t="e">
        <f t="shared" si="137"/>
        <v>#DIV/0!</v>
      </c>
      <c r="E300" s="496" t="e">
        <f t="array" ref="E300">IF(IF((ROW(E300)-3)&lt;(ListAndConversion!$A$15),INDEX(Flow_Cell_Lane,MIN(IF(COUNTIF($E$2:E299,Flow_Cell_Lane)=0,ROW(Flow_Cell_Lane)-9))),"-")="","-",IF((ROW(E300)-3)&lt;(ListAndConversion!$A$15),INDEX(Flow_Cell_Lane,MIN(IF(COUNTIF($E$2:E299,Flow_Cell_Lane)=0,ROW(Flow_Cell_Lane)-9))),"-"))</f>
        <v>#DIV/0!</v>
      </c>
      <c r="F300" s="378" t="e">
        <f t="shared" si="138"/>
        <v>#DIV/0!</v>
      </c>
      <c r="G300" s="378" t="e">
        <f t="shared" si="159"/>
        <v>#DIV/0!</v>
      </c>
      <c r="H300" s="378" t="e">
        <f t="shared" si="159"/>
        <v>#DIV/0!</v>
      </c>
      <c r="I300" s="378" t="e">
        <f t="shared" si="159"/>
        <v>#DIV/0!</v>
      </c>
      <c r="J300" s="378" t="e">
        <f t="shared" si="159"/>
        <v>#DIV/0!</v>
      </c>
      <c r="K300" s="378" t="e">
        <f t="shared" si="159"/>
        <v>#DIV/0!</v>
      </c>
      <c r="L300" s="378" t="e">
        <f t="shared" si="159"/>
        <v>#DIV/0!</v>
      </c>
      <c r="M300" s="378" t="e">
        <f t="shared" si="159"/>
        <v>#DIV/0!</v>
      </c>
      <c r="N300" s="497" t="e">
        <f t="shared" si="139"/>
        <v>#DIV/0!</v>
      </c>
      <c r="O300" s="497" t="str">
        <f t="array" ref="O300">IFERROR(INDEX(Calculation!I:AN,MATCH(ListAndConversion!E300,Calculation!I:I,0),31),"-")</f>
        <v>-</v>
      </c>
      <c r="P300" s="498">
        <f>IF(COUNTIFS(Calculation!$I$10:$I$393,E300,Direct_Denaturation,"-")&lt;&gt;1,COUNTIFS(Calculation!$I$10:$I$393,E300,Direct_Denaturation,"-"),0)</f>
        <v>0</v>
      </c>
      <c r="V300" s="542" t="s">
        <v>82</v>
      </c>
      <c r="W300" s="542" t="s">
        <v>82</v>
      </c>
      <c r="X300" s="542" t="s">
        <v>82</v>
      </c>
      <c r="Y300" s="542" t="s">
        <v>82</v>
      </c>
      <c r="Z300" s="542" t="s">
        <v>82</v>
      </c>
      <c r="AA300" s="542" t="s">
        <v>82</v>
      </c>
      <c r="AB300" s="542" t="s">
        <v>82</v>
      </c>
      <c r="AC300" s="542" t="s">
        <v>82</v>
      </c>
      <c r="AD300" s="542" t="s">
        <v>82</v>
      </c>
      <c r="AE300" s="542" t="s">
        <v>82</v>
      </c>
      <c r="AF300" s="542" t="s">
        <v>82</v>
      </c>
      <c r="AG300" s="542" t="s">
        <v>82</v>
      </c>
      <c r="AH300" s="9"/>
      <c r="AI300" s="487">
        <v>297</v>
      </c>
      <c r="AJ300" s="497" t="s">
        <v>479</v>
      </c>
      <c r="AK300" s="378">
        <v>9</v>
      </c>
      <c r="AL300" s="378" t="str">
        <f t="shared" ca="1" si="140"/>
        <v>-</v>
      </c>
      <c r="AM300" s="378" t="str">
        <f t="array" aca="1" ref="AM300" ca="1">IFERROR(IF(AI300&lt;=$AB$2,"-",INDEX(Calculation_Tab,SMALL(ROW(Main_Dil)*(Main_Dil&lt;&gt;"-"),COUNTIF(Main_Dil,"-")+ROW()-3-$AB$2)-9,5)),"-")</f>
        <v>-</v>
      </c>
      <c r="AN300" s="378" t="str">
        <f t="array" aca="1" ref="AN300" ca="1">IFERROR(IF(AI300&lt;=$AB$2,"-",INDEX($A$3:$B$12,MATCH(INDEX(Calculation_Tab,SMALL(ROW(Main_Dil)*(Main_Dil&lt;&gt;"-"),COUNTIF(Main_Dil,"-")+ROW()-3-$AB$2)-9,5),$A$3:$A$12,0),2)),"-")</f>
        <v>-</v>
      </c>
      <c r="AO300" s="378" t="str">
        <f t="array" aca="1" ref="AO300" ca="1">IFERROR(IF(AI300&lt;=$AB$2,"-",INDEX(Coordinate,MATCH(INDEX(Calculation_Tab,SMALL(ROW(Main_Dil)*(Main_Dil&lt;&gt;"-"),COUNTIF(Main_Dil,"-")+ROW()-3-$AB$2)-9,6),$X$4:$X$99,0),2)),"-")</f>
        <v>-</v>
      </c>
      <c r="AP300" s="510" t="str">
        <f t="array" aca="1" ref="AP300" ca="1">IFERROR(IF(AI300&lt;=$AB$2,"-",INDEX(Calculation_Tab,SMALL(ROW(Main_Dil)*(Main_Dil&lt;&gt;"-"),COUNTIF(Main_Dil,"-")+ROW()-3-$AB$2)-9,21)),"-")</f>
        <v>-</v>
      </c>
      <c r="AQ300" s="511" t="str">
        <f t="array" aca="1" ref="AQ300" ca="1">IFERROR(IF(AI300&lt;=$AB$2,"-",INDEX(Calculation_Tab,SMALL(ROW(Main_Dil)*(Main_Dil&lt;&gt;"-"),COUNTIF(Main_Dil,"-")+ROW()-3-$AB$2)-9,22)),"-")</f>
        <v>-</v>
      </c>
      <c r="AR300" s="487" t="str">
        <f t="shared" ca="1" si="141"/>
        <v>-</v>
      </c>
      <c r="AS300" s="378">
        <v>297</v>
      </c>
      <c r="AT300" s="497" t="s">
        <v>479</v>
      </c>
      <c r="AU300" s="498">
        <v>9</v>
      </c>
      <c r="AV300" s="378" t="str">
        <f t="shared" ca="1" si="142"/>
        <v>-</v>
      </c>
      <c r="AW300" s="378" t="str">
        <f t="array" aca="1" ref="AW300" ca="1">IFERROR(IF(AS300&lt;=$AB$2+$AN$2,"-",INDEX(Calculation_Tab,SMALL(ROW(Direct_Denaturation)*(Direct_Denaturation&lt;&gt;"-"),COUNTIF(Direct_Denaturation,"-")+ROW()-3-$AB$2-$AN$2)-9,5)),"-")</f>
        <v>-</v>
      </c>
      <c r="AX300" s="378" t="str">
        <f t="array" aca="1" ref="AX300" ca="1">IFERROR(IF(AS300&lt;=$AB$2+$AN$2,"-",INDEX($A$3:$B$12,MATCH(INDEX(Calculation_Tab,SMALL(ROW(Direct_Denaturation)*(Direct_Denaturation&lt;&gt;"-"),COUNTIF(Direct_Denaturation,"-")+ROW()-3-$AB$2-$AN$2)-9,5),$A$3:$A$12,0),2)),"-")</f>
        <v>-</v>
      </c>
      <c r="AY300" s="378" t="str">
        <f t="array" aca="1" ref="AY300" ca="1">IFERROR(IF(AS300&lt;=$AB$2+$AN$2,"-",INDEX(Coordinate,MATCH(INDEX(Calculation_Tab,SMALL(ROW(Direct_Denaturation)*(Direct_Denaturation&lt;&gt;"-"),COUNTIF(Direct_Denaturation,"-")+ROW()-3-$AB$2-$AN$2)-9,6),$X$4:$X$99,0),2)),"-")</f>
        <v>-</v>
      </c>
      <c r="AZ300" s="510" t="str">
        <f t="array" aca="1" ref="AZ300" ca="1">IFERROR(IF(AS300&lt;=$AB$2+$AN$2,"-",INDEX(Calculation_Tab,SMALL(ROW(Direct_Denaturation)*(Direct_Denaturation&lt;&gt;"-"),COUNTIF(Direct_Denaturation,"-")+ROW()-3-$AB$2-$AN$2)-9,32)),"-")</f>
        <v>-</v>
      </c>
      <c r="BA300" s="510" t="str">
        <f t="array" aca="1" ref="BA300" ca="1">IFERROR(IF(AS300&lt;=$AB$2+$AN$2,"-",INDEX(Calculation_Tab,SMALL(ROW(Direct_Denaturation)*(Direct_Denaturation&lt;&gt;"-"),COUNTIF(Direct_Denaturation,"-")+ROW()-3-$AB$2-$AN$2)-9,34)),"-")</f>
        <v>-</v>
      </c>
      <c r="BB300" s="510" t="str">
        <f t="array" aca="1" ref="BB300" ca="1">IFERROR(IF(AS300&lt;=$AB$2+$AN$2,"-",INDEX(Calculation_Tab,SMALL(ROW(Direct_Denaturation)*(Direct_Denaturation&lt;&gt;"-"),COUNTIF(Direct_Denaturation,"-")+ROW()-3-$AB$2-$AN$2)-9,33)),"-")</f>
        <v>-</v>
      </c>
      <c r="BC300" s="510" t="str">
        <f t="array" aca="1" ref="BC300" ca="1">IFERROR(IF(AS300&lt;=$AB$2+$AN$2,"-",INDEX(Calculation_Tab,SMALL(ROW(Direct_Denaturation)*(Direct_Denaturation&lt;&gt;"-"),COUNTIF(Direct_Denaturation,"-")+ROW()-3-$AB$2-$AN$2)-9,35)),"-")</f>
        <v>-</v>
      </c>
      <c r="BD300" s="511" t="str">
        <f t="shared" ca="1" si="143"/>
        <v>-</v>
      </c>
      <c r="BK300" s="542" t="s">
        <v>82</v>
      </c>
      <c r="BL300" s="542" t="s">
        <v>82</v>
      </c>
      <c r="BM300" s="487" t="str">
        <f t="array" aca="1" ref="BM300" ca="1">IFERROR(INDEX(Calculation_Tab,SMALL(ROW(ToPool)*(ToPool&lt;&gt;"-"),COUNTIF(ToPool,"-")+ROW()-3)-9,3),"-")</f>
        <v>-</v>
      </c>
      <c r="BN300" s="378" t="str">
        <f t="shared" ca="1" si="144"/>
        <v>-</v>
      </c>
      <c r="BO300" s="378" t="str">
        <f t="shared" ca="1" si="145"/>
        <v>-</v>
      </c>
      <c r="BP300" s="523" t="str">
        <f t="shared" ca="1" si="146"/>
        <v>-</v>
      </c>
      <c r="BQ300" s="378" t="str">
        <f t="array" aca="1" ref="BQ300" ca="1">IFERROR(INDEX(BE:BG,MATCH(INDEX(Calculation_Tab,SMALL(ROW(ToPool)*(ToPool&lt;&gt;"-"),COUNTIF(ToPool,"-")+ROW()-3)-9,9),BG:BG,0),2),"-")</f>
        <v>-</v>
      </c>
      <c r="BR300" s="510" t="str">
        <f t="shared" ca="1" si="147"/>
        <v>-</v>
      </c>
      <c r="BS300" s="511" t="str">
        <f t="shared" ca="1" si="148"/>
        <v>-</v>
      </c>
      <c r="BT300" s="543" t="s">
        <v>82</v>
      </c>
      <c r="BU300" s="487" t="str">
        <f t="shared" ca="1" si="152"/>
        <v>-</v>
      </c>
      <c r="BV300" s="487" t="str">
        <f t="array" aca="1" ref="BV30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00" s="378" t="str">
        <f t="shared" ca="1" si="149"/>
        <v>-</v>
      </c>
      <c r="BX300" s="378" t="str">
        <f t="shared" ca="1" si="150"/>
        <v>-</v>
      </c>
      <c r="BY300" s="510" t="str">
        <f ca="1">IFERROR(ROUND(INDEX(Cluster,MATCH(IF(LEFT(BV300,4)="Pool",INDEX(Cluster,MATCH(INDEX(Calculation_Tab,MATCH(INDEX($BE$4:$BJ$99,MATCH(BV300,$BE$4:$BE$99,0),3),Flow_Cell_Lane,0),3),Cluster!$F$29:$F$412,0),6),BV300),Identifier_Cluster,0),19)*IF(LEFT(BV300,4)="pool",IF(LEN(INDEX($BE$4:$BJ$99,MATCH(BV300,$BE$4:$BE$99,0),3))=10,2,IF(LEN(INDEX($BE$4:$BJ$99,MATCH(BV300,$BE$4:$BE$99,0),3))&gt;10,LEN(INDEX($BE$4:$BJ$99,MATCH(BV300,$BE$4:$BE$99,0),3))-8,1)),1)*IF(LEFT(BV300,4)="pool",IF(INDEX($BE$4:$BJ$99,MATCH(BV300,$BE$4:$BE$99,0),6)&lt;1,1,INDEX($BE$4:$BJ$99,MATCH(BV300,$BE$4:$BE$99,0),6)),INDEX(Calculation_Tab,MATCH(BV300,Identifier,0),10)),1)*(1+Calculation!$Q$6),"-")</f>
        <v>-</v>
      </c>
      <c r="BZ300" s="378" t="str">
        <f ca="1">IFERROR((0.5/50)*CE300/Calculation!$AG$6*(IF(LEFT(BV300,4)="Pool",IF(LEN(INDEX($BE$4:$BJ$99,MATCH(BV300,$BE$4:$BE$99,0),3))=10,2,IF(LEN(INDEX($BE$4:$BJ$99,MATCH(BV300,$BE$4:$BE$99,0),3))&gt;10,LEN(INDEX($BE$4:$BJ$99,MATCH(BV300,$BE$4:$BE$99,0),3))-8,1)),IF(INDEX(Calculation_Tab,MATCH(BV300,Identifier,0),10)&gt;1,INDEX(Calculation_Tab,MATCH(BV300,Identifier,0),10),1)))*(1+Calculation!$Q$6),"-")</f>
        <v>-</v>
      </c>
      <c r="CA300" s="510" t="str">
        <f ca="1">IFERROR(IF((BZ300*Calculation!$AG$6/0.05)-SUM(BY300:BZ300,CC300)&gt;0,(BZ300*Calculation!$AG$6/0.05)-SUM(BY300:BZ300,CC300),0),"-")</f>
        <v>-</v>
      </c>
      <c r="CB300" s="510" t="str">
        <f ca="1">IFERROR(5/50*CE300*(IF(LEFT(BV300,4)="Pool",IF(LEN(INDEX($BE$4:$BJ$99,MATCH(BV300,$BE$4:$BE$99,0),3))=10,2,IF(LEN(INDEX($BE$4:$BJ$99,MATCH(BV300,$BE$4:$BE$99,0),3))&gt;10,LEN(INDEX($BE$4:$BJ$99,MATCH(BV300,$BE$4:$BE$99,0),3))-8,1)),IF(INDEX(Calculation_Tab,MATCH(BV300,Identifier,0),10)&gt;1,INDEX(Calculation_Tab,MATCH(BV300,Identifier,0),10),1)))*(1+Calculation!$Q$6),"-")</f>
        <v>-</v>
      </c>
      <c r="CC300" s="508" t="str">
        <f ca="1">IFERROR(ROUND(INDEX(Cluster,MATCH(IF(LEFT(BV300,4)="Pool",INDEX(Cluster,MATCH(INDEX(Calculation_Tab,MATCH(INDEX($BE$4:$BJ$99,MATCH(BV300,$BE$4:$BE$99,0),3),Flow_Cell_Lane,0),3),Cluster!$F$29:$F$412,0),6),BV300),Identifier_Cluster,0),20)*IF(LEFT(BV300,4)="pool",IF(LEN(INDEX($BE$4:$BJ$99,MATCH(BV300,$BE$4:$BE$99,0),3))=10,2,IF(LEN(INDEX($BE$4:$BJ$99,MATCH(BV300,$BE$4:$BE$99,0),3))&gt;10,LEN(INDEX($BE$4:$BJ$99,MATCH(BV300,$BE$4:$BE$99,0),3))-8,1)),1)*IF(LEFT(BV300,4)="pool",IF(INDEX($BE$4:$BJ$99,MATCH(BV300,$BE$4:$BE$99,0),6)&lt;1,1,INDEX($BE$4:$BJ$99,MATCH(BV300,$BE$4:$BE$99,0),6)),INDEX(Calculation_Tab,MATCH(BV300,Identifier,0),10)),1)*(1+Calculation!$Q$6),"-")</f>
        <v>-</v>
      </c>
      <c r="CD300" s="509" t="str">
        <f ca="1">IFERROR(INDEX(Cluster!AC:AD,MATCH(IF(LEFT(BV300,4)="Pool",INDEX(Cluster!$D$29:$AA$412,MATCH(INDEX(Calculation_Tab,MATCH(INDEX($BE$4:$BJ$99,MATCH(BV300,$BE$4:$BE$99,0),3),Flow_Cell_Lane,0),3),Cluster!$F$29:$F$412,0),24),INDEX(Cluster!$D$29:$AA$412,MATCH(BV300,Cluster!$F$29:$F$412,0),24)),Cluster!AC:AC,0),2),"-")</f>
        <v>-</v>
      </c>
      <c r="CE300" s="378" t="str">
        <f ca="1">IFERROR(IF(BV300&lt;&gt;"-",Calculation!$AK$6,"-"),"-")</f>
        <v>-</v>
      </c>
      <c r="CF300" s="378" t="str">
        <f ca="1">IF(OR(LEFT(ListAndConversion!BW300,3)="Dil",LEFT(ListAndConversion!BW300,3)="Poo"),ListAndConversion!$BT$4,IF(LEFT(ListAndConversion!BW300,3)="Sou",INDEX(ListAndConversion!$AT$3:$AV$387,MATCH(ListAndConversion!BV300,ListAndConversion!$AV$3:$AV$387,0),1),"-"))</f>
        <v>-</v>
      </c>
      <c r="CG300" s="498" t="str">
        <f ca="1">IF(OR(LEFT(ListAndConversion!BW300,3)="Dil",LEFT(ListAndConversion!BW300,3)="Poo"),ListAndConversion!BU300,IF(LEFT(ListAndConversion!BW300,3)="Sou",INDEX(ListAndConversion!$AT$4:$AV$387,MATCH(ListAndConversion!BV300,ListAndConversion!$AV$4:$AV$387,0),2),"-"))</f>
        <v>-</v>
      </c>
      <c r="CH300" s="378"/>
      <c r="CI300" s="487" t="str">
        <f t="shared" ca="1" si="151"/>
        <v>-</v>
      </c>
      <c r="CJ300" s="378" t="str">
        <f t="shared" ca="1" si="160"/>
        <v>-</v>
      </c>
      <c r="CK300" s="378" t="str">
        <f t="shared" ca="1" si="160"/>
        <v>-</v>
      </c>
      <c r="CL300" s="378" t="str">
        <f t="shared" ca="1" si="160"/>
        <v>-</v>
      </c>
      <c r="CM300" s="378" t="str">
        <f t="shared" ca="1" si="160"/>
        <v>-</v>
      </c>
      <c r="CN300" s="378" t="str">
        <f t="shared" ca="1" si="160"/>
        <v>-</v>
      </c>
      <c r="CO300" s="378" t="str">
        <f t="shared" ca="1" si="160"/>
        <v>-</v>
      </c>
      <c r="CP300" s="378" t="str">
        <f t="shared" ca="1" si="160"/>
        <v>-</v>
      </c>
      <c r="CQ300" s="378" t="str">
        <f t="shared" ca="1" si="160"/>
        <v>-</v>
      </c>
      <c r="CR300" s="510" t="str">
        <f ca="1">IFERROR(IF(LEFT(BW300,3)="Poo",INDEX($BE$4:$BJ$99,MATCH(CI300,$BG$4:$BG$99,0),6)*((15/50))*Calculation!$AK$6,INDEX(Calculation_Tab,MATCH(BV300,Identifier,0),10)/(IF(LEN(INDEX(Calculation_Tab,MATCH(BV300,Identifier,0),9))&gt;8,LEN(INDEX(Calculation_Tab,MATCH(BV300,Identifier,0),9))-8,1))*((15/50)*Calculation!$AK$6)),"-")</f>
        <v>-</v>
      </c>
      <c r="CS300" s="498" t="str">
        <f ca="1">IF(CI300="-","-",IF(COUNTIF($CI$3:CI300,CI300)&gt;1,0,IFERROR((35/50)*Calculation!$AK$6,"-")))</f>
        <v>-</v>
      </c>
    </row>
    <row r="301" spans="4:97" x14ac:dyDescent="0.5">
      <c r="D301" s="487" t="e">
        <f t="shared" si="137"/>
        <v>#DIV/0!</v>
      </c>
      <c r="E301" s="496" t="e">
        <f t="array" ref="E301">IF(IF((ROW(E301)-3)&lt;(ListAndConversion!$A$15),INDEX(Flow_Cell_Lane,MIN(IF(COUNTIF($E$2:E300,Flow_Cell_Lane)=0,ROW(Flow_Cell_Lane)-9))),"-")="","-",IF((ROW(E301)-3)&lt;(ListAndConversion!$A$15),INDEX(Flow_Cell_Lane,MIN(IF(COUNTIF($E$2:E300,Flow_Cell_Lane)=0,ROW(Flow_Cell_Lane)-9))),"-"))</f>
        <v>#DIV/0!</v>
      </c>
      <c r="F301" s="378" t="e">
        <f t="shared" si="138"/>
        <v>#DIV/0!</v>
      </c>
      <c r="G301" s="378" t="e">
        <f t="shared" si="159"/>
        <v>#DIV/0!</v>
      </c>
      <c r="H301" s="378" t="e">
        <f t="shared" si="159"/>
        <v>#DIV/0!</v>
      </c>
      <c r="I301" s="378" t="e">
        <f t="shared" si="159"/>
        <v>#DIV/0!</v>
      </c>
      <c r="J301" s="378" t="e">
        <f t="shared" si="159"/>
        <v>#DIV/0!</v>
      </c>
      <c r="K301" s="378" t="e">
        <f t="shared" si="159"/>
        <v>#DIV/0!</v>
      </c>
      <c r="L301" s="378" t="e">
        <f t="shared" si="159"/>
        <v>#DIV/0!</v>
      </c>
      <c r="M301" s="378" t="e">
        <f t="shared" si="159"/>
        <v>#DIV/0!</v>
      </c>
      <c r="N301" s="497" t="e">
        <f t="shared" si="139"/>
        <v>#DIV/0!</v>
      </c>
      <c r="O301" s="497" t="str">
        <f t="array" ref="O301">IFERROR(INDEX(Calculation!I:AN,MATCH(ListAndConversion!E301,Calculation!I:I,0),31),"-")</f>
        <v>-</v>
      </c>
      <c r="P301" s="498">
        <f>IF(COUNTIFS(Calculation!$I$10:$I$393,E301,Direct_Denaturation,"-")&lt;&gt;1,COUNTIFS(Calculation!$I$10:$I$393,E301,Direct_Denaturation,"-"),0)</f>
        <v>0</v>
      </c>
      <c r="V301" s="542" t="s">
        <v>82</v>
      </c>
      <c r="W301" s="542" t="s">
        <v>82</v>
      </c>
      <c r="X301" s="542" t="s">
        <v>82</v>
      </c>
      <c r="Y301" s="542" t="s">
        <v>82</v>
      </c>
      <c r="Z301" s="542" t="s">
        <v>82</v>
      </c>
      <c r="AA301" s="542" t="s">
        <v>82</v>
      </c>
      <c r="AB301" s="542" t="s">
        <v>82</v>
      </c>
      <c r="AC301" s="542" t="s">
        <v>82</v>
      </c>
      <c r="AD301" s="542" t="s">
        <v>82</v>
      </c>
      <c r="AE301" s="542" t="s">
        <v>82</v>
      </c>
      <c r="AF301" s="542" t="s">
        <v>82</v>
      </c>
      <c r="AG301" s="542" t="s">
        <v>82</v>
      </c>
      <c r="AH301" s="9"/>
      <c r="AI301" s="487">
        <v>298</v>
      </c>
      <c r="AJ301" s="497" t="s">
        <v>479</v>
      </c>
      <c r="AK301" s="378">
        <v>10</v>
      </c>
      <c r="AL301" s="378" t="str">
        <f t="shared" ca="1" si="140"/>
        <v>-</v>
      </c>
      <c r="AM301" s="378" t="str">
        <f t="array" aca="1" ref="AM301" ca="1">IFERROR(IF(AI301&lt;=$AB$2,"-",INDEX(Calculation_Tab,SMALL(ROW(Main_Dil)*(Main_Dil&lt;&gt;"-"),COUNTIF(Main_Dil,"-")+ROW()-3-$AB$2)-9,5)),"-")</f>
        <v>-</v>
      </c>
      <c r="AN301" s="378" t="str">
        <f t="array" aca="1" ref="AN301" ca="1">IFERROR(IF(AI301&lt;=$AB$2,"-",INDEX($A$3:$B$12,MATCH(INDEX(Calculation_Tab,SMALL(ROW(Main_Dil)*(Main_Dil&lt;&gt;"-"),COUNTIF(Main_Dil,"-")+ROW()-3-$AB$2)-9,5),$A$3:$A$12,0),2)),"-")</f>
        <v>-</v>
      </c>
      <c r="AO301" s="378" t="str">
        <f t="array" aca="1" ref="AO301" ca="1">IFERROR(IF(AI301&lt;=$AB$2,"-",INDEX(Coordinate,MATCH(INDEX(Calculation_Tab,SMALL(ROW(Main_Dil)*(Main_Dil&lt;&gt;"-"),COUNTIF(Main_Dil,"-")+ROW()-3-$AB$2)-9,6),$X$4:$X$99,0),2)),"-")</f>
        <v>-</v>
      </c>
      <c r="AP301" s="510" t="str">
        <f t="array" aca="1" ref="AP301" ca="1">IFERROR(IF(AI301&lt;=$AB$2,"-",INDEX(Calculation_Tab,SMALL(ROW(Main_Dil)*(Main_Dil&lt;&gt;"-"),COUNTIF(Main_Dil,"-")+ROW()-3-$AB$2)-9,21)),"-")</f>
        <v>-</v>
      </c>
      <c r="AQ301" s="511" t="str">
        <f t="array" aca="1" ref="AQ301" ca="1">IFERROR(IF(AI301&lt;=$AB$2,"-",INDEX(Calculation_Tab,SMALL(ROW(Main_Dil)*(Main_Dil&lt;&gt;"-"),COUNTIF(Main_Dil,"-")+ROW()-3-$AB$2)-9,22)),"-")</f>
        <v>-</v>
      </c>
      <c r="AR301" s="487" t="str">
        <f t="shared" ca="1" si="141"/>
        <v>-</v>
      </c>
      <c r="AS301" s="378">
        <v>298</v>
      </c>
      <c r="AT301" s="497" t="s">
        <v>479</v>
      </c>
      <c r="AU301" s="498">
        <v>10</v>
      </c>
      <c r="AV301" s="378" t="str">
        <f t="shared" ca="1" si="142"/>
        <v>-</v>
      </c>
      <c r="AW301" s="378" t="str">
        <f t="array" aca="1" ref="AW301" ca="1">IFERROR(IF(AS301&lt;=$AB$2+$AN$2,"-",INDEX(Calculation_Tab,SMALL(ROW(Direct_Denaturation)*(Direct_Denaturation&lt;&gt;"-"),COUNTIF(Direct_Denaturation,"-")+ROW()-3-$AB$2-$AN$2)-9,5)),"-")</f>
        <v>-</v>
      </c>
      <c r="AX301" s="378" t="str">
        <f t="array" aca="1" ref="AX301" ca="1">IFERROR(IF(AS301&lt;=$AB$2+$AN$2,"-",INDEX($A$3:$B$12,MATCH(INDEX(Calculation_Tab,SMALL(ROW(Direct_Denaturation)*(Direct_Denaturation&lt;&gt;"-"),COUNTIF(Direct_Denaturation,"-")+ROW()-3-$AB$2-$AN$2)-9,5),$A$3:$A$12,0),2)),"-")</f>
        <v>-</v>
      </c>
      <c r="AY301" s="378" t="str">
        <f t="array" aca="1" ref="AY301" ca="1">IFERROR(IF(AS301&lt;=$AB$2+$AN$2,"-",INDEX(Coordinate,MATCH(INDEX(Calculation_Tab,SMALL(ROW(Direct_Denaturation)*(Direct_Denaturation&lt;&gt;"-"),COUNTIF(Direct_Denaturation,"-")+ROW()-3-$AB$2-$AN$2)-9,6),$X$4:$X$99,0),2)),"-")</f>
        <v>-</v>
      </c>
      <c r="AZ301" s="510" t="str">
        <f t="array" aca="1" ref="AZ301" ca="1">IFERROR(IF(AS301&lt;=$AB$2+$AN$2,"-",INDEX(Calculation_Tab,SMALL(ROW(Direct_Denaturation)*(Direct_Denaturation&lt;&gt;"-"),COUNTIF(Direct_Denaturation,"-")+ROW()-3-$AB$2-$AN$2)-9,32)),"-")</f>
        <v>-</v>
      </c>
      <c r="BA301" s="510" t="str">
        <f t="array" aca="1" ref="BA301" ca="1">IFERROR(IF(AS301&lt;=$AB$2+$AN$2,"-",INDEX(Calculation_Tab,SMALL(ROW(Direct_Denaturation)*(Direct_Denaturation&lt;&gt;"-"),COUNTIF(Direct_Denaturation,"-")+ROW()-3-$AB$2-$AN$2)-9,34)),"-")</f>
        <v>-</v>
      </c>
      <c r="BB301" s="510" t="str">
        <f t="array" aca="1" ref="BB301" ca="1">IFERROR(IF(AS301&lt;=$AB$2+$AN$2,"-",INDEX(Calculation_Tab,SMALL(ROW(Direct_Denaturation)*(Direct_Denaturation&lt;&gt;"-"),COUNTIF(Direct_Denaturation,"-")+ROW()-3-$AB$2-$AN$2)-9,33)),"-")</f>
        <v>-</v>
      </c>
      <c r="BC301" s="510" t="str">
        <f t="array" aca="1" ref="BC301" ca="1">IFERROR(IF(AS301&lt;=$AB$2+$AN$2,"-",INDEX(Calculation_Tab,SMALL(ROW(Direct_Denaturation)*(Direct_Denaturation&lt;&gt;"-"),COUNTIF(Direct_Denaturation,"-")+ROW()-3-$AB$2-$AN$2)-9,35)),"-")</f>
        <v>-</v>
      </c>
      <c r="BD301" s="511" t="str">
        <f t="shared" ca="1" si="143"/>
        <v>-</v>
      </c>
      <c r="BK301" s="542" t="s">
        <v>82</v>
      </c>
      <c r="BL301" s="542" t="s">
        <v>82</v>
      </c>
      <c r="BM301" s="487" t="str">
        <f t="array" aca="1" ref="BM301" ca="1">IFERROR(INDEX(Calculation_Tab,SMALL(ROW(ToPool)*(ToPool&lt;&gt;"-"),COUNTIF(ToPool,"-")+ROW()-3)-9,3),"-")</f>
        <v>-</v>
      </c>
      <c r="BN301" s="378" t="str">
        <f t="shared" ca="1" si="144"/>
        <v>-</v>
      </c>
      <c r="BO301" s="378" t="str">
        <f t="shared" ca="1" si="145"/>
        <v>-</v>
      </c>
      <c r="BP301" s="523" t="str">
        <f t="shared" ca="1" si="146"/>
        <v>-</v>
      </c>
      <c r="BQ301" s="378" t="str">
        <f t="array" aca="1" ref="BQ301" ca="1">IFERROR(INDEX(BE:BG,MATCH(INDEX(Calculation_Tab,SMALL(ROW(ToPool)*(ToPool&lt;&gt;"-"),COUNTIF(ToPool,"-")+ROW()-3)-9,9),BG:BG,0),2),"-")</f>
        <v>-</v>
      </c>
      <c r="BR301" s="510" t="str">
        <f t="shared" ca="1" si="147"/>
        <v>-</v>
      </c>
      <c r="BS301" s="511" t="str">
        <f t="shared" ca="1" si="148"/>
        <v>-</v>
      </c>
      <c r="BT301" s="543" t="s">
        <v>82</v>
      </c>
      <c r="BU301" s="487" t="str">
        <f t="shared" ca="1" si="152"/>
        <v>-</v>
      </c>
      <c r="BV301" s="487" t="str">
        <f t="array" aca="1" ref="BV30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01" s="378" t="str">
        <f t="shared" ca="1" si="149"/>
        <v>-</v>
      </c>
      <c r="BX301" s="378" t="str">
        <f t="shared" ca="1" si="150"/>
        <v>-</v>
      </c>
      <c r="BY301" s="510" t="str">
        <f ca="1">IFERROR(ROUND(INDEX(Cluster,MATCH(IF(LEFT(BV301,4)="Pool",INDEX(Cluster,MATCH(INDEX(Calculation_Tab,MATCH(INDEX($BE$4:$BJ$99,MATCH(BV301,$BE$4:$BE$99,0),3),Flow_Cell_Lane,0),3),Cluster!$F$29:$F$412,0),6),BV301),Identifier_Cluster,0),19)*IF(LEFT(BV301,4)="pool",IF(LEN(INDEX($BE$4:$BJ$99,MATCH(BV301,$BE$4:$BE$99,0),3))=10,2,IF(LEN(INDEX($BE$4:$BJ$99,MATCH(BV301,$BE$4:$BE$99,0),3))&gt;10,LEN(INDEX($BE$4:$BJ$99,MATCH(BV301,$BE$4:$BE$99,0),3))-8,1)),1)*IF(LEFT(BV301,4)="pool",IF(INDEX($BE$4:$BJ$99,MATCH(BV301,$BE$4:$BE$99,0),6)&lt;1,1,INDEX($BE$4:$BJ$99,MATCH(BV301,$BE$4:$BE$99,0),6)),INDEX(Calculation_Tab,MATCH(BV301,Identifier,0),10)),1)*(1+Calculation!$Q$6),"-")</f>
        <v>-</v>
      </c>
      <c r="BZ301" s="378" t="str">
        <f ca="1">IFERROR((0.5/50)*CE301/Calculation!$AG$6*(IF(LEFT(BV301,4)="Pool",IF(LEN(INDEX($BE$4:$BJ$99,MATCH(BV301,$BE$4:$BE$99,0),3))=10,2,IF(LEN(INDEX($BE$4:$BJ$99,MATCH(BV301,$BE$4:$BE$99,0),3))&gt;10,LEN(INDEX($BE$4:$BJ$99,MATCH(BV301,$BE$4:$BE$99,0),3))-8,1)),IF(INDEX(Calculation_Tab,MATCH(BV301,Identifier,0),10)&gt;1,INDEX(Calculation_Tab,MATCH(BV301,Identifier,0),10),1)))*(1+Calculation!$Q$6),"-")</f>
        <v>-</v>
      </c>
      <c r="CA301" s="510" t="str">
        <f ca="1">IFERROR(IF((BZ301*Calculation!$AG$6/0.05)-SUM(BY301:BZ301,CC301)&gt;0,(BZ301*Calculation!$AG$6/0.05)-SUM(BY301:BZ301,CC301),0),"-")</f>
        <v>-</v>
      </c>
      <c r="CB301" s="510" t="str">
        <f ca="1">IFERROR(5/50*CE301*(IF(LEFT(BV301,4)="Pool",IF(LEN(INDEX($BE$4:$BJ$99,MATCH(BV301,$BE$4:$BE$99,0),3))=10,2,IF(LEN(INDEX($BE$4:$BJ$99,MATCH(BV301,$BE$4:$BE$99,0),3))&gt;10,LEN(INDEX($BE$4:$BJ$99,MATCH(BV301,$BE$4:$BE$99,0),3))-8,1)),IF(INDEX(Calculation_Tab,MATCH(BV301,Identifier,0),10)&gt;1,INDEX(Calculation_Tab,MATCH(BV301,Identifier,0),10),1)))*(1+Calculation!$Q$6),"-")</f>
        <v>-</v>
      </c>
      <c r="CC301" s="508" t="str">
        <f ca="1">IFERROR(ROUND(INDEX(Cluster,MATCH(IF(LEFT(BV301,4)="Pool",INDEX(Cluster,MATCH(INDEX(Calculation_Tab,MATCH(INDEX($BE$4:$BJ$99,MATCH(BV301,$BE$4:$BE$99,0),3),Flow_Cell_Lane,0),3),Cluster!$F$29:$F$412,0),6),BV301),Identifier_Cluster,0),20)*IF(LEFT(BV301,4)="pool",IF(LEN(INDEX($BE$4:$BJ$99,MATCH(BV301,$BE$4:$BE$99,0),3))=10,2,IF(LEN(INDEX($BE$4:$BJ$99,MATCH(BV301,$BE$4:$BE$99,0),3))&gt;10,LEN(INDEX($BE$4:$BJ$99,MATCH(BV301,$BE$4:$BE$99,0),3))-8,1)),1)*IF(LEFT(BV301,4)="pool",IF(INDEX($BE$4:$BJ$99,MATCH(BV301,$BE$4:$BE$99,0),6)&lt;1,1,INDEX($BE$4:$BJ$99,MATCH(BV301,$BE$4:$BE$99,0),6)),INDEX(Calculation_Tab,MATCH(BV301,Identifier,0),10)),1)*(1+Calculation!$Q$6),"-")</f>
        <v>-</v>
      </c>
      <c r="CD301" s="509" t="str">
        <f ca="1">IFERROR(INDEX(Cluster!AC:AD,MATCH(IF(LEFT(BV301,4)="Pool",INDEX(Cluster!$D$29:$AA$412,MATCH(INDEX(Calculation_Tab,MATCH(INDEX($BE$4:$BJ$99,MATCH(BV301,$BE$4:$BE$99,0),3),Flow_Cell_Lane,0),3),Cluster!$F$29:$F$412,0),24),INDEX(Cluster!$D$29:$AA$412,MATCH(BV301,Cluster!$F$29:$F$412,0),24)),Cluster!AC:AC,0),2),"-")</f>
        <v>-</v>
      </c>
      <c r="CE301" s="378" t="str">
        <f ca="1">IFERROR(IF(BV301&lt;&gt;"-",Calculation!$AK$6,"-"),"-")</f>
        <v>-</v>
      </c>
      <c r="CF301" s="378" t="str">
        <f ca="1">IF(OR(LEFT(ListAndConversion!BW301,3)="Dil",LEFT(ListAndConversion!BW301,3)="Poo"),ListAndConversion!$BT$4,IF(LEFT(ListAndConversion!BW301,3)="Sou",INDEX(ListAndConversion!$AT$3:$AV$387,MATCH(ListAndConversion!BV301,ListAndConversion!$AV$3:$AV$387,0),1),"-"))</f>
        <v>-</v>
      </c>
      <c r="CG301" s="498" t="str">
        <f ca="1">IF(OR(LEFT(ListAndConversion!BW301,3)="Dil",LEFT(ListAndConversion!BW301,3)="Poo"),ListAndConversion!BU301,IF(LEFT(ListAndConversion!BW301,3)="Sou",INDEX(ListAndConversion!$AT$4:$AV$387,MATCH(ListAndConversion!BV301,ListAndConversion!$AV$4:$AV$387,0),2),"-"))</f>
        <v>-</v>
      </c>
      <c r="CH301" s="378"/>
      <c r="CI301" s="487" t="str">
        <f t="shared" ca="1" si="151"/>
        <v>-</v>
      </c>
      <c r="CJ301" s="378" t="str">
        <f t="shared" ca="1" si="160"/>
        <v>-</v>
      </c>
      <c r="CK301" s="378" t="str">
        <f t="shared" ca="1" si="160"/>
        <v>-</v>
      </c>
      <c r="CL301" s="378" t="str">
        <f t="shared" ca="1" si="160"/>
        <v>-</v>
      </c>
      <c r="CM301" s="378" t="str">
        <f t="shared" ca="1" si="160"/>
        <v>-</v>
      </c>
      <c r="CN301" s="378" t="str">
        <f t="shared" ca="1" si="160"/>
        <v>-</v>
      </c>
      <c r="CO301" s="378" t="str">
        <f t="shared" ca="1" si="160"/>
        <v>-</v>
      </c>
      <c r="CP301" s="378" t="str">
        <f t="shared" ca="1" si="160"/>
        <v>-</v>
      </c>
      <c r="CQ301" s="378" t="str">
        <f t="shared" ca="1" si="160"/>
        <v>-</v>
      </c>
      <c r="CR301" s="510" t="str">
        <f ca="1">IFERROR(IF(LEFT(BW301,3)="Poo",INDEX($BE$4:$BJ$99,MATCH(CI301,$BG$4:$BG$99,0),6)*((15/50))*Calculation!$AK$6,INDEX(Calculation_Tab,MATCH(BV301,Identifier,0),10)/(IF(LEN(INDEX(Calculation_Tab,MATCH(BV301,Identifier,0),9))&gt;8,LEN(INDEX(Calculation_Tab,MATCH(BV301,Identifier,0),9))-8,1))*((15/50)*Calculation!$AK$6)),"-")</f>
        <v>-</v>
      </c>
      <c r="CS301" s="498" t="str">
        <f ca="1">IF(CI301="-","-",IF(COUNTIF($CI$3:CI301,CI301)&gt;1,0,IFERROR((35/50)*Calculation!$AK$6,"-")))</f>
        <v>-</v>
      </c>
    </row>
    <row r="302" spans="4:97" x14ac:dyDescent="0.5">
      <c r="D302" s="487" t="e">
        <f t="shared" si="137"/>
        <v>#DIV/0!</v>
      </c>
      <c r="E302" s="496" t="e">
        <f t="array" ref="E302">IF(IF((ROW(E302)-3)&lt;(ListAndConversion!$A$15),INDEX(Flow_Cell_Lane,MIN(IF(COUNTIF($E$2:E301,Flow_Cell_Lane)=0,ROW(Flow_Cell_Lane)-9))),"-")="","-",IF((ROW(E302)-3)&lt;(ListAndConversion!$A$15),INDEX(Flow_Cell_Lane,MIN(IF(COUNTIF($E$2:E301,Flow_Cell_Lane)=0,ROW(Flow_Cell_Lane)-9))),"-"))</f>
        <v>#DIV/0!</v>
      </c>
      <c r="F302" s="378" t="e">
        <f t="shared" si="138"/>
        <v>#DIV/0!</v>
      </c>
      <c r="G302" s="378" t="e">
        <f t="shared" si="159"/>
        <v>#DIV/0!</v>
      </c>
      <c r="H302" s="378" t="e">
        <f t="shared" si="159"/>
        <v>#DIV/0!</v>
      </c>
      <c r="I302" s="378" t="e">
        <f t="shared" si="159"/>
        <v>#DIV/0!</v>
      </c>
      <c r="J302" s="378" t="e">
        <f t="shared" si="159"/>
        <v>#DIV/0!</v>
      </c>
      <c r="K302" s="378" t="e">
        <f t="shared" si="159"/>
        <v>#DIV/0!</v>
      </c>
      <c r="L302" s="378" t="e">
        <f t="shared" si="159"/>
        <v>#DIV/0!</v>
      </c>
      <c r="M302" s="378" t="e">
        <f t="shared" si="159"/>
        <v>#DIV/0!</v>
      </c>
      <c r="N302" s="497" t="e">
        <f t="shared" si="139"/>
        <v>#DIV/0!</v>
      </c>
      <c r="O302" s="497" t="str">
        <f t="array" ref="O302">IFERROR(INDEX(Calculation!I:AN,MATCH(ListAndConversion!E302,Calculation!I:I,0),31),"-")</f>
        <v>-</v>
      </c>
      <c r="P302" s="498">
        <f>IF(COUNTIFS(Calculation!$I$10:$I$393,E302,Direct_Denaturation,"-")&lt;&gt;1,COUNTIFS(Calculation!$I$10:$I$393,E302,Direct_Denaturation,"-"),0)</f>
        <v>0</v>
      </c>
      <c r="V302" s="542" t="s">
        <v>82</v>
      </c>
      <c r="W302" s="542" t="s">
        <v>82</v>
      </c>
      <c r="X302" s="542" t="s">
        <v>82</v>
      </c>
      <c r="Y302" s="542" t="s">
        <v>82</v>
      </c>
      <c r="Z302" s="542" t="s">
        <v>82</v>
      </c>
      <c r="AA302" s="542" t="s">
        <v>82</v>
      </c>
      <c r="AB302" s="542" t="s">
        <v>82</v>
      </c>
      <c r="AC302" s="542" t="s">
        <v>82</v>
      </c>
      <c r="AD302" s="542" t="s">
        <v>82</v>
      </c>
      <c r="AE302" s="542" t="s">
        <v>82</v>
      </c>
      <c r="AF302" s="542" t="s">
        <v>82</v>
      </c>
      <c r="AG302" s="542" t="s">
        <v>82</v>
      </c>
      <c r="AH302" s="9"/>
      <c r="AI302" s="487">
        <v>299</v>
      </c>
      <c r="AJ302" s="497" t="s">
        <v>479</v>
      </c>
      <c r="AK302" s="378">
        <v>11</v>
      </c>
      <c r="AL302" s="378" t="str">
        <f t="shared" ca="1" si="140"/>
        <v>-</v>
      </c>
      <c r="AM302" s="378" t="str">
        <f t="array" aca="1" ref="AM302" ca="1">IFERROR(IF(AI302&lt;=$AB$2,"-",INDEX(Calculation_Tab,SMALL(ROW(Main_Dil)*(Main_Dil&lt;&gt;"-"),COUNTIF(Main_Dil,"-")+ROW()-3-$AB$2)-9,5)),"-")</f>
        <v>-</v>
      </c>
      <c r="AN302" s="378" t="str">
        <f t="array" aca="1" ref="AN302" ca="1">IFERROR(IF(AI302&lt;=$AB$2,"-",INDEX($A$3:$B$12,MATCH(INDEX(Calculation_Tab,SMALL(ROW(Main_Dil)*(Main_Dil&lt;&gt;"-"),COUNTIF(Main_Dil,"-")+ROW()-3-$AB$2)-9,5),$A$3:$A$12,0),2)),"-")</f>
        <v>-</v>
      </c>
      <c r="AO302" s="378" t="str">
        <f t="array" aca="1" ref="AO302" ca="1">IFERROR(IF(AI302&lt;=$AB$2,"-",INDEX(Coordinate,MATCH(INDEX(Calculation_Tab,SMALL(ROW(Main_Dil)*(Main_Dil&lt;&gt;"-"),COUNTIF(Main_Dil,"-")+ROW()-3-$AB$2)-9,6),$X$4:$X$99,0),2)),"-")</f>
        <v>-</v>
      </c>
      <c r="AP302" s="510" t="str">
        <f t="array" aca="1" ref="AP302" ca="1">IFERROR(IF(AI302&lt;=$AB$2,"-",INDEX(Calculation_Tab,SMALL(ROW(Main_Dil)*(Main_Dil&lt;&gt;"-"),COUNTIF(Main_Dil,"-")+ROW()-3-$AB$2)-9,21)),"-")</f>
        <v>-</v>
      </c>
      <c r="AQ302" s="511" t="str">
        <f t="array" aca="1" ref="AQ302" ca="1">IFERROR(IF(AI302&lt;=$AB$2,"-",INDEX(Calculation_Tab,SMALL(ROW(Main_Dil)*(Main_Dil&lt;&gt;"-"),COUNTIF(Main_Dil,"-")+ROW()-3-$AB$2)-9,22)),"-")</f>
        <v>-</v>
      </c>
      <c r="AR302" s="487" t="str">
        <f t="shared" ca="1" si="141"/>
        <v>-</v>
      </c>
      <c r="AS302" s="378">
        <v>299</v>
      </c>
      <c r="AT302" s="497" t="s">
        <v>479</v>
      </c>
      <c r="AU302" s="498">
        <v>11</v>
      </c>
      <c r="AV302" s="378" t="str">
        <f t="shared" ca="1" si="142"/>
        <v>-</v>
      </c>
      <c r="AW302" s="378" t="str">
        <f t="array" aca="1" ref="AW302" ca="1">IFERROR(IF(AS302&lt;=$AB$2+$AN$2,"-",INDEX(Calculation_Tab,SMALL(ROW(Direct_Denaturation)*(Direct_Denaturation&lt;&gt;"-"),COUNTIF(Direct_Denaturation,"-")+ROW()-3-$AB$2-$AN$2)-9,5)),"-")</f>
        <v>-</v>
      </c>
      <c r="AX302" s="378" t="str">
        <f t="array" aca="1" ref="AX302" ca="1">IFERROR(IF(AS302&lt;=$AB$2+$AN$2,"-",INDEX($A$3:$B$12,MATCH(INDEX(Calculation_Tab,SMALL(ROW(Direct_Denaturation)*(Direct_Denaturation&lt;&gt;"-"),COUNTIF(Direct_Denaturation,"-")+ROW()-3-$AB$2-$AN$2)-9,5),$A$3:$A$12,0),2)),"-")</f>
        <v>-</v>
      </c>
      <c r="AY302" s="378" t="str">
        <f t="array" aca="1" ref="AY302" ca="1">IFERROR(IF(AS302&lt;=$AB$2+$AN$2,"-",INDEX(Coordinate,MATCH(INDEX(Calculation_Tab,SMALL(ROW(Direct_Denaturation)*(Direct_Denaturation&lt;&gt;"-"),COUNTIF(Direct_Denaturation,"-")+ROW()-3-$AB$2-$AN$2)-9,6),$X$4:$X$99,0),2)),"-")</f>
        <v>-</v>
      </c>
      <c r="AZ302" s="510" t="str">
        <f t="array" aca="1" ref="AZ302" ca="1">IFERROR(IF(AS302&lt;=$AB$2+$AN$2,"-",INDEX(Calculation_Tab,SMALL(ROW(Direct_Denaturation)*(Direct_Denaturation&lt;&gt;"-"),COUNTIF(Direct_Denaturation,"-")+ROW()-3-$AB$2-$AN$2)-9,32)),"-")</f>
        <v>-</v>
      </c>
      <c r="BA302" s="510" t="str">
        <f t="array" aca="1" ref="BA302" ca="1">IFERROR(IF(AS302&lt;=$AB$2+$AN$2,"-",INDEX(Calculation_Tab,SMALL(ROW(Direct_Denaturation)*(Direct_Denaturation&lt;&gt;"-"),COUNTIF(Direct_Denaturation,"-")+ROW()-3-$AB$2-$AN$2)-9,34)),"-")</f>
        <v>-</v>
      </c>
      <c r="BB302" s="510" t="str">
        <f t="array" aca="1" ref="BB302" ca="1">IFERROR(IF(AS302&lt;=$AB$2+$AN$2,"-",INDEX(Calculation_Tab,SMALL(ROW(Direct_Denaturation)*(Direct_Denaturation&lt;&gt;"-"),COUNTIF(Direct_Denaturation,"-")+ROW()-3-$AB$2-$AN$2)-9,33)),"-")</f>
        <v>-</v>
      </c>
      <c r="BC302" s="510" t="str">
        <f t="array" aca="1" ref="BC302" ca="1">IFERROR(IF(AS302&lt;=$AB$2+$AN$2,"-",INDEX(Calculation_Tab,SMALL(ROW(Direct_Denaturation)*(Direct_Denaturation&lt;&gt;"-"),COUNTIF(Direct_Denaturation,"-")+ROW()-3-$AB$2-$AN$2)-9,35)),"-")</f>
        <v>-</v>
      </c>
      <c r="BD302" s="511" t="str">
        <f t="shared" ca="1" si="143"/>
        <v>-</v>
      </c>
      <c r="BK302" s="542" t="s">
        <v>82</v>
      </c>
      <c r="BL302" s="542" t="s">
        <v>82</v>
      </c>
      <c r="BM302" s="487" t="str">
        <f t="array" aca="1" ref="BM302" ca="1">IFERROR(INDEX(Calculation_Tab,SMALL(ROW(ToPool)*(ToPool&lt;&gt;"-"),COUNTIF(ToPool,"-")+ROW()-3)-9,3),"-")</f>
        <v>-</v>
      </c>
      <c r="BN302" s="378" t="str">
        <f t="shared" ca="1" si="144"/>
        <v>-</v>
      </c>
      <c r="BO302" s="378" t="str">
        <f t="shared" ca="1" si="145"/>
        <v>-</v>
      </c>
      <c r="BP302" s="523" t="str">
        <f t="shared" ca="1" si="146"/>
        <v>-</v>
      </c>
      <c r="BQ302" s="378" t="str">
        <f t="array" aca="1" ref="BQ302" ca="1">IFERROR(INDEX(BE:BG,MATCH(INDEX(Calculation_Tab,SMALL(ROW(ToPool)*(ToPool&lt;&gt;"-"),COUNTIF(ToPool,"-")+ROW()-3)-9,9),BG:BG,0),2),"-")</f>
        <v>-</v>
      </c>
      <c r="BR302" s="510" t="str">
        <f t="shared" ca="1" si="147"/>
        <v>-</v>
      </c>
      <c r="BS302" s="511" t="str">
        <f t="shared" ca="1" si="148"/>
        <v>-</v>
      </c>
      <c r="BT302" s="543" t="s">
        <v>82</v>
      </c>
      <c r="BU302" s="487" t="str">
        <f t="shared" ca="1" si="152"/>
        <v>-</v>
      </c>
      <c r="BV302" s="487" t="str">
        <f t="array" aca="1" ref="BV30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02" s="378" t="str">
        <f t="shared" ca="1" si="149"/>
        <v>-</v>
      </c>
      <c r="BX302" s="378" t="str">
        <f t="shared" ca="1" si="150"/>
        <v>-</v>
      </c>
      <c r="BY302" s="510" t="str">
        <f ca="1">IFERROR(ROUND(INDEX(Cluster,MATCH(IF(LEFT(BV302,4)="Pool",INDEX(Cluster,MATCH(INDEX(Calculation_Tab,MATCH(INDEX($BE$4:$BJ$99,MATCH(BV302,$BE$4:$BE$99,0),3),Flow_Cell_Lane,0),3),Cluster!$F$29:$F$412,0),6),BV302),Identifier_Cluster,0),19)*IF(LEFT(BV302,4)="pool",IF(LEN(INDEX($BE$4:$BJ$99,MATCH(BV302,$BE$4:$BE$99,0),3))=10,2,IF(LEN(INDEX($BE$4:$BJ$99,MATCH(BV302,$BE$4:$BE$99,0),3))&gt;10,LEN(INDEX($BE$4:$BJ$99,MATCH(BV302,$BE$4:$BE$99,0),3))-8,1)),1)*IF(LEFT(BV302,4)="pool",IF(INDEX($BE$4:$BJ$99,MATCH(BV302,$BE$4:$BE$99,0),6)&lt;1,1,INDEX($BE$4:$BJ$99,MATCH(BV302,$BE$4:$BE$99,0),6)),INDEX(Calculation_Tab,MATCH(BV302,Identifier,0),10)),1)*(1+Calculation!$Q$6),"-")</f>
        <v>-</v>
      </c>
      <c r="BZ302" s="378" t="str">
        <f ca="1">IFERROR((0.5/50)*CE302/Calculation!$AG$6*(IF(LEFT(BV302,4)="Pool",IF(LEN(INDEX($BE$4:$BJ$99,MATCH(BV302,$BE$4:$BE$99,0),3))=10,2,IF(LEN(INDEX($BE$4:$BJ$99,MATCH(BV302,$BE$4:$BE$99,0),3))&gt;10,LEN(INDEX($BE$4:$BJ$99,MATCH(BV302,$BE$4:$BE$99,0),3))-8,1)),IF(INDEX(Calculation_Tab,MATCH(BV302,Identifier,0),10)&gt;1,INDEX(Calculation_Tab,MATCH(BV302,Identifier,0),10),1)))*(1+Calculation!$Q$6),"-")</f>
        <v>-</v>
      </c>
      <c r="CA302" s="510" t="str">
        <f ca="1">IFERROR(IF((BZ302*Calculation!$AG$6/0.05)-SUM(BY302:BZ302,CC302)&gt;0,(BZ302*Calculation!$AG$6/0.05)-SUM(BY302:BZ302,CC302),0),"-")</f>
        <v>-</v>
      </c>
      <c r="CB302" s="510" t="str">
        <f ca="1">IFERROR(5/50*CE302*(IF(LEFT(BV302,4)="Pool",IF(LEN(INDEX($BE$4:$BJ$99,MATCH(BV302,$BE$4:$BE$99,0),3))=10,2,IF(LEN(INDEX($BE$4:$BJ$99,MATCH(BV302,$BE$4:$BE$99,0),3))&gt;10,LEN(INDEX($BE$4:$BJ$99,MATCH(BV302,$BE$4:$BE$99,0),3))-8,1)),IF(INDEX(Calculation_Tab,MATCH(BV302,Identifier,0),10)&gt;1,INDEX(Calculation_Tab,MATCH(BV302,Identifier,0),10),1)))*(1+Calculation!$Q$6),"-")</f>
        <v>-</v>
      </c>
      <c r="CC302" s="508" t="str">
        <f ca="1">IFERROR(ROUND(INDEX(Cluster,MATCH(IF(LEFT(BV302,4)="Pool",INDEX(Cluster,MATCH(INDEX(Calculation_Tab,MATCH(INDEX($BE$4:$BJ$99,MATCH(BV302,$BE$4:$BE$99,0),3),Flow_Cell_Lane,0),3),Cluster!$F$29:$F$412,0),6),BV302),Identifier_Cluster,0),20)*IF(LEFT(BV302,4)="pool",IF(LEN(INDEX($BE$4:$BJ$99,MATCH(BV302,$BE$4:$BE$99,0),3))=10,2,IF(LEN(INDEX($BE$4:$BJ$99,MATCH(BV302,$BE$4:$BE$99,0),3))&gt;10,LEN(INDEX($BE$4:$BJ$99,MATCH(BV302,$BE$4:$BE$99,0),3))-8,1)),1)*IF(LEFT(BV302,4)="pool",IF(INDEX($BE$4:$BJ$99,MATCH(BV302,$BE$4:$BE$99,0),6)&lt;1,1,INDEX($BE$4:$BJ$99,MATCH(BV302,$BE$4:$BE$99,0),6)),INDEX(Calculation_Tab,MATCH(BV302,Identifier,0),10)),1)*(1+Calculation!$Q$6),"-")</f>
        <v>-</v>
      </c>
      <c r="CD302" s="509" t="str">
        <f ca="1">IFERROR(INDEX(Cluster!AC:AD,MATCH(IF(LEFT(BV302,4)="Pool",INDEX(Cluster!$D$29:$AA$412,MATCH(INDEX(Calculation_Tab,MATCH(INDEX($BE$4:$BJ$99,MATCH(BV302,$BE$4:$BE$99,0),3),Flow_Cell_Lane,0),3),Cluster!$F$29:$F$412,0),24),INDEX(Cluster!$D$29:$AA$412,MATCH(BV302,Cluster!$F$29:$F$412,0),24)),Cluster!AC:AC,0),2),"-")</f>
        <v>-</v>
      </c>
      <c r="CE302" s="378" t="str">
        <f ca="1">IFERROR(IF(BV302&lt;&gt;"-",Calculation!$AK$6,"-"),"-")</f>
        <v>-</v>
      </c>
      <c r="CF302" s="378" t="str">
        <f ca="1">IF(OR(LEFT(ListAndConversion!BW302,3)="Dil",LEFT(ListAndConversion!BW302,3)="Poo"),ListAndConversion!$BT$4,IF(LEFT(ListAndConversion!BW302,3)="Sou",INDEX(ListAndConversion!$AT$3:$AV$387,MATCH(ListAndConversion!BV302,ListAndConversion!$AV$3:$AV$387,0),1),"-"))</f>
        <v>-</v>
      </c>
      <c r="CG302" s="498" t="str">
        <f ca="1">IF(OR(LEFT(ListAndConversion!BW302,3)="Dil",LEFT(ListAndConversion!BW302,3)="Poo"),ListAndConversion!BU302,IF(LEFT(ListAndConversion!BW302,3)="Sou",INDEX(ListAndConversion!$AT$4:$AV$387,MATCH(ListAndConversion!BV302,ListAndConversion!$AV$4:$AV$387,0),2),"-"))</f>
        <v>-</v>
      </c>
      <c r="CH302" s="378"/>
      <c r="CI302" s="487" t="str">
        <f t="shared" ca="1" si="151"/>
        <v>-</v>
      </c>
      <c r="CJ302" s="378" t="str">
        <f t="shared" ca="1" si="160"/>
        <v>-</v>
      </c>
      <c r="CK302" s="378" t="str">
        <f t="shared" ca="1" si="160"/>
        <v>-</v>
      </c>
      <c r="CL302" s="378" t="str">
        <f t="shared" ca="1" si="160"/>
        <v>-</v>
      </c>
      <c r="CM302" s="378" t="str">
        <f t="shared" ca="1" si="160"/>
        <v>-</v>
      </c>
      <c r="CN302" s="378" t="str">
        <f t="shared" ca="1" si="160"/>
        <v>-</v>
      </c>
      <c r="CO302" s="378" t="str">
        <f t="shared" ca="1" si="160"/>
        <v>-</v>
      </c>
      <c r="CP302" s="378" t="str">
        <f t="shared" ca="1" si="160"/>
        <v>-</v>
      </c>
      <c r="CQ302" s="378" t="str">
        <f t="shared" ca="1" si="160"/>
        <v>-</v>
      </c>
      <c r="CR302" s="510" t="str">
        <f ca="1">IFERROR(IF(LEFT(BW302,3)="Poo",INDEX($BE$4:$BJ$99,MATCH(CI302,$BG$4:$BG$99,0),6)*((15/50))*Calculation!$AK$6,INDEX(Calculation_Tab,MATCH(BV302,Identifier,0),10)/(IF(LEN(INDEX(Calculation_Tab,MATCH(BV302,Identifier,0),9))&gt;8,LEN(INDEX(Calculation_Tab,MATCH(BV302,Identifier,0),9))-8,1))*((15/50)*Calculation!$AK$6)),"-")</f>
        <v>-</v>
      </c>
      <c r="CS302" s="498" t="str">
        <f ca="1">IF(CI302="-","-",IF(COUNTIF($CI$3:CI302,CI302)&gt;1,0,IFERROR((35/50)*Calculation!$AK$6,"-")))</f>
        <v>-</v>
      </c>
    </row>
    <row r="303" spans="4:97" x14ac:dyDescent="0.5">
      <c r="D303" s="487" t="e">
        <f t="shared" si="137"/>
        <v>#DIV/0!</v>
      </c>
      <c r="E303" s="496" t="e">
        <f t="array" ref="E303">IF(IF((ROW(E303)-3)&lt;(ListAndConversion!$A$15),INDEX(Flow_Cell_Lane,MIN(IF(COUNTIF($E$2:E302,Flow_Cell_Lane)=0,ROW(Flow_Cell_Lane)-9))),"-")="","-",IF((ROW(E303)-3)&lt;(ListAndConversion!$A$15),INDEX(Flow_Cell_Lane,MIN(IF(COUNTIF($E$2:E302,Flow_Cell_Lane)=0,ROW(Flow_Cell_Lane)-9))),"-"))</f>
        <v>#DIV/0!</v>
      </c>
      <c r="F303" s="378" t="e">
        <f t="shared" si="138"/>
        <v>#DIV/0!</v>
      </c>
      <c r="G303" s="378" t="e">
        <f t="shared" ref="G303:M312" si="161">IF($D303&gt;8,IF($D303&gt;=(8+G$2),CONCATENATE(LEFT($E303,7),RIGHT(LEFT($E303,8+G$2),1)),""),"")</f>
        <v>#DIV/0!</v>
      </c>
      <c r="H303" s="378" t="e">
        <f t="shared" si="161"/>
        <v>#DIV/0!</v>
      </c>
      <c r="I303" s="378" t="e">
        <f t="shared" si="161"/>
        <v>#DIV/0!</v>
      </c>
      <c r="J303" s="378" t="e">
        <f t="shared" si="161"/>
        <v>#DIV/0!</v>
      </c>
      <c r="K303" s="378" t="e">
        <f t="shared" si="161"/>
        <v>#DIV/0!</v>
      </c>
      <c r="L303" s="378" t="e">
        <f t="shared" si="161"/>
        <v>#DIV/0!</v>
      </c>
      <c r="M303" s="378" t="e">
        <f t="shared" si="161"/>
        <v>#DIV/0!</v>
      </c>
      <c r="N303" s="497" t="e">
        <f t="shared" si="139"/>
        <v>#DIV/0!</v>
      </c>
      <c r="O303" s="497" t="str">
        <f t="array" ref="O303">IFERROR(INDEX(Calculation!I:AN,MATCH(ListAndConversion!E303,Calculation!I:I,0),31),"-")</f>
        <v>-</v>
      </c>
      <c r="P303" s="498">
        <f>IF(COUNTIFS(Calculation!$I$10:$I$393,E303,Direct_Denaturation,"-")&lt;&gt;1,COUNTIFS(Calculation!$I$10:$I$393,E303,Direct_Denaturation,"-"),0)</f>
        <v>0</v>
      </c>
      <c r="V303" s="542" t="s">
        <v>82</v>
      </c>
      <c r="W303" s="542" t="s">
        <v>82</v>
      </c>
      <c r="X303" s="542" t="s">
        <v>82</v>
      </c>
      <c r="Y303" s="542" t="s">
        <v>82</v>
      </c>
      <c r="Z303" s="542" t="s">
        <v>82</v>
      </c>
      <c r="AA303" s="542" t="s">
        <v>82</v>
      </c>
      <c r="AB303" s="542" t="s">
        <v>82</v>
      </c>
      <c r="AC303" s="542" t="s">
        <v>82</v>
      </c>
      <c r="AD303" s="542" t="s">
        <v>82</v>
      </c>
      <c r="AE303" s="542" t="s">
        <v>82</v>
      </c>
      <c r="AF303" s="542" t="s">
        <v>82</v>
      </c>
      <c r="AG303" s="542" t="s">
        <v>82</v>
      </c>
      <c r="AH303" s="9"/>
      <c r="AI303" s="487">
        <v>300</v>
      </c>
      <c r="AJ303" s="497" t="s">
        <v>479</v>
      </c>
      <c r="AK303" s="378">
        <v>12</v>
      </c>
      <c r="AL303" s="378" t="str">
        <f t="shared" ca="1" si="140"/>
        <v>-</v>
      </c>
      <c r="AM303" s="378" t="str">
        <f t="array" aca="1" ref="AM303" ca="1">IFERROR(IF(AI303&lt;=$AB$2,"-",INDEX(Calculation_Tab,SMALL(ROW(Main_Dil)*(Main_Dil&lt;&gt;"-"),COUNTIF(Main_Dil,"-")+ROW()-3-$AB$2)-9,5)),"-")</f>
        <v>-</v>
      </c>
      <c r="AN303" s="378" t="str">
        <f t="array" aca="1" ref="AN303" ca="1">IFERROR(IF(AI303&lt;=$AB$2,"-",INDEX($A$3:$B$12,MATCH(INDEX(Calculation_Tab,SMALL(ROW(Main_Dil)*(Main_Dil&lt;&gt;"-"),COUNTIF(Main_Dil,"-")+ROW()-3-$AB$2)-9,5),$A$3:$A$12,0),2)),"-")</f>
        <v>-</v>
      </c>
      <c r="AO303" s="378" t="str">
        <f t="array" aca="1" ref="AO303" ca="1">IFERROR(IF(AI303&lt;=$AB$2,"-",INDEX(Coordinate,MATCH(INDEX(Calculation_Tab,SMALL(ROW(Main_Dil)*(Main_Dil&lt;&gt;"-"),COUNTIF(Main_Dil,"-")+ROW()-3-$AB$2)-9,6),$X$4:$X$99,0),2)),"-")</f>
        <v>-</v>
      </c>
      <c r="AP303" s="510" t="str">
        <f t="array" aca="1" ref="AP303" ca="1">IFERROR(IF(AI303&lt;=$AB$2,"-",INDEX(Calculation_Tab,SMALL(ROW(Main_Dil)*(Main_Dil&lt;&gt;"-"),COUNTIF(Main_Dil,"-")+ROW()-3-$AB$2)-9,21)),"-")</f>
        <v>-</v>
      </c>
      <c r="AQ303" s="511" t="str">
        <f t="array" aca="1" ref="AQ303" ca="1">IFERROR(IF(AI303&lt;=$AB$2,"-",INDEX(Calculation_Tab,SMALL(ROW(Main_Dil)*(Main_Dil&lt;&gt;"-"),COUNTIF(Main_Dil,"-")+ROW()-3-$AB$2)-9,22)),"-")</f>
        <v>-</v>
      </c>
      <c r="AR303" s="487" t="str">
        <f t="shared" ca="1" si="141"/>
        <v>-</v>
      </c>
      <c r="AS303" s="378">
        <v>300</v>
      </c>
      <c r="AT303" s="497" t="s">
        <v>479</v>
      </c>
      <c r="AU303" s="498">
        <v>12</v>
      </c>
      <c r="AV303" s="378" t="str">
        <f t="shared" ca="1" si="142"/>
        <v>-</v>
      </c>
      <c r="AW303" s="378" t="str">
        <f t="array" aca="1" ref="AW303" ca="1">IFERROR(IF(AS303&lt;=$AB$2+$AN$2,"-",INDEX(Calculation_Tab,SMALL(ROW(Direct_Denaturation)*(Direct_Denaturation&lt;&gt;"-"),COUNTIF(Direct_Denaturation,"-")+ROW()-3-$AB$2-$AN$2)-9,5)),"-")</f>
        <v>-</v>
      </c>
      <c r="AX303" s="378" t="str">
        <f t="array" aca="1" ref="AX303" ca="1">IFERROR(IF(AS303&lt;=$AB$2+$AN$2,"-",INDEX($A$3:$B$12,MATCH(INDEX(Calculation_Tab,SMALL(ROW(Direct_Denaturation)*(Direct_Denaturation&lt;&gt;"-"),COUNTIF(Direct_Denaturation,"-")+ROW()-3-$AB$2-$AN$2)-9,5),$A$3:$A$12,0),2)),"-")</f>
        <v>-</v>
      </c>
      <c r="AY303" s="378" t="str">
        <f t="array" aca="1" ref="AY303" ca="1">IFERROR(IF(AS303&lt;=$AB$2+$AN$2,"-",INDEX(Coordinate,MATCH(INDEX(Calculation_Tab,SMALL(ROW(Direct_Denaturation)*(Direct_Denaturation&lt;&gt;"-"),COUNTIF(Direct_Denaturation,"-")+ROW()-3-$AB$2-$AN$2)-9,6),$X$4:$X$99,0),2)),"-")</f>
        <v>-</v>
      </c>
      <c r="AZ303" s="510" t="str">
        <f t="array" aca="1" ref="AZ303" ca="1">IFERROR(IF(AS303&lt;=$AB$2+$AN$2,"-",INDEX(Calculation_Tab,SMALL(ROW(Direct_Denaturation)*(Direct_Denaturation&lt;&gt;"-"),COUNTIF(Direct_Denaturation,"-")+ROW()-3-$AB$2-$AN$2)-9,32)),"-")</f>
        <v>-</v>
      </c>
      <c r="BA303" s="510" t="str">
        <f t="array" aca="1" ref="BA303" ca="1">IFERROR(IF(AS303&lt;=$AB$2+$AN$2,"-",INDEX(Calculation_Tab,SMALL(ROW(Direct_Denaturation)*(Direct_Denaturation&lt;&gt;"-"),COUNTIF(Direct_Denaturation,"-")+ROW()-3-$AB$2-$AN$2)-9,34)),"-")</f>
        <v>-</v>
      </c>
      <c r="BB303" s="510" t="str">
        <f t="array" aca="1" ref="BB303" ca="1">IFERROR(IF(AS303&lt;=$AB$2+$AN$2,"-",INDEX(Calculation_Tab,SMALL(ROW(Direct_Denaturation)*(Direct_Denaturation&lt;&gt;"-"),COUNTIF(Direct_Denaturation,"-")+ROW()-3-$AB$2-$AN$2)-9,33)),"-")</f>
        <v>-</v>
      </c>
      <c r="BC303" s="510" t="str">
        <f t="array" aca="1" ref="BC303" ca="1">IFERROR(IF(AS303&lt;=$AB$2+$AN$2,"-",INDEX(Calculation_Tab,SMALL(ROW(Direct_Denaturation)*(Direct_Denaturation&lt;&gt;"-"),COUNTIF(Direct_Denaturation,"-")+ROW()-3-$AB$2-$AN$2)-9,35)),"-")</f>
        <v>-</v>
      </c>
      <c r="BD303" s="511" t="str">
        <f t="shared" ca="1" si="143"/>
        <v>-</v>
      </c>
      <c r="BK303" s="542" t="s">
        <v>82</v>
      </c>
      <c r="BL303" s="542" t="s">
        <v>82</v>
      </c>
      <c r="BM303" s="487" t="str">
        <f t="array" aca="1" ref="BM303" ca="1">IFERROR(INDEX(Calculation_Tab,SMALL(ROW(ToPool)*(ToPool&lt;&gt;"-"),COUNTIF(ToPool,"-")+ROW()-3)-9,3),"-")</f>
        <v>-</v>
      </c>
      <c r="BN303" s="378" t="str">
        <f t="shared" ca="1" si="144"/>
        <v>-</v>
      </c>
      <c r="BO303" s="378" t="str">
        <f t="shared" ca="1" si="145"/>
        <v>-</v>
      </c>
      <c r="BP303" s="523" t="str">
        <f t="shared" ca="1" si="146"/>
        <v>-</v>
      </c>
      <c r="BQ303" s="378" t="str">
        <f t="array" aca="1" ref="BQ303" ca="1">IFERROR(INDEX(BE:BG,MATCH(INDEX(Calculation_Tab,SMALL(ROW(ToPool)*(ToPool&lt;&gt;"-"),COUNTIF(ToPool,"-")+ROW()-3)-9,9),BG:BG,0),2),"-")</f>
        <v>-</v>
      </c>
      <c r="BR303" s="510" t="str">
        <f t="shared" ca="1" si="147"/>
        <v>-</v>
      </c>
      <c r="BS303" s="511" t="str">
        <f t="shared" ca="1" si="148"/>
        <v>-</v>
      </c>
      <c r="BT303" s="543" t="s">
        <v>82</v>
      </c>
      <c r="BU303" s="487" t="str">
        <f t="shared" ca="1" si="152"/>
        <v>-</v>
      </c>
      <c r="BV303" s="487" t="str">
        <f t="array" aca="1" ref="BV30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03" s="378" t="str">
        <f t="shared" ca="1" si="149"/>
        <v>-</v>
      </c>
      <c r="BX303" s="378" t="str">
        <f t="shared" ca="1" si="150"/>
        <v>-</v>
      </c>
      <c r="BY303" s="510" t="str">
        <f ca="1">IFERROR(ROUND(INDEX(Cluster,MATCH(IF(LEFT(BV303,4)="Pool",INDEX(Cluster,MATCH(INDEX(Calculation_Tab,MATCH(INDEX($BE$4:$BJ$99,MATCH(BV303,$BE$4:$BE$99,0),3),Flow_Cell_Lane,0),3),Cluster!$F$29:$F$412,0),6),BV303),Identifier_Cluster,0),19)*IF(LEFT(BV303,4)="pool",IF(LEN(INDEX($BE$4:$BJ$99,MATCH(BV303,$BE$4:$BE$99,0),3))=10,2,IF(LEN(INDEX($BE$4:$BJ$99,MATCH(BV303,$BE$4:$BE$99,0),3))&gt;10,LEN(INDEX($BE$4:$BJ$99,MATCH(BV303,$BE$4:$BE$99,0),3))-8,1)),1)*IF(LEFT(BV303,4)="pool",IF(INDEX($BE$4:$BJ$99,MATCH(BV303,$BE$4:$BE$99,0),6)&lt;1,1,INDEX($BE$4:$BJ$99,MATCH(BV303,$BE$4:$BE$99,0),6)),INDEX(Calculation_Tab,MATCH(BV303,Identifier,0),10)),1)*(1+Calculation!$Q$6),"-")</f>
        <v>-</v>
      </c>
      <c r="BZ303" s="378" t="str">
        <f ca="1">IFERROR((0.5/50)*CE303/Calculation!$AG$6*(IF(LEFT(BV303,4)="Pool",IF(LEN(INDEX($BE$4:$BJ$99,MATCH(BV303,$BE$4:$BE$99,0),3))=10,2,IF(LEN(INDEX($BE$4:$BJ$99,MATCH(BV303,$BE$4:$BE$99,0),3))&gt;10,LEN(INDEX($BE$4:$BJ$99,MATCH(BV303,$BE$4:$BE$99,0),3))-8,1)),IF(INDEX(Calculation_Tab,MATCH(BV303,Identifier,0),10)&gt;1,INDEX(Calculation_Tab,MATCH(BV303,Identifier,0),10),1)))*(1+Calculation!$Q$6),"-")</f>
        <v>-</v>
      </c>
      <c r="CA303" s="510" t="str">
        <f ca="1">IFERROR(IF((BZ303*Calculation!$AG$6/0.05)-SUM(BY303:BZ303,CC303)&gt;0,(BZ303*Calculation!$AG$6/0.05)-SUM(BY303:BZ303,CC303),0),"-")</f>
        <v>-</v>
      </c>
      <c r="CB303" s="510" t="str">
        <f ca="1">IFERROR(5/50*CE303*(IF(LEFT(BV303,4)="Pool",IF(LEN(INDEX($BE$4:$BJ$99,MATCH(BV303,$BE$4:$BE$99,0),3))=10,2,IF(LEN(INDEX($BE$4:$BJ$99,MATCH(BV303,$BE$4:$BE$99,0),3))&gt;10,LEN(INDEX($BE$4:$BJ$99,MATCH(BV303,$BE$4:$BE$99,0),3))-8,1)),IF(INDEX(Calculation_Tab,MATCH(BV303,Identifier,0),10)&gt;1,INDEX(Calculation_Tab,MATCH(BV303,Identifier,0),10),1)))*(1+Calculation!$Q$6),"-")</f>
        <v>-</v>
      </c>
      <c r="CC303" s="508" t="str">
        <f ca="1">IFERROR(ROUND(INDEX(Cluster,MATCH(IF(LEFT(BV303,4)="Pool",INDEX(Cluster,MATCH(INDEX(Calculation_Tab,MATCH(INDEX($BE$4:$BJ$99,MATCH(BV303,$BE$4:$BE$99,0),3),Flow_Cell_Lane,0),3),Cluster!$F$29:$F$412,0),6),BV303),Identifier_Cluster,0),20)*IF(LEFT(BV303,4)="pool",IF(LEN(INDEX($BE$4:$BJ$99,MATCH(BV303,$BE$4:$BE$99,0),3))=10,2,IF(LEN(INDEX($BE$4:$BJ$99,MATCH(BV303,$BE$4:$BE$99,0),3))&gt;10,LEN(INDEX($BE$4:$BJ$99,MATCH(BV303,$BE$4:$BE$99,0),3))-8,1)),1)*IF(LEFT(BV303,4)="pool",IF(INDEX($BE$4:$BJ$99,MATCH(BV303,$BE$4:$BE$99,0),6)&lt;1,1,INDEX($BE$4:$BJ$99,MATCH(BV303,$BE$4:$BE$99,0),6)),INDEX(Calculation_Tab,MATCH(BV303,Identifier,0),10)),1)*(1+Calculation!$Q$6),"-")</f>
        <v>-</v>
      </c>
      <c r="CD303" s="509" t="str">
        <f ca="1">IFERROR(INDEX(Cluster!AC:AD,MATCH(IF(LEFT(BV303,4)="Pool",INDEX(Cluster!$D$29:$AA$412,MATCH(INDEX(Calculation_Tab,MATCH(INDEX($BE$4:$BJ$99,MATCH(BV303,$BE$4:$BE$99,0),3),Flow_Cell_Lane,0),3),Cluster!$F$29:$F$412,0),24),INDEX(Cluster!$D$29:$AA$412,MATCH(BV303,Cluster!$F$29:$F$412,0),24)),Cluster!AC:AC,0),2),"-")</f>
        <v>-</v>
      </c>
      <c r="CE303" s="378" t="str">
        <f ca="1">IFERROR(IF(BV303&lt;&gt;"-",Calculation!$AK$6,"-"),"-")</f>
        <v>-</v>
      </c>
      <c r="CF303" s="378" t="str">
        <f ca="1">IF(OR(LEFT(ListAndConversion!BW303,3)="Dil",LEFT(ListAndConversion!BW303,3)="Poo"),ListAndConversion!$BT$4,IF(LEFT(ListAndConversion!BW303,3)="Sou",INDEX(ListAndConversion!$AT$3:$AV$387,MATCH(ListAndConversion!BV303,ListAndConversion!$AV$3:$AV$387,0),1),"-"))</f>
        <v>-</v>
      </c>
      <c r="CG303" s="498" t="str">
        <f ca="1">IF(OR(LEFT(ListAndConversion!BW303,3)="Dil",LEFT(ListAndConversion!BW303,3)="Poo"),ListAndConversion!BU303,IF(LEFT(ListAndConversion!BW303,3)="Sou",INDEX(ListAndConversion!$AT$4:$AV$387,MATCH(ListAndConversion!BV303,ListAndConversion!$AV$4:$AV$387,0),2),"-"))</f>
        <v>-</v>
      </c>
      <c r="CH303" s="378"/>
      <c r="CI303" s="487" t="str">
        <f t="shared" ca="1" si="151"/>
        <v>-</v>
      </c>
      <c r="CJ303" s="378" t="str">
        <f t="shared" ca="1" si="160"/>
        <v>-</v>
      </c>
      <c r="CK303" s="378" t="str">
        <f t="shared" ca="1" si="160"/>
        <v>-</v>
      </c>
      <c r="CL303" s="378" t="str">
        <f t="shared" ca="1" si="160"/>
        <v>-</v>
      </c>
      <c r="CM303" s="378" t="str">
        <f t="shared" ca="1" si="160"/>
        <v>-</v>
      </c>
      <c r="CN303" s="378" t="str">
        <f t="shared" ca="1" si="160"/>
        <v>-</v>
      </c>
      <c r="CO303" s="378" t="str">
        <f t="shared" ca="1" si="160"/>
        <v>-</v>
      </c>
      <c r="CP303" s="378" t="str">
        <f t="shared" ca="1" si="160"/>
        <v>-</v>
      </c>
      <c r="CQ303" s="378" t="str">
        <f t="shared" ca="1" si="160"/>
        <v>-</v>
      </c>
      <c r="CR303" s="510" t="str">
        <f ca="1">IFERROR(IF(LEFT(BW303,3)="Poo",INDEX($BE$4:$BJ$99,MATCH(CI303,$BG$4:$BG$99,0),6)*((15/50))*Calculation!$AK$6,INDEX(Calculation_Tab,MATCH(BV303,Identifier,0),10)/(IF(LEN(INDEX(Calculation_Tab,MATCH(BV303,Identifier,0),9))&gt;8,LEN(INDEX(Calculation_Tab,MATCH(BV303,Identifier,0),9))-8,1))*((15/50)*Calculation!$AK$6)),"-")</f>
        <v>-</v>
      </c>
      <c r="CS303" s="498" t="str">
        <f ca="1">IF(CI303="-","-",IF(COUNTIF($CI$3:CI303,CI303)&gt;1,0,IFERROR((35/50)*Calculation!$AK$6,"-")))</f>
        <v>-</v>
      </c>
    </row>
    <row r="304" spans="4:97" x14ac:dyDescent="0.5">
      <c r="D304" s="487" t="e">
        <f t="shared" si="137"/>
        <v>#DIV/0!</v>
      </c>
      <c r="E304" s="496" t="e">
        <f t="array" ref="E304">IF(IF((ROW(E304)-3)&lt;(ListAndConversion!$A$15),INDEX(Flow_Cell_Lane,MIN(IF(COUNTIF($E$2:E303,Flow_Cell_Lane)=0,ROW(Flow_Cell_Lane)-9))),"-")="","-",IF((ROW(E304)-3)&lt;(ListAndConversion!$A$15),INDEX(Flow_Cell_Lane,MIN(IF(COUNTIF($E$2:E303,Flow_Cell_Lane)=0,ROW(Flow_Cell_Lane)-9))),"-"))</f>
        <v>#DIV/0!</v>
      </c>
      <c r="F304" s="378" t="e">
        <f t="shared" si="138"/>
        <v>#DIV/0!</v>
      </c>
      <c r="G304" s="378" t="e">
        <f t="shared" si="161"/>
        <v>#DIV/0!</v>
      </c>
      <c r="H304" s="378" t="e">
        <f t="shared" si="161"/>
        <v>#DIV/0!</v>
      </c>
      <c r="I304" s="378" t="e">
        <f t="shared" si="161"/>
        <v>#DIV/0!</v>
      </c>
      <c r="J304" s="378" t="e">
        <f t="shared" si="161"/>
        <v>#DIV/0!</v>
      </c>
      <c r="K304" s="378" t="e">
        <f t="shared" si="161"/>
        <v>#DIV/0!</v>
      </c>
      <c r="L304" s="378" t="e">
        <f t="shared" si="161"/>
        <v>#DIV/0!</v>
      </c>
      <c r="M304" s="378" t="e">
        <f t="shared" si="161"/>
        <v>#DIV/0!</v>
      </c>
      <c r="N304" s="497" t="e">
        <f t="shared" si="139"/>
        <v>#DIV/0!</v>
      </c>
      <c r="O304" s="497" t="str">
        <f t="array" ref="O304">IFERROR(INDEX(Calculation!I:AN,MATCH(ListAndConversion!E304,Calculation!I:I,0),31),"-")</f>
        <v>-</v>
      </c>
      <c r="P304" s="498">
        <f>IF(COUNTIFS(Calculation!$I$10:$I$393,E304,Direct_Denaturation,"-")&lt;&gt;1,COUNTIFS(Calculation!$I$10:$I$393,E304,Direct_Denaturation,"-"),0)</f>
        <v>0</v>
      </c>
      <c r="V304" s="542" t="s">
        <v>82</v>
      </c>
      <c r="W304" s="542" t="s">
        <v>82</v>
      </c>
      <c r="X304" s="542" t="s">
        <v>82</v>
      </c>
      <c r="Y304" s="542" t="s">
        <v>82</v>
      </c>
      <c r="Z304" s="542" t="s">
        <v>82</v>
      </c>
      <c r="AA304" s="542" t="s">
        <v>82</v>
      </c>
      <c r="AB304" s="542" t="s">
        <v>82</v>
      </c>
      <c r="AC304" s="542" t="s">
        <v>82</v>
      </c>
      <c r="AD304" s="542" t="s">
        <v>82</v>
      </c>
      <c r="AE304" s="542" t="s">
        <v>82</v>
      </c>
      <c r="AF304" s="542" t="s">
        <v>82</v>
      </c>
      <c r="AG304" s="542" t="s">
        <v>82</v>
      </c>
      <c r="AH304" s="9"/>
      <c r="AI304" s="487">
        <v>301</v>
      </c>
      <c r="AJ304" s="497" t="s">
        <v>479</v>
      </c>
      <c r="AK304" s="378">
        <v>13</v>
      </c>
      <c r="AL304" s="378" t="str">
        <f t="shared" ca="1" si="140"/>
        <v>-</v>
      </c>
      <c r="AM304" s="378" t="str">
        <f t="array" aca="1" ref="AM304" ca="1">IFERROR(IF(AI304&lt;=$AB$2,"-",INDEX(Calculation_Tab,SMALL(ROW(Main_Dil)*(Main_Dil&lt;&gt;"-"),COUNTIF(Main_Dil,"-")+ROW()-3-$AB$2)-9,5)),"-")</f>
        <v>-</v>
      </c>
      <c r="AN304" s="378" t="str">
        <f t="array" aca="1" ref="AN304" ca="1">IFERROR(IF(AI304&lt;=$AB$2,"-",INDEX($A$3:$B$12,MATCH(INDEX(Calculation_Tab,SMALL(ROW(Main_Dil)*(Main_Dil&lt;&gt;"-"),COUNTIF(Main_Dil,"-")+ROW()-3-$AB$2)-9,5),$A$3:$A$12,0),2)),"-")</f>
        <v>-</v>
      </c>
      <c r="AO304" s="378" t="str">
        <f t="array" aca="1" ref="AO304" ca="1">IFERROR(IF(AI304&lt;=$AB$2,"-",INDEX(Coordinate,MATCH(INDEX(Calculation_Tab,SMALL(ROW(Main_Dil)*(Main_Dil&lt;&gt;"-"),COUNTIF(Main_Dil,"-")+ROW()-3-$AB$2)-9,6),$X$4:$X$99,0),2)),"-")</f>
        <v>-</v>
      </c>
      <c r="AP304" s="510" t="str">
        <f t="array" aca="1" ref="AP304" ca="1">IFERROR(IF(AI304&lt;=$AB$2,"-",INDEX(Calculation_Tab,SMALL(ROW(Main_Dil)*(Main_Dil&lt;&gt;"-"),COUNTIF(Main_Dil,"-")+ROW()-3-$AB$2)-9,21)),"-")</f>
        <v>-</v>
      </c>
      <c r="AQ304" s="511" t="str">
        <f t="array" aca="1" ref="AQ304" ca="1">IFERROR(IF(AI304&lt;=$AB$2,"-",INDEX(Calculation_Tab,SMALL(ROW(Main_Dil)*(Main_Dil&lt;&gt;"-"),COUNTIF(Main_Dil,"-")+ROW()-3-$AB$2)-9,22)),"-")</f>
        <v>-</v>
      </c>
      <c r="AR304" s="487" t="str">
        <f t="shared" ca="1" si="141"/>
        <v>-</v>
      </c>
      <c r="AS304" s="378">
        <v>301</v>
      </c>
      <c r="AT304" s="497" t="s">
        <v>479</v>
      </c>
      <c r="AU304" s="498">
        <v>13</v>
      </c>
      <c r="AV304" s="378" t="str">
        <f t="shared" ca="1" si="142"/>
        <v>-</v>
      </c>
      <c r="AW304" s="378" t="str">
        <f t="array" aca="1" ref="AW304" ca="1">IFERROR(IF(AS304&lt;=$AB$2+$AN$2,"-",INDEX(Calculation_Tab,SMALL(ROW(Direct_Denaturation)*(Direct_Denaturation&lt;&gt;"-"),COUNTIF(Direct_Denaturation,"-")+ROW()-3-$AB$2-$AN$2)-9,5)),"-")</f>
        <v>-</v>
      </c>
      <c r="AX304" s="378" t="str">
        <f t="array" aca="1" ref="AX304" ca="1">IFERROR(IF(AS304&lt;=$AB$2+$AN$2,"-",INDEX($A$3:$B$12,MATCH(INDEX(Calculation_Tab,SMALL(ROW(Direct_Denaturation)*(Direct_Denaturation&lt;&gt;"-"),COUNTIF(Direct_Denaturation,"-")+ROW()-3-$AB$2-$AN$2)-9,5),$A$3:$A$12,0),2)),"-")</f>
        <v>-</v>
      </c>
      <c r="AY304" s="378" t="str">
        <f t="array" aca="1" ref="AY304" ca="1">IFERROR(IF(AS304&lt;=$AB$2+$AN$2,"-",INDEX(Coordinate,MATCH(INDEX(Calculation_Tab,SMALL(ROW(Direct_Denaturation)*(Direct_Denaturation&lt;&gt;"-"),COUNTIF(Direct_Denaturation,"-")+ROW()-3-$AB$2-$AN$2)-9,6),$X$4:$X$99,0),2)),"-")</f>
        <v>-</v>
      </c>
      <c r="AZ304" s="510" t="str">
        <f t="array" aca="1" ref="AZ304" ca="1">IFERROR(IF(AS304&lt;=$AB$2+$AN$2,"-",INDEX(Calculation_Tab,SMALL(ROW(Direct_Denaturation)*(Direct_Denaturation&lt;&gt;"-"),COUNTIF(Direct_Denaturation,"-")+ROW()-3-$AB$2-$AN$2)-9,32)),"-")</f>
        <v>-</v>
      </c>
      <c r="BA304" s="510" t="str">
        <f t="array" aca="1" ref="BA304" ca="1">IFERROR(IF(AS304&lt;=$AB$2+$AN$2,"-",INDEX(Calculation_Tab,SMALL(ROW(Direct_Denaturation)*(Direct_Denaturation&lt;&gt;"-"),COUNTIF(Direct_Denaturation,"-")+ROW()-3-$AB$2-$AN$2)-9,34)),"-")</f>
        <v>-</v>
      </c>
      <c r="BB304" s="510" t="str">
        <f t="array" aca="1" ref="BB304" ca="1">IFERROR(IF(AS304&lt;=$AB$2+$AN$2,"-",INDEX(Calculation_Tab,SMALL(ROW(Direct_Denaturation)*(Direct_Denaturation&lt;&gt;"-"),COUNTIF(Direct_Denaturation,"-")+ROW()-3-$AB$2-$AN$2)-9,33)),"-")</f>
        <v>-</v>
      </c>
      <c r="BC304" s="510" t="str">
        <f t="array" aca="1" ref="BC304" ca="1">IFERROR(IF(AS304&lt;=$AB$2+$AN$2,"-",INDEX(Calculation_Tab,SMALL(ROW(Direct_Denaturation)*(Direct_Denaturation&lt;&gt;"-"),COUNTIF(Direct_Denaturation,"-")+ROW()-3-$AB$2-$AN$2)-9,35)),"-")</f>
        <v>-</v>
      </c>
      <c r="BD304" s="511" t="str">
        <f t="shared" ca="1" si="143"/>
        <v>-</v>
      </c>
      <c r="BK304" s="542" t="s">
        <v>82</v>
      </c>
      <c r="BL304" s="542" t="s">
        <v>82</v>
      </c>
      <c r="BM304" s="487" t="str">
        <f t="array" aca="1" ref="BM304" ca="1">IFERROR(INDEX(Calculation_Tab,SMALL(ROW(ToPool)*(ToPool&lt;&gt;"-"),COUNTIF(ToPool,"-")+ROW()-3)-9,3),"-")</f>
        <v>-</v>
      </c>
      <c r="BN304" s="378" t="str">
        <f t="shared" ca="1" si="144"/>
        <v>-</v>
      </c>
      <c r="BO304" s="378" t="str">
        <f t="shared" ca="1" si="145"/>
        <v>-</v>
      </c>
      <c r="BP304" s="523" t="str">
        <f t="shared" ca="1" si="146"/>
        <v>-</v>
      </c>
      <c r="BQ304" s="378" t="str">
        <f t="array" aca="1" ref="BQ304" ca="1">IFERROR(INDEX(BE:BG,MATCH(INDEX(Calculation_Tab,SMALL(ROW(ToPool)*(ToPool&lt;&gt;"-"),COUNTIF(ToPool,"-")+ROW()-3)-9,9),BG:BG,0),2),"-")</f>
        <v>-</v>
      </c>
      <c r="BR304" s="510" t="str">
        <f t="shared" ca="1" si="147"/>
        <v>-</v>
      </c>
      <c r="BS304" s="511" t="str">
        <f t="shared" ca="1" si="148"/>
        <v>-</v>
      </c>
      <c r="BT304" s="543" t="s">
        <v>82</v>
      </c>
      <c r="BU304" s="487" t="str">
        <f t="shared" ca="1" si="152"/>
        <v>-</v>
      </c>
      <c r="BV304" s="487" t="str">
        <f t="array" aca="1" ref="BV30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04" s="378" t="str">
        <f t="shared" ca="1" si="149"/>
        <v>-</v>
      </c>
      <c r="BX304" s="378" t="str">
        <f t="shared" ca="1" si="150"/>
        <v>-</v>
      </c>
      <c r="BY304" s="510" t="str">
        <f ca="1">IFERROR(ROUND(INDEX(Cluster,MATCH(IF(LEFT(BV304,4)="Pool",INDEX(Cluster,MATCH(INDEX(Calculation_Tab,MATCH(INDEX($BE$4:$BJ$99,MATCH(BV304,$BE$4:$BE$99,0),3),Flow_Cell_Lane,0),3),Cluster!$F$29:$F$412,0),6),BV304),Identifier_Cluster,0),19)*IF(LEFT(BV304,4)="pool",IF(LEN(INDEX($BE$4:$BJ$99,MATCH(BV304,$BE$4:$BE$99,0),3))=10,2,IF(LEN(INDEX($BE$4:$BJ$99,MATCH(BV304,$BE$4:$BE$99,0),3))&gt;10,LEN(INDEX($BE$4:$BJ$99,MATCH(BV304,$BE$4:$BE$99,0),3))-8,1)),1)*IF(LEFT(BV304,4)="pool",IF(INDEX($BE$4:$BJ$99,MATCH(BV304,$BE$4:$BE$99,0),6)&lt;1,1,INDEX($BE$4:$BJ$99,MATCH(BV304,$BE$4:$BE$99,0),6)),INDEX(Calculation_Tab,MATCH(BV304,Identifier,0),10)),1)*(1+Calculation!$Q$6),"-")</f>
        <v>-</v>
      </c>
      <c r="BZ304" s="378" t="str">
        <f ca="1">IFERROR((0.5/50)*CE304/Calculation!$AG$6*(IF(LEFT(BV304,4)="Pool",IF(LEN(INDEX($BE$4:$BJ$99,MATCH(BV304,$BE$4:$BE$99,0),3))=10,2,IF(LEN(INDEX($BE$4:$BJ$99,MATCH(BV304,$BE$4:$BE$99,0),3))&gt;10,LEN(INDEX($BE$4:$BJ$99,MATCH(BV304,$BE$4:$BE$99,0),3))-8,1)),IF(INDEX(Calculation_Tab,MATCH(BV304,Identifier,0),10)&gt;1,INDEX(Calculation_Tab,MATCH(BV304,Identifier,0),10),1)))*(1+Calculation!$Q$6),"-")</f>
        <v>-</v>
      </c>
      <c r="CA304" s="510" t="str">
        <f ca="1">IFERROR(IF((BZ304*Calculation!$AG$6/0.05)-SUM(BY304:BZ304,CC304)&gt;0,(BZ304*Calculation!$AG$6/0.05)-SUM(BY304:BZ304,CC304),0),"-")</f>
        <v>-</v>
      </c>
      <c r="CB304" s="510" t="str">
        <f ca="1">IFERROR(5/50*CE304*(IF(LEFT(BV304,4)="Pool",IF(LEN(INDEX($BE$4:$BJ$99,MATCH(BV304,$BE$4:$BE$99,0),3))=10,2,IF(LEN(INDEX($BE$4:$BJ$99,MATCH(BV304,$BE$4:$BE$99,0),3))&gt;10,LEN(INDEX($BE$4:$BJ$99,MATCH(BV304,$BE$4:$BE$99,0),3))-8,1)),IF(INDEX(Calculation_Tab,MATCH(BV304,Identifier,0),10)&gt;1,INDEX(Calculation_Tab,MATCH(BV304,Identifier,0),10),1)))*(1+Calculation!$Q$6),"-")</f>
        <v>-</v>
      </c>
      <c r="CC304" s="508" t="str">
        <f ca="1">IFERROR(ROUND(INDEX(Cluster,MATCH(IF(LEFT(BV304,4)="Pool",INDEX(Cluster,MATCH(INDEX(Calculation_Tab,MATCH(INDEX($BE$4:$BJ$99,MATCH(BV304,$BE$4:$BE$99,0),3),Flow_Cell_Lane,0),3),Cluster!$F$29:$F$412,0),6),BV304),Identifier_Cluster,0),20)*IF(LEFT(BV304,4)="pool",IF(LEN(INDEX($BE$4:$BJ$99,MATCH(BV304,$BE$4:$BE$99,0),3))=10,2,IF(LEN(INDEX($BE$4:$BJ$99,MATCH(BV304,$BE$4:$BE$99,0),3))&gt;10,LEN(INDEX($BE$4:$BJ$99,MATCH(BV304,$BE$4:$BE$99,0),3))-8,1)),1)*IF(LEFT(BV304,4)="pool",IF(INDEX($BE$4:$BJ$99,MATCH(BV304,$BE$4:$BE$99,0),6)&lt;1,1,INDEX($BE$4:$BJ$99,MATCH(BV304,$BE$4:$BE$99,0),6)),INDEX(Calculation_Tab,MATCH(BV304,Identifier,0),10)),1)*(1+Calculation!$Q$6),"-")</f>
        <v>-</v>
      </c>
      <c r="CD304" s="509" t="str">
        <f ca="1">IFERROR(INDEX(Cluster!AC:AD,MATCH(IF(LEFT(BV304,4)="Pool",INDEX(Cluster!$D$29:$AA$412,MATCH(INDEX(Calculation_Tab,MATCH(INDEX($BE$4:$BJ$99,MATCH(BV304,$BE$4:$BE$99,0),3),Flow_Cell_Lane,0),3),Cluster!$F$29:$F$412,0),24),INDEX(Cluster!$D$29:$AA$412,MATCH(BV304,Cluster!$F$29:$F$412,0),24)),Cluster!AC:AC,0),2),"-")</f>
        <v>-</v>
      </c>
      <c r="CE304" s="378" t="str">
        <f ca="1">IFERROR(IF(BV304&lt;&gt;"-",Calculation!$AK$6,"-"),"-")</f>
        <v>-</v>
      </c>
      <c r="CF304" s="378" t="str">
        <f ca="1">IF(OR(LEFT(ListAndConversion!BW304,3)="Dil",LEFT(ListAndConversion!BW304,3)="Poo"),ListAndConversion!$BT$4,IF(LEFT(ListAndConversion!BW304,3)="Sou",INDEX(ListAndConversion!$AT$3:$AV$387,MATCH(ListAndConversion!BV304,ListAndConversion!$AV$3:$AV$387,0),1),"-"))</f>
        <v>-</v>
      </c>
      <c r="CG304" s="498" t="str">
        <f ca="1">IF(OR(LEFT(ListAndConversion!BW304,3)="Dil",LEFT(ListAndConversion!BW304,3)="Poo"),ListAndConversion!BU304,IF(LEFT(ListAndConversion!BW304,3)="Sou",INDEX(ListAndConversion!$AT$4:$AV$387,MATCH(ListAndConversion!BV304,ListAndConversion!$AV$4:$AV$387,0),2),"-"))</f>
        <v>-</v>
      </c>
      <c r="CH304" s="378"/>
      <c r="CI304" s="487" t="str">
        <f t="shared" ca="1" si="151"/>
        <v>-</v>
      </c>
      <c r="CJ304" s="378" t="str">
        <f t="shared" ref="CJ304:CQ313" ca="1" si="162">IFERROR(INDEX($R$3:$U$98,MATCH(INDEX($F$3:$M$387,MATCH($CI304,$E$3:$E$386,0),CJ$3),$S$3:$S$98,0),4),"-")</f>
        <v>-</v>
      </c>
      <c r="CK304" s="378" t="str">
        <f t="shared" ca="1" si="162"/>
        <v>-</v>
      </c>
      <c r="CL304" s="378" t="str">
        <f t="shared" ca="1" si="162"/>
        <v>-</v>
      </c>
      <c r="CM304" s="378" t="str">
        <f t="shared" ca="1" si="162"/>
        <v>-</v>
      </c>
      <c r="CN304" s="378" t="str">
        <f t="shared" ca="1" si="162"/>
        <v>-</v>
      </c>
      <c r="CO304" s="378" t="str">
        <f t="shared" ca="1" si="162"/>
        <v>-</v>
      </c>
      <c r="CP304" s="378" t="str">
        <f t="shared" ca="1" si="162"/>
        <v>-</v>
      </c>
      <c r="CQ304" s="378" t="str">
        <f t="shared" ca="1" si="162"/>
        <v>-</v>
      </c>
      <c r="CR304" s="510" t="str">
        <f ca="1">IFERROR(IF(LEFT(BW304,3)="Poo",INDEX($BE$4:$BJ$99,MATCH(CI304,$BG$4:$BG$99,0),6)*((15/50))*Calculation!$AK$6,INDEX(Calculation_Tab,MATCH(BV304,Identifier,0),10)/(IF(LEN(INDEX(Calculation_Tab,MATCH(BV304,Identifier,0),9))&gt;8,LEN(INDEX(Calculation_Tab,MATCH(BV304,Identifier,0),9))-8,1))*((15/50)*Calculation!$AK$6)),"-")</f>
        <v>-</v>
      </c>
      <c r="CS304" s="498" t="str">
        <f ca="1">IF(CI304="-","-",IF(COUNTIF($CI$3:CI304,CI304)&gt;1,0,IFERROR((35/50)*Calculation!$AK$6,"-")))</f>
        <v>-</v>
      </c>
    </row>
    <row r="305" spans="4:97" x14ac:dyDescent="0.5">
      <c r="D305" s="487" t="e">
        <f t="shared" si="137"/>
        <v>#DIV/0!</v>
      </c>
      <c r="E305" s="496" t="e">
        <f t="array" ref="E305">IF(IF((ROW(E305)-3)&lt;(ListAndConversion!$A$15),INDEX(Flow_Cell_Lane,MIN(IF(COUNTIF($E$2:E304,Flow_Cell_Lane)=0,ROW(Flow_Cell_Lane)-9))),"-")="","-",IF((ROW(E305)-3)&lt;(ListAndConversion!$A$15),INDEX(Flow_Cell_Lane,MIN(IF(COUNTIF($E$2:E304,Flow_Cell_Lane)=0,ROW(Flow_Cell_Lane)-9))),"-"))</f>
        <v>#DIV/0!</v>
      </c>
      <c r="F305" s="378" t="e">
        <f t="shared" si="138"/>
        <v>#DIV/0!</v>
      </c>
      <c r="G305" s="378" t="e">
        <f t="shared" si="161"/>
        <v>#DIV/0!</v>
      </c>
      <c r="H305" s="378" t="e">
        <f t="shared" si="161"/>
        <v>#DIV/0!</v>
      </c>
      <c r="I305" s="378" t="e">
        <f t="shared" si="161"/>
        <v>#DIV/0!</v>
      </c>
      <c r="J305" s="378" t="e">
        <f t="shared" si="161"/>
        <v>#DIV/0!</v>
      </c>
      <c r="K305" s="378" t="e">
        <f t="shared" si="161"/>
        <v>#DIV/0!</v>
      </c>
      <c r="L305" s="378" t="e">
        <f t="shared" si="161"/>
        <v>#DIV/0!</v>
      </c>
      <c r="M305" s="378" t="e">
        <f t="shared" si="161"/>
        <v>#DIV/0!</v>
      </c>
      <c r="N305" s="497" t="e">
        <f t="shared" si="139"/>
        <v>#DIV/0!</v>
      </c>
      <c r="O305" s="497" t="str">
        <f t="array" ref="O305">IFERROR(INDEX(Calculation!I:AN,MATCH(ListAndConversion!E305,Calculation!I:I,0),31),"-")</f>
        <v>-</v>
      </c>
      <c r="P305" s="498">
        <f>IF(COUNTIFS(Calculation!$I$10:$I$393,E305,Direct_Denaturation,"-")&lt;&gt;1,COUNTIFS(Calculation!$I$10:$I$393,E305,Direct_Denaturation,"-"),0)</f>
        <v>0</v>
      </c>
      <c r="V305" s="542" t="s">
        <v>82</v>
      </c>
      <c r="W305" s="542" t="s">
        <v>82</v>
      </c>
      <c r="X305" s="542" t="s">
        <v>82</v>
      </c>
      <c r="Y305" s="542" t="s">
        <v>82</v>
      </c>
      <c r="Z305" s="542" t="s">
        <v>82</v>
      </c>
      <c r="AA305" s="542" t="s">
        <v>82</v>
      </c>
      <c r="AB305" s="542" t="s">
        <v>82</v>
      </c>
      <c r="AC305" s="542" t="s">
        <v>82</v>
      </c>
      <c r="AD305" s="542" t="s">
        <v>82</v>
      </c>
      <c r="AE305" s="542" t="s">
        <v>82</v>
      </c>
      <c r="AF305" s="542" t="s">
        <v>82</v>
      </c>
      <c r="AG305" s="542" t="s">
        <v>82</v>
      </c>
      <c r="AH305" s="9"/>
      <c r="AI305" s="487">
        <v>302</v>
      </c>
      <c r="AJ305" s="497" t="s">
        <v>479</v>
      </c>
      <c r="AK305" s="378">
        <v>14</v>
      </c>
      <c r="AL305" s="378" t="str">
        <f t="shared" ca="1" si="140"/>
        <v>-</v>
      </c>
      <c r="AM305" s="378" t="str">
        <f t="array" aca="1" ref="AM305" ca="1">IFERROR(IF(AI305&lt;=$AB$2,"-",INDEX(Calculation_Tab,SMALL(ROW(Main_Dil)*(Main_Dil&lt;&gt;"-"),COUNTIF(Main_Dil,"-")+ROW()-3-$AB$2)-9,5)),"-")</f>
        <v>-</v>
      </c>
      <c r="AN305" s="378" t="str">
        <f t="array" aca="1" ref="AN305" ca="1">IFERROR(IF(AI305&lt;=$AB$2,"-",INDEX($A$3:$B$12,MATCH(INDEX(Calculation_Tab,SMALL(ROW(Main_Dil)*(Main_Dil&lt;&gt;"-"),COUNTIF(Main_Dil,"-")+ROW()-3-$AB$2)-9,5),$A$3:$A$12,0),2)),"-")</f>
        <v>-</v>
      </c>
      <c r="AO305" s="378" t="str">
        <f t="array" aca="1" ref="AO305" ca="1">IFERROR(IF(AI305&lt;=$AB$2,"-",INDEX(Coordinate,MATCH(INDEX(Calculation_Tab,SMALL(ROW(Main_Dil)*(Main_Dil&lt;&gt;"-"),COUNTIF(Main_Dil,"-")+ROW()-3-$AB$2)-9,6),$X$4:$X$99,0),2)),"-")</f>
        <v>-</v>
      </c>
      <c r="AP305" s="510" t="str">
        <f t="array" aca="1" ref="AP305" ca="1">IFERROR(IF(AI305&lt;=$AB$2,"-",INDEX(Calculation_Tab,SMALL(ROW(Main_Dil)*(Main_Dil&lt;&gt;"-"),COUNTIF(Main_Dil,"-")+ROW()-3-$AB$2)-9,21)),"-")</f>
        <v>-</v>
      </c>
      <c r="AQ305" s="511" t="str">
        <f t="array" aca="1" ref="AQ305" ca="1">IFERROR(IF(AI305&lt;=$AB$2,"-",INDEX(Calculation_Tab,SMALL(ROW(Main_Dil)*(Main_Dil&lt;&gt;"-"),COUNTIF(Main_Dil,"-")+ROW()-3-$AB$2)-9,22)),"-")</f>
        <v>-</v>
      </c>
      <c r="AR305" s="487" t="str">
        <f t="shared" ca="1" si="141"/>
        <v>-</v>
      </c>
      <c r="AS305" s="378">
        <v>302</v>
      </c>
      <c r="AT305" s="497" t="s">
        <v>479</v>
      </c>
      <c r="AU305" s="498">
        <v>14</v>
      </c>
      <c r="AV305" s="378" t="str">
        <f t="shared" ca="1" si="142"/>
        <v>-</v>
      </c>
      <c r="AW305" s="378" t="str">
        <f t="array" aca="1" ref="AW305" ca="1">IFERROR(IF(AS305&lt;=$AB$2+$AN$2,"-",INDEX(Calculation_Tab,SMALL(ROW(Direct_Denaturation)*(Direct_Denaturation&lt;&gt;"-"),COUNTIF(Direct_Denaturation,"-")+ROW()-3-$AB$2-$AN$2)-9,5)),"-")</f>
        <v>-</v>
      </c>
      <c r="AX305" s="378" t="str">
        <f t="array" aca="1" ref="AX305" ca="1">IFERROR(IF(AS305&lt;=$AB$2+$AN$2,"-",INDEX($A$3:$B$12,MATCH(INDEX(Calculation_Tab,SMALL(ROW(Direct_Denaturation)*(Direct_Denaturation&lt;&gt;"-"),COUNTIF(Direct_Denaturation,"-")+ROW()-3-$AB$2-$AN$2)-9,5),$A$3:$A$12,0),2)),"-")</f>
        <v>-</v>
      </c>
      <c r="AY305" s="378" t="str">
        <f t="array" aca="1" ref="AY305" ca="1">IFERROR(IF(AS305&lt;=$AB$2+$AN$2,"-",INDEX(Coordinate,MATCH(INDEX(Calculation_Tab,SMALL(ROW(Direct_Denaturation)*(Direct_Denaturation&lt;&gt;"-"),COUNTIF(Direct_Denaturation,"-")+ROW()-3-$AB$2-$AN$2)-9,6),$X$4:$X$99,0),2)),"-")</f>
        <v>-</v>
      </c>
      <c r="AZ305" s="510" t="str">
        <f t="array" aca="1" ref="AZ305" ca="1">IFERROR(IF(AS305&lt;=$AB$2+$AN$2,"-",INDEX(Calculation_Tab,SMALL(ROW(Direct_Denaturation)*(Direct_Denaturation&lt;&gt;"-"),COUNTIF(Direct_Denaturation,"-")+ROW()-3-$AB$2-$AN$2)-9,32)),"-")</f>
        <v>-</v>
      </c>
      <c r="BA305" s="510" t="str">
        <f t="array" aca="1" ref="BA305" ca="1">IFERROR(IF(AS305&lt;=$AB$2+$AN$2,"-",INDEX(Calculation_Tab,SMALL(ROW(Direct_Denaturation)*(Direct_Denaturation&lt;&gt;"-"),COUNTIF(Direct_Denaturation,"-")+ROW()-3-$AB$2-$AN$2)-9,34)),"-")</f>
        <v>-</v>
      </c>
      <c r="BB305" s="510" t="str">
        <f t="array" aca="1" ref="BB305" ca="1">IFERROR(IF(AS305&lt;=$AB$2+$AN$2,"-",INDEX(Calculation_Tab,SMALL(ROW(Direct_Denaturation)*(Direct_Denaturation&lt;&gt;"-"),COUNTIF(Direct_Denaturation,"-")+ROW()-3-$AB$2-$AN$2)-9,33)),"-")</f>
        <v>-</v>
      </c>
      <c r="BC305" s="510" t="str">
        <f t="array" aca="1" ref="BC305" ca="1">IFERROR(IF(AS305&lt;=$AB$2+$AN$2,"-",INDEX(Calculation_Tab,SMALL(ROW(Direct_Denaturation)*(Direct_Denaturation&lt;&gt;"-"),COUNTIF(Direct_Denaturation,"-")+ROW()-3-$AB$2-$AN$2)-9,35)),"-")</f>
        <v>-</v>
      </c>
      <c r="BD305" s="511" t="str">
        <f t="shared" ca="1" si="143"/>
        <v>-</v>
      </c>
      <c r="BK305" s="542" t="s">
        <v>82</v>
      </c>
      <c r="BL305" s="542" t="s">
        <v>82</v>
      </c>
      <c r="BM305" s="487" t="str">
        <f t="array" aca="1" ref="BM305" ca="1">IFERROR(INDEX(Calculation_Tab,SMALL(ROW(ToPool)*(ToPool&lt;&gt;"-"),COUNTIF(ToPool,"-")+ROW()-3)-9,3),"-")</f>
        <v>-</v>
      </c>
      <c r="BN305" s="378" t="str">
        <f t="shared" ca="1" si="144"/>
        <v>-</v>
      </c>
      <c r="BO305" s="378" t="str">
        <f t="shared" ca="1" si="145"/>
        <v>-</v>
      </c>
      <c r="BP305" s="523" t="str">
        <f t="shared" ca="1" si="146"/>
        <v>-</v>
      </c>
      <c r="BQ305" s="378" t="str">
        <f t="array" aca="1" ref="BQ305" ca="1">IFERROR(INDEX(BE:BG,MATCH(INDEX(Calculation_Tab,SMALL(ROW(ToPool)*(ToPool&lt;&gt;"-"),COUNTIF(ToPool,"-")+ROW()-3)-9,9),BG:BG,0),2),"-")</f>
        <v>-</v>
      </c>
      <c r="BR305" s="510" t="str">
        <f t="shared" ca="1" si="147"/>
        <v>-</v>
      </c>
      <c r="BS305" s="511" t="str">
        <f t="shared" ca="1" si="148"/>
        <v>-</v>
      </c>
      <c r="BT305" s="543" t="s">
        <v>82</v>
      </c>
      <c r="BU305" s="487" t="str">
        <f t="shared" ca="1" si="152"/>
        <v>-</v>
      </c>
      <c r="BV305" s="487" t="str">
        <f t="array" aca="1" ref="BV30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05" s="378" t="str">
        <f t="shared" ca="1" si="149"/>
        <v>-</v>
      </c>
      <c r="BX305" s="378" t="str">
        <f t="shared" ca="1" si="150"/>
        <v>-</v>
      </c>
      <c r="BY305" s="510" t="str">
        <f ca="1">IFERROR(ROUND(INDEX(Cluster,MATCH(IF(LEFT(BV305,4)="Pool",INDEX(Cluster,MATCH(INDEX(Calculation_Tab,MATCH(INDEX($BE$4:$BJ$99,MATCH(BV305,$BE$4:$BE$99,0),3),Flow_Cell_Lane,0),3),Cluster!$F$29:$F$412,0),6),BV305),Identifier_Cluster,0),19)*IF(LEFT(BV305,4)="pool",IF(LEN(INDEX($BE$4:$BJ$99,MATCH(BV305,$BE$4:$BE$99,0),3))=10,2,IF(LEN(INDEX($BE$4:$BJ$99,MATCH(BV305,$BE$4:$BE$99,0),3))&gt;10,LEN(INDEX($BE$4:$BJ$99,MATCH(BV305,$BE$4:$BE$99,0),3))-8,1)),1)*IF(LEFT(BV305,4)="pool",IF(INDEX($BE$4:$BJ$99,MATCH(BV305,$BE$4:$BE$99,0),6)&lt;1,1,INDEX($BE$4:$BJ$99,MATCH(BV305,$BE$4:$BE$99,0),6)),INDEX(Calculation_Tab,MATCH(BV305,Identifier,0),10)),1)*(1+Calculation!$Q$6),"-")</f>
        <v>-</v>
      </c>
      <c r="BZ305" s="378" t="str">
        <f ca="1">IFERROR((0.5/50)*CE305/Calculation!$AG$6*(IF(LEFT(BV305,4)="Pool",IF(LEN(INDEX($BE$4:$BJ$99,MATCH(BV305,$BE$4:$BE$99,0),3))=10,2,IF(LEN(INDEX($BE$4:$BJ$99,MATCH(BV305,$BE$4:$BE$99,0),3))&gt;10,LEN(INDEX($BE$4:$BJ$99,MATCH(BV305,$BE$4:$BE$99,0),3))-8,1)),IF(INDEX(Calculation_Tab,MATCH(BV305,Identifier,0),10)&gt;1,INDEX(Calculation_Tab,MATCH(BV305,Identifier,0),10),1)))*(1+Calculation!$Q$6),"-")</f>
        <v>-</v>
      </c>
      <c r="CA305" s="510" t="str">
        <f ca="1">IFERROR(IF((BZ305*Calculation!$AG$6/0.05)-SUM(BY305:BZ305,CC305)&gt;0,(BZ305*Calculation!$AG$6/0.05)-SUM(BY305:BZ305,CC305),0),"-")</f>
        <v>-</v>
      </c>
      <c r="CB305" s="510" t="str">
        <f ca="1">IFERROR(5/50*CE305*(IF(LEFT(BV305,4)="Pool",IF(LEN(INDEX($BE$4:$BJ$99,MATCH(BV305,$BE$4:$BE$99,0),3))=10,2,IF(LEN(INDEX($BE$4:$BJ$99,MATCH(BV305,$BE$4:$BE$99,0),3))&gt;10,LEN(INDEX($BE$4:$BJ$99,MATCH(BV305,$BE$4:$BE$99,0),3))-8,1)),IF(INDEX(Calculation_Tab,MATCH(BV305,Identifier,0),10)&gt;1,INDEX(Calculation_Tab,MATCH(BV305,Identifier,0),10),1)))*(1+Calculation!$Q$6),"-")</f>
        <v>-</v>
      </c>
      <c r="CC305" s="508" t="str">
        <f ca="1">IFERROR(ROUND(INDEX(Cluster,MATCH(IF(LEFT(BV305,4)="Pool",INDEX(Cluster,MATCH(INDEX(Calculation_Tab,MATCH(INDEX($BE$4:$BJ$99,MATCH(BV305,$BE$4:$BE$99,0),3),Flow_Cell_Lane,0),3),Cluster!$F$29:$F$412,0),6),BV305),Identifier_Cluster,0),20)*IF(LEFT(BV305,4)="pool",IF(LEN(INDEX($BE$4:$BJ$99,MATCH(BV305,$BE$4:$BE$99,0),3))=10,2,IF(LEN(INDEX($BE$4:$BJ$99,MATCH(BV305,$BE$4:$BE$99,0),3))&gt;10,LEN(INDEX($BE$4:$BJ$99,MATCH(BV305,$BE$4:$BE$99,0),3))-8,1)),1)*IF(LEFT(BV305,4)="pool",IF(INDEX($BE$4:$BJ$99,MATCH(BV305,$BE$4:$BE$99,0),6)&lt;1,1,INDEX($BE$4:$BJ$99,MATCH(BV305,$BE$4:$BE$99,0),6)),INDEX(Calculation_Tab,MATCH(BV305,Identifier,0),10)),1)*(1+Calculation!$Q$6),"-")</f>
        <v>-</v>
      </c>
      <c r="CD305" s="509" t="str">
        <f ca="1">IFERROR(INDEX(Cluster!AC:AD,MATCH(IF(LEFT(BV305,4)="Pool",INDEX(Cluster!$D$29:$AA$412,MATCH(INDEX(Calculation_Tab,MATCH(INDEX($BE$4:$BJ$99,MATCH(BV305,$BE$4:$BE$99,0),3),Flow_Cell_Lane,0),3),Cluster!$F$29:$F$412,0),24),INDEX(Cluster!$D$29:$AA$412,MATCH(BV305,Cluster!$F$29:$F$412,0),24)),Cluster!AC:AC,0),2),"-")</f>
        <v>-</v>
      </c>
      <c r="CE305" s="378" t="str">
        <f ca="1">IFERROR(IF(BV305&lt;&gt;"-",Calculation!$AK$6,"-"),"-")</f>
        <v>-</v>
      </c>
      <c r="CF305" s="378" t="str">
        <f ca="1">IF(OR(LEFT(ListAndConversion!BW305,3)="Dil",LEFT(ListAndConversion!BW305,3)="Poo"),ListAndConversion!$BT$4,IF(LEFT(ListAndConversion!BW305,3)="Sou",INDEX(ListAndConversion!$AT$3:$AV$387,MATCH(ListAndConversion!BV305,ListAndConversion!$AV$3:$AV$387,0),1),"-"))</f>
        <v>-</v>
      </c>
      <c r="CG305" s="498" t="str">
        <f ca="1">IF(OR(LEFT(ListAndConversion!BW305,3)="Dil",LEFT(ListAndConversion!BW305,3)="Poo"),ListAndConversion!BU305,IF(LEFT(ListAndConversion!BW305,3)="Sou",INDEX(ListAndConversion!$AT$4:$AV$387,MATCH(ListAndConversion!BV305,ListAndConversion!$AV$4:$AV$387,0),2),"-"))</f>
        <v>-</v>
      </c>
      <c r="CH305" s="378"/>
      <c r="CI305" s="487" t="str">
        <f t="shared" ca="1" si="151"/>
        <v>-</v>
      </c>
      <c r="CJ305" s="378" t="str">
        <f t="shared" ca="1" si="162"/>
        <v>-</v>
      </c>
      <c r="CK305" s="378" t="str">
        <f t="shared" ca="1" si="162"/>
        <v>-</v>
      </c>
      <c r="CL305" s="378" t="str">
        <f t="shared" ca="1" si="162"/>
        <v>-</v>
      </c>
      <c r="CM305" s="378" t="str">
        <f t="shared" ca="1" si="162"/>
        <v>-</v>
      </c>
      <c r="CN305" s="378" t="str">
        <f t="shared" ca="1" si="162"/>
        <v>-</v>
      </c>
      <c r="CO305" s="378" t="str">
        <f t="shared" ca="1" si="162"/>
        <v>-</v>
      </c>
      <c r="CP305" s="378" t="str">
        <f t="shared" ca="1" si="162"/>
        <v>-</v>
      </c>
      <c r="CQ305" s="378" t="str">
        <f t="shared" ca="1" si="162"/>
        <v>-</v>
      </c>
      <c r="CR305" s="510" t="str">
        <f ca="1">IFERROR(IF(LEFT(BW305,3)="Poo",INDEX($BE$4:$BJ$99,MATCH(CI305,$BG$4:$BG$99,0),6)*((15/50))*Calculation!$AK$6,INDEX(Calculation_Tab,MATCH(BV305,Identifier,0),10)/(IF(LEN(INDEX(Calculation_Tab,MATCH(BV305,Identifier,0),9))&gt;8,LEN(INDEX(Calculation_Tab,MATCH(BV305,Identifier,0),9))-8,1))*((15/50)*Calculation!$AK$6)),"-")</f>
        <v>-</v>
      </c>
      <c r="CS305" s="498" t="str">
        <f ca="1">IF(CI305="-","-",IF(COUNTIF($CI$3:CI305,CI305)&gt;1,0,IFERROR((35/50)*Calculation!$AK$6,"-")))</f>
        <v>-</v>
      </c>
    </row>
    <row r="306" spans="4:97" x14ac:dyDescent="0.5">
      <c r="D306" s="487" t="e">
        <f t="shared" si="137"/>
        <v>#DIV/0!</v>
      </c>
      <c r="E306" s="496" t="e">
        <f t="array" ref="E306">IF(IF((ROW(E306)-3)&lt;(ListAndConversion!$A$15),INDEX(Flow_Cell_Lane,MIN(IF(COUNTIF($E$2:E305,Flow_Cell_Lane)=0,ROW(Flow_Cell_Lane)-9))),"-")="","-",IF((ROW(E306)-3)&lt;(ListAndConversion!$A$15),INDEX(Flow_Cell_Lane,MIN(IF(COUNTIF($E$2:E305,Flow_Cell_Lane)=0,ROW(Flow_Cell_Lane)-9))),"-"))</f>
        <v>#DIV/0!</v>
      </c>
      <c r="F306" s="378" t="e">
        <f t="shared" si="138"/>
        <v>#DIV/0!</v>
      </c>
      <c r="G306" s="378" t="e">
        <f t="shared" si="161"/>
        <v>#DIV/0!</v>
      </c>
      <c r="H306" s="378" t="e">
        <f t="shared" si="161"/>
        <v>#DIV/0!</v>
      </c>
      <c r="I306" s="378" t="e">
        <f t="shared" si="161"/>
        <v>#DIV/0!</v>
      </c>
      <c r="J306" s="378" t="e">
        <f t="shared" si="161"/>
        <v>#DIV/0!</v>
      </c>
      <c r="K306" s="378" t="e">
        <f t="shared" si="161"/>
        <v>#DIV/0!</v>
      </c>
      <c r="L306" s="378" t="e">
        <f t="shared" si="161"/>
        <v>#DIV/0!</v>
      </c>
      <c r="M306" s="378" t="e">
        <f t="shared" si="161"/>
        <v>#DIV/0!</v>
      </c>
      <c r="N306" s="497" t="e">
        <f t="shared" si="139"/>
        <v>#DIV/0!</v>
      </c>
      <c r="O306" s="497" t="str">
        <f t="array" ref="O306">IFERROR(INDEX(Calculation!I:AN,MATCH(ListAndConversion!E306,Calculation!I:I,0),31),"-")</f>
        <v>-</v>
      </c>
      <c r="P306" s="498">
        <f>IF(COUNTIFS(Calculation!$I$10:$I$393,E306,Direct_Denaturation,"-")&lt;&gt;1,COUNTIFS(Calculation!$I$10:$I$393,E306,Direct_Denaturation,"-"),0)</f>
        <v>0</v>
      </c>
      <c r="V306" s="542" t="s">
        <v>82</v>
      </c>
      <c r="W306" s="542" t="s">
        <v>82</v>
      </c>
      <c r="X306" s="542" t="s">
        <v>82</v>
      </c>
      <c r="Y306" s="542" t="s">
        <v>82</v>
      </c>
      <c r="Z306" s="542" t="s">
        <v>82</v>
      </c>
      <c r="AA306" s="542" t="s">
        <v>82</v>
      </c>
      <c r="AB306" s="542" t="s">
        <v>82</v>
      </c>
      <c r="AC306" s="542" t="s">
        <v>82</v>
      </c>
      <c r="AD306" s="542" t="s">
        <v>82</v>
      </c>
      <c r="AE306" s="542" t="s">
        <v>82</v>
      </c>
      <c r="AF306" s="542" t="s">
        <v>82</v>
      </c>
      <c r="AG306" s="542" t="s">
        <v>82</v>
      </c>
      <c r="AH306" s="9"/>
      <c r="AI306" s="487">
        <v>303</v>
      </c>
      <c r="AJ306" s="497" t="s">
        <v>479</v>
      </c>
      <c r="AK306" s="378">
        <v>15</v>
      </c>
      <c r="AL306" s="378" t="str">
        <f t="shared" ca="1" si="140"/>
        <v>-</v>
      </c>
      <c r="AM306" s="378" t="str">
        <f t="array" aca="1" ref="AM306" ca="1">IFERROR(IF(AI306&lt;=$AB$2,"-",INDEX(Calculation_Tab,SMALL(ROW(Main_Dil)*(Main_Dil&lt;&gt;"-"),COUNTIF(Main_Dil,"-")+ROW()-3-$AB$2)-9,5)),"-")</f>
        <v>-</v>
      </c>
      <c r="AN306" s="378" t="str">
        <f t="array" aca="1" ref="AN306" ca="1">IFERROR(IF(AI306&lt;=$AB$2,"-",INDEX($A$3:$B$12,MATCH(INDEX(Calculation_Tab,SMALL(ROW(Main_Dil)*(Main_Dil&lt;&gt;"-"),COUNTIF(Main_Dil,"-")+ROW()-3-$AB$2)-9,5),$A$3:$A$12,0),2)),"-")</f>
        <v>-</v>
      </c>
      <c r="AO306" s="378" t="str">
        <f t="array" aca="1" ref="AO306" ca="1">IFERROR(IF(AI306&lt;=$AB$2,"-",INDEX(Coordinate,MATCH(INDEX(Calculation_Tab,SMALL(ROW(Main_Dil)*(Main_Dil&lt;&gt;"-"),COUNTIF(Main_Dil,"-")+ROW()-3-$AB$2)-9,6),$X$4:$X$99,0),2)),"-")</f>
        <v>-</v>
      </c>
      <c r="AP306" s="510" t="str">
        <f t="array" aca="1" ref="AP306" ca="1">IFERROR(IF(AI306&lt;=$AB$2,"-",INDEX(Calculation_Tab,SMALL(ROW(Main_Dil)*(Main_Dil&lt;&gt;"-"),COUNTIF(Main_Dil,"-")+ROW()-3-$AB$2)-9,21)),"-")</f>
        <v>-</v>
      </c>
      <c r="AQ306" s="511" t="str">
        <f t="array" aca="1" ref="AQ306" ca="1">IFERROR(IF(AI306&lt;=$AB$2,"-",INDEX(Calculation_Tab,SMALL(ROW(Main_Dil)*(Main_Dil&lt;&gt;"-"),COUNTIF(Main_Dil,"-")+ROW()-3-$AB$2)-9,22)),"-")</f>
        <v>-</v>
      </c>
      <c r="AR306" s="487" t="str">
        <f t="shared" ca="1" si="141"/>
        <v>-</v>
      </c>
      <c r="AS306" s="378">
        <v>303</v>
      </c>
      <c r="AT306" s="497" t="s">
        <v>479</v>
      </c>
      <c r="AU306" s="498">
        <v>15</v>
      </c>
      <c r="AV306" s="378" t="str">
        <f t="shared" ca="1" si="142"/>
        <v>-</v>
      </c>
      <c r="AW306" s="378" t="str">
        <f t="array" aca="1" ref="AW306" ca="1">IFERROR(IF(AS306&lt;=$AB$2+$AN$2,"-",INDEX(Calculation_Tab,SMALL(ROW(Direct_Denaturation)*(Direct_Denaturation&lt;&gt;"-"),COUNTIF(Direct_Denaturation,"-")+ROW()-3-$AB$2-$AN$2)-9,5)),"-")</f>
        <v>-</v>
      </c>
      <c r="AX306" s="378" t="str">
        <f t="array" aca="1" ref="AX306" ca="1">IFERROR(IF(AS306&lt;=$AB$2+$AN$2,"-",INDEX($A$3:$B$12,MATCH(INDEX(Calculation_Tab,SMALL(ROW(Direct_Denaturation)*(Direct_Denaturation&lt;&gt;"-"),COUNTIF(Direct_Denaturation,"-")+ROW()-3-$AB$2-$AN$2)-9,5),$A$3:$A$12,0),2)),"-")</f>
        <v>-</v>
      </c>
      <c r="AY306" s="378" t="str">
        <f t="array" aca="1" ref="AY306" ca="1">IFERROR(IF(AS306&lt;=$AB$2+$AN$2,"-",INDEX(Coordinate,MATCH(INDEX(Calculation_Tab,SMALL(ROW(Direct_Denaturation)*(Direct_Denaturation&lt;&gt;"-"),COUNTIF(Direct_Denaturation,"-")+ROW()-3-$AB$2-$AN$2)-9,6),$X$4:$X$99,0),2)),"-")</f>
        <v>-</v>
      </c>
      <c r="AZ306" s="510" t="str">
        <f t="array" aca="1" ref="AZ306" ca="1">IFERROR(IF(AS306&lt;=$AB$2+$AN$2,"-",INDEX(Calculation_Tab,SMALL(ROW(Direct_Denaturation)*(Direct_Denaturation&lt;&gt;"-"),COUNTIF(Direct_Denaturation,"-")+ROW()-3-$AB$2-$AN$2)-9,32)),"-")</f>
        <v>-</v>
      </c>
      <c r="BA306" s="510" t="str">
        <f t="array" aca="1" ref="BA306" ca="1">IFERROR(IF(AS306&lt;=$AB$2+$AN$2,"-",INDEX(Calculation_Tab,SMALL(ROW(Direct_Denaturation)*(Direct_Denaturation&lt;&gt;"-"),COUNTIF(Direct_Denaturation,"-")+ROW()-3-$AB$2-$AN$2)-9,34)),"-")</f>
        <v>-</v>
      </c>
      <c r="BB306" s="510" t="str">
        <f t="array" aca="1" ref="BB306" ca="1">IFERROR(IF(AS306&lt;=$AB$2+$AN$2,"-",INDEX(Calculation_Tab,SMALL(ROW(Direct_Denaturation)*(Direct_Denaturation&lt;&gt;"-"),COUNTIF(Direct_Denaturation,"-")+ROW()-3-$AB$2-$AN$2)-9,33)),"-")</f>
        <v>-</v>
      </c>
      <c r="BC306" s="510" t="str">
        <f t="array" aca="1" ref="BC306" ca="1">IFERROR(IF(AS306&lt;=$AB$2+$AN$2,"-",INDEX(Calculation_Tab,SMALL(ROW(Direct_Denaturation)*(Direct_Denaturation&lt;&gt;"-"),COUNTIF(Direct_Denaturation,"-")+ROW()-3-$AB$2-$AN$2)-9,35)),"-")</f>
        <v>-</v>
      </c>
      <c r="BD306" s="511" t="str">
        <f t="shared" ca="1" si="143"/>
        <v>-</v>
      </c>
      <c r="BK306" s="542" t="s">
        <v>82</v>
      </c>
      <c r="BL306" s="542" t="s">
        <v>82</v>
      </c>
      <c r="BM306" s="487" t="str">
        <f t="array" aca="1" ref="BM306" ca="1">IFERROR(INDEX(Calculation_Tab,SMALL(ROW(ToPool)*(ToPool&lt;&gt;"-"),COUNTIF(ToPool,"-")+ROW()-3)-9,3),"-")</f>
        <v>-</v>
      </c>
      <c r="BN306" s="378" t="str">
        <f t="shared" ca="1" si="144"/>
        <v>-</v>
      </c>
      <c r="BO306" s="378" t="str">
        <f t="shared" ca="1" si="145"/>
        <v>-</v>
      </c>
      <c r="BP306" s="523" t="str">
        <f t="shared" ca="1" si="146"/>
        <v>-</v>
      </c>
      <c r="BQ306" s="378" t="str">
        <f t="array" aca="1" ref="BQ306" ca="1">IFERROR(INDEX(BE:BG,MATCH(INDEX(Calculation_Tab,SMALL(ROW(ToPool)*(ToPool&lt;&gt;"-"),COUNTIF(ToPool,"-")+ROW()-3)-9,9),BG:BG,0),2),"-")</f>
        <v>-</v>
      </c>
      <c r="BR306" s="510" t="str">
        <f t="shared" ca="1" si="147"/>
        <v>-</v>
      </c>
      <c r="BS306" s="511" t="str">
        <f t="shared" ca="1" si="148"/>
        <v>-</v>
      </c>
      <c r="BT306" s="543" t="s">
        <v>82</v>
      </c>
      <c r="BU306" s="487" t="str">
        <f t="shared" ca="1" si="152"/>
        <v>-</v>
      </c>
      <c r="BV306" s="487" t="str">
        <f t="array" aca="1" ref="BV30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06" s="378" t="str">
        <f t="shared" ca="1" si="149"/>
        <v>-</v>
      </c>
      <c r="BX306" s="378" t="str">
        <f t="shared" ca="1" si="150"/>
        <v>-</v>
      </c>
      <c r="BY306" s="510" t="str">
        <f ca="1">IFERROR(ROUND(INDEX(Cluster,MATCH(IF(LEFT(BV306,4)="Pool",INDEX(Cluster,MATCH(INDEX(Calculation_Tab,MATCH(INDEX($BE$4:$BJ$99,MATCH(BV306,$BE$4:$BE$99,0),3),Flow_Cell_Lane,0),3),Cluster!$F$29:$F$412,0),6),BV306),Identifier_Cluster,0),19)*IF(LEFT(BV306,4)="pool",IF(LEN(INDEX($BE$4:$BJ$99,MATCH(BV306,$BE$4:$BE$99,0),3))=10,2,IF(LEN(INDEX($BE$4:$BJ$99,MATCH(BV306,$BE$4:$BE$99,0),3))&gt;10,LEN(INDEX($BE$4:$BJ$99,MATCH(BV306,$BE$4:$BE$99,0),3))-8,1)),1)*IF(LEFT(BV306,4)="pool",IF(INDEX($BE$4:$BJ$99,MATCH(BV306,$BE$4:$BE$99,0),6)&lt;1,1,INDEX($BE$4:$BJ$99,MATCH(BV306,$BE$4:$BE$99,0),6)),INDEX(Calculation_Tab,MATCH(BV306,Identifier,0),10)),1)*(1+Calculation!$Q$6),"-")</f>
        <v>-</v>
      </c>
      <c r="BZ306" s="378" t="str">
        <f ca="1">IFERROR((0.5/50)*CE306/Calculation!$AG$6*(IF(LEFT(BV306,4)="Pool",IF(LEN(INDEX($BE$4:$BJ$99,MATCH(BV306,$BE$4:$BE$99,0),3))=10,2,IF(LEN(INDEX($BE$4:$BJ$99,MATCH(BV306,$BE$4:$BE$99,0),3))&gt;10,LEN(INDEX($BE$4:$BJ$99,MATCH(BV306,$BE$4:$BE$99,0),3))-8,1)),IF(INDEX(Calculation_Tab,MATCH(BV306,Identifier,0),10)&gt;1,INDEX(Calculation_Tab,MATCH(BV306,Identifier,0),10),1)))*(1+Calculation!$Q$6),"-")</f>
        <v>-</v>
      </c>
      <c r="CA306" s="510" t="str">
        <f ca="1">IFERROR(IF((BZ306*Calculation!$AG$6/0.05)-SUM(BY306:BZ306,CC306)&gt;0,(BZ306*Calculation!$AG$6/0.05)-SUM(BY306:BZ306,CC306),0),"-")</f>
        <v>-</v>
      </c>
      <c r="CB306" s="510" t="str">
        <f ca="1">IFERROR(5/50*CE306*(IF(LEFT(BV306,4)="Pool",IF(LEN(INDEX($BE$4:$BJ$99,MATCH(BV306,$BE$4:$BE$99,0),3))=10,2,IF(LEN(INDEX($BE$4:$BJ$99,MATCH(BV306,$BE$4:$BE$99,0),3))&gt;10,LEN(INDEX($BE$4:$BJ$99,MATCH(BV306,$BE$4:$BE$99,0),3))-8,1)),IF(INDEX(Calculation_Tab,MATCH(BV306,Identifier,0),10)&gt;1,INDEX(Calculation_Tab,MATCH(BV306,Identifier,0),10),1)))*(1+Calculation!$Q$6),"-")</f>
        <v>-</v>
      </c>
      <c r="CC306" s="508" t="str">
        <f ca="1">IFERROR(ROUND(INDEX(Cluster,MATCH(IF(LEFT(BV306,4)="Pool",INDEX(Cluster,MATCH(INDEX(Calculation_Tab,MATCH(INDEX($BE$4:$BJ$99,MATCH(BV306,$BE$4:$BE$99,0),3),Flow_Cell_Lane,0),3),Cluster!$F$29:$F$412,0),6),BV306),Identifier_Cluster,0),20)*IF(LEFT(BV306,4)="pool",IF(LEN(INDEX($BE$4:$BJ$99,MATCH(BV306,$BE$4:$BE$99,0),3))=10,2,IF(LEN(INDEX($BE$4:$BJ$99,MATCH(BV306,$BE$4:$BE$99,0),3))&gt;10,LEN(INDEX($BE$4:$BJ$99,MATCH(BV306,$BE$4:$BE$99,0),3))-8,1)),1)*IF(LEFT(BV306,4)="pool",IF(INDEX($BE$4:$BJ$99,MATCH(BV306,$BE$4:$BE$99,0),6)&lt;1,1,INDEX($BE$4:$BJ$99,MATCH(BV306,$BE$4:$BE$99,0),6)),INDEX(Calculation_Tab,MATCH(BV306,Identifier,0),10)),1)*(1+Calculation!$Q$6),"-")</f>
        <v>-</v>
      </c>
      <c r="CD306" s="509" t="str">
        <f ca="1">IFERROR(INDEX(Cluster!AC:AD,MATCH(IF(LEFT(BV306,4)="Pool",INDEX(Cluster!$D$29:$AA$412,MATCH(INDEX(Calculation_Tab,MATCH(INDEX($BE$4:$BJ$99,MATCH(BV306,$BE$4:$BE$99,0),3),Flow_Cell_Lane,0),3),Cluster!$F$29:$F$412,0),24),INDEX(Cluster!$D$29:$AA$412,MATCH(BV306,Cluster!$F$29:$F$412,0),24)),Cluster!AC:AC,0),2),"-")</f>
        <v>-</v>
      </c>
      <c r="CE306" s="378" t="str">
        <f ca="1">IFERROR(IF(BV306&lt;&gt;"-",Calculation!$AK$6,"-"),"-")</f>
        <v>-</v>
      </c>
      <c r="CF306" s="378" t="str">
        <f ca="1">IF(OR(LEFT(ListAndConversion!BW306,3)="Dil",LEFT(ListAndConversion!BW306,3)="Poo"),ListAndConversion!$BT$4,IF(LEFT(ListAndConversion!BW306,3)="Sou",INDEX(ListAndConversion!$AT$3:$AV$387,MATCH(ListAndConversion!BV306,ListAndConversion!$AV$3:$AV$387,0),1),"-"))</f>
        <v>-</v>
      </c>
      <c r="CG306" s="498" t="str">
        <f ca="1">IF(OR(LEFT(ListAndConversion!BW306,3)="Dil",LEFT(ListAndConversion!BW306,3)="Poo"),ListAndConversion!BU306,IF(LEFT(ListAndConversion!BW306,3)="Sou",INDEX(ListAndConversion!$AT$4:$AV$387,MATCH(ListAndConversion!BV306,ListAndConversion!$AV$4:$AV$387,0),2),"-"))</f>
        <v>-</v>
      </c>
      <c r="CH306" s="378"/>
      <c r="CI306" s="487" t="str">
        <f t="shared" ca="1" si="151"/>
        <v>-</v>
      </c>
      <c r="CJ306" s="378" t="str">
        <f t="shared" ca="1" si="162"/>
        <v>-</v>
      </c>
      <c r="CK306" s="378" t="str">
        <f t="shared" ca="1" si="162"/>
        <v>-</v>
      </c>
      <c r="CL306" s="378" t="str">
        <f t="shared" ca="1" si="162"/>
        <v>-</v>
      </c>
      <c r="CM306" s="378" t="str">
        <f t="shared" ca="1" si="162"/>
        <v>-</v>
      </c>
      <c r="CN306" s="378" t="str">
        <f t="shared" ca="1" si="162"/>
        <v>-</v>
      </c>
      <c r="CO306" s="378" t="str">
        <f t="shared" ca="1" si="162"/>
        <v>-</v>
      </c>
      <c r="CP306" s="378" t="str">
        <f t="shared" ca="1" si="162"/>
        <v>-</v>
      </c>
      <c r="CQ306" s="378" t="str">
        <f t="shared" ca="1" si="162"/>
        <v>-</v>
      </c>
      <c r="CR306" s="510" t="str">
        <f ca="1">IFERROR(IF(LEFT(BW306,3)="Poo",INDEX($BE$4:$BJ$99,MATCH(CI306,$BG$4:$BG$99,0),6)*((15/50))*Calculation!$AK$6,INDEX(Calculation_Tab,MATCH(BV306,Identifier,0),10)/(IF(LEN(INDEX(Calculation_Tab,MATCH(BV306,Identifier,0),9))&gt;8,LEN(INDEX(Calculation_Tab,MATCH(BV306,Identifier,0),9))-8,1))*((15/50)*Calculation!$AK$6)),"-")</f>
        <v>-</v>
      </c>
      <c r="CS306" s="498" t="str">
        <f ca="1">IF(CI306="-","-",IF(COUNTIF($CI$3:CI306,CI306)&gt;1,0,IFERROR((35/50)*Calculation!$AK$6,"-")))</f>
        <v>-</v>
      </c>
    </row>
    <row r="307" spans="4:97" x14ac:dyDescent="0.5">
      <c r="D307" s="487" t="e">
        <f t="shared" si="137"/>
        <v>#DIV/0!</v>
      </c>
      <c r="E307" s="496" t="e">
        <f t="array" ref="E307">IF(IF((ROW(E307)-3)&lt;(ListAndConversion!$A$15),INDEX(Flow_Cell_Lane,MIN(IF(COUNTIF($E$2:E306,Flow_Cell_Lane)=0,ROW(Flow_Cell_Lane)-9))),"-")="","-",IF((ROW(E307)-3)&lt;(ListAndConversion!$A$15),INDEX(Flow_Cell_Lane,MIN(IF(COUNTIF($E$2:E306,Flow_Cell_Lane)=0,ROW(Flow_Cell_Lane)-9))),"-"))</f>
        <v>#DIV/0!</v>
      </c>
      <c r="F307" s="378" t="e">
        <f t="shared" si="138"/>
        <v>#DIV/0!</v>
      </c>
      <c r="G307" s="378" t="e">
        <f t="shared" si="161"/>
        <v>#DIV/0!</v>
      </c>
      <c r="H307" s="378" t="e">
        <f t="shared" si="161"/>
        <v>#DIV/0!</v>
      </c>
      <c r="I307" s="378" t="e">
        <f t="shared" si="161"/>
        <v>#DIV/0!</v>
      </c>
      <c r="J307" s="378" t="e">
        <f t="shared" si="161"/>
        <v>#DIV/0!</v>
      </c>
      <c r="K307" s="378" t="e">
        <f t="shared" si="161"/>
        <v>#DIV/0!</v>
      </c>
      <c r="L307" s="378" t="e">
        <f t="shared" si="161"/>
        <v>#DIV/0!</v>
      </c>
      <c r="M307" s="378" t="e">
        <f t="shared" si="161"/>
        <v>#DIV/0!</v>
      </c>
      <c r="N307" s="497" t="e">
        <f t="shared" si="139"/>
        <v>#DIV/0!</v>
      </c>
      <c r="O307" s="497" t="str">
        <f t="array" ref="O307">IFERROR(INDEX(Calculation!I:AN,MATCH(ListAndConversion!E307,Calculation!I:I,0),31),"-")</f>
        <v>-</v>
      </c>
      <c r="P307" s="498">
        <f>IF(COUNTIFS(Calculation!$I$10:$I$393,E307,Direct_Denaturation,"-")&lt;&gt;1,COUNTIFS(Calculation!$I$10:$I$393,E307,Direct_Denaturation,"-"),0)</f>
        <v>0</v>
      </c>
      <c r="V307" s="542" t="s">
        <v>82</v>
      </c>
      <c r="W307" s="542" t="s">
        <v>82</v>
      </c>
      <c r="X307" s="542" t="s">
        <v>82</v>
      </c>
      <c r="Y307" s="542" t="s">
        <v>82</v>
      </c>
      <c r="Z307" s="542" t="s">
        <v>82</v>
      </c>
      <c r="AA307" s="542" t="s">
        <v>82</v>
      </c>
      <c r="AB307" s="542" t="s">
        <v>82</v>
      </c>
      <c r="AC307" s="542" t="s">
        <v>82</v>
      </c>
      <c r="AD307" s="542" t="s">
        <v>82</v>
      </c>
      <c r="AE307" s="542" t="s">
        <v>82</v>
      </c>
      <c r="AF307" s="542" t="s">
        <v>82</v>
      </c>
      <c r="AG307" s="542" t="s">
        <v>82</v>
      </c>
      <c r="AH307" s="9"/>
      <c r="AI307" s="487">
        <v>304</v>
      </c>
      <c r="AJ307" s="497" t="s">
        <v>479</v>
      </c>
      <c r="AK307" s="378">
        <v>16</v>
      </c>
      <c r="AL307" s="378" t="str">
        <f t="shared" ca="1" si="140"/>
        <v>-</v>
      </c>
      <c r="AM307" s="378" t="str">
        <f t="array" aca="1" ref="AM307" ca="1">IFERROR(IF(AI307&lt;=$AB$2,"-",INDEX(Calculation_Tab,SMALL(ROW(Main_Dil)*(Main_Dil&lt;&gt;"-"),COUNTIF(Main_Dil,"-")+ROW()-3-$AB$2)-9,5)),"-")</f>
        <v>-</v>
      </c>
      <c r="AN307" s="378" t="str">
        <f t="array" aca="1" ref="AN307" ca="1">IFERROR(IF(AI307&lt;=$AB$2,"-",INDEX($A$3:$B$12,MATCH(INDEX(Calculation_Tab,SMALL(ROW(Main_Dil)*(Main_Dil&lt;&gt;"-"),COUNTIF(Main_Dil,"-")+ROW()-3-$AB$2)-9,5),$A$3:$A$12,0),2)),"-")</f>
        <v>-</v>
      </c>
      <c r="AO307" s="378" t="str">
        <f t="array" aca="1" ref="AO307" ca="1">IFERROR(IF(AI307&lt;=$AB$2,"-",INDEX(Coordinate,MATCH(INDEX(Calculation_Tab,SMALL(ROW(Main_Dil)*(Main_Dil&lt;&gt;"-"),COUNTIF(Main_Dil,"-")+ROW()-3-$AB$2)-9,6),$X$4:$X$99,0),2)),"-")</f>
        <v>-</v>
      </c>
      <c r="AP307" s="510" t="str">
        <f t="array" aca="1" ref="AP307" ca="1">IFERROR(IF(AI307&lt;=$AB$2,"-",INDEX(Calculation_Tab,SMALL(ROW(Main_Dil)*(Main_Dil&lt;&gt;"-"),COUNTIF(Main_Dil,"-")+ROW()-3-$AB$2)-9,21)),"-")</f>
        <v>-</v>
      </c>
      <c r="AQ307" s="511" t="str">
        <f t="array" aca="1" ref="AQ307" ca="1">IFERROR(IF(AI307&lt;=$AB$2,"-",INDEX(Calculation_Tab,SMALL(ROW(Main_Dil)*(Main_Dil&lt;&gt;"-"),COUNTIF(Main_Dil,"-")+ROW()-3-$AB$2)-9,22)),"-")</f>
        <v>-</v>
      </c>
      <c r="AR307" s="487" t="str">
        <f t="shared" ca="1" si="141"/>
        <v>-</v>
      </c>
      <c r="AS307" s="378">
        <v>304</v>
      </c>
      <c r="AT307" s="497" t="s">
        <v>479</v>
      </c>
      <c r="AU307" s="498">
        <v>16</v>
      </c>
      <c r="AV307" s="378" t="str">
        <f t="shared" ca="1" si="142"/>
        <v>-</v>
      </c>
      <c r="AW307" s="378" t="str">
        <f t="array" aca="1" ref="AW307" ca="1">IFERROR(IF(AS307&lt;=$AB$2+$AN$2,"-",INDEX(Calculation_Tab,SMALL(ROW(Direct_Denaturation)*(Direct_Denaturation&lt;&gt;"-"),COUNTIF(Direct_Denaturation,"-")+ROW()-3-$AB$2-$AN$2)-9,5)),"-")</f>
        <v>-</v>
      </c>
      <c r="AX307" s="378" t="str">
        <f t="array" aca="1" ref="AX307" ca="1">IFERROR(IF(AS307&lt;=$AB$2+$AN$2,"-",INDEX($A$3:$B$12,MATCH(INDEX(Calculation_Tab,SMALL(ROW(Direct_Denaturation)*(Direct_Denaturation&lt;&gt;"-"),COUNTIF(Direct_Denaturation,"-")+ROW()-3-$AB$2-$AN$2)-9,5),$A$3:$A$12,0),2)),"-")</f>
        <v>-</v>
      </c>
      <c r="AY307" s="378" t="str">
        <f t="array" aca="1" ref="AY307" ca="1">IFERROR(IF(AS307&lt;=$AB$2+$AN$2,"-",INDEX(Coordinate,MATCH(INDEX(Calculation_Tab,SMALL(ROW(Direct_Denaturation)*(Direct_Denaturation&lt;&gt;"-"),COUNTIF(Direct_Denaturation,"-")+ROW()-3-$AB$2-$AN$2)-9,6),$X$4:$X$99,0),2)),"-")</f>
        <v>-</v>
      </c>
      <c r="AZ307" s="510" t="str">
        <f t="array" aca="1" ref="AZ307" ca="1">IFERROR(IF(AS307&lt;=$AB$2+$AN$2,"-",INDEX(Calculation_Tab,SMALL(ROW(Direct_Denaturation)*(Direct_Denaturation&lt;&gt;"-"),COUNTIF(Direct_Denaturation,"-")+ROW()-3-$AB$2-$AN$2)-9,32)),"-")</f>
        <v>-</v>
      </c>
      <c r="BA307" s="510" t="str">
        <f t="array" aca="1" ref="BA307" ca="1">IFERROR(IF(AS307&lt;=$AB$2+$AN$2,"-",INDEX(Calculation_Tab,SMALL(ROW(Direct_Denaturation)*(Direct_Denaturation&lt;&gt;"-"),COUNTIF(Direct_Denaturation,"-")+ROW()-3-$AB$2-$AN$2)-9,34)),"-")</f>
        <v>-</v>
      </c>
      <c r="BB307" s="510" t="str">
        <f t="array" aca="1" ref="BB307" ca="1">IFERROR(IF(AS307&lt;=$AB$2+$AN$2,"-",INDEX(Calculation_Tab,SMALL(ROW(Direct_Denaturation)*(Direct_Denaturation&lt;&gt;"-"),COUNTIF(Direct_Denaturation,"-")+ROW()-3-$AB$2-$AN$2)-9,33)),"-")</f>
        <v>-</v>
      </c>
      <c r="BC307" s="510" t="str">
        <f t="array" aca="1" ref="BC307" ca="1">IFERROR(IF(AS307&lt;=$AB$2+$AN$2,"-",INDEX(Calculation_Tab,SMALL(ROW(Direct_Denaturation)*(Direct_Denaturation&lt;&gt;"-"),COUNTIF(Direct_Denaturation,"-")+ROW()-3-$AB$2-$AN$2)-9,35)),"-")</f>
        <v>-</v>
      </c>
      <c r="BD307" s="511" t="str">
        <f t="shared" ca="1" si="143"/>
        <v>-</v>
      </c>
      <c r="BK307" s="542" t="s">
        <v>82</v>
      </c>
      <c r="BL307" s="542" t="s">
        <v>82</v>
      </c>
      <c r="BM307" s="487" t="str">
        <f t="array" aca="1" ref="BM307" ca="1">IFERROR(INDEX(Calculation_Tab,SMALL(ROW(ToPool)*(ToPool&lt;&gt;"-"),COUNTIF(ToPool,"-")+ROW()-3)-9,3),"-")</f>
        <v>-</v>
      </c>
      <c r="BN307" s="378" t="str">
        <f t="shared" ca="1" si="144"/>
        <v>-</v>
      </c>
      <c r="BO307" s="378" t="str">
        <f t="shared" ca="1" si="145"/>
        <v>-</v>
      </c>
      <c r="BP307" s="523" t="str">
        <f t="shared" ca="1" si="146"/>
        <v>-</v>
      </c>
      <c r="BQ307" s="378" t="str">
        <f t="array" aca="1" ref="BQ307" ca="1">IFERROR(INDEX(BE:BG,MATCH(INDEX(Calculation_Tab,SMALL(ROW(ToPool)*(ToPool&lt;&gt;"-"),COUNTIF(ToPool,"-")+ROW()-3)-9,9),BG:BG,0),2),"-")</f>
        <v>-</v>
      </c>
      <c r="BR307" s="510" t="str">
        <f t="shared" ca="1" si="147"/>
        <v>-</v>
      </c>
      <c r="BS307" s="511" t="str">
        <f t="shared" ca="1" si="148"/>
        <v>-</v>
      </c>
      <c r="BT307" s="543" t="s">
        <v>82</v>
      </c>
      <c r="BU307" s="487" t="str">
        <f t="shared" ca="1" si="152"/>
        <v>-</v>
      </c>
      <c r="BV307" s="487" t="str">
        <f t="array" aca="1" ref="BV30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07" s="378" t="str">
        <f t="shared" ca="1" si="149"/>
        <v>-</v>
      </c>
      <c r="BX307" s="378" t="str">
        <f t="shared" ca="1" si="150"/>
        <v>-</v>
      </c>
      <c r="BY307" s="510" t="str">
        <f ca="1">IFERROR(ROUND(INDEX(Cluster,MATCH(IF(LEFT(BV307,4)="Pool",INDEX(Cluster,MATCH(INDEX(Calculation_Tab,MATCH(INDEX($BE$4:$BJ$99,MATCH(BV307,$BE$4:$BE$99,0),3),Flow_Cell_Lane,0),3),Cluster!$F$29:$F$412,0),6),BV307),Identifier_Cluster,0),19)*IF(LEFT(BV307,4)="pool",IF(LEN(INDEX($BE$4:$BJ$99,MATCH(BV307,$BE$4:$BE$99,0),3))=10,2,IF(LEN(INDEX($BE$4:$BJ$99,MATCH(BV307,$BE$4:$BE$99,0),3))&gt;10,LEN(INDEX($BE$4:$BJ$99,MATCH(BV307,$BE$4:$BE$99,0),3))-8,1)),1)*IF(LEFT(BV307,4)="pool",IF(INDEX($BE$4:$BJ$99,MATCH(BV307,$BE$4:$BE$99,0),6)&lt;1,1,INDEX($BE$4:$BJ$99,MATCH(BV307,$BE$4:$BE$99,0),6)),INDEX(Calculation_Tab,MATCH(BV307,Identifier,0),10)),1)*(1+Calculation!$Q$6),"-")</f>
        <v>-</v>
      </c>
      <c r="BZ307" s="378" t="str">
        <f ca="1">IFERROR((0.5/50)*CE307/Calculation!$AG$6*(IF(LEFT(BV307,4)="Pool",IF(LEN(INDEX($BE$4:$BJ$99,MATCH(BV307,$BE$4:$BE$99,0),3))=10,2,IF(LEN(INDEX($BE$4:$BJ$99,MATCH(BV307,$BE$4:$BE$99,0),3))&gt;10,LEN(INDEX($BE$4:$BJ$99,MATCH(BV307,$BE$4:$BE$99,0),3))-8,1)),IF(INDEX(Calculation_Tab,MATCH(BV307,Identifier,0),10)&gt;1,INDEX(Calculation_Tab,MATCH(BV307,Identifier,0),10),1)))*(1+Calculation!$Q$6),"-")</f>
        <v>-</v>
      </c>
      <c r="CA307" s="510" t="str">
        <f ca="1">IFERROR(IF((BZ307*Calculation!$AG$6/0.05)-SUM(BY307:BZ307,CC307)&gt;0,(BZ307*Calculation!$AG$6/0.05)-SUM(BY307:BZ307,CC307),0),"-")</f>
        <v>-</v>
      </c>
      <c r="CB307" s="510" t="str">
        <f ca="1">IFERROR(5/50*CE307*(IF(LEFT(BV307,4)="Pool",IF(LEN(INDEX($BE$4:$BJ$99,MATCH(BV307,$BE$4:$BE$99,0),3))=10,2,IF(LEN(INDEX($BE$4:$BJ$99,MATCH(BV307,$BE$4:$BE$99,0),3))&gt;10,LEN(INDEX($BE$4:$BJ$99,MATCH(BV307,$BE$4:$BE$99,0),3))-8,1)),IF(INDEX(Calculation_Tab,MATCH(BV307,Identifier,0),10)&gt;1,INDEX(Calculation_Tab,MATCH(BV307,Identifier,0),10),1)))*(1+Calculation!$Q$6),"-")</f>
        <v>-</v>
      </c>
      <c r="CC307" s="508" t="str">
        <f ca="1">IFERROR(ROUND(INDEX(Cluster,MATCH(IF(LEFT(BV307,4)="Pool",INDEX(Cluster,MATCH(INDEX(Calculation_Tab,MATCH(INDEX($BE$4:$BJ$99,MATCH(BV307,$BE$4:$BE$99,0),3),Flow_Cell_Lane,0),3),Cluster!$F$29:$F$412,0),6),BV307),Identifier_Cluster,0),20)*IF(LEFT(BV307,4)="pool",IF(LEN(INDEX($BE$4:$BJ$99,MATCH(BV307,$BE$4:$BE$99,0),3))=10,2,IF(LEN(INDEX($BE$4:$BJ$99,MATCH(BV307,$BE$4:$BE$99,0),3))&gt;10,LEN(INDEX($BE$4:$BJ$99,MATCH(BV307,$BE$4:$BE$99,0),3))-8,1)),1)*IF(LEFT(BV307,4)="pool",IF(INDEX($BE$4:$BJ$99,MATCH(BV307,$BE$4:$BE$99,0),6)&lt;1,1,INDEX($BE$4:$BJ$99,MATCH(BV307,$BE$4:$BE$99,0),6)),INDEX(Calculation_Tab,MATCH(BV307,Identifier,0),10)),1)*(1+Calculation!$Q$6),"-")</f>
        <v>-</v>
      </c>
      <c r="CD307" s="509" t="str">
        <f ca="1">IFERROR(INDEX(Cluster!AC:AD,MATCH(IF(LEFT(BV307,4)="Pool",INDEX(Cluster!$D$29:$AA$412,MATCH(INDEX(Calculation_Tab,MATCH(INDEX($BE$4:$BJ$99,MATCH(BV307,$BE$4:$BE$99,0),3),Flow_Cell_Lane,0),3),Cluster!$F$29:$F$412,0),24),INDEX(Cluster!$D$29:$AA$412,MATCH(BV307,Cluster!$F$29:$F$412,0),24)),Cluster!AC:AC,0),2),"-")</f>
        <v>-</v>
      </c>
      <c r="CE307" s="378" t="str">
        <f ca="1">IFERROR(IF(BV307&lt;&gt;"-",Calculation!$AK$6,"-"),"-")</f>
        <v>-</v>
      </c>
      <c r="CF307" s="378" t="str">
        <f ca="1">IF(OR(LEFT(ListAndConversion!BW307,3)="Dil",LEFT(ListAndConversion!BW307,3)="Poo"),ListAndConversion!$BT$4,IF(LEFT(ListAndConversion!BW307,3)="Sou",INDEX(ListAndConversion!$AT$3:$AV$387,MATCH(ListAndConversion!BV307,ListAndConversion!$AV$3:$AV$387,0),1),"-"))</f>
        <v>-</v>
      </c>
      <c r="CG307" s="498" t="str">
        <f ca="1">IF(OR(LEFT(ListAndConversion!BW307,3)="Dil",LEFT(ListAndConversion!BW307,3)="Poo"),ListAndConversion!BU307,IF(LEFT(ListAndConversion!BW307,3)="Sou",INDEX(ListAndConversion!$AT$4:$AV$387,MATCH(ListAndConversion!BV307,ListAndConversion!$AV$4:$AV$387,0),2),"-"))</f>
        <v>-</v>
      </c>
      <c r="CH307" s="378"/>
      <c r="CI307" s="487" t="str">
        <f t="shared" ca="1" si="151"/>
        <v>-</v>
      </c>
      <c r="CJ307" s="378" t="str">
        <f t="shared" ca="1" si="162"/>
        <v>-</v>
      </c>
      <c r="CK307" s="378" t="str">
        <f t="shared" ca="1" si="162"/>
        <v>-</v>
      </c>
      <c r="CL307" s="378" t="str">
        <f t="shared" ca="1" si="162"/>
        <v>-</v>
      </c>
      <c r="CM307" s="378" t="str">
        <f t="shared" ca="1" si="162"/>
        <v>-</v>
      </c>
      <c r="CN307" s="378" t="str">
        <f t="shared" ca="1" si="162"/>
        <v>-</v>
      </c>
      <c r="CO307" s="378" t="str">
        <f t="shared" ca="1" si="162"/>
        <v>-</v>
      </c>
      <c r="CP307" s="378" t="str">
        <f t="shared" ca="1" si="162"/>
        <v>-</v>
      </c>
      <c r="CQ307" s="378" t="str">
        <f t="shared" ca="1" si="162"/>
        <v>-</v>
      </c>
      <c r="CR307" s="510" t="str">
        <f ca="1">IFERROR(IF(LEFT(BW307,3)="Poo",INDEX($BE$4:$BJ$99,MATCH(CI307,$BG$4:$BG$99,0),6)*((15/50))*Calculation!$AK$6,INDEX(Calculation_Tab,MATCH(BV307,Identifier,0),10)/(IF(LEN(INDEX(Calculation_Tab,MATCH(BV307,Identifier,0),9))&gt;8,LEN(INDEX(Calculation_Tab,MATCH(BV307,Identifier,0),9))-8,1))*((15/50)*Calculation!$AK$6)),"-")</f>
        <v>-</v>
      </c>
      <c r="CS307" s="498" t="str">
        <f ca="1">IF(CI307="-","-",IF(COUNTIF($CI$3:CI307,CI307)&gt;1,0,IFERROR((35/50)*Calculation!$AK$6,"-")))</f>
        <v>-</v>
      </c>
    </row>
    <row r="308" spans="4:97" x14ac:dyDescent="0.5">
      <c r="D308" s="487" t="e">
        <f t="shared" si="137"/>
        <v>#DIV/0!</v>
      </c>
      <c r="E308" s="496" t="e">
        <f t="array" ref="E308">IF(IF((ROW(E308)-3)&lt;(ListAndConversion!$A$15),INDEX(Flow_Cell_Lane,MIN(IF(COUNTIF($E$2:E307,Flow_Cell_Lane)=0,ROW(Flow_Cell_Lane)-9))),"-")="","-",IF((ROW(E308)-3)&lt;(ListAndConversion!$A$15),INDEX(Flow_Cell_Lane,MIN(IF(COUNTIF($E$2:E307,Flow_Cell_Lane)=0,ROW(Flow_Cell_Lane)-9))),"-"))</f>
        <v>#DIV/0!</v>
      </c>
      <c r="F308" s="378" t="e">
        <f t="shared" si="138"/>
        <v>#DIV/0!</v>
      </c>
      <c r="G308" s="378" t="e">
        <f t="shared" si="161"/>
        <v>#DIV/0!</v>
      </c>
      <c r="H308" s="378" t="e">
        <f t="shared" si="161"/>
        <v>#DIV/0!</v>
      </c>
      <c r="I308" s="378" t="e">
        <f t="shared" si="161"/>
        <v>#DIV/0!</v>
      </c>
      <c r="J308" s="378" t="e">
        <f t="shared" si="161"/>
        <v>#DIV/0!</v>
      </c>
      <c r="K308" s="378" t="e">
        <f t="shared" si="161"/>
        <v>#DIV/0!</v>
      </c>
      <c r="L308" s="378" t="e">
        <f t="shared" si="161"/>
        <v>#DIV/0!</v>
      </c>
      <c r="M308" s="378" t="e">
        <f t="shared" si="161"/>
        <v>#DIV/0!</v>
      </c>
      <c r="N308" s="497" t="e">
        <f t="shared" si="139"/>
        <v>#DIV/0!</v>
      </c>
      <c r="O308" s="497" t="str">
        <f t="array" ref="O308">IFERROR(INDEX(Calculation!I:AN,MATCH(ListAndConversion!E308,Calculation!I:I,0),31),"-")</f>
        <v>-</v>
      </c>
      <c r="P308" s="498">
        <f>IF(COUNTIFS(Calculation!$I$10:$I$393,E308,Direct_Denaturation,"-")&lt;&gt;1,COUNTIFS(Calculation!$I$10:$I$393,E308,Direct_Denaturation,"-"),0)</f>
        <v>0</v>
      </c>
      <c r="V308" s="542" t="s">
        <v>82</v>
      </c>
      <c r="W308" s="542" t="s">
        <v>82</v>
      </c>
      <c r="X308" s="542" t="s">
        <v>82</v>
      </c>
      <c r="Y308" s="542" t="s">
        <v>82</v>
      </c>
      <c r="Z308" s="542" t="s">
        <v>82</v>
      </c>
      <c r="AA308" s="542" t="s">
        <v>82</v>
      </c>
      <c r="AB308" s="542" t="s">
        <v>82</v>
      </c>
      <c r="AC308" s="542" t="s">
        <v>82</v>
      </c>
      <c r="AD308" s="542" t="s">
        <v>82</v>
      </c>
      <c r="AE308" s="542" t="s">
        <v>82</v>
      </c>
      <c r="AF308" s="542" t="s">
        <v>82</v>
      </c>
      <c r="AG308" s="542" t="s">
        <v>82</v>
      </c>
      <c r="AH308" s="9"/>
      <c r="AI308" s="487">
        <v>305</v>
      </c>
      <c r="AJ308" s="497" t="s">
        <v>479</v>
      </c>
      <c r="AK308" s="378">
        <v>17</v>
      </c>
      <c r="AL308" s="378" t="str">
        <f t="shared" ca="1" si="140"/>
        <v>-</v>
      </c>
      <c r="AM308" s="378" t="str">
        <f t="array" aca="1" ref="AM308" ca="1">IFERROR(IF(AI308&lt;=$AB$2,"-",INDEX(Calculation_Tab,SMALL(ROW(Main_Dil)*(Main_Dil&lt;&gt;"-"),COUNTIF(Main_Dil,"-")+ROW()-3-$AB$2)-9,5)),"-")</f>
        <v>-</v>
      </c>
      <c r="AN308" s="378" t="str">
        <f t="array" aca="1" ref="AN308" ca="1">IFERROR(IF(AI308&lt;=$AB$2,"-",INDEX($A$3:$B$12,MATCH(INDEX(Calculation_Tab,SMALL(ROW(Main_Dil)*(Main_Dil&lt;&gt;"-"),COUNTIF(Main_Dil,"-")+ROW()-3-$AB$2)-9,5),$A$3:$A$12,0),2)),"-")</f>
        <v>-</v>
      </c>
      <c r="AO308" s="378" t="str">
        <f t="array" aca="1" ref="AO308" ca="1">IFERROR(IF(AI308&lt;=$AB$2,"-",INDEX(Coordinate,MATCH(INDEX(Calculation_Tab,SMALL(ROW(Main_Dil)*(Main_Dil&lt;&gt;"-"),COUNTIF(Main_Dil,"-")+ROW()-3-$AB$2)-9,6),$X$4:$X$99,0),2)),"-")</f>
        <v>-</v>
      </c>
      <c r="AP308" s="510" t="str">
        <f t="array" aca="1" ref="AP308" ca="1">IFERROR(IF(AI308&lt;=$AB$2,"-",INDEX(Calculation_Tab,SMALL(ROW(Main_Dil)*(Main_Dil&lt;&gt;"-"),COUNTIF(Main_Dil,"-")+ROW()-3-$AB$2)-9,21)),"-")</f>
        <v>-</v>
      </c>
      <c r="AQ308" s="511" t="str">
        <f t="array" aca="1" ref="AQ308" ca="1">IFERROR(IF(AI308&lt;=$AB$2,"-",INDEX(Calculation_Tab,SMALL(ROW(Main_Dil)*(Main_Dil&lt;&gt;"-"),COUNTIF(Main_Dil,"-")+ROW()-3-$AB$2)-9,22)),"-")</f>
        <v>-</v>
      </c>
      <c r="AR308" s="487" t="str">
        <f t="shared" ca="1" si="141"/>
        <v>-</v>
      </c>
      <c r="AS308" s="378">
        <v>305</v>
      </c>
      <c r="AT308" s="497" t="s">
        <v>479</v>
      </c>
      <c r="AU308" s="498">
        <v>17</v>
      </c>
      <c r="AV308" s="378" t="str">
        <f t="shared" ca="1" si="142"/>
        <v>-</v>
      </c>
      <c r="AW308" s="378" t="str">
        <f t="array" aca="1" ref="AW308" ca="1">IFERROR(IF(AS308&lt;=$AB$2+$AN$2,"-",INDEX(Calculation_Tab,SMALL(ROW(Direct_Denaturation)*(Direct_Denaturation&lt;&gt;"-"),COUNTIF(Direct_Denaturation,"-")+ROW()-3-$AB$2-$AN$2)-9,5)),"-")</f>
        <v>-</v>
      </c>
      <c r="AX308" s="378" t="str">
        <f t="array" aca="1" ref="AX308" ca="1">IFERROR(IF(AS308&lt;=$AB$2+$AN$2,"-",INDEX($A$3:$B$12,MATCH(INDEX(Calculation_Tab,SMALL(ROW(Direct_Denaturation)*(Direct_Denaturation&lt;&gt;"-"),COUNTIF(Direct_Denaturation,"-")+ROW()-3-$AB$2-$AN$2)-9,5),$A$3:$A$12,0),2)),"-")</f>
        <v>-</v>
      </c>
      <c r="AY308" s="378" t="str">
        <f t="array" aca="1" ref="AY308" ca="1">IFERROR(IF(AS308&lt;=$AB$2+$AN$2,"-",INDEX(Coordinate,MATCH(INDEX(Calculation_Tab,SMALL(ROW(Direct_Denaturation)*(Direct_Denaturation&lt;&gt;"-"),COUNTIF(Direct_Denaturation,"-")+ROW()-3-$AB$2-$AN$2)-9,6),$X$4:$X$99,0),2)),"-")</f>
        <v>-</v>
      </c>
      <c r="AZ308" s="510" t="str">
        <f t="array" aca="1" ref="AZ308" ca="1">IFERROR(IF(AS308&lt;=$AB$2+$AN$2,"-",INDEX(Calculation_Tab,SMALL(ROW(Direct_Denaturation)*(Direct_Denaturation&lt;&gt;"-"),COUNTIF(Direct_Denaturation,"-")+ROW()-3-$AB$2-$AN$2)-9,32)),"-")</f>
        <v>-</v>
      </c>
      <c r="BA308" s="510" t="str">
        <f t="array" aca="1" ref="BA308" ca="1">IFERROR(IF(AS308&lt;=$AB$2+$AN$2,"-",INDEX(Calculation_Tab,SMALL(ROW(Direct_Denaturation)*(Direct_Denaturation&lt;&gt;"-"),COUNTIF(Direct_Denaturation,"-")+ROW()-3-$AB$2-$AN$2)-9,34)),"-")</f>
        <v>-</v>
      </c>
      <c r="BB308" s="510" t="str">
        <f t="array" aca="1" ref="BB308" ca="1">IFERROR(IF(AS308&lt;=$AB$2+$AN$2,"-",INDEX(Calculation_Tab,SMALL(ROW(Direct_Denaturation)*(Direct_Denaturation&lt;&gt;"-"),COUNTIF(Direct_Denaturation,"-")+ROW()-3-$AB$2-$AN$2)-9,33)),"-")</f>
        <v>-</v>
      </c>
      <c r="BC308" s="510" t="str">
        <f t="array" aca="1" ref="BC308" ca="1">IFERROR(IF(AS308&lt;=$AB$2+$AN$2,"-",INDEX(Calculation_Tab,SMALL(ROW(Direct_Denaturation)*(Direct_Denaturation&lt;&gt;"-"),COUNTIF(Direct_Denaturation,"-")+ROW()-3-$AB$2-$AN$2)-9,35)),"-")</f>
        <v>-</v>
      </c>
      <c r="BD308" s="511" t="str">
        <f t="shared" ca="1" si="143"/>
        <v>-</v>
      </c>
      <c r="BK308" s="542" t="s">
        <v>82</v>
      </c>
      <c r="BL308" s="542" t="s">
        <v>82</v>
      </c>
      <c r="BM308" s="487" t="str">
        <f t="array" aca="1" ref="BM308" ca="1">IFERROR(INDEX(Calculation_Tab,SMALL(ROW(ToPool)*(ToPool&lt;&gt;"-"),COUNTIF(ToPool,"-")+ROW()-3)-9,3),"-")</f>
        <v>-</v>
      </c>
      <c r="BN308" s="378" t="str">
        <f t="shared" ca="1" si="144"/>
        <v>-</v>
      </c>
      <c r="BO308" s="378" t="str">
        <f t="shared" ca="1" si="145"/>
        <v>-</v>
      </c>
      <c r="BP308" s="523" t="str">
        <f t="shared" ca="1" si="146"/>
        <v>-</v>
      </c>
      <c r="BQ308" s="378" t="str">
        <f t="array" aca="1" ref="BQ308" ca="1">IFERROR(INDEX(BE:BG,MATCH(INDEX(Calculation_Tab,SMALL(ROW(ToPool)*(ToPool&lt;&gt;"-"),COUNTIF(ToPool,"-")+ROW()-3)-9,9),BG:BG,0),2),"-")</f>
        <v>-</v>
      </c>
      <c r="BR308" s="510" t="str">
        <f t="shared" ca="1" si="147"/>
        <v>-</v>
      </c>
      <c r="BS308" s="511" t="str">
        <f t="shared" ca="1" si="148"/>
        <v>-</v>
      </c>
      <c r="BT308" s="543" t="s">
        <v>82</v>
      </c>
      <c r="BU308" s="487" t="str">
        <f t="shared" ca="1" si="152"/>
        <v>-</v>
      </c>
      <c r="BV308" s="487" t="str">
        <f t="array" aca="1" ref="BV30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08" s="378" t="str">
        <f t="shared" ca="1" si="149"/>
        <v>-</v>
      </c>
      <c r="BX308" s="378" t="str">
        <f t="shared" ca="1" si="150"/>
        <v>-</v>
      </c>
      <c r="BY308" s="510" t="str">
        <f ca="1">IFERROR(ROUND(INDEX(Cluster,MATCH(IF(LEFT(BV308,4)="Pool",INDEX(Cluster,MATCH(INDEX(Calculation_Tab,MATCH(INDEX($BE$4:$BJ$99,MATCH(BV308,$BE$4:$BE$99,0),3),Flow_Cell_Lane,0),3),Cluster!$F$29:$F$412,0),6),BV308),Identifier_Cluster,0),19)*IF(LEFT(BV308,4)="pool",IF(LEN(INDEX($BE$4:$BJ$99,MATCH(BV308,$BE$4:$BE$99,0),3))=10,2,IF(LEN(INDEX($BE$4:$BJ$99,MATCH(BV308,$BE$4:$BE$99,0),3))&gt;10,LEN(INDEX($BE$4:$BJ$99,MATCH(BV308,$BE$4:$BE$99,0),3))-8,1)),1)*IF(LEFT(BV308,4)="pool",IF(INDEX($BE$4:$BJ$99,MATCH(BV308,$BE$4:$BE$99,0),6)&lt;1,1,INDEX($BE$4:$BJ$99,MATCH(BV308,$BE$4:$BE$99,0),6)),INDEX(Calculation_Tab,MATCH(BV308,Identifier,0),10)),1)*(1+Calculation!$Q$6),"-")</f>
        <v>-</v>
      </c>
      <c r="BZ308" s="378" t="str">
        <f ca="1">IFERROR((0.5/50)*CE308/Calculation!$AG$6*(IF(LEFT(BV308,4)="Pool",IF(LEN(INDEX($BE$4:$BJ$99,MATCH(BV308,$BE$4:$BE$99,0),3))=10,2,IF(LEN(INDEX($BE$4:$BJ$99,MATCH(BV308,$BE$4:$BE$99,0),3))&gt;10,LEN(INDEX($BE$4:$BJ$99,MATCH(BV308,$BE$4:$BE$99,0),3))-8,1)),IF(INDEX(Calculation_Tab,MATCH(BV308,Identifier,0),10)&gt;1,INDEX(Calculation_Tab,MATCH(BV308,Identifier,0),10),1)))*(1+Calculation!$Q$6),"-")</f>
        <v>-</v>
      </c>
      <c r="CA308" s="510" t="str">
        <f ca="1">IFERROR(IF((BZ308*Calculation!$AG$6/0.05)-SUM(BY308:BZ308,CC308)&gt;0,(BZ308*Calculation!$AG$6/0.05)-SUM(BY308:BZ308,CC308),0),"-")</f>
        <v>-</v>
      </c>
      <c r="CB308" s="510" t="str">
        <f ca="1">IFERROR(5/50*CE308*(IF(LEFT(BV308,4)="Pool",IF(LEN(INDEX($BE$4:$BJ$99,MATCH(BV308,$BE$4:$BE$99,0),3))=10,2,IF(LEN(INDEX($BE$4:$BJ$99,MATCH(BV308,$BE$4:$BE$99,0),3))&gt;10,LEN(INDEX($BE$4:$BJ$99,MATCH(BV308,$BE$4:$BE$99,0),3))-8,1)),IF(INDEX(Calculation_Tab,MATCH(BV308,Identifier,0),10)&gt;1,INDEX(Calculation_Tab,MATCH(BV308,Identifier,0),10),1)))*(1+Calculation!$Q$6),"-")</f>
        <v>-</v>
      </c>
      <c r="CC308" s="508" t="str">
        <f ca="1">IFERROR(ROUND(INDEX(Cluster,MATCH(IF(LEFT(BV308,4)="Pool",INDEX(Cluster,MATCH(INDEX(Calculation_Tab,MATCH(INDEX($BE$4:$BJ$99,MATCH(BV308,$BE$4:$BE$99,0),3),Flow_Cell_Lane,0),3),Cluster!$F$29:$F$412,0),6),BV308),Identifier_Cluster,0),20)*IF(LEFT(BV308,4)="pool",IF(LEN(INDEX($BE$4:$BJ$99,MATCH(BV308,$BE$4:$BE$99,0),3))=10,2,IF(LEN(INDEX($BE$4:$BJ$99,MATCH(BV308,$BE$4:$BE$99,0),3))&gt;10,LEN(INDEX($BE$4:$BJ$99,MATCH(BV308,$BE$4:$BE$99,0),3))-8,1)),1)*IF(LEFT(BV308,4)="pool",IF(INDEX($BE$4:$BJ$99,MATCH(BV308,$BE$4:$BE$99,0),6)&lt;1,1,INDEX($BE$4:$BJ$99,MATCH(BV308,$BE$4:$BE$99,0),6)),INDEX(Calculation_Tab,MATCH(BV308,Identifier,0),10)),1)*(1+Calculation!$Q$6),"-")</f>
        <v>-</v>
      </c>
      <c r="CD308" s="509" t="str">
        <f ca="1">IFERROR(INDEX(Cluster!AC:AD,MATCH(IF(LEFT(BV308,4)="Pool",INDEX(Cluster!$D$29:$AA$412,MATCH(INDEX(Calculation_Tab,MATCH(INDEX($BE$4:$BJ$99,MATCH(BV308,$BE$4:$BE$99,0),3),Flow_Cell_Lane,0),3),Cluster!$F$29:$F$412,0),24),INDEX(Cluster!$D$29:$AA$412,MATCH(BV308,Cluster!$F$29:$F$412,0),24)),Cluster!AC:AC,0),2),"-")</f>
        <v>-</v>
      </c>
      <c r="CE308" s="378" t="str">
        <f ca="1">IFERROR(IF(BV308&lt;&gt;"-",Calculation!$AK$6,"-"),"-")</f>
        <v>-</v>
      </c>
      <c r="CF308" s="378" t="str">
        <f ca="1">IF(OR(LEFT(ListAndConversion!BW308,3)="Dil",LEFT(ListAndConversion!BW308,3)="Poo"),ListAndConversion!$BT$4,IF(LEFT(ListAndConversion!BW308,3)="Sou",INDEX(ListAndConversion!$AT$3:$AV$387,MATCH(ListAndConversion!BV308,ListAndConversion!$AV$3:$AV$387,0),1),"-"))</f>
        <v>-</v>
      </c>
      <c r="CG308" s="498" t="str">
        <f ca="1">IF(OR(LEFT(ListAndConversion!BW308,3)="Dil",LEFT(ListAndConversion!BW308,3)="Poo"),ListAndConversion!BU308,IF(LEFT(ListAndConversion!BW308,3)="Sou",INDEX(ListAndConversion!$AT$4:$AV$387,MATCH(ListAndConversion!BV308,ListAndConversion!$AV$4:$AV$387,0),2),"-"))</f>
        <v>-</v>
      </c>
      <c r="CH308" s="378"/>
      <c r="CI308" s="487" t="str">
        <f t="shared" ca="1" si="151"/>
        <v>-</v>
      </c>
      <c r="CJ308" s="378" t="str">
        <f t="shared" ca="1" si="162"/>
        <v>-</v>
      </c>
      <c r="CK308" s="378" t="str">
        <f t="shared" ca="1" si="162"/>
        <v>-</v>
      </c>
      <c r="CL308" s="378" t="str">
        <f t="shared" ca="1" si="162"/>
        <v>-</v>
      </c>
      <c r="CM308" s="378" t="str">
        <f t="shared" ca="1" si="162"/>
        <v>-</v>
      </c>
      <c r="CN308" s="378" t="str">
        <f t="shared" ca="1" si="162"/>
        <v>-</v>
      </c>
      <c r="CO308" s="378" t="str">
        <f t="shared" ca="1" si="162"/>
        <v>-</v>
      </c>
      <c r="CP308" s="378" t="str">
        <f t="shared" ca="1" si="162"/>
        <v>-</v>
      </c>
      <c r="CQ308" s="378" t="str">
        <f t="shared" ca="1" si="162"/>
        <v>-</v>
      </c>
      <c r="CR308" s="510" t="str">
        <f ca="1">IFERROR(IF(LEFT(BW308,3)="Poo",INDEX($BE$4:$BJ$99,MATCH(CI308,$BG$4:$BG$99,0),6)*((15/50))*Calculation!$AK$6,INDEX(Calculation_Tab,MATCH(BV308,Identifier,0),10)/(IF(LEN(INDEX(Calculation_Tab,MATCH(BV308,Identifier,0),9))&gt;8,LEN(INDEX(Calculation_Tab,MATCH(BV308,Identifier,0),9))-8,1))*((15/50)*Calculation!$AK$6)),"-")</f>
        <v>-</v>
      </c>
      <c r="CS308" s="498" t="str">
        <f ca="1">IF(CI308="-","-",IF(COUNTIF($CI$3:CI308,CI308)&gt;1,0,IFERROR((35/50)*Calculation!$AK$6,"-")))</f>
        <v>-</v>
      </c>
    </row>
    <row r="309" spans="4:97" x14ac:dyDescent="0.5">
      <c r="D309" s="487" t="e">
        <f t="shared" si="137"/>
        <v>#DIV/0!</v>
      </c>
      <c r="E309" s="496" t="e">
        <f t="array" ref="E309">IF(IF((ROW(E309)-3)&lt;(ListAndConversion!$A$15),INDEX(Flow_Cell_Lane,MIN(IF(COUNTIF($E$2:E308,Flow_Cell_Lane)=0,ROW(Flow_Cell_Lane)-9))),"-")="","-",IF((ROW(E309)-3)&lt;(ListAndConversion!$A$15),INDEX(Flow_Cell_Lane,MIN(IF(COUNTIF($E$2:E308,Flow_Cell_Lane)=0,ROW(Flow_Cell_Lane)-9))),"-"))</f>
        <v>#DIV/0!</v>
      </c>
      <c r="F309" s="378" t="e">
        <f t="shared" si="138"/>
        <v>#DIV/0!</v>
      </c>
      <c r="G309" s="378" t="e">
        <f t="shared" si="161"/>
        <v>#DIV/0!</v>
      </c>
      <c r="H309" s="378" t="e">
        <f t="shared" si="161"/>
        <v>#DIV/0!</v>
      </c>
      <c r="I309" s="378" t="e">
        <f t="shared" si="161"/>
        <v>#DIV/0!</v>
      </c>
      <c r="J309" s="378" t="e">
        <f t="shared" si="161"/>
        <v>#DIV/0!</v>
      </c>
      <c r="K309" s="378" t="e">
        <f t="shared" si="161"/>
        <v>#DIV/0!</v>
      </c>
      <c r="L309" s="378" t="e">
        <f t="shared" si="161"/>
        <v>#DIV/0!</v>
      </c>
      <c r="M309" s="378" t="e">
        <f t="shared" si="161"/>
        <v>#DIV/0!</v>
      </c>
      <c r="N309" s="497" t="e">
        <f t="shared" si="139"/>
        <v>#DIV/0!</v>
      </c>
      <c r="O309" s="497" t="str">
        <f t="array" ref="O309">IFERROR(INDEX(Calculation!I:AN,MATCH(ListAndConversion!E309,Calculation!I:I,0),31),"-")</f>
        <v>-</v>
      </c>
      <c r="P309" s="498">
        <f>IF(COUNTIFS(Calculation!$I$10:$I$393,E309,Direct_Denaturation,"-")&lt;&gt;1,COUNTIFS(Calculation!$I$10:$I$393,E309,Direct_Denaturation,"-"),0)</f>
        <v>0</v>
      </c>
      <c r="V309" s="542" t="s">
        <v>82</v>
      </c>
      <c r="W309" s="542" t="s">
        <v>82</v>
      </c>
      <c r="X309" s="542" t="s">
        <v>82</v>
      </c>
      <c r="Y309" s="542" t="s">
        <v>82</v>
      </c>
      <c r="Z309" s="542" t="s">
        <v>82</v>
      </c>
      <c r="AA309" s="542" t="s">
        <v>82</v>
      </c>
      <c r="AB309" s="542" t="s">
        <v>82</v>
      </c>
      <c r="AC309" s="542" t="s">
        <v>82</v>
      </c>
      <c r="AD309" s="542" t="s">
        <v>82</v>
      </c>
      <c r="AE309" s="542" t="s">
        <v>82</v>
      </c>
      <c r="AF309" s="542" t="s">
        <v>82</v>
      </c>
      <c r="AG309" s="542" t="s">
        <v>82</v>
      </c>
      <c r="AH309" s="9"/>
      <c r="AI309" s="487">
        <v>306</v>
      </c>
      <c r="AJ309" s="497" t="s">
        <v>479</v>
      </c>
      <c r="AK309" s="378">
        <v>18</v>
      </c>
      <c r="AL309" s="378" t="str">
        <f t="shared" ca="1" si="140"/>
        <v>-</v>
      </c>
      <c r="AM309" s="378" t="str">
        <f t="array" aca="1" ref="AM309" ca="1">IFERROR(IF(AI309&lt;=$AB$2,"-",INDEX(Calculation_Tab,SMALL(ROW(Main_Dil)*(Main_Dil&lt;&gt;"-"),COUNTIF(Main_Dil,"-")+ROW()-3-$AB$2)-9,5)),"-")</f>
        <v>-</v>
      </c>
      <c r="AN309" s="378" t="str">
        <f t="array" aca="1" ref="AN309" ca="1">IFERROR(IF(AI309&lt;=$AB$2,"-",INDEX($A$3:$B$12,MATCH(INDEX(Calculation_Tab,SMALL(ROW(Main_Dil)*(Main_Dil&lt;&gt;"-"),COUNTIF(Main_Dil,"-")+ROW()-3-$AB$2)-9,5),$A$3:$A$12,0),2)),"-")</f>
        <v>-</v>
      </c>
      <c r="AO309" s="378" t="str">
        <f t="array" aca="1" ref="AO309" ca="1">IFERROR(IF(AI309&lt;=$AB$2,"-",INDEX(Coordinate,MATCH(INDEX(Calculation_Tab,SMALL(ROW(Main_Dil)*(Main_Dil&lt;&gt;"-"),COUNTIF(Main_Dil,"-")+ROW()-3-$AB$2)-9,6),$X$4:$X$99,0),2)),"-")</f>
        <v>-</v>
      </c>
      <c r="AP309" s="510" t="str">
        <f t="array" aca="1" ref="AP309" ca="1">IFERROR(IF(AI309&lt;=$AB$2,"-",INDEX(Calculation_Tab,SMALL(ROW(Main_Dil)*(Main_Dil&lt;&gt;"-"),COUNTIF(Main_Dil,"-")+ROW()-3-$AB$2)-9,21)),"-")</f>
        <v>-</v>
      </c>
      <c r="AQ309" s="511" t="str">
        <f t="array" aca="1" ref="AQ309" ca="1">IFERROR(IF(AI309&lt;=$AB$2,"-",INDEX(Calculation_Tab,SMALL(ROW(Main_Dil)*(Main_Dil&lt;&gt;"-"),COUNTIF(Main_Dil,"-")+ROW()-3-$AB$2)-9,22)),"-")</f>
        <v>-</v>
      </c>
      <c r="AR309" s="487" t="str">
        <f t="shared" ca="1" si="141"/>
        <v>-</v>
      </c>
      <c r="AS309" s="378">
        <v>306</v>
      </c>
      <c r="AT309" s="497" t="s">
        <v>479</v>
      </c>
      <c r="AU309" s="498">
        <v>18</v>
      </c>
      <c r="AV309" s="378" t="str">
        <f t="shared" ca="1" si="142"/>
        <v>-</v>
      </c>
      <c r="AW309" s="378" t="str">
        <f t="array" aca="1" ref="AW309" ca="1">IFERROR(IF(AS309&lt;=$AB$2+$AN$2,"-",INDEX(Calculation_Tab,SMALL(ROW(Direct_Denaturation)*(Direct_Denaturation&lt;&gt;"-"),COUNTIF(Direct_Denaturation,"-")+ROW()-3-$AB$2-$AN$2)-9,5)),"-")</f>
        <v>-</v>
      </c>
      <c r="AX309" s="378" t="str">
        <f t="array" aca="1" ref="AX309" ca="1">IFERROR(IF(AS309&lt;=$AB$2+$AN$2,"-",INDEX($A$3:$B$12,MATCH(INDEX(Calculation_Tab,SMALL(ROW(Direct_Denaturation)*(Direct_Denaturation&lt;&gt;"-"),COUNTIF(Direct_Denaturation,"-")+ROW()-3-$AB$2-$AN$2)-9,5),$A$3:$A$12,0),2)),"-")</f>
        <v>-</v>
      </c>
      <c r="AY309" s="378" t="str">
        <f t="array" aca="1" ref="AY309" ca="1">IFERROR(IF(AS309&lt;=$AB$2+$AN$2,"-",INDEX(Coordinate,MATCH(INDEX(Calculation_Tab,SMALL(ROW(Direct_Denaturation)*(Direct_Denaturation&lt;&gt;"-"),COUNTIF(Direct_Denaturation,"-")+ROW()-3-$AB$2-$AN$2)-9,6),$X$4:$X$99,0),2)),"-")</f>
        <v>-</v>
      </c>
      <c r="AZ309" s="510" t="str">
        <f t="array" aca="1" ref="AZ309" ca="1">IFERROR(IF(AS309&lt;=$AB$2+$AN$2,"-",INDEX(Calculation_Tab,SMALL(ROW(Direct_Denaturation)*(Direct_Denaturation&lt;&gt;"-"),COUNTIF(Direct_Denaturation,"-")+ROW()-3-$AB$2-$AN$2)-9,32)),"-")</f>
        <v>-</v>
      </c>
      <c r="BA309" s="510" t="str">
        <f t="array" aca="1" ref="BA309" ca="1">IFERROR(IF(AS309&lt;=$AB$2+$AN$2,"-",INDEX(Calculation_Tab,SMALL(ROW(Direct_Denaturation)*(Direct_Denaturation&lt;&gt;"-"),COUNTIF(Direct_Denaturation,"-")+ROW()-3-$AB$2-$AN$2)-9,34)),"-")</f>
        <v>-</v>
      </c>
      <c r="BB309" s="510" t="str">
        <f t="array" aca="1" ref="BB309" ca="1">IFERROR(IF(AS309&lt;=$AB$2+$AN$2,"-",INDEX(Calculation_Tab,SMALL(ROW(Direct_Denaturation)*(Direct_Denaturation&lt;&gt;"-"),COUNTIF(Direct_Denaturation,"-")+ROW()-3-$AB$2-$AN$2)-9,33)),"-")</f>
        <v>-</v>
      </c>
      <c r="BC309" s="510" t="str">
        <f t="array" aca="1" ref="BC309" ca="1">IFERROR(IF(AS309&lt;=$AB$2+$AN$2,"-",INDEX(Calculation_Tab,SMALL(ROW(Direct_Denaturation)*(Direct_Denaturation&lt;&gt;"-"),COUNTIF(Direct_Denaturation,"-")+ROW()-3-$AB$2-$AN$2)-9,35)),"-")</f>
        <v>-</v>
      </c>
      <c r="BD309" s="511" t="str">
        <f t="shared" ca="1" si="143"/>
        <v>-</v>
      </c>
      <c r="BK309" s="542" t="s">
        <v>82</v>
      </c>
      <c r="BL309" s="542" t="s">
        <v>82</v>
      </c>
      <c r="BM309" s="487" t="str">
        <f t="array" aca="1" ref="BM309" ca="1">IFERROR(INDEX(Calculation_Tab,SMALL(ROW(ToPool)*(ToPool&lt;&gt;"-"),COUNTIF(ToPool,"-")+ROW()-3)-9,3),"-")</f>
        <v>-</v>
      </c>
      <c r="BN309" s="378" t="str">
        <f t="shared" ca="1" si="144"/>
        <v>-</v>
      </c>
      <c r="BO309" s="378" t="str">
        <f t="shared" ca="1" si="145"/>
        <v>-</v>
      </c>
      <c r="BP309" s="523" t="str">
        <f t="shared" ca="1" si="146"/>
        <v>-</v>
      </c>
      <c r="BQ309" s="378" t="str">
        <f t="array" aca="1" ref="BQ309" ca="1">IFERROR(INDEX(BE:BG,MATCH(INDEX(Calculation_Tab,SMALL(ROW(ToPool)*(ToPool&lt;&gt;"-"),COUNTIF(ToPool,"-")+ROW()-3)-9,9),BG:BG,0),2),"-")</f>
        <v>-</v>
      </c>
      <c r="BR309" s="510" t="str">
        <f t="shared" ca="1" si="147"/>
        <v>-</v>
      </c>
      <c r="BS309" s="511" t="str">
        <f t="shared" ca="1" si="148"/>
        <v>-</v>
      </c>
      <c r="BT309" s="543" t="s">
        <v>82</v>
      </c>
      <c r="BU309" s="487" t="str">
        <f t="shared" ca="1" si="152"/>
        <v>-</v>
      </c>
      <c r="BV309" s="487" t="str">
        <f t="array" aca="1" ref="BV30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09" s="378" t="str">
        <f t="shared" ca="1" si="149"/>
        <v>-</v>
      </c>
      <c r="BX309" s="378" t="str">
        <f t="shared" ca="1" si="150"/>
        <v>-</v>
      </c>
      <c r="BY309" s="510" t="str">
        <f ca="1">IFERROR(ROUND(INDEX(Cluster,MATCH(IF(LEFT(BV309,4)="Pool",INDEX(Cluster,MATCH(INDEX(Calculation_Tab,MATCH(INDEX($BE$4:$BJ$99,MATCH(BV309,$BE$4:$BE$99,0),3),Flow_Cell_Lane,0),3),Cluster!$F$29:$F$412,0),6),BV309),Identifier_Cluster,0),19)*IF(LEFT(BV309,4)="pool",IF(LEN(INDEX($BE$4:$BJ$99,MATCH(BV309,$BE$4:$BE$99,0),3))=10,2,IF(LEN(INDEX($BE$4:$BJ$99,MATCH(BV309,$BE$4:$BE$99,0),3))&gt;10,LEN(INDEX($BE$4:$BJ$99,MATCH(BV309,$BE$4:$BE$99,0),3))-8,1)),1)*IF(LEFT(BV309,4)="pool",IF(INDEX($BE$4:$BJ$99,MATCH(BV309,$BE$4:$BE$99,0),6)&lt;1,1,INDEX($BE$4:$BJ$99,MATCH(BV309,$BE$4:$BE$99,0),6)),INDEX(Calculation_Tab,MATCH(BV309,Identifier,0),10)),1)*(1+Calculation!$Q$6),"-")</f>
        <v>-</v>
      </c>
      <c r="BZ309" s="378" t="str">
        <f ca="1">IFERROR((0.5/50)*CE309/Calculation!$AG$6*(IF(LEFT(BV309,4)="Pool",IF(LEN(INDEX($BE$4:$BJ$99,MATCH(BV309,$BE$4:$BE$99,0),3))=10,2,IF(LEN(INDEX($BE$4:$BJ$99,MATCH(BV309,$BE$4:$BE$99,0),3))&gt;10,LEN(INDEX($BE$4:$BJ$99,MATCH(BV309,$BE$4:$BE$99,0),3))-8,1)),IF(INDEX(Calculation_Tab,MATCH(BV309,Identifier,0),10)&gt;1,INDEX(Calculation_Tab,MATCH(BV309,Identifier,0),10),1)))*(1+Calculation!$Q$6),"-")</f>
        <v>-</v>
      </c>
      <c r="CA309" s="510" t="str">
        <f ca="1">IFERROR(IF((BZ309*Calculation!$AG$6/0.05)-SUM(BY309:BZ309,CC309)&gt;0,(BZ309*Calculation!$AG$6/0.05)-SUM(BY309:BZ309,CC309),0),"-")</f>
        <v>-</v>
      </c>
      <c r="CB309" s="510" t="str">
        <f ca="1">IFERROR(5/50*CE309*(IF(LEFT(BV309,4)="Pool",IF(LEN(INDEX($BE$4:$BJ$99,MATCH(BV309,$BE$4:$BE$99,0),3))=10,2,IF(LEN(INDEX($BE$4:$BJ$99,MATCH(BV309,$BE$4:$BE$99,0),3))&gt;10,LEN(INDEX($BE$4:$BJ$99,MATCH(BV309,$BE$4:$BE$99,0),3))-8,1)),IF(INDEX(Calculation_Tab,MATCH(BV309,Identifier,0),10)&gt;1,INDEX(Calculation_Tab,MATCH(BV309,Identifier,0),10),1)))*(1+Calculation!$Q$6),"-")</f>
        <v>-</v>
      </c>
      <c r="CC309" s="508" t="str">
        <f ca="1">IFERROR(ROUND(INDEX(Cluster,MATCH(IF(LEFT(BV309,4)="Pool",INDEX(Cluster,MATCH(INDEX(Calculation_Tab,MATCH(INDEX($BE$4:$BJ$99,MATCH(BV309,$BE$4:$BE$99,0),3),Flow_Cell_Lane,0),3),Cluster!$F$29:$F$412,0),6),BV309),Identifier_Cluster,0),20)*IF(LEFT(BV309,4)="pool",IF(LEN(INDEX($BE$4:$BJ$99,MATCH(BV309,$BE$4:$BE$99,0),3))=10,2,IF(LEN(INDEX($BE$4:$BJ$99,MATCH(BV309,$BE$4:$BE$99,0),3))&gt;10,LEN(INDEX($BE$4:$BJ$99,MATCH(BV309,$BE$4:$BE$99,0),3))-8,1)),1)*IF(LEFT(BV309,4)="pool",IF(INDEX($BE$4:$BJ$99,MATCH(BV309,$BE$4:$BE$99,0),6)&lt;1,1,INDEX($BE$4:$BJ$99,MATCH(BV309,$BE$4:$BE$99,0),6)),INDEX(Calculation_Tab,MATCH(BV309,Identifier,0),10)),1)*(1+Calculation!$Q$6),"-")</f>
        <v>-</v>
      </c>
      <c r="CD309" s="509" t="str">
        <f ca="1">IFERROR(INDEX(Cluster!AC:AD,MATCH(IF(LEFT(BV309,4)="Pool",INDEX(Cluster!$D$29:$AA$412,MATCH(INDEX(Calculation_Tab,MATCH(INDEX($BE$4:$BJ$99,MATCH(BV309,$BE$4:$BE$99,0),3),Flow_Cell_Lane,0),3),Cluster!$F$29:$F$412,0),24),INDEX(Cluster!$D$29:$AA$412,MATCH(BV309,Cluster!$F$29:$F$412,0),24)),Cluster!AC:AC,0),2),"-")</f>
        <v>-</v>
      </c>
      <c r="CE309" s="378" t="str">
        <f ca="1">IFERROR(IF(BV309&lt;&gt;"-",Calculation!$AK$6,"-"),"-")</f>
        <v>-</v>
      </c>
      <c r="CF309" s="378" t="str">
        <f ca="1">IF(OR(LEFT(ListAndConversion!BW309,3)="Dil",LEFT(ListAndConversion!BW309,3)="Poo"),ListAndConversion!$BT$4,IF(LEFT(ListAndConversion!BW309,3)="Sou",INDEX(ListAndConversion!$AT$3:$AV$387,MATCH(ListAndConversion!BV309,ListAndConversion!$AV$3:$AV$387,0),1),"-"))</f>
        <v>-</v>
      </c>
      <c r="CG309" s="498" t="str">
        <f ca="1">IF(OR(LEFT(ListAndConversion!BW309,3)="Dil",LEFT(ListAndConversion!BW309,3)="Poo"),ListAndConversion!BU309,IF(LEFT(ListAndConversion!BW309,3)="Sou",INDEX(ListAndConversion!$AT$4:$AV$387,MATCH(ListAndConversion!BV309,ListAndConversion!$AV$4:$AV$387,0),2),"-"))</f>
        <v>-</v>
      </c>
      <c r="CH309" s="378"/>
      <c r="CI309" s="487" t="str">
        <f t="shared" ca="1" si="151"/>
        <v>-</v>
      </c>
      <c r="CJ309" s="378" t="str">
        <f t="shared" ca="1" si="162"/>
        <v>-</v>
      </c>
      <c r="CK309" s="378" t="str">
        <f t="shared" ca="1" si="162"/>
        <v>-</v>
      </c>
      <c r="CL309" s="378" t="str">
        <f t="shared" ca="1" si="162"/>
        <v>-</v>
      </c>
      <c r="CM309" s="378" t="str">
        <f t="shared" ca="1" si="162"/>
        <v>-</v>
      </c>
      <c r="CN309" s="378" t="str">
        <f t="shared" ca="1" si="162"/>
        <v>-</v>
      </c>
      <c r="CO309" s="378" t="str">
        <f t="shared" ca="1" si="162"/>
        <v>-</v>
      </c>
      <c r="CP309" s="378" t="str">
        <f t="shared" ca="1" si="162"/>
        <v>-</v>
      </c>
      <c r="CQ309" s="378" t="str">
        <f t="shared" ca="1" si="162"/>
        <v>-</v>
      </c>
      <c r="CR309" s="510" t="str">
        <f ca="1">IFERROR(IF(LEFT(BW309,3)="Poo",INDEX($BE$4:$BJ$99,MATCH(CI309,$BG$4:$BG$99,0),6)*((15/50))*Calculation!$AK$6,INDEX(Calculation_Tab,MATCH(BV309,Identifier,0),10)/(IF(LEN(INDEX(Calculation_Tab,MATCH(BV309,Identifier,0),9))&gt;8,LEN(INDEX(Calculation_Tab,MATCH(BV309,Identifier,0),9))-8,1))*((15/50)*Calculation!$AK$6)),"-")</f>
        <v>-</v>
      </c>
      <c r="CS309" s="498" t="str">
        <f ca="1">IF(CI309="-","-",IF(COUNTIF($CI$3:CI309,CI309)&gt;1,0,IFERROR((35/50)*Calculation!$AK$6,"-")))</f>
        <v>-</v>
      </c>
    </row>
    <row r="310" spans="4:97" x14ac:dyDescent="0.5">
      <c r="D310" s="487" t="e">
        <f t="shared" si="137"/>
        <v>#DIV/0!</v>
      </c>
      <c r="E310" s="496" t="e">
        <f t="array" ref="E310">IF(IF((ROW(E310)-3)&lt;(ListAndConversion!$A$15),INDEX(Flow_Cell_Lane,MIN(IF(COUNTIF($E$2:E309,Flow_Cell_Lane)=0,ROW(Flow_Cell_Lane)-9))),"-")="","-",IF((ROW(E310)-3)&lt;(ListAndConversion!$A$15),INDEX(Flow_Cell_Lane,MIN(IF(COUNTIF($E$2:E309,Flow_Cell_Lane)=0,ROW(Flow_Cell_Lane)-9))),"-"))</f>
        <v>#DIV/0!</v>
      </c>
      <c r="F310" s="378" t="e">
        <f t="shared" si="138"/>
        <v>#DIV/0!</v>
      </c>
      <c r="G310" s="378" t="e">
        <f t="shared" si="161"/>
        <v>#DIV/0!</v>
      </c>
      <c r="H310" s="378" t="e">
        <f t="shared" si="161"/>
        <v>#DIV/0!</v>
      </c>
      <c r="I310" s="378" t="e">
        <f t="shared" si="161"/>
        <v>#DIV/0!</v>
      </c>
      <c r="J310" s="378" t="e">
        <f t="shared" si="161"/>
        <v>#DIV/0!</v>
      </c>
      <c r="K310" s="378" t="e">
        <f t="shared" si="161"/>
        <v>#DIV/0!</v>
      </c>
      <c r="L310" s="378" t="e">
        <f t="shared" si="161"/>
        <v>#DIV/0!</v>
      </c>
      <c r="M310" s="378" t="e">
        <f t="shared" si="161"/>
        <v>#DIV/0!</v>
      </c>
      <c r="N310" s="497" t="e">
        <f t="shared" si="139"/>
        <v>#DIV/0!</v>
      </c>
      <c r="O310" s="497" t="str">
        <f t="array" ref="O310">IFERROR(INDEX(Calculation!I:AN,MATCH(ListAndConversion!E310,Calculation!I:I,0),31),"-")</f>
        <v>-</v>
      </c>
      <c r="P310" s="498">
        <f>IF(COUNTIFS(Calculation!$I$10:$I$393,E310,Direct_Denaturation,"-")&lt;&gt;1,COUNTIFS(Calculation!$I$10:$I$393,E310,Direct_Denaturation,"-"),0)</f>
        <v>0</v>
      </c>
      <c r="V310" s="542" t="s">
        <v>82</v>
      </c>
      <c r="W310" s="542" t="s">
        <v>82</v>
      </c>
      <c r="X310" s="542" t="s">
        <v>82</v>
      </c>
      <c r="Y310" s="542" t="s">
        <v>82</v>
      </c>
      <c r="Z310" s="542" t="s">
        <v>82</v>
      </c>
      <c r="AA310" s="542" t="s">
        <v>82</v>
      </c>
      <c r="AB310" s="542" t="s">
        <v>82</v>
      </c>
      <c r="AC310" s="542" t="s">
        <v>82</v>
      </c>
      <c r="AD310" s="542" t="s">
        <v>82</v>
      </c>
      <c r="AE310" s="542" t="s">
        <v>82</v>
      </c>
      <c r="AF310" s="542" t="s">
        <v>82</v>
      </c>
      <c r="AG310" s="542" t="s">
        <v>82</v>
      </c>
      <c r="AH310" s="9"/>
      <c r="AI310" s="487">
        <v>307</v>
      </c>
      <c r="AJ310" s="497" t="s">
        <v>479</v>
      </c>
      <c r="AK310" s="378">
        <v>19</v>
      </c>
      <c r="AL310" s="378" t="str">
        <f t="shared" ca="1" si="140"/>
        <v>-</v>
      </c>
      <c r="AM310" s="378" t="str">
        <f t="array" aca="1" ref="AM310" ca="1">IFERROR(IF(AI310&lt;=$AB$2,"-",INDEX(Calculation_Tab,SMALL(ROW(Main_Dil)*(Main_Dil&lt;&gt;"-"),COUNTIF(Main_Dil,"-")+ROW()-3-$AB$2)-9,5)),"-")</f>
        <v>-</v>
      </c>
      <c r="AN310" s="378" t="str">
        <f t="array" aca="1" ref="AN310" ca="1">IFERROR(IF(AI310&lt;=$AB$2,"-",INDEX($A$3:$B$12,MATCH(INDEX(Calculation_Tab,SMALL(ROW(Main_Dil)*(Main_Dil&lt;&gt;"-"),COUNTIF(Main_Dil,"-")+ROW()-3-$AB$2)-9,5),$A$3:$A$12,0),2)),"-")</f>
        <v>-</v>
      </c>
      <c r="AO310" s="378" t="str">
        <f t="array" aca="1" ref="AO310" ca="1">IFERROR(IF(AI310&lt;=$AB$2,"-",INDEX(Coordinate,MATCH(INDEX(Calculation_Tab,SMALL(ROW(Main_Dil)*(Main_Dil&lt;&gt;"-"),COUNTIF(Main_Dil,"-")+ROW()-3-$AB$2)-9,6),$X$4:$X$99,0),2)),"-")</f>
        <v>-</v>
      </c>
      <c r="AP310" s="510" t="str">
        <f t="array" aca="1" ref="AP310" ca="1">IFERROR(IF(AI310&lt;=$AB$2,"-",INDEX(Calculation_Tab,SMALL(ROW(Main_Dil)*(Main_Dil&lt;&gt;"-"),COUNTIF(Main_Dil,"-")+ROW()-3-$AB$2)-9,21)),"-")</f>
        <v>-</v>
      </c>
      <c r="AQ310" s="511" t="str">
        <f t="array" aca="1" ref="AQ310" ca="1">IFERROR(IF(AI310&lt;=$AB$2,"-",INDEX(Calculation_Tab,SMALL(ROW(Main_Dil)*(Main_Dil&lt;&gt;"-"),COUNTIF(Main_Dil,"-")+ROW()-3-$AB$2)-9,22)),"-")</f>
        <v>-</v>
      </c>
      <c r="AR310" s="487" t="str">
        <f t="shared" ca="1" si="141"/>
        <v>-</v>
      </c>
      <c r="AS310" s="378">
        <v>307</v>
      </c>
      <c r="AT310" s="497" t="s">
        <v>479</v>
      </c>
      <c r="AU310" s="498">
        <v>19</v>
      </c>
      <c r="AV310" s="378" t="str">
        <f t="shared" ca="1" si="142"/>
        <v>-</v>
      </c>
      <c r="AW310" s="378" t="str">
        <f t="array" aca="1" ref="AW310" ca="1">IFERROR(IF(AS310&lt;=$AB$2+$AN$2,"-",INDEX(Calculation_Tab,SMALL(ROW(Direct_Denaturation)*(Direct_Denaturation&lt;&gt;"-"),COUNTIF(Direct_Denaturation,"-")+ROW()-3-$AB$2-$AN$2)-9,5)),"-")</f>
        <v>-</v>
      </c>
      <c r="AX310" s="378" t="str">
        <f t="array" aca="1" ref="AX310" ca="1">IFERROR(IF(AS310&lt;=$AB$2+$AN$2,"-",INDEX($A$3:$B$12,MATCH(INDEX(Calculation_Tab,SMALL(ROW(Direct_Denaturation)*(Direct_Denaturation&lt;&gt;"-"),COUNTIF(Direct_Denaturation,"-")+ROW()-3-$AB$2-$AN$2)-9,5),$A$3:$A$12,0),2)),"-")</f>
        <v>-</v>
      </c>
      <c r="AY310" s="378" t="str">
        <f t="array" aca="1" ref="AY310" ca="1">IFERROR(IF(AS310&lt;=$AB$2+$AN$2,"-",INDEX(Coordinate,MATCH(INDEX(Calculation_Tab,SMALL(ROW(Direct_Denaturation)*(Direct_Denaturation&lt;&gt;"-"),COUNTIF(Direct_Denaturation,"-")+ROW()-3-$AB$2-$AN$2)-9,6),$X$4:$X$99,0),2)),"-")</f>
        <v>-</v>
      </c>
      <c r="AZ310" s="510" t="str">
        <f t="array" aca="1" ref="AZ310" ca="1">IFERROR(IF(AS310&lt;=$AB$2+$AN$2,"-",INDEX(Calculation_Tab,SMALL(ROW(Direct_Denaturation)*(Direct_Denaturation&lt;&gt;"-"),COUNTIF(Direct_Denaturation,"-")+ROW()-3-$AB$2-$AN$2)-9,32)),"-")</f>
        <v>-</v>
      </c>
      <c r="BA310" s="510" t="str">
        <f t="array" aca="1" ref="BA310" ca="1">IFERROR(IF(AS310&lt;=$AB$2+$AN$2,"-",INDEX(Calculation_Tab,SMALL(ROW(Direct_Denaturation)*(Direct_Denaturation&lt;&gt;"-"),COUNTIF(Direct_Denaturation,"-")+ROW()-3-$AB$2-$AN$2)-9,34)),"-")</f>
        <v>-</v>
      </c>
      <c r="BB310" s="510" t="str">
        <f t="array" aca="1" ref="BB310" ca="1">IFERROR(IF(AS310&lt;=$AB$2+$AN$2,"-",INDEX(Calculation_Tab,SMALL(ROW(Direct_Denaturation)*(Direct_Denaturation&lt;&gt;"-"),COUNTIF(Direct_Denaturation,"-")+ROW()-3-$AB$2-$AN$2)-9,33)),"-")</f>
        <v>-</v>
      </c>
      <c r="BC310" s="510" t="str">
        <f t="array" aca="1" ref="BC310" ca="1">IFERROR(IF(AS310&lt;=$AB$2+$AN$2,"-",INDEX(Calculation_Tab,SMALL(ROW(Direct_Denaturation)*(Direct_Denaturation&lt;&gt;"-"),COUNTIF(Direct_Denaturation,"-")+ROW()-3-$AB$2-$AN$2)-9,35)),"-")</f>
        <v>-</v>
      </c>
      <c r="BD310" s="511" t="str">
        <f t="shared" ca="1" si="143"/>
        <v>-</v>
      </c>
      <c r="BK310" s="542" t="s">
        <v>82</v>
      </c>
      <c r="BL310" s="542" t="s">
        <v>82</v>
      </c>
      <c r="BM310" s="487" t="str">
        <f t="array" aca="1" ref="BM310" ca="1">IFERROR(INDEX(Calculation_Tab,SMALL(ROW(ToPool)*(ToPool&lt;&gt;"-"),COUNTIF(ToPool,"-")+ROW()-3)-9,3),"-")</f>
        <v>-</v>
      </c>
      <c r="BN310" s="378" t="str">
        <f t="shared" ca="1" si="144"/>
        <v>-</v>
      </c>
      <c r="BO310" s="378" t="str">
        <f t="shared" ca="1" si="145"/>
        <v>-</v>
      </c>
      <c r="BP310" s="523" t="str">
        <f t="shared" ca="1" si="146"/>
        <v>-</v>
      </c>
      <c r="BQ310" s="378" t="str">
        <f t="array" aca="1" ref="BQ310" ca="1">IFERROR(INDEX(BE:BG,MATCH(INDEX(Calculation_Tab,SMALL(ROW(ToPool)*(ToPool&lt;&gt;"-"),COUNTIF(ToPool,"-")+ROW()-3)-9,9),BG:BG,0),2),"-")</f>
        <v>-</v>
      </c>
      <c r="BR310" s="510" t="str">
        <f t="shared" ca="1" si="147"/>
        <v>-</v>
      </c>
      <c r="BS310" s="511" t="str">
        <f t="shared" ca="1" si="148"/>
        <v>-</v>
      </c>
      <c r="BT310" s="543" t="s">
        <v>82</v>
      </c>
      <c r="BU310" s="487" t="str">
        <f t="shared" ca="1" si="152"/>
        <v>-</v>
      </c>
      <c r="BV310" s="487" t="str">
        <f t="array" aca="1" ref="BV31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10" s="378" t="str">
        <f t="shared" ca="1" si="149"/>
        <v>-</v>
      </c>
      <c r="BX310" s="378" t="str">
        <f t="shared" ca="1" si="150"/>
        <v>-</v>
      </c>
      <c r="BY310" s="510" t="str">
        <f ca="1">IFERROR(ROUND(INDEX(Cluster,MATCH(IF(LEFT(BV310,4)="Pool",INDEX(Cluster,MATCH(INDEX(Calculation_Tab,MATCH(INDEX($BE$4:$BJ$99,MATCH(BV310,$BE$4:$BE$99,0),3),Flow_Cell_Lane,0),3),Cluster!$F$29:$F$412,0),6),BV310),Identifier_Cluster,0),19)*IF(LEFT(BV310,4)="pool",IF(LEN(INDEX($BE$4:$BJ$99,MATCH(BV310,$BE$4:$BE$99,0),3))=10,2,IF(LEN(INDEX($BE$4:$BJ$99,MATCH(BV310,$BE$4:$BE$99,0),3))&gt;10,LEN(INDEX($BE$4:$BJ$99,MATCH(BV310,$BE$4:$BE$99,0),3))-8,1)),1)*IF(LEFT(BV310,4)="pool",IF(INDEX($BE$4:$BJ$99,MATCH(BV310,$BE$4:$BE$99,0),6)&lt;1,1,INDEX($BE$4:$BJ$99,MATCH(BV310,$BE$4:$BE$99,0),6)),INDEX(Calculation_Tab,MATCH(BV310,Identifier,0),10)),1)*(1+Calculation!$Q$6),"-")</f>
        <v>-</v>
      </c>
      <c r="BZ310" s="378" t="str">
        <f ca="1">IFERROR((0.5/50)*CE310/Calculation!$AG$6*(IF(LEFT(BV310,4)="Pool",IF(LEN(INDEX($BE$4:$BJ$99,MATCH(BV310,$BE$4:$BE$99,0),3))=10,2,IF(LEN(INDEX($BE$4:$BJ$99,MATCH(BV310,$BE$4:$BE$99,0),3))&gt;10,LEN(INDEX($BE$4:$BJ$99,MATCH(BV310,$BE$4:$BE$99,0),3))-8,1)),IF(INDEX(Calculation_Tab,MATCH(BV310,Identifier,0),10)&gt;1,INDEX(Calculation_Tab,MATCH(BV310,Identifier,0),10),1)))*(1+Calculation!$Q$6),"-")</f>
        <v>-</v>
      </c>
      <c r="CA310" s="510" t="str">
        <f ca="1">IFERROR(IF((BZ310*Calculation!$AG$6/0.05)-SUM(BY310:BZ310,CC310)&gt;0,(BZ310*Calculation!$AG$6/0.05)-SUM(BY310:BZ310,CC310),0),"-")</f>
        <v>-</v>
      </c>
      <c r="CB310" s="510" t="str">
        <f ca="1">IFERROR(5/50*CE310*(IF(LEFT(BV310,4)="Pool",IF(LEN(INDEX($BE$4:$BJ$99,MATCH(BV310,$BE$4:$BE$99,0),3))=10,2,IF(LEN(INDEX($BE$4:$BJ$99,MATCH(BV310,$BE$4:$BE$99,0),3))&gt;10,LEN(INDEX($BE$4:$BJ$99,MATCH(BV310,$BE$4:$BE$99,0),3))-8,1)),IF(INDEX(Calculation_Tab,MATCH(BV310,Identifier,0),10)&gt;1,INDEX(Calculation_Tab,MATCH(BV310,Identifier,0),10),1)))*(1+Calculation!$Q$6),"-")</f>
        <v>-</v>
      </c>
      <c r="CC310" s="508" t="str">
        <f ca="1">IFERROR(ROUND(INDEX(Cluster,MATCH(IF(LEFT(BV310,4)="Pool",INDEX(Cluster,MATCH(INDEX(Calculation_Tab,MATCH(INDEX($BE$4:$BJ$99,MATCH(BV310,$BE$4:$BE$99,0),3),Flow_Cell_Lane,0),3),Cluster!$F$29:$F$412,0),6),BV310),Identifier_Cluster,0),20)*IF(LEFT(BV310,4)="pool",IF(LEN(INDEX($BE$4:$BJ$99,MATCH(BV310,$BE$4:$BE$99,0),3))=10,2,IF(LEN(INDEX($BE$4:$BJ$99,MATCH(BV310,$BE$4:$BE$99,0),3))&gt;10,LEN(INDEX($BE$4:$BJ$99,MATCH(BV310,$BE$4:$BE$99,0),3))-8,1)),1)*IF(LEFT(BV310,4)="pool",IF(INDEX($BE$4:$BJ$99,MATCH(BV310,$BE$4:$BE$99,0),6)&lt;1,1,INDEX($BE$4:$BJ$99,MATCH(BV310,$BE$4:$BE$99,0),6)),INDEX(Calculation_Tab,MATCH(BV310,Identifier,0),10)),1)*(1+Calculation!$Q$6),"-")</f>
        <v>-</v>
      </c>
      <c r="CD310" s="509" t="str">
        <f ca="1">IFERROR(INDEX(Cluster!AC:AD,MATCH(IF(LEFT(BV310,4)="Pool",INDEX(Cluster!$D$29:$AA$412,MATCH(INDEX(Calculation_Tab,MATCH(INDEX($BE$4:$BJ$99,MATCH(BV310,$BE$4:$BE$99,0),3),Flow_Cell_Lane,0),3),Cluster!$F$29:$F$412,0),24),INDEX(Cluster!$D$29:$AA$412,MATCH(BV310,Cluster!$F$29:$F$412,0),24)),Cluster!AC:AC,0),2),"-")</f>
        <v>-</v>
      </c>
      <c r="CE310" s="378" t="str">
        <f ca="1">IFERROR(IF(BV310&lt;&gt;"-",Calculation!$AK$6,"-"),"-")</f>
        <v>-</v>
      </c>
      <c r="CF310" s="378" t="str">
        <f ca="1">IF(OR(LEFT(ListAndConversion!BW310,3)="Dil",LEFT(ListAndConversion!BW310,3)="Poo"),ListAndConversion!$BT$4,IF(LEFT(ListAndConversion!BW310,3)="Sou",INDEX(ListAndConversion!$AT$3:$AV$387,MATCH(ListAndConversion!BV310,ListAndConversion!$AV$3:$AV$387,0),1),"-"))</f>
        <v>-</v>
      </c>
      <c r="CG310" s="498" t="str">
        <f ca="1">IF(OR(LEFT(ListAndConversion!BW310,3)="Dil",LEFT(ListAndConversion!BW310,3)="Poo"),ListAndConversion!BU310,IF(LEFT(ListAndConversion!BW310,3)="Sou",INDEX(ListAndConversion!$AT$4:$AV$387,MATCH(ListAndConversion!BV310,ListAndConversion!$AV$4:$AV$387,0),2),"-"))</f>
        <v>-</v>
      </c>
      <c r="CH310" s="378"/>
      <c r="CI310" s="487" t="str">
        <f t="shared" ca="1" si="151"/>
        <v>-</v>
      </c>
      <c r="CJ310" s="378" t="str">
        <f t="shared" ca="1" si="162"/>
        <v>-</v>
      </c>
      <c r="CK310" s="378" t="str">
        <f t="shared" ca="1" si="162"/>
        <v>-</v>
      </c>
      <c r="CL310" s="378" t="str">
        <f t="shared" ca="1" si="162"/>
        <v>-</v>
      </c>
      <c r="CM310" s="378" t="str">
        <f t="shared" ca="1" si="162"/>
        <v>-</v>
      </c>
      <c r="CN310" s="378" t="str">
        <f t="shared" ca="1" si="162"/>
        <v>-</v>
      </c>
      <c r="CO310" s="378" t="str">
        <f t="shared" ca="1" si="162"/>
        <v>-</v>
      </c>
      <c r="CP310" s="378" t="str">
        <f t="shared" ca="1" si="162"/>
        <v>-</v>
      </c>
      <c r="CQ310" s="378" t="str">
        <f t="shared" ca="1" si="162"/>
        <v>-</v>
      </c>
      <c r="CR310" s="510" t="str">
        <f ca="1">IFERROR(IF(LEFT(BW310,3)="Poo",INDEX($BE$4:$BJ$99,MATCH(CI310,$BG$4:$BG$99,0),6)*((15/50))*Calculation!$AK$6,INDEX(Calculation_Tab,MATCH(BV310,Identifier,0),10)/(IF(LEN(INDEX(Calculation_Tab,MATCH(BV310,Identifier,0),9))&gt;8,LEN(INDEX(Calculation_Tab,MATCH(BV310,Identifier,0),9))-8,1))*((15/50)*Calculation!$AK$6)),"-")</f>
        <v>-</v>
      </c>
      <c r="CS310" s="498" t="str">
        <f ca="1">IF(CI310="-","-",IF(COUNTIF($CI$3:CI310,CI310)&gt;1,0,IFERROR((35/50)*Calculation!$AK$6,"-")))</f>
        <v>-</v>
      </c>
    </row>
    <row r="311" spans="4:97" x14ac:dyDescent="0.5">
      <c r="D311" s="487" t="e">
        <f t="shared" si="137"/>
        <v>#DIV/0!</v>
      </c>
      <c r="E311" s="496" t="e">
        <f t="array" ref="E311">IF(IF((ROW(E311)-3)&lt;(ListAndConversion!$A$15),INDEX(Flow_Cell_Lane,MIN(IF(COUNTIF($E$2:E310,Flow_Cell_Lane)=0,ROW(Flow_Cell_Lane)-9))),"-")="","-",IF((ROW(E311)-3)&lt;(ListAndConversion!$A$15),INDEX(Flow_Cell_Lane,MIN(IF(COUNTIF($E$2:E310,Flow_Cell_Lane)=0,ROW(Flow_Cell_Lane)-9))),"-"))</f>
        <v>#DIV/0!</v>
      </c>
      <c r="F311" s="378" t="e">
        <f t="shared" si="138"/>
        <v>#DIV/0!</v>
      </c>
      <c r="G311" s="378" t="e">
        <f t="shared" si="161"/>
        <v>#DIV/0!</v>
      </c>
      <c r="H311" s="378" t="e">
        <f t="shared" si="161"/>
        <v>#DIV/0!</v>
      </c>
      <c r="I311" s="378" t="e">
        <f t="shared" si="161"/>
        <v>#DIV/0!</v>
      </c>
      <c r="J311" s="378" t="e">
        <f t="shared" si="161"/>
        <v>#DIV/0!</v>
      </c>
      <c r="K311" s="378" t="e">
        <f t="shared" si="161"/>
        <v>#DIV/0!</v>
      </c>
      <c r="L311" s="378" t="e">
        <f t="shared" si="161"/>
        <v>#DIV/0!</v>
      </c>
      <c r="M311" s="378" t="e">
        <f t="shared" si="161"/>
        <v>#DIV/0!</v>
      </c>
      <c r="N311" s="497" t="e">
        <f t="shared" si="139"/>
        <v>#DIV/0!</v>
      </c>
      <c r="O311" s="497" t="str">
        <f t="array" ref="O311">IFERROR(INDEX(Calculation!I:AN,MATCH(ListAndConversion!E311,Calculation!I:I,0),31),"-")</f>
        <v>-</v>
      </c>
      <c r="P311" s="498">
        <f>IF(COUNTIFS(Calculation!$I$10:$I$393,E311,Direct_Denaturation,"-")&lt;&gt;1,COUNTIFS(Calculation!$I$10:$I$393,E311,Direct_Denaturation,"-"),0)</f>
        <v>0</v>
      </c>
      <c r="V311" s="542" t="s">
        <v>82</v>
      </c>
      <c r="W311" s="542" t="s">
        <v>82</v>
      </c>
      <c r="X311" s="542" t="s">
        <v>82</v>
      </c>
      <c r="Y311" s="542" t="s">
        <v>82</v>
      </c>
      <c r="Z311" s="542" t="s">
        <v>82</v>
      </c>
      <c r="AA311" s="542" t="s">
        <v>82</v>
      </c>
      <c r="AB311" s="542" t="s">
        <v>82</v>
      </c>
      <c r="AC311" s="542" t="s">
        <v>82</v>
      </c>
      <c r="AD311" s="542" t="s">
        <v>82</v>
      </c>
      <c r="AE311" s="542" t="s">
        <v>82</v>
      </c>
      <c r="AF311" s="542" t="s">
        <v>82</v>
      </c>
      <c r="AG311" s="542" t="s">
        <v>82</v>
      </c>
      <c r="AH311" s="9"/>
      <c r="AI311" s="487">
        <v>308</v>
      </c>
      <c r="AJ311" s="497" t="s">
        <v>479</v>
      </c>
      <c r="AK311" s="378">
        <v>20</v>
      </c>
      <c r="AL311" s="378" t="str">
        <f t="shared" ca="1" si="140"/>
        <v>-</v>
      </c>
      <c r="AM311" s="378" t="str">
        <f t="array" aca="1" ref="AM311" ca="1">IFERROR(IF(AI311&lt;=$AB$2,"-",INDEX(Calculation_Tab,SMALL(ROW(Main_Dil)*(Main_Dil&lt;&gt;"-"),COUNTIF(Main_Dil,"-")+ROW()-3-$AB$2)-9,5)),"-")</f>
        <v>-</v>
      </c>
      <c r="AN311" s="378" t="str">
        <f t="array" aca="1" ref="AN311" ca="1">IFERROR(IF(AI311&lt;=$AB$2,"-",INDEX($A$3:$B$12,MATCH(INDEX(Calculation_Tab,SMALL(ROW(Main_Dil)*(Main_Dil&lt;&gt;"-"),COUNTIF(Main_Dil,"-")+ROW()-3-$AB$2)-9,5),$A$3:$A$12,0),2)),"-")</f>
        <v>-</v>
      </c>
      <c r="AO311" s="378" t="str">
        <f t="array" aca="1" ref="AO311" ca="1">IFERROR(IF(AI311&lt;=$AB$2,"-",INDEX(Coordinate,MATCH(INDEX(Calculation_Tab,SMALL(ROW(Main_Dil)*(Main_Dil&lt;&gt;"-"),COUNTIF(Main_Dil,"-")+ROW()-3-$AB$2)-9,6),$X$4:$X$99,0),2)),"-")</f>
        <v>-</v>
      </c>
      <c r="AP311" s="510" t="str">
        <f t="array" aca="1" ref="AP311" ca="1">IFERROR(IF(AI311&lt;=$AB$2,"-",INDEX(Calculation_Tab,SMALL(ROW(Main_Dil)*(Main_Dil&lt;&gt;"-"),COUNTIF(Main_Dil,"-")+ROW()-3-$AB$2)-9,21)),"-")</f>
        <v>-</v>
      </c>
      <c r="AQ311" s="511" t="str">
        <f t="array" aca="1" ref="AQ311" ca="1">IFERROR(IF(AI311&lt;=$AB$2,"-",INDEX(Calculation_Tab,SMALL(ROW(Main_Dil)*(Main_Dil&lt;&gt;"-"),COUNTIF(Main_Dil,"-")+ROW()-3-$AB$2)-9,22)),"-")</f>
        <v>-</v>
      </c>
      <c r="AR311" s="487" t="str">
        <f t="shared" ca="1" si="141"/>
        <v>-</v>
      </c>
      <c r="AS311" s="378">
        <v>308</v>
      </c>
      <c r="AT311" s="497" t="s">
        <v>479</v>
      </c>
      <c r="AU311" s="498">
        <v>20</v>
      </c>
      <c r="AV311" s="378" t="str">
        <f t="shared" ca="1" si="142"/>
        <v>-</v>
      </c>
      <c r="AW311" s="378" t="str">
        <f t="array" aca="1" ref="AW311" ca="1">IFERROR(IF(AS311&lt;=$AB$2+$AN$2,"-",INDEX(Calculation_Tab,SMALL(ROW(Direct_Denaturation)*(Direct_Denaturation&lt;&gt;"-"),COUNTIF(Direct_Denaturation,"-")+ROW()-3-$AB$2-$AN$2)-9,5)),"-")</f>
        <v>-</v>
      </c>
      <c r="AX311" s="378" t="str">
        <f t="array" aca="1" ref="AX311" ca="1">IFERROR(IF(AS311&lt;=$AB$2+$AN$2,"-",INDEX($A$3:$B$12,MATCH(INDEX(Calculation_Tab,SMALL(ROW(Direct_Denaturation)*(Direct_Denaturation&lt;&gt;"-"),COUNTIF(Direct_Denaturation,"-")+ROW()-3-$AB$2-$AN$2)-9,5),$A$3:$A$12,0),2)),"-")</f>
        <v>-</v>
      </c>
      <c r="AY311" s="378" t="str">
        <f t="array" aca="1" ref="AY311" ca="1">IFERROR(IF(AS311&lt;=$AB$2+$AN$2,"-",INDEX(Coordinate,MATCH(INDEX(Calculation_Tab,SMALL(ROW(Direct_Denaturation)*(Direct_Denaturation&lt;&gt;"-"),COUNTIF(Direct_Denaturation,"-")+ROW()-3-$AB$2-$AN$2)-9,6),$X$4:$X$99,0),2)),"-")</f>
        <v>-</v>
      </c>
      <c r="AZ311" s="510" t="str">
        <f t="array" aca="1" ref="AZ311" ca="1">IFERROR(IF(AS311&lt;=$AB$2+$AN$2,"-",INDEX(Calculation_Tab,SMALL(ROW(Direct_Denaturation)*(Direct_Denaturation&lt;&gt;"-"),COUNTIF(Direct_Denaturation,"-")+ROW()-3-$AB$2-$AN$2)-9,32)),"-")</f>
        <v>-</v>
      </c>
      <c r="BA311" s="510" t="str">
        <f t="array" aca="1" ref="BA311" ca="1">IFERROR(IF(AS311&lt;=$AB$2+$AN$2,"-",INDEX(Calculation_Tab,SMALL(ROW(Direct_Denaturation)*(Direct_Denaturation&lt;&gt;"-"),COUNTIF(Direct_Denaturation,"-")+ROW()-3-$AB$2-$AN$2)-9,34)),"-")</f>
        <v>-</v>
      </c>
      <c r="BB311" s="510" t="str">
        <f t="array" aca="1" ref="BB311" ca="1">IFERROR(IF(AS311&lt;=$AB$2+$AN$2,"-",INDEX(Calculation_Tab,SMALL(ROW(Direct_Denaturation)*(Direct_Denaturation&lt;&gt;"-"),COUNTIF(Direct_Denaturation,"-")+ROW()-3-$AB$2-$AN$2)-9,33)),"-")</f>
        <v>-</v>
      </c>
      <c r="BC311" s="510" t="str">
        <f t="array" aca="1" ref="BC311" ca="1">IFERROR(IF(AS311&lt;=$AB$2+$AN$2,"-",INDEX(Calculation_Tab,SMALL(ROW(Direct_Denaturation)*(Direct_Denaturation&lt;&gt;"-"),COUNTIF(Direct_Denaturation,"-")+ROW()-3-$AB$2-$AN$2)-9,35)),"-")</f>
        <v>-</v>
      </c>
      <c r="BD311" s="511" t="str">
        <f t="shared" ca="1" si="143"/>
        <v>-</v>
      </c>
      <c r="BK311" s="542" t="s">
        <v>82</v>
      </c>
      <c r="BL311" s="542" t="s">
        <v>82</v>
      </c>
      <c r="BM311" s="487" t="str">
        <f t="array" aca="1" ref="BM311" ca="1">IFERROR(INDEX(Calculation_Tab,SMALL(ROW(ToPool)*(ToPool&lt;&gt;"-"),COUNTIF(ToPool,"-")+ROW()-3)-9,3),"-")</f>
        <v>-</v>
      </c>
      <c r="BN311" s="378" t="str">
        <f t="shared" ca="1" si="144"/>
        <v>-</v>
      </c>
      <c r="BO311" s="378" t="str">
        <f t="shared" ca="1" si="145"/>
        <v>-</v>
      </c>
      <c r="BP311" s="523" t="str">
        <f t="shared" ca="1" si="146"/>
        <v>-</v>
      </c>
      <c r="BQ311" s="378" t="str">
        <f t="array" aca="1" ref="BQ311" ca="1">IFERROR(INDEX(BE:BG,MATCH(INDEX(Calculation_Tab,SMALL(ROW(ToPool)*(ToPool&lt;&gt;"-"),COUNTIF(ToPool,"-")+ROW()-3)-9,9),BG:BG,0),2),"-")</f>
        <v>-</v>
      </c>
      <c r="BR311" s="510" t="str">
        <f t="shared" ca="1" si="147"/>
        <v>-</v>
      </c>
      <c r="BS311" s="511" t="str">
        <f t="shared" ca="1" si="148"/>
        <v>-</v>
      </c>
      <c r="BT311" s="543" t="s">
        <v>82</v>
      </c>
      <c r="BU311" s="487" t="str">
        <f t="shared" ca="1" si="152"/>
        <v>-</v>
      </c>
      <c r="BV311" s="487" t="str">
        <f t="array" aca="1" ref="BV31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11" s="378" t="str">
        <f t="shared" ca="1" si="149"/>
        <v>-</v>
      </c>
      <c r="BX311" s="378" t="str">
        <f t="shared" ca="1" si="150"/>
        <v>-</v>
      </c>
      <c r="BY311" s="510" t="str">
        <f ca="1">IFERROR(ROUND(INDEX(Cluster,MATCH(IF(LEFT(BV311,4)="Pool",INDEX(Cluster,MATCH(INDEX(Calculation_Tab,MATCH(INDEX($BE$4:$BJ$99,MATCH(BV311,$BE$4:$BE$99,0),3),Flow_Cell_Lane,0),3),Cluster!$F$29:$F$412,0),6),BV311),Identifier_Cluster,0),19)*IF(LEFT(BV311,4)="pool",IF(LEN(INDEX($BE$4:$BJ$99,MATCH(BV311,$BE$4:$BE$99,0),3))=10,2,IF(LEN(INDEX($BE$4:$BJ$99,MATCH(BV311,$BE$4:$BE$99,0),3))&gt;10,LEN(INDEX($BE$4:$BJ$99,MATCH(BV311,$BE$4:$BE$99,0),3))-8,1)),1)*IF(LEFT(BV311,4)="pool",IF(INDEX($BE$4:$BJ$99,MATCH(BV311,$BE$4:$BE$99,0),6)&lt;1,1,INDEX($BE$4:$BJ$99,MATCH(BV311,$BE$4:$BE$99,0),6)),INDEX(Calculation_Tab,MATCH(BV311,Identifier,0),10)),1)*(1+Calculation!$Q$6),"-")</f>
        <v>-</v>
      </c>
      <c r="BZ311" s="378" t="str">
        <f ca="1">IFERROR((0.5/50)*CE311/Calculation!$AG$6*(IF(LEFT(BV311,4)="Pool",IF(LEN(INDEX($BE$4:$BJ$99,MATCH(BV311,$BE$4:$BE$99,0),3))=10,2,IF(LEN(INDEX($BE$4:$BJ$99,MATCH(BV311,$BE$4:$BE$99,0),3))&gt;10,LEN(INDEX($BE$4:$BJ$99,MATCH(BV311,$BE$4:$BE$99,0),3))-8,1)),IF(INDEX(Calculation_Tab,MATCH(BV311,Identifier,0),10)&gt;1,INDEX(Calculation_Tab,MATCH(BV311,Identifier,0),10),1)))*(1+Calculation!$Q$6),"-")</f>
        <v>-</v>
      </c>
      <c r="CA311" s="510" t="str">
        <f ca="1">IFERROR(IF((BZ311*Calculation!$AG$6/0.05)-SUM(BY311:BZ311,CC311)&gt;0,(BZ311*Calculation!$AG$6/0.05)-SUM(BY311:BZ311,CC311),0),"-")</f>
        <v>-</v>
      </c>
      <c r="CB311" s="510" t="str">
        <f ca="1">IFERROR(5/50*CE311*(IF(LEFT(BV311,4)="Pool",IF(LEN(INDEX($BE$4:$BJ$99,MATCH(BV311,$BE$4:$BE$99,0),3))=10,2,IF(LEN(INDEX($BE$4:$BJ$99,MATCH(BV311,$BE$4:$BE$99,0),3))&gt;10,LEN(INDEX($BE$4:$BJ$99,MATCH(BV311,$BE$4:$BE$99,0),3))-8,1)),IF(INDEX(Calculation_Tab,MATCH(BV311,Identifier,0),10)&gt;1,INDEX(Calculation_Tab,MATCH(BV311,Identifier,0),10),1)))*(1+Calculation!$Q$6),"-")</f>
        <v>-</v>
      </c>
      <c r="CC311" s="508" t="str">
        <f ca="1">IFERROR(ROUND(INDEX(Cluster,MATCH(IF(LEFT(BV311,4)="Pool",INDEX(Cluster,MATCH(INDEX(Calculation_Tab,MATCH(INDEX($BE$4:$BJ$99,MATCH(BV311,$BE$4:$BE$99,0),3),Flow_Cell_Lane,0),3),Cluster!$F$29:$F$412,0),6),BV311),Identifier_Cluster,0),20)*IF(LEFT(BV311,4)="pool",IF(LEN(INDEX($BE$4:$BJ$99,MATCH(BV311,$BE$4:$BE$99,0),3))=10,2,IF(LEN(INDEX($BE$4:$BJ$99,MATCH(BV311,$BE$4:$BE$99,0),3))&gt;10,LEN(INDEX($BE$4:$BJ$99,MATCH(BV311,$BE$4:$BE$99,0),3))-8,1)),1)*IF(LEFT(BV311,4)="pool",IF(INDEX($BE$4:$BJ$99,MATCH(BV311,$BE$4:$BE$99,0),6)&lt;1,1,INDEX($BE$4:$BJ$99,MATCH(BV311,$BE$4:$BE$99,0),6)),INDEX(Calculation_Tab,MATCH(BV311,Identifier,0),10)),1)*(1+Calculation!$Q$6),"-")</f>
        <v>-</v>
      </c>
      <c r="CD311" s="509" t="str">
        <f ca="1">IFERROR(INDEX(Cluster!AC:AD,MATCH(IF(LEFT(BV311,4)="Pool",INDEX(Cluster!$D$29:$AA$412,MATCH(INDEX(Calculation_Tab,MATCH(INDEX($BE$4:$BJ$99,MATCH(BV311,$BE$4:$BE$99,0),3),Flow_Cell_Lane,0),3),Cluster!$F$29:$F$412,0),24),INDEX(Cluster!$D$29:$AA$412,MATCH(BV311,Cluster!$F$29:$F$412,0),24)),Cluster!AC:AC,0),2),"-")</f>
        <v>-</v>
      </c>
      <c r="CE311" s="378" t="str">
        <f ca="1">IFERROR(IF(BV311&lt;&gt;"-",Calculation!$AK$6,"-"),"-")</f>
        <v>-</v>
      </c>
      <c r="CF311" s="378" t="str">
        <f ca="1">IF(OR(LEFT(ListAndConversion!BW311,3)="Dil",LEFT(ListAndConversion!BW311,3)="Poo"),ListAndConversion!$BT$4,IF(LEFT(ListAndConversion!BW311,3)="Sou",INDEX(ListAndConversion!$AT$3:$AV$387,MATCH(ListAndConversion!BV311,ListAndConversion!$AV$3:$AV$387,0),1),"-"))</f>
        <v>-</v>
      </c>
      <c r="CG311" s="498" t="str">
        <f ca="1">IF(OR(LEFT(ListAndConversion!BW311,3)="Dil",LEFT(ListAndConversion!BW311,3)="Poo"),ListAndConversion!BU311,IF(LEFT(ListAndConversion!BW311,3)="Sou",INDEX(ListAndConversion!$AT$4:$AV$387,MATCH(ListAndConversion!BV311,ListAndConversion!$AV$4:$AV$387,0),2),"-"))</f>
        <v>-</v>
      </c>
      <c r="CH311" s="378"/>
      <c r="CI311" s="487" t="str">
        <f t="shared" ca="1" si="151"/>
        <v>-</v>
      </c>
      <c r="CJ311" s="378" t="str">
        <f t="shared" ca="1" si="162"/>
        <v>-</v>
      </c>
      <c r="CK311" s="378" t="str">
        <f t="shared" ca="1" si="162"/>
        <v>-</v>
      </c>
      <c r="CL311" s="378" t="str">
        <f t="shared" ca="1" si="162"/>
        <v>-</v>
      </c>
      <c r="CM311" s="378" t="str">
        <f t="shared" ca="1" si="162"/>
        <v>-</v>
      </c>
      <c r="CN311" s="378" t="str">
        <f t="shared" ca="1" si="162"/>
        <v>-</v>
      </c>
      <c r="CO311" s="378" t="str">
        <f t="shared" ca="1" si="162"/>
        <v>-</v>
      </c>
      <c r="CP311" s="378" t="str">
        <f t="shared" ca="1" si="162"/>
        <v>-</v>
      </c>
      <c r="CQ311" s="378" t="str">
        <f t="shared" ca="1" si="162"/>
        <v>-</v>
      </c>
      <c r="CR311" s="510" t="str">
        <f ca="1">IFERROR(IF(LEFT(BW311,3)="Poo",INDEX($BE$4:$BJ$99,MATCH(CI311,$BG$4:$BG$99,0),6)*((15/50))*Calculation!$AK$6,INDEX(Calculation_Tab,MATCH(BV311,Identifier,0),10)/(IF(LEN(INDEX(Calculation_Tab,MATCH(BV311,Identifier,0),9))&gt;8,LEN(INDEX(Calculation_Tab,MATCH(BV311,Identifier,0),9))-8,1))*((15/50)*Calculation!$AK$6)),"-")</f>
        <v>-</v>
      </c>
      <c r="CS311" s="498" t="str">
        <f ca="1">IF(CI311="-","-",IF(COUNTIF($CI$3:CI311,CI311)&gt;1,0,IFERROR((35/50)*Calculation!$AK$6,"-")))</f>
        <v>-</v>
      </c>
    </row>
    <row r="312" spans="4:97" x14ac:dyDescent="0.5">
      <c r="D312" s="487" t="e">
        <f t="shared" si="137"/>
        <v>#DIV/0!</v>
      </c>
      <c r="E312" s="496" t="e">
        <f t="array" ref="E312">IF(IF((ROW(E312)-3)&lt;(ListAndConversion!$A$15),INDEX(Flow_Cell_Lane,MIN(IF(COUNTIF($E$2:E311,Flow_Cell_Lane)=0,ROW(Flow_Cell_Lane)-9))),"-")="","-",IF((ROW(E312)-3)&lt;(ListAndConversion!$A$15),INDEX(Flow_Cell_Lane,MIN(IF(COUNTIF($E$2:E311,Flow_Cell_Lane)=0,ROW(Flow_Cell_Lane)-9))),"-"))</f>
        <v>#DIV/0!</v>
      </c>
      <c r="F312" s="378" t="e">
        <f t="shared" si="138"/>
        <v>#DIV/0!</v>
      </c>
      <c r="G312" s="378" t="e">
        <f t="shared" si="161"/>
        <v>#DIV/0!</v>
      </c>
      <c r="H312" s="378" t="e">
        <f t="shared" si="161"/>
        <v>#DIV/0!</v>
      </c>
      <c r="I312" s="378" t="e">
        <f t="shared" si="161"/>
        <v>#DIV/0!</v>
      </c>
      <c r="J312" s="378" t="e">
        <f t="shared" si="161"/>
        <v>#DIV/0!</v>
      </c>
      <c r="K312" s="378" t="e">
        <f t="shared" si="161"/>
        <v>#DIV/0!</v>
      </c>
      <c r="L312" s="378" t="e">
        <f t="shared" si="161"/>
        <v>#DIV/0!</v>
      </c>
      <c r="M312" s="378" t="e">
        <f t="shared" si="161"/>
        <v>#DIV/0!</v>
      </c>
      <c r="N312" s="497" t="e">
        <f t="shared" si="139"/>
        <v>#DIV/0!</v>
      </c>
      <c r="O312" s="497" t="str">
        <f t="array" ref="O312">IFERROR(INDEX(Calculation!I:AN,MATCH(ListAndConversion!E312,Calculation!I:I,0),31),"-")</f>
        <v>-</v>
      </c>
      <c r="P312" s="498">
        <f>IF(COUNTIFS(Calculation!$I$10:$I$393,E312,Direct_Denaturation,"-")&lt;&gt;1,COUNTIFS(Calculation!$I$10:$I$393,E312,Direct_Denaturation,"-"),0)</f>
        <v>0</v>
      </c>
      <c r="V312" s="542" t="s">
        <v>82</v>
      </c>
      <c r="W312" s="542" t="s">
        <v>82</v>
      </c>
      <c r="X312" s="542" t="s">
        <v>82</v>
      </c>
      <c r="Y312" s="542" t="s">
        <v>82</v>
      </c>
      <c r="Z312" s="542" t="s">
        <v>82</v>
      </c>
      <c r="AA312" s="542" t="s">
        <v>82</v>
      </c>
      <c r="AB312" s="542" t="s">
        <v>82</v>
      </c>
      <c r="AC312" s="542" t="s">
        <v>82</v>
      </c>
      <c r="AD312" s="542" t="s">
        <v>82</v>
      </c>
      <c r="AE312" s="542" t="s">
        <v>82</v>
      </c>
      <c r="AF312" s="542" t="s">
        <v>82</v>
      </c>
      <c r="AG312" s="542" t="s">
        <v>82</v>
      </c>
      <c r="AH312" s="9"/>
      <c r="AI312" s="487">
        <v>309</v>
      </c>
      <c r="AJ312" s="497" t="s">
        <v>479</v>
      </c>
      <c r="AK312" s="378">
        <v>21</v>
      </c>
      <c r="AL312" s="378" t="str">
        <f t="shared" ca="1" si="140"/>
        <v>-</v>
      </c>
      <c r="AM312" s="378" t="str">
        <f t="array" aca="1" ref="AM312" ca="1">IFERROR(IF(AI312&lt;=$AB$2,"-",INDEX(Calculation_Tab,SMALL(ROW(Main_Dil)*(Main_Dil&lt;&gt;"-"),COUNTIF(Main_Dil,"-")+ROW()-3-$AB$2)-9,5)),"-")</f>
        <v>-</v>
      </c>
      <c r="AN312" s="378" t="str">
        <f t="array" aca="1" ref="AN312" ca="1">IFERROR(IF(AI312&lt;=$AB$2,"-",INDEX($A$3:$B$12,MATCH(INDEX(Calculation_Tab,SMALL(ROW(Main_Dil)*(Main_Dil&lt;&gt;"-"),COUNTIF(Main_Dil,"-")+ROW()-3-$AB$2)-9,5),$A$3:$A$12,0),2)),"-")</f>
        <v>-</v>
      </c>
      <c r="AO312" s="378" t="str">
        <f t="array" aca="1" ref="AO312" ca="1">IFERROR(IF(AI312&lt;=$AB$2,"-",INDEX(Coordinate,MATCH(INDEX(Calculation_Tab,SMALL(ROW(Main_Dil)*(Main_Dil&lt;&gt;"-"),COUNTIF(Main_Dil,"-")+ROW()-3-$AB$2)-9,6),$X$4:$X$99,0),2)),"-")</f>
        <v>-</v>
      </c>
      <c r="AP312" s="510" t="str">
        <f t="array" aca="1" ref="AP312" ca="1">IFERROR(IF(AI312&lt;=$AB$2,"-",INDEX(Calculation_Tab,SMALL(ROW(Main_Dil)*(Main_Dil&lt;&gt;"-"),COUNTIF(Main_Dil,"-")+ROW()-3-$AB$2)-9,21)),"-")</f>
        <v>-</v>
      </c>
      <c r="AQ312" s="511" t="str">
        <f t="array" aca="1" ref="AQ312" ca="1">IFERROR(IF(AI312&lt;=$AB$2,"-",INDEX(Calculation_Tab,SMALL(ROW(Main_Dil)*(Main_Dil&lt;&gt;"-"),COUNTIF(Main_Dil,"-")+ROW()-3-$AB$2)-9,22)),"-")</f>
        <v>-</v>
      </c>
      <c r="AR312" s="487" t="str">
        <f t="shared" ca="1" si="141"/>
        <v>-</v>
      </c>
      <c r="AS312" s="378">
        <v>309</v>
      </c>
      <c r="AT312" s="497" t="s">
        <v>479</v>
      </c>
      <c r="AU312" s="498">
        <v>21</v>
      </c>
      <c r="AV312" s="378" t="str">
        <f t="shared" ca="1" si="142"/>
        <v>-</v>
      </c>
      <c r="AW312" s="378" t="str">
        <f t="array" aca="1" ref="AW312" ca="1">IFERROR(IF(AS312&lt;=$AB$2+$AN$2,"-",INDEX(Calculation_Tab,SMALL(ROW(Direct_Denaturation)*(Direct_Denaturation&lt;&gt;"-"),COUNTIF(Direct_Denaturation,"-")+ROW()-3-$AB$2-$AN$2)-9,5)),"-")</f>
        <v>-</v>
      </c>
      <c r="AX312" s="378" t="str">
        <f t="array" aca="1" ref="AX312" ca="1">IFERROR(IF(AS312&lt;=$AB$2+$AN$2,"-",INDEX($A$3:$B$12,MATCH(INDEX(Calculation_Tab,SMALL(ROW(Direct_Denaturation)*(Direct_Denaturation&lt;&gt;"-"),COUNTIF(Direct_Denaturation,"-")+ROW()-3-$AB$2-$AN$2)-9,5),$A$3:$A$12,0),2)),"-")</f>
        <v>-</v>
      </c>
      <c r="AY312" s="378" t="str">
        <f t="array" aca="1" ref="AY312" ca="1">IFERROR(IF(AS312&lt;=$AB$2+$AN$2,"-",INDEX(Coordinate,MATCH(INDEX(Calculation_Tab,SMALL(ROW(Direct_Denaturation)*(Direct_Denaturation&lt;&gt;"-"),COUNTIF(Direct_Denaturation,"-")+ROW()-3-$AB$2-$AN$2)-9,6),$X$4:$X$99,0),2)),"-")</f>
        <v>-</v>
      </c>
      <c r="AZ312" s="510" t="str">
        <f t="array" aca="1" ref="AZ312" ca="1">IFERROR(IF(AS312&lt;=$AB$2+$AN$2,"-",INDEX(Calculation_Tab,SMALL(ROW(Direct_Denaturation)*(Direct_Denaturation&lt;&gt;"-"),COUNTIF(Direct_Denaturation,"-")+ROW()-3-$AB$2-$AN$2)-9,32)),"-")</f>
        <v>-</v>
      </c>
      <c r="BA312" s="510" t="str">
        <f t="array" aca="1" ref="BA312" ca="1">IFERROR(IF(AS312&lt;=$AB$2+$AN$2,"-",INDEX(Calculation_Tab,SMALL(ROW(Direct_Denaturation)*(Direct_Denaturation&lt;&gt;"-"),COUNTIF(Direct_Denaturation,"-")+ROW()-3-$AB$2-$AN$2)-9,34)),"-")</f>
        <v>-</v>
      </c>
      <c r="BB312" s="510" t="str">
        <f t="array" aca="1" ref="BB312" ca="1">IFERROR(IF(AS312&lt;=$AB$2+$AN$2,"-",INDEX(Calculation_Tab,SMALL(ROW(Direct_Denaturation)*(Direct_Denaturation&lt;&gt;"-"),COUNTIF(Direct_Denaturation,"-")+ROW()-3-$AB$2-$AN$2)-9,33)),"-")</f>
        <v>-</v>
      </c>
      <c r="BC312" s="510" t="str">
        <f t="array" aca="1" ref="BC312" ca="1">IFERROR(IF(AS312&lt;=$AB$2+$AN$2,"-",INDEX(Calculation_Tab,SMALL(ROW(Direct_Denaturation)*(Direct_Denaturation&lt;&gt;"-"),COUNTIF(Direct_Denaturation,"-")+ROW()-3-$AB$2-$AN$2)-9,35)),"-")</f>
        <v>-</v>
      </c>
      <c r="BD312" s="511" t="str">
        <f t="shared" ca="1" si="143"/>
        <v>-</v>
      </c>
      <c r="BK312" s="542" t="s">
        <v>82</v>
      </c>
      <c r="BL312" s="542" t="s">
        <v>82</v>
      </c>
      <c r="BM312" s="487" t="str">
        <f t="array" aca="1" ref="BM312" ca="1">IFERROR(INDEX(Calculation_Tab,SMALL(ROW(ToPool)*(ToPool&lt;&gt;"-"),COUNTIF(ToPool,"-")+ROW()-3)-9,3),"-")</f>
        <v>-</v>
      </c>
      <c r="BN312" s="378" t="str">
        <f t="shared" ca="1" si="144"/>
        <v>-</v>
      </c>
      <c r="BO312" s="378" t="str">
        <f t="shared" ca="1" si="145"/>
        <v>-</v>
      </c>
      <c r="BP312" s="523" t="str">
        <f t="shared" ca="1" si="146"/>
        <v>-</v>
      </c>
      <c r="BQ312" s="378" t="str">
        <f t="array" aca="1" ref="BQ312" ca="1">IFERROR(INDEX(BE:BG,MATCH(INDEX(Calculation_Tab,SMALL(ROW(ToPool)*(ToPool&lt;&gt;"-"),COUNTIF(ToPool,"-")+ROW()-3)-9,9),BG:BG,0),2),"-")</f>
        <v>-</v>
      </c>
      <c r="BR312" s="510" t="str">
        <f t="shared" ca="1" si="147"/>
        <v>-</v>
      </c>
      <c r="BS312" s="511" t="str">
        <f t="shared" ca="1" si="148"/>
        <v>-</v>
      </c>
      <c r="BT312" s="543" t="s">
        <v>82</v>
      </c>
      <c r="BU312" s="487" t="str">
        <f t="shared" ca="1" si="152"/>
        <v>-</v>
      </c>
      <c r="BV312" s="487" t="str">
        <f t="array" aca="1" ref="BV31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12" s="378" t="str">
        <f t="shared" ca="1" si="149"/>
        <v>-</v>
      </c>
      <c r="BX312" s="378" t="str">
        <f t="shared" ca="1" si="150"/>
        <v>-</v>
      </c>
      <c r="BY312" s="510" t="str">
        <f ca="1">IFERROR(ROUND(INDEX(Cluster,MATCH(IF(LEFT(BV312,4)="Pool",INDEX(Cluster,MATCH(INDEX(Calculation_Tab,MATCH(INDEX($BE$4:$BJ$99,MATCH(BV312,$BE$4:$BE$99,0),3),Flow_Cell_Lane,0),3),Cluster!$F$29:$F$412,0),6),BV312),Identifier_Cluster,0),19)*IF(LEFT(BV312,4)="pool",IF(LEN(INDEX($BE$4:$BJ$99,MATCH(BV312,$BE$4:$BE$99,0),3))=10,2,IF(LEN(INDEX($BE$4:$BJ$99,MATCH(BV312,$BE$4:$BE$99,0),3))&gt;10,LEN(INDEX($BE$4:$BJ$99,MATCH(BV312,$BE$4:$BE$99,0),3))-8,1)),1)*IF(LEFT(BV312,4)="pool",IF(INDEX($BE$4:$BJ$99,MATCH(BV312,$BE$4:$BE$99,0),6)&lt;1,1,INDEX($BE$4:$BJ$99,MATCH(BV312,$BE$4:$BE$99,0),6)),INDEX(Calculation_Tab,MATCH(BV312,Identifier,0),10)),1)*(1+Calculation!$Q$6),"-")</f>
        <v>-</v>
      </c>
      <c r="BZ312" s="378" t="str">
        <f ca="1">IFERROR((0.5/50)*CE312/Calculation!$AG$6*(IF(LEFT(BV312,4)="Pool",IF(LEN(INDEX($BE$4:$BJ$99,MATCH(BV312,$BE$4:$BE$99,0),3))=10,2,IF(LEN(INDEX($BE$4:$BJ$99,MATCH(BV312,$BE$4:$BE$99,0),3))&gt;10,LEN(INDEX($BE$4:$BJ$99,MATCH(BV312,$BE$4:$BE$99,0),3))-8,1)),IF(INDEX(Calculation_Tab,MATCH(BV312,Identifier,0),10)&gt;1,INDEX(Calculation_Tab,MATCH(BV312,Identifier,0),10),1)))*(1+Calculation!$Q$6),"-")</f>
        <v>-</v>
      </c>
      <c r="CA312" s="510" t="str">
        <f ca="1">IFERROR(IF((BZ312*Calculation!$AG$6/0.05)-SUM(BY312:BZ312,CC312)&gt;0,(BZ312*Calculation!$AG$6/0.05)-SUM(BY312:BZ312,CC312),0),"-")</f>
        <v>-</v>
      </c>
      <c r="CB312" s="510" t="str">
        <f ca="1">IFERROR(5/50*CE312*(IF(LEFT(BV312,4)="Pool",IF(LEN(INDEX($BE$4:$BJ$99,MATCH(BV312,$BE$4:$BE$99,0),3))=10,2,IF(LEN(INDEX($BE$4:$BJ$99,MATCH(BV312,$BE$4:$BE$99,0),3))&gt;10,LEN(INDEX($BE$4:$BJ$99,MATCH(BV312,$BE$4:$BE$99,0),3))-8,1)),IF(INDEX(Calculation_Tab,MATCH(BV312,Identifier,0),10)&gt;1,INDEX(Calculation_Tab,MATCH(BV312,Identifier,0),10),1)))*(1+Calculation!$Q$6),"-")</f>
        <v>-</v>
      </c>
      <c r="CC312" s="508" t="str">
        <f ca="1">IFERROR(ROUND(INDEX(Cluster,MATCH(IF(LEFT(BV312,4)="Pool",INDEX(Cluster,MATCH(INDEX(Calculation_Tab,MATCH(INDEX($BE$4:$BJ$99,MATCH(BV312,$BE$4:$BE$99,0),3),Flow_Cell_Lane,0),3),Cluster!$F$29:$F$412,0),6),BV312),Identifier_Cluster,0),20)*IF(LEFT(BV312,4)="pool",IF(LEN(INDEX($BE$4:$BJ$99,MATCH(BV312,$BE$4:$BE$99,0),3))=10,2,IF(LEN(INDEX($BE$4:$BJ$99,MATCH(BV312,$BE$4:$BE$99,0),3))&gt;10,LEN(INDEX($BE$4:$BJ$99,MATCH(BV312,$BE$4:$BE$99,0),3))-8,1)),1)*IF(LEFT(BV312,4)="pool",IF(INDEX($BE$4:$BJ$99,MATCH(BV312,$BE$4:$BE$99,0),6)&lt;1,1,INDEX($BE$4:$BJ$99,MATCH(BV312,$BE$4:$BE$99,0),6)),INDEX(Calculation_Tab,MATCH(BV312,Identifier,0),10)),1)*(1+Calculation!$Q$6),"-")</f>
        <v>-</v>
      </c>
      <c r="CD312" s="509" t="str">
        <f ca="1">IFERROR(INDEX(Cluster!AC:AD,MATCH(IF(LEFT(BV312,4)="Pool",INDEX(Cluster!$D$29:$AA$412,MATCH(INDEX(Calculation_Tab,MATCH(INDEX($BE$4:$BJ$99,MATCH(BV312,$BE$4:$BE$99,0),3),Flow_Cell_Lane,0),3),Cluster!$F$29:$F$412,0),24),INDEX(Cluster!$D$29:$AA$412,MATCH(BV312,Cluster!$F$29:$F$412,0),24)),Cluster!AC:AC,0),2),"-")</f>
        <v>-</v>
      </c>
      <c r="CE312" s="378" t="str">
        <f ca="1">IFERROR(IF(BV312&lt;&gt;"-",Calculation!$AK$6,"-"),"-")</f>
        <v>-</v>
      </c>
      <c r="CF312" s="378" t="str">
        <f ca="1">IF(OR(LEFT(ListAndConversion!BW312,3)="Dil",LEFT(ListAndConversion!BW312,3)="Poo"),ListAndConversion!$BT$4,IF(LEFT(ListAndConversion!BW312,3)="Sou",INDEX(ListAndConversion!$AT$3:$AV$387,MATCH(ListAndConversion!BV312,ListAndConversion!$AV$3:$AV$387,0),1),"-"))</f>
        <v>-</v>
      </c>
      <c r="CG312" s="498" t="str">
        <f ca="1">IF(OR(LEFT(ListAndConversion!BW312,3)="Dil",LEFT(ListAndConversion!BW312,3)="Poo"),ListAndConversion!BU312,IF(LEFT(ListAndConversion!BW312,3)="Sou",INDEX(ListAndConversion!$AT$4:$AV$387,MATCH(ListAndConversion!BV312,ListAndConversion!$AV$4:$AV$387,0),2),"-"))</f>
        <v>-</v>
      </c>
      <c r="CH312" s="378"/>
      <c r="CI312" s="487" t="str">
        <f t="shared" ca="1" si="151"/>
        <v>-</v>
      </c>
      <c r="CJ312" s="378" t="str">
        <f t="shared" ca="1" si="162"/>
        <v>-</v>
      </c>
      <c r="CK312" s="378" t="str">
        <f t="shared" ca="1" si="162"/>
        <v>-</v>
      </c>
      <c r="CL312" s="378" t="str">
        <f t="shared" ca="1" si="162"/>
        <v>-</v>
      </c>
      <c r="CM312" s="378" t="str">
        <f t="shared" ca="1" si="162"/>
        <v>-</v>
      </c>
      <c r="CN312" s="378" t="str">
        <f t="shared" ca="1" si="162"/>
        <v>-</v>
      </c>
      <c r="CO312" s="378" t="str">
        <f t="shared" ca="1" si="162"/>
        <v>-</v>
      </c>
      <c r="CP312" s="378" t="str">
        <f t="shared" ca="1" si="162"/>
        <v>-</v>
      </c>
      <c r="CQ312" s="378" t="str">
        <f t="shared" ca="1" si="162"/>
        <v>-</v>
      </c>
      <c r="CR312" s="510" t="str">
        <f ca="1">IFERROR(IF(LEFT(BW312,3)="Poo",INDEX($BE$4:$BJ$99,MATCH(CI312,$BG$4:$BG$99,0),6)*((15/50))*Calculation!$AK$6,INDEX(Calculation_Tab,MATCH(BV312,Identifier,0),10)/(IF(LEN(INDEX(Calculation_Tab,MATCH(BV312,Identifier,0),9))&gt;8,LEN(INDEX(Calculation_Tab,MATCH(BV312,Identifier,0),9))-8,1))*((15/50)*Calculation!$AK$6)),"-")</f>
        <v>-</v>
      </c>
      <c r="CS312" s="498" t="str">
        <f ca="1">IF(CI312="-","-",IF(COUNTIF($CI$3:CI312,CI312)&gt;1,0,IFERROR((35/50)*Calculation!$AK$6,"-")))</f>
        <v>-</v>
      </c>
    </row>
    <row r="313" spans="4:97" x14ac:dyDescent="0.5">
      <c r="D313" s="487" t="e">
        <f t="shared" si="137"/>
        <v>#DIV/0!</v>
      </c>
      <c r="E313" s="496" t="e">
        <f t="array" ref="E313">IF(IF((ROW(E313)-3)&lt;(ListAndConversion!$A$15),INDEX(Flow_Cell_Lane,MIN(IF(COUNTIF($E$2:E312,Flow_Cell_Lane)=0,ROW(Flow_Cell_Lane)-9))),"-")="","-",IF((ROW(E313)-3)&lt;(ListAndConversion!$A$15),INDEX(Flow_Cell_Lane,MIN(IF(COUNTIF($E$2:E312,Flow_Cell_Lane)=0,ROW(Flow_Cell_Lane)-9))),"-"))</f>
        <v>#DIV/0!</v>
      </c>
      <c r="F313" s="378" t="e">
        <f t="shared" si="138"/>
        <v>#DIV/0!</v>
      </c>
      <c r="G313" s="378" t="e">
        <f t="shared" ref="G313:M322" si="163">IF($D313&gt;8,IF($D313&gt;=(8+G$2),CONCATENATE(LEFT($E313,7),RIGHT(LEFT($E313,8+G$2),1)),""),"")</f>
        <v>#DIV/0!</v>
      </c>
      <c r="H313" s="378" t="e">
        <f t="shared" si="163"/>
        <v>#DIV/0!</v>
      </c>
      <c r="I313" s="378" t="e">
        <f t="shared" si="163"/>
        <v>#DIV/0!</v>
      </c>
      <c r="J313" s="378" t="e">
        <f t="shared" si="163"/>
        <v>#DIV/0!</v>
      </c>
      <c r="K313" s="378" t="e">
        <f t="shared" si="163"/>
        <v>#DIV/0!</v>
      </c>
      <c r="L313" s="378" t="e">
        <f t="shared" si="163"/>
        <v>#DIV/0!</v>
      </c>
      <c r="M313" s="378" t="e">
        <f t="shared" si="163"/>
        <v>#DIV/0!</v>
      </c>
      <c r="N313" s="497" t="e">
        <f t="shared" si="139"/>
        <v>#DIV/0!</v>
      </c>
      <c r="O313" s="497" t="str">
        <f t="array" ref="O313">IFERROR(INDEX(Calculation!I:AN,MATCH(ListAndConversion!E313,Calculation!I:I,0),31),"-")</f>
        <v>-</v>
      </c>
      <c r="P313" s="498">
        <f>IF(COUNTIFS(Calculation!$I$10:$I$393,E313,Direct_Denaturation,"-")&lt;&gt;1,COUNTIFS(Calculation!$I$10:$I$393,E313,Direct_Denaturation,"-"),0)</f>
        <v>0</v>
      </c>
      <c r="V313" s="542" t="s">
        <v>82</v>
      </c>
      <c r="W313" s="542" t="s">
        <v>82</v>
      </c>
      <c r="X313" s="542" t="s">
        <v>82</v>
      </c>
      <c r="Y313" s="542" t="s">
        <v>82</v>
      </c>
      <c r="Z313" s="542" t="s">
        <v>82</v>
      </c>
      <c r="AA313" s="542" t="s">
        <v>82</v>
      </c>
      <c r="AB313" s="542" t="s">
        <v>82</v>
      </c>
      <c r="AC313" s="542" t="s">
        <v>82</v>
      </c>
      <c r="AD313" s="542" t="s">
        <v>82</v>
      </c>
      <c r="AE313" s="542" t="s">
        <v>82</v>
      </c>
      <c r="AF313" s="542" t="s">
        <v>82</v>
      </c>
      <c r="AG313" s="542" t="s">
        <v>82</v>
      </c>
      <c r="AH313" s="9"/>
      <c r="AI313" s="487">
        <v>310</v>
      </c>
      <c r="AJ313" s="497" t="s">
        <v>479</v>
      </c>
      <c r="AK313" s="378">
        <v>22</v>
      </c>
      <c r="AL313" s="378" t="str">
        <f t="shared" ca="1" si="140"/>
        <v>-</v>
      </c>
      <c r="AM313" s="378" t="str">
        <f t="array" aca="1" ref="AM313" ca="1">IFERROR(IF(AI313&lt;=$AB$2,"-",INDEX(Calculation_Tab,SMALL(ROW(Main_Dil)*(Main_Dil&lt;&gt;"-"),COUNTIF(Main_Dil,"-")+ROW()-3-$AB$2)-9,5)),"-")</f>
        <v>-</v>
      </c>
      <c r="AN313" s="378" t="str">
        <f t="array" aca="1" ref="AN313" ca="1">IFERROR(IF(AI313&lt;=$AB$2,"-",INDEX($A$3:$B$12,MATCH(INDEX(Calculation_Tab,SMALL(ROW(Main_Dil)*(Main_Dil&lt;&gt;"-"),COUNTIF(Main_Dil,"-")+ROW()-3-$AB$2)-9,5),$A$3:$A$12,0),2)),"-")</f>
        <v>-</v>
      </c>
      <c r="AO313" s="378" t="str">
        <f t="array" aca="1" ref="AO313" ca="1">IFERROR(IF(AI313&lt;=$AB$2,"-",INDEX(Coordinate,MATCH(INDEX(Calculation_Tab,SMALL(ROW(Main_Dil)*(Main_Dil&lt;&gt;"-"),COUNTIF(Main_Dil,"-")+ROW()-3-$AB$2)-9,6),$X$4:$X$99,0),2)),"-")</f>
        <v>-</v>
      </c>
      <c r="AP313" s="510" t="str">
        <f t="array" aca="1" ref="AP313" ca="1">IFERROR(IF(AI313&lt;=$AB$2,"-",INDEX(Calculation_Tab,SMALL(ROW(Main_Dil)*(Main_Dil&lt;&gt;"-"),COUNTIF(Main_Dil,"-")+ROW()-3-$AB$2)-9,21)),"-")</f>
        <v>-</v>
      </c>
      <c r="AQ313" s="511" t="str">
        <f t="array" aca="1" ref="AQ313" ca="1">IFERROR(IF(AI313&lt;=$AB$2,"-",INDEX(Calculation_Tab,SMALL(ROW(Main_Dil)*(Main_Dil&lt;&gt;"-"),COUNTIF(Main_Dil,"-")+ROW()-3-$AB$2)-9,22)),"-")</f>
        <v>-</v>
      </c>
      <c r="AR313" s="487" t="str">
        <f t="shared" ca="1" si="141"/>
        <v>-</v>
      </c>
      <c r="AS313" s="378">
        <v>310</v>
      </c>
      <c r="AT313" s="497" t="s">
        <v>479</v>
      </c>
      <c r="AU313" s="498">
        <v>22</v>
      </c>
      <c r="AV313" s="378" t="str">
        <f t="shared" ca="1" si="142"/>
        <v>-</v>
      </c>
      <c r="AW313" s="378" t="str">
        <f t="array" aca="1" ref="AW313" ca="1">IFERROR(IF(AS313&lt;=$AB$2+$AN$2,"-",INDEX(Calculation_Tab,SMALL(ROW(Direct_Denaturation)*(Direct_Denaturation&lt;&gt;"-"),COUNTIF(Direct_Denaturation,"-")+ROW()-3-$AB$2-$AN$2)-9,5)),"-")</f>
        <v>-</v>
      </c>
      <c r="AX313" s="378" t="str">
        <f t="array" aca="1" ref="AX313" ca="1">IFERROR(IF(AS313&lt;=$AB$2+$AN$2,"-",INDEX($A$3:$B$12,MATCH(INDEX(Calculation_Tab,SMALL(ROW(Direct_Denaturation)*(Direct_Denaturation&lt;&gt;"-"),COUNTIF(Direct_Denaturation,"-")+ROW()-3-$AB$2-$AN$2)-9,5),$A$3:$A$12,0),2)),"-")</f>
        <v>-</v>
      </c>
      <c r="AY313" s="378" t="str">
        <f t="array" aca="1" ref="AY313" ca="1">IFERROR(IF(AS313&lt;=$AB$2+$AN$2,"-",INDEX(Coordinate,MATCH(INDEX(Calculation_Tab,SMALL(ROW(Direct_Denaturation)*(Direct_Denaturation&lt;&gt;"-"),COUNTIF(Direct_Denaturation,"-")+ROW()-3-$AB$2-$AN$2)-9,6),$X$4:$X$99,0),2)),"-")</f>
        <v>-</v>
      </c>
      <c r="AZ313" s="510" t="str">
        <f t="array" aca="1" ref="AZ313" ca="1">IFERROR(IF(AS313&lt;=$AB$2+$AN$2,"-",INDEX(Calculation_Tab,SMALL(ROW(Direct_Denaturation)*(Direct_Denaturation&lt;&gt;"-"),COUNTIF(Direct_Denaturation,"-")+ROW()-3-$AB$2-$AN$2)-9,32)),"-")</f>
        <v>-</v>
      </c>
      <c r="BA313" s="510" t="str">
        <f t="array" aca="1" ref="BA313" ca="1">IFERROR(IF(AS313&lt;=$AB$2+$AN$2,"-",INDEX(Calculation_Tab,SMALL(ROW(Direct_Denaturation)*(Direct_Denaturation&lt;&gt;"-"),COUNTIF(Direct_Denaturation,"-")+ROW()-3-$AB$2-$AN$2)-9,34)),"-")</f>
        <v>-</v>
      </c>
      <c r="BB313" s="510" t="str">
        <f t="array" aca="1" ref="BB313" ca="1">IFERROR(IF(AS313&lt;=$AB$2+$AN$2,"-",INDEX(Calculation_Tab,SMALL(ROW(Direct_Denaturation)*(Direct_Denaturation&lt;&gt;"-"),COUNTIF(Direct_Denaturation,"-")+ROW()-3-$AB$2-$AN$2)-9,33)),"-")</f>
        <v>-</v>
      </c>
      <c r="BC313" s="510" t="str">
        <f t="array" aca="1" ref="BC313" ca="1">IFERROR(IF(AS313&lt;=$AB$2+$AN$2,"-",INDEX(Calculation_Tab,SMALL(ROW(Direct_Denaturation)*(Direct_Denaturation&lt;&gt;"-"),COUNTIF(Direct_Denaturation,"-")+ROW()-3-$AB$2-$AN$2)-9,35)),"-")</f>
        <v>-</v>
      </c>
      <c r="BD313" s="511" t="str">
        <f t="shared" ca="1" si="143"/>
        <v>-</v>
      </c>
      <c r="BK313" s="542" t="s">
        <v>82</v>
      </c>
      <c r="BL313" s="542" t="s">
        <v>82</v>
      </c>
      <c r="BM313" s="487" t="str">
        <f t="array" aca="1" ref="BM313" ca="1">IFERROR(INDEX(Calculation_Tab,SMALL(ROW(ToPool)*(ToPool&lt;&gt;"-"),COUNTIF(ToPool,"-")+ROW()-3)-9,3),"-")</f>
        <v>-</v>
      </c>
      <c r="BN313" s="378" t="str">
        <f t="shared" ca="1" si="144"/>
        <v>-</v>
      </c>
      <c r="BO313" s="378" t="str">
        <f t="shared" ca="1" si="145"/>
        <v>-</v>
      </c>
      <c r="BP313" s="523" t="str">
        <f t="shared" ca="1" si="146"/>
        <v>-</v>
      </c>
      <c r="BQ313" s="378" t="str">
        <f t="array" aca="1" ref="BQ313" ca="1">IFERROR(INDEX(BE:BG,MATCH(INDEX(Calculation_Tab,SMALL(ROW(ToPool)*(ToPool&lt;&gt;"-"),COUNTIF(ToPool,"-")+ROW()-3)-9,9),BG:BG,0),2),"-")</f>
        <v>-</v>
      </c>
      <c r="BR313" s="510" t="str">
        <f t="shared" ca="1" si="147"/>
        <v>-</v>
      </c>
      <c r="BS313" s="511" t="str">
        <f t="shared" ca="1" si="148"/>
        <v>-</v>
      </c>
      <c r="BT313" s="543" t="s">
        <v>82</v>
      </c>
      <c r="BU313" s="487" t="str">
        <f t="shared" ca="1" si="152"/>
        <v>-</v>
      </c>
      <c r="BV313" s="487" t="str">
        <f t="array" aca="1" ref="BV31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13" s="378" t="str">
        <f t="shared" ca="1" si="149"/>
        <v>-</v>
      </c>
      <c r="BX313" s="378" t="str">
        <f t="shared" ca="1" si="150"/>
        <v>-</v>
      </c>
      <c r="BY313" s="510" t="str">
        <f ca="1">IFERROR(ROUND(INDEX(Cluster,MATCH(IF(LEFT(BV313,4)="Pool",INDEX(Cluster,MATCH(INDEX(Calculation_Tab,MATCH(INDEX($BE$4:$BJ$99,MATCH(BV313,$BE$4:$BE$99,0),3),Flow_Cell_Lane,0),3),Cluster!$F$29:$F$412,0),6),BV313),Identifier_Cluster,0),19)*IF(LEFT(BV313,4)="pool",IF(LEN(INDEX($BE$4:$BJ$99,MATCH(BV313,$BE$4:$BE$99,0),3))=10,2,IF(LEN(INDEX($BE$4:$BJ$99,MATCH(BV313,$BE$4:$BE$99,0),3))&gt;10,LEN(INDEX($BE$4:$BJ$99,MATCH(BV313,$BE$4:$BE$99,0),3))-8,1)),1)*IF(LEFT(BV313,4)="pool",IF(INDEX($BE$4:$BJ$99,MATCH(BV313,$BE$4:$BE$99,0),6)&lt;1,1,INDEX($BE$4:$BJ$99,MATCH(BV313,$BE$4:$BE$99,0),6)),INDEX(Calculation_Tab,MATCH(BV313,Identifier,0),10)),1)*(1+Calculation!$Q$6),"-")</f>
        <v>-</v>
      </c>
      <c r="BZ313" s="378" t="str">
        <f ca="1">IFERROR((0.5/50)*CE313/Calculation!$AG$6*(IF(LEFT(BV313,4)="Pool",IF(LEN(INDEX($BE$4:$BJ$99,MATCH(BV313,$BE$4:$BE$99,0),3))=10,2,IF(LEN(INDEX($BE$4:$BJ$99,MATCH(BV313,$BE$4:$BE$99,0),3))&gt;10,LEN(INDEX($BE$4:$BJ$99,MATCH(BV313,$BE$4:$BE$99,0),3))-8,1)),IF(INDEX(Calculation_Tab,MATCH(BV313,Identifier,0),10)&gt;1,INDEX(Calculation_Tab,MATCH(BV313,Identifier,0),10),1)))*(1+Calculation!$Q$6),"-")</f>
        <v>-</v>
      </c>
      <c r="CA313" s="510" t="str">
        <f ca="1">IFERROR(IF((BZ313*Calculation!$AG$6/0.05)-SUM(BY313:BZ313,CC313)&gt;0,(BZ313*Calculation!$AG$6/0.05)-SUM(BY313:BZ313,CC313),0),"-")</f>
        <v>-</v>
      </c>
      <c r="CB313" s="510" t="str">
        <f ca="1">IFERROR(5/50*CE313*(IF(LEFT(BV313,4)="Pool",IF(LEN(INDEX($BE$4:$BJ$99,MATCH(BV313,$BE$4:$BE$99,0),3))=10,2,IF(LEN(INDEX($BE$4:$BJ$99,MATCH(BV313,$BE$4:$BE$99,0),3))&gt;10,LEN(INDEX($BE$4:$BJ$99,MATCH(BV313,$BE$4:$BE$99,0),3))-8,1)),IF(INDEX(Calculation_Tab,MATCH(BV313,Identifier,0),10)&gt;1,INDEX(Calculation_Tab,MATCH(BV313,Identifier,0),10),1)))*(1+Calculation!$Q$6),"-")</f>
        <v>-</v>
      </c>
      <c r="CC313" s="508" t="str">
        <f ca="1">IFERROR(ROUND(INDEX(Cluster,MATCH(IF(LEFT(BV313,4)="Pool",INDEX(Cluster,MATCH(INDEX(Calculation_Tab,MATCH(INDEX($BE$4:$BJ$99,MATCH(BV313,$BE$4:$BE$99,0),3),Flow_Cell_Lane,0),3),Cluster!$F$29:$F$412,0),6),BV313),Identifier_Cluster,0),20)*IF(LEFT(BV313,4)="pool",IF(LEN(INDEX($BE$4:$BJ$99,MATCH(BV313,$BE$4:$BE$99,0),3))=10,2,IF(LEN(INDEX($BE$4:$BJ$99,MATCH(BV313,$BE$4:$BE$99,0),3))&gt;10,LEN(INDEX($BE$4:$BJ$99,MATCH(BV313,$BE$4:$BE$99,0),3))-8,1)),1)*IF(LEFT(BV313,4)="pool",IF(INDEX($BE$4:$BJ$99,MATCH(BV313,$BE$4:$BE$99,0),6)&lt;1,1,INDEX($BE$4:$BJ$99,MATCH(BV313,$BE$4:$BE$99,0),6)),INDEX(Calculation_Tab,MATCH(BV313,Identifier,0),10)),1)*(1+Calculation!$Q$6),"-")</f>
        <v>-</v>
      </c>
      <c r="CD313" s="509" t="str">
        <f ca="1">IFERROR(INDEX(Cluster!AC:AD,MATCH(IF(LEFT(BV313,4)="Pool",INDEX(Cluster!$D$29:$AA$412,MATCH(INDEX(Calculation_Tab,MATCH(INDEX($BE$4:$BJ$99,MATCH(BV313,$BE$4:$BE$99,0),3),Flow_Cell_Lane,0),3),Cluster!$F$29:$F$412,0),24),INDEX(Cluster!$D$29:$AA$412,MATCH(BV313,Cluster!$F$29:$F$412,0),24)),Cluster!AC:AC,0),2),"-")</f>
        <v>-</v>
      </c>
      <c r="CE313" s="378" t="str">
        <f ca="1">IFERROR(IF(BV313&lt;&gt;"-",Calculation!$AK$6,"-"),"-")</f>
        <v>-</v>
      </c>
      <c r="CF313" s="378" t="str">
        <f ca="1">IF(OR(LEFT(ListAndConversion!BW313,3)="Dil",LEFT(ListAndConversion!BW313,3)="Poo"),ListAndConversion!$BT$4,IF(LEFT(ListAndConversion!BW313,3)="Sou",INDEX(ListAndConversion!$AT$3:$AV$387,MATCH(ListAndConversion!BV313,ListAndConversion!$AV$3:$AV$387,0),1),"-"))</f>
        <v>-</v>
      </c>
      <c r="CG313" s="498" t="str">
        <f ca="1">IF(OR(LEFT(ListAndConversion!BW313,3)="Dil",LEFT(ListAndConversion!BW313,3)="Poo"),ListAndConversion!BU313,IF(LEFT(ListAndConversion!BW313,3)="Sou",INDEX(ListAndConversion!$AT$4:$AV$387,MATCH(ListAndConversion!BV313,ListAndConversion!$AV$4:$AV$387,0),2),"-"))</f>
        <v>-</v>
      </c>
      <c r="CH313" s="378"/>
      <c r="CI313" s="487" t="str">
        <f t="shared" ca="1" si="151"/>
        <v>-</v>
      </c>
      <c r="CJ313" s="378" t="str">
        <f t="shared" ca="1" si="162"/>
        <v>-</v>
      </c>
      <c r="CK313" s="378" t="str">
        <f t="shared" ca="1" si="162"/>
        <v>-</v>
      </c>
      <c r="CL313" s="378" t="str">
        <f t="shared" ca="1" si="162"/>
        <v>-</v>
      </c>
      <c r="CM313" s="378" t="str">
        <f t="shared" ca="1" si="162"/>
        <v>-</v>
      </c>
      <c r="CN313" s="378" t="str">
        <f t="shared" ca="1" si="162"/>
        <v>-</v>
      </c>
      <c r="CO313" s="378" t="str">
        <f t="shared" ca="1" si="162"/>
        <v>-</v>
      </c>
      <c r="CP313" s="378" t="str">
        <f t="shared" ca="1" si="162"/>
        <v>-</v>
      </c>
      <c r="CQ313" s="378" t="str">
        <f t="shared" ca="1" si="162"/>
        <v>-</v>
      </c>
      <c r="CR313" s="510" t="str">
        <f ca="1">IFERROR(IF(LEFT(BW313,3)="Poo",INDEX($BE$4:$BJ$99,MATCH(CI313,$BG$4:$BG$99,0),6)*((15/50))*Calculation!$AK$6,INDEX(Calculation_Tab,MATCH(BV313,Identifier,0),10)/(IF(LEN(INDEX(Calculation_Tab,MATCH(BV313,Identifier,0),9))&gt;8,LEN(INDEX(Calculation_Tab,MATCH(BV313,Identifier,0),9))-8,1))*((15/50)*Calculation!$AK$6)),"-")</f>
        <v>-</v>
      </c>
      <c r="CS313" s="498" t="str">
        <f ca="1">IF(CI313="-","-",IF(COUNTIF($CI$3:CI313,CI313)&gt;1,0,IFERROR((35/50)*Calculation!$AK$6,"-")))</f>
        <v>-</v>
      </c>
    </row>
    <row r="314" spans="4:97" x14ac:dyDescent="0.5">
      <c r="D314" s="487" t="e">
        <f t="shared" si="137"/>
        <v>#DIV/0!</v>
      </c>
      <c r="E314" s="496" t="e">
        <f t="array" ref="E314">IF(IF((ROW(E314)-3)&lt;(ListAndConversion!$A$15),INDEX(Flow_Cell_Lane,MIN(IF(COUNTIF($E$2:E313,Flow_Cell_Lane)=0,ROW(Flow_Cell_Lane)-9))),"-")="","-",IF((ROW(E314)-3)&lt;(ListAndConversion!$A$15),INDEX(Flow_Cell_Lane,MIN(IF(COUNTIF($E$2:E313,Flow_Cell_Lane)=0,ROW(Flow_Cell_Lane)-9))),"-"))</f>
        <v>#DIV/0!</v>
      </c>
      <c r="F314" s="378" t="e">
        <f t="shared" si="138"/>
        <v>#DIV/0!</v>
      </c>
      <c r="G314" s="378" t="e">
        <f t="shared" si="163"/>
        <v>#DIV/0!</v>
      </c>
      <c r="H314" s="378" t="e">
        <f t="shared" si="163"/>
        <v>#DIV/0!</v>
      </c>
      <c r="I314" s="378" t="e">
        <f t="shared" si="163"/>
        <v>#DIV/0!</v>
      </c>
      <c r="J314" s="378" t="e">
        <f t="shared" si="163"/>
        <v>#DIV/0!</v>
      </c>
      <c r="K314" s="378" t="e">
        <f t="shared" si="163"/>
        <v>#DIV/0!</v>
      </c>
      <c r="L314" s="378" t="e">
        <f t="shared" si="163"/>
        <v>#DIV/0!</v>
      </c>
      <c r="M314" s="378" t="e">
        <f t="shared" si="163"/>
        <v>#DIV/0!</v>
      </c>
      <c r="N314" s="497" t="e">
        <f t="shared" si="139"/>
        <v>#DIV/0!</v>
      </c>
      <c r="O314" s="497" t="str">
        <f t="array" ref="O314">IFERROR(INDEX(Calculation!I:AN,MATCH(ListAndConversion!E314,Calculation!I:I,0),31),"-")</f>
        <v>-</v>
      </c>
      <c r="P314" s="498">
        <f>IF(COUNTIFS(Calculation!$I$10:$I$393,E314,Direct_Denaturation,"-")&lt;&gt;1,COUNTIFS(Calculation!$I$10:$I$393,E314,Direct_Denaturation,"-"),0)</f>
        <v>0</v>
      </c>
      <c r="V314" s="542" t="s">
        <v>82</v>
      </c>
      <c r="W314" s="542" t="s">
        <v>82</v>
      </c>
      <c r="X314" s="542" t="s">
        <v>82</v>
      </c>
      <c r="Y314" s="542" t="s">
        <v>82</v>
      </c>
      <c r="Z314" s="542" t="s">
        <v>82</v>
      </c>
      <c r="AA314" s="542" t="s">
        <v>82</v>
      </c>
      <c r="AB314" s="542" t="s">
        <v>82</v>
      </c>
      <c r="AC314" s="542" t="s">
        <v>82</v>
      </c>
      <c r="AD314" s="542" t="s">
        <v>82</v>
      </c>
      <c r="AE314" s="542" t="s">
        <v>82</v>
      </c>
      <c r="AF314" s="542" t="s">
        <v>82</v>
      </c>
      <c r="AG314" s="542" t="s">
        <v>82</v>
      </c>
      <c r="AH314" s="9"/>
      <c r="AI314" s="487">
        <v>311</v>
      </c>
      <c r="AJ314" s="497" t="s">
        <v>479</v>
      </c>
      <c r="AK314" s="378">
        <v>23</v>
      </c>
      <c r="AL314" s="378" t="str">
        <f t="shared" ca="1" si="140"/>
        <v>-</v>
      </c>
      <c r="AM314" s="378" t="str">
        <f t="array" aca="1" ref="AM314" ca="1">IFERROR(IF(AI314&lt;=$AB$2,"-",INDEX(Calculation_Tab,SMALL(ROW(Main_Dil)*(Main_Dil&lt;&gt;"-"),COUNTIF(Main_Dil,"-")+ROW()-3-$AB$2)-9,5)),"-")</f>
        <v>-</v>
      </c>
      <c r="AN314" s="378" t="str">
        <f t="array" aca="1" ref="AN314" ca="1">IFERROR(IF(AI314&lt;=$AB$2,"-",INDEX($A$3:$B$12,MATCH(INDEX(Calculation_Tab,SMALL(ROW(Main_Dil)*(Main_Dil&lt;&gt;"-"),COUNTIF(Main_Dil,"-")+ROW()-3-$AB$2)-9,5),$A$3:$A$12,0),2)),"-")</f>
        <v>-</v>
      </c>
      <c r="AO314" s="378" t="str">
        <f t="array" aca="1" ref="AO314" ca="1">IFERROR(IF(AI314&lt;=$AB$2,"-",INDEX(Coordinate,MATCH(INDEX(Calculation_Tab,SMALL(ROW(Main_Dil)*(Main_Dil&lt;&gt;"-"),COUNTIF(Main_Dil,"-")+ROW()-3-$AB$2)-9,6),$X$4:$X$99,0),2)),"-")</f>
        <v>-</v>
      </c>
      <c r="AP314" s="510" t="str">
        <f t="array" aca="1" ref="AP314" ca="1">IFERROR(IF(AI314&lt;=$AB$2,"-",INDEX(Calculation_Tab,SMALL(ROW(Main_Dil)*(Main_Dil&lt;&gt;"-"),COUNTIF(Main_Dil,"-")+ROW()-3-$AB$2)-9,21)),"-")</f>
        <v>-</v>
      </c>
      <c r="AQ314" s="511" t="str">
        <f t="array" aca="1" ref="AQ314" ca="1">IFERROR(IF(AI314&lt;=$AB$2,"-",INDEX(Calculation_Tab,SMALL(ROW(Main_Dil)*(Main_Dil&lt;&gt;"-"),COUNTIF(Main_Dil,"-")+ROW()-3-$AB$2)-9,22)),"-")</f>
        <v>-</v>
      </c>
      <c r="AR314" s="487" t="str">
        <f t="shared" ca="1" si="141"/>
        <v>-</v>
      </c>
      <c r="AS314" s="378">
        <v>311</v>
      </c>
      <c r="AT314" s="497" t="s">
        <v>479</v>
      </c>
      <c r="AU314" s="498">
        <v>23</v>
      </c>
      <c r="AV314" s="378" t="str">
        <f t="shared" ca="1" si="142"/>
        <v>-</v>
      </c>
      <c r="AW314" s="378" t="str">
        <f t="array" aca="1" ref="AW314" ca="1">IFERROR(IF(AS314&lt;=$AB$2+$AN$2,"-",INDEX(Calculation_Tab,SMALL(ROW(Direct_Denaturation)*(Direct_Denaturation&lt;&gt;"-"),COUNTIF(Direct_Denaturation,"-")+ROW()-3-$AB$2-$AN$2)-9,5)),"-")</f>
        <v>-</v>
      </c>
      <c r="AX314" s="378" t="str">
        <f t="array" aca="1" ref="AX314" ca="1">IFERROR(IF(AS314&lt;=$AB$2+$AN$2,"-",INDEX($A$3:$B$12,MATCH(INDEX(Calculation_Tab,SMALL(ROW(Direct_Denaturation)*(Direct_Denaturation&lt;&gt;"-"),COUNTIF(Direct_Denaturation,"-")+ROW()-3-$AB$2-$AN$2)-9,5),$A$3:$A$12,0),2)),"-")</f>
        <v>-</v>
      </c>
      <c r="AY314" s="378" t="str">
        <f t="array" aca="1" ref="AY314" ca="1">IFERROR(IF(AS314&lt;=$AB$2+$AN$2,"-",INDEX(Coordinate,MATCH(INDEX(Calculation_Tab,SMALL(ROW(Direct_Denaturation)*(Direct_Denaturation&lt;&gt;"-"),COUNTIF(Direct_Denaturation,"-")+ROW()-3-$AB$2-$AN$2)-9,6),$X$4:$X$99,0),2)),"-")</f>
        <v>-</v>
      </c>
      <c r="AZ314" s="510" t="str">
        <f t="array" aca="1" ref="AZ314" ca="1">IFERROR(IF(AS314&lt;=$AB$2+$AN$2,"-",INDEX(Calculation_Tab,SMALL(ROW(Direct_Denaturation)*(Direct_Denaturation&lt;&gt;"-"),COUNTIF(Direct_Denaturation,"-")+ROW()-3-$AB$2-$AN$2)-9,32)),"-")</f>
        <v>-</v>
      </c>
      <c r="BA314" s="510" t="str">
        <f t="array" aca="1" ref="BA314" ca="1">IFERROR(IF(AS314&lt;=$AB$2+$AN$2,"-",INDEX(Calculation_Tab,SMALL(ROW(Direct_Denaturation)*(Direct_Denaturation&lt;&gt;"-"),COUNTIF(Direct_Denaturation,"-")+ROW()-3-$AB$2-$AN$2)-9,34)),"-")</f>
        <v>-</v>
      </c>
      <c r="BB314" s="510" t="str">
        <f t="array" aca="1" ref="BB314" ca="1">IFERROR(IF(AS314&lt;=$AB$2+$AN$2,"-",INDEX(Calculation_Tab,SMALL(ROW(Direct_Denaturation)*(Direct_Denaturation&lt;&gt;"-"),COUNTIF(Direct_Denaturation,"-")+ROW()-3-$AB$2-$AN$2)-9,33)),"-")</f>
        <v>-</v>
      </c>
      <c r="BC314" s="510" t="str">
        <f t="array" aca="1" ref="BC314" ca="1">IFERROR(IF(AS314&lt;=$AB$2+$AN$2,"-",INDEX(Calculation_Tab,SMALL(ROW(Direct_Denaturation)*(Direct_Denaturation&lt;&gt;"-"),COUNTIF(Direct_Denaturation,"-")+ROW()-3-$AB$2-$AN$2)-9,35)),"-")</f>
        <v>-</v>
      </c>
      <c r="BD314" s="511" t="str">
        <f t="shared" ca="1" si="143"/>
        <v>-</v>
      </c>
      <c r="BK314" s="542" t="s">
        <v>82</v>
      </c>
      <c r="BL314" s="542" t="s">
        <v>82</v>
      </c>
      <c r="BM314" s="487" t="str">
        <f t="array" aca="1" ref="BM314" ca="1">IFERROR(INDEX(Calculation_Tab,SMALL(ROW(ToPool)*(ToPool&lt;&gt;"-"),COUNTIF(ToPool,"-")+ROW()-3)-9,3),"-")</f>
        <v>-</v>
      </c>
      <c r="BN314" s="378" t="str">
        <f t="shared" ca="1" si="144"/>
        <v>-</v>
      </c>
      <c r="BO314" s="378" t="str">
        <f t="shared" ca="1" si="145"/>
        <v>-</v>
      </c>
      <c r="BP314" s="523" t="str">
        <f t="shared" ca="1" si="146"/>
        <v>-</v>
      </c>
      <c r="BQ314" s="378" t="str">
        <f t="array" aca="1" ref="BQ314" ca="1">IFERROR(INDEX(BE:BG,MATCH(INDEX(Calculation_Tab,SMALL(ROW(ToPool)*(ToPool&lt;&gt;"-"),COUNTIF(ToPool,"-")+ROW()-3)-9,9),BG:BG,0),2),"-")</f>
        <v>-</v>
      </c>
      <c r="BR314" s="510" t="str">
        <f t="shared" ca="1" si="147"/>
        <v>-</v>
      </c>
      <c r="BS314" s="511" t="str">
        <f t="shared" ca="1" si="148"/>
        <v>-</v>
      </c>
      <c r="BT314" s="543" t="s">
        <v>82</v>
      </c>
      <c r="BU314" s="487" t="str">
        <f t="shared" ca="1" si="152"/>
        <v>-</v>
      </c>
      <c r="BV314" s="487" t="str">
        <f t="array" aca="1" ref="BV31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14" s="378" t="str">
        <f t="shared" ca="1" si="149"/>
        <v>-</v>
      </c>
      <c r="BX314" s="378" t="str">
        <f t="shared" ca="1" si="150"/>
        <v>-</v>
      </c>
      <c r="BY314" s="510" t="str">
        <f ca="1">IFERROR(ROUND(INDEX(Cluster,MATCH(IF(LEFT(BV314,4)="Pool",INDEX(Cluster,MATCH(INDEX(Calculation_Tab,MATCH(INDEX($BE$4:$BJ$99,MATCH(BV314,$BE$4:$BE$99,0),3),Flow_Cell_Lane,0),3),Cluster!$F$29:$F$412,0),6),BV314),Identifier_Cluster,0),19)*IF(LEFT(BV314,4)="pool",IF(LEN(INDEX($BE$4:$BJ$99,MATCH(BV314,$BE$4:$BE$99,0),3))=10,2,IF(LEN(INDEX($BE$4:$BJ$99,MATCH(BV314,$BE$4:$BE$99,0),3))&gt;10,LEN(INDEX($BE$4:$BJ$99,MATCH(BV314,$BE$4:$BE$99,0),3))-8,1)),1)*IF(LEFT(BV314,4)="pool",IF(INDEX($BE$4:$BJ$99,MATCH(BV314,$BE$4:$BE$99,0),6)&lt;1,1,INDEX($BE$4:$BJ$99,MATCH(BV314,$BE$4:$BE$99,0),6)),INDEX(Calculation_Tab,MATCH(BV314,Identifier,0),10)),1)*(1+Calculation!$Q$6),"-")</f>
        <v>-</v>
      </c>
      <c r="BZ314" s="378" t="str">
        <f ca="1">IFERROR((0.5/50)*CE314/Calculation!$AG$6*(IF(LEFT(BV314,4)="Pool",IF(LEN(INDEX($BE$4:$BJ$99,MATCH(BV314,$BE$4:$BE$99,0),3))=10,2,IF(LEN(INDEX($BE$4:$BJ$99,MATCH(BV314,$BE$4:$BE$99,0),3))&gt;10,LEN(INDEX($BE$4:$BJ$99,MATCH(BV314,$BE$4:$BE$99,0),3))-8,1)),IF(INDEX(Calculation_Tab,MATCH(BV314,Identifier,0),10)&gt;1,INDEX(Calculation_Tab,MATCH(BV314,Identifier,0),10),1)))*(1+Calculation!$Q$6),"-")</f>
        <v>-</v>
      </c>
      <c r="CA314" s="510" t="str">
        <f ca="1">IFERROR(IF((BZ314*Calculation!$AG$6/0.05)-SUM(BY314:BZ314,CC314)&gt;0,(BZ314*Calculation!$AG$6/0.05)-SUM(BY314:BZ314,CC314),0),"-")</f>
        <v>-</v>
      </c>
      <c r="CB314" s="510" t="str">
        <f ca="1">IFERROR(5/50*CE314*(IF(LEFT(BV314,4)="Pool",IF(LEN(INDEX($BE$4:$BJ$99,MATCH(BV314,$BE$4:$BE$99,0),3))=10,2,IF(LEN(INDEX($BE$4:$BJ$99,MATCH(BV314,$BE$4:$BE$99,0),3))&gt;10,LEN(INDEX($BE$4:$BJ$99,MATCH(BV314,$BE$4:$BE$99,0),3))-8,1)),IF(INDEX(Calculation_Tab,MATCH(BV314,Identifier,0),10)&gt;1,INDEX(Calculation_Tab,MATCH(BV314,Identifier,0),10),1)))*(1+Calculation!$Q$6),"-")</f>
        <v>-</v>
      </c>
      <c r="CC314" s="508" t="str">
        <f ca="1">IFERROR(ROUND(INDEX(Cluster,MATCH(IF(LEFT(BV314,4)="Pool",INDEX(Cluster,MATCH(INDEX(Calculation_Tab,MATCH(INDEX($BE$4:$BJ$99,MATCH(BV314,$BE$4:$BE$99,0),3),Flow_Cell_Lane,0),3),Cluster!$F$29:$F$412,0),6),BV314),Identifier_Cluster,0),20)*IF(LEFT(BV314,4)="pool",IF(LEN(INDEX($BE$4:$BJ$99,MATCH(BV314,$BE$4:$BE$99,0),3))=10,2,IF(LEN(INDEX($BE$4:$BJ$99,MATCH(BV314,$BE$4:$BE$99,0),3))&gt;10,LEN(INDEX($BE$4:$BJ$99,MATCH(BV314,$BE$4:$BE$99,0),3))-8,1)),1)*IF(LEFT(BV314,4)="pool",IF(INDEX($BE$4:$BJ$99,MATCH(BV314,$BE$4:$BE$99,0),6)&lt;1,1,INDEX($BE$4:$BJ$99,MATCH(BV314,$BE$4:$BE$99,0),6)),INDEX(Calculation_Tab,MATCH(BV314,Identifier,0),10)),1)*(1+Calculation!$Q$6),"-")</f>
        <v>-</v>
      </c>
      <c r="CD314" s="509" t="str">
        <f ca="1">IFERROR(INDEX(Cluster!AC:AD,MATCH(IF(LEFT(BV314,4)="Pool",INDEX(Cluster!$D$29:$AA$412,MATCH(INDEX(Calculation_Tab,MATCH(INDEX($BE$4:$BJ$99,MATCH(BV314,$BE$4:$BE$99,0),3),Flow_Cell_Lane,0),3),Cluster!$F$29:$F$412,0),24),INDEX(Cluster!$D$29:$AA$412,MATCH(BV314,Cluster!$F$29:$F$412,0),24)),Cluster!AC:AC,0),2),"-")</f>
        <v>-</v>
      </c>
      <c r="CE314" s="378" t="str">
        <f ca="1">IFERROR(IF(BV314&lt;&gt;"-",Calculation!$AK$6,"-"),"-")</f>
        <v>-</v>
      </c>
      <c r="CF314" s="378" t="str">
        <f ca="1">IF(OR(LEFT(ListAndConversion!BW314,3)="Dil",LEFT(ListAndConversion!BW314,3)="Poo"),ListAndConversion!$BT$4,IF(LEFT(ListAndConversion!BW314,3)="Sou",INDEX(ListAndConversion!$AT$3:$AV$387,MATCH(ListAndConversion!BV314,ListAndConversion!$AV$3:$AV$387,0),1),"-"))</f>
        <v>-</v>
      </c>
      <c r="CG314" s="498" t="str">
        <f ca="1">IF(OR(LEFT(ListAndConversion!BW314,3)="Dil",LEFT(ListAndConversion!BW314,3)="Poo"),ListAndConversion!BU314,IF(LEFT(ListAndConversion!BW314,3)="Sou",INDEX(ListAndConversion!$AT$4:$AV$387,MATCH(ListAndConversion!BV314,ListAndConversion!$AV$4:$AV$387,0),2),"-"))</f>
        <v>-</v>
      </c>
      <c r="CH314" s="378"/>
      <c r="CI314" s="487" t="str">
        <f t="shared" ca="1" si="151"/>
        <v>-</v>
      </c>
      <c r="CJ314" s="378" t="str">
        <f t="shared" ref="CJ314:CQ323" ca="1" si="164">IFERROR(INDEX($R$3:$U$98,MATCH(INDEX($F$3:$M$387,MATCH($CI314,$E$3:$E$386,0),CJ$3),$S$3:$S$98,0),4),"-")</f>
        <v>-</v>
      </c>
      <c r="CK314" s="378" t="str">
        <f t="shared" ca="1" si="164"/>
        <v>-</v>
      </c>
      <c r="CL314" s="378" t="str">
        <f t="shared" ca="1" si="164"/>
        <v>-</v>
      </c>
      <c r="CM314" s="378" t="str">
        <f t="shared" ca="1" si="164"/>
        <v>-</v>
      </c>
      <c r="CN314" s="378" t="str">
        <f t="shared" ca="1" si="164"/>
        <v>-</v>
      </c>
      <c r="CO314" s="378" t="str">
        <f t="shared" ca="1" si="164"/>
        <v>-</v>
      </c>
      <c r="CP314" s="378" t="str">
        <f t="shared" ca="1" si="164"/>
        <v>-</v>
      </c>
      <c r="CQ314" s="378" t="str">
        <f t="shared" ca="1" si="164"/>
        <v>-</v>
      </c>
      <c r="CR314" s="510" t="str">
        <f ca="1">IFERROR(IF(LEFT(BW314,3)="Poo",INDEX($BE$4:$BJ$99,MATCH(CI314,$BG$4:$BG$99,0),6)*((15/50))*Calculation!$AK$6,INDEX(Calculation_Tab,MATCH(BV314,Identifier,0),10)/(IF(LEN(INDEX(Calculation_Tab,MATCH(BV314,Identifier,0),9))&gt;8,LEN(INDEX(Calculation_Tab,MATCH(BV314,Identifier,0),9))-8,1))*((15/50)*Calculation!$AK$6)),"-")</f>
        <v>-</v>
      </c>
      <c r="CS314" s="498" t="str">
        <f ca="1">IF(CI314="-","-",IF(COUNTIF($CI$3:CI314,CI314)&gt;1,0,IFERROR((35/50)*Calculation!$AK$6,"-")))</f>
        <v>-</v>
      </c>
    </row>
    <row r="315" spans="4:97" x14ac:dyDescent="0.5">
      <c r="D315" s="487" t="e">
        <f t="shared" si="137"/>
        <v>#DIV/0!</v>
      </c>
      <c r="E315" s="496" t="e">
        <f t="array" ref="E315">IF(IF((ROW(E315)-3)&lt;(ListAndConversion!$A$15),INDEX(Flow_Cell_Lane,MIN(IF(COUNTIF($E$2:E314,Flow_Cell_Lane)=0,ROW(Flow_Cell_Lane)-9))),"-")="","-",IF((ROW(E315)-3)&lt;(ListAndConversion!$A$15),INDEX(Flow_Cell_Lane,MIN(IF(COUNTIF($E$2:E314,Flow_Cell_Lane)=0,ROW(Flow_Cell_Lane)-9))),"-"))</f>
        <v>#DIV/0!</v>
      </c>
      <c r="F315" s="378" t="e">
        <f t="shared" si="138"/>
        <v>#DIV/0!</v>
      </c>
      <c r="G315" s="378" t="e">
        <f t="shared" si="163"/>
        <v>#DIV/0!</v>
      </c>
      <c r="H315" s="378" t="e">
        <f t="shared" si="163"/>
        <v>#DIV/0!</v>
      </c>
      <c r="I315" s="378" t="e">
        <f t="shared" si="163"/>
        <v>#DIV/0!</v>
      </c>
      <c r="J315" s="378" t="e">
        <f t="shared" si="163"/>
        <v>#DIV/0!</v>
      </c>
      <c r="K315" s="378" t="e">
        <f t="shared" si="163"/>
        <v>#DIV/0!</v>
      </c>
      <c r="L315" s="378" t="e">
        <f t="shared" si="163"/>
        <v>#DIV/0!</v>
      </c>
      <c r="M315" s="378" t="e">
        <f t="shared" si="163"/>
        <v>#DIV/0!</v>
      </c>
      <c r="N315" s="497" t="e">
        <f t="shared" si="139"/>
        <v>#DIV/0!</v>
      </c>
      <c r="O315" s="497" t="str">
        <f t="array" ref="O315">IFERROR(INDEX(Calculation!I:AN,MATCH(ListAndConversion!E315,Calculation!I:I,0),31),"-")</f>
        <v>-</v>
      </c>
      <c r="P315" s="498">
        <f>IF(COUNTIFS(Calculation!$I$10:$I$393,E315,Direct_Denaturation,"-")&lt;&gt;1,COUNTIFS(Calculation!$I$10:$I$393,E315,Direct_Denaturation,"-"),0)</f>
        <v>0</v>
      </c>
      <c r="V315" s="542" t="s">
        <v>82</v>
      </c>
      <c r="W315" s="542" t="s">
        <v>82</v>
      </c>
      <c r="X315" s="542" t="s">
        <v>82</v>
      </c>
      <c r="Y315" s="542" t="s">
        <v>82</v>
      </c>
      <c r="Z315" s="542" t="s">
        <v>82</v>
      </c>
      <c r="AA315" s="542" t="s">
        <v>82</v>
      </c>
      <c r="AB315" s="542" t="s">
        <v>82</v>
      </c>
      <c r="AC315" s="542" t="s">
        <v>82</v>
      </c>
      <c r="AD315" s="542" t="s">
        <v>82</v>
      </c>
      <c r="AE315" s="542" t="s">
        <v>82</v>
      </c>
      <c r="AF315" s="542" t="s">
        <v>82</v>
      </c>
      <c r="AG315" s="542" t="s">
        <v>82</v>
      </c>
      <c r="AH315" s="9"/>
      <c r="AI315" s="487">
        <v>312</v>
      </c>
      <c r="AJ315" s="497" t="s">
        <v>479</v>
      </c>
      <c r="AK315" s="378">
        <v>24</v>
      </c>
      <c r="AL315" s="378" t="str">
        <f t="shared" ca="1" si="140"/>
        <v>-</v>
      </c>
      <c r="AM315" s="378" t="str">
        <f t="array" aca="1" ref="AM315" ca="1">IFERROR(IF(AI315&lt;=$AB$2,"-",INDEX(Calculation_Tab,SMALL(ROW(Main_Dil)*(Main_Dil&lt;&gt;"-"),COUNTIF(Main_Dil,"-")+ROW()-3-$AB$2)-9,5)),"-")</f>
        <v>-</v>
      </c>
      <c r="AN315" s="378" t="str">
        <f t="array" aca="1" ref="AN315" ca="1">IFERROR(IF(AI315&lt;=$AB$2,"-",INDEX($A$3:$B$12,MATCH(INDEX(Calculation_Tab,SMALL(ROW(Main_Dil)*(Main_Dil&lt;&gt;"-"),COUNTIF(Main_Dil,"-")+ROW()-3-$AB$2)-9,5),$A$3:$A$12,0),2)),"-")</f>
        <v>-</v>
      </c>
      <c r="AO315" s="378" t="str">
        <f t="array" aca="1" ref="AO315" ca="1">IFERROR(IF(AI315&lt;=$AB$2,"-",INDEX(Coordinate,MATCH(INDEX(Calculation_Tab,SMALL(ROW(Main_Dil)*(Main_Dil&lt;&gt;"-"),COUNTIF(Main_Dil,"-")+ROW()-3-$AB$2)-9,6),$X$4:$X$99,0),2)),"-")</f>
        <v>-</v>
      </c>
      <c r="AP315" s="510" t="str">
        <f t="array" aca="1" ref="AP315" ca="1">IFERROR(IF(AI315&lt;=$AB$2,"-",INDEX(Calculation_Tab,SMALL(ROW(Main_Dil)*(Main_Dil&lt;&gt;"-"),COUNTIF(Main_Dil,"-")+ROW()-3-$AB$2)-9,21)),"-")</f>
        <v>-</v>
      </c>
      <c r="AQ315" s="511" t="str">
        <f t="array" aca="1" ref="AQ315" ca="1">IFERROR(IF(AI315&lt;=$AB$2,"-",INDEX(Calculation_Tab,SMALL(ROW(Main_Dil)*(Main_Dil&lt;&gt;"-"),COUNTIF(Main_Dil,"-")+ROW()-3-$AB$2)-9,22)),"-")</f>
        <v>-</v>
      </c>
      <c r="AR315" s="487" t="str">
        <f t="shared" ca="1" si="141"/>
        <v>-</v>
      </c>
      <c r="AS315" s="378">
        <v>312</v>
      </c>
      <c r="AT315" s="497" t="s">
        <v>479</v>
      </c>
      <c r="AU315" s="498">
        <v>24</v>
      </c>
      <c r="AV315" s="378" t="str">
        <f t="shared" ca="1" si="142"/>
        <v>-</v>
      </c>
      <c r="AW315" s="378" t="str">
        <f t="array" aca="1" ref="AW315" ca="1">IFERROR(IF(AS315&lt;=$AB$2+$AN$2,"-",INDEX(Calculation_Tab,SMALL(ROW(Direct_Denaturation)*(Direct_Denaturation&lt;&gt;"-"),COUNTIF(Direct_Denaturation,"-")+ROW()-3-$AB$2-$AN$2)-9,5)),"-")</f>
        <v>-</v>
      </c>
      <c r="AX315" s="378" t="str">
        <f t="array" aca="1" ref="AX315" ca="1">IFERROR(IF(AS315&lt;=$AB$2+$AN$2,"-",INDEX($A$3:$B$12,MATCH(INDEX(Calculation_Tab,SMALL(ROW(Direct_Denaturation)*(Direct_Denaturation&lt;&gt;"-"),COUNTIF(Direct_Denaturation,"-")+ROW()-3-$AB$2-$AN$2)-9,5),$A$3:$A$12,0),2)),"-")</f>
        <v>-</v>
      </c>
      <c r="AY315" s="378" t="str">
        <f t="array" aca="1" ref="AY315" ca="1">IFERROR(IF(AS315&lt;=$AB$2+$AN$2,"-",INDEX(Coordinate,MATCH(INDEX(Calculation_Tab,SMALL(ROW(Direct_Denaturation)*(Direct_Denaturation&lt;&gt;"-"),COUNTIF(Direct_Denaturation,"-")+ROW()-3-$AB$2-$AN$2)-9,6),$X$4:$X$99,0),2)),"-")</f>
        <v>-</v>
      </c>
      <c r="AZ315" s="510" t="str">
        <f t="array" aca="1" ref="AZ315" ca="1">IFERROR(IF(AS315&lt;=$AB$2+$AN$2,"-",INDEX(Calculation_Tab,SMALL(ROW(Direct_Denaturation)*(Direct_Denaturation&lt;&gt;"-"),COUNTIF(Direct_Denaturation,"-")+ROW()-3-$AB$2-$AN$2)-9,32)),"-")</f>
        <v>-</v>
      </c>
      <c r="BA315" s="510" t="str">
        <f t="array" aca="1" ref="BA315" ca="1">IFERROR(IF(AS315&lt;=$AB$2+$AN$2,"-",INDEX(Calculation_Tab,SMALL(ROW(Direct_Denaturation)*(Direct_Denaturation&lt;&gt;"-"),COUNTIF(Direct_Denaturation,"-")+ROW()-3-$AB$2-$AN$2)-9,34)),"-")</f>
        <v>-</v>
      </c>
      <c r="BB315" s="510" t="str">
        <f t="array" aca="1" ref="BB315" ca="1">IFERROR(IF(AS315&lt;=$AB$2+$AN$2,"-",INDEX(Calculation_Tab,SMALL(ROW(Direct_Denaturation)*(Direct_Denaturation&lt;&gt;"-"),COUNTIF(Direct_Denaturation,"-")+ROW()-3-$AB$2-$AN$2)-9,33)),"-")</f>
        <v>-</v>
      </c>
      <c r="BC315" s="510" t="str">
        <f t="array" aca="1" ref="BC315" ca="1">IFERROR(IF(AS315&lt;=$AB$2+$AN$2,"-",INDEX(Calculation_Tab,SMALL(ROW(Direct_Denaturation)*(Direct_Denaturation&lt;&gt;"-"),COUNTIF(Direct_Denaturation,"-")+ROW()-3-$AB$2-$AN$2)-9,35)),"-")</f>
        <v>-</v>
      </c>
      <c r="BD315" s="511" t="str">
        <f t="shared" ca="1" si="143"/>
        <v>-</v>
      </c>
      <c r="BK315" s="542" t="s">
        <v>82</v>
      </c>
      <c r="BL315" s="542" t="s">
        <v>82</v>
      </c>
      <c r="BM315" s="487" t="str">
        <f t="array" aca="1" ref="BM315" ca="1">IFERROR(INDEX(Calculation_Tab,SMALL(ROW(ToPool)*(ToPool&lt;&gt;"-"),COUNTIF(ToPool,"-")+ROW()-3)-9,3),"-")</f>
        <v>-</v>
      </c>
      <c r="BN315" s="378" t="str">
        <f t="shared" ca="1" si="144"/>
        <v>-</v>
      </c>
      <c r="BO315" s="378" t="str">
        <f t="shared" ca="1" si="145"/>
        <v>-</v>
      </c>
      <c r="BP315" s="523" t="str">
        <f t="shared" ca="1" si="146"/>
        <v>-</v>
      </c>
      <c r="BQ315" s="378" t="str">
        <f t="array" aca="1" ref="BQ315" ca="1">IFERROR(INDEX(BE:BG,MATCH(INDEX(Calculation_Tab,SMALL(ROW(ToPool)*(ToPool&lt;&gt;"-"),COUNTIF(ToPool,"-")+ROW()-3)-9,9),BG:BG,0),2),"-")</f>
        <v>-</v>
      </c>
      <c r="BR315" s="510" t="str">
        <f t="shared" ca="1" si="147"/>
        <v>-</v>
      </c>
      <c r="BS315" s="511" t="str">
        <f t="shared" ca="1" si="148"/>
        <v>-</v>
      </c>
      <c r="BT315" s="543" t="s">
        <v>82</v>
      </c>
      <c r="BU315" s="487" t="str">
        <f t="shared" ca="1" si="152"/>
        <v>-</v>
      </c>
      <c r="BV315" s="487" t="str">
        <f t="array" aca="1" ref="BV31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15" s="378" t="str">
        <f t="shared" ca="1" si="149"/>
        <v>-</v>
      </c>
      <c r="BX315" s="378" t="str">
        <f t="shared" ca="1" si="150"/>
        <v>-</v>
      </c>
      <c r="BY315" s="510" t="str">
        <f ca="1">IFERROR(ROUND(INDEX(Cluster,MATCH(IF(LEFT(BV315,4)="Pool",INDEX(Cluster,MATCH(INDEX(Calculation_Tab,MATCH(INDEX($BE$4:$BJ$99,MATCH(BV315,$BE$4:$BE$99,0),3),Flow_Cell_Lane,0),3),Cluster!$F$29:$F$412,0),6),BV315),Identifier_Cluster,0),19)*IF(LEFT(BV315,4)="pool",IF(LEN(INDEX($BE$4:$BJ$99,MATCH(BV315,$BE$4:$BE$99,0),3))=10,2,IF(LEN(INDEX($BE$4:$BJ$99,MATCH(BV315,$BE$4:$BE$99,0),3))&gt;10,LEN(INDEX($BE$4:$BJ$99,MATCH(BV315,$BE$4:$BE$99,0),3))-8,1)),1)*IF(LEFT(BV315,4)="pool",IF(INDEX($BE$4:$BJ$99,MATCH(BV315,$BE$4:$BE$99,0),6)&lt;1,1,INDEX($BE$4:$BJ$99,MATCH(BV315,$BE$4:$BE$99,0),6)),INDEX(Calculation_Tab,MATCH(BV315,Identifier,0),10)),1)*(1+Calculation!$Q$6),"-")</f>
        <v>-</v>
      </c>
      <c r="BZ315" s="378" t="str">
        <f ca="1">IFERROR((0.5/50)*CE315/Calculation!$AG$6*(IF(LEFT(BV315,4)="Pool",IF(LEN(INDEX($BE$4:$BJ$99,MATCH(BV315,$BE$4:$BE$99,0),3))=10,2,IF(LEN(INDEX($BE$4:$BJ$99,MATCH(BV315,$BE$4:$BE$99,0),3))&gt;10,LEN(INDEX($BE$4:$BJ$99,MATCH(BV315,$BE$4:$BE$99,0),3))-8,1)),IF(INDEX(Calculation_Tab,MATCH(BV315,Identifier,0),10)&gt;1,INDEX(Calculation_Tab,MATCH(BV315,Identifier,0),10),1)))*(1+Calculation!$Q$6),"-")</f>
        <v>-</v>
      </c>
      <c r="CA315" s="510" t="str">
        <f ca="1">IFERROR(IF((BZ315*Calculation!$AG$6/0.05)-SUM(BY315:BZ315,CC315)&gt;0,(BZ315*Calculation!$AG$6/0.05)-SUM(BY315:BZ315,CC315),0),"-")</f>
        <v>-</v>
      </c>
      <c r="CB315" s="510" t="str">
        <f ca="1">IFERROR(5/50*CE315*(IF(LEFT(BV315,4)="Pool",IF(LEN(INDEX($BE$4:$BJ$99,MATCH(BV315,$BE$4:$BE$99,0),3))=10,2,IF(LEN(INDEX($BE$4:$BJ$99,MATCH(BV315,$BE$4:$BE$99,0),3))&gt;10,LEN(INDEX($BE$4:$BJ$99,MATCH(BV315,$BE$4:$BE$99,0),3))-8,1)),IF(INDEX(Calculation_Tab,MATCH(BV315,Identifier,0),10)&gt;1,INDEX(Calculation_Tab,MATCH(BV315,Identifier,0),10),1)))*(1+Calculation!$Q$6),"-")</f>
        <v>-</v>
      </c>
      <c r="CC315" s="508" t="str">
        <f ca="1">IFERROR(ROUND(INDEX(Cluster,MATCH(IF(LEFT(BV315,4)="Pool",INDEX(Cluster,MATCH(INDEX(Calculation_Tab,MATCH(INDEX($BE$4:$BJ$99,MATCH(BV315,$BE$4:$BE$99,0),3),Flow_Cell_Lane,0),3),Cluster!$F$29:$F$412,0),6),BV315),Identifier_Cluster,0),20)*IF(LEFT(BV315,4)="pool",IF(LEN(INDEX($BE$4:$BJ$99,MATCH(BV315,$BE$4:$BE$99,0),3))=10,2,IF(LEN(INDEX($BE$4:$BJ$99,MATCH(BV315,$BE$4:$BE$99,0),3))&gt;10,LEN(INDEX($BE$4:$BJ$99,MATCH(BV315,$BE$4:$BE$99,0),3))-8,1)),1)*IF(LEFT(BV315,4)="pool",IF(INDEX($BE$4:$BJ$99,MATCH(BV315,$BE$4:$BE$99,0),6)&lt;1,1,INDEX($BE$4:$BJ$99,MATCH(BV315,$BE$4:$BE$99,0),6)),INDEX(Calculation_Tab,MATCH(BV315,Identifier,0),10)),1)*(1+Calculation!$Q$6),"-")</f>
        <v>-</v>
      </c>
      <c r="CD315" s="509" t="str">
        <f ca="1">IFERROR(INDEX(Cluster!AC:AD,MATCH(IF(LEFT(BV315,4)="Pool",INDEX(Cluster!$D$29:$AA$412,MATCH(INDEX(Calculation_Tab,MATCH(INDEX($BE$4:$BJ$99,MATCH(BV315,$BE$4:$BE$99,0),3),Flow_Cell_Lane,0),3),Cluster!$F$29:$F$412,0),24),INDEX(Cluster!$D$29:$AA$412,MATCH(BV315,Cluster!$F$29:$F$412,0),24)),Cluster!AC:AC,0),2),"-")</f>
        <v>-</v>
      </c>
      <c r="CE315" s="378" t="str">
        <f ca="1">IFERROR(IF(BV315&lt;&gt;"-",Calculation!$AK$6,"-"),"-")</f>
        <v>-</v>
      </c>
      <c r="CF315" s="378" t="str">
        <f ca="1">IF(OR(LEFT(ListAndConversion!BW315,3)="Dil",LEFT(ListAndConversion!BW315,3)="Poo"),ListAndConversion!$BT$4,IF(LEFT(ListAndConversion!BW315,3)="Sou",INDEX(ListAndConversion!$AT$3:$AV$387,MATCH(ListAndConversion!BV315,ListAndConversion!$AV$3:$AV$387,0),1),"-"))</f>
        <v>-</v>
      </c>
      <c r="CG315" s="498" t="str">
        <f ca="1">IF(OR(LEFT(ListAndConversion!BW315,3)="Dil",LEFT(ListAndConversion!BW315,3)="Poo"),ListAndConversion!BU315,IF(LEFT(ListAndConversion!BW315,3)="Sou",INDEX(ListAndConversion!$AT$4:$AV$387,MATCH(ListAndConversion!BV315,ListAndConversion!$AV$4:$AV$387,0),2),"-"))</f>
        <v>-</v>
      </c>
      <c r="CH315" s="378"/>
      <c r="CI315" s="487" t="str">
        <f t="shared" ca="1" si="151"/>
        <v>-</v>
      </c>
      <c r="CJ315" s="378" t="str">
        <f t="shared" ca="1" si="164"/>
        <v>-</v>
      </c>
      <c r="CK315" s="378" t="str">
        <f t="shared" ca="1" si="164"/>
        <v>-</v>
      </c>
      <c r="CL315" s="378" t="str">
        <f t="shared" ca="1" si="164"/>
        <v>-</v>
      </c>
      <c r="CM315" s="378" t="str">
        <f t="shared" ca="1" si="164"/>
        <v>-</v>
      </c>
      <c r="CN315" s="378" t="str">
        <f t="shared" ca="1" si="164"/>
        <v>-</v>
      </c>
      <c r="CO315" s="378" t="str">
        <f t="shared" ca="1" si="164"/>
        <v>-</v>
      </c>
      <c r="CP315" s="378" t="str">
        <f t="shared" ca="1" si="164"/>
        <v>-</v>
      </c>
      <c r="CQ315" s="378" t="str">
        <f t="shared" ca="1" si="164"/>
        <v>-</v>
      </c>
      <c r="CR315" s="510" t="str">
        <f ca="1">IFERROR(IF(LEFT(BW315,3)="Poo",INDEX($BE$4:$BJ$99,MATCH(CI315,$BG$4:$BG$99,0),6)*((15/50))*Calculation!$AK$6,INDEX(Calculation_Tab,MATCH(BV315,Identifier,0),10)/(IF(LEN(INDEX(Calculation_Tab,MATCH(BV315,Identifier,0),9))&gt;8,LEN(INDEX(Calculation_Tab,MATCH(BV315,Identifier,0),9))-8,1))*((15/50)*Calculation!$AK$6)),"-")</f>
        <v>-</v>
      </c>
      <c r="CS315" s="498" t="str">
        <f ca="1">IF(CI315="-","-",IF(COUNTIF($CI$3:CI315,CI315)&gt;1,0,IFERROR((35/50)*Calculation!$AK$6,"-")))</f>
        <v>-</v>
      </c>
    </row>
    <row r="316" spans="4:97" x14ac:dyDescent="0.5">
      <c r="D316" s="487" t="e">
        <f t="shared" si="137"/>
        <v>#DIV/0!</v>
      </c>
      <c r="E316" s="496" t="e">
        <f t="array" ref="E316">IF(IF((ROW(E316)-3)&lt;(ListAndConversion!$A$15),INDEX(Flow_Cell_Lane,MIN(IF(COUNTIF($E$2:E315,Flow_Cell_Lane)=0,ROW(Flow_Cell_Lane)-9))),"-")="","-",IF((ROW(E316)-3)&lt;(ListAndConversion!$A$15),INDEX(Flow_Cell_Lane,MIN(IF(COUNTIF($E$2:E315,Flow_Cell_Lane)=0,ROW(Flow_Cell_Lane)-9))),"-"))</f>
        <v>#DIV/0!</v>
      </c>
      <c r="F316" s="378" t="e">
        <f t="shared" si="138"/>
        <v>#DIV/0!</v>
      </c>
      <c r="G316" s="378" t="e">
        <f t="shared" si="163"/>
        <v>#DIV/0!</v>
      </c>
      <c r="H316" s="378" t="e">
        <f t="shared" si="163"/>
        <v>#DIV/0!</v>
      </c>
      <c r="I316" s="378" t="e">
        <f t="shared" si="163"/>
        <v>#DIV/0!</v>
      </c>
      <c r="J316" s="378" t="e">
        <f t="shared" si="163"/>
        <v>#DIV/0!</v>
      </c>
      <c r="K316" s="378" t="e">
        <f t="shared" si="163"/>
        <v>#DIV/0!</v>
      </c>
      <c r="L316" s="378" t="e">
        <f t="shared" si="163"/>
        <v>#DIV/0!</v>
      </c>
      <c r="M316" s="378" t="e">
        <f t="shared" si="163"/>
        <v>#DIV/0!</v>
      </c>
      <c r="N316" s="497" t="e">
        <f t="shared" si="139"/>
        <v>#DIV/0!</v>
      </c>
      <c r="O316" s="497" t="str">
        <f t="array" ref="O316">IFERROR(INDEX(Calculation!I:AN,MATCH(ListAndConversion!E316,Calculation!I:I,0),31),"-")</f>
        <v>-</v>
      </c>
      <c r="P316" s="498">
        <f>IF(COUNTIFS(Calculation!$I$10:$I$393,E316,Direct_Denaturation,"-")&lt;&gt;1,COUNTIFS(Calculation!$I$10:$I$393,E316,Direct_Denaturation,"-"),0)</f>
        <v>0</v>
      </c>
      <c r="V316" s="542" t="s">
        <v>82</v>
      </c>
      <c r="W316" s="542" t="s">
        <v>82</v>
      </c>
      <c r="X316" s="542" t="s">
        <v>82</v>
      </c>
      <c r="Y316" s="542" t="s">
        <v>82</v>
      </c>
      <c r="Z316" s="542" t="s">
        <v>82</v>
      </c>
      <c r="AA316" s="542" t="s">
        <v>82</v>
      </c>
      <c r="AB316" s="542" t="s">
        <v>82</v>
      </c>
      <c r="AC316" s="542" t="s">
        <v>82</v>
      </c>
      <c r="AD316" s="542" t="s">
        <v>82</v>
      </c>
      <c r="AE316" s="542" t="s">
        <v>82</v>
      </c>
      <c r="AF316" s="542" t="s">
        <v>82</v>
      </c>
      <c r="AG316" s="542" t="s">
        <v>82</v>
      </c>
      <c r="AH316" s="9"/>
      <c r="AI316" s="487">
        <v>313</v>
      </c>
      <c r="AJ316" s="497" t="s">
        <v>479</v>
      </c>
      <c r="AK316" s="378">
        <v>25</v>
      </c>
      <c r="AL316" s="378" t="str">
        <f t="shared" ca="1" si="140"/>
        <v>-</v>
      </c>
      <c r="AM316" s="378" t="str">
        <f t="array" aca="1" ref="AM316" ca="1">IFERROR(IF(AI316&lt;=$AB$2,"-",INDEX(Calculation_Tab,SMALL(ROW(Main_Dil)*(Main_Dil&lt;&gt;"-"),COUNTIF(Main_Dil,"-")+ROW()-3-$AB$2)-9,5)),"-")</f>
        <v>-</v>
      </c>
      <c r="AN316" s="378" t="str">
        <f t="array" aca="1" ref="AN316" ca="1">IFERROR(IF(AI316&lt;=$AB$2,"-",INDEX($A$3:$B$12,MATCH(INDEX(Calculation_Tab,SMALL(ROW(Main_Dil)*(Main_Dil&lt;&gt;"-"),COUNTIF(Main_Dil,"-")+ROW()-3-$AB$2)-9,5),$A$3:$A$12,0),2)),"-")</f>
        <v>-</v>
      </c>
      <c r="AO316" s="378" t="str">
        <f t="array" aca="1" ref="AO316" ca="1">IFERROR(IF(AI316&lt;=$AB$2,"-",INDEX(Coordinate,MATCH(INDEX(Calculation_Tab,SMALL(ROW(Main_Dil)*(Main_Dil&lt;&gt;"-"),COUNTIF(Main_Dil,"-")+ROW()-3-$AB$2)-9,6),$X$4:$X$99,0),2)),"-")</f>
        <v>-</v>
      </c>
      <c r="AP316" s="510" t="str">
        <f t="array" aca="1" ref="AP316" ca="1">IFERROR(IF(AI316&lt;=$AB$2,"-",INDEX(Calculation_Tab,SMALL(ROW(Main_Dil)*(Main_Dil&lt;&gt;"-"),COUNTIF(Main_Dil,"-")+ROW()-3-$AB$2)-9,21)),"-")</f>
        <v>-</v>
      </c>
      <c r="AQ316" s="511" t="str">
        <f t="array" aca="1" ref="AQ316" ca="1">IFERROR(IF(AI316&lt;=$AB$2,"-",INDEX(Calculation_Tab,SMALL(ROW(Main_Dil)*(Main_Dil&lt;&gt;"-"),COUNTIF(Main_Dil,"-")+ROW()-3-$AB$2)-9,22)),"-")</f>
        <v>-</v>
      </c>
      <c r="AR316" s="487" t="str">
        <f t="shared" ca="1" si="141"/>
        <v>-</v>
      </c>
      <c r="AS316" s="378">
        <v>313</v>
      </c>
      <c r="AT316" s="497" t="s">
        <v>479</v>
      </c>
      <c r="AU316" s="498">
        <v>25</v>
      </c>
      <c r="AV316" s="378" t="str">
        <f t="shared" ca="1" si="142"/>
        <v>-</v>
      </c>
      <c r="AW316" s="378" t="str">
        <f t="array" aca="1" ref="AW316" ca="1">IFERROR(IF(AS316&lt;=$AB$2+$AN$2,"-",INDEX(Calculation_Tab,SMALL(ROW(Direct_Denaturation)*(Direct_Denaturation&lt;&gt;"-"),COUNTIF(Direct_Denaturation,"-")+ROW()-3-$AB$2-$AN$2)-9,5)),"-")</f>
        <v>-</v>
      </c>
      <c r="AX316" s="378" t="str">
        <f t="array" aca="1" ref="AX316" ca="1">IFERROR(IF(AS316&lt;=$AB$2+$AN$2,"-",INDEX($A$3:$B$12,MATCH(INDEX(Calculation_Tab,SMALL(ROW(Direct_Denaturation)*(Direct_Denaturation&lt;&gt;"-"),COUNTIF(Direct_Denaturation,"-")+ROW()-3-$AB$2-$AN$2)-9,5),$A$3:$A$12,0),2)),"-")</f>
        <v>-</v>
      </c>
      <c r="AY316" s="378" t="str">
        <f t="array" aca="1" ref="AY316" ca="1">IFERROR(IF(AS316&lt;=$AB$2+$AN$2,"-",INDEX(Coordinate,MATCH(INDEX(Calculation_Tab,SMALL(ROW(Direct_Denaturation)*(Direct_Denaturation&lt;&gt;"-"),COUNTIF(Direct_Denaturation,"-")+ROW()-3-$AB$2-$AN$2)-9,6),$X$4:$X$99,0),2)),"-")</f>
        <v>-</v>
      </c>
      <c r="AZ316" s="510" t="str">
        <f t="array" aca="1" ref="AZ316" ca="1">IFERROR(IF(AS316&lt;=$AB$2+$AN$2,"-",INDEX(Calculation_Tab,SMALL(ROW(Direct_Denaturation)*(Direct_Denaturation&lt;&gt;"-"),COUNTIF(Direct_Denaturation,"-")+ROW()-3-$AB$2-$AN$2)-9,32)),"-")</f>
        <v>-</v>
      </c>
      <c r="BA316" s="510" t="str">
        <f t="array" aca="1" ref="BA316" ca="1">IFERROR(IF(AS316&lt;=$AB$2+$AN$2,"-",INDEX(Calculation_Tab,SMALL(ROW(Direct_Denaturation)*(Direct_Denaturation&lt;&gt;"-"),COUNTIF(Direct_Denaturation,"-")+ROW()-3-$AB$2-$AN$2)-9,34)),"-")</f>
        <v>-</v>
      </c>
      <c r="BB316" s="510" t="str">
        <f t="array" aca="1" ref="BB316" ca="1">IFERROR(IF(AS316&lt;=$AB$2+$AN$2,"-",INDEX(Calculation_Tab,SMALL(ROW(Direct_Denaturation)*(Direct_Denaturation&lt;&gt;"-"),COUNTIF(Direct_Denaturation,"-")+ROW()-3-$AB$2-$AN$2)-9,33)),"-")</f>
        <v>-</v>
      </c>
      <c r="BC316" s="510" t="str">
        <f t="array" aca="1" ref="BC316" ca="1">IFERROR(IF(AS316&lt;=$AB$2+$AN$2,"-",INDEX(Calculation_Tab,SMALL(ROW(Direct_Denaturation)*(Direct_Denaturation&lt;&gt;"-"),COUNTIF(Direct_Denaturation,"-")+ROW()-3-$AB$2-$AN$2)-9,35)),"-")</f>
        <v>-</v>
      </c>
      <c r="BD316" s="511" t="str">
        <f t="shared" ca="1" si="143"/>
        <v>-</v>
      </c>
      <c r="BK316" s="542" t="s">
        <v>82</v>
      </c>
      <c r="BL316" s="542" t="s">
        <v>82</v>
      </c>
      <c r="BM316" s="487" t="str">
        <f t="array" aca="1" ref="BM316" ca="1">IFERROR(INDEX(Calculation_Tab,SMALL(ROW(ToPool)*(ToPool&lt;&gt;"-"),COUNTIF(ToPool,"-")+ROW()-3)-9,3),"-")</f>
        <v>-</v>
      </c>
      <c r="BN316" s="378" t="str">
        <f t="shared" ca="1" si="144"/>
        <v>-</v>
      </c>
      <c r="BO316" s="378" t="str">
        <f t="shared" ca="1" si="145"/>
        <v>-</v>
      </c>
      <c r="BP316" s="523" t="str">
        <f t="shared" ca="1" si="146"/>
        <v>-</v>
      </c>
      <c r="BQ316" s="378" t="str">
        <f t="array" aca="1" ref="BQ316" ca="1">IFERROR(INDEX(BE:BG,MATCH(INDEX(Calculation_Tab,SMALL(ROW(ToPool)*(ToPool&lt;&gt;"-"),COUNTIF(ToPool,"-")+ROW()-3)-9,9),BG:BG,0),2),"-")</f>
        <v>-</v>
      </c>
      <c r="BR316" s="510" t="str">
        <f t="shared" ca="1" si="147"/>
        <v>-</v>
      </c>
      <c r="BS316" s="511" t="str">
        <f t="shared" ca="1" si="148"/>
        <v>-</v>
      </c>
      <c r="BT316" s="543" t="s">
        <v>82</v>
      </c>
      <c r="BU316" s="487" t="str">
        <f t="shared" ca="1" si="152"/>
        <v>-</v>
      </c>
      <c r="BV316" s="487" t="str">
        <f t="array" aca="1" ref="BV31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16" s="378" t="str">
        <f t="shared" ca="1" si="149"/>
        <v>-</v>
      </c>
      <c r="BX316" s="378" t="str">
        <f t="shared" ca="1" si="150"/>
        <v>-</v>
      </c>
      <c r="BY316" s="510" t="str">
        <f ca="1">IFERROR(ROUND(INDEX(Cluster,MATCH(IF(LEFT(BV316,4)="Pool",INDEX(Cluster,MATCH(INDEX(Calculation_Tab,MATCH(INDEX($BE$4:$BJ$99,MATCH(BV316,$BE$4:$BE$99,0),3),Flow_Cell_Lane,0),3),Cluster!$F$29:$F$412,0),6),BV316),Identifier_Cluster,0),19)*IF(LEFT(BV316,4)="pool",IF(LEN(INDEX($BE$4:$BJ$99,MATCH(BV316,$BE$4:$BE$99,0),3))=10,2,IF(LEN(INDEX($BE$4:$BJ$99,MATCH(BV316,$BE$4:$BE$99,0),3))&gt;10,LEN(INDEX($BE$4:$BJ$99,MATCH(BV316,$BE$4:$BE$99,0),3))-8,1)),1)*IF(LEFT(BV316,4)="pool",IF(INDEX($BE$4:$BJ$99,MATCH(BV316,$BE$4:$BE$99,0),6)&lt;1,1,INDEX($BE$4:$BJ$99,MATCH(BV316,$BE$4:$BE$99,0),6)),INDEX(Calculation_Tab,MATCH(BV316,Identifier,0),10)),1)*(1+Calculation!$Q$6),"-")</f>
        <v>-</v>
      </c>
      <c r="BZ316" s="378" t="str">
        <f ca="1">IFERROR((0.5/50)*CE316/Calculation!$AG$6*(IF(LEFT(BV316,4)="Pool",IF(LEN(INDEX($BE$4:$BJ$99,MATCH(BV316,$BE$4:$BE$99,0),3))=10,2,IF(LEN(INDEX($BE$4:$BJ$99,MATCH(BV316,$BE$4:$BE$99,0),3))&gt;10,LEN(INDEX($BE$4:$BJ$99,MATCH(BV316,$BE$4:$BE$99,0),3))-8,1)),IF(INDEX(Calculation_Tab,MATCH(BV316,Identifier,0),10)&gt;1,INDEX(Calculation_Tab,MATCH(BV316,Identifier,0),10),1)))*(1+Calculation!$Q$6),"-")</f>
        <v>-</v>
      </c>
      <c r="CA316" s="510" t="str">
        <f ca="1">IFERROR(IF((BZ316*Calculation!$AG$6/0.05)-SUM(BY316:BZ316,CC316)&gt;0,(BZ316*Calculation!$AG$6/0.05)-SUM(BY316:BZ316,CC316),0),"-")</f>
        <v>-</v>
      </c>
      <c r="CB316" s="510" t="str">
        <f ca="1">IFERROR(5/50*CE316*(IF(LEFT(BV316,4)="Pool",IF(LEN(INDEX($BE$4:$BJ$99,MATCH(BV316,$BE$4:$BE$99,0),3))=10,2,IF(LEN(INDEX($BE$4:$BJ$99,MATCH(BV316,$BE$4:$BE$99,0),3))&gt;10,LEN(INDEX($BE$4:$BJ$99,MATCH(BV316,$BE$4:$BE$99,0),3))-8,1)),IF(INDEX(Calculation_Tab,MATCH(BV316,Identifier,0),10)&gt;1,INDEX(Calculation_Tab,MATCH(BV316,Identifier,0),10),1)))*(1+Calculation!$Q$6),"-")</f>
        <v>-</v>
      </c>
      <c r="CC316" s="508" t="str">
        <f ca="1">IFERROR(ROUND(INDEX(Cluster,MATCH(IF(LEFT(BV316,4)="Pool",INDEX(Cluster,MATCH(INDEX(Calculation_Tab,MATCH(INDEX($BE$4:$BJ$99,MATCH(BV316,$BE$4:$BE$99,0),3),Flow_Cell_Lane,0),3),Cluster!$F$29:$F$412,0),6),BV316),Identifier_Cluster,0),20)*IF(LEFT(BV316,4)="pool",IF(LEN(INDEX($BE$4:$BJ$99,MATCH(BV316,$BE$4:$BE$99,0),3))=10,2,IF(LEN(INDEX($BE$4:$BJ$99,MATCH(BV316,$BE$4:$BE$99,0),3))&gt;10,LEN(INDEX($BE$4:$BJ$99,MATCH(BV316,$BE$4:$BE$99,0),3))-8,1)),1)*IF(LEFT(BV316,4)="pool",IF(INDEX($BE$4:$BJ$99,MATCH(BV316,$BE$4:$BE$99,0),6)&lt;1,1,INDEX($BE$4:$BJ$99,MATCH(BV316,$BE$4:$BE$99,0),6)),INDEX(Calculation_Tab,MATCH(BV316,Identifier,0),10)),1)*(1+Calculation!$Q$6),"-")</f>
        <v>-</v>
      </c>
      <c r="CD316" s="509" t="str">
        <f ca="1">IFERROR(INDEX(Cluster!AC:AD,MATCH(IF(LEFT(BV316,4)="Pool",INDEX(Cluster!$D$29:$AA$412,MATCH(INDEX(Calculation_Tab,MATCH(INDEX($BE$4:$BJ$99,MATCH(BV316,$BE$4:$BE$99,0),3),Flow_Cell_Lane,0),3),Cluster!$F$29:$F$412,0),24),INDEX(Cluster!$D$29:$AA$412,MATCH(BV316,Cluster!$F$29:$F$412,0),24)),Cluster!AC:AC,0),2),"-")</f>
        <v>-</v>
      </c>
      <c r="CE316" s="378" t="str">
        <f ca="1">IFERROR(IF(BV316&lt;&gt;"-",Calculation!$AK$6,"-"),"-")</f>
        <v>-</v>
      </c>
      <c r="CF316" s="378" t="str">
        <f ca="1">IF(OR(LEFT(ListAndConversion!BW316,3)="Dil",LEFT(ListAndConversion!BW316,3)="Poo"),ListAndConversion!$BT$4,IF(LEFT(ListAndConversion!BW316,3)="Sou",INDEX(ListAndConversion!$AT$3:$AV$387,MATCH(ListAndConversion!BV316,ListAndConversion!$AV$3:$AV$387,0),1),"-"))</f>
        <v>-</v>
      </c>
      <c r="CG316" s="498" t="str">
        <f ca="1">IF(OR(LEFT(ListAndConversion!BW316,3)="Dil",LEFT(ListAndConversion!BW316,3)="Poo"),ListAndConversion!BU316,IF(LEFT(ListAndConversion!BW316,3)="Sou",INDEX(ListAndConversion!$AT$4:$AV$387,MATCH(ListAndConversion!BV316,ListAndConversion!$AV$4:$AV$387,0),2),"-"))</f>
        <v>-</v>
      </c>
      <c r="CH316" s="378"/>
      <c r="CI316" s="487" t="str">
        <f t="shared" ca="1" si="151"/>
        <v>-</v>
      </c>
      <c r="CJ316" s="378" t="str">
        <f t="shared" ca="1" si="164"/>
        <v>-</v>
      </c>
      <c r="CK316" s="378" t="str">
        <f t="shared" ca="1" si="164"/>
        <v>-</v>
      </c>
      <c r="CL316" s="378" t="str">
        <f t="shared" ca="1" si="164"/>
        <v>-</v>
      </c>
      <c r="CM316" s="378" t="str">
        <f t="shared" ca="1" si="164"/>
        <v>-</v>
      </c>
      <c r="CN316" s="378" t="str">
        <f t="shared" ca="1" si="164"/>
        <v>-</v>
      </c>
      <c r="CO316" s="378" t="str">
        <f t="shared" ca="1" si="164"/>
        <v>-</v>
      </c>
      <c r="CP316" s="378" t="str">
        <f t="shared" ca="1" si="164"/>
        <v>-</v>
      </c>
      <c r="CQ316" s="378" t="str">
        <f t="shared" ca="1" si="164"/>
        <v>-</v>
      </c>
      <c r="CR316" s="510" t="str">
        <f ca="1">IFERROR(IF(LEFT(BW316,3)="Poo",INDEX($BE$4:$BJ$99,MATCH(CI316,$BG$4:$BG$99,0),6)*((15/50))*Calculation!$AK$6,INDEX(Calculation_Tab,MATCH(BV316,Identifier,0),10)/(IF(LEN(INDEX(Calculation_Tab,MATCH(BV316,Identifier,0),9))&gt;8,LEN(INDEX(Calculation_Tab,MATCH(BV316,Identifier,0),9))-8,1))*((15/50)*Calculation!$AK$6)),"-")</f>
        <v>-</v>
      </c>
      <c r="CS316" s="498" t="str">
        <f ca="1">IF(CI316="-","-",IF(COUNTIF($CI$3:CI316,CI316)&gt;1,0,IFERROR((35/50)*Calculation!$AK$6,"-")))</f>
        <v>-</v>
      </c>
    </row>
    <row r="317" spans="4:97" x14ac:dyDescent="0.5">
      <c r="D317" s="487" t="e">
        <f t="shared" si="137"/>
        <v>#DIV/0!</v>
      </c>
      <c r="E317" s="496" t="e">
        <f t="array" ref="E317">IF(IF((ROW(E317)-3)&lt;(ListAndConversion!$A$15),INDEX(Flow_Cell_Lane,MIN(IF(COUNTIF($E$2:E316,Flow_Cell_Lane)=0,ROW(Flow_Cell_Lane)-9))),"-")="","-",IF((ROW(E317)-3)&lt;(ListAndConversion!$A$15),INDEX(Flow_Cell_Lane,MIN(IF(COUNTIF($E$2:E316,Flow_Cell_Lane)=0,ROW(Flow_Cell_Lane)-9))),"-"))</f>
        <v>#DIV/0!</v>
      </c>
      <c r="F317" s="378" t="e">
        <f t="shared" si="138"/>
        <v>#DIV/0!</v>
      </c>
      <c r="G317" s="378" t="e">
        <f t="shared" si="163"/>
        <v>#DIV/0!</v>
      </c>
      <c r="H317" s="378" t="e">
        <f t="shared" si="163"/>
        <v>#DIV/0!</v>
      </c>
      <c r="I317" s="378" t="e">
        <f t="shared" si="163"/>
        <v>#DIV/0!</v>
      </c>
      <c r="J317" s="378" t="e">
        <f t="shared" si="163"/>
        <v>#DIV/0!</v>
      </c>
      <c r="K317" s="378" t="e">
        <f t="shared" si="163"/>
        <v>#DIV/0!</v>
      </c>
      <c r="L317" s="378" t="e">
        <f t="shared" si="163"/>
        <v>#DIV/0!</v>
      </c>
      <c r="M317" s="378" t="e">
        <f t="shared" si="163"/>
        <v>#DIV/0!</v>
      </c>
      <c r="N317" s="497" t="e">
        <f t="shared" si="139"/>
        <v>#DIV/0!</v>
      </c>
      <c r="O317" s="497" t="str">
        <f t="array" ref="O317">IFERROR(INDEX(Calculation!I:AN,MATCH(ListAndConversion!E317,Calculation!I:I,0),31),"-")</f>
        <v>-</v>
      </c>
      <c r="P317" s="498">
        <f>IF(COUNTIFS(Calculation!$I$10:$I$393,E317,Direct_Denaturation,"-")&lt;&gt;1,COUNTIFS(Calculation!$I$10:$I$393,E317,Direct_Denaturation,"-"),0)</f>
        <v>0</v>
      </c>
      <c r="V317" s="542" t="s">
        <v>82</v>
      </c>
      <c r="W317" s="542" t="s">
        <v>82</v>
      </c>
      <c r="X317" s="542" t="s">
        <v>82</v>
      </c>
      <c r="Y317" s="542" t="s">
        <v>82</v>
      </c>
      <c r="Z317" s="542" t="s">
        <v>82</v>
      </c>
      <c r="AA317" s="542" t="s">
        <v>82</v>
      </c>
      <c r="AB317" s="542" t="s">
        <v>82</v>
      </c>
      <c r="AC317" s="542" t="s">
        <v>82</v>
      </c>
      <c r="AD317" s="542" t="s">
        <v>82</v>
      </c>
      <c r="AE317" s="542" t="s">
        <v>82</v>
      </c>
      <c r="AF317" s="542" t="s">
        <v>82</v>
      </c>
      <c r="AG317" s="542" t="s">
        <v>82</v>
      </c>
      <c r="AH317" s="9"/>
      <c r="AI317" s="487">
        <v>314</v>
      </c>
      <c r="AJ317" s="497" t="s">
        <v>479</v>
      </c>
      <c r="AK317" s="378">
        <v>26</v>
      </c>
      <c r="AL317" s="378" t="str">
        <f t="shared" ca="1" si="140"/>
        <v>-</v>
      </c>
      <c r="AM317" s="378" t="str">
        <f t="array" aca="1" ref="AM317" ca="1">IFERROR(IF(AI317&lt;=$AB$2,"-",INDEX(Calculation_Tab,SMALL(ROW(Main_Dil)*(Main_Dil&lt;&gt;"-"),COUNTIF(Main_Dil,"-")+ROW()-3-$AB$2)-9,5)),"-")</f>
        <v>-</v>
      </c>
      <c r="AN317" s="378" t="str">
        <f t="array" aca="1" ref="AN317" ca="1">IFERROR(IF(AI317&lt;=$AB$2,"-",INDEX($A$3:$B$12,MATCH(INDEX(Calculation_Tab,SMALL(ROW(Main_Dil)*(Main_Dil&lt;&gt;"-"),COUNTIF(Main_Dil,"-")+ROW()-3-$AB$2)-9,5),$A$3:$A$12,0),2)),"-")</f>
        <v>-</v>
      </c>
      <c r="AO317" s="378" t="str">
        <f t="array" aca="1" ref="AO317" ca="1">IFERROR(IF(AI317&lt;=$AB$2,"-",INDEX(Coordinate,MATCH(INDEX(Calculation_Tab,SMALL(ROW(Main_Dil)*(Main_Dil&lt;&gt;"-"),COUNTIF(Main_Dil,"-")+ROW()-3-$AB$2)-9,6),$X$4:$X$99,0),2)),"-")</f>
        <v>-</v>
      </c>
      <c r="AP317" s="510" t="str">
        <f t="array" aca="1" ref="AP317" ca="1">IFERROR(IF(AI317&lt;=$AB$2,"-",INDEX(Calculation_Tab,SMALL(ROW(Main_Dil)*(Main_Dil&lt;&gt;"-"),COUNTIF(Main_Dil,"-")+ROW()-3-$AB$2)-9,21)),"-")</f>
        <v>-</v>
      </c>
      <c r="AQ317" s="511" t="str">
        <f t="array" aca="1" ref="AQ317" ca="1">IFERROR(IF(AI317&lt;=$AB$2,"-",INDEX(Calculation_Tab,SMALL(ROW(Main_Dil)*(Main_Dil&lt;&gt;"-"),COUNTIF(Main_Dil,"-")+ROW()-3-$AB$2)-9,22)),"-")</f>
        <v>-</v>
      </c>
      <c r="AR317" s="487" t="str">
        <f t="shared" ca="1" si="141"/>
        <v>-</v>
      </c>
      <c r="AS317" s="378">
        <v>314</v>
      </c>
      <c r="AT317" s="497" t="s">
        <v>479</v>
      </c>
      <c r="AU317" s="498">
        <v>26</v>
      </c>
      <c r="AV317" s="378" t="str">
        <f t="shared" ca="1" si="142"/>
        <v>-</v>
      </c>
      <c r="AW317" s="378" t="str">
        <f t="array" aca="1" ref="AW317" ca="1">IFERROR(IF(AS317&lt;=$AB$2+$AN$2,"-",INDEX(Calculation_Tab,SMALL(ROW(Direct_Denaturation)*(Direct_Denaturation&lt;&gt;"-"),COUNTIF(Direct_Denaturation,"-")+ROW()-3-$AB$2-$AN$2)-9,5)),"-")</f>
        <v>-</v>
      </c>
      <c r="AX317" s="378" t="str">
        <f t="array" aca="1" ref="AX317" ca="1">IFERROR(IF(AS317&lt;=$AB$2+$AN$2,"-",INDEX($A$3:$B$12,MATCH(INDEX(Calculation_Tab,SMALL(ROW(Direct_Denaturation)*(Direct_Denaturation&lt;&gt;"-"),COUNTIF(Direct_Denaturation,"-")+ROW()-3-$AB$2-$AN$2)-9,5),$A$3:$A$12,0),2)),"-")</f>
        <v>-</v>
      </c>
      <c r="AY317" s="378" t="str">
        <f t="array" aca="1" ref="AY317" ca="1">IFERROR(IF(AS317&lt;=$AB$2+$AN$2,"-",INDEX(Coordinate,MATCH(INDEX(Calculation_Tab,SMALL(ROW(Direct_Denaturation)*(Direct_Denaturation&lt;&gt;"-"),COUNTIF(Direct_Denaturation,"-")+ROW()-3-$AB$2-$AN$2)-9,6),$X$4:$X$99,0),2)),"-")</f>
        <v>-</v>
      </c>
      <c r="AZ317" s="510" t="str">
        <f t="array" aca="1" ref="AZ317" ca="1">IFERROR(IF(AS317&lt;=$AB$2+$AN$2,"-",INDEX(Calculation_Tab,SMALL(ROW(Direct_Denaturation)*(Direct_Denaturation&lt;&gt;"-"),COUNTIF(Direct_Denaturation,"-")+ROW()-3-$AB$2-$AN$2)-9,32)),"-")</f>
        <v>-</v>
      </c>
      <c r="BA317" s="510" t="str">
        <f t="array" aca="1" ref="BA317" ca="1">IFERROR(IF(AS317&lt;=$AB$2+$AN$2,"-",INDEX(Calculation_Tab,SMALL(ROW(Direct_Denaturation)*(Direct_Denaturation&lt;&gt;"-"),COUNTIF(Direct_Denaturation,"-")+ROW()-3-$AB$2-$AN$2)-9,34)),"-")</f>
        <v>-</v>
      </c>
      <c r="BB317" s="510" t="str">
        <f t="array" aca="1" ref="BB317" ca="1">IFERROR(IF(AS317&lt;=$AB$2+$AN$2,"-",INDEX(Calculation_Tab,SMALL(ROW(Direct_Denaturation)*(Direct_Denaturation&lt;&gt;"-"),COUNTIF(Direct_Denaturation,"-")+ROW()-3-$AB$2-$AN$2)-9,33)),"-")</f>
        <v>-</v>
      </c>
      <c r="BC317" s="510" t="str">
        <f t="array" aca="1" ref="BC317" ca="1">IFERROR(IF(AS317&lt;=$AB$2+$AN$2,"-",INDEX(Calculation_Tab,SMALL(ROW(Direct_Denaturation)*(Direct_Denaturation&lt;&gt;"-"),COUNTIF(Direct_Denaturation,"-")+ROW()-3-$AB$2-$AN$2)-9,35)),"-")</f>
        <v>-</v>
      </c>
      <c r="BD317" s="511" t="str">
        <f t="shared" ca="1" si="143"/>
        <v>-</v>
      </c>
      <c r="BK317" s="542" t="s">
        <v>82</v>
      </c>
      <c r="BL317" s="542" t="s">
        <v>82</v>
      </c>
      <c r="BM317" s="487" t="str">
        <f t="array" aca="1" ref="BM317" ca="1">IFERROR(INDEX(Calculation_Tab,SMALL(ROW(ToPool)*(ToPool&lt;&gt;"-"),COUNTIF(ToPool,"-")+ROW()-3)-9,3),"-")</f>
        <v>-</v>
      </c>
      <c r="BN317" s="378" t="str">
        <f t="shared" ca="1" si="144"/>
        <v>-</v>
      </c>
      <c r="BO317" s="378" t="str">
        <f t="shared" ca="1" si="145"/>
        <v>-</v>
      </c>
      <c r="BP317" s="523" t="str">
        <f t="shared" ca="1" si="146"/>
        <v>-</v>
      </c>
      <c r="BQ317" s="378" t="str">
        <f t="array" aca="1" ref="BQ317" ca="1">IFERROR(INDEX(BE:BG,MATCH(INDEX(Calculation_Tab,SMALL(ROW(ToPool)*(ToPool&lt;&gt;"-"),COUNTIF(ToPool,"-")+ROW()-3)-9,9),BG:BG,0),2),"-")</f>
        <v>-</v>
      </c>
      <c r="BR317" s="510" t="str">
        <f t="shared" ca="1" si="147"/>
        <v>-</v>
      </c>
      <c r="BS317" s="511" t="str">
        <f t="shared" ca="1" si="148"/>
        <v>-</v>
      </c>
      <c r="BT317" s="543" t="s">
        <v>82</v>
      </c>
      <c r="BU317" s="487" t="str">
        <f t="shared" ca="1" si="152"/>
        <v>-</v>
      </c>
      <c r="BV317" s="487" t="str">
        <f t="array" aca="1" ref="BV31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17" s="378" t="str">
        <f t="shared" ca="1" si="149"/>
        <v>-</v>
      </c>
      <c r="BX317" s="378" t="str">
        <f t="shared" ca="1" si="150"/>
        <v>-</v>
      </c>
      <c r="BY317" s="510" t="str">
        <f ca="1">IFERROR(ROUND(INDEX(Cluster,MATCH(IF(LEFT(BV317,4)="Pool",INDEX(Cluster,MATCH(INDEX(Calculation_Tab,MATCH(INDEX($BE$4:$BJ$99,MATCH(BV317,$BE$4:$BE$99,0),3),Flow_Cell_Lane,0),3),Cluster!$F$29:$F$412,0),6),BV317),Identifier_Cluster,0),19)*IF(LEFT(BV317,4)="pool",IF(LEN(INDEX($BE$4:$BJ$99,MATCH(BV317,$BE$4:$BE$99,0),3))=10,2,IF(LEN(INDEX($BE$4:$BJ$99,MATCH(BV317,$BE$4:$BE$99,0),3))&gt;10,LEN(INDEX($BE$4:$BJ$99,MATCH(BV317,$BE$4:$BE$99,0),3))-8,1)),1)*IF(LEFT(BV317,4)="pool",IF(INDEX($BE$4:$BJ$99,MATCH(BV317,$BE$4:$BE$99,0),6)&lt;1,1,INDEX($BE$4:$BJ$99,MATCH(BV317,$BE$4:$BE$99,0),6)),INDEX(Calculation_Tab,MATCH(BV317,Identifier,0),10)),1)*(1+Calculation!$Q$6),"-")</f>
        <v>-</v>
      </c>
      <c r="BZ317" s="378" t="str">
        <f ca="1">IFERROR((0.5/50)*CE317/Calculation!$AG$6*(IF(LEFT(BV317,4)="Pool",IF(LEN(INDEX($BE$4:$BJ$99,MATCH(BV317,$BE$4:$BE$99,0),3))=10,2,IF(LEN(INDEX($BE$4:$BJ$99,MATCH(BV317,$BE$4:$BE$99,0),3))&gt;10,LEN(INDEX($BE$4:$BJ$99,MATCH(BV317,$BE$4:$BE$99,0),3))-8,1)),IF(INDEX(Calculation_Tab,MATCH(BV317,Identifier,0),10)&gt;1,INDEX(Calculation_Tab,MATCH(BV317,Identifier,0),10),1)))*(1+Calculation!$Q$6),"-")</f>
        <v>-</v>
      </c>
      <c r="CA317" s="510" t="str">
        <f ca="1">IFERROR(IF((BZ317*Calculation!$AG$6/0.05)-SUM(BY317:BZ317,CC317)&gt;0,(BZ317*Calculation!$AG$6/0.05)-SUM(BY317:BZ317,CC317),0),"-")</f>
        <v>-</v>
      </c>
      <c r="CB317" s="510" t="str">
        <f ca="1">IFERROR(5/50*CE317*(IF(LEFT(BV317,4)="Pool",IF(LEN(INDEX($BE$4:$BJ$99,MATCH(BV317,$BE$4:$BE$99,0),3))=10,2,IF(LEN(INDEX($BE$4:$BJ$99,MATCH(BV317,$BE$4:$BE$99,0),3))&gt;10,LEN(INDEX($BE$4:$BJ$99,MATCH(BV317,$BE$4:$BE$99,0),3))-8,1)),IF(INDEX(Calculation_Tab,MATCH(BV317,Identifier,0),10)&gt;1,INDEX(Calculation_Tab,MATCH(BV317,Identifier,0),10),1)))*(1+Calculation!$Q$6),"-")</f>
        <v>-</v>
      </c>
      <c r="CC317" s="508" t="str">
        <f ca="1">IFERROR(ROUND(INDEX(Cluster,MATCH(IF(LEFT(BV317,4)="Pool",INDEX(Cluster,MATCH(INDEX(Calculation_Tab,MATCH(INDEX($BE$4:$BJ$99,MATCH(BV317,$BE$4:$BE$99,0),3),Flow_Cell_Lane,0),3),Cluster!$F$29:$F$412,0),6),BV317),Identifier_Cluster,0),20)*IF(LEFT(BV317,4)="pool",IF(LEN(INDEX($BE$4:$BJ$99,MATCH(BV317,$BE$4:$BE$99,0),3))=10,2,IF(LEN(INDEX($BE$4:$BJ$99,MATCH(BV317,$BE$4:$BE$99,0),3))&gt;10,LEN(INDEX($BE$4:$BJ$99,MATCH(BV317,$BE$4:$BE$99,0),3))-8,1)),1)*IF(LEFT(BV317,4)="pool",IF(INDEX($BE$4:$BJ$99,MATCH(BV317,$BE$4:$BE$99,0),6)&lt;1,1,INDEX($BE$4:$BJ$99,MATCH(BV317,$BE$4:$BE$99,0),6)),INDEX(Calculation_Tab,MATCH(BV317,Identifier,0),10)),1)*(1+Calculation!$Q$6),"-")</f>
        <v>-</v>
      </c>
      <c r="CD317" s="509" t="str">
        <f ca="1">IFERROR(INDEX(Cluster!AC:AD,MATCH(IF(LEFT(BV317,4)="Pool",INDEX(Cluster!$D$29:$AA$412,MATCH(INDEX(Calculation_Tab,MATCH(INDEX($BE$4:$BJ$99,MATCH(BV317,$BE$4:$BE$99,0),3),Flow_Cell_Lane,0),3),Cluster!$F$29:$F$412,0),24),INDEX(Cluster!$D$29:$AA$412,MATCH(BV317,Cluster!$F$29:$F$412,0),24)),Cluster!AC:AC,0),2),"-")</f>
        <v>-</v>
      </c>
      <c r="CE317" s="378" t="str">
        <f ca="1">IFERROR(IF(BV317&lt;&gt;"-",Calculation!$AK$6,"-"),"-")</f>
        <v>-</v>
      </c>
      <c r="CF317" s="378" t="str">
        <f ca="1">IF(OR(LEFT(ListAndConversion!BW317,3)="Dil",LEFT(ListAndConversion!BW317,3)="Poo"),ListAndConversion!$BT$4,IF(LEFT(ListAndConversion!BW317,3)="Sou",INDEX(ListAndConversion!$AT$3:$AV$387,MATCH(ListAndConversion!BV317,ListAndConversion!$AV$3:$AV$387,0),1),"-"))</f>
        <v>-</v>
      </c>
      <c r="CG317" s="498" t="str">
        <f ca="1">IF(OR(LEFT(ListAndConversion!BW317,3)="Dil",LEFT(ListAndConversion!BW317,3)="Poo"),ListAndConversion!BU317,IF(LEFT(ListAndConversion!BW317,3)="Sou",INDEX(ListAndConversion!$AT$4:$AV$387,MATCH(ListAndConversion!BV317,ListAndConversion!$AV$4:$AV$387,0),2),"-"))</f>
        <v>-</v>
      </c>
      <c r="CH317" s="378"/>
      <c r="CI317" s="487" t="str">
        <f t="shared" ca="1" si="151"/>
        <v>-</v>
      </c>
      <c r="CJ317" s="378" t="str">
        <f t="shared" ca="1" si="164"/>
        <v>-</v>
      </c>
      <c r="CK317" s="378" t="str">
        <f t="shared" ca="1" si="164"/>
        <v>-</v>
      </c>
      <c r="CL317" s="378" t="str">
        <f t="shared" ca="1" si="164"/>
        <v>-</v>
      </c>
      <c r="CM317" s="378" t="str">
        <f t="shared" ca="1" si="164"/>
        <v>-</v>
      </c>
      <c r="CN317" s="378" t="str">
        <f t="shared" ca="1" si="164"/>
        <v>-</v>
      </c>
      <c r="CO317" s="378" t="str">
        <f t="shared" ca="1" si="164"/>
        <v>-</v>
      </c>
      <c r="CP317" s="378" t="str">
        <f t="shared" ca="1" si="164"/>
        <v>-</v>
      </c>
      <c r="CQ317" s="378" t="str">
        <f t="shared" ca="1" si="164"/>
        <v>-</v>
      </c>
      <c r="CR317" s="510" t="str">
        <f ca="1">IFERROR(IF(LEFT(BW317,3)="Poo",INDEX($BE$4:$BJ$99,MATCH(CI317,$BG$4:$BG$99,0),6)*((15/50))*Calculation!$AK$6,INDEX(Calculation_Tab,MATCH(BV317,Identifier,0),10)/(IF(LEN(INDEX(Calculation_Tab,MATCH(BV317,Identifier,0),9))&gt;8,LEN(INDEX(Calculation_Tab,MATCH(BV317,Identifier,0),9))-8,1))*((15/50)*Calculation!$AK$6)),"-")</f>
        <v>-</v>
      </c>
      <c r="CS317" s="498" t="str">
        <f ca="1">IF(CI317="-","-",IF(COUNTIF($CI$3:CI317,CI317)&gt;1,0,IFERROR((35/50)*Calculation!$AK$6,"-")))</f>
        <v>-</v>
      </c>
    </row>
    <row r="318" spans="4:97" x14ac:dyDescent="0.5">
      <c r="D318" s="487" t="e">
        <f t="shared" si="137"/>
        <v>#DIV/0!</v>
      </c>
      <c r="E318" s="496" t="e">
        <f t="array" ref="E318">IF(IF((ROW(E318)-3)&lt;(ListAndConversion!$A$15),INDEX(Flow_Cell_Lane,MIN(IF(COUNTIF($E$2:E317,Flow_Cell_Lane)=0,ROW(Flow_Cell_Lane)-9))),"-")="","-",IF((ROW(E318)-3)&lt;(ListAndConversion!$A$15),INDEX(Flow_Cell_Lane,MIN(IF(COUNTIF($E$2:E317,Flow_Cell_Lane)=0,ROW(Flow_Cell_Lane)-9))),"-"))</f>
        <v>#DIV/0!</v>
      </c>
      <c r="F318" s="378" t="e">
        <f t="shared" si="138"/>
        <v>#DIV/0!</v>
      </c>
      <c r="G318" s="378" t="e">
        <f t="shared" si="163"/>
        <v>#DIV/0!</v>
      </c>
      <c r="H318" s="378" t="e">
        <f t="shared" si="163"/>
        <v>#DIV/0!</v>
      </c>
      <c r="I318" s="378" t="e">
        <f t="shared" si="163"/>
        <v>#DIV/0!</v>
      </c>
      <c r="J318" s="378" t="e">
        <f t="shared" si="163"/>
        <v>#DIV/0!</v>
      </c>
      <c r="K318" s="378" t="e">
        <f t="shared" si="163"/>
        <v>#DIV/0!</v>
      </c>
      <c r="L318" s="378" t="e">
        <f t="shared" si="163"/>
        <v>#DIV/0!</v>
      </c>
      <c r="M318" s="378" t="e">
        <f t="shared" si="163"/>
        <v>#DIV/0!</v>
      </c>
      <c r="N318" s="497" t="e">
        <f t="shared" si="139"/>
        <v>#DIV/0!</v>
      </c>
      <c r="O318" s="497" t="str">
        <f t="array" ref="O318">IFERROR(INDEX(Calculation!I:AN,MATCH(ListAndConversion!E318,Calculation!I:I,0),31),"-")</f>
        <v>-</v>
      </c>
      <c r="P318" s="498">
        <f>IF(COUNTIFS(Calculation!$I$10:$I$393,E318,Direct_Denaturation,"-")&lt;&gt;1,COUNTIFS(Calculation!$I$10:$I$393,E318,Direct_Denaturation,"-"),0)</f>
        <v>0</v>
      </c>
      <c r="V318" s="542" t="s">
        <v>82</v>
      </c>
      <c r="W318" s="542" t="s">
        <v>82</v>
      </c>
      <c r="X318" s="542" t="s">
        <v>82</v>
      </c>
      <c r="Y318" s="542" t="s">
        <v>82</v>
      </c>
      <c r="Z318" s="542" t="s">
        <v>82</v>
      </c>
      <c r="AA318" s="542" t="s">
        <v>82</v>
      </c>
      <c r="AB318" s="542" t="s">
        <v>82</v>
      </c>
      <c r="AC318" s="542" t="s">
        <v>82</v>
      </c>
      <c r="AD318" s="542" t="s">
        <v>82</v>
      </c>
      <c r="AE318" s="542" t="s">
        <v>82</v>
      </c>
      <c r="AF318" s="542" t="s">
        <v>82</v>
      </c>
      <c r="AG318" s="542" t="s">
        <v>82</v>
      </c>
      <c r="AH318" s="9"/>
      <c r="AI318" s="487">
        <v>315</v>
      </c>
      <c r="AJ318" s="497" t="s">
        <v>479</v>
      </c>
      <c r="AK318" s="378">
        <v>27</v>
      </c>
      <c r="AL318" s="378" t="str">
        <f t="shared" ca="1" si="140"/>
        <v>-</v>
      </c>
      <c r="AM318" s="378" t="str">
        <f t="array" aca="1" ref="AM318" ca="1">IFERROR(IF(AI318&lt;=$AB$2,"-",INDEX(Calculation_Tab,SMALL(ROW(Main_Dil)*(Main_Dil&lt;&gt;"-"),COUNTIF(Main_Dil,"-")+ROW()-3-$AB$2)-9,5)),"-")</f>
        <v>-</v>
      </c>
      <c r="AN318" s="378" t="str">
        <f t="array" aca="1" ref="AN318" ca="1">IFERROR(IF(AI318&lt;=$AB$2,"-",INDEX($A$3:$B$12,MATCH(INDEX(Calculation_Tab,SMALL(ROW(Main_Dil)*(Main_Dil&lt;&gt;"-"),COUNTIF(Main_Dil,"-")+ROW()-3-$AB$2)-9,5),$A$3:$A$12,0),2)),"-")</f>
        <v>-</v>
      </c>
      <c r="AO318" s="378" t="str">
        <f t="array" aca="1" ref="AO318" ca="1">IFERROR(IF(AI318&lt;=$AB$2,"-",INDEX(Coordinate,MATCH(INDEX(Calculation_Tab,SMALL(ROW(Main_Dil)*(Main_Dil&lt;&gt;"-"),COUNTIF(Main_Dil,"-")+ROW()-3-$AB$2)-9,6),$X$4:$X$99,0),2)),"-")</f>
        <v>-</v>
      </c>
      <c r="AP318" s="510" t="str">
        <f t="array" aca="1" ref="AP318" ca="1">IFERROR(IF(AI318&lt;=$AB$2,"-",INDEX(Calculation_Tab,SMALL(ROW(Main_Dil)*(Main_Dil&lt;&gt;"-"),COUNTIF(Main_Dil,"-")+ROW()-3-$AB$2)-9,21)),"-")</f>
        <v>-</v>
      </c>
      <c r="AQ318" s="511" t="str">
        <f t="array" aca="1" ref="AQ318" ca="1">IFERROR(IF(AI318&lt;=$AB$2,"-",INDEX(Calculation_Tab,SMALL(ROW(Main_Dil)*(Main_Dil&lt;&gt;"-"),COUNTIF(Main_Dil,"-")+ROW()-3-$AB$2)-9,22)),"-")</f>
        <v>-</v>
      </c>
      <c r="AR318" s="487" t="str">
        <f t="shared" ca="1" si="141"/>
        <v>-</v>
      </c>
      <c r="AS318" s="378">
        <v>315</v>
      </c>
      <c r="AT318" s="497" t="s">
        <v>479</v>
      </c>
      <c r="AU318" s="498">
        <v>27</v>
      </c>
      <c r="AV318" s="378" t="str">
        <f t="shared" ca="1" si="142"/>
        <v>-</v>
      </c>
      <c r="AW318" s="378" t="str">
        <f t="array" aca="1" ref="AW318" ca="1">IFERROR(IF(AS318&lt;=$AB$2+$AN$2,"-",INDEX(Calculation_Tab,SMALL(ROW(Direct_Denaturation)*(Direct_Denaturation&lt;&gt;"-"),COUNTIF(Direct_Denaturation,"-")+ROW()-3-$AB$2-$AN$2)-9,5)),"-")</f>
        <v>-</v>
      </c>
      <c r="AX318" s="378" t="str">
        <f t="array" aca="1" ref="AX318" ca="1">IFERROR(IF(AS318&lt;=$AB$2+$AN$2,"-",INDEX($A$3:$B$12,MATCH(INDEX(Calculation_Tab,SMALL(ROW(Direct_Denaturation)*(Direct_Denaturation&lt;&gt;"-"),COUNTIF(Direct_Denaturation,"-")+ROW()-3-$AB$2-$AN$2)-9,5),$A$3:$A$12,0),2)),"-")</f>
        <v>-</v>
      </c>
      <c r="AY318" s="378" t="str">
        <f t="array" aca="1" ref="AY318" ca="1">IFERROR(IF(AS318&lt;=$AB$2+$AN$2,"-",INDEX(Coordinate,MATCH(INDEX(Calculation_Tab,SMALL(ROW(Direct_Denaturation)*(Direct_Denaturation&lt;&gt;"-"),COUNTIF(Direct_Denaturation,"-")+ROW()-3-$AB$2-$AN$2)-9,6),$X$4:$X$99,0),2)),"-")</f>
        <v>-</v>
      </c>
      <c r="AZ318" s="510" t="str">
        <f t="array" aca="1" ref="AZ318" ca="1">IFERROR(IF(AS318&lt;=$AB$2+$AN$2,"-",INDEX(Calculation_Tab,SMALL(ROW(Direct_Denaturation)*(Direct_Denaturation&lt;&gt;"-"),COUNTIF(Direct_Denaturation,"-")+ROW()-3-$AB$2-$AN$2)-9,32)),"-")</f>
        <v>-</v>
      </c>
      <c r="BA318" s="510" t="str">
        <f t="array" aca="1" ref="BA318" ca="1">IFERROR(IF(AS318&lt;=$AB$2+$AN$2,"-",INDEX(Calculation_Tab,SMALL(ROW(Direct_Denaturation)*(Direct_Denaturation&lt;&gt;"-"),COUNTIF(Direct_Denaturation,"-")+ROW()-3-$AB$2-$AN$2)-9,34)),"-")</f>
        <v>-</v>
      </c>
      <c r="BB318" s="510" t="str">
        <f t="array" aca="1" ref="BB318" ca="1">IFERROR(IF(AS318&lt;=$AB$2+$AN$2,"-",INDEX(Calculation_Tab,SMALL(ROW(Direct_Denaturation)*(Direct_Denaturation&lt;&gt;"-"),COUNTIF(Direct_Denaturation,"-")+ROW()-3-$AB$2-$AN$2)-9,33)),"-")</f>
        <v>-</v>
      </c>
      <c r="BC318" s="510" t="str">
        <f t="array" aca="1" ref="BC318" ca="1">IFERROR(IF(AS318&lt;=$AB$2+$AN$2,"-",INDEX(Calculation_Tab,SMALL(ROW(Direct_Denaturation)*(Direct_Denaturation&lt;&gt;"-"),COUNTIF(Direct_Denaturation,"-")+ROW()-3-$AB$2-$AN$2)-9,35)),"-")</f>
        <v>-</v>
      </c>
      <c r="BD318" s="511" t="str">
        <f t="shared" ca="1" si="143"/>
        <v>-</v>
      </c>
      <c r="BK318" s="542" t="s">
        <v>82</v>
      </c>
      <c r="BL318" s="542" t="s">
        <v>82</v>
      </c>
      <c r="BM318" s="487" t="str">
        <f t="array" aca="1" ref="BM318" ca="1">IFERROR(INDEX(Calculation_Tab,SMALL(ROW(ToPool)*(ToPool&lt;&gt;"-"),COUNTIF(ToPool,"-")+ROW()-3)-9,3),"-")</f>
        <v>-</v>
      </c>
      <c r="BN318" s="378" t="str">
        <f t="shared" ca="1" si="144"/>
        <v>-</v>
      </c>
      <c r="BO318" s="378" t="str">
        <f t="shared" ca="1" si="145"/>
        <v>-</v>
      </c>
      <c r="BP318" s="523" t="str">
        <f t="shared" ca="1" si="146"/>
        <v>-</v>
      </c>
      <c r="BQ318" s="378" t="str">
        <f t="array" aca="1" ref="BQ318" ca="1">IFERROR(INDEX(BE:BG,MATCH(INDEX(Calculation_Tab,SMALL(ROW(ToPool)*(ToPool&lt;&gt;"-"),COUNTIF(ToPool,"-")+ROW()-3)-9,9),BG:BG,0),2),"-")</f>
        <v>-</v>
      </c>
      <c r="BR318" s="510" t="str">
        <f t="shared" ca="1" si="147"/>
        <v>-</v>
      </c>
      <c r="BS318" s="511" t="str">
        <f t="shared" ca="1" si="148"/>
        <v>-</v>
      </c>
      <c r="BT318" s="543" t="s">
        <v>82</v>
      </c>
      <c r="BU318" s="487" t="str">
        <f t="shared" ca="1" si="152"/>
        <v>-</v>
      </c>
      <c r="BV318" s="487" t="str">
        <f t="array" aca="1" ref="BV31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18" s="378" t="str">
        <f t="shared" ca="1" si="149"/>
        <v>-</v>
      </c>
      <c r="BX318" s="378" t="str">
        <f t="shared" ca="1" si="150"/>
        <v>-</v>
      </c>
      <c r="BY318" s="510" t="str">
        <f ca="1">IFERROR(ROUND(INDEX(Cluster,MATCH(IF(LEFT(BV318,4)="Pool",INDEX(Cluster,MATCH(INDEX(Calculation_Tab,MATCH(INDEX($BE$4:$BJ$99,MATCH(BV318,$BE$4:$BE$99,0),3),Flow_Cell_Lane,0),3),Cluster!$F$29:$F$412,0),6),BV318),Identifier_Cluster,0),19)*IF(LEFT(BV318,4)="pool",IF(LEN(INDEX($BE$4:$BJ$99,MATCH(BV318,$BE$4:$BE$99,0),3))=10,2,IF(LEN(INDEX($BE$4:$BJ$99,MATCH(BV318,$BE$4:$BE$99,0),3))&gt;10,LEN(INDEX($BE$4:$BJ$99,MATCH(BV318,$BE$4:$BE$99,0),3))-8,1)),1)*IF(LEFT(BV318,4)="pool",IF(INDEX($BE$4:$BJ$99,MATCH(BV318,$BE$4:$BE$99,0),6)&lt;1,1,INDEX($BE$4:$BJ$99,MATCH(BV318,$BE$4:$BE$99,0),6)),INDEX(Calculation_Tab,MATCH(BV318,Identifier,0),10)),1)*(1+Calculation!$Q$6),"-")</f>
        <v>-</v>
      </c>
      <c r="BZ318" s="378" t="str">
        <f ca="1">IFERROR((0.5/50)*CE318/Calculation!$AG$6*(IF(LEFT(BV318,4)="Pool",IF(LEN(INDEX($BE$4:$BJ$99,MATCH(BV318,$BE$4:$BE$99,0),3))=10,2,IF(LEN(INDEX($BE$4:$BJ$99,MATCH(BV318,$BE$4:$BE$99,0),3))&gt;10,LEN(INDEX($BE$4:$BJ$99,MATCH(BV318,$BE$4:$BE$99,0),3))-8,1)),IF(INDEX(Calculation_Tab,MATCH(BV318,Identifier,0),10)&gt;1,INDEX(Calculation_Tab,MATCH(BV318,Identifier,0),10),1)))*(1+Calculation!$Q$6),"-")</f>
        <v>-</v>
      </c>
      <c r="CA318" s="510" t="str">
        <f ca="1">IFERROR(IF((BZ318*Calculation!$AG$6/0.05)-SUM(BY318:BZ318,CC318)&gt;0,(BZ318*Calculation!$AG$6/0.05)-SUM(BY318:BZ318,CC318),0),"-")</f>
        <v>-</v>
      </c>
      <c r="CB318" s="510" t="str">
        <f ca="1">IFERROR(5/50*CE318*(IF(LEFT(BV318,4)="Pool",IF(LEN(INDEX($BE$4:$BJ$99,MATCH(BV318,$BE$4:$BE$99,0),3))=10,2,IF(LEN(INDEX($BE$4:$BJ$99,MATCH(BV318,$BE$4:$BE$99,0),3))&gt;10,LEN(INDEX($BE$4:$BJ$99,MATCH(BV318,$BE$4:$BE$99,0),3))-8,1)),IF(INDEX(Calculation_Tab,MATCH(BV318,Identifier,0),10)&gt;1,INDEX(Calculation_Tab,MATCH(BV318,Identifier,0),10),1)))*(1+Calculation!$Q$6),"-")</f>
        <v>-</v>
      </c>
      <c r="CC318" s="508" t="str">
        <f ca="1">IFERROR(ROUND(INDEX(Cluster,MATCH(IF(LEFT(BV318,4)="Pool",INDEX(Cluster,MATCH(INDEX(Calculation_Tab,MATCH(INDEX($BE$4:$BJ$99,MATCH(BV318,$BE$4:$BE$99,0),3),Flow_Cell_Lane,0),3),Cluster!$F$29:$F$412,0),6),BV318),Identifier_Cluster,0),20)*IF(LEFT(BV318,4)="pool",IF(LEN(INDEX($BE$4:$BJ$99,MATCH(BV318,$BE$4:$BE$99,0),3))=10,2,IF(LEN(INDEX($BE$4:$BJ$99,MATCH(BV318,$BE$4:$BE$99,0),3))&gt;10,LEN(INDEX($BE$4:$BJ$99,MATCH(BV318,$BE$4:$BE$99,0),3))-8,1)),1)*IF(LEFT(BV318,4)="pool",IF(INDEX($BE$4:$BJ$99,MATCH(BV318,$BE$4:$BE$99,0),6)&lt;1,1,INDEX($BE$4:$BJ$99,MATCH(BV318,$BE$4:$BE$99,0),6)),INDEX(Calculation_Tab,MATCH(BV318,Identifier,0),10)),1)*(1+Calculation!$Q$6),"-")</f>
        <v>-</v>
      </c>
      <c r="CD318" s="509" t="str">
        <f ca="1">IFERROR(INDEX(Cluster!AC:AD,MATCH(IF(LEFT(BV318,4)="Pool",INDEX(Cluster!$D$29:$AA$412,MATCH(INDEX(Calculation_Tab,MATCH(INDEX($BE$4:$BJ$99,MATCH(BV318,$BE$4:$BE$99,0),3),Flow_Cell_Lane,0),3),Cluster!$F$29:$F$412,0),24),INDEX(Cluster!$D$29:$AA$412,MATCH(BV318,Cluster!$F$29:$F$412,0),24)),Cluster!AC:AC,0),2),"-")</f>
        <v>-</v>
      </c>
      <c r="CE318" s="378" t="str">
        <f ca="1">IFERROR(IF(BV318&lt;&gt;"-",Calculation!$AK$6,"-"),"-")</f>
        <v>-</v>
      </c>
      <c r="CF318" s="378" t="str">
        <f ca="1">IF(OR(LEFT(ListAndConversion!BW318,3)="Dil",LEFT(ListAndConversion!BW318,3)="Poo"),ListAndConversion!$BT$4,IF(LEFT(ListAndConversion!BW318,3)="Sou",INDEX(ListAndConversion!$AT$3:$AV$387,MATCH(ListAndConversion!BV318,ListAndConversion!$AV$3:$AV$387,0),1),"-"))</f>
        <v>-</v>
      </c>
      <c r="CG318" s="498" t="str">
        <f ca="1">IF(OR(LEFT(ListAndConversion!BW318,3)="Dil",LEFT(ListAndConversion!BW318,3)="Poo"),ListAndConversion!BU318,IF(LEFT(ListAndConversion!BW318,3)="Sou",INDEX(ListAndConversion!$AT$4:$AV$387,MATCH(ListAndConversion!BV318,ListAndConversion!$AV$4:$AV$387,0),2),"-"))</f>
        <v>-</v>
      </c>
      <c r="CH318" s="378"/>
      <c r="CI318" s="487" t="str">
        <f t="shared" ca="1" si="151"/>
        <v>-</v>
      </c>
      <c r="CJ318" s="378" t="str">
        <f t="shared" ca="1" si="164"/>
        <v>-</v>
      </c>
      <c r="CK318" s="378" t="str">
        <f t="shared" ca="1" si="164"/>
        <v>-</v>
      </c>
      <c r="CL318" s="378" t="str">
        <f t="shared" ca="1" si="164"/>
        <v>-</v>
      </c>
      <c r="CM318" s="378" t="str">
        <f t="shared" ca="1" si="164"/>
        <v>-</v>
      </c>
      <c r="CN318" s="378" t="str">
        <f t="shared" ca="1" si="164"/>
        <v>-</v>
      </c>
      <c r="CO318" s="378" t="str">
        <f t="shared" ca="1" si="164"/>
        <v>-</v>
      </c>
      <c r="CP318" s="378" t="str">
        <f t="shared" ca="1" si="164"/>
        <v>-</v>
      </c>
      <c r="CQ318" s="378" t="str">
        <f t="shared" ca="1" si="164"/>
        <v>-</v>
      </c>
      <c r="CR318" s="510" t="str">
        <f ca="1">IFERROR(IF(LEFT(BW318,3)="Poo",INDEX($BE$4:$BJ$99,MATCH(CI318,$BG$4:$BG$99,0),6)*((15/50))*Calculation!$AK$6,INDEX(Calculation_Tab,MATCH(BV318,Identifier,0),10)/(IF(LEN(INDEX(Calculation_Tab,MATCH(BV318,Identifier,0),9))&gt;8,LEN(INDEX(Calculation_Tab,MATCH(BV318,Identifier,0),9))-8,1))*((15/50)*Calculation!$AK$6)),"-")</f>
        <v>-</v>
      </c>
      <c r="CS318" s="498" t="str">
        <f ca="1">IF(CI318="-","-",IF(COUNTIF($CI$3:CI318,CI318)&gt;1,0,IFERROR((35/50)*Calculation!$AK$6,"-")))</f>
        <v>-</v>
      </c>
    </row>
    <row r="319" spans="4:97" x14ac:dyDescent="0.5">
      <c r="D319" s="487" t="e">
        <f t="shared" si="137"/>
        <v>#DIV/0!</v>
      </c>
      <c r="E319" s="496" t="e">
        <f t="array" ref="E319">IF(IF((ROW(E319)-3)&lt;(ListAndConversion!$A$15),INDEX(Flow_Cell_Lane,MIN(IF(COUNTIF($E$2:E318,Flow_Cell_Lane)=0,ROW(Flow_Cell_Lane)-9))),"-")="","-",IF((ROW(E319)-3)&lt;(ListAndConversion!$A$15),INDEX(Flow_Cell_Lane,MIN(IF(COUNTIF($E$2:E318,Flow_Cell_Lane)=0,ROW(Flow_Cell_Lane)-9))),"-"))</f>
        <v>#DIV/0!</v>
      </c>
      <c r="F319" s="378" t="e">
        <f t="shared" si="138"/>
        <v>#DIV/0!</v>
      </c>
      <c r="G319" s="378" t="e">
        <f t="shared" si="163"/>
        <v>#DIV/0!</v>
      </c>
      <c r="H319" s="378" t="e">
        <f t="shared" si="163"/>
        <v>#DIV/0!</v>
      </c>
      <c r="I319" s="378" t="e">
        <f t="shared" si="163"/>
        <v>#DIV/0!</v>
      </c>
      <c r="J319" s="378" t="e">
        <f t="shared" si="163"/>
        <v>#DIV/0!</v>
      </c>
      <c r="K319" s="378" t="e">
        <f t="shared" si="163"/>
        <v>#DIV/0!</v>
      </c>
      <c r="L319" s="378" t="e">
        <f t="shared" si="163"/>
        <v>#DIV/0!</v>
      </c>
      <c r="M319" s="378" t="e">
        <f t="shared" si="163"/>
        <v>#DIV/0!</v>
      </c>
      <c r="N319" s="497" t="e">
        <f t="shared" si="139"/>
        <v>#DIV/0!</v>
      </c>
      <c r="O319" s="497" t="str">
        <f t="array" ref="O319">IFERROR(INDEX(Calculation!I:AN,MATCH(ListAndConversion!E319,Calculation!I:I,0),31),"-")</f>
        <v>-</v>
      </c>
      <c r="P319" s="498">
        <f>IF(COUNTIFS(Calculation!$I$10:$I$393,E319,Direct_Denaturation,"-")&lt;&gt;1,COUNTIFS(Calculation!$I$10:$I$393,E319,Direct_Denaturation,"-"),0)</f>
        <v>0</v>
      </c>
      <c r="V319" s="542" t="s">
        <v>82</v>
      </c>
      <c r="W319" s="542" t="s">
        <v>82</v>
      </c>
      <c r="X319" s="542" t="s">
        <v>82</v>
      </c>
      <c r="Y319" s="542" t="s">
        <v>82</v>
      </c>
      <c r="Z319" s="542" t="s">
        <v>82</v>
      </c>
      <c r="AA319" s="542" t="s">
        <v>82</v>
      </c>
      <c r="AB319" s="542" t="s">
        <v>82</v>
      </c>
      <c r="AC319" s="542" t="s">
        <v>82</v>
      </c>
      <c r="AD319" s="542" t="s">
        <v>82</v>
      </c>
      <c r="AE319" s="542" t="s">
        <v>82</v>
      </c>
      <c r="AF319" s="542" t="s">
        <v>82</v>
      </c>
      <c r="AG319" s="542" t="s">
        <v>82</v>
      </c>
      <c r="AH319" s="9"/>
      <c r="AI319" s="487">
        <v>316</v>
      </c>
      <c r="AJ319" s="497" t="s">
        <v>479</v>
      </c>
      <c r="AK319" s="378">
        <v>28</v>
      </c>
      <c r="AL319" s="378" t="str">
        <f t="shared" ca="1" si="140"/>
        <v>-</v>
      </c>
      <c r="AM319" s="378" t="str">
        <f t="array" aca="1" ref="AM319" ca="1">IFERROR(IF(AI319&lt;=$AB$2,"-",INDEX(Calculation_Tab,SMALL(ROW(Main_Dil)*(Main_Dil&lt;&gt;"-"),COUNTIF(Main_Dil,"-")+ROW()-3-$AB$2)-9,5)),"-")</f>
        <v>-</v>
      </c>
      <c r="AN319" s="378" t="str">
        <f t="array" aca="1" ref="AN319" ca="1">IFERROR(IF(AI319&lt;=$AB$2,"-",INDEX($A$3:$B$12,MATCH(INDEX(Calculation_Tab,SMALL(ROW(Main_Dil)*(Main_Dil&lt;&gt;"-"),COUNTIF(Main_Dil,"-")+ROW()-3-$AB$2)-9,5),$A$3:$A$12,0),2)),"-")</f>
        <v>-</v>
      </c>
      <c r="AO319" s="378" t="str">
        <f t="array" aca="1" ref="AO319" ca="1">IFERROR(IF(AI319&lt;=$AB$2,"-",INDEX(Coordinate,MATCH(INDEX(Calculation_Tab,SMALL(ROW(Main_Dil)*(Main_Dil&lt;&gt;"-"),COUNTIF(Main_Dil,"-")+ROW()-3-$AB$2)-9,6),$X$4:$X$99,0),2)),"-")</f>
        <v>-</v>
      </c>
      <c r="AP319" s="510" t="str">
        <f t="array" aca="1" ref="AP319" ca="1">IFERROR(IF(AI319&lt;=$AB$2,"-",INDEX(Calculation_Tab,SMALL(ROW(Main_Dil)*(Main_Dil&lt;&gt;"-"),COUNTIF(Main_Dil,"-")+ROW()-3-$AB$2)-9,21)),"-")</f>
        <v>-</v>
      </c>
      <c r="AQ319" s="511" t="str">
        <f t="array" aca="1" ref="AQ319" ca="1">IFERROR(IF(AI319&lt;=$AB$2,"-",INDEX(Calculation_Tab,SMALL(ROW(Main_Dil)*(Main_Dil&lt;&gt;"-"),COUNTIF(Main_Dil,"-")+ROW()-3-$AB$2)-9,22)),"-")</f>
        <v>-</v>
      </c>
      <c r="AR319" s="487" t="str">
        <f t="shared" ca="1" si="141"/>
        <v>-</v>
      </c>
      <c r="AS319" s="378">
        <v>316</v>
      </c>
      <c r="AT319" s="497" t="s">
        <v>479</v>
      </c>
      <c r="AU319" s="498">
        <v>28</v>
      </c>
      <c r="AV319" s="378" t="str">
        <f t="shared" ca="1" si="142"/>
        <v>-</v>
      </c>
      <c r="AW319" s="378" t="str">
        <f t="array" aca="1" ref="AW319" ca="1">IFERROR(IF(AS319&lt;=$AB$2+$AN$2,"-",INDEX(Calculation_Tab,SMALL(ROW(Direct_Denaturation)*(Direct_Denaturation&lt;&gt;"-"),COUNTIF(Direct_Denaturation,"-")+ROW()-3-$AB$2-$AN$2)-9,5)),"-")</f>
        <v>-</v>
      </c>
      <c r="AX319" s="378" t="str">
        <f t="array" aca="1" ref="AX319" ca="1">IFERROR(IF(AS319&lt;=$AB$2+$AN$2,"-",INDEX($A$3:$B$12,MATCH(INDEX(Calculation_Tab,SMALL(ROW(Direct_Denaturation)*(Direct_Denaturation&lt;&gt;"-"),COUNTIF(Direct_Denaturation,"-")+ROW()-3-$AB$2-$AN$2)-9,5),$A$3:$A$12,0),2)),"-")</f>
        <v>-</v>
      </c>
      <c r="AY319" s="378" t="str">
        <f t="array" aca="1" ref="AY319" ca="1">IFERROR(IF(AS319&lt;=$AB$2+$AN$2,"-",INDEX(Coordinate,MATCH(INDEX(Calculation_Tab,SMALL(ROW(Direct_Denaturation)*(Direct_Denaturation&lt;&gt;"-"),COUNTIF(Direct_Denaturation,"-")+ROW()-3-$AB$2-$AN$2)-9,6),$X$4:$X$99,0),2)),"-")</f>
        <v>-</v>
      </c>
      <c r="AZ319" s="510" t="str">
        <f t="array" aca="1" ref="AZ319" ca="1">IFERROR(IF(AS319&lt;=$AB$2+$AN$2,"-",INDEX(Calculation_Tab,SMALL(ROW(Direct_Denaturation)*(Direct_Denaturation&lt;&gt;"-"),COUNTIF(Direct_Denaturation,"-")+ROW()-3-$AB$2-$AN$2)-9,32)),"-")</f>
        <v>-</v>
      </c>
      <c r="BA319" s="510" t="str">
        <f t="array" aca="1" ref="BA319" ca="1">IFERROR(IF(AS319&lt;=$AB$2+$AN$2,"-",INDEX(Calculation_Tab,SMALL(ROW(Direct_Denaturation)*(Direct_Denaturation&lt;&gt;"-"),COUNTIF(Direct_Denaturation,"-")+ROW()-3-$AB$2-$AN$2)-9,34)),"-")</f>
        <v>-</v>
      </c>
      <c r="BB319" s="510" t="str">
        <f t="array" aca="1" ref="BB319" ca="1">IFERROR(IF(AS319&lt;=$AB$2+$AN$2,"-",INDEX(Calculation_Tab,SMALL(ROW(Direct_Denaturation)*(Direct_Denaturation&lt;&gt;"-"),COUNTIF(Direct_Denaturation,"-")+ROW()-3-$AB$2-$AN$2)-9,33)),"-")</f>
        <v>-</v>
      </c>
      <c r="BC319" s="510" t="str">
        <f t="array" aca="1" ref="BC319" ca="1">IFERROR(IF(AS319&lt;=$AB$2+$AN$2,"-",INDEX(Calculation_Tab,SMALL(ROW(Direct_Denaturation)*(Direct_Denaturation&lt;&gt;"-"),COUNTIF(Direct_Denaturation,"-")+ROW()-3-$AB$2-$AN$2)-9,35)),"-")</f>
        <v>-</v>
      </c>
      <c r="BD319" s="511" t="str">
        <f t="shared" ca="1" si="143"/>
        <v>-</v>
      </c>
      <c r="BK319" s="542" t="s">
        <v>82</v>
      </c>
      <c r="BL319" s="542" t="s">
        <v>82</v>
      </c>
      <c r="BM319" s="487" t="str">
        <f t="array" aca="1" ref="BM319" ca="1">IFERROR(INDEX(Calculation_Tab,SMALL(ROW(ToPool)*(ToPool&lt;&gt;"-"),COUNTIF(ToPool,"-")+ROW()-3)-9,3),"-")</f>
        <v>-</v>
      </c>
      <c r="BN319" s="378" t="str">
        <f t="shared" ca="1" si="144"/>
        <v>-</v>
      </c>
      <c r="BO319" s="378" t="str">
        <f t="shared" ca="1" si="145"/>
        <v>-</v>
      </c>
      <c r="BP319" s="523" t="str">
        <f t="shared" ca="1" si="146"/>
        <v>-</v>
      </c>
      <c r="BQ319" s="378" t="str">
        <f t="array" aca="1" ref="BQ319" ca="1">IFERROR(INDEX(BE:BG,MATCH(INDEX(Calculation_Tab,SMALL(ROW(ToPool)*(ToPool&lt;&gt;"-"),COUNTIF(ToPool,"-")+ROW()-3)-9,9),BG:BG,0),2),"-")</f>
        <v>-</v>
      </c>
      <c r="BR319" s="510" t="str">
        <f t="shared" ca="1" si="147"/>
        <v>-</v>
      </c>
      <c r="BS319" s="511" t="str">
        <f t="shared" ca="1" si="148"/>
        <v>-</v>
      </c>
      <c r="BT319" s="543" t="s">
        <v>82</v>
      </c>
      <c r="BU319" s="487" t="str">
        <f t="shared" ca="1" si="152"/>
        <v>-</v>
      </c>
      <c r="BV319" s="487" t="str">
        <f t="array" aca="1" ref="BV31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19" s="378" t="str">
        <f t="shared" ca="1" si="149"/>
        <v>-</v>
      </c>
      <c r="BX319" s="378" t="str">
        <f t="shared" ca="1" si="150"/>
        <v>-</v>
      </c>
      <c r="BY319" s="510" t="str">
        <f ca="1">IFERROR(ROUND(INDEX(Cluster,MATCH(IF(LEFT(BV319,4)="Pool",INDEX(Cluster,MATCH(INDEX(Calculation_Tab,MATCH(INDEX($BE$4:$BJ$99,MATCH(BV319,$BE$4:$BE$99,0),3),Flow_Cell_Lane,0),3),Cluster!$F$29:$F$412,0),6),BV319),Identifier_Cluster,0),19)*IF(LEFT(BV319,4)="pool",IF(LEN(INDEX($BE$4:$BJ$99,MATCH(BV319,$BE$4:$BE$99,0),3))=10,2,IF(LEN(INDEX($BE$4:$BJ$99,MATCH(BV319,$BE$4:$BE$99,0),3))&gt;10,LEN(INDEX($BE$4:$BJ$99,MATCH(BV319,$BE$4:$BE$99,0),3))-8,1)),1)*IF(LEFT(BV319,4)="pool",IF(INDEX($BE$4:$BJ$99,MATCH(BV319,$BE$4:$BE$99,0),6)&lt;1,1,INDEX($BE$4:$BJ$99,MATCH(BV319,$BE$4:$BE$99,0),6)),INDEX(Calculation_Tab,MATCH(BV319,Identifier,0),10)),1)*(1+Calculation!$Q$6),"-")</f>
        <v>-</v>
      </c>
      <c r="BZ319" s="378" t="str">
        <f ca="1">IFERROR((0.5/50)*CE319/Calculation!$AG$6*(IF(LEFT(BV319,4)="Pool",IF(LEN(INDEX($BE$4:$BJ$99,MATCH(BV319,$BE$4:$BE$99,0),3))=10,2,IF(LEN(INDEX($BE$4:$BJ$99,MATCH(BV319,$BE$4:$BE$99,0),3))&gt;10,LEN(INDEX($BE$4:$BJ$99,MATCH(BV319,$BE$4:$BE$99,0),3))-8,1)),IF(INDEX(Calculation_Tab,MATCH(BV319,Identifier,0),10)&gt;1,INDEX(Calculation_Tab,MATCH(BV319,Identifier,0),10),1)))*(1+Calculation!$Q$6),"-")</f>
        <v>-</v>
      </c>
      <c r="CA319" s="510" t="str">
        <f ca="1">IFERROR(IF((BZ319*Calculation!$AG$6/0.05)-SUM(BY319:BZ319,CC319)&gt;0,(BZ319*Calculation!$AG$6/0.05)-SUM(BY319:BZ319,CC319),0),"-")</f>
        <v>-</v>
      </c>
      <c r="CB319" s="510" t="str">
        <f ca="1">IFERROR(5/50*CE319*(IF(LEFT(BV319,4)="Pool",IF(LEN(INDEX($BE$4:$BJ$99,MATCH(BV319,$BE$4:$BE$99,0),3))=10,2,IF(LEN(INDEX($BE$4:$BJ$99,MATCH(BV319,$BE$4:$BE$99,0),3))&gt;10,LEN(INDEX($BE$4:$BJ$99,MATCH(BV319,$BE$4:$BE$99,0),3))-8,1)),IF(INDEX(Calculation_Tab,MATCH(BV319,Identifier,0),10)&gt;1,INDEX(Calculation_Tab,MATCH(BV319,Identifier,0),10),1)))*(1+Calculation!$Q$6),"-")</f>
        <v>-</v>
      </c>
      <c r="CC319" s="508" t="str">
        <f ca="1">IFERROR(ROUND(INDEX(Cluster,MATCH(IF(LEFT(BV319,4)="Pool",INDEX(Cluster,MATCH(INDEX(Calculation_Tab,MATCH(INDEX($BE$4:$BJ$99,MATCH(BV319,$BE$4:$BE$99,0),3),Flow_Cell_Lane,0),3),Cluster!$F$29:$F$412,0),6),BV319),Identifier_Cluster,0),20)*IF(LEFT(BV319,4)="pool",IF(LEN(INDEX($BE$4:$BJ$99,MATCH(BV319,$BE$4:$BE$99,0),3))=10,2,IF(LEN(INDEX($BE$4:$BJ$99,MATCH(BV319,$BE$4:$BE$99,0),3))&gt;10,LEN(INDEX($BE$4:$BJ$99,MATCH(BV319,$BE$4:$BE$99,0),3))-8,1)),1)*IF(LEFT(BV319,4)="pool",IF(INDEX($BE$4:$BJ$99,MATCH(BV319,$BE$4:$BE$99,0),6)&lt;1,1,INDEX($BE$4:$BJ$99,MATCH(BV319,$BE$4:$BE$99,0),6)),INDEX(Calculation_Tab,MATCH(BV319,Identifier,0),10)),1)*(1+Calculation!$Q$6),"-")</f>
        <v>-</v>
      </c>
      <c r="CD319" s="509" t="str">
        <f ca="1">IFERROR(INDEX(Cluster!AC:AD,MATCH(IF(LEFT(BV319,4)="Pool",INDEX(Cluster!$D$29:$AA$412,MATCH(INDEX(Calculation_Tab,MATCH(INDEX($BE$4:$BJ$99,MATCH(BV319,$BE$4:$BE$99,0),3),Flow_Cell_Lane,0),3),Cluster!$F$29:$F$412,0),24),INDEX(Cluster!$D$29:$AA$412,MATCH(BV319,Cluster!$F$29:$F$412,0),24)),Cluster!AC:AC,0),2),"-")</f>
        <v>-</v>
      </c>
      <c r="CE319" s="378" t="str">
        <f ca="1">IFERROR(IF(BV319&lt;&gt;"-",Calculation!$AK$6,"-"),"-")</f>
        <v>-</v>
      </c>
      <c r="CF319" s="378" t="str">
        <f ca="1">IF(OR(LEFT(ListAndConversion!BW319,3)="Dil",LEFT(ListAndConversion!BW319,3)="Poo"),ListAndConversion!$BT$4,IF(LEFT(ListAndConversion!BW319,3)="Sou",INDEX(ListAndConversion!$AT$3:$AV$387,MATCH(ListAndConversion!BV319,ListAndConversion!$AV$3:$AV$387,0),1),"-"))</f>
        <v>-</v>
      </c>
      <c r="CG319" s="498" t="str">
        <f ca="1">IF(OR(LEFT(ListAndConversion!BW319,3)="Dil",LEFT(ListAndConversion!BW319,3)="Poo"),ListAndConversion!BU319,IF(LEFT(ListAndConversion!BW319,3)="Sou",INDEX(ListAndConversion!$AT$4:$AV$387,MATCH(ListAndConversion!BV319,ListAndConversion!$AV$4:$AV$387,0),2),"-"))</f>
        <v>-</v>
      </c>
      <c r="CH319" s="378"/>
      <c r="CI319" s="487" t="str">
        <f t="shared" ca="1" si="151"/>
        <v>-</v>
      </c>
      <c r="CJ319" s="378" t="str">
        <f t="shared" ca="1" si="164"/>
        <v>-</v>
      </c>
      <c r="CK319" s="378" t="str">
        <f t="shared" ca="1" si="164"/>
        <v>-</v>
      </c>
      <c r="CL319" s="378" t="str">
        <f t="shared" ca="1" si="164"/>
        <v>-</v>
      </c>
      <c r="CM319" s="378" t="str">
        <f t="shared" ca="1" si="164"/>
        <v>-</v>
      </c>
      <c r="CN319" s="378" t="str">
        <f t="shared" ca="1" si="164"/>
        <v>-</v>
      </c>
      <c r="CO319" s="378" t="str">
        <f t="shared" ca="1" si="164"/>
        <v>-</v>
      </c>
      <c r="CP319" s="378" t="str">
        <f t="shared" ca="1" si="164"/>
        <v>-</v>
      </c>
      <c r="CQ319" s="378" t="str">
        <f t="shared" ca="1" si="164"/>
        <v>-</v>
      </c>
      <c r="CR319" s="510" t="str">
        <f ca="1">IFERROR(IF(LEFT(BW319,3)="Poo",INDEX($BE$4:$BJ$99,MATCH(CI319,$BG$4:$BG$99,0),6)*((15/50))*Calculation!$AK$6,INDEX(Calculation_Tab,MATCH(BV319,Identifier,0),10)/(IF(LEN(INDEX(Calculation_Tab,MATCH(BV319,Identifier,0),9))&gt;8,LEN(INDEX(Calculation_Tab,MATCH(BV319,Identifier,0),9))-8,1))*((15/50)*Calculation!$AK$6)),"-")</f>
        <v>-</v>
      </c>
      <c r="CS319" s="498" t="str">
        <f ca="1">IF(CI319="-","-",IF(COUNTIF($CI$3:CI319,CI319)&gt;1,0,IFERROR((35/50)*Calculation!$AK$6,"-")))</f>
        <v>-</v>
      </c>
    </row>
    <row r="320" spans="4:97" x14ac:dyDescent="0.5">
      <c r="D320" s="487" t="e">
        <f t="shared" si="137"/>
        <v>#DIV/0!</v>
      </c>
      <c r="E320" s="496" t="e">
        <f t="array" ref="E320">IF(IF((ROW(E320)-3)&lt;(ListAndConversion!$A$15),INDEX(Flow_Cell_Lane,MIN(IF(COUNTIF($E$2:E319,Flow_Cell_Lane)=0,ROW(Flow_Cell_Lane)-9))),"-")="","-",IF((ROW(E320)-3)&lt;(ListAndConversion!$A$15),INDEX(Flow_Cell_Lane,MIN(IF(COUNTIF($E$2:E319,Flow_Cell_Lane)=0,ROW(Flow_Cell_Lane)-9))),"-"))</f>
        <v>#DIV/0!</v>
      </c>
      <c r="F320" s="378" t="e">
        <f t="shared" si="138"/>
        <v>#DIV/0!</v>
      </c>
      <c r="G320" s="378" t="e">
        <f t="shared" si="163"/>
        <v>#DIV/0!</v>
      </c>
      <c r="H320" s="378" t="e">
        <f t="shared" si="163"/>
        <v>#DIV/0!</v>
      </c>
      <c r="I320" s="378" t="e">
        <f t="shared" si="163"/>
        <v>#DIV/0!</v>
      </c>
      <c r="J320" s="378" t="e">
        <f t="shared" si="163"/>
        <v>#DIV/0!</v>
      </c>
      <c r="K320" s="378" t="e">
        <f t="shared" si="163"/>
        <v>#DIV/0!</v>
      </c>
      <c r="L320" s="378" t="e">
        <f t="shared" si="163"/>
        <v>#DIV/0!</v>
      </c>
      <c r="M320" s="378" t="e">
        <f t="shared" si="163"/>
        <v>#DIV/0!</v>
      </c>
      <c r="N320" s="497" t="e">
        <f t="shared" si="139"/>
        <v>#DIV/0!</v>
      </c>
      <c r="O320" s="497" t="str">
        <f t="array" ref="O320">IFERROR(INDEX(Calculation!I:AN,MATCH(ListAndConversion!E320,Calculation!I:I,0),31),"-")</f>
        <v>-</v>
      </c>
      <c r="P320" s="498">
        <f>IF(COUNTIFS(Calculation!$I$10:$I$393,E320,Direct_Denaturation,"-")&lt;&gt;1,COUNTIFS(Calculation!$I$10:$I$393,E320,Direct_Denaturation,"-"),0)</f>
        <v>0</v>
      </c>
      <c r="V320" s="542" t="s">
        <v>82</v>
      </c>
      <c r="W320" s="542" t="s">
        <v>82</v>
      </c>
      <c r="X320" s="542" t="s">
        <v>82</v>
      </c>
      <c r="Y320" s="542" t="s">
        <v>82</v>
      </c>
      <c r="Z320" s="542" t="s">
        <v>82</v>
      </c>
      <c r="AA320" s="542" t="s">
        <v>82</v>
      </c>
      <c r="AB320" s="542" t="s">
        <v>82</v>
      </c>
      <c r="AC320" s="542" t="s">
        <v>82</v>
      </c>
      <c r="AD320" s="542" t="s">
        <v>82</v>
      </c>
      <c r="AE320" s="542" t="s">
        <v>82</v>
      </c>
      <c r="AF320" s="542" t="s">
        <v>82</v>
      </c>
      <c r="AG320" s="542" t="s">
        <v>82</v>
      </c>
      <c r="AH320" s="9"/>
      <c r="AI320" s="487">
        <v>317</v>
      </c>
      <c r="AJ320" s="497" t="s">
        <v>479</v>
      </c>
      <c r="AK320" s="378">
        <v>29</v>
      </c>
      <c r="AL320" s="378" t="str">
        <f t="shared" ca="1" si="140"/>
        <v>-</v>
      </c>
      <c r="AM320" s="378" t="str">
        <f t="array" aca="1" ref="AM320" ca="1">IFERROR(IF(AI320&lt;=$AB$2,"-",INDEX(Calculation_Tab,SMALL(ROW(Main_Dil)*(Main_Dil&lt;&gt;"-"),COUNTIF(Main_Dil,"-")+ROW()-3-$AB$2)-9,5)),"-")</f>
        <v>-</v>
      </c>
      <c r="AN320" s="378" t="str">
        <f t="array" aca="1" ref="AN320" ca="1">IFERROR(IF(AI320&lt;=$AB$2,"-",INDEX($A$3:$B$12,MATCH(INDEX(Calculation_Tab,SMALL(ROW(Main_Dil)*(Main_Dil&lt;&gt;"-"),COUNTIF(Main_Dil,"-")+ROW()-3-$AB$2)-9,5),$A$3:$A$12,0),2)),"-")</f>
        <v>-</v>
      </c>
      <c r="AO320" s="378" t="str">
        <f t="array" aca="1" ref="AO320" ca="1">IFERROR(IF(AI320&lt;=$AB$2,"-",INDEX(Coordinate,MATCH(INDEX(Calculation_Tab,SMALL(ROW(Main_Dil)*(Main_Dil&lt;&gt;"-"),COUNTIF(Main_Dil,"-")+ROW()-3-$AB$2)-9,6),$X$4:$X$99,0),2)),"-")</f>
        <v>-</v>
      </c>
      <c r="AP320" s="510" t="str">
        <f t="array" aca="1" ref="AP320" ca="1">IFERROR(IF(AI320&lt;=$AB$2,"-",INDEX(Calculation_Tab,SMALL(ROW(Main_Dil)*(Main_Dil&lt;&gt;"-"),COUNTIF(Main_Dil,"-")+ROW()-3-$AB$2)-9,21)),"-")</f>
        <v>-</v>
      </c>
      <c r="AQ320" s="511" t="str">
        <f t="array" aca="1" ref="AQ320" ca="1">IFERROR(IF(AI320&lt;=$AB$2,"-",INDEX(Calculation_Tab,SMALL(ROW(Main_Dil)*(Main_Dil&lt;&gt;"-"),COUNTIF(Main_Dil,"-")+ROW()-3-$AB$2)-9,22)),"-")</f>
        <v>-</v>
      </c>
      <c r="AR320" s="487" t="str">
        <f t="shared" ca="1" si="141"/>
        <v>-</v>
      </c>
      <c r="AS320" s="378">
        <v>317</v>
      </c>
      <c r="AT320" s="497" t="s">
        <v>479</v>
      </c>
      <c r="AU320" s="498">
        <v>29</v>
      </c>
      <c r="AV320" s="378" t="str">
        <f t="shared" ca="1" si="142"/>
        <v>-</v>
      </c>
      <c r="AW320" s="378" t="str">
        <f t="array" aca="1" ref="AW320" ca="1">IFERROR(IF(AS320&lt;=$AB$2+$AN$2,"-",INDEX(Calculation_Tab,SMALL(ROW(Direct_Denaturation)*(Direct_Denaturation&lt;&gt;"-"),COUNTIF(Direct_Denaturation,"-")+ROW()-3-$AB$2-$AN$2)-9,5)),"-")</f>
        <v>-</v>
      </c>
      <c r="AX320" s="378" t="str">
        <f t="array" aca="1" ref="AX320" ca="1">IFERROR(IF(AS320&lt;=$AB$2+$AN$2,"-",INDEX($A$3:$B$12,MATCH(INDEX(Calculation_Tab,SMALL(ROW(Direct_Denaturation)*(Direct_Denaturation&lt;&gt;"-"),COUNTIF(Direct_Denaturation,"-")+ROW()-3-$AB$2-$AN$2)-9,5),$A$3:$A$12,0),2)),"-")</f>
        <v>-</v>
      </c>
      <c r="AY320" s="378" t="str">
        <f t="array" aca="1" ref="AY320" ca="1">IFERROR(IF(AS320&lt;=$AB$2+$AN$2,"-",INDEX(Coordinate,MATCH(INDEX(Calculation_Tab,SMALL(ROW(Direct_Denaturation)*(Direct_Denaturation&lt;&gt;"-"),COUNTIF(Direct_Denaturation,"-")+ROW()-3-$AB$2-$AN$2)-9,6),$X$4:$X$99,0),2)),"-")</f>
        <v>-</v>
      </c>
      <c r="AZ320" s="510" t="str">
        <f t="array" aca="1" ref="AZ320" ca="1">IFERROR(IF(AS320&lt;=$AB$2+$AN$2,"-",INDEX(Calculation_Tab,SMALL(ROW(Direct_Denaturation)*(Direct_Denaturation&lt;&gt;"-"),COUNTIF(Direct_Denaturation,"-")+ROW()-3-$AB$2-$AN$2)-9,32)),"-")</f>
        <v>-</v>
      </c>
      <c r="BA320" s="510" t="str">
        <f t="array" aca="1" ref="BA320" ca="1">IFERROR(IF(AS320&lt;=$AB$2+$AN$2,"-",INDEX(Calculation_Tab,SMALL(ROW(Direct_Denaturation)*(Direct_Denaturation&lt;&gt;"-"),COUNTIF(Direct_Denaturation,"-")+ROW()-3-$AB$2-$AN$2)-9,34)),"-")</f>
        <v>-</v>
      </c>
      <c r="BB320" s="510" t="str">
        <f t="array" aca="1" ref="BB320" ca="1">IFERROR(IF(AS320&lt;=$AB$2+$AN$2,"-",INDEX(Calculation_Tab,SMALL(ROW(Direct_Denaturation)*(Direct_Denaturation&lt;&gt;"-"),COUNTIF(Direct_Denaturation,"-")+ROW()-3-$AB$2-$AN$2)-9,33)),"-")</f>
        <v>-</v>
      </c>
      <c r="BC320" s="510" t="str">
        <f t="array" aca="1" ref="BC320" ca="1">IFERROR(IF(AS320&lt;=$AB$2+$AN$2,"-",INDEX(Calculation_Tab,SMALL(ROW(Direct_Denaturation)*(Direct_Denaturation&lt;&gt;"-"),COUNTIF(Direct_Denaturation,"-")+ROW()-3-$AB$2-$AN$2)-9,35)),"-")</f>
        <v>-</v>
      </c>
      <c r="BD320" s="511" t="str">
        <f t="shared" ca="1" si="143"/>
        <v>-</v>
      </c>
      <c r="BK320" s="542" t="s">
        <v>82</v>
      </c>
      <c r="BL320" s="542" t="s">
        <v>82</v>
      </c>
      <c r="BM320" s="487" t="str">
        <f t="array" aca="1" ref="BM320" ca="1">IFERROR(INDEX(Calculation_Tab,SMALL(ROW(ToPool)*(ToPool&lt;&gt;"-"),COUNTIF(ToPool,"-")+ROW()-3)-9,3),"-")</f>
        <v>-</v>
      </c>
      <c r="BN320" s="378" t="str">
        <f t="shared" ca="1" si="144"/>
        <v>-</v>
      </c>
      <c r="BO320" s="378" t="str">
        <f t="shared" ca="1" si="145"/>
        <v>-</v>
      </c>
      <c r="BP320" s="523" t="str">
        <f t="shared" ca="1" si="146"/>
        <v>-</v>
      </c>
      <c r="BQ320" s="378" t="str">
        <f t="array" aca="1" ref="BQ320" ca="1">IFERROR(INDEX(BE:BG,MATCH(INDEX(Calculation_Tab,SMALL(ROW(ToPool)*(ToPool&lt;&gt;"-"),COUNTIF(ToPool,"-")+ROW()-3)-9,9),BG:BG,0),2),"-")</f>
        <v>-</v>
      </c>
      <c r="BR320" s="510" t="str">
        <f t="shared" ca="1" si="147"/>
        <v>-</v>
      </c>
      <c r="BS320" s="511" t="str">
        <f t="shared" ca="1" si="148"/>
        <v>-</v>
      </c>
      <c r="BT320" s="543" t="s">
        <v>82</v>
      </c>
      <c r="BU320" s="487" t="str">
        <f t="shared" ca="1" si="152"/>
        <v>-</v>
      </c>
      <c r="BV320" s="487" t="str">
        <f t="array" aca="1" ref="BV32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20" s="378" t="str">
        <f t="shared" ca="1" si="149"/>
        <v>-</v>
      </c>
      <c r="BX320" s="378" t="str">
        <f t="shared" ca="1" si="150"/>
        <v>-</v>
      </c>
      <c r="BY320" s="510" t="str">
        <f ca="1">IFERROR(ROUND(INDEX(Cluster,MATCH(IF(LEFT(BV320,4)="Pool",INDEX(Cluster,MATCH(INDEX(Calculation_Tab,MATCH(INDEX($BE$4:$BJ$99,MATCH(BV320,$BE$4:$BE$99,0),3),Flow_Cell_Lane,0),3),Cluster!$F$29:$F$412,0),6),BV320),Identifier_Cluster,0),19)*IF(LEFT(BV320,4)="pool",IF(LEN(INDEX($BE$4:$BJ$99,MATCH(BV320,$BE$4:$BE$99,0),3))=10,2,IF(LEN(INDEX($BE$4:$BJ$99,MATCH(BV320,$BE$4:$BE$99,0),3))&gt;10,LEN(INDEX($BE$4:$BJ$99,MATCH(BV320,$BE$4:$BE$99,0),3))-8,1)),1)*IF(LEFT(BV320,4)="pool",IF(INDEX($BE$4:$BJ$99,MATCH(BV320,$BE$4:$BE$99,0),6)&lt;1,1,INDEX($BE$4:$BJ$99,MATCH(BV320,$BE$4:$BE$99,0),6)),INDEX(Calculation_Tab,MATCH(BV320,Identifier,0),10)),1)*(1+Calculation!$Q$6),"-")</f>
        <v>-</v>
      </c>
      <c r="BZ320" s="378" t="str">
        <f ca="1">IFERROR((0.5/50)*CE320/Calculation!$AG$6*(IF(LEFT(BV320,4)="Pool",IF(LEN(INDEX($BE$4:$BJ$99,MATCH(BV320,$BE$4:$BE$99,0),3))=10,2,IF(LEN(INDEX($BE$4:$BJ$99,MATCH(BV320,$BE$4:$BE$99,0),3))&gt;10,LEN(INDEX($BE$4:$BJ$99,MATCH(BV320,$BE$4:$BE$99,0),3))-8,1)),IF(INDEX(Calculation_Tab,MATCH(BV320,Identifier,0),10)&gt;1,INDEX(Calculation_Tab,MATCH(BV320,Identifier,0),10),1)))*(1+Calculation!$Q$6),"-")</f>
        <v>-</v>
      </c>
      <c r="CA320" s="510" t="str">
        <f ca="1">IFERROR(IF((BZ320*Calculation!$AG$6/0.05)-SUM(BY320:BZ320,CC320)&gt;0,(BZ320*Calculation!$AG$6/0.05)-SUM(BY320:BZ320,CC320),0),"-")</f>
        <v>-</v>
      </c>
      <c r="CB320" s="510" t="str">
        <f ca="1">IFERROR(5/50*CE320*(IF(LEFT(BV320,4)="Pool",IF(LEN(INDEX($BE$4:$BJ$99,MATCH(BV320,$BE$4:$BE$99,0),3))=10,2,IF(LEN(INDEX($BE$4:$BJ$99,MATCH(BV320,$BE$4:$BE$99,0),3))&gt;10,LEN(INDEX($BE$4:$BJ$99,MATCH(BV320,$BE$4:$BE$99,0),3))-8,1)),IF(INDEX(Calculation_Tab,MATCH(BV320,Identifier,0),10)&gt;1,INDEX(Calculation_Tab,MATCH(BV320,Identifier,0),10),1)))*(1+Calculation!$Q$6),"-")</f>
        <v>-</v>
      </c>
      <c r="CC320" s="508" t="str">
        <f ca="1">IFERROR(ROUND(INDEX(Cluster,MATCH(IF(LEFT(BV320,4)="Pool",INDEX(Cluster,MATCH(INDEX(Calculation_Tab,MATCH(INDEX($BE$4:$BJ$99,MATCH(BV320,$BE$4:$BE$99,0),3),Flow_Cell_Lane,0),3),Cluster!$F$29:$F$412,0),6),BV320),Identifier_Cluster,0),20)*IF(LEFT(BV320,4)="pool",IF(LEN(INDEX($BE$4:$BJ$99,MATCH(BV320,$BE$4:$BE$99,0),3))=10,2,IF(LEN(INDEX($BE$4:$BJ$99,MATCH(BV320,$BE$4:$BE$99,0),3))&gt;10,LEN(INDEX($BE$4:$BJ$99,MATCH(BV320,$BE$4:$BE$99,0),3))-8,1)),1)*IF(LEFT(BV320,4)="pool",IF(INDEX($BE$4:$BJ$99,MATCH(BV320,$BE$4:$BE$99,0),6)&lt;1,1,INDEX($BE$4:$BJ$99,MATCH(BV320,$BE$4:$BE$99,0),6)),INDEX(Calculation_Tab,MATCH(BV320,Identifier,0),10)),1)*(1+Calculation!$Q$6),"-")</f>
        <v>-</v>
      </c>
      <c r="CD320" s="509" t="str">
        <f ca="1">IFERROR(INDEX(Cluster!AC:AD,MATCH(IF(LEFT(BV320,4)="Pool",INDEX(Cluster!$D$29:$AA$412,MATCH(INDEX(Calculation_Tab,MATCH(INDEX($BE$4:$BJ$99,MATCH(BV320,$BE$4:$BE$99,0),3),Flow_Cell_Lane,0),3),Cluster!$F$29:$F$412,0),24),INDEX(Cluster!$D$29:$AA$412,MATCH(BV320,Cluster!$F$29:$F$412,0),24)),Cluster!AC:AC,0),2),"-")</f>
        <v>-</v>
      </c>
      <c r="CE320" s="378" t="str">
        <f ca="1">IFERROR(IF(BV320&lt;&gt;"-",Calculation!$AK$6,"-"),"-")</f>
        <v>-</v>
      </c>
      <c r="CF320" s="378" t="str">
        <f ca="1">IF(OR(LEFT(ListAndConversion!BW320,3)="Dil",LEFT(ListAndConversion!BW320,3)="Poo"),ListAndConversion!$BT$4,IF(LEFT(ListAndConversion!BW320,3)="Sou",INDEX(ListAndConversion!$AT$3:$AV$387,MATCH(ListAndConversion!BV320,ListAndConversion!$AV$3:$AV$387,0),1),"-"))</f>
        <v>-</v>
      </c>
      <c r="CG320" s="498" t="str">
        <f ca="1">IF(OR(LEFT(ListAndConversion!BW320,3)="Dil",LEFT(ListAndConversion!BW320,3)="Poo"),ListAndConversion!BU320,IF(LEFT(ListAndConversion!BW320,3)="Sou",INDEX(ListAndConversion!$AT$4:$AV$387,MATCH(ListAndConversion!BV320,ListAndConversion!$AV$4:$AV$387,0),2),"-"))</f>
        <v>-</v>
      </c>
      <c r="CH320" s="378"/>
      <c r="CI320" s="487" t="str">
        <f t="shared" ca="1" si="151"/>
        <v>-</v>
      </c>
      <c r="CJ320" s="378" t="str">
        <f t="shared" ca="1" si="164"/>
        <v>-</v>
      </c>
      <c r="CK320" s="378" t="str">
        <f t="shared" ca="1" si="164"/>
        <v>-</v>
      </c>
      <c r="CL320" s="378" t="str">
        <f t="shared" ca="1" si="164"/>
        <v>-</v>
      </c>
      <c r="CM320" s="378" t="str">
        <f t="shared" ca="1" si="164"/>
        <v>-</v>
      </c>
      <c r="CN320" s="378" t="str">
        <f t="shared" ca="1" si="164"/>
        <v>-</v>
      </c>
      <c r="CO320" s="378" t="str">
        <f t="shared" ca="1" si="164"/>
        <v>-</v>
      </c>
      <c r="CP320" s="378" t="str">
        <f t="shared" ca="1" si="164"/>
        <v>-</v>
      </c>
      <c r="CQ320" s="378" t="str">
        <f t="shared" ca="1" si="164"/>
        <v>-</v>
      </c>
      <c r="CR320" s="510" t="str">
        <f ca="1">IFERROR(IF(LEFT(BW320,3)="Poo",INDEX($BE$4:$BJ$99,MATCH(CI320,$BG$4:$BG$99,0),6)*((15/50))*Calculation!$AK$6,INDEX(Calculation_Tab,MATCH(BV320,Identifier,0),10)/(IF(LEN(INDEX(Calculation_Tab,MATCH(BV320,Identifier,0),9))&gt;8,LEN(INDEX(Calculation_Tab,MATCH(BV320,Identifier,0),9))-8,1))*((15/50)*Calculation!$AK$6)),"-")</f>
        <v>-</v>
      </c>
      <c r="CS320" s="498" t="str">
        <f ca="1">IF(CI320="-","-",IF(COUNTIF($CI$3:CI320,CI320)&gt;1,0,IFERROR((35/50)*Calculation!$AK$6,"-")))</f>
        <v>-</v>
      </c>
    </row>
    <row r="321" spans="4:97" x14ac:dyDescent="0.5">
      <c r="D321" s="487" t="e">
        <f t="shared" si="137"/>
        <v>#DIV/0!</v>
      </c>
      <c r="E321" s="496" t="e">
        <f t="array" ref="E321">IF(IF((ROW(E321)-3)&lt;(ListAndConversion!$A$15),INDEX(Flow_Cell_Lane,MIN(IF(COUNTIF($E$2:E320,Flow_Cell_Lane)=0,ROW(Flow_Cell_Lane)-9))),"-")="","-",IF((ROW(E321)-3)&lt;(ListAndConversion!$A$15),INDEX(Flow_Cell_Lane,MIN(IF(COUNTIF($E$2:E320,Flow_Cell_Lane)=0,ROW(Flow_Cell_Lane)-9))),"-"))</f>
        <v>#DIV/0!</v>
      </c>
      <c r="F321" s="378" t="e">
        <f t="shared" si="138"/>
        <v>#DIV/0!</v>
      </c>
      <c r="G321" s="378" t="e">
        <f t="shared" si="163"/>
        <v>#DIV/0!</v>
      </c>
      <c r="H321" s="378" t="e">
        <f t="shared" si="163"/>
        <v>#DIV/0!</v>
      </c>
      <c r="I321" s="378" t="e">
        <f t="shared" si="163"/>
        <v>#DIV/0!</v>
      </c>
      <c r="J321" s="378" t="e">
        <f t="shared" si="163"/>
        <v>#DIV/0!</v>
      </c>
      <c r="K321" s="378" t="e">
        <f t="shared" si="163"/>
        <v>#DIV/0!</v>
      </c>
      <c r="L321" s="378" t="e">
        <f t="shared" si="163"/>
        <v>#DIV/0!</v>
      </c>
      <c r="M321" s="378" t="e">
        <f t="shared" si="163"/>
        <v>#DIV/0!</v>
      </c>
      <c r="N321" s="497" t="e">
        <f t="shared" si="139"/>
        <v>#DIV/0!</v>
      </c>
      <c r="O321" s="497" t="str">
        <f t="array" ref="O321">IFERROR(INDEX(Calculation!I:AN,MATCH(ListAndConversion!E321,Calculation!I:I,0),31),"-")</f>
        <v>-</v>
      </c>
      <c r="P321" s="498">
        <f>IF(COUNTIFS(Calculation!$I$10:$I$393,E321,Direct_Denaturation,"-")&lt;&gt;1,COUNTIFS(Calculation!$I$10:$I$393,E321,Direct_Denaturation,"-"),0)</f>
        <v>0</v>
      </c>
      <c r="V321" s="542" t="s">
        <v>82</v>
      </c>
      <c r="W321" s="542" t="s">
        <v>82</v>
      </c>
      <c r="X321" s="542" t="s">
        <v>82</v>
      </c>
      <c r="Y321" s="542" t="s">
        <v>82</v>
      </c>
      <c r="Z321" s="542" t="s">
        <v>82</v>
      </c>
      <c r="AA321" s="542" t="s">
        <v>82</v>
      </c>
      <c r="AB321" s="542" t="s">
        <v>82</v>
      </c>
      <c r="AC321" s="542" t="s">
        <v>82</v>
      </c>
      <c r="AD321" s="542" t="s">
        <v>82</v>
      </c>
      <c r="AE321" s="542" t="s">
        <v>82</v>
      </c>
      <c r="AF321" s="542" t="s">
        <v>82</v>
      </c>
      <c r="AG321" s="542" t="s">
        <v>82</v>
      </c>
      <c r="AH321" s="9"/>
      <c r="AI321" s="487">
        <v>318</v>
      </c>
      <c r="AJ321" s="497" t="s">
        <v>479</v>
      </c>
      <c r="AK321" s="378">
        <v>30</v>
      </c>
      <c r="AL321" s="378" t="str">
        <f t="shared" ca="1" si="140"/>
        <v>-</v>
      </c>
      <c r="AM321" s="378" t="str">
        <f t="array" aca="1" ref="AM321" ca="1">IFERROR(IF(AI321&lt;=$AB$2,"-",INDEX(Calculation_Tab,SMALL(ROW(Main_Dil)*(Main_Dil&lt;&gt;"-"),COUNTIF(Main_Dil,"-")+ROW()-3-$AB$2)-9,5)),"-")</f>
        <v>-</v>
      </c>
      <c r="AN321" s="378" t="str">
        <f t="array" aca="1" ref="AN321" ca="1">IFERROR(IF(AI321&lt;=$AB$2,"-",INDEX($A$3:$B$12,MATCH(INDEX(Calculation_Tab,SMALL(ROW(Main_Dil)*(Main_Dil&lt;&gt;"-"),COUNTIF(Main_Dil,"-")+ROW()-3-$AB$2)-9,5),$A$3:$A$12,0),2)),"-")</f>
        <v>-</v>
      </c>
      <c r="AO321" s="378" t="str">
        <f t="array" aca="1" ref="AO321" ca="1">IFERROR(IF(AI321&lt;=$AB$2,"-",INDEX(Coordinate,MATCH(INDEX(Calculation_Tab,SMALL(ROW(Main_Dil)*(Main_Dil&lt;&gt;"-"),COUNTIF(Main_Dil,"-")+ROW()-3-$AB$2)-9,6),$X$4:$X$99,0),2)),"-")</f>
        <v>-</v>
      </c>
      <c r="AP321" s="510" t="str">
        <f t="array" aca="1" ref="AP321" ca="1">IFERROR(IF(AI321&lt;=$AB$2,"-",INDEX(Calculation_Tab,SMALL(ROW(Main_Dil)*(Main_Dil&lt;&gt;"-"),COUNTIF(Main_Dil,"-")+ROW()-3-$AB$2)-9,21)),"-")</f>
        <v>-</v>
      </c>
      <c r="AQ321" s="511" t="str">
        <f t="array" aca="1" ref="AQ321" ca="1">IFERROR(IF(AI321&lt;=$AB$2,"-",INDEX(Calculation_Tab,SMALL(ROW(Main_Dil)*(Main_Dil&lt;&gt;"-"),COUNTIF(Main_Dil,"-")+ROW()-3-$AB$2)-9,22)),"-")</f>
        <v>-</v>
      </c>
      <c r="AR321" s="487" t="str">
        <f t="shared" ca="1" si="141"/>
        <v>-</v>
      </c>
      <c r="AS321" s="378">
        <v>318</v>
      </c>
      <c r="AT321" s="497" t="s">
        <v>479</v>
      </c>
      <c r="AU321" s="498">
        <v>30</v>
      </c>
      <c r="AV321" s="378" t="str">
        <f t="shared" ca="1" si="142"/>
        <v>-</v>
      </c>
      <c r="AW321" s="378" t="str">
        <f t="array" aca="1" ref="AW321" ca="1">IFERROR(IF(AS321&lt;=$AB$2+$AN$2,"-",INDEX(Calculation_Tab,SMALL(ROW(Direct_Denaturation)*(Direct_Denaturation&lt;&gt;"-"),COUNTIF(Direct_Denaturation,"-")+ROW()-3-$AB$2-$AN$2)-9,5)),"-")</f>
        <v>-</v>
      </c>
      <c r="AX321" s="378" t="str">
        <f t="array" aca="1" ref="AX321" ca="1">IFERROR(IF(AS321&lt;=$AB$2+$AN$2,"-",INDEX($A$3:$B$12,MATCH(INDEX(Calculation_Tab,SMALL(ROW(Direct_Denaturation)*(Direct_Denaturation&lt;&gt;"-"),COUNTIF(Direct_Denaturation,"-")+ROW()-3-$AB$2-$AN$2)-9,5),$A$3:$A$12,0),2)),"-")</f>
        <v>-</v>
      </c>
      <c r="AY321" s="378" t="str">
        <f t="array" aca="1" ref="AY321" ca="1">IFERROR(IF(AS321&lt;=$AB$2+$AN$2,"-",INDEX(Coordinate,MATCH(INDEX(Calculation_Tab,SMALL(ROW(Direct_Denaturation)*(Direct_Denaturation&lt;&gt;"-"),COUNTIF(Direct_Denaturation,"-")+ROW()-3-$AB$2-$AN$2)-9,6),$X$4:$X$99,0),2)),"-")</f>
        <v>-</v>
      </c>
      <c r="AZ321" s="510" t="str">
        <f t="array" aca="1" ref="AZ321" ca="1">IFERROR(IF(AS321&lt;=$AB$2+$AN$2,"-",INDEX(Calculation_Tab,SMALL(ROW(Direct_Denaturation)*(Direct_Denaturation&lt;&gt;"-"),COUNTIF(Direct_Denaturation,"-")+ROW()-3-$AB$2-$AN$2)-9,32)),"-")</f>
        <v>-</v>
      </c>
      <c r="BA321" s="510" t="str">
        <f t="array" aca="1" ref="BA321" ca="1">IFERROR(IF(AS321&lt;=$AB$2+$AN$2,"-",INDEX(Calculation_Tab,SMALL(ROW(Direct_Denaturation)*(Direct_Denaturation&lt;&gt;"-"),COUNTIF(Direct_Denaturation,"-")+ROW()-3-$AB$2-$AN$2)-9,34)),"-")</f>
        <v>-</v>
      </c>
      <c r="BB321" s="510" t="str">
        <f t="array" aca="1" ref="BB321" ca="1">IFERROR(IF(AS321&lt;=$AB$2+$AN$2,"-",INDEX(Calculation_Tab,SMALL(ROW(Direct_Denaturation)*(Direct_Denaturation&lt;&gt;"-"),COUNTIF(Direct_Denaturation,"-")+ROW()-3-$AB$2-$AN$2)-9,33)),"-")</f>
        <v>-</v>
      </c>
      <c r="BC321" s="510" t="str">
        <f t="array" aca="1" ref="BC321" ca="1">IFERROR(IF(AS321&lt;=$AB$2+$AN$2,"-",INDEX(Calculation_Tab,SMALL(ROW(Direct_Denaturation)*(Direct_Denaturation&lt;&gt;"-"),COUNTIF(Direct_Denaturation,"-")+ROW()-3-$AB$2-$AN$2)-9,35)),"-")</f>
        <v>-</v>
      </c>
      <c r="BD321" s="511" t="str">
        <f t="shared" ca="1" si="143"/>
        <v>-</v>
      </c>
      <c r="BK321" s="542" t="s">
        <v>82</v>
      </c>
      <c r="BL321" s="542" t="s">
        <v>82</v>
      </c>
      <c r="BM321" s="487" t="str">
        <f t="array" aca="1" ref="BM321" ca="1">IFERROR(INDEX(Calculation_Tab,SMALL(ROW(ToPool)*(ToPool&lt;&gt;"-"),COUNTIF(ToPool,"-")+ROW()-3)-9,3),"-")</f>
        <v>-</v>
      </c>
      <c r="BN321" s="378" t="str">
        <f t="shared" ca="1" si="144"/>
        <v>-</v>
      </c>
      <c r="BO321" s="378" t="str">
        <f t="shared" ca="1" si="145"/>
        <v>-</v>
      </c>
      <c r="BP321" s="523" t="str">
        <f t="shared" ca="1" si="146"/>
        <v>-</v>
      </c>
      <c r="BQ321" s="378" t="str">
        <f t="array" aca="1" ref="BQ321" ca="1">IFERROR(INDEX(BE:BG,MATCH(INDEX(Calculation_Tab,SMALL(ROW(ToPool)*(ToPool&lt;&gt;"-"),COUNTIF(ToPool,"-")+ROW()-3)-9,9),BG:BG,0),2),"-")</f>
        <v>-</v>
      </c>
      <c r="BR321" s="510" t="str">
        <f t="shared" ca="1" si="147"/>
        <v>-</v>
      </c>
      <c r="BS321" s="511" t="str">
        <f t="shared" ca="1" si="148"/>
        <v>-</v>
      </c>
      <c r="BT321" s="543" t="s">
        <v>82</v>
      </c>
      <c r="BU321" s="487" t="str">
        <f t="shared" ca="1" si="152"/>
        <v>-</v>
      </c>
      <c r="BV321" s="487" t="str">
        <f t="array" aca="1" ref="BV32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21" s="378" t="str">
        <f t="shared" ca="1" si="149"/>
        <v>-</v>
      </c>
      <c r="BX321" s="378" t="str">
        <f t="shared" ca="1" si="150"/>
        <v>-</v>
      </c>
      <c r="BY321" s="510" t="str">
        <f ca="1">IFERROR(ROUND(INDEX(Cluster,MATCH(IF(LEFT(BV321,4)="Pool",INDEX(Cluster,MATCH(INDEX(Calculation_Tab,MATCH(INDEX($BE$4:$BJ$99,MATCH(BV321,$BE$4:$BE$99,0),3),Flow_Cell_Lane,0),3),Cluster!$F$29:$F$412,0),6),BV321),Identifier_Cluster,0),19)*IF(LEFT(BV321,4)="pool",IF(LEN(INDEX($BE$4:$BJ$99,MATCH(BV321,$BE$4:$BE$99,0),3))=10,2,IF(LEN(INDEX($BE$4:$BJ$99,MATCH(BV321,$BE$4:$BE$99,0),3))&gt;10,LEN(INDEX($BE$4:$BJ$99,MATCH(BV321,$BE$4:$BE$99,0),3))-8,1)),1)*IF(LEFT(BV321,4)="pool",IF(INDEX($BE$4:$BJ$99,MATCH(BV321,$BE$4:$BE$99,0),6)&lt;1,1,INDEX($BE$4:$BJ$99,MATCH(BV321,$BE$4:$BE$99,0),6)),INDEX(Calculation_Tab,MATCH(BV321,Identifier,0),10)),1)*(1+Calculation!$Q$6),"-")</f>
        <v>-</v>
      </c>
      <c r="BZ321" s="378" t="str">
        <f ca="1">IFERROR((0.5/50)*CE321/Calculation!$AG$6*(IF(LEFT(BV321,4)="Pool",IF(LEN(INDEX($BE$4:$BJ$99,MATCH(BV321,$BE$4:$BE$99,0),3))=10,2,IF(LEN(INDEX($BE$4:$BJ$99,MATCH(BV321,$BE$4:$BE$99,0),3))&gt;10,LEN(INDEX($BE$4:$BJ$99,MATCH(BV321,$BE$4:$BE$99,0),3))-8,1)),IF(INDEX(Calculation_Tab,MATCH(BV321,Identifier,0),10)&gt;1,INDEX(Calculation_Tab,MATCH(BV321,Identifier,0),10),1)))*(1+Calculation!$Q$6),"-")</f>
        <v>-</v>
      </c>
      <c r="CA321" s="510" t="str">
        <f ca="1">IFERROR(IF((BZ321*Calculation!$AG$6/0.05)-SUM(BY321:BZ321,CC321)&gt;0,(BZ321*Calculation!$AG$6/0.05)-SUM(BY321:BZ321,CC321),0),"-")</f>
        <v>-</v>
      </c>
      <c r="CB321" s="510" t="str">
        <f ca="1">IFERROR(5/50*CE321*(IF(LEFT(BV321,4)="Pool",IF(LEN(INDEX($BE$4:$BJ$99,MATCH(BV321,$BE$4:$BE$99,0),3))=10,2,IF(LEN(INDEX($BE$4:$BJ$99,MATCH(BV321,$BE$4:$BE$99,0),3))&gt;10,LEN(INDEX($BE$4:$BJ$99,MATCH(BV321,$BE$4:$BE$99,0),3))-8,1)),IF(INDEX(Calculation_Tab,MATCH(BV321,Identifier,0),10)&gt;1,INDEX(Calculation_Tab,MATCH(BV321,Identifier,0),10),1)))*(1+Calculation!$Q$6),"-")</f>
        <v>-</v>
      </c>
      <c r="CC321" s="508" t="str">
        <f ca="1">IFERROR(ROUND(INDEX(Cluster,MATCH(IF(LEFT(BV321,4)="Pool",INDEX(Cluster,MATCH(INDEX(Calculation_Tab,MATCH(INDEX($BE$4:$BJ$99,MATCH(BV321,$BE$4:$BE$99,0),3),Flow_Cell_Lane,0),3),Cluster!$F$29:$F$412,0),6),BV321),Identifier_Cluster,0),20)*IF(LEFT(BV321,4)="pool",IF(LEN(INDEX($BE$4:$BJ$99,MATCH(BV321,$BE$4:$BE$99,0),3))=10,2,IF(LEN(INDEX($BE$4:$BJ$99,MATCH(BV321,$BE$4:$BE$99,0),3))&gt;10,LEN(INDEX($BE$4:$BJ$99,MATCH(BV321,$BE$4:$BE$99,0),3))-8,1)),1)*IF(LEFT(BV321,4)="pool",IF(INDEX($BE$4:$BJ$99,MATCH(BV321,$BE$4:$BE$99,0),6)&lt;1,1,INDEX($BE$4:$BJ$99,MATCH(BV321,$BE$4:$BE$99,0),6)),INDEX(Calculation_Tab,MATCH(BV321,Identifier,0),10)),1)*(1+Calculation!$Q$6),"-")</f>
        <v>-</v>
      </c>
      <c r="CD321" s="509" t="str">
        <f ca="1">IFERROR(INDEX(Cluster!AC:AD,MATCH(IF(LEFT(BV321,4)="Pool",INDEX(Cluster!$D$29:$AA$412,MATCH(INDEX(Calculation_Tab,MATCH(INDEX($BE$4:$BJ$99,MATCH(BV321,$BE$4:$BE$99,0),3),Flow_Cell_Lane,0),3),Cluster!$F$29:$F$412,0),24),INDEX(Cluster!$D$29:$AA$412,MATCH(BV321,Cluster!$F$29:$F$412,0),24)),Cluster!AC:AC,0),2),"-")</f>
        <v>-</v>
      </c>
      <c r="CE321" s="378" t="str">
        <f ca="1">IFERROR(IF(BV321&lt;&gt;"-",Calculation!$AK$6,"-"),"-")</f>
        <v>-</v>
      </c>
      <c r="CF321" s="378" t="str">
        <f ca="1">IF(OR(LEFT(ListAndConversion!BW321,3)="Dil",LEFT(ListAndConversion!BW321,3)="Poo"),ListAndConversion!$BT$4,IF(LEFT(ListAndConversion!BW321,3)="Sou",INDEX(ListAndConversion!$AT$3:$AV$387,MATCH(ListAndConversion!BV321,ListAndConversion!$AV$3:$AV$387,0),1),"-"))</f>
        <v>-</v>
      </c>
      <c r="CG321" s="498" t="str">
        <f ca="1">IF(OR(LEFT(ListAndConversion!BW321,3)="Dil",LEFT(ListAndConversion!BW321,3)="Poo"),ListAndConversion!BU321,IF(LEFT(ListAndConversion!BW321,3)="Sou",INDEX(ListAndConversion!$AT$4:$AV$387,MATCH(ListAndConversion!BV321,ListAndConversion!$AV$4:$AV$387,0),2),"-"))</f>
        <v>-</v>
      </c>
      <c r="CH321" s="378"/>
      <c r="CI321" s="487" t="str">
        <f t="shared" ca="1" si="151"/>
        <v>-</v>
      </c>
      <c r="CJ321" s="378" t="str">
        <f t="shared" ca="1" si="164"/>
        <v>-</v>
      </c>
      <c r="CK321" s="378" t="str">
        <f t="shared" ca="1" si="164"/>
        <v>-</v>
      </c>
      <c r="CL321" s="378" t="str">
        <f t="shared" ca="1" si="164"/>
        <v>-</v>
      </c>
      <c r="CM321" s="378" t="str">
        <f t="shared" ca="1" si="164"/>
        <v>-</v>
      </c>
      <c r="CN321" s="378" t="str">
        <f t="shared" ca="1" si="164"/>
        <v>-</v>
      </c>
      <c r="CO321" s="378" t="str">
        <f t="shared" ca="1" si="164"/>
        <v>-</v>
      </c>
      <c r="CP321" s="378" t="str">
        <f t="shared" ca="1" si="164"/>
        <v>-</v>
      </c>
      <c r="CQ321" s="378" t="str">
        <f t="shared" ca="1" si="164"/>
        <v>-</v>
      </c>
      <c r="CR321" s="510" t="str">
        <f ca="1">IFERROR(IF(LEFT(BW321,3)="Poo",INDEX($BE$4:$BJ$99,MATCH(CI321,$BG$4:$BG$99,0),6)*((15/50))*Calculation!$AK$6,INDEX(Calculation_Tab,MATCH(BV321,Identifier,0),10)/(IF(LEN(INDEX(Calculation_Tab,MATCH(BV321,Identifier,0),9))&gt;8,LEN(INDEX(Calculation_Tab,MATCH(BV321,Identifier,0),9))-8,1))*((15/50)*Calculation!$AK$6)),"-")</f>
        <v>-</v>
      </c>
      <c r="CS321" s="498" t="str">
        <f ca="1">IF(CI321="-","-",IF(COUNTIF($CI$3:CI321,CI321)&gt;1,0,IFERROR((35/50)*Calculation!$AK$6,"-")))</f>
        <v>-</v>
      </c>
    </row>
    <row r="322" spans="4:97" x14ac:dyDescent="0.5">
      <c r="D322" s="487" t="e">
        <f t="shared" si="137"/>
        <v>#DIV/0!</v>
      </c>
      <c r="E322" s="496" t="e">
        <f t="array" ref="E322">IF(IF((ROW(E322)-3)&lt;(ListAndConversion!$A$15),INDEX(Flow_Cell_Lane,MIN(IF(COUNTIF($E$2:E321,Flow_Cell_Lane)=0,ROW(Flow_Cell_Lane)-9))),"-")="","-",IF((ROW(E322)-3)&lt;(ListAndConversion!$A$15),INDEX(Flow_Cell_Lane,MIN(IF(COUNTIF($E$2:E321,Flow_Cell_Lane)=0,ROW(Flow_Cell_Lane)-9))),"-"))</f>
        <v>#DIV/0!</v>
      </c>
      <c r="F322" s="378" t="e">
        <f t="shared" si="138"/>
        <v>#DIV/0!</v>
      </c>
      <c r="G322" s="378" t="e">
        <f t="shared" si="163"/>
        <v>#DIV/0!</v>
      </c>
      <c r="H322" s="378" t="e">
        <f t="shared" si="163"/>
        <v>#DIV/0!</v>
      </c>
      <c r="I322" s="378" t="e">
        <f t="shared" si="163"/>
        <v>#DIV/0!</v>
      </c>
      <c r="J322" s="378" t="e">
        <f t="shared" si="163"/>
        <v>#DIV/0!</v>
      </c>
      <c r="K322" s="378" t="e">
        <f t="shared" si="163"/>
        <v>#DIV/0!</v>
      </c>
      <c r="L322" s="378" t="e">
        <f t="shared" si="163"/>
        <v>#DIV/0!</v>
      </c>
      <c r="M322" s="378" t="e">
        <f t="shared" si="163"/>
        <v>#DIV/0!</v>
      </c>
      <c r="N322" s="497" t="e">
        <f t="shared" si="139"/>
        <v>#DIV/0!</v>
      </c>
      <c r="O322" s="497" t="str">
        <f t="array" ref="O322">IFERROR(INDEX(Calculation!I:AN,MATCH(ListAndConversion!E322,Calculation!I:I,0),31),"-")</f>
        <v>-</v>
      </c>
      <c r="P322" s="498">
        <f>IF(COUNTIFS(Calculation!$I$10:$I$393,E322,Direct_Denaturation,"-")&lt;&gt;1,COUNTIFS(Calculation!$I$10:$I$393,E322,Direct_Denaturation,"-"),0)</f>
        <v>0</v>
      </c>
      <c r="V322" s="542" t="s">
        <v>82</v>
      </c>
      <c r="W322" s="542" t="s">
        <v>82</v>
      </c>
      <c r="X322" s="542" t="s">
        <v>82</v>
      </c>
      <c r="Y322" s="542" t="s">
        <v>82</v>
      </c>
      <c r="Z322" s="542" t="s">
        <v>82</v>
      </c>
      <c r="AA322" s="542" t="s">
        <v>82</v>
      </c>
      <c r="AB322" s="542" t="s">
        <v>82</v>
      </c>
      <c r="AC322" s="542" t="s">
        <v>82</v>
      </c>
      <c r="AD322" s="542" t="s">
        <v>82</v>
      </c>
      <c r="AE322" s="542" t="s">
        <v>82</v>
      </c>
      <c r="AF322" s="542" t="s">
        <v>82</v>
      </c>
      <c r="AG322" s="542" t="s">
        <v>82</v>
      </c>
      <c r="AH322" s="9"/>
      <c r="AI322" s="487">
        <v>319</v>
      </c>
      <c r="AJ322" s="497" t="s">
        <v>479</v>
      </c>
      <c r="AK322" s="378">
        <v>31</v>
      </c>
      <c r="AL322" s="378" t="str">
        <f t="shared" ca="1" si="140"/>
        <v>-</v>
      </c>
      <c r="AM322" s="378" t="str">
        <f t="array" aca="1" ref="AM322" ca="1">IFERROR(IF(AI322&lt;=$AB$2,"-",INDEX(Calculation_Tab,SMALL(ROW(Main_Dil)*(Main_Dil&lt;&gt;"-"),COUNTIF(Main_Dil,"-")+ROW()-3-$AB$2)-9,5)),"-")</f>
        <v>-</v>
      </c>
      <c r="AN322" s="378" t="str">
        <f t="array" aca="1" ref="AN322" ca="1">IFERROR(IF(AI322&lt;=$AB$2,"-",INDEX($A$3:$B$12,MATCH(INDEX(Calculation_Tab,SMALL(ROW(Main_Dil)*(Main_Dil&lt;&gt;"-"),COUNTIF(Main_Dil,"-")+ROW()-3-$AB$2)-9,5),$A$3:$A$12,0),2)),"-")</f>
        <v>-</v>
      </c>
      <c r="AO322" s="378" t="str">
        <f t="array" aca="1" ref="AO322" ca="1">IFERROR(IF(AI322&lt;=$AB$2,"-",INDEX(Coordinate,MATCH(INDEX(Calculation_Tab,SMALL(ROW(Main_Dil)*(Main_Dil&lt;&gt;"-"),COUNTIF(Main_Dil,"-")+ROW()-3-$AB$2)-9,6),$X$4:$X$99,0),2)),"-")</f>
        <v>-</v>
      </c>
      <c r="AP322" s="510" t="str">
        <f t="array" aca="1" ref="AP322" ca="1">IFERROR(IF(AI322&lt;=$AB$2,"-",INDEX(Calculation_Tab,SMALL(ROW(Main_Dil)*(Main_Dil&lt;&gt;"-"),COUNTIF(Main_Dil,"-")+ROW()-3-$AB$2)-9,21)),"-")</f>
        <v>-</v>
      </c>
      <c r="AQ322" s="511" t="str">
        <f t="array" aca="1" ref="AQ322" ca="1">IFERROR(IF(AI322&lt;=$AB$2,"-",INDEX(Calculation_Tab,SMALL(ROW(Main_Dil)*(Main_Dil&lt;&gt;"-"),COUNTIF(Main_Dil,"-")+ROW()-3-$AB$2)-9,22)),"-")</f>
        <v>-</v>
      </c>
      <c r="AR322" s="487" t="str">
        <f t="shared" ca="1" si="141"/>
        <v>-</v>
      </c>
      <c r="AS322" s="378">
        <v>319</v>
      </c>
      <c r="AT322" s="497" t="s">
        <v>479</v>
      </c>
      <c r="AU322" s="498">
        <v>31</v>
      </c>
      <c r="AV322" s="378" t="str">
        <f t="shared" ca="1" si="142"/>
        <v>-</v>
      </c>
      <c r="AW322" s="378" t="str">
        <f t="array" aca="1" ref="AW322" ca="1">IFERROR(IF(AS322&lt;=$AB$2+$AN$2,"-",INDEX(Calculation_Tab,SMALL(ROW(Direct_Denaturation)*(Direct_Denaturation&lt;&gt;"-"),COUNTIF(Direct_Denaturation,"-")+ROW()-3-$AB$2-$AN$2)-9,5)),"-")</f>
        <v>-</v>
      </c>
      <c r="AX322" s="378" t="str">
        <f t="array" aca="1" ref="AX322" ca="1">IFERROR(IF(AS322&lt;=$AB$2+$AN$2,"-",INDEX($A$3:$B$12,MATCH(INDEX(Calculation_Tab,SMALL(ROW(Direct_Denaturation)*(Direct_Denaturation&lt;&gt;"-"),COUNTIF(Direct_Denaturation,"-")+ROW()-3-$AB$2-$AN$2)-9,5),$A$3:$A$12,0),2)),"-")</f>
        <v>-</v>
      </c>
      <c r="AY322" s="378" t="str">
        <f t="array" aca="1" ref="AY322" ca="1">IFERROR(IF(AS322&lt;=$AB$2+$AN$2,"-",INDEX(Coordinate,MATCH(INDEX(Calculation_Tab,SMALL(ROW(Direct_Denaturation)*(Direct_Denaturation&lt;&gt;"-"),COUNTIF(Direct_Denaturation,"-")+ROW()-3-$AB$2-$AN$2)-9,6),$X$4:$X$99,0),2)),"-")</f>
        <v>-</v>
      </c>
      <c r="AZ322" s="510" t="str">
        <f t="array" aca="1" ref="AZ322" ca="1">IFERROR(IF(AS322&lt;=$AB$2+$AN$2,"-",INDEX(Calculation_Tab,SMALL(ROW(Direct_Denaturation)*(Direct_Denaturation&lt;&gt;"-"),COUNTIF(Direct_Denaturation,"-")+ROW()-3-$AB$2-$AN$2)-9,32)),"-")</f>
        <v>-</v>
      </c>
      <c r="BA322" s="510" t="str">
        <f t="array" aca="1" ref="BA322" ca="1">IFERROR(IF(AS322&lt;=$AB$2+$AN$2,"-",INDEX(Calculation_Tab,SMALL(ROW(Direct_Denaturation)*(Direct_Denaturation&lt;&gt;"-"),COUNTIF(Direct_Denaturation,"-")+ROW()-3-$AB$2-$AN$2)-9,34)),"-")</f>
        <v>-</v>
      </c>
      <c r="BB322" s="510" t="str">
        <f t="array" aca="1" ref="BB322" ca="1">IFERROR(IF(AS322&lt;=$AB$2+$AN$2,"-",INDEX(Calculation_Tab,SMALL(ROW(Direct_Denaturation)*(Direct_Denaturation&lt;&gt;"-"),COUNTIF(Direct_Denaturation,"-")+ROW()-3-$AB$2-$AN$2)-9,33)),"-")</f>
        <v>-</v>
      </c>
      <c r="BC322" s="510" t="str">
        <f t="array" aca="1" ref="BC322" ca="1">IFERROR(IF(AS322&lt;=$AB$2+$AN$2,"-",INDEX(Calculation_Tab,SMALL(ROW(Direct_Denaturation)*(Direct_Denaturation&lt;&gt;"-"),COUNTIF(Direct_Denaturation,"-")+ROW()-3-$AB$2-$AN$2)-9,35)),"-")</f>
        <v>-</v>
      </c>
      <c r="BD322" s="511" t="str">
        <f t="shared" ca="1" si="143"/>
        <v>-</v>
      </c>
      <c r="BK322" s="542" t="s">
        <v>82</v>
      </c>
      <c r="BL322" s="542" t="s">
        <v>82</v>
      </c>
      <c r="BM322" s="487" t="str">
        <f t="array" aca="1" ref="BM322" ca="1">IFERROR(INDEX(Calculation_Tab,SMALL(ROW(ToPool)*(ToPool&lt;&gt;"-"),COUNTIF(ToPool,"-")+ROW()-3)-9,3),"-")</f>
        <v>-</v>
      </c>
      <c r="BN322" s="378" t="str">
        <f t="shared" ca="1" si="144"/>
        <v>-</v>
      </c>
      <c r="BO322" s="378" t="str">
        <f t="shared" ca="1" si="145"/>
        <v>-</v>
      </c>
      <c r="BP322" s="523" t="str">
        <f t="shared" ca="1" si="146"/>
        <v>-</v>
      </c>
      <c r="BQ322" s="378" t="str">
        <f t="array" aca="1" ref="BQ322" ca="1">IFERROR(INDEX(BE:BG,MATCH(INDEX(Calculation_Tab,SMALL(ROW(ToPool)*(ToPool&lt;&gt;"-"),COUNTIF(ToPool,"-")+ROW()-3)-9,9),BG:BG,0),2),"-")</f>
        <v>-</v>
      </c>
      <c r="BR322" s="510" t="str">
        <f t="shared" ca="1" si="147"/>
        <v>-</v>
      </c>
      <c r="BS322" s="511" t="str">
        <f t="shared" ca="1" si="148"/>
        <v>-</v>
      </c>
      <c r="BT322" s="543" t="s">
        <v>82</v>
      </c>
      <c r="BU322" s="487" t="str">
        <f t="shared" ca="1" si="152"/>
        <v>-</v>
      </c>
      <c r="BV322" s="487" t="str">
        <f t="array" aca="1" ref="BV32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22" s="378" t="str">
        <f t="shared" ca="1" si="149"/>
        <v>-</v>
      </c>
      <c r="BX322" s="378" t="str">
        <f t="shared" ca="1" si="150"/>
        <v>-</v>
      </c>
      <c r="BY322" s="510" t="str">
        <f ca="1">IFERROR(ROUND(INDEX(Cluster,MATCH(IF(LEFT(BV322,4)="Pool",INDEX(Cluster,MATCH(INDEX(Calculation_Tab,MATCH(INDEX($BE$4:$BJ$99,MATCH(BV322,$BE$4:$BE$99,0),3),Flow_Cell_Lane,0),3),Cluster!$F$29:$F$412,0),6),BV322),Identifier_Cluster,0),19)*IF(LEFT(BV322,4)="pool",IF(LEN(INDEX($BE$4:$BJ$99,MATCH(BV322,$BE$4:$BE$99,0),3))=10,2,IF(LEN(INDEX($BE$4:$BJ$99,MATCH(BV322,$BE$4:$BE$99,0),3))&gt;10,LEN(INDEX($BE$4:$BJ$99,MATCH(BV322,$BE$4:$BE$99,0),3))-8,1)),1)*IF(LEFT(BV322,4)="pool",IF(INDEX($BE$4:$BJ$99,MATCH(BV322,$BE$4:$BE$99,0),6)&lt;1,1,INDEX($BE$4:$BJ$99,MATCH(BV322,$BE$4:$BE$99,0),6)),INDEX(Calculation_Tab,MATCH(BV322,Identifier,0),10)),1)*(1+Calculation!$Q$6),"-")</f>
        <v>-</v>
      </c>
      <c r="BZ322" s="378" t="str">
        <f ca="1">IFERROR((0.5/50)*CE322/Calculation!$AG$6*(IF(LEFT(BV322,4)="Pool",IF(LEN(INDEX($BE$4:$BJ$99,MATCH(BV322,$BE$4:$BE$99,0),3))=10,2,IF(LEN(INDEX($BE$4:$BJ$99,MATCH(BV322,$BE$4:$BE$99,0),3))&gt;10,LEN(INDEX($BE$4:$BJ$99,MATCH(BV322,$BE$4:$BE$99,0),3))-8,1)),IF(INDEX(Calculation_Tab,MATCH(BV322,Identifier,0),10)&gt;1,INDEX(Calculation_Tab,MATCH(BV322,Identifier,0),10),1)))*(1+Calculation!$Q$6),"-")</f>
        <v>-</v>
      </c>
      <c r="CA322" s="510" t="str">
        <f ca="1">IFERROR(IF((BZ322*Calculation!$AG$6/0.05)-SUM(BY322:BZ322,CC322)&gt;0,(BZ322*Calculation!$AG$6/0.05)-SUM(BY322:BZ322,CC322),0),"-")</f>
        <v>-</v>
      </c>
      <c r="CB322" s="510" t="str">
        <f ca="1">IFERROR(5/50*CE322*(IF(LEFT(BV322,4)="Pool",IF(LEN(INDEX($BE$4:$BJ$99,MATCH(BV322,$BE$4:$BE$99,0),3))=10,2,IF(LEN(INDEX($BE$4:$BJ$99,MATCH(BV322,$BE$4:$BE$99,0),3))&gt;10,LEN(INDEX($BE$4:$BJ$99,MATCH(BV322,$BE$4:$BE$99,0),3))-8,1)),IF(INDEX(Calculation_Tab,MATCH(BV322,Identifier,0),10)&gt;1,INDEX(Calculation_Tab,MATCH(BV322,Identifier,0),10),1)))*(1+Calculation!$Q$6),"-")</f>
        <v>-</v>
      </c>
      <c r="CC322" s="508" t="str">
        <f ca="1">IFERROR(ROUND(INDEX(Cluster,MATCH(IF(LEFT(BV322,4)="Pool",INDEX(Cluster,MATCH(INDEX(Calculation_Tab,MATCH(INDEX($BE$4:$BJ$99,MATCH(BV322,$BE$4:$BE$99,0),3),Flow_Cell_Lane,0),3),Cluster!$F$29:$F$412,0),6),BV322),Identifier_Cluster,0),20)*IF(LEFT(BV322,4)="pool",IF(LEN(INDEX($BE$4:$BJ$99,MATCH(BV322,$BE$4:$BE$99,0),3))=10,2,IF(LEN(INDEX($BE$4:$BJ$99,MATCH(BV322,$BE$4:$BE$99,0),3))&gt;10,LEN(INDEX($BE$4:$BJ$99,MATCH(BV322,$BE$4:$BE$99,0),3))-8,1)),1)*IF(LEFT(BV322,4)="pool",IF(INDEX($BE$4:$BJ$99,MATCH(BV322,$BE$4:$BE$99,0),6)&lt;1,1,INDEX($BE$4:$BJ$99,MATCH(BV322,$BE$4:$BE$99,0),6)),INDEX(Calculation_Tab,MATCH(BV322,Identifier,0),10)),1)*(1+Calculation!$Q$6),"-")</f>
        <v>-</v>
      </c>
      <c r="CD322" s="509" t="str">
        <f ca="1">IFERROR(INDEX(Cluster!AC:AD,MATCH(IF(LEFT(BV322,4)="Pool",INDEX(Cluster!$D$29:$AA$412,MATCH(INDEX(Calculation_Tab,MATCH(INDEX($BE$4:$BJ$99,MATCH(BV322,$BE$4:$BE$99,0),3),Flow_Cell_Lane,0),3),Cluster!$F$29:$F$412,0),24),INDEX(Cluster!$D$29:$AA$412,MATCH(BV322,Cluster!$F$29:$F$412,0),24)),Cluster!AC:AC,0),2),"-")</f>
        <v>-</v>
      </c>
      <c r="CE322" s="378" t="str">
        <f ca="1">IFERROR(IF(BV322&lt;&gt;"-",Calculation!$AK$6,"-"),"-")</f>
        <v>-</v>
      </c>
      <c r="CF322" s="378" t="str">
        <f ca="1">IF(OR(LEFT(ListAndConversion!BW322,3)="Dil",LEFT(ListAndConversion!BW322,3)="Poo"),ListAndConversion!$BT$4,IF(LEFT(ListAndConversion!BW322,3)="Sou",INDEX(ListAndConversion!$AT$3:$AV$387,MATCH(ListAndConversion!BV322,ListAndConversion!$AV$3:$AV$387,0),1),"-"))</f>
        <v>-</v>
      </c>
      <c r="CG322" s="498" t="str">
        <f ca="1">IF(OR(LEFT(ListAndConversion!BW322,3)="Dil",LEFT(ListAndConversion!BW322,3)="Poo"),ListAndConversion!BU322,IF(LEFT(ListAndConversion!BW322,3)="Sou",INDEX(ListAndConversion!$AT$4:$AV$387,MATCH(ListAndConversion!BV322,ListAndConversion!$AV$4:$AV$387,0),2),"-"))</f>
        <v>-</v>
      </c>
      <c r="CH322" s="378"/>
      <c r="CI322" s="487" t="str">
        <f t="shared" ca="1" si="151"/>
        <v>-</v>
      </c>
      <c r="CJ322" s="378" t="str">
        <f t="shared" ca="1" si="164"/>
        <v>-</v>
      </c>
      <c r="CK322" s="378" t="str">
        <f t="shared" ca="1" si="164"/>
        <v>-</v>
      </c>
      <c r="CL322" s="378" t="str">
        <f t="shared" ca="1" si="164"/>
        <v>-</v>
      </c>
      <c r="CM322" s="378" t="str">
        <f t="shared" ca="1" si="164"/>
        <v>-</v>
      </c>
      <c r="CN322" s="378" t="str">
        <f t="shared" ca="1" si="164"/>
        <v>-</v>
      </c>
      <c r="CO322" s="378" t="str">
        <f t="shared" ca="1" si="164"/>
        <v>-</v>
      </c>
      <c r="CP322" s="378" t="str">
        <f t="shared" ca="1" si="164"/>
        <v>-</v>
      </c>
      <c r="CQ322" s="378" t="str">
        <f t="shared" ca="1" si="164"/>
        <v>-</v>
      </c>
      <c r="CR322" s="510" t="str">
        <f ca="1">IFERROR(IF(LEFT(BW322,3)="Poo",INDEX($BE$4:$BJ$99,MATCH(CI322,$BG$4:$BG$99,0),6)*((15/50))*Calculation!$AK$6,INDEX(Calculation_Tab,MATCH(BV322,Identifier,0),10)/(IF(LEN(INDEX(Calculation_Tab,MATCH(BV322,Identifier,0),9))&gt;8,LEN(INDEX(Calculation_Tab,MATCH(BV322,Identifier,0),9))-8,1))*((15/50)*Calculation!$AK$6)),"-")</f>
        <v>-</v>
      </c>
      <c r="CS322" s="498" t="str">
        <f ca="1">IF(CI322="-","-",IF(COUNTIF($CI$3:CI322,CI322)&gt;1,0,IFERROR((35/50)*Calculation!$AK$6,"-")))</f>
        <v>-</v>
      </c>
    </row>
    <row r="323" spans="4:97" x14ac:dyDescent="0.5">
      <c r="D323" s="487" t="e">
        <f t="shared" ref="D323:D386" si="165">LEN(E323)</f>
        <v>#DIV/0!</v>
      </c>
      <c r="E323" s="496" t="e">
        <f t="array" ref="E323">IF(IF((ROW(E323)-3)&lt;(ListAndConversion!$A$15),INDEX(Flow_Cell_Lane,MIN(IF(COUNTIF($E$2:E322,Flow_Cell_Lane)=0,ROW(Flow_Cell_Lane)-9))),"-")="","-",IF((ROW(E323)-3)&lt;(ListAndConversion!$A$15),INDEX(Flow_Cell_Lane,MIN(IF(COUNTIF($E$2:E322,Flow_Cell_Lane)=0,ROW(Flow_Cell_Lane)-9))),"-"))</f>
        <v>#DIV/0!</v>
      </c>
      <c r="F323" s="378" t="e">
        <f t="shared" ref="F323:F386" si="166">IF(D323&gt;=8,LEFT(E323,8),"")</f>
        <v>#DIV/0!</v>
      </c>
      <c r="G323" s="378" t="e">
        <f t="shared" ref="G323:M332" si="167">IF($D323&gt;8,IF($D323&gt;=(8+G$2),CONCATENATE(LEFT($E323,7),RIGHT(LEFT($E323,8+G$2),1)),""),"")</f>
        <v>#DIV/0!</v>
      </c>
      <c r="H323" s="378" t="e">
        <f t="shared" si="167"/>
        <v>#DIV/0!</v>
      </c>
      <c r="I323" s="378" t="e">
        <f t="shared" si="167"/>
        <v>#DIV/0!</v>
      </c>
      <c r="J323" s="378" t="e">
        <f t="shared" si="167"/>
        <v>#DIV/0!</v>
      </c>
      <c r="K323" s="378" t="e">
        <f t="shared" si="167"/>
        <v>#DIV/0!</v>
      </c>
      <c r="L323" s="378" t="e">
        <f t="shared" si="167"/>
        <v>#DIV/0!</v>
      </c>
      <c r="M323" s="378" t="e">
        <f t="shared" si="167"/>
        <v>#DIV/0!</v>
      </c>
      <c r="N323" s="497" t="e">
        <f t="shared" ref="N323:N387" si="168">IF(E323="-","-",RIGHT(E323,D323-7))</f>
        <v>#DIV/0!</v>
      </c>
      <c r="O323" s="497" t="str">
        <f t="array" ref="O323">IFERROR(INDEX(Calculation!I:AN,MATCH(ListAndConversion!E323,Calculation!I:I,0),31),"-")</f>
        <v>-</v>
      </c>
      <c r="P323" s="498">
        <f>IF(COUNTIFS(Calculation!$I$10:$I$393,E323,Direct_Denaturation,"-")&lt;&gt;1,COUNTIFS(Calculation!$I$10:$I$393,E323,Direct_Denaturation,"-"),0)</f>
        <v>0</v>
      </c>
      <c r="V323" s="542" t="s">
        <v>82</v>
      </c>
      <c r="W323" s="542" t="s">
        <v>82</v>
      </c>
      <c r="X323" s="542" t="s">
        <v>82</v>
      </c>
      <c r="Y323" s="542" t="s">
        <v>82</v>
      </c>
      <c r="Z323" s="542" t="s">
        <v>82</v>
      </c>
      <c r="AA323" s="542" t="s">
        <v>82</v>
      </c>
      <c r="AB323" s="542" t="s">
        <v>82</v>
      </c>
      <c r="AC323" s="542" t="s">
        <v>82</v>
      </c>
      <c r="AD323" s="542" t="s">
        <v>82</v>
      </c>
      <c r="AE323" s="542" t="s">
        <v>82</v>
      </c>
      <c r="AF323" s="542" t="s">
        <v>82</v>
      </c>
      <c r="AG323" s="542" t="s">
        <v>82</v>
      </c>
      <c r="AH323" s="9"/>
      <c r="AI323" s="487">
        <v>320</v>
      </c>
      <c r="AJ323" s="497" t="s">
        <v>479</v>
      </c>
      <c r="AK323" s="378">
        <v>32</v>
      </c>
      <c r="AL323" s="378" t="str">
        <f t="shared" ca="1" si="140"/>
        <v>-</v>
      </c>
      <c r="AM323" s="378" t="str">
        <f t="array" aca="1" ref="AM323" ca="1">IFERROR(IF(AI323&lt;=$AB$2,"-",INDEX(Calculation_Tab,SMALL(ROW(Main_Dil)*(Main_Dil&lt;&gt;"-"),COUNTIF(Main_Dil,"-")+ROW()-3-$AB$2)-9,5)),"-")</f>
        <v>-</v>
      </c>
      <c r="AN323" s="378" t="str">
        <f t="array" aca="1" ref="AN323" ca="1">IFERROR(IF(AI323&lt;=$AB$2,"-",INDEX($A$3:$B$12,MATCH(INDEX(Calculation_Tab,SMALL(ROW(Main_Dil)*(Main_Dil&lt;&gt;"-"),COUNTIF(Main_Dil,"-")+ROW()-3-$AB$2)-9,5),$A$3:$A$12,0),2)),"-")</f>
        <v>-</v>
      </c>
      <c r="AO323" s="378" t="str">
        <f t="array" aca="1" ref="AO323" ca="1">IFERROR(IF(AI323&lt;=$AB$2,"-",INDEX(Coordinate,MATCH(INDEX(Calculation_Tab,SMALL(ROW(Main_Dil)*(Main_Dil&lt;&gt;"-"),COUNTIF(Main_Dil,"-")+ROW()-3-$AB$2)-9,6),$X$4:$X$99,0),2)),"-")</f>
        <v>-</v>
      </c>
      <c r="AP323" s="510" t="str">
        <f t="array" aca="1" ref="AP323" ca="1">IFERROR(IF(AI323&lt;=$AB$2,"-",INDEX(Calculation_Tab,SMALL(ROW(Main_Dil)*(Main_Dil&lt;&gt;"-"),COUNTIF(Main_Dil,"-")+ROW()-3-$AB$2)-9,21)),"-")</f>
        <v>-</v>
      </c>
      <c r="AQ323" s="511" t="str">
        <f t="array" aca="1" ref="AQ323" ca="1">IFERROR(IF(AI323&lt;=$AB$2,"-",INDEX(Calculation_Tab,SMALL(ROW(Main_Dil)*(Main_Dil&lt;&gt;"-"),COUNTIF(Main_Dil,"-")+ROW()-3-$AB$2)-9,22)),"-")</f>
        <v>-</v>
      </c>
      <c r="AR323" s="487" t="str">
        <f t="shared" ca="1" si="141"/>
        <v>-</v>
      </c>
      <c r="AS323" s="378">
        <v>320</v>
      </c>
      <c r="AT323" s="497" t="s">
        <v>479</v>
      </c>
      <c r="AU323" s="498">
        <v>32</v>
      </c>
      <c r="AV323" s="378" t="str">
        <f t="shared" ca="1" si="142"/>
        <v>-</v>
      </c>
      <c r="AW323" s="378" t="str">
        <f t="array" aca="1" ref="AW323" ca="1">IFERROR(IF(AS323&lt;=$AB$2+$AN$2,"-",INDEX(Calculation_Tab,SMALL(ROW(Direct_Denaturation)*(Direct_Denaturation&lt;&gt;"-"),COUNTIF(Direct_Denaturation,"-")+ROW()-3-$AB$2-$AN$2)-9,5)),"-")</f>
        <v>-</v>
      </c>
      <c r="AX323" s="378" t="str">
        <f t="array" aca="1" ref="AX323" ca="1">IFERROR(IF(AS323&lt;=$AB$2+$AN$2,"-",INDEX($A$3:$B$12,MATCH(INDEX(Calculation_Tab,SMALL(ROW(Direct_Denaturation)*(Direct_Denaturation&lt;&gt;"-"),COUNTIF(Direct_Denaturation,"-")+ROW()-3-$AB$2-$AN$2)-9,5),$A$3:$A$12,0),2)),"-")</f>
        <v>-</v>
      </c>
      <c r="AY323" s="378" t="str">
        <f t="array" aca="1" ref="AY323" ca="1">IFERROR(IF(AS323&lt;=$AB$2+$AN$2,"-",INDEX(Coordinate,MATCH(INDEX(Calculation_Tab,SMALL(ROW(Direct_Denaturation)*(Direct_Denaturation&lt;&gt;"-"),COUNTIF(Direct_Denaturation,"-")+ROW()-3-$AB$2-$AN$2)-9,6),$X$4:$X$99,0),2)),"-")</f>
        <v>-</v>
      </c>
      <c r="AZ323" s="510" t="str">
        <f t="array" aca="1" ref="AZ323" ca="1">IFERROR(IF(AS323&lt;=$AB$2+$AN$2,"-",INDEX(Calculation_Tab,SMALL(ROW(Direct_Denaturation)*(Direct_Denaturation&lt;&gt;"-"),COUNTIF(Direct_Denaturation,"-")+ROW()-3-$AB$2-$AN$2)-9,32)),"-")</f>
        <v>-</v>
      </c>
      <c r="BA323" s="510" t="str">
        <f t="array" aca="1" ref="BA323" ca="1">IFERROR(IF(AS323&lt;=$AB$2+$AN$2,"-",INDEX(Calculation_Tab,SMALL(ROW(Direct_Denaturation)*(Direct_Denaturation&lt;&gt;"-"),COUNTIF(Direct_Denaturation,"-")+ROW()-3-$AB$2-$AN$2)-9,34)),"-")</f>
        <v>-</v>
      </c>
      <c r="BB323" s="510" t="str">
        <f t="array" aca="1" ref="BB323" ca="1">IFERROR(IF(AS323&lt;=$AB$2+$AN$2,"-",INDEX(Calculation_Tab,SMALL(ROW(Direct_Denaturation)*(Direct_Denaturation&lt;&gt;"-"),COUNTIF(Direct_Denaturation,"-")+ROW()-3-$AB$2-$AN$2)-9,33)),"-")</f>
        <v>-</v>
      </c>
      <c r="BC323" s="510" t="str">
        <f t="array" aca="1" ref="BC323" ca="1">IFERROR(IF(AS323&lt;=$AB$2+$AN$2,"-",INDEX(Calculation_Tab,SMALL(ROW(Direct_Denaturation)*(Direct_Denaturation&lt;&gt;"-"),COUNTIF(Direct_Denaturation,"-")+ROW()-3-$AB$2-$AN$2)-9,35)),"-")</f>
        <v>-</v>
      </c>
      <c r="BD323" s="511" t="str">
        <f t="shared" ca="1" si="143"/>
        <v>-</v>
      </c>
      <c r="BK323" s="542" t="s">
        <v>82</v>
      </c>
      <c r="BL323" s="542" t="s">
        <v>82</v>
      </c>
      <c r="BM323" s="487" t="str">
        <f t="array" aca="1" ref="BM323" ca="1">IFERROR(INDEX(Calculation_Tab,SMALL(ROW(ToPool)*(ToPool&lt;&gt;"-"),COUNTIF(ToPool,"-")+ROW()-3)-9,3),"-")</f>
        <v>-</v>
      </c>
      <c r="BN323" s="378" t="str">
        <f t="shared" ca="1" si="144"/>
        <v>-</v>
      </c>
      <c r="BO323" s="378" t="str">
        <f t="shared" ca="1" si="145"/>
        <v>-</v>
      </c>
      <c r="BP323" s="523" t="str">
        <f t="shared" ca="1" si="146"/>
        <v>-</v>
      </c>
      <c r="BQ323" s="378" t="str">
        <f t="array" aca="1" ref="BQ323" ca="1">IFERROR(INDEX(BE:BG,MATCH(INDEX(Calculation_Tab,SMALL(ROW(ToPool)*(ToPool&lt;&gt;"-"),COUNTIF(ToPool,"-")+ROW()-3)-9,9),BG:BG,0),2),"-")</f>
        <v>-</v>
      </c>
      <c r="BR323" s="510" t="str">
        <f t="shared" ca="1" si="147"/>
        <v>-</v>
      </c>
      <c r="BS323" s="511" t="str">
        <f t="shared" ca="1" si="148"/>
        <v>-</v>
      </c>
      <c r="BT323" s="543" t="s">
        <v>82</v>
      </c>
      <c r="BU323" s="487" t="str">
        <f t="shared" ca="1" si="152"/>
        <v>-</v>
      </c>
      <c r="BV323" s="487" t="str">
        <f t="array" aca="1" ref="BV32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23" s="378" t="str">
        <f t="shared" ca="1" si="149"/>
        <v>-</v>
      </c>
      <c r="BX323" s="378" t="str">
        <f t="shared" ca="1" si="150"/>
        <v>-</v>
      </c>
      <c r="BY323" s="510" t="str">
        <f ca="1">IFERROR(ROUND(INDEX(Cluster,MATCH(IF(LEFT(BV323,4)="Pool",INDEX(Cluster,MATCH(INDEX(Calculation_Tab,MATCH(INDEX($BE$4:$BJ$99,MATCH(BV323,$BE$4:$BE$99,0),3),Flow_Cell_Lane,0),3),Cluster!$F$29:$F$412,0),6),BV323),Identifier_Cluster,0),19)*IF(LEFT(BV323,4)="pool",IF(LEN(INDEX($BE$4:$BJ$99,MATCH(BV323,$BE$4:$BE$99,0),3))=10,2,IF(LEN(INDEX($BE$4:$BJ$99,MATCH(BV323,$BE$4:$BE$99,0),3))&gt;10,LEN(INDEX($BE$4:$BJ$99,MATCH(BV323,$BE$4:$BE$99,0),3))-8,1)),1)*IF(LEFT(BV323,4)="pool",IF(INDEX($BE$4:$BJ$99,MATCH(BV323,$BE$4:$BE$99,0),6)&lt;1,1,INDEX($BE$4:$BJ$99,MATCH(BV323,$BE$4:$BE$99,0),6)),INDEX(Calculation_Tab,MATCH(BV323,Identifier,0),10)),1)*(1+Calculation!$Q$6),"-")</f>
        <v>-</v>
      </c>
      <c r="BZ323" s="378" t="str">
        <f ca="1">IFERROR((0.5/50)*CE323/Calculation!$AG$6*(IF(LEFT(BV323,4)="Pool",IF(LEN(INDEX($BE$4:$BJ$99,MATCH(BV323,$BE$4:$BE$99,0),3))=10,2,IF(LEN(INDEX($BE$4:$BJ$99,MATCH(BV323,$BE$4:$BE$99,0),3))&gt;10,LEN(INDEX($BE$4:$BJ$99,MATCH(BV323,$BE$4:$BE$99,0),3))-8,1)),IF(INDEX(Calculation_Tab,MATCH(BV323,Identifier,0),10)&gt;1,INDEX(Calculation_Tab,MATCH(BV323,Identifier,0),10),1)))*(1+Calculation!$Q$6),"-")</f>
        <v>-</v>
      </c>
      <c r="CA323" s="510" t="str">
        <f ca="1">IFERROR(IF((BZ323*Calculation!$AG$6/0.05)-SUM(BY323:BZ323,CC323)&gt;0,(BZ323*Calculation!$AG$6/0.05)-SUM(BY323:BZ323,CC323),0),"-")</f>
        <v>-</v>
      </c>
      <c r="CB323" s="510" t="str">
        <f ca="1">IFERROR(5/50*CE323*(IF(LEFT(BV323,4)="Pool",IF(LEN(INDEX($BE$4:$BJ$99,MATCH(BV323,$BE$4:$BE$99,0),3))=10,2,IF(LEN(INDEX($BE$4:$BJ$99,MATCH(BV323,$BE$4:$BE$99,0),3))&gt;10,LEN(INDEX($BE$4:$BJ$99,MATCH(BV323,$BE$4:$BE$99,0),3))-8,1)),IF(INDEX(Calculation_Tab,MATCH(BV323,Identifier,0),10)&gt;1,INDEX(Calculation_Tab,MATCH(BV323,Identifier,0),10),1)))*(1+Calculation!$Q$6),"-")</f>
        <v>-</v>
      </c>
      <c r="CC323" s="508" t="str">
        <f ca="1">IFERROR(ROUND(INDEX(Cluster,MATCH(IF(LEFT(BV323,4)="Pool",INDEX(Cluster,MATCH(INDEX(Calculation_Tab,MATCH(INDEX($BE$4:$BJ$99,MATCH(BV323,$BE$4:$BE$99,0),3),Flow_Cell_Lane,0),3),Cluster!$F$29:$F$412,0),6),BV323),Identifier_Cluster,0),20)*IF(LEFT(BV323,4)="pool",IF(LEN(INDEX($BE$4:$BJ$99,MATCH(BV323,$BE$4:$BE$99,0),3))=10,2,IF(LEN(INDEX($BE$4:$BJ$99,MATCH(BV323,$BE$4:$BE$99,0),3))&gt;10,LEN(INDEX($BE$4:$BJ$99,MATCH(BV323,$BE$4:$BE$99,0),3))-8,1)),1)*IF(LEFT(BV323,4)="pool",IF(INDEX($BE$4:$BJ$99,MATCH(BV323,$BE$4:$BE$99,0),6)&lt;1,1,INDEX($BE$4:$BJ$99,MATCH(BV323,$BE$4:$BE$99,0),6)),INDEX(Calculation_Tab,MATCH(BV323,Identifier,0),10)),1)*(1+Calculation!$Q$6),"-")</f>
        <v>-</v>
      </c>
      <c r="CD323" s="509" t="str">
        <f ca="1">IFERROR(INDEX(Cluster!AC:AD,MATCH(IF(LEFT(BV323,4)="Pool",INDEX(Cluster!$D$29:$AA$412,MATCH(INDEX(Calculation_Tab,MATCH(INDEX($BE$4:$BJ$99,MATCH(BV323,$BE$4:$BE$99,0),3),Flow_Cell_Lane,0),3),Cluster!$F$29:$F$412,0),24),INDEX(Cluster!$D$29:$AA$412,MATCH(BV323,Cluster!$F$29:$F$412,0),24)),Cluster!AC:AC,0),2),"-")</f>
        <v>-</v>
      </c>
      <c r="CE323" s="378" t="str">
        <f ca="1">IFERROR(IF(BV323&lt;&gt;"-",Calculation!$AK$6,"-"),"-")</f>
        <v>-</v>
      </c>
      <c r="CF323" s="378" t="str">
        <f ca="1">IF(OR(LEFT(ListAndConversion!BW323,3)="Dil",LEFT(ListAndConversion!BW323,3)="Poo"),ListAndConversion!$BT$4,IF(LEFT(ListAndConversion!BW323,3)="Sou",INDEX(ListAndConversion!$AT$3:$AV$387,MATCH(ListAndConversion!BV323,ListAndConversion!$AV$3:$AV$387,0),1),"-"))</f>
        <v>-</v>
      </c>
      <c r="CG323" s="498" t="str">
        <f ca="1">IF(OR(LEFT(ListAndConversion!BW323,3)="Dil",LEFT(ListAndConversion!BW323,3)="Poo"),ListAndConversion!BU323,IF(LEFT(ListAndConversion!BW323,3)="Sou",INDEX(ListAndConversion!$AT$4:$AV$387,MATCH(ListAndConversion!BV323,ListAndConversion!$AV$4:$AV$387,0),2),"-"))</f>
        <v>-</v>
      </c>
      <c r="CH323" s="378"/>
      <c r="CI323" s="487" t="str">
        <f t="shared" ca="1" si="151"/>
        <v>-</v>
      </c>
      <c r="CJ323" s="378" t="str">
        <f t="shared" ca="1" si="164"/>
        <v>-</v>
      </c>
      <c r="CK323" s="378" t="str">
        <f t="shared" ca="1" si="164"/>
        <v>-</v>
      </c>
      <c r="CL323" s="378" t="str">
        <f t="shared" ca="1" si="164"/>
        <v>-</v>
      </c>
      <c r="CM323" s="378" t="str">
        <f t="shared" ca="1" si="164"/>
        <v>-</v>
      </c>
      <c r="CN323" s="378" t="str">
        <f t="shared" ca="1" si="164"/>
        <v>-</v>
      </c>
      <c r="CO323" s="378" t="str">
        <f t="shared" ca="1" si="164"/>
        <v>-</v>
      </c>
      <c r="CP323" s="378" t="str">
        <f t="shared" ca="1" si="164"/>
        <v>-</v>
      </c>
      <c r="CQ323" s="378" t="str">
        <f t="shared" ca="1" si="164"/>
        <v>-</v>
      </c>
      <c r="CR323" s="510" t="str">
        <f ca="1">IFERROR(IF(LEFT(BW323,3)="Poo",INDEX($BE$4:$BJ$99,MATCH(CI323,$BG$4:$BG$99,0),6)*((15/50))*Calculation!$AK$6,INDEX(Calculation_Tab,MATCH(BV323,Identifier,0),10)/(IF(LEN(INDEX(Calculation_Tab,MATCH(BV323,Identifier,0),9))&gt;8,LEN(INDEX(Calculation_Tab,MATCH(BV323,Identifier,0),9))-8,1))*((15/50)*Calculation!$AK$6)),"-")</f>
        <v>-</v>
      </c>
      <c r="CS323" s="498" t="str">
        <f ca="1">IF(CI323="-","-",IF(COUNTIF($CI$3:CI323,CI323)&gt;1,0,IFERROR((35/50)*Calculation!$AK$6,"-")))</f>
        <v>-</v>
      </c>
    </row>
    <row r="324" spans="4:97" x14ac:dyDescent="0.5">
      <c r="D324" s="487" t="e">
        <f t="shared" si="165"/>
        <v>#DIV/0!</v>
      </c>
      <c r="E324" s="496" t="e">
        <f t="array" ref="E324">IF(IF((ROW(E324)-3)&lt;(ListAndConversion!$A$15),INDEX(Flow_Cell_Lane,MIN(IF(COUNTIF($E$2:E323,Flow_Cell_Lane)=0,ROW(Flow_Cell_Lane)-9))),"-")="","-",IF((ROW(E324)-3)&lt;(ListAndConversion!$A$15),INDEX(Flow_Cell_Lane,MIN(IF(COUNTIF($E$2:E323,Flow_Cell_Lane)=0,ROW(Flow_Cell_Lane)-9))),"-"))</f>
        <v>#DIV/0!</v>
      </c>
      <c r="F324" s="378" t="e">
        <f t="shared" si="166"/>
        <v>#DIV/0!</v>
      </c>
      <c r="G324" s="378" t="e">
        <f t="shared" si="167"/>
        <v>#DIV/0!</v>
      </c>
      <c r="H324" s="378" t="e">
        <f t="shared" si="167"/>
        <v>#DIV/0!</v>
      </c>
      <c r="I324" s="378" t="e">
        <f t="shared" si="167"/>
        <v>#DIV/0!</v>
      </c>
      <c r="J324" s="378" t="e">
        <f t="shared" si="167"/>
        <v>#DIV/0!</v>
      </c>
      <c r="K324" s="378" t="e">
        <f t="shared" si="167"/>
        <v>#DIV/0!</v>
      </c>
      <c r="L324" s="378" t="e">
        <f t="shared" si="167"/>
        <v>#DIV/0!</v>
      </c>
      <c r="M324" s="378" t="e">
        <f t="shared" si="167"/>
        <v>#DIV/0!</v>
      </c>
      <c r="N324" s="497" t="e">
        <f t="shared" si="168"/>
        <v>#DIV/0!</v>
      </c>
      <c r="O324" s="497" t="str">
        <f t="array" ref="O324">IFERROR(INDEX(Calculation!I:AN,MATCH(ListAndConversion!E324,Calculation!I:I,0),31),"-")</f>
        <v>-</v>
      </c>
      <c r="P324" s="498">
        <f>IF(COUNTIFS(Calculation!$I$10:$I$393,E324,Direct_Denaturation,"-")&lt;&gt;1,COUNTIFS(Calculation!$I$10:$I$393,E324,Direct_Denaturation,"-"),0)</f>
        <v>0</v>
      </c>
      <c r="V324" s="542" t="s">
        <v>82</v>
      </c>
      <c r="W324" s="542" t="s">
        <v>82</v>
      </c>
      <c r="X324" s="542" t="s">
        <v>82</v>
      </c>
      <c r="Y324" s="542" t="s">
        <v>82</v>
      </c>
      <c r="Z324" s="542" t="s">
        <v>82</v>
      </c>
      <c r="AA324" s="542" t="s">
        <v>82</v>
      </c>
      <c r="AB324" s="542" t="s">
        <v>82</v>
      </c>
      <c r="AC324" s="542" t="s">
        <v>82</v>
      </c>
      <c r="AD324" s="542" t="s">
        <v>82</v>
      </c>
      <c r="AE324" s="542" t="s">
        <v>82</v>
      </c>
      <c r="AF324" s="542" t="s">
        <v>82</v>
      </c>
      <c r="AG324" s="542" t="s">
        <v>82</v>
      </c>
      <c r="AH324" s="9"/>
      <c r="AI324" s="487">
        <v>321</v>
      </c>
      <c r="AJ324" s="497" t="s">
        <v>479</v>
      </c>
      <c r="AK324" s="378">
        <v>33</v>
      </c>
      <c r="AL324" s="378" t="str">
        <f t="shared" ref="AL324:AL387" ca="1" si="169">IF(AM324&lt;&gt;"-",CONCATENATE(AM324,"-",AO324),"-")</f>
        <v>-</v>
      </c>
      <c r="AM324" s="378" t="str">
        <f t="array" aca="1" ref="AM324" ca="1">IFERROR(IF(AI324&lt;=$AB$2,"-",INDEX(Calculation_Tab,SMALL(ROW(Main_Dil)*(Main_Dil&lt;&gt;"-"),COUNTIF(Main_Dil,"-")+ROW()-3-$AB$2)-9,5)),"-")</f>
        <v>-</v>
      </c>
      <c r="AN324" s="378" t="str">
        <f t="array" aca="1" ref="AN324" ca="1">IFERROR(IF(AI324&lt;=$AB$2,"-",INDEX($A$3:$B$12,MATCH(INDEX(Calculation_Tab,SMALL(ROW(Main_Dil)*(Main_Dil&lt;&gt;"-"),COUNTIF(Main_Dil,"-")+ROW()-3-$AB$2)-9,5),$A$3:$A$12,0),2)),"-")</f>
        <v>-</v>
      </c>
      <c r="AO324" s="378" t="str">
        <f t="array" aca="1" ref="AO324" ca="1">IFERROR(IF(AI324&lt;=$AB$2,"-",INDEX(Coordinate,MATCH(INDEX(Calculation_Tab,SMALL(ROW(Main_Dil)*(Main_Dil&lt;&gt;"-"),COUNTIF(Main_Dil,"-")+ROW()-3-$AB$2)-9,6),$X$4:$X$99,0),2)),"-")</f>
        <v>-</v>
      </c>
      <c r="AP324" s="510" t="str">
        <f t="array" aca="1" ref="AP324" ca="1">IFERROR(IF(AI324&lt;=$AB$2,"-",INDEX(Calculation_Tab,SMALL(ROW(Main_Dil)*(Main_Dil&lt;&gt;"-"),COUNTIF(Main_Dil,"-")+ROW()-3-$AB$2)-9,21)),"-")</f>
        <v>-</v>
      </c>
      <c r="AQ324" s="511" t="str">
        <f t="array" aca="1" ref="AQ324" ca="1">IFERROR(IF(AI324&lt;=$AB$2,"-",INDEX(Calculation_Tab,SMALL(ROW(Main_Dil)*(Main_Dil&lt;&gt;"-"),COUNTIF(Main_Dil,"-")+ROW()-3-$AB$2)-9,22)),"-")</f>
        <v>-</v>
      </c>
      <c r="AR324" s="487" t="str">
        <f t="shared" ref="AR324:AR387" ca="1" si="170">IFERROR(INDEX(Calculation_Tab,MATCH(AV324,Identifier,0),9),"-")</f>
        <v>-</v>
      </c>
      <c r="AS324" s="378">
        <v>321</v>
      </c>
      <c r="AT324" s="497" t="s">
        <v>479</v>
      </c>
      <c r="AU324" s="498">
        <v>33</v>
      </c>
      <c r="AV324" s="378" t="str">
        <f t="shared" ref="AV324:AV387" ca="1" si="171">IF(AW324&lt;&gt;"-",CONCATENATE(AW324,"-",AY324),"-")</f>
        <v>-</v>
      </c>
      <c r="AW324" s="378" t="str">
        <f t="array" aca="1" ref="AW324" ca="1">IFERROR(IF(AS324&lt;=$AB$2+$AN$2,"-",INDEX(Calculation_Tab,SMALL(ROW(Direct_Denaturation)*(Direct_Denaturation&lt;&gt;"-"),COUNTIF(Direct_Denaturation,"-")+ROW()-3-$AB$2-$AN$2)-9,5)),"-")</f>
        <v>-</v>
      </c>
      <c r="AX324" s="378" t="str">
        <f t="array" aca="1" ref="AX324" ca="1">IFERROR(IF(AS324&lt;=$AB$2+$AN$2,"-",INDEX($A$3:$B$12,MATCH(INDEX(Calculation_Tab,SMALL(ROW(Direct_Denaturation)*(Direct_Denaturation&lt;&gt;"-"),COUNTIF(Direct_Denaturation,"-")+ROW()-3-$AB$2-$AN$2)-9,5),$A$3:$A$12,0),2)),"-")</f>
        <v>-</v>
      </c>
      <c r="AY324" s="378" t="str">
        <f t="array" aca="1" ref="AY324" ca="1">IFERROR(IF(AS324&lt;=$AB$2+$AN$2,"-",INDEX(Coordinate,MATCH(INDEX(Calculation_Tab,SMALL(ROW(Direct_Denaturation)*(Direct_Denaturation&lt;&gt;"-"),COUNTIF(Direct_Denaturation,"-")+ROW()-3-$AB$2-$AN$2)-9,6),$X$4:$X$99,0),2)),"-")</f>
        <v>-</v>
      </c>
      <c r="AZ324" s="510" t="str">
        <f t="array" aca="1" ref="AZ324" ca="1">IFERROR(IF(AS324&lt;=$AB$2+$AN$2,"-",INDEX(Calculation_Tab,SMALL(ROW(Direct_Denaturation)*(Direct_Denaturation&lt;&gt;"-"),COUNTIF(Direct_Denaturation,"-")+ROW()-3-$AB$2-$AN$2)-9,32)),"-")</f>
        <v>-</v>
      </c>
      <c r="BA324" s="510" t="str">
        <f t="array" aca="1" ref="BA324" ca="1">IFERROR(IF(AS324&lt;=$AB$2+$AN$2,"-",INDEX(Calculation_Tab,SMALL(ROW(Direct_Denaturation)*(Direct_Denaturation&lt;&gt;"-"),COUNTIF(Direct_Denaturation,"-")+ROW()-3-$AB$2-$AN$2)-9,34)),"-")</f>
        <v>-</v>
      </c>
      <c r="BB324" s="510" t="str">
        <f t="array" aca="1" ref="BB324" ca="1">IFERROR(IF(AS324&lt;=$AB$2+$AN$2,"-",INDEX(Calculation_Tab,SMALL(ROW(Direct_Denaturation)*(Direct_Denaturation&lt;&gt;"-"),COUNTIF(Direct_Denaturation,"-")+ROW()-3-$AB$2-$AN$2)-9,33)),"-")</f>
        <v>-</v>
      </c>
      <c r="BC324" s="510" t="str">
        <f t="array" aca="1" ref="BC324" ca="1">IFERROR(IF(AS324&lt;=$AB$2+$AN$2,"-",INDEX(Calculation_Tab,SMALL(ROW(Direct_Denaturation)*(Direct_Denaturation&lt;&gt;"-"),COUNTIF(Direct_Denaturation,"-")+ROW()-3-$AB$2-$AN$2)-9,35)),"-")</f>
        <v>-</v>
      </c>
      <c r="BD324" s="511" t="str">
        <f t="shared" ref="BD324:BD387" ca="1" si="172">IFERROR((INDEX(Calculation_Tab,MATCH($AV324,Identifier,0),10))/(IF(LEN(INDEX(Calculation_Tab,MATCH($AV324,Identifier,0),9))&gt;8,LEN(INDEX(Calculation_Tab,MATCH($AV324,Identifier,0),9))-8,1))*INDEX(Calculation_Tab,MATCH($AV324,Identifier,0),30),"-")</f>
        <v>-</v>
      </c>
      <c r="BK324" s="542" t="s">
        <v>82</v>
      </c>
      <c r="BL324" s="542" t="s">
        <v>82</v>
      </c>
      <c r="BM324" s="487" t="str">
        <f t="array" aca="1" ref="BM324" ca="1">IFERROR(INDEX(Calculation_Tab,SMALL(ROW(ToPool)*(ToPool&lt;&gt;"-"),COUNTIF(ToPool,"-")+ROW()-3)-9,3),"-")</f>
        <v>-</v>
      </c>
      <c r="BN324" s="378" t="str">
        <f t="shared" ref="BN324:BN387" ca="1" si="173">IF(BM324="-","-",IFERROR(IFERROR(INDEX(AI:AQ,MATCH(BM324,AL:AL,0),2),INDEX(V:AQ,MATCH(BM324,Z:Z,0),15)),"-"))</f>
        <v>-</v>
      </c>
      <c r="BO324" s="378" t="str">
        <f t="shared" ref="BO324:BO387" ca="1" si="174">IF(BM324="-","-",IFERROR(IFERROR(INDEX(AI:AQ,MATCH(BM324,AL:AL,0),3),INDEX(V:AQ,MATCH(BM324,Z:Z,0),16)),"-"))</f>
        <v>-</v>
      </c>
      <c r="BP324" s="523" t="str">
        <f t="shared" ref="BP324:BP387" ca="1" si="175">IFERROR((INDEX(Calculation_Tab,MATCH($BM324,Identifier,0),10))/(IF(LEN(INDEX(Calculation_Tab,MATCH($BM324,Identifier,0),9))&gt;8,LEN(INDEX(Calculation_Tab,MATCH($BM324,Identifier,0),9))-8,1)),"-")</f>
        <v>-</v>
      </c>
      <c r="BQ324" s="378" t="str">
        <f t="array" aca="1" ref="BQ324" ca="1">IFERROR(INDEX(BE:BG,MATCH(INDEX(Calculation_Tab,SMALL(ROW(ToPool)*(ToPool&lt;&gt;"-"),COUNTIF(ToPool,"-")+ROW()-3)-9,9),BG:BG,0),2),"-")</f>
        <v>-</v>
      </c>
      <c r="BR324" s="510" t="str">
        <f t="shared" ref="BR324:BR387" ca="1" si="176">IFERROR(BS324/SUMIF($BQ$4:$BQ$387,BQ324,$BS$4:$BS$387)*(INDEX($BE$1:$BH$99,MATCH(INDEX(Calculation_Tab,MATCH(BM324,Identifier,0),9),BG:BG,0),4)),"-")</f>
        <v>-</v>
      </c>
      <c r="BS324" s="511" t="str">
        <f t="shared" ref="BS324:BS387" ca="1" si="177">IFERROR((INDEX(Calculation_Tab,MATCH($BM324,Identifier,0),10))/(IF(LEN(INDEX(Calculation_Tab,MATCH($BM324,Identifier,0),9))&gt;8,LEN(INDEX(Calculation_Tab,MATCH($BM324,Identifier,0),9))-8,1))*INDEX(Calculation_Tab,MATCH($BM324,Identifier,0),30),"-")</f>
        <v>-</v>
      </c>
      <c r="BT324" s="543" t="s">
        <v>82</v>
      </c>
      <c r="BU324" s="487" t="str">
        <f t="shared" ca="1" si="152"/>
        <v>-</v>
      </c>
      <c r="BV324" s="487" t="str">
        <f t="array" aca="1" ref="BV32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24" s="378" t="str">
        <f t="shared" ref="BW324:BW387" ca="1" si="178">IF($BV324="-","-",IFERROR(INDEX($AJ$4:$AL$387,MATCH($BV324,$AL$4:$AL$387,0),1),IFERROR(INDEX($Y$4:$AJ$99,MATCH($BV324,$Z$4:$Z$99,0),12),IFERROR(INDEX($AV$4:$AY$387,MATCH($BV324,$AV$4:$AV$387,0),3),IFERROR(INDEX($BE$4:$BK$99,MATCH($BV324,$BE$4:$BE$99,0),7),"-")))))</f>
        <v>-</v>
      </c>
      <c r="BX324" s="378" t="str">
        <f t="shared" ref="BX324:BX387" ca="1" si="179">IF($BV324="-","-",IFERROR(INDEX($AJ$4:$AL$387,MATCH($BV324,$AL$4:$AL$387,0),2),IFERROR(INDEX($Y$4:$AJ$99,MATCH($BV324,$Z$4:$Z$99,0),1),IFERROR(INDEX($AV$4:$AY$387,MATCH($BV324,$AV$4:$AV$387,0),4),IFERROR(INDEX($BE$4:$BK$99,MATCH($BV324,$BE$4:$BE$99,0),2),"-")))))</f>
        <v>-</v>
      </c>
      <c r="BY324" s="510" t="str">
        <f ca="1">IFERROR(ROUND(INDEX(Cluster,MATCH(IF(LEFT(BV324,4)="Pool",INDEX(Cluster,MATCH(INDEX(Calculation_Tab,MATCH(INDEX($BE$4:$BJ$99,MATCH(BV324,$BE$4:$BE$99,0),3),Flow_Cell_Lane,0),3),Cluster!$F$29:$F$412,0),6),BV324),Identifier_Cluster,0),19)*IF(LEFT(BV324,4)="pool",IF(LEN(INDEX($BE$4:$BJ$99,MATCH(BV324,$BE$4:$BE$99,0),3))=10,2,IF(LEN(INDEX($BE$4:$BJ$99,MATCH(BV324,$BE$4:$BE$99,0),3))&gt;10,LEN(INDEX($BE$4:$BJ$99,MATCH(BV324,$BE$4:$BE$99,0),3))-8,1)),1)*IF(LEFT(BV324,4)="pool",IF(INDEX($BE$4:$BJ$99,MATCH(BV324,$BE$4:$BE$99,0),6)&lt;1,1,INDEX($BE$4:$BJ$99,MATCH(BV324,$BE$4:$BE$99,0),6)),INDEX(Calculation_Tab,MATCH(BV324,Identifier,0),10)),1)*(1+Calculation!$Q$6),"-")</f>
        <v>-</v>
      </c>
      <c r="BZ324" s="378" t="str">
        <f ca="1">IFERROR((0.5/50)*CE324/Calculation!$AG$6*(IF(LEFT(BV324,4)="Pool",IF(LEN(INDEX($BE$4:$BJ$99,MATCH(BV324,$BE$4:$BE$99,0),3))=10,2,IF(LEN(INDEX($BE$4:$BJ$99,MATCH(BV324,$BE$4:$BE$99,0),3))&gt;10,LEN(INDEX($BE$4:$BJ$99,MATCH(BV324,$BE$4:$BE$99,0),3))-8,1)),IF(INDEX(Calculation_Tab,MATCH(BV324,Identifier,0),10)&gt;1,INDEX(Calculation_Tab,MATCH(BV324,Identifier,0),10),1)))*(1+Calculation!$Q$6),"-")</f>
        <v>-</v>
      </c>
      <c r="CA324" s="510" t="str">
        <f ca="1">IFERROR(IF((BZ324*Calculation!$AG$6/0.05)-SUM(BY324:BZ324,CC324)&gt;0,(BZ324*Calculation!$AG$6/0.05)-SUM(BY324:BZ324,CC324),0),"-")</f>
        <v>-</v>
      </c>
      <c r="CB324" s="510" t="str">
        <f ca="1">IFERROR(5/50*CE324*(IF(LEFT(BV324,4)="Pool",IF(LEN(INDEX($BE$4:$BJ$99,MATCH(BV324,$BE$4:$BE$99,0),3))=10,2,IF(LEN(INDEX($BE$4:$BJ$99,MATCH(BV324,$BE$4:$BE$99,0),3))&gt;10,LEN(INDEX($BE$4:$BJ$99,MATCH(BV324,$BE$4:$BE$99,0),3))-8,1)),IF(INDEX(Calculation_Tab,MATCH(BV324,Identifier,0),10)&gt;1,INDEX(Calculation_Tab,MATCH(BV324,Identifier,0),10),1)))*(1+Calculation!$Q$6),"-")</f>
        <v>-</v>
      </c>
      <c r="CC324" s="508" t="str">
        <f ca="1">IFERROR(ROUND(INDEX(Cluster,MATCH(IF(LEFT(BV324,4)="Pool",INDEX(Cluster,MATCH(INDEX(Calculation_Tab,MATCH(INDEX($BE$4:$BJ$99,MATCH(BV324,$BE$4:$BE$99,0),3),Flow_Cell_Lane,0),3),Cluster!$F$29:$F$412,0),6),BV324),Identifier_Cluster,0),20)*IF(LEFT(BV324,4)="pool",IF(LEN(INDEX($BE$4:$BJ$99,MATCH(BV324,$BE$4:$BE$99,0),3))=10,2,IF(LEN(INDEX($BE$4:$BJ$99,MATCH(BV324,$BE$4:$BE$99,0),3))&gt;10,LEN(INDEX($BE$4:$BJ$99,MATCH(BV324,$BE$4:$BE$99,0),3))-8,1)),1)*IF(LEFT(BV324,4)="pool",IF(INDEX($BE$4:$BJ$99,MATCH(BV324,$BE$4:$BE$99,0),6)&lt;1,1,INDEX($BE$4:$BJ$99,MATCH(BV324,$BE$4:$BE$99,0),6)),INDEX(Calculation_Tab,MATCH(BV324,Identifier,0),10)),1)*(1+Calculation!$Q$6),"-")</f>
        <v>-</v>
      </c>
      <c r="CD324" s="509" t="str">
        <f ca="1">IFERROR(INDEX(Cluster!AC:AD,MATCH(IF(LEFT(BV324,4)="Pool",INDEX(Cluster!$D$29:$AA$412,MATCH(INDEX(Calculation_Tab,MATCH(INDEX($BE$4:$BJ$99,MATCH(BV324,$BE$4:$BE$99,0),3),Flow_Cell_Lane,0),3),Cluster!$F$29:$F$412,0),24),INDEX(Cluster!$D$29:$AA$412,MATCH(BV324,Cluster!$F$29:$F$412,0),24)),Cluster!AC:AC,0),2),"-")</f>
        <v>-</v>
      </c>
      <c r="CE324" s="378" t="str">
        <f ca="1">IFERROR(IF(BV324&lt;&gt;"-",Calculation!$AK$6,"-"),"-")</f>
        <v>-</v>
      </c>
      <c r="CF324" s="378" t="str">
        <f ca="1">IF(OR(LEFT(ListAndConversion!BW324,3)="Dil",LEFT(ListAndConversion!BW324,3)="Poo"),ListAndConversion!$BT$4,IF(LEFT(ListAndConversion!BW324,3)="Sou",INDEX(ListAndConversion!$AT$3:$AV$387,MATCH(ListAndConversion!BV324,ListAndConversion!$AV$3:$AV$387,0),1),"-"))</f>
        <v>-</v>
      </c>
      <c r="CG324" s="498" t="str">
        <f ca="1">IF(OR(LEFT(ListAndConversion!BW324,3)="Dil",LEFT(ListAndConversion!BW324,3)="Poo"),ListAndConversion!BU324,IF(LEFT(ListAndConversion!BW324,3)="Sou",INDEX(ListAndConversion!$AT$4:$AV$387,MATCH(ListAndConversion!BV324,ListAndConversion!$AV$4:$AV$387,0),2),"-"))</f>
        <v>-</v>
      </c>
      <c r="CH324" s="378"/>
      <c r="CI324" s="487" t="str">
        <f t="shared" ref="CI324:CI387" ca="1" si="180">IFERROR(IF(LEFT(BV324,3)="poo",INDEX($BE$4:$BI$99,MATCH(BV324,$BE$4:$BE$99,0),3),INDEX(Calculation_Tab,MATCH(BV324,Identifier,0),9)),"-")</f>
        <v>-</v>
      </c>
      <c r="CJ324" s="378" t="str">
        <f t="shared" ref="CJ324:CQ333" ca="1" si="181">IFERROR(INDEX($R$3:$U$98,MATCH(INDEX($F$3:$M$387,MATCH($CI324,$E$3:$E$386,0),CJ$3),$S$3:$S$98,0),4),"-")</f>
        <v>-</v>
      </c>
      <c r="CK324" s="378" t="str">
        <f t="shared" ca="1" si="181"/>
        <v>-</v>
      </c>
      <c r="CL324" s="378" t="str">
        <f t="shared" ca="1" si="181"/>
        <v>-</v>
      </c>
      <c r="CM324" s="378" t="str">
        <f t="shared" ca="1" si="181"/>
        <v>-</v>
      </c>
      <c r="CN324" s="378" t="str">
        <f t="shared" ca="1" si="181"/>
        <v>-</v>
      </c>
      <c r="CO324" s="378" t="str">
        <f t="shared" ca="1" si="181"/>
        <v>-</v>
      </c>
      <c r="CP324" s="378" t="str">
        <f t="shared" ca="1" si="181"/>
        <v>-</v>
      </c>
      <c r="CQ324" s="378" t="str">
        <f t="shared" ca="1" si="181"/>
        <v>-</v>
      </c>
      <c r="CR324" s="510" t="str">
        <f ca="1">IFERROR(IF(LEFT(BW324,3)="Poo",INDEX($BE$4:$BJ$99,MATCH(CI324,$BG$4:$BG$99,0),6)*((15/50))*Calculation!$AK$6,INDEX(Calculation_Tab,MATCH(BV324,Identifier,0),10)/(IF(LEN(INDEX(Calculation_Tab,MATCH(BV324,Identifier,0),9))&gt;8,LEN(INDEX(Calculation_Tab,MATCH(BV324,Identifier,0),9))-8,1))*((15/50)*Calculation!$AK$6)),"-")</f>
        <v>-</v>
      </c>
      <c r="CS324" s="498" t="str">
        <f ca="1">IF(CI324="-","-",IF(COUNTIF($CI$3:CI324,CI324)&gt;1,0,IFERROR((35/50)*Calculation!$AK$6,"-")))</f>
        <v>-</v>
      </c>
    </row>
    <row r="325" spans="4:97" x14ac:dyDescent="0.5">
      <c r="D325" s="487" t="e">
        <f t="shared" si="165"/>
        <v>#DIV/0!</v>
      </c>
      <c r="E325" s="496" t="e">
        <f t="array" ref="E325">IF(IF((ROW(E325)-3)&lt;(ListAndConversion!$A$15),INDEX(Flow_Cell_Lane,MIN(IF(COUNTIF($E$2:E324,Flow_Cell_Lane)=0,ROW(Flow_Cell_Lane)-9))),"-")="","-",IF((ROW(E325)-3)&lt;(ListAndConversion!$A$15),INDEX(Flow_Cell_Lane,MIN(IF(COUNTIF($E$2:E324,Flow_Cell_Lane)=0,ROW(Flow_Cell_Lane)-9))),"-"))</f>
        <v>#DIV/0!</v>
      </c>
      <c r="F325" s="378" t="e">
        <f t="shared" si="166"/>
        <v>#DIV/0!</v>
      </c>
      <c r="G325" s="378" t="e">
        <f t="shared" si="167"/>
        <v>#DIV/0!</v>
      </c>
      <c r="H325" s="378" t="e">
        <f t="shared" si="167"/>
        <v>#DIV/0!</v>
      </c>
      <c r="I325" s="378" t="e">
        <f t="shared" si="167"/>
        <v>#DIV/0!</v>
      </c>
      <c r="J325" s="378" t="e">
        <f t="shared" si="167"/>
        <v>#DIV/0!</v>
      </c>
      <c r="K325" s="378" t="e">
        <f t="shared" si="167"/>
        <v>#DIV/0!</v>
      </c>
      <c r="L325" s="378" t="e">
        <f t="shared" si="167"/>
        <v>#DIV/0!</v>
      </c>
      <c r="M325" s="378" t="e">
        <f t="shared" si="167"/>
        <v>#DIV/0!</v>
      </c>
      <c r="N325" s="497" t="e">
        <f t="shared" si="168"/>
        <v>#DIV/0!</v>
      </c>
      <c r="O325" s="497" t="str">
        <f t="array" ref="O325">IFERROR(INDEX(Calculation!I:AN,MATCH(ListAndConversion!E325,Calculation!I:I,0),31),"-")</f>
        <v>-</v>
      </c>
      <c r="P325" s="498">
        <f>IF(COUNTIFS(Calculation!$I$10:$I$393,E325,Direct_Denaturation,"-")&lt;&gt;1,COUNTIFS(Calculation!$I$10:$I$393,E325,Direct_Denaturation,"-"),0)</f>
        <v>0</v>
      </c>
      <c r="V325" s="542" t="s">
        <v>82</v>
      </c>
      <c r="W325" s="542" t="s">
        <v>82</v>
      </c>
      <c r="X325" s="542" t="s">
        <v>82</v>
      </c>
      <c r="Y325" s="542" t="s">
        <v>82</v>
      </c>
      <c r="Z325" s="542" t="s">
        <v>82</v>
      </c>
      <c r="AA325" s="542" t="s">
        <v>82</v>
      </c>
      <c r="AB325" s="542" t="s">
        <v>82</v>
      </c>
      <c r="AC325" s="542" t="s">
        <v>82</v>
      </c>
      <c r="AD325" s="542" t="s">
        <v>82</v>
      </c>
      <c r="AE325" s="542" t="s">
        <v>82</v>
      </c>
      <c r="AF325" s="542" t="s">
        <v>82</v>
      </c>
      <c r="AG325" s="542" t="s">
        <v>82</v>
      </c>
      <c r="AH325" s="9"/>
      <c r="AI325" s="487">
        <v>322</v>
      </c>
      <c r="AJ325" s="497" t="s">
        <v>479</v>
      </c>
      <c r="AK325" s="378">
        <v>34</v>
      </c>
      <c r="AL325" s="378" t="str">
        <f t="shared" ca="1" si="169"/>
        <v>-</v>
      </c>
      <c r="AM325" s="378" t="str">
        <f t="array" aca="1" ref="AM325" ca="1">IFERROR(IF(AI325&lt;=$AB$2,"-",INDEX(Calculation_Tab,SMALL(ROW(Main_Dil)*(Main_Dil&lt;&gt;"-"),COUNTIF(Main_Dil,"-")+ROW()-3-$AB$2)-9,5)),"-")</f>
        <v>-</v>
      </c>
      <c r="AN325" s="378" t="str">
        <f t="array" aca="1" ref="AN325" ca="1">IFERROR(IF(AI325&lt;=$AB$2,"-",INDEX($A$3:$B$12,MATCH(INDEX(Calculation_Tab,SMALL(ROW(Main_Dil)*(Main_Dil&lt;&gt;"-"),COUNTIF(Main_Dil,"-")+ROW()-3-$AB$2)-9,5),$A$3:$A$12,0),2)),"-")</f>
        <v>-</v>
      </c>
      <c r="AO325" s="378" t="str">
        <f t="array" aca="1" ref="AO325" ca="1">IFERROR(IF(AI325&lt;=$AB$2,"-",INDEX(Coordinate,MATCH(INDEX(Calculation_Tab,SMALL(ROW(Main_Dil)*(Main_Dil&lt;&gt;"-"),COUNTIF(Main_Dil,"-")+ROW()-3-$AB$2)-9,6),$X$4:$X$99,0),2)),"-")</f>
        <v>-</v>
      </c>
      <c r="AP325" s="510" t="str">
        <f t="array" aca="1" ref="AP325" ca="1">IFERROR(IF(AI325&lt;=$AB$2,"-",INDEX(Calculation_Tab,SMALL(ROW(Main_Dil)*(Main_Dil&lt;&gt;"-"),COUNTIF(Main_Dil,"-")+ROW()-3-$AB$2)-9,21)),"-")</f>
        <v>-</v>
      </c>
      <c r="AQ325" s="511" t="str">
        <f t="array" aca="1" ref="AQ325" ca="1">IFERROR(IF(AI325&lt;=$AB$2,"-",INDEX(Calculation_Tab,SMALL(ROW(Main_Dil)*(Main_Dil&lt;&gt;"-"),COUNTIF(Main_Dil,"-")+ROW()-3-$AB$2)-9,22)),"-")</f>
        <v>-</v>
      </c>
      <c r="AR325" s="487" t="str">
        <f t="shared" ca="1" si="170"/>
        <v>-</v>
      </c>
      <c r="AS325" s="378">
        <v>322</v>
      </c>
      <c r="AT325" s="497" t="s">
        <v>479</v>
      </c>
      <c r="AU325" s="498">
        <v>34</v>
      </c>
      <c r="AV325" s="378" t="str">
        <f t="shared" ca="1" si="171"/>
        <v>-</v>
      </c>
      <c r="AW325" s="378" t="str">
        <f t="array" aca="1" ref="AW325" ca="1">IFERROR(IF(AS325&lt;=$AB$2+$AN$2,"-",INDEX(Calculation_Tab,SMALL(ROW(Direct_Denaturation)*(Direct_Denaturation&lt;&gt;"-"),COUNTIF(Direct_Denaturation,"-")+ROW()-3-$AB$2-$AN$2)-9,5)),"-")</f>
        <v>-</v>
      </c>
      <c r="AX325" s="378" t="str">
        <f t="array" aca="1" ref="AX325" ca="1">IFERROR(IF(AS325&lt;=$AB$2+$AN$2,"-",INDEX($A$3:$B$12,MATCH(INDEX(Calculation_Tab,SMALL(ROW(Direct_Denaturation)*(Direct_Denaturation&lt;&gt;"-"),COUNTIF(Direct_Denaturation,"-")+ROW()-3-$AB$2-$AN$2)-9,5),$A$3:$A$12,0),2)),"-")</f>
        <v>-</v>
      </c>
      <c r="AY325" s="378" t="str">
        <f t="array" aca="1" ref="AY325" ca="1">IFERROR(IF(AS325&lt;=$AB$2+$AN$2,"-",INDEX(Coordinate,MATCH(INDEX(Calculation_Tab,SMALL(ROW(Direct_Denaturation)*(Direct_Denaturation&lt;&gt;"-"),COUNTIF(Direct_Denaturation,"-")+ROW()-3-$AB$2-$AN$2)-9,6),$X$4:$X$99,0),2)),"-")</f>
        <v>-</v>
      </c>
      <c r="AZ325" s="510" t="str">
        <f t="array" aca="1" ref="AZ325" ca="1">IFERROR(IF(AS325&lt;=$AB$2+$AN$2,"-",INDEX(Calculation_Tab,SMALL(ROW(Direct_Denaturation)*(Direct_Denaturation&lt;&gt;"-"),COUNTIF(Direct_Denaturation,"-")+ROW()-3-$AB$2-$AN$2)-9,32)),"-")</f>
        <v>-</v>
      </c>
      <c r="BA325" s="510" t="str">
        <f t="array" aca="1" ref="BA325" ca="1">IFERROR(IF(AS325&lt;=$AB$2+$AN$2,"-",INDEX(Calculation_Tab,SMALL(ROW(Direct_Denaturation)*(Direct_Denaturation&lt;&gt;"-"),COUNTIF(Direct_Denaturation,"-")+ROW()-3-$AB$2-$AN$2)-9,34)),"-")</f>
        <v>-</v>
      </c>
      <c r="BB325" s="510" t="str">
        <f t="array" aca="1" ref="BB325" ca="1">IFERROR(IF(AS325&lt;=$AB$2+$AN$2,"-",INDEX(Calculation_Tab,SMALL(ROW(Direct_Denaturation)*(Direct_Denaturation&lt;&gt;"-"),COUNTIF(Direct_Denaturation,"-")+ROW()-3-$AB$2-$AN$2)-9,33)),"-")</f>
        <v>-</v>
      </c>
      <c r="BC325" s="510" t="str">
        <f t="array" aca="1" ref="BC325" ca="1">IFERROR(IF(AS325&lt;=$AB$2+$AN$2,"-",INDEX(Calculation_Tab,SMALL(ROW(Direct_Denaturation)*(Direct_Denaturation&lt;&gt;"-"),COUNTIF(Direct_Denaturation,"-")+ROW()-3-$AB$2-$AN$2)-9,35)),"-")</f>
        <v>-</v>
      </c>
      <c r="BD325" s="511" t="str">
        <f t="shared" ca="1" si="172"/>
        <v>-</v>
      </c>
      <c r="BK325" s="542" t="s">
        <v>82</v>
      </c>
      <c r="BL325" s="542" t="s">
        <v>82</v>
      </c>
      <c r="BM325" s="487" t="str">
        <f t="array" aca="1" ref="BM325" ca="1">IFERROR(INDEX(Calculation_Tab,SMALL(ROW(ToPool)*(ToPool&lt;&gt;"-"),COUNTIF(ToPool,"-")+ROW()-3)-9,3),"-")</f>
        <v>-</v>
      </c>
      <c r="BN325" s="378" t="str">
        <f t="shared" ca="1" si="173"/>
        <v>-</v>
      </c>
      <c r="BO325" s="378" t="str">
        <f t="shared" ca="1" si="174"/>
        <v>-</v>
      </c>
      <c r="BP325" s="523" t="str">
        <f t="shared" ca="1" si="175"/>
        <v>-</v>
      </c>
      <c r="BQ325" s="378" t="str">
        <f t="array" aca="1" ref="BQ325" ca="1">IFERROR(INDEX(BE:BG,MATCH(INDEX(Calculation_Tab,SMALL(ROW(ToPool)*(ToPool&lt;&gt;"-"),COUNTIF(ToPool,"-")+ROW()-3)-9,9),BG:BG,0),2),"-")</f>
        <v>-</v>
      </c>
      <c r="BR325" s="510" t="str">
        <f t="shared" ca="1" si="176"/>
        <v>-</v>
      </c>
      <c r="BS325" s="511" t="str">
        <f t="shared" ca="1" si="177"/>
        <v>-</v>
      </c>
      <c r="BT325" s="543" t="s">
        <v>82</v>
      </c>
      <c r="BU325" s="487" t="str">
        <f t="shared" ref="BU325:BU387" ca="1" si="182">IF(BW325="-","-",IF(OR(LEFT(BW325,3)="Dil",LEFT(BW325,3)="Poo"),BU324+1,BU324))</f>
        <v>-</v>
      </c>
      <c r="BV325" s="487" t="str">
        <f t="array" aca="1" ref="BV32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25" s="378" t="str">
        <f t="shared" ca="1" si="178"/>
        <v>-</v>
      </c>
      <c r="BX325" s="378" t="str">
        <f t="shared" ca="1" si="179"/>
        <v>-</v>
      </c>
      <c r="BY325" s="510" t="str">
        <f ca="1">IFERROR(ROUND(INDEX(Cluster,MATCH(IF(LEFT(BV325,4)="Pool",INDEX(Cluster,MATCH(INDEX(Calculation_Tab,MATCH(INDEX($BE$4:$BJ$99,MATCH(BV325,$BE$4:$BE$99,0),3),Flow_Cell_Lane,0),3),Cluster!$F$29:$F$412,0),6),BV325),Identifier_Cluster,0),19)*IF(LEFT(BV325,4)="pool",IF(LEN(INDEX($BE$4:$BJ$99,MATCH(BV325,$BE$4:$BE$99,0),3))=10,2,IF(LEN(INDEX($BE$4:$BJ$99,MATCH(BV325,$BE$4:$BE$99,0),3))&gt;10,LEN(INDEX($BE$4:$BJ$99,MATCH(BV325,$BE$4:$BE$99,0),3))-8,1)),1)*IF(LEFT(BV325,4)="pool",IF(INDEX($BE$4:$BJ$99,MATCH(BV325,$BE$4:$BE$99,0),6)&lt;1,1,INDEX($BE$4:$BJ$99,MATCH(BV325,$BE$4:$BE$99,0),6)),INDEX(Calculation_Tab,MATCH(BV325,Identifier,0),10)),1)*(1+Calculation!$Q$6),"-")</f>
        <v>-</v>
      </c>
      <c r="BZ325" s="378" t="str">
        <f ca="1">IFERROR((0.5/50)*CE325/Calculation!$AG$6*(IF(LEFT(BV325,4)="Pool",IF(LEN(INDEX($BE$4:$BJ$99,MATCH(BV325,$BE$4:$BE$99,0),3))=10,2,IF(LEN(INDEX($BE$4:$BJ$99,MATCH(BV325,$BE$4:$BE$99,0),3))&gt;10,LEN(INDEX($BE$4:$BJ$99,MATCH(BV325,$BE$4:$BE$99,0),3))-8,1)),IF(INDEX(Calculation_Tab,MATCH(BV325,Identifier,0),10)&gt;1,INDEX(Calculation_Tab,MATCH(BV325,Identifier,0),10),1)))*(1+Calculation!$Q$6),"-")</f>
        <v>-</v>
      </c>
      <c r="CA325" s="510" t="str">
        <f ca="1">IFERROR(IF((BZ325*Calculation!$AG$6/0.05)-SUM(BY325:BZ325,CC325)&gt;0,(BZ325*Calculation!$AG$6/0.05)-SUM(BY325:BZ325,CC325),0),"-")</f>
        <v>-</v>
      </c>
      <c r="CB325" s="510" t="str">
        <f ca="1">IFERROR(5/50*CE325*(IF(LEFT(BV325,4)="Pool",IF(LEN(INDEX($BE$4:$BJ$99,MATCH(BV325,$BE$4:$BE$99,0),3))=10,2,IF(LEN(INDEX($BE$4:$BJ$99,MATCH(BV325,$BE$4:$BE$99,0),3))&gt;10,LEN(INDEX($BE$4:$BJ$99,MATCH(BV325,$BE$4:$BE$99,0),3))-8,1)),IF(INDEX(Calculation_Tab,MATCH(BV325,Identifier,0),10)&gt;1,INDEX(Calculation_Tab,MATCH(BV325,Identifier,0),10),1)))*(1+Calculation!$Q$6),"-")</f>
        <v>-</v>
      </c>
      <c r="CC325" s="508" t="str">
        <f ca="1">IFERROR(ROUND(INDEX(Cluster,MATCH(IF(LEFT(BV325,4)="Pool",INDEX(Cluster,MATCH(INDEX(Calculation_Tab,MATCH(INDEX($BE$4:$BJ$99,MATCH(BV325,$BE$4:$BE$99,0),3),Flow_Cell_Lane,0),3),Cluster!$F$29:$F$412,0),6),BV325),Identifier_Cluster,0),20)*IF(LEFT(BV325,4)="pool",IF(LEN(INDEX($BE$4:$BJ$99,MATCH(BV325,$BE$4:$BE$99,0),3))=10,2,IF(LEN(INDEX($BE$4:$BJ$99,MATCH(BV325,$BE$4:$BE$99,0),3))&gt;10,LEN(INDEX($BE$4:$BJ$99,MATCH(BV325,$BE$4:$BE$99,0),3))-8,1)),1)*IF(LEFT(BV325,4)="pool",IF(INDEX($BE$4:$BJ$99,MATCH(BV325,$BE$4:$BE$99,0),6)&lt;1,1,INDEX($BE$4:$BJ$99,MATCH(BV325,$BE$4:$BE$99,0),6)),INDEX(Calculation_Tab,MATCH(BV325,Identifier,0),10)),1)*(1+Calculation!$Q$6),"-")</f>
        <v>-</v>
      </c>
      <c r="CD325" s="509" t="str">
        <f ca="1">IFERROR(INDEX(Cluster!AC:AD,MATCH(IF(LEFT(BV325,4)="Pool",INDEX(Cluster!$D$29:$AA$412,MATCH(INDEX(Calculation_Tab,MATCH(INDEX($BE$4:$BJ$99,MATCH(BV325,$BE$4:$BE$99,0),3),Flow_Cell_Lane,0),3),Cluster!$F$29:$F$412,0),24),INDEX(Cluster!$D$29:$AA$412,MATCH(BV325,Cluster!$F$29:$F$412,0),24)),Cluster!AC:AC,0),2),"-")</f>
        <v>-</v>
      </c>
      <c r="CE325" s="378" t="str">
        <f ca="1">IFERROR(IF(BV325&lt;&gt;"-",Calculation!$AK$6,"-"),"-")</f>
        <v>-</v>
      </c>
      <c r="CF325" s="378" t="str">
        <f ca="1">IF(OR(LEFT(ListAndConversion!BW325,3)="Dil",LEFT(ListAndConversion!BW325,3)="Poo"),ListAndConversion!$BT$4,IF(LEFT(ListAndConversion!BW325,3)="Sou",INDEX(ListAndConversion!$AT$3:$AV$387,MATCH(ListAndConversion!BV325,ListAndConversion!$AV$3:$AV$387,0),1),"-"))</f>
        <v>-</v>
      </c>
      <c r="CG325" s="498" t="str">
        <f ca="1">IF(OR(LEFT(ListAndConversion!BW325,3)="Dil",LEFT(ListAndConversion!BW325,3)="Poo"),ListAndConversion!BU325,IF(LEFT(ListAndConversion!BW325,3)="Sou",INDEX(ListAndConversion!$AT$4:$AV$387,MATCH(ListAndConversion!BV325,ListAndConversion!$AV$4:$AV$387,0),2),"-"))</f>
        <v>-</v>
      </c>
      <c r="CH325" s="378"/>
      <c r="CI325" s="487" t="str">
        <f t="shared" ca="1" si="180"/>
        <v>-</v>
      </c>
      <c r="CJ325" s="378" t="str">
        <f t="shared" ca="1" si="181"/>
        <v>-</v>
      </c>
      <c r="CK325" s="378" t="str">
        <f t="shared" ca="1" si="181"/>
        <v>-</v>
      </c>
      <c r="CL325" s="378" t="str">
        <f t="shared" ca="1" si="181"/>
        <v>-</v>
      </c>
      <c r="CM325" s="378" t="str">
        <f t="shared" ca="1" si="181"/>
        <v>-</v>
      </c>
      <c r="CN325" s="378" t="str">
        <f t="shared" ca="1" si="181"/>
        <v>-</v>
      </c>
      <c r="CO325" s="378" t="str">
        <f t="shared" ca="1" si="181"/>
        <v>-</v>
      </c>
      <c r="CP325" s="378" t="str">
        <f t="shared" ca="1" si="181"/>
        <v>-</v>
      </c>
      <c r="CQ325" s="378" t="str">
        <f t="shared" ca="1" si="181"/>
        <v>-</v>
      </c>
      <c r="CR325" s="510" t="str">
        <f ca="1">IFERROR(IF(LEFT(BW325,3)="Poo",INDEX($BE$4:$BJ$99,MATCH(CI325,$BG$4:$BG$99,0),6)*((15/50))*Calculation!$AK$6,INDEX(Calculation_Tab,MATCH(BV325,Identifier,0),10)/(IF(LEN(INDEX(Calculation_Tab,MATCH(BV325,Identifier,0),9))&gt;8,LEN(INDEX(Calculation_Tab,MATCH(BV325,Identifier,0),9))-8,1))*((15/50)*Calculation!$AK$6)),"-")</f>
        <v>-</v>
      </c>
      <c r="CS325" s="498" t="str">
        <f ca="1">IF(CI325="-","-",IF(COUNTIF($CI$3:CI325,CI325)&gt;1,0,IFERROR((35/50)*Calculation!$AK$6,"-")))</f>
        <v>-</v>
      </c>
    </row>
    <row r="326" spans="4:97" x14ac:dyDescent="0.5">
      <c r="D326" s="487" t="e">
        <f t="shared" si="165"/>
        <v>#DIV/0!</v>
      </c>
      <c r="E326" s="496" t="e">
        <f t="array" ref="E326">IF(IF((ROW(E326)-3)&lt;(ListAndConversion!$A$15),INDEX(Flow_Cell_Lane,MIN(IF(COUNTIF($E$2:E325,Flow_Cell_Lane)=0,ROW(Flow_Cell_Lane)-9))),"-")="","-",IF((ROW(E326)-3)&lt;(ListAndConversion!$A$15),INDEX(Flow_Cell_Lane,MIN(IF(COUNTIF($E$2:E325,Flow_Cell_Lane)=0,ROW(Flow_Cell_Lane)-9))),"-"))</f>
        <v>#DIV/0!</v>
      </c>
      <c r="F326" s="378" t="e">
        <f t="shared" si="166"/>
        <v>#DIV/0!</v>
      </c>
      <c r="G326" s="378" t="e">
        <f t="shared" si="167"/>
        <v>#DIV/0!</v>
      </c>
      <c r="H326" s="378" t="e">
        <f t="shared" si="167"/>
        <v>#DIV/0!</v>
      </c>
      <c r="I326" s="378" t="e">
        <f t="shared" si="167"/>
        <v>#DIV/0!</v>
      </c>
      <c r="J326" s="378" t="e">
        <f t="shared" si="167"/>
        <v>#DIV/0!</v>
      </c>
      <c r="K326" s="378" t="e">
        <f t="shared" si="167"/>
        <v>#DIV/0!</v>
      </c>
      <c r="L326" s="378" t="e">
        <f t="shared" si="167"/>
        <v>#DIV/0!</v>
      </c>
      <c r="M326" s="378" t="e">
        <f t="shared" si="167"/>
        <v>#DIV/0!</v>
      </c>
      <c r="N326" s="497" t="e">
        <f t="shared" si="168"/>
        <v>#DIV/0!</v>
      </c>
      <c r="O326" s="497" t="str">
        <f t="array" ref="O326">IFERROR(INDEX(Calculation!I:AN,MATCH(ListAndConversion!E326,Calculation!I:I,0),31),"-")</f>
        <v>-</v>
      </c>
      <c r="P326" s="498">
        <f>IF(COUNTIFS(Calculation!$I$10:$I$393,E326,Direct_Denaturation,"-")&lt;&gt;1,COUNTIFS(Calculation!$I$10:$I$393,E326,Direct_Denaturation,"-"),0)</f>
        <v>0</v>
      </c>
      <c r="V326" s="542" t="s">
        <v>82</v>
      </c>
      <c r="W326" s="542" t="s">
        <v>82</v>
      </c>
      <c r="X326" s="542" t="s">
        <v>82</v>
      </c>
      <c r="Y326" s="542" t="s">
        <v>82</v>
      </c>
      <c r="Z326" s="542" t="s">
        <v>82</v>
      </c>
      <c r="AA326" s="542" t="s">
        <v>82</v>
      </c>
      <c r="AB326" s="542" t="s">
        <v>82</v>
      </c>
      <c r="AC326" s="542" t="s">
        <v>82</v>
      </c>
      <c r="AD326" s="542" t="s">
        <v>82</v>
      </c>
      <c r="AE326" s="542" t="s">
        <v>82</v>
      </c>
      <c r="AF326" s="542" t="s">
        <v>82</v>
      </c>
      <c r="AG326" s="542" t="s">
        <v>82</v>
      </c>
      <c r="AH326" s="9"/>
      <c r="AI326" s="487">
        <v>323</v>
      </c>
      <c r="AJ326" s="497" t="s">
        <v>479</v>
      </c>
      <c r="AK326" s="378">
        <v>35</v>
      </c>
      <c r="AL326" s="378" t="str">
        <f t="shared" ca="1" si="169"/>
        <v>-</v>
      </c>
      <c r="AM326" s="378" t="str">
        <f t="array" aca="1" ref="AM326" ca="1">IFERROR(IF(AI326&lt;=$AB$2,"-",INDEX(Calculation_Tab,SMALL(ROW(Main_Dil)*(Main_Dil&lt;&gt;"-"),COUNTIF(Main_Dil,"-")+ROW()-3-$AB$2)-9,5)),"-")</f>
        <v>-</v>
      </c>
      <c r="AN326" s="378" t="str">
        <f t="array" aca="1" ref="AN326" ca="1">IFERROR(IF(AI326&lt;=$AB$2,"-",INDEX($A$3:$B$12,MATCH(INDEX(Calculation_Tab,SMALL(ROW(Main_Dil)*(Main_Dil&lt;&gt;"-"),COUNTIF(Main_Dil,"-")+ROW()-3-$AB$2)-9,5),$A$3:$A$12,0),2)),"-")</f>
        <v>-</v>
      </c>
      <c r="AO326" s="378" t="str">
        <f t="array" aca="1" ref="AO326" ca="1">IFERROR(IF(AI326&lt;=$AB$2,"-",INDEX(Coordinate,MATCH(INDEX(Calculation_Tab,SMALL(ROW(Main_Dil)*(Main_Dil&lt;&gt;"-"),COUNTIF(Main_Dil,"-")+ROW()-3-$AB$2)-9,6),$X$4:$X$99,0),2)),"-")</f>
        <v>-</v>
      </c>
      <c r="AP326" s="510" t="str">
        <f t="array" aca="1" ref="AP326" ca="1">IFERROR(IF(AI326&lt;=$AB$2,"-",INDEX(Calculation_Tab,SMALL(ROW(Main_Dil)*(Main_Dil&lt;&gt;"-"),COUNTIF(Main_Dil,"-")+ROW()-3-$AB$2)-9,21)),"-")</f>
        <v>-</v>
      </c>
      <c r="AQ326" s="511" t="str">
        <f t="array" aca="1" ref="AQ326" ca="1">IFERROR(IF(AI326&lt;=$AB$2,"-",INDEX(Calculation_Tab,SMALL(ROW(Main_Dil)*(Main_Dil&lt;&gt;"-"),COUNTIF(Main_Dil,"-")+ROW()-3-$AB$2)-9,22)),"-")</f>
        <v>-</v>
      </c>
      <c r="AR326" s="487" t="str">
        <f t="shared" ca="1" si="170"/>
        <v>-</v>
      </c>
      <c r="AS326" s="378">
        <v>323</v>
      </c>
      <c r="AT326" s="497" t="s">
        <v>479</v>
      </c>
      <c r="AU326" s="498">
        <v>35</v>
      </c>
      <c r="AV326" s="378" t="str">
        <f t="shared" ca="1" si="171"/>
        <v>-</v>
      </c>
      <c r="AW326" s="378" t="str">
        <f t="array" aca="1" ref="AW326" ca="1">IFERROR(IF(AS326&lt;=$AB$2+$AN$2,"-",INDEX(Calculation_Tab,SMALL(ROW(Direct_Denaturation)*(Direct_Denaturation&lt;&gt;"-"),COUNTIF(Direct_Denaturation,"-")+ROW()-3-$AB$2-$AN$2)-9,5)),"-")</f>
        <v>-</v>
      </c>
      <c r="AX326" s="378" t="str">
        <f t="array" aca="1" ref="AX326" ca="1">IFERROR(IF(AS326&lt;=$AB$2+$AN$2,"-",INDEX($A$3:$B$12,MATCH(INDEX(Calculation_Tab,SMALL(ROW(Direct_Denaturation)*(Direct_Denaturation&lt;&gt;"-"),COUNTIF(Direct_Denaturation,"-")+ROW()-3-$AB$2-$AN$2)-9,5),$A$3:$A$12,0),2)),"-")</f>
        <v>-</v>
      </c>
      <c r="AY326" s="378" t="str">
        <f t="array" aca="1" ref="AY326" ca="1">IFERROR(IF(AS326&lt;=$AB$2+$AN$2,"-",INDEX(Coordinate,MATCH(INDEX(Calculation_Tab,SMALL(ROW(Direct_Denaturation)*(Direct_Denaturation&lt;&gt;"-"),COUNTIF(Direct_Denaturation,"-")+ROW()-3-$AB$2-$AN$2)-9,6),$X$4:$X$99,0),2)),"-")</f>
        <v>-</v>
      </c>
      <c r="AZ326" s="510" t="str">
        <f t="array" aca="1" ref="AZ326" ca="1">IFERROR(IF(AS326&lt;=$AB$2+$AN$2,"-",INDEX(Calculation_Tab,SMALL(ROW(Direct_Denaturation)*(Direct_Denaturation&lt;&gt;"-"),COUNTIF(Direct_Denaturation,"-")+ROW()-3-$AB$2-$AN$2)-9,32)),"-")</f>
        <v>-</v>
      </c>
      <c r="BA326" s="510" t="str">
        <f t="array" aca="1" ref="BA326" ca="1">IFERROR(IF(AS326&lt;=$AB$2+$AN$2,"-",INDEX(Calculation_Tab,SMALL(ROW(Direct_Denaturation)*(Direct_Denaturation&lt;&gt;"-"),COUNTIF(Direct_Denaturation,"-")+ROW()-3-$AB$2-$AN$2)-9,34)),"-")</f>
        <v>-</v>
      </c>
      <c r="BB326" s="510" t="str">
        <f t="array" aca="1" ref="BB326" ca="1">IFERROR(IF(AS326&lt;=$AB$2+$AN$2,"-",INDEX(Calculation_Tab,SMALL(ROW(Direct_Denaturation)*(Direct_Denaturation&lt;&gt;"-"),COUNTIF(Direct_Denaturation,"-")+ROW()-3-$AB$2-$AN$2)-9,33)),"-")</f>
        <v>-</v>
      </c>
      <c r="BC326" s="510" t="str">
        <f t="array" aca="1" ref="BC326" ca="1">IFERROR(IF(AS326&lt;=$AB$2+$AN$2,"-",INDEX(Calculation_Tab,SMALL(ROW(Direct_Denaturation)*(Direct_Denaturation&lt;&gt;"-"),COUNTIF(Direct_Denaturation,"-")+ROW()-3-$AB$2-$AN$2)-9,35)),"-")</f>
        <v>-</v>
      </c>
      <c r="BD326" s="511" t="str">
        <f t="shared" ca="1" si="172"/>
        <v>-</v>
      </c>
      <c r="BK326" s="542" t="s">
        <v>82</v>
      </c>
      <c r="BL326" s="542" t="s">
        <v>82</v>
      </c>
      <c r="BM326" s="487" t="str">
        <f t="array" aca="1" ref="BM326" ca="1">IFERROR(INDEX(Calculation_Tab,SMALL(ROW(ToPool)*(ToPool&lt;&gt;"-"),COUNTIF(ToPool,"-")+ROW()-3)-9,3),"-")</f>
        <v>-</v>
      </c>
      <c r="BN326" s="378" t="str">
        <f t="shared" ca="1" si="173"/>
        <v>-</v>
      </c>
      <c r="BO326" s="378" t="str">
        <f t="shared" ca="1" si="174"/>
        <v>-</v>
      </c>
      <c r="BP326" s="523" t="str">
        <f t="shared" ca="1" si="175"/>
        <v>-</v>
      </c>
      <c r="BQ326" s="378" t="str">
        <f t="array" aca="1" ref="BQ326" ca="1">IFERROR(INDEX(BE:BG,MATCH(INDEX(Calculation_Tab,SMALL(ROW(ToPool)*(ToPool&lt;&gt;"-"),COUNTIF(ToPool,"-")+ROW()-3)-9,9),BG:BG,0),2),"-")</f>
        <v>-</v>
      </c>
      <c r="BR326" s="510" t="str">
        <f t="shared" ca="1" si="176"/>
        <v>-</v>
      </c>
      <c r="BS326" s="511" t="str">
        <f t="shared" ca="1" si="177"/>
        <v>-</v>
      </c>
      <c r="BT326" s="543" t="s">
        <v>82</v>
      </c>
      <c r="BU326" s="487" t="str">
        <f t="shared" ca="1" si="182"/>
        <v>-</v>
      </c>
      <c r="BV326" s="487" t="str">
        <f t="array" aca="1" ref="BV32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26" s="378" t="str">
        <f t="shared" ca="1" si="178"/>
        <v>-</v>
      </c>
      <c r="BX326" s="378" t="str">
        <f t="shared" ca="1" si="179"/>
        <v>-</v>
      </c>
      <c r="BY326" s="510" t="str">
        <f ca="1">IFERROR(ROUND(INDEX(Cluster,MATCH(IF(LEFT(BV326,4)="Pool",INDEX(Cluster,MATCH(INDEX(Calculation_Tab,MATCH(INDEX($BE$4:$BJ$99,MATCH(BV326,$BE$4:$BE$99,0),3),Flow_Cell_Lane,0),3),Cluster!$F$29:$F$412,0),6),BV326),Identifier_Cluster,0),19)*IF(LEFT(BV326,4)="pool",IF(LEN(INDEX($BE$4:$BJ$99,MATCH(BV326,$BE$4:$BE$99,0),3))=10,2,IF(LEN(INDEX($BE$4:$BJ$99,MATCH(BV326,$BE$4:$BE$99,0),3))&gt;10,LEN(INDEX($BE$4:$BJ$99,MATCH(BV326,$BE$4:$BE$99,0),3))-8,1)),1)*IF(LEFT(BV326,4)="pool",IF(INDEX($BE$4:$BJ$99,MATCH(BV326,$BE$4:$BE$99,0),6)&lt;1,1,INDEX($BE$4:$BJ$99,MATCH(BV326,$BE$4:$BE$99,0),6)),INDEX(Calculation_Tab,MATCH(BV326,Identifier,0),10)),1)*(1+Calculation!$Q$6),"-")</f>
        <v>-</v>
      </c>
      <c r="BZ326" s="378" t="str">
        <f ca="1">IFERROR((0.5/50)*CE326/Calculation!$AG$6*(IF(LEFT(BV326,4)="Pool",IF(LEN(INDEX($BE$4:$BJ$99,MATCH(BV326,$BE$4:$BE$99,0),3))=10,2,IF(LEN(INDEX($BE$4:$BJ$99,MATCH(BV326,$BE$4:$BE$99,0),3))&gt;10,LEN(INDEX($BE$4:$BJ$99,MATCH(BV326,$BE$4:$BE$99,0),3))-8,1)),IF(INDEX(Calculation_Tab,MATCH(BV326,Identifier,0),10)&gt;1,INDEX(Calculation_Tab,MATCH(BV326,Identifier,0),10),1)))*(1+Calculation!$Q$6),"-")</f>
        <v>-</v>
      </c>
      <c r="CA326" s="510" t="str">
        <f ca="1">IFERROR(IF((BZ326*Calculation!$AG$6/0.05)-SUM(BY326:BZ326,CC326)&gt;0,(BZ326*Calculation!$AG$6/0.05)-SUM(BY326:BZ326,CC326),0),"-")</f>
        <v>-</v>
      </c>
      <c r="CB326" s="510" t="str">
        <f ca="1">IFERROR(5/50*CE326*(IF(LEFT(BV326,4)="Pool",IF(LEN(INDEX($BE$4:$BJ$99,MATCH(BV326,$BE$4:$BE$99,0),3))=10,2,IF(LEN(INDEX($BE$4:$BJ$99,MATCH(BV326,$BE$4:$BE$99,0),3))&gt;10,LEN(INDEX($BE$4:$BJ$99,MATCH(BV326,$BE$4:$BE$99,0),3))-8,1)),IF(INDEX(Calculation_Tab,MATCH(BV326,Identifier,0),10)&gt;1,INDEX(Calculation_Tab,MATCH(BV326,Identifier,0),10),1)))*(1+Calculation!$Q$6),"-")</f>
        <v>-</v>
      </c>
      <c r="CC326" s="508" t="str">
        <f ca="1">IFERROR(ROUND(INDEX(Cluster,MATCH(IF(LEFT(BV326,4)="Pool",INDEX(Cluster,MATCH(INDEX(Calculation_Tab,MATCH(INDEX($BE$4:$BJ$99,MATCH(BV326,$BE$4:$BE$99,0),3),Flow_Cell_Lane,0),3),Cluster!$F$29:$F$412,0),6),BV326),Identifier_Cluster,0),20)*IF(LEFT(BV326,4)="pool",IF(LEN(INDEX($BE$4:$BJ$99,MATCH(BV326,$BE$4:$BE$99,0),3))=10,2,IF(LEN(INDEX($BE$4:$BJ$99,MATCH(BV326,$BE$4:$BE$99,0),3))&gt;10,LEN(INDEX($BE$4:$BJ$99,MATCH(BV326,$BE$4:$BE$99,0),3))-8,1)),1)*IF(LEFT(BV326,4)="pool",IF(INDEX($BE$4:$BJ$99,MATCH(BV326,$BE$4:$BE$99,0),6)&lt;1,1,INDEX($BE$4:$BJ$99,MATCH(BV326,$BE$4:$BE$99,0),6)),INDEX(Calculation_Tab,MATCH(BV326,Identifier,0),10)),1)*(1+Calculation!$Q$6),"-")</f>
        <v>-</v>
      </c>
      <c r="CD326" s="509" t="str">
        <f ca="1">IFERROR(INDEX(Cluster!AC:AD,MATCH(IF(LEFT(BV326,4)="Pool",INDEX(Cluster!$D$29:$AA$412,MATCH(INDEX(Calculation_Tab,MATCH(INDEX($BE$4:$BJ$99,MATCH(BV326,$BE$4:$BE$99,0),3),Flow_Cell_Lane,0),3),Cluster!$F$29:$F$412,0),24),INDEX(Cluster!$D$29:$AA$412,MATCH(BV326,Cluster!$F$29:$F$412,0),24)),Cluster!AC:AC,0),2),"-")</f>
        <v>-</v>
      </c>
      <c r="CE326" s="378" t="str">
        <f ca="1">IFERROR(IF(BV326&lt;&gt;"-",Calculation!$AK$6,"-"),"-")</f>
        <v>-</v>
      </c>
      <c r="CF326" s="378" t="str">
        <f ca="1">IF(OR(LEFT(ListAndConversion!BW326,3)="Dil",LEFT(ListAndConversion!BW326,3)="Poo"),ListAndConversion!$BT$4,IF(LEFT(ListAndConversion!BW326,3)="Sou",INDEX(ListAndConversion!$AT$3:$AV$387,MATCH(ListAndConversion!BV326,ListAndConversion!$AV$3:$AV$387,0),1),"-"))</f>
        <v>-</v>
      </c>
      <c r="CG326" s="498" t="str">
        <f ca="1">IF(OR(LEFT(ListAndConversion!BW326,3)="Dil",LEFT(ListAndConversion!BW326,3)="Poo"),ListAndConversion!BU326,IF(LEFT(ListAndConversion!BW326,3)="Sou",INDEX(ListAndConversion!$AT$4:$AV$387,MATCH(ListAndConversion!BV326,ListAndConversion!$AV$4:$AV$387,0),2),"-"))</f>
        <v>-</v>
      </c>
      <c r="CH326" s="378"/>
      <c r="CI326" s="487" t="str">
        <f t="shared" ca="1" si="180"/>
        <v>-</v>
      </c>
      <c r="CJ326" s="378" t="str">
        <f t="shared" ca="1" si="181"/>
        <v>-</v>
      </c>
      <c r="CK326" s="378" t="str">
        <f t="shared" ca="1" si="181"/>
        <v>-</v>
      </c>
      <c r="CL326" s="378" t="str">
        <f t="shared" ca="1" si="181"/>
        <v>-</v>
      </c>
      <c r="CM326" s="378" t="str">
        <f t="shared" ca="1" si="181"/>
        <v>-</v>
      </c>
      <c r="CN326" s="378" t="str">
        <f t="shared" ca="1" si="181"/>
        <v>-</v>
      </c>
      <c r="CO326" s="378" t="str">
        <f t="shared" ca="1" si="181"/>
        <v>-</v>
      </c>
      <c r="CP326" s="378" t="str">
        <f t="shared" ca="1" si="181"/>
        <v>-</v>
      </c>
      <c r="CQ326" s="378" t="str">
        <f t="shared" ca="1" si="181"/>
        <v>-</v>
      </c>
      <c r="CR326" s="510" t="str">
        <f ca="1">IFERROR(IF(LEFT(BW326,3)="Poo",INDEX($BE$4:$BJ$99,MATCH(CI326,$BG$4:$BG$99,0),6)*((15/50))*Calculation!$AK$6,INDEX(Calculation_Tab,MATCH(BV326,Identifier,0),10)/(IF(LEN(INDEX(Calculation_Tab,MATCH(BV326,Identifier,0),9))&gt;8,LEN(INDEX(Calculation_Tab,MATCH(BV326,Identifier,0),9))-8,1))*((15/50)*Calculation!$AK$6)),"-")</f>
        <v>-</v>
      </c>
      <c r="CS326" s="498" t="str">
        <f ca="1">IF(CI326="-","-",IF(COUNTIF($CI$3:CI326,CI326)&gt;1,0,IFERROR((35/50)*Calculation!$AK$6,"-")))</f>
        <v>-</v>
      </c>
    </row>
    <row r="327" spans="4:97" x14ac:dyDescent="0.5">
      <c r="D327" s="487" t="e">
        <f t="shared" si="165"/>
        <v>#DIV/0!</v>
      </c>
      <c r="E327" s="496" t="e">
        <f t="array" ref="E327">IF(IF((ROW(E327)-3)&lt;(ListAndConversion!$A$15),INDEX(Flow_Cell_Lane,MIN(IF(COUNTIF($E$2:E326,Flow_Cell_Lane)=0,ROW(Flow_Cell_Lane)-9))),"-")="","-",IF((ROW(E327)-3)&lt;(ListAndConversion!$A$15),INDEX(Flow_Cell_Lane,MIN(IF(COUNTIF($E$2:E326,Flow_Cell_Lane)=0,ROW(Flow_Cell_Lane)-9))),"-"))</f>
        <v>#DIV/0!</v>
      </c>
      <c r="F327" s="378" t="e">
        <f t="shared" si="166"/>
        <v>#DIV/0!</v>
      </c>
      <c r="G327" s="378" t="e">
        <f t="shared" si="167"/>
        <v>#DIV/0!</v>
      </c>
      <c r="H327" s="378" t="e">
        <f t="shared" si="167"/>
        <v>#DIV/0!</v>
      </c>
      <c r="I327" s="378" t="e">
        <f t="shared" si="167"/>
        <v>#DIV/0!</v>
      </c>
      <c r="J327" s="378" t="e">
        <f t="shared" si="167"/>
        <v>#DIV/0!</v>
      </c>
      <c r="K327" s="378" t="e">
        <f t="shared" si="167"/>
        <v>#DIV/0!</v>
      </c>
      <c r="L327" s="378" t="e">
        <f t="shared" si="167"/>
        <v>#DIV/0!</v>
      </c>
      <c r="M327" s="378" t="e">
        <f t="shared" si="167"/>
        <v>#DIV/0!</v>
      </c>
      <c r="N327" s="497" t="e">
        <f t="shared" si="168"/>
        <v>#DIV/0!</v>
      </c>
      <c r="O327" s="497" t="str">
        <f t="array" ref="O327">IFERROR(INDEX(Calculation!I:AN,MATCH(ListAndConversion!E327,Calculation!I:I,0),31),"-")</f>
        <v>-</v>
      </c>
      <c r="P327" s="498">
        <f>IF(COUNTIFS(Calculation!$I$10:$I$393,E327,Direct_Denaturation,"-")&lt;&gt;1,COUNTIFS(Calculation!$I$10:$I$393,E327,Direct_Denaturation,"-"),0)</f>
        <v>0</v>
      </c>
      <c r="V327" s="542" t="s">
        <v>82</v>
      </c>
      <c r="W327" s="542" t="s">
        <v>82</v>
      </c>
      <c r="X327" s="542" t="s">
        <v>82</v>
      </c>
      <c r="Y327" s="542" t="s">
        <v>82</v>
      </c>
      <c r="Z327" s="542" t="s">
        <v>82</v>
      </c>
      <c r="AA327" s="542" t="s">
        <v>82</v>
      </c>
      <c r="AB327" s="542" t="s">
        <v>82</v>
      </c>
      <c r="AC327" s="542" t="s">
        <v>82</v>
      </c>
      <c r="AD327" s="542" t="s">
        <v>82</v>
      </c>
      <c r="AE327" s="542" t="s">
        <v>82</v>
      </c>
      <c r="AF327" s="542" t="s">
        <v>82</v>
      </c>
      <c r="AG327" s="542" t="s">
        <v>82</v>
      </c>
      <c r="AH327" s="9"/>
      <c r="AI327" s="487">
        <v>324</v>
      </c>
      <c r="AJ327" s="497" t="s">
        <v>479</v>
      </c>
      <c r="AK327" s="378">
        <v>36</v>
      </c>
      <c r="AL327" s="378" t="str">
        <f t="shared" ca="1" si="169"/>
        <v>-</v>
      </c>
      <c r="AM327" s="378" t="str">
        <f t="array" aca="1" ref="AM327" ca="1">IFERROR(IF(AI327&lt;=$AB$2,"-",INDEX(Calculation_Tab,SMALL(ROW(Main_Dil)*(Main_Dil&lt;&gt;"-"),COUNTIF(Main_Dil,"-")+ROW()-3-$AB$2)-9,5)),"-")</f>
        <v>-</v>
      </c>
      <c r="AN327" s="378" t="str">
        <f t="array" aca="1" ref="AN327" ca="1">IFERROR(IF(AI327&lt;=$AB$2,"-",INDEX($A$3:$B$12,MATCH(INDEX(Calculation_Tab,SMALL(ROW(Main_Dil)*(Main_Dil&lt;&gt;"-"),COUNTIF(Main_Dil,"-")+ROW()-3-$AB$2)-9,5),$A$3:$A$12,0),2)),"-")</f>
        <v>-</v>
      </c>
      <c r="AO327" s="378" t="str">
        <f t="array" aca="1" ref="AO327" ca="1">IFERROR(IF(AI327&lt;=$AB$2,"-",INDEX(Coordinate,MATCH(INDEX(Calculation_Tab,SMALL(ROW(Main_Dil)*(Main_Dil&lt;&gt;"-"),COUNTIF(Main_Dil,"-")+ROW()-3-$AB$2)-9,6),$X$4:$X$99,0),2)),"-")</f>
        <v>-</v>
      </c>
      <c r="AP327" s="510" t="str">
        <f t="array" aca="1" ref="AP327" ca="1">IFERROR(IF(AI327&lt;=$AB$2,"-",INDEX(Calculation_Tab,SMALL(ROW(Main_Dil)*(Main_Dil&lt;&gt;"-"),COUNTIF(Main_Dil,"-")+ROW()-3-$AB$2)-9,21)),"-")</f>
        <v>-</v>
      </c>
      <c r="AQ327" s="511" t="str">
        <f t="array" aca="1" ref="AQ327" ca="1">IFERROR(IF(AI327&lt;=$AB$2,"-",INDEX(Calculation_Tab,SMALL(ROW(Main_Dil)*(Main_Dil&lt;&gt;"-"),COUNTIF(Main_Dil,"-")+ROW()-3-$AB$2)-9,22)),"-")</f>
        <v>-</v>
      </c>
      <c r="AR327" s="487" t="str">
        <f t="shared" ca="1" si="170"/>
        <v>-</v>
      </c>
      <c r="AS327" s="378">
        <v>324</v>
      </c>
      <c r="AT327" s="497" t="s">
        <v>479</v>
      </c>
      <c r="AU327" s="498">
        <v>36</v>
      </c>
      <c r="AV327" s="378" t="str">
        <f t="shared" ca="1" si="171"/>
        <v>-</v>
      </c>
      <c r="AW327" s="378" t="str">
        <f t="array" aca="1" ref="AW327" ca="1">IFERROR(IF(AS327&lt;=$AB$2+$AN$2,"-",INDEX(Calculation_Tab,SMALL(ROW(Direct_Denaturation)*(Direct_Denaturation&lt;&gt;"-"),COUNTIF(Direct_Denaturation,"-")+ROW()-3-$AB$2-$AN$2)-9,5)),"-")</f>
        <v>-</v>
      </c>
      <c r="AX327" s="378" t="str">
        <f t="array" aca="1" ref="AX327" ca="1">IFERROR(IF(AS327&lt;=$AB$2+$AN$2,"-",INDEX($A$3:$B$12,MATCH(INDEX(Calculation_Tab,SMALL(ROW(Direct_Denaturation)*(Direct_Denaturation&lt;&gt;"-"),COUNTIF(Direct_Denaturation,"-")+ROW()-3-$AB$2-$AN$2)-9,5),$A$3:$A$12,0),2)),"-")</f>
        <v>-</v>
      </c>
      <c r="AY327" s="378" t="str">
        <f t="array" aca="1" ref="AY327" ca="1">IFERROR(IF(AS327&lt;=$AB$2+$AN$2,"-",INDEX(Coordinate,MATCH(INDEX(Calculation_Tab,SMALL(ROW(Direct_Denaturation)*(Direct_Denaturation&lt;&gt;"-"),COUNTIF(Direct_Denaturation,"-")+ROW()-3-$AB$2-$AN$2)-9,6),$X$4:$X$99,0),2)),"-")</f>
        <v>-</v>
      </c>
      <c r="AZ327" s="510" t="str">
        <f t="array" aca="1" ref="AZ327" ca="1">IFERROR(IF(AS327&lt;=$AB$2+$AN$2,"-",INDEX(Calculation_Tab,SMALL(ROW(Direct_Denaturation)*(Direct_Denaturation&lt;&gt;"-"),COUNTIF(Direct_Denaturation,"-")+ROW()-3-$AB$2-$AN$2)-9,32)),"-")</f>
        <v>-</v>
      </c>
      <c r="BA327" s="510" t="str">
        <f t="array" aca="1" ref="BA327" ca="1">IFERROR(IF(AS327&lt;=$AB$2+$AN$2,"-",INDEX(Calculation_Tab,SMALL(ROW(Direct_Denaturation)*(Direct_Denaturation&lt;&gt;"-"),COUNTIF(Direct_Denaturation,"-")+ROW()-3-$AB$2-$AN$2)-9,34)),"-")</f>
        <v>-</v>
      </c>
      <c r="BB327" s="510" t="str">
        <f t="array" aca="1" ref="BB327" ca="1">IFERROR(IF(AS327&lt;=$AB$2+$AN$2,"-",INDEX(Calculation_Tab,SMALL(ROW(Direct_Denaturation)*(Direct_Denaturation&lt;&gt;"-"),COUNTIF(Direct_Denaturation,"-")+ROW()-3-$AB$2-$AN$2)-9,33)),"-")</f>
        <v>-</v>
      </c>
      <c r="BC327" s="510" t="str">
        <f t="array" aca="1" ref="BC327" ca="1">IFERROR(IF(AS327&lt;=$AB$2+$AN$2,"-",INDEX(Calculation_Tab,SMALL(ROW(Direct_Denaturation)*(Direct_Denaturation&lt;&gt;"-"),COUNTIF(Direct_Denaturation,"-")+ROW()-3-$AB$2-$AN$2)-9,35)),"-")</f>
        <v>-</v>
      </c>
      <c r="BD327" s="511" t="str">
        <f t="shared" ca="1" si="172"/>
        <v>-</v>
      </c>
      <c r="BK327" s="542" t="s">
        <v>82</v>
      </c>
      <c r="BL327" s="542" t="s">
        <v>82</v>
      </c>
      <c r="BM327" s="487" t="str">
        <f t="array" aca="1" ref="BM327" ca="1">IFERROR(INDEX(Calculation_Tab,SMALL(ROW(ToPool)*(ToPool&lt;&gt;"-"),COUNTIF(ToPool,"-")+ROW()-3)-9,3),"-")</f>
        <v>-</v>
      </c>
      <c r="BN327" s="378" t="str">
        <f t="shared" ca="1" si="173"/>
        <v>-</v>
      </c>
      <c r="BO327" s="378" t="str">
        <f t="shared" ca="1" si="174"/>
        <v>-</v>
      </c>
      <c r="BP327" s="523" t="str">
        <f t="shared" ca="1" si="175"/>
        <v>-</v>
      </c>
      <c r="BQ327" s="378" t="str">
        <f t="array" aca="1" ref="BQ327" ca="1">IFERROR(INDEX(BE:BG,MATCH(INDEX(Calculation_Tab,SMALL(ROW(ToPool)*(ToPool&lt;&gt;"-"),COUNTIF(ToPool,"-")+ROW()-3)-9,9),BG:BG,0),2),"-")</f>
        <v>-</v>
      </c>
      <c r="BR327" s="510" t="str">
        <f t="shared" ca="1" si="176"/>
        <v>-</v>
      </c>
      <c r="BS327" s="511" t="str">
        <f t="shared" ca="1" si="177"/>
        <v>-</v>
      </c>
      <c r="BT327" s="543" t="s">
        <v>82</v>
      </c>
      <c r="BU327" s="487" t="str">
        <f t="shared" ca="1" si="182"/>
        <v>-</v>
      </c>
      <c r="BV327" s="487" t="str">
        <f t="array" aca="1" ref="BV32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27" s="378" t="str">
        <f t="shared" ca="1" si="178"/>
        <v>-</v>
      </c>
      <c r="BX327" s="378" t="str">
        <f t="shared" ca="1" si="179"/>
        <v>-</v>
      </c>
      <c r="BY327" s="510" t="str">
        <f ca="1">IFERROR(ROUND(INDEX(Cluster,MATCH(IF(LEFT(BV327,4)="Pool",INDEX(Cluster,MATCH(INDEX(Calculation_Tab,MATCH(INDEX($BE$4:$BJ$99,MATCH(BV327,$BE$4:$BE$99,0),3),Flow_Cell_Lane,0),3),Cluster!$F$29:$F$412,0),6),BV327),Identifier_Cluster,0),19)*IF(LEFT(BV327,4)="pool",IF(LEN(INDEX($BE$4:$BJ$99,MATCH(BV327,$BE$4:$BE$99,0),3))=10,2,IF(LEN(INDEX($BE$4:$BJ$99,MATCH(BV327,$BE$4:$BE$99,0),3))&gt;10,LEN(INDEX($BE$4:$BJ$99,MATCH(BV327,$BE$4:$BE$99,0),3))-8,1)),1)*IF(LEFT(BV327,4)="pool",IF(INDEX($BE$4:$BJ$99,MATCH(BV327,$BE$4:$BE$99,0),6)&lt;1,1,INDEX($BE$4:$BJ$99,MATCH(BV327,$BE$4:$BE$99,0),6)),INDEX(Calculation_Tab,MATCH(BV327,Identifier,0),10)),1)*(1+Calculation!$Q$6),"-")</f>
        <v>-</v>
      </c>
      <c r="BZ327" s="378" t="str">
        <f ca="1">IFERROR((0.5/50)*CE327/Calculation!$AG$6*(IF(LEFT(BV327,4)="Pool",IF(LEN(INDEX($BE$4:$BJ$99,MATCH(BV327,$BE$4:$BE$99,0),3))=10,2,IF(LEN(INDEX($BE$4:$BJ$99,MATCH(BV327,$BE$4:$BE$99,0),3))&gt;10,LEN(INDEX($BE$4:$BJ$99,MATCH(BV327,$BE$4:$BE$99,0),3))-8,1)),IF(INDEX(Calculation_Tab,MATCH(BV327,Identifier,0),10)&gt;1,INDEX(Calculation_Tab,MATCH(BV327,Identifier,0),10),1)))*(1+Calculation!$Q$6),"-")</f>
        <v>-</v>
      </c>
      <c r="CA327" s="510" t="str">
        <f ca="1">IFERROR(IF((BZ327*Calculation!$AG$6/0.05)-SUM(BY327:BZ327,CC327)&gt;0,(BZ327*Calculation!$AG$6/0.05)-SUM(BY327:BZ327,CC327),0),"-")</f>
        <v>-</v>
      </c>
      <c r="CB327" s="510" t="str">
        <f ca="1">IFERROR(5/50*CE327*(IF(LEFT(BV327,4)="Pool",IF(LEN(INDEX($BE$4:$BJ$99,MATCH(BV327,$BE$4:$BE$99,0),3))=10,2,IF(LEN(INDEX($BE$4:$BJ$99,MATCH(BV327,$BE$4:$BE$99,0),3))&gt;10,LEN(INDEX($BE$4:$BJ$99,MATCH(BV327,$BE$4:$BE$99,0),3))-8,1)),IF(INDEX(Calculation_Tab,MATCH(BV327,Identifier,0),10)&gt;1,INDEX(Calculation_Tab,MATCH(BV327,Identifier,0),10),1)))*(1+Calculation!$Q$6),"-")</f>
        <v>-</v>
      </c>
      <c r="CC327" s="508" t="str">
        <f ca="1">IFERROR(ROUND(INDEX(Cluster,MATCH(IF(LEFT(BV327,4)="Pool",INDEX(Cluster,MATCH(INDEX(Calculation_Tab,MATCH(INDEX($BE$4:$BJ$99,MATCH(BV327,$BE$4:$BE$99,0),3),Flow_Cell_Lane,0),3),Cluster!$F$29:$F$412,0),6),BV327),Identifier_Cluster,0),20)*IF(LEFT(BV327,4)="pool",IF(LEN(INDEX($BE$4:$BJ$99,MATCH(BV327,$BE$4:$BE$99,0),3))=10,2,IF(LEN(INDEX($BE$4:$BJ$99,MATCH(BV327,$BE$4:$BE$99,0),3))&gt;10,LEN(INDEX($BE$4:$BJ$99,MATCH(BV327,$BE$4:$BE$99,0),3))-8,1)),1)*IF(LEFT(BV327,4)="pool",IF(INDEX($BE$4:$BJ$99,MATCH(BV327,$BE$4:$BE$99,0),6)&lt;1,1,INDEX($BE$4:$BJ$99,MATCH(BV327,$BE$4:$BE$99,0),6)),INDEX(Calculation_Tab,MATCH(BV327,Identifier,0),10)),1)*(1+Calculation!$Q$6),"-")</f>
        <v>-</v>
      </c>
      <c r="CD327" s="509" t="str">
        <f ca="1">IFERROR(INDEX(Cluster!AC:AD,MATCH(IF(LEFT(BV327,4)="Pool",INDEX(Cluster!$D$29:$AA$412,MATCH(INDEX(Calculation_Tab,MATCH(INDEX($BE$4:$BJ$99,MATCH(BV327,$BE$4:$BE$99,0),3),Flow_Cell_Lane,0),3),Cluster!$F$29:$F$412,0),24),INDEX(Cluster!$D$29:$AA$412,MATCH(BV327,Cluster!$F$29:$F$412,0),24)),Cluster!AC:AC,0),2),"-")</f>
        <v>-</v>
      </c>
      <c r="CE327" s="378" t="str">
        <f ca="1">IFERROR(IF(BV327&lt;&gt;"-",Calculation!$AK$6,"-"),"-")</f>
        <v>-</v>
      </c>
      <c r="CF327" s="378" t="str">
        <f ca="1">IF(OR(LEFT(ListAndConversion!BW327,3)="Dil",LEFT(ListAndConversion!BW327,3)="Poo"),ListAndConversion!$BT$4,IF(LEFT(ListAndConversion!BW327,3)="Sou",INDEX(ListAndConversion!$AT$3:$AV$387,MATCH(ListAndConversion!BV327,ListAndConversion!$AV$3:$AV$387,0),1),"-"))</f>
        <v>-</v>
      </c>
      <c r="CG327" s="498" t="str">
        <f ca="1">IF(OR(LEFT(ListAndConversion!BW327,3)="Dil",LEFT(ListAndConversion!BW327,3)="Poo"),ListAndConversion!BU327,IF(LEFT(ListAndConversion!BW327,3)="Sou",INDEX(ListAndConversion!$AT$4:$AV$387,MATCH(ListAndConversion!BV327,ListAndConversion!$AV$4:$AV$387,0),2),"-"))</f>
        <v>-</v>
      </c>
      <c r="CH327" s="378"/>
      <c r="CI327" s="487" t="str">
        <f t="shared" ca="1" si="180"/>
        <v>-</v>
      </c>
      <c r="CJ327" s="378" t="str">
        <f t="shared" ca="1" si="181"/>
        <v>-</v>
      </c>
      <c r="CK327" s="378" t="str">
        <f t="shared" ca="1" si="181"/>
        <v>-</v>
      </c>
      <c r="CL327" s="378" t="str">
        <f t="shared" ca="1" si="181"/>
        <v>-</v>
      </c>
      <c r="CM327" s="378" t="str">
        <f t="shared" ca="1" si="181"/>
        <v>-</v>
      </c>
      <c r="CN327" s="378" t="str">
        <f t="shared" ca="1" si="181"/>
        <v>-</v>
      </c>
      <c r="CO327" s="378" t="str">
        <f t="shared" ca="1" si="181"/>
        <v>-</v>
      </c>
      <c r="CP327" s="378" t="str">
        <f t="shared" ca="1" si="181"/>
        <v>-</v>
      </c>
      <c r="CQ327" s="378" t="str">
        <f t="shared" ca="1" si="181"/>
        <v>-</v>
      </c>
      <c r="CR327" s="510" t="str">
        <f ca="1">IFERROR(IF(LEFT(BW327,3)="Poo",INDEX($BE$4:$BJ$99,MATCH(CI327,$BG$4:$BG$99,0),6)*((15/50))*Calculation!$AK$6,INDEX(Calculation_Tab,MATCH(BV327,Identifier,0),10)/(IF(LEN(INDEX(Calculation_Tab,MATCH(BV327,Identifier,0),9))&gt;8,LEN(INDEX(Calculation_Tab,MATCH(BV327,Identifier,0),9))-8,1))*((15/50)*Calculation!$AK$6)),"-")</f>
        <v>-</v>
      </c>
      <c r="CS327" s="498" t="str">
        <f ca="1">IF(CI327="-","-",IF(COUNTIF($CI$3:CI327,CI327)&gt;1,0,IFERROR((35/50)*Calculation!$AK$6,"-")))</f>
        <v>-</v>
      </c>
    </row>
    <row r="328" spans="4:97" x14ac:dyDescent="0.5">
      <c r="D328" s="487" t="e">
        <f t="shared" si="165"/>
        <v>#DIV/0!</v>
      </c>
      <c r="E328" s="496" t="e">
        <f t="array" ref="E328">IF(IF((ROW(E328)-3)&lt;(ListAndConversion!$A$15),INDEX(Flow_Cell_Lane,MIN(IF(COUNTIF($E$2:E327,Flow_Cell_Lane)=0,ROW(Flow_Cell_Lane)-9))),"-")="","-",IF((ROW(E328)-3)&lt;(ListAndConversion!$A$15),INDEX(Flow_Cell_Lane,MIN(IF(COUNTIF($E$2:E327,Flow_Cell_Lane)=0,ROW(Flow_Cell_Lane)-9))),"-"))</f>
        <v>#DIV/0!</v>
      </c>
      <c r="F328" s="378" t="e">
        <f t="shared" si="166"/>
        <v>#DIV/0!</v>
      </c>
      <c r="G328" s="378" t="e">
        <f t="shared" si="167"/>
        <v>#DIV/0!</v>
      </c>
      <c r="H328" s="378" t="e">
        <f t="shared" si="167"/>
        <v>#DIV/0!</v>
      </c>
      <c r="I328" s="378" t="e">
        <f t="shared" si="167"/>
        <v>#DIV/0!</v>
      </c>
      <c r="J328" s="378" t="e">
        <f t="shared" si="167"/>
        <v>#DIV/0!</v>
      </c>
      <c r="K328" s="378" t="e">
        <f t="shared" si="167"/>
        <v>#DIV/0!</v>
      </c>
      <c r="L328" s="378" t="e">
        <f t="shared" si="167"/>
        <v>#DIV/0!</v>
      </c>
      <c r="M328" s="378" t="e">
        <f t="shared" si="167"/>
        <v>#DIV/0!</v>
      </c>
      <c r="N328" s="497" t="e">
        <f t="shared" si="168"/>
        <v>#DIV/0!</v>
      </c>
      <c r="O328" s="497" t="str">
        <f t="array" ref="O328">IFERROR(INDEX(Calculation!I:AN,MATCH(ListAndConversion!E328,Calculation!I:I,0),31),"-")</f>
        <v>-</v>
      </c>
      <c r="P328" s="498">
        <f>IF(COUNTIFS(Calculation!$I$10:$I$393,E328,Direct_Denaturation,"-")&lt;&gt;1,COUNTIFS(Calculation!$I$10:$I$393,E328,Direct_Denaturation,"-"),0)</f>
        <v>0</v>
      </c>
      <c r="V328" s="542" t="s">
        <v>82</v>
      </c>
      <c r="W328" s="542" t="s">
        <v>82</v>
      </c>
      <c r="X328" s="542" t="s">
        <v>82</v>
      </c>
      <c r="Y328" s="542" t="s">
        <v>82</v>
      </c>
      <c r="Z328" s="542" t="s">
        <v>82</v>
      </c>
      <c r="AA328" s="542" t="s">
        <v>82</v>
      </c>
      <c r="AB328" s="542" t="s">
        <v>82</v>
      </c>
      <c r="AC328" s="542" t="s">
        <v>82</v>
      </c>
      <c r="AD328" s="542" t="s">
        <v>82</v>
      </c>
      <c r="AE328" s="542" t="s">
        <v>82</v>
      </c>
      <c r="AF328" s="542" t="s">
        <v>82</v>
      </c>
      <c r="AG328" s="542" t="s">
        <v>82</v>
      </c>
      <c r="AH328" s="9"/>
      <c r="AI328" s="487">
        <v>325</v>
      </c>
      <c r="AJ328" s="497" t="s">
        <v>479</v>
      </c>
      <c r="AK328" s="378">
        <v>37</v>
      </c>
      <c r="AL328" s="378" t="str">
        <f t="shared" ca="1" si="169"/>
        <v>-</v>
      </c>
      <c r="AM328" s="378" t="str">
        <f t="array" aca="1" ref="AM328" ca="1">IFERROR(IF(AI328&lt;=$AB$2,"-",INDEX(Calculation_Tab,SMALL(ROW(Main_Dil)*(Main_Dil&lt;&gt;"-"),COUNTIF(Main_Dil,"-")+ROW()-3-$AB$2)-9,5)),"-")</f>
        <v>-</v>
      </c>
      <c r="AN328" s="378" t="str">
        <f t="array" aca="1" ref="AN328" ca="1">IFERROR(IF(AI328&lt;=$AB$2,"-",INDEX($A$3:$B$12,MATCH(INDEX(Calculation_Tab,SMALL(ROW(Main_Dil)*(Main_Dil&lt;&gt;"-"),COUNTIF(Main_Dil,"-")+ROW()-3-$AB$2)-9,5),$A$3:$A$12,0),2)),"-")</f>
        <v>-</v>
      </c>
      <c r="AO328" s="378" t="str">
        <f t="array" aca="1" ref="AO328" ca="1">IFERROR(IF(AI328&lt;=$AB$2,"-",INDEX(Coordinate,MATCH(INDEX(Calculation_Tab,SMALL(ROW(Main_Dil)*(Main_Dil&lt;&gt;"-"),COUNTIF(Main_Dil,"-")+ROW()-3-$AB$2)-9,6),$X$4:$X$99,0),2)),"-")</f>
        <v>-</v>
      </c>
      <c r="AP328" s="510" t="str">
        <f t="array" aca="1" ref="AP328" ca="1">IFERROR(IF(AI328&lt;=$AB$2,"-",INDEX(Calculation_Tab,SMALL(ROW(Main_Dil)*(Main_Dil&lt;&gt;"-"),COUNTIF(Main_Dil,"-")+ROW()-3-$AB$2)-9,21)),"-")</f>
        <v>-</v>
      </c>
      <c r="AQ328" s="511" t="str">
        <f t="array" aca="1" ref="AQ328" ca="1">IFERROR(IF(AI328&lt;=$AB$2,"-",INDEX(Calculation_Tab,SMALL(ROW(Main_Dil)*(Main_Dil&lt;&gt;"-"),COUNTIF(Main_Dil,"-")+ROW()-3-$AB$2)-9,22)),"-")</f>
        <v>-</v>
      </c>
      <c r="AR328" s="487" t="str">
        <f t="shared" ca="1" si="170"/>
        <v>-</v>
      </c>
      <c r="AS328" s="378">
        <v>325</v>
      </c>
      <c r="AT328" s="497" t="s">
        <v>479</v>
      </c>
      <c r="AU328" s="498">
        <v>37</v>
      </c>
      <c r="AV328" s="378" t="str">
        <f t="shared" ca="1" si="171"/>
        <v>-</v>
      </c>
      <c r="AW328" s="378" t="str">
        <f t="array" aca="1" ref="AW328" ca="1">IFERROR(IF(AS328&lt;=$AB$2+$AN$2,"-",INDEX(Calculation_Tab,SMALL(ROW(Direct_Denaturation)*(Direct_Denaturation&lt;&gt;"-"),COUNTIF(Direct_Denaturation,"-")+ROW()-3-$AB$2-$AN$2)-9,5)),"-")</f>
        <v>-</v>
      </c>
      <c r="AX328" s="378" t="str">
        <f t="array" aca="1" ref="AX328" ca="1">IFERROR(IF(AS328&lt;=$AB$2+$AN$2,"-",INDEX($A$3:$B$12,MATCH(INDEX(Calculation_Tab,SMALL(ROW(Direct_Denaturation)*(Direct_Denaturation&lt;&gt;"-"),COUNTIF(Direct_Denaturation,"-")+ROW()-3-$AB$2-$AN$2)-9,5),$A$3:$A$12,0),2)),"-")</f>
        <v>-</v>
      </c>
      <c r="AY328" s="378" t="str">
        <f t="array" aca="1" ref="AY328" ca="1">IFERROR(IF(AS328&lt;=$AB$2+$AN$2,"-",INDEX(Coordinate,MATCH(INDEX(Calculation_Tab,SMALL(ROW(Direct_Denaturation)*(Direct_Denaturation&lt;&gt;"-"),COUNTIF(Direct_Denaturation,"-")+ROW()-3-$AB$2-$AN$2)-9,6),$X$4:$X$99,0),2)),"-")</f>
        <v>-</v>
      </c>
      <c r="AZ328" s="510" t="str">
        <f t="array" aca="1" ref="AZ328" ca="1">IFERROR(IF(AS328&lt;=$AB$2+$AN$2,"-",INDEX(Calculation_Tab,SMALL(ROW(Direct_Denaturation)*(Direct_Denaturation&lt;&gt;"-"),COUNTIF(Direct_Denaturation,"-")+ROW()-3-$AB$2-$AN$2)-9,32)),"-")</f>
        <v>-</v>
      </c>
      <c r="BA328" s="510" t="str">
        <f t="array" aca="1" ref="BA328" ca="1">IFERROR(IF(AS328&lt;=$AB$2+$AN$2,"-",INDEX(Calculation_Tab,SMALL(ROW(Direct_Denaturation)*(Direct_Denaturation&lt;&gt;"-"),COUNTIF(Direct_Denaturation,"-")+ROW()-3-$AB$2-$AN$2)-9,34)),"-")</f>
        <v>-</v>
      </c>
      <c r="BB328" s="510" t="str">
        <f t="array" aca="1" ref="BB328" ca="1">IFERROR(IF(AS328&lt;=$AB$2+$AN$2,"-",INDEX(Calculation_Tab,SMALL(ROW(Direct_Denaturation)*(Direct_Denaturation&lt;&gt;"-"),COUNTIF(Direct_Denaturation,"-")+ROW()-3-$AB$2-$AN$2)-9,33)),"-")</f>
        <v>-</v>
      </c>
      <c r="BC328" s="510" t="str">
        <f t="array" aca="1" ref="BC328" ca="1">IFERROR(IF(AS328&lt;=$AB$2+$AN$2,"-",INDEX(Calculation_Tab,SMALL(ROW(Direct_Denaturation)*(Direct_Denaturation&lt;&gt;"-"),COUNTIF(Direct_Denaturation,"-")+ROW()-3-$AB$2-$AN$2)-9,35)),"-")</f>
        <v>-</v>
      </c>
      <c r="BD328" s="511" t="str">
        <f t="shared" ca="1" si="172"/>
        <v>-</v>
      </c>
      <c r="BK328" s="542" t="s">
        <v>82</v>
      </c>
      <c r="BL328" s="542" t="s">
        <v>82</v>
      </c>
      <c r="BM328" s="487" t="str">
        <f t="array" aca="1" ref="BM328" ca="1">IFERROR(INDEX(Calculation_Tab,SMALL(ROW(ToPool)*(ToPool&lt;&gt;"-"),COUNTIF(ToPool,"-")+ROW()-3)-9,3),"-")</f>
        <v>-</v>
      </c>
      <c r="BN328" s="378" t="str">
        <f t="shared" ca="1" si="173"/>
        <v>-</v>
      </c>
      <c r="BO328" s="378" t="str">
        <f t="shared" ca="1" si="174"/>
        <v>-</v>
      </c>
      <c r="BP328" s="523" t="str">
        <f t="shared" ca="1" si="175"/>
        <v>-</v>
      </c>
      <c r="BQ328" s="378" t="str">
        <f t="array" aca="1" ref="BQ328" ca="1">IFERROR(INDEX(BE:BG,MATCH(INDEX(Calculation_Tab,SMALL(ROW(ToPool)*(ToPool&lt;&gt;"-"),COUNTIF(ToPool,"-")+ROW()-3)-9,9),BG:BG,0),2),"-")</f>
        <v>-</v>
      </c>
      <c r="BR328" s="510" t="str">
        <f t="shared" ca="1" si="176"/>
        <v>-</v>
      </c>
      <c r="BS328" s="511" t="str">
        <f t="shared" ca="1" si="177"/>
        <v>-</v>
      </c>
      <c r="BT328" s="543" t="s">
        <v>82</v>
      </c>
      <c r="BU328" s="487" t="str">
        <f t="shared" ca="1" si="182"/>
        <v>-</v>
      </c>
      <c r="BV328" s="487" t="str">
        <f t="array" aca="1" ref="BV32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28" s="378" t="str">
        <f t="shared" ca="1" si="178"/>
        <v>-</v>
      </c>
      <c r="BX328" s="378" t="str">
        <f t="shared" ca="1" si="179"/>
        <v>-</v>
      </c>
      <c r="BY328" s="510" t="str">
        <f ca="1">IFERROR(ROUND(INDEX(Cluster,MATCH(IF(LEFT(BV328,4)="Pool",INDEX(Cluster,MATCH(INDEX(Calculation_Tab,MATCH(INDEX($BE$4:$BJ$99,MATCH(BV328,$BE$4:$BE$99,0),3),Flow_Cell_Lane,0),3),Cluster!$F$29:$F$412,0),6),BV328),Identifier_Cluster,0),19)*IF(LEFT(BV328,4)="pool",IF(LEN(INDEX($BE$4:$BJ$99,MATCH(BV328,$BE$4:$BE$99,0),3))=10,2,IF(LEN(INDEX($BE$4:$BJ$99,MATCH(BV328,$BE$4:$BE$99,0),3))&gt;10,LEN(INDEX($BE$4:$BJ$99,MATCH(BV328,$BE$4:$BE$99,0),3))-8,1)),1)*IF(LEFT(BV328,4)="pool",IF(INDEX($BE$4:$BJ$99,MATCH(BV328,$BE$4:$BE$99,0),6)&lt;1,1,INDEX($BE$4:$BJ$99,MATCH(BV328,$BE$4:$BE$99,0),6)),INDEX(Calculation_Tab,MATCH(BV328,Identifier,0),10)),1)*(1+Calculation!$Q$6),"-")</f>
        <v>-</v>
      </c>
      <c r="BZ328" s="378" t="str">
        <f ca="1">IFERROR((0.5/50)*CE328/Calculation!$AG$6*(IF(LEFT(BV328,4)="Pool",IF(LEN(INDEX($BE$4:$BJ$99,MATCH(BV328,$BE$4:$BE$99,0),3))=10,2,IF(LEN(INDEX($BE$4:$BJ$99,MATCH(BV328,$BE$4:$BE$99,0),3))&gt;10,LEN(INDEX($BE$4:$BJ$99,MATCH(BV328,$BE$4:$BE$99,0),3))-8,1)),IF(INDEX(Calculation_Tab,MATCH(BV328,Identifier,0),10)&gt;1,INDEX(Calculation_Tab,MATCH(BV328,Identifier,0),10),1)))*(1+Calculation!$Q$6),"-")</f>
        <v>-</v>
      </c>
      <c r="CA328" s="510" t="str">
        <f ca="1">IFERROR(IF((BZ328*Calculation!$AG$6/0.05)-SUM(BY328:BZ328,CC328)&gt;0,(BZ328*Calculation!$AG$6/0.05)-SUM(BY328:BZ328,CC328),0),"-")</f>
        <v>-</v>
      </c>
      <c r="CB328" s="510" t="str">
        <f ca="1">IFERROR(5/50*CE328*(IF(LEFT(BV328,4)="Pool",IF(LEN(INDEX($BE$4:$BJ$99,MATCH(BV328,$BE$4:$BE$99,0),3))=10,2,IF(LEN(INDEX($BE$4:$BJ$99,MATCH(BV328,$BE$4:$BE$99,0),3))&gt;10,LEN(INDEX($BE$4:$BJ$99,MATCH(BV328,$BE$4:$BE$99,0),3))-8,1)),IF(INDEX(Calculation_Tab,MATCH(BV328,Identifier,0),10)&gt;1,INDEX(Calculation_Tab,MATCH(BV328,Identifier,0),10),1)))*(1+Calculation!$Q$6),"-")</f>
        <v>-</v>
      </c>
      <c r="CC328" s="508" t="str">
        <f ca="1">IFERROR(ROUND(INDEX(Cluster,MATCH(IF(LEFT(BV328,4)="Pool",INDEX(Cluster,MATCH(INDEX(Calculation_Tab,MATCH(INDEX($BE$4:$BJ$99,MATCH(BV328,$BE$4:$BE$99,0),3),Flow_Cell_Lane,0),3),Cluster!$F$29:$F$412,0),6),BV328),Identifier_Cluster,0),20)*IF(LEFT(BV328,4)="pool",IF(LEN(INDEX($BE$4:$BJ$99,MATCH(BV328,$BE$4:$BE$99,0),3))=10,2,IF(LEN(INDEX($BE$4:$BJ$99,MATCH(BV328,$BE$4:$BE$99,0),3))&gt;10,LEN(INDEX($BE$4:$BJ$99,MATCH(BV328,$BE$4:$BE$99,0),3))-8,1)),1)*IF(LEFT(BV328,4)="pool",IF(INDEX($BE$4:$BJ$99,MATCH(BV328,$BE$4:$BE$99,0),6)&lt;1,1,INDEX($BE$4:$BJ$99,MATCH(BV328,$BE$4:$BE$99,0),6)),INDEX(Calculation_Tab,MATCH(BV328,Identifier,0),10)),1)*(1+Calculation!$Q$6),"-")</f>
        <v>-</v>
      </c>
      <c r="CD328" s="509" t="str">
        <f ca="1">IFERROR(INDEX(Cluster!AC:AD,MATCH(IF(LEFT(BV328,4)="Pool",INDEX(Cluster!$D$29:$AA$412,MATCH(INDEX(Calculation_Tab,MATCH(INDEX($BE$4:$BJ$99,MATCH(BV328,$BE$4:$BE$99,0),3),Flow_Cell_Lane,0),3),Cluster!$F$29:$F$412,0),24),INDEX(Cluster!$D$29:$AA$412,MATCH(BV328,Cluster!$F$29:$F$412,0),24)),Cluster!AC:AC,0),2),"-")</f>
        <v>-</v>
      </c>
      <c r="CE328" s="378" t="str">
        <f ca="1">IFERROR(IF(BV328&lt;&gt;"-",Calculation!$AK$6,"-"),"-")</f>
        <v>-</v>
      </c>
      <c r="CF328" s="378" t="str">
        <f ca="1">IF(OR(LEFT(ListAndConversion!BW328,3)="Dil",LEFT(ListAndConversion!BW328,3)="Poo"),ListAndConversion!$BT$4,IF(LEFT(ListAndConversion!BW328,3)="Sou",INDEX(ListAndConversion!$AT$3:$AV$387,MATCH(ListAndConversion!BV328,ListAndConversion!$AV$3:$AV$387,0),1),"-"))</f>
        <v>-</v>
      </c>
      <c r="CG328" s="498" t="str">
        <f ca="1">IF(OR(LEFT(ListAndConversion!BW328,3)="Dil",LEFT(ListAndConversion!BW328,3)="Poo"),ListAndConversion!BU328,IF(LEFT(ListAndConversion!BW328,3)="Sou",INDEX(ListAndConversion!$AT$4:$AV$387,MATCH(ListAndConversion!BV328,ListAndConversion!$AV$4:$AV$387,0),2),"-"))</f>
        <v>-</v>
      </c>
      <c r="CH328" s="378"/>
      <c r="CI328" s="487" t="str">
        <f t="shared" ca="1" si="180"/>
        <v>-</v>
      </c>
      <c r="CJ328" s="378" t="str">
        <f t="shared" ca="1" si="181"/>
        <v>-</v>
      </c>
      <c r="CK328" s="378" t="str">
        <f t="shared" ca="1" si="181"/>
        <v>-</v>
      </c>
      <c r="CL328" s="378" t="str">
        <f t="shared" ca="1" si="181"/>
        <v>-</v>
      </c>
      <c r="CM328" s="378" t="str">
        <f t="shared" ca="1" si="181"/>
        <v>-</v>
      </c>
      <c r="CN328" s="378" t="str">
        <f t="shared" ca="1" si="181"/>
        <v>-</v>
      </c>
      <c r="CO328" s="378" t="str">
        <f t="shared" ca="1" si="181"/>
        <v>-</v>
      </c>
      <c r="CP328" s="378" t="str">
        <f t="shared" ca="1" si="181"/>
        <v>-</v>
      </c>
      <c r="CQ328" s="378" t="str">
        <f t="shared" ca="1" si="181"/>
        <v>-</v>
      </c>
      <c r="CR328" s="510" t="str">
        <f ca="1">IFERROR(IF(LEFT(BW328,3)="Poo",INDEX($BE$4:$BJ$99,MATCH(CI328,$BG$4:$BG$99,0),6)*((15/50))*Calculation!$AK$6,INDEX(Calculation_Tab,MATCH(BV328,Identifier,0),10)/(IF(LEN(INDEX(Calculation_Tab,MATCH(BV328,Identifier,0),9))&gt;8,LEN(INDEX(Calculation_Tab,MATCH(BV328,Identifier,0),9))-8,1))*((15/50)*Calculation!$AK$6)),"-")</f>
        <v>-</v>
      </c>
      <c r="CS328" s="498" t="str">
        <f ca="1">IF(CI328="-","-",IF(COUNTIF($CI$3:CI328,CI328)&gt;1,0,IFERROR((35/50)*Calculation!$AK$6,"-")))</f>
        <v>-</v>
      </c>
    </row>
    <row r="329" spans="4:97" x14ac:dyDescent="0.5">
      <c r="D329" s="487" t="e">
        <f t="shared" si="165"/>
        <v>#DIV/0!</v>
      </c>
      <c r="E329" s="496" t="e">
        <f t="array" ref="E329">IF(IF((ROW(E329)-3)&lt;(ListAndConversion!$A$15),INDEX(Flow_Cell_Lane,MIN(IF(COUNTIF($E$2:E328,Flow_Cell_Lane)=0,ROW(Flow_Cell_Lane)-9))),"-")="","-",IF((ROW(E329)-3)&lt;(ListAndConversion!$A$15),INDEX(Flow_Cell_Lane,MIN(IF(COUNTIF($E$2:E328,Flow_Cell_Lane)=0,ROW(Flow_Cell_Lane)-9))),"-"))</f>
        <v>#DIV/0!</v>
      </c>
      <c r="F329" s="378" t="e">
        <f t="shared" si="166"/>
        <v>#DIV/0!</v>
      </c>
      <c r="G329" s="378" t="e">
        <f t="shared" si="167"/>
        <v>#DIV/0!</v>
      </c>
      <c r="H329" s="378" t="e">
        <f t="shared" si="167"/>
        <v>#DIV/0!</v>
      </c>
      <c r="I329" s="378" t="e">
        <f t="shared" si="167"/>
        <v>#DIV/0!</v>
      </c>
      <c r="J329" s="378" t="e">
        <f t="shared" si="167"/>
        <v>#DIV/0!</v>
      </c>
      <c r="K329" s="378" t="e">
        <f t="shared" si="167"/>
        <v>#DIV/0!</v>
      </c>
      <c r="L329" s="378" t="e">
        <f t="shared" si="167"/>
        <v>#DIV/0!</v>
      </c>
      <c r="M329" s="378" t="e">
        <f t="shared" si="167"/>
        <v>#DIV/0!</v>
      </c>
      <c r="N329" s="497" t="e">
        <f t="shared" si="168"/>
        <v>#DIV/0!</v>
      </c>
      <c r="O329" s="497" t="str">
        <f t="array" ref="O329">IFERROR(INDEX(Calculation!I:AN,MATCH(ListAndConversion!E329,Calculation!I:I,0),31),"-")</f>
        <v>-</v>
      </c>
      <c r="P329" s="498">
        <f>IF(COUNTIFS(Calculation!$I$10:$I$393,E329,Direct_Denaturation,"-")&lt;&gt;1,COUNTIFS(Calculation!$I$10:$I$393,E329,Direct_Denaturation,"-"),0)</f>
        <v>0</v>
      </c>
      <c r="V329" s="542" t="s">
        <v>82</v>
      </c>
      <c r="W329" s="542" t="s">
        <v>82</v>
      </c>
      <c r="X329" s="542" t="s">
        <v>82</v>
      </c>
      <c r="Y329" s="542" t="s">
        <v>82</v>
      </c>
      <c r="Z329" s="542" t="s">
        <v>82</v>
      </c>
      <c r="AA329" s="542" t="s">
        <v>82</v>
      </c>
      <c r="AB329" s="542" t="s">
        <v>82</v>
      </c>
      <c r="AC329" s="542" t="s">
        <v>82</v>
      </c>
      <c r="AD329" s="542" t="s">
        <v>82</v>
      </c>
      <c r="AE329" s="542" t="s">
        <v>82</v>
      </c>
      <c r="AF329" s="542" t="s">
        <v>82</v>
      </c>
      <c r="AG329" s="542" t="s">
        <v>82</v>
      </c>
      <c r="AH329" s="9"/>
      <c r="AI329" s="487">
        <v>326</v>
      </c>
      <c r="AJ329" s="497" t="s">
        <v>479</v>
      </c>
      <c r="AK329" s="378">
        <v>38</v>
      </c>
      <c r="AL329" s="378" t="str">
        <f t="shared" ca="1" si="169"/>
        <v>-</v>
      </c>
      <c r="AM329" s="378" t="str">
        <f t="array" aca="1" ref="AM329" ca="1">IFERROR(IF(AI329&lt;=$AB$2,"-",INDEX(Calculation_Tab,SMALL(ROW(Main_Dil)*(Main_Dil&lt;&gt;"-"),COUNTIF(Main_Dil,"-")+ROW()-3-$AB$2)-9,5)),"-")</f>
        <v>-</v>
      </c>
      <c r="AN329" s="378" t="str">
        <f t="array" aca="1" ref="AN329" ca="1">IFERROR(IF(AI329&lt;=$AB$2,"-",INDEX($A$3:$B$12,MATCH(INDEX(Calculation_Tab,SMALL(ROW(Main_Dil)*(Main_Dil&lt;&gt;"-"),COUNTIF(Main_Dil,"-")+ROW()-3-$AB$2)-9,5),$A$3:$A$12,0),2)),"-")</f>
        <v>-</v>
      </c>
      <c r="AO329" s="378" t="str">
        <f t="array" aca="1" ref="AO329" ca="1">IFERROR(IF(AI329&lt;=$AB$2,"-",INDEX(Coordinate,MATCH(INDEX(Calculation_Tab,SMALL(ROW(Main_Dil)*(Main_Dil&lt;&gt;"-"),COUNTIF(Main_Dil,"-")+ROW()-3-$AB$2)-9,6),$X$4:$X$99,0),2)),"-")</f>
        <v>-</v>
      </c>
      <c r="AP329" s="510" t="str">
        <f t="array" aca="1" ref="AP329" ca="1">IFERROR(IF(AI329&lt;=$AB$2,"-",INDEX(Calculation_Tab,SMALL(ROW(Main_Dil)*(Main_Dil&lt;&gt;"-"),COUNTIF(Main_Dil,"-")+ROW()-3-$AB$2)-9,21)),"-")</f>
        <v>-</v>
      </c>
      <c r="AQ329" s="511" t="str">
        <f t="array" aca="1" ref="AQ329" ca="1">IFERROR(IF(AI329&lt;=$AB$2,"-",INDEX(Calculation_Tab,SMALL(ROW(Main_Dil)*(Main_Dil&lt;&gt;"-"),COUNTIF(Main_Dil,"-")+ROW()-3-$AB$2)-9,22)),"-")</f>
        <v>-</v>
      </c>
      <c r="AR329" s="487" t="str">
        <f t="shared" ca="1" si="170"/>
        <v>-</v>
      </c>
      <c r="AS329" s="378">
        <v>326</v>
      </c>
      <c r="AT329" s="497" t="s">
        <v>479</v>
      </c>
      <c r="AU329" s="498">
        <v>38</v>
      </c>
      <c r="AV329" s="378" t="str">
        <f t="shared" ca="1" si="171"/>
        <v>-</v>
      </c>
      <c r="AW329" s="378" t="str">
        <f t="array" aca="1" ref="AW329" ca="1">IFERROR(IF(AS329&lt;=$AB$2+$AN$2,"-",INDEX(Calculation_Tab,SMALL(ROW(Direct_Denaturation)*(Direct_Denaturation&lt;&gt;"-"),COUNTIF(Direct_Denaturation,"-")+ROW()-3-$AB$2-$AN$2)-9,5)),"-")</f>
        <v>-</v>
      </c>
      <c r="AX329" s="378" t="str">
        <f t="array" aca="1" ref="AX329" ca="1">IFERROR(IF(AS329&lt;=$AB$2+$AN$2,"-",INDEX($A$3:$B$12,MATCH(INDEX(Calculation_Tab,SMALL(ROW(Direct_Denaturation)*(Direct_Denaturation&lt;&gt;"-"),COUNTIF(Direct_Denaturation,"-")+ROW()-3-$AB$2-$AN$2)-9,5),$A$3:$A$12,0),2)),"-")</f>
        <v>-</v>
      </c>
      <c r="AY329" s="378" t="str">
        <f t="array" aca="1" ref="AY329" ca="1">IFERROR(IF(AS329&lt;=$AB$2+$AN$2,"-",INDEX(Coordinate,MATCH(INDEX(Calculation_Tab,SMALL(ROW(Direct_Denaturation)*(Direct_Denaturation&lt;&gt;"-"),COUNTIF(Direct_Denaturation,"-")+ROW()-3-$AB$2-$AN$2)-9,6),$X$4:$X$99,0),2)),"-")</f>
        <v>-</v>
      </c>
      <c r="AZ329" s="510" t="str">
        <f t="array" aca="1" ref="AZ329" ca="1">IFERROR(IF(AS329&lt;=$AB$2+$AN$2,"-",INDEX(Calculation_Tab,SMALL(ROW(Direct_Denaturation)*(Direct_Denaturation&lt;&gt;"-"),COUNTIF(Direct_Denaturation,"-")+ROW()-3-$AB$2-$AN$2)-9,32)),"-")</f>
        <v>-</v>
      </c>
      <c r="BA329" s="510" t="str">
        <f t="array" aca="1" ref="BA329" ca="1">IFERROR(IF(AS329&lt;=$AB$2+$AN$2,"-",INDEX(Calculation_Tab,SMALL(ROW(Direct_Denaturation)*(Direct_Denaturation&lt;&gt;"-"),COUNTIF(Direct_Denaturation,"-")+ROW()-3-$AB$2-$AN$2)-9,34)),"-")</f>
        <v>-</v>
      </c>
      <c r="BB329" s="510" t="str">
        <f t="array" aca="1" ref="BB329" ca="1">IFERROR(IF(AS329&lt;=$AB$2+$AN$2,"-",INDEX(Calculation_Tab,SMALL(ROW(Direct_Denaturation)*(Direct_Denaturation&lt;&gt;"-"),COUNTIF(Direct_Denaturation,"-")+ROW()-3-$AB$2-$AN$2)-9,33)),"-")</f>
        <v>-</v>
      </c>
      <c r="BC329" s="510" t="str">
        <f t="array" aca="1" ref="BC329" ca="1">IFERROR(IF(AS329&lt;=$AB$2+$AN$2,"-",INDEX(Calculation_Tab,SMALL(ROW(Direct_Denaturation)*(Direct_Denaturation&lt;&gt;"-"),COUNTIF(Direct_Denaturation,"-")+ROW()-3-$AB$2-$AN$2)-9,35)),"-")</f>
        <v>-</v>
      </c>
      <c r="BD329" s="511" t="str">
        <f t="shared" ca="1" si="172"/>
        <v>-</v>
      </c>
      <c r="BK329" s="542" t="s">
        <v>82</v>
      </c>
      <c r="BL329" s="542" t="s">
        <v>82</v>
      </c>
      <c r="BM329" s="487" t="str">
        <f t="array" aca="1" ref="BM329" ca="1">IFERROR(INDEX(Calculation_Tab,SMALL(ROW(ToPool)*(ToPool&lt;&gt;"-"),COUNTIF(ToPool,"-")+ROW()-3)-9,3),"-")</f>
        <v>-</v>
      </c>
      <c r="BN329" s="378" t="str">
        <f t="shared" ca="1" si="173"/>
        <v>-</v>
      </c>
      <c r="BO329" s="378" t="str">
        <f t="shared" ca="1" si="174"/>
        <v>-</v>
      </c>
      <c r="BP329" s="523" t="str">
        <f t="shared" ca="1" si="175"/>
        <v>-</v>
      </c>
      <c r="BQ329" s="378" t="str">
        <f t="array" aca="1" ref="BQ329" ca="1">IFERROR(INDEX(BE:BG,MATCH(INDEX(Calculation_Tab,SMALL(ROW(ToPool)*(ToPool&lt;&gt;"-"),COUNTIF(ToPool,"-")+ROW()-3)-9,9),BG:BG,0),2),"-")</f>
        <v>-</v>
      </c>
      <c r="BR329" s="510" t="str">
        <f t="shared" ca="1" si="176"/>
        <v>-</v>
      </c>
      <c r="BS329" s="511" t="str">
        <f t="shared" ca="1" si="177"/>
        <v>-</v>
      </c>
      <c r="BT329" s="543" t="s">
        <v>82</v>
      </c>
      <c r="BU329" s="487" t="str">
        <f t="shared" ca="1" si="182"/>
        <v>-</v>
      </c>
      <c r="BV329" s="487" t="str">
        <f t="array" aca="1" ref="BV32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29" s="378" t="str">
        <f t="shared" ca="1" si="178"/>
        <v>-</v>
      </c>
      <c r="BX329" s="378" t="str">
        <f t="shared" ca="1" si="179"/>
        <v>-</v>
      </c>
      <c r="BY329" s="510" t="str">
        <f ca="1">IFERROR(ROUND(INDEX(Cluster,MATCH(IF(LEFT(BV329,4)="Pool",INDEX(Cluster,MATCH(INDEX(Calculation_Tab,MATCH(INDEX($BE$4:$BJ$99,MATCH(BV329,$BE$4:$BE$99,0),3),Flow_Cell_Lane,0),3),Cluster!$F$29:$F$412,0),6),BV329),Identifier_Cluster,0),19)*IF(LEFT(BV329,4)="pool",IF(LEN(INDEX($BE$4:$BJ$99,MATCH(BV329,$BE$4:$BE$99,0),3))=10,2,IF(LEN(INDEX($BE$4:$BJ$99,MATCH(BV329,$BE$4:$BE$99,0),3))&gt;10,LEN(INDEX($BE$4:$BJ$99,MATCH(BV329,$BE$4:$BE$99,0),3))-8,1)),1)*IF(LEFT(BV329,4)="pool",IF(INDEX($BE$4:$BJ$99,MATCH(BV329,$BE$4:$BE$99,0),6)&lt;1,1,INDEX($BE$4:$BJ$99,MATCH(BV329,$BE$4:$BE$99,0),6)),INDEX(Calculation_Tab,MATCH(BV329,Identifier,0),10)),1)*(1+Calculation!$Q$6),"-")</f>
        <v>-</v>
      </c>
      <c r="BZ329" s="378" t="str">
        <f ca="1">IFERROR((0.5/50)*CE329/Calculation!$AG$6*(IF(LEFT(BV329,4)="Pool",IF(LEN(INDEX($BE$4:$BJ$99,MATCH(BV329,$BE$4:$BE$99,0),3))=10,2,IF(LEN(INDEX($BE$4:$BJ$99,MATCH(BV329,$BE$4:$BE$99,0),3))&gt;10,LEN(INDEX($BE$4:$BJ$99,MATCH(BV329,$BE$4:$BE$99,0),3))-8,1)),IF(INDEX(Calculation_Tab,MATCH(BV329,Identifier,0),10)&gt;1,INDEX(Calculation_Tab,MATCH(BV329,Identifier,0),10),1)))*(1+Calculation!$Q$6),"-")</f>
        <v>-</v>
      </c>
      <c r="CA329" s="510" t="str">
        <f ca="1">IFERROR(IF((BZ329*Calculation!$AG$6/0.05)-SUM(BY329:BZ329,CC329)&gt;0,(BZ329*Calculation!$AG$6/0.05)-SUM(BY329:BZ329,CC329),0),"-")</f>
        <v>-</v>
      </c>
      <c r="CB329" s="510" t="str">
        <f ca="1">IFERROR(5/50*CE329*(IF(LEFT(BV329,4)="Pool",IF(LEN(INDEX($BE$4:$BJ$99,MATCH(BV329,$BE$4:$BE$99,0),3))=10,2,IF(LEN(INDEX($BE$4:$BJ$99,MATCH(BV329,$BE$4:$BE$99,0),3))&gt;10,LEN(INDEX($BE$4:$BJ$99,MATCH(BV329,$BE$4:$BE$99,0),3))-8,1)),IF(INDEX(Calculation_Tab,MATCH(BV329,Identifier,0),10)&gt;1,INDEX(Calculation_Tab,MATCH(BV329,Identifier,0),10),1)))*(1+Calculation!$Q$6),"-")</f>
        <v>-</v>
      </c>
      <c r="CC329" s="508" t="str">
        <f ca="1">IFERROR(ROUND(INDEX(Cluster,MATCH(IF(LEFT(BV329,4)="Pool",INDEX(Cluster,MATCH(INDEX(Calculation_Tab,MATCH(INDEX($BE$4:$BJ$99,MATCH(BV329,$BE$4:$BE$99,0),3),Flow_Cell_Lane,0),3),Cluster!$F$29:$F$412,0),6),BV329),Identifier_Cluster,0),20)*IF(LEFT(BV329,4)="pool",IF(LEN(INDEX($BE$4:$BJ$99,MATCH(BV329,$BE$4:$BE$99,0),3))=10,2,IF(LEN(INDEX($BE$4:$BJ$99,MATCH(BV329,$BE$4:$BE$99,0),3))&gt;10,LEN(INDEX($BE$4:$BJ$99,MATCH(BV329,$BE$4:$BE$99,0),3))-8,1)),1)*IF(LEFT(BV329,4)="pool",IF(INDEX($BE$4:$BJ$99,MATCH(BV329,$BE$4:$BE$99,0),6)&lt;1,1,INDEX($BE$4:$BJ$99,MATCH(BV329,$BE$4:$BE$99,0),6)),INDEX(Calculation_Tab,MATCH(BV329,Identifier,0),10)),1)*(1+Calculation!$Q$6),"-")</f>
        <v>-</v>
      </c>
      <c r="CD329" s="509" t="str">
        <f ca="1">IFERROR(INDEX(Cluster!AC:AD,MATCH(IF(LEFT(BV329,4)="Pool",INDEX(Cluster!$D$29:$AA$412,MATCH(INDEX(Calculation_Tab,MATCH(INDEX($BE$4:$BJ$99,MATCH(BV329,$BE$4:$BE$99,0),3),Flow_Cell_Lane,0),3),Cluster!$F$29:$F$412,0),24),INDEX(Cluster!$D$29:$AA$412,MATCH(BV329,Cluster!$F$29:$F$412,0),24)),Cluster!AC:AC,0),2),"-")</f>
        <v>-</v>
      </c>
      <c r="CE329" s="378" t="str">
        <f ca="1">IFERROR(IF(BV329&lt;&gt;"-",Calculation!$AK$6,"-"),"-")</f>
        <v>-</v>
      </c>
      <c r="CF329" s="378" t="str">
        <f ca="1">IF(OR(LEFT(ListAndConversion!BW329,3)="Dil",LEFT(ListAndConversion!BW329,3)="Poo"),ListAndConversion!$BT$4,IF(LEFT(ListAndConversion!BW329,3)="Sou",INDEX(ListAndConversion!$AT$3:$AV$387,MATCH(ListAndConversion!BV329,ListAndConversion!$AV$3:$AV$387,0),1),"-"))</f>
        <v>-</v>
      </c>
      <c r="CG329" s="498" t="str">
        <f ca="1">IF(OR(LEFT(ListAndConversion!BW329,3)="Dil",LEFT(ListAndConversion!BW329,3)="Poo"),ListAndConversion!BU329,IF(LEFT(ListAndConversion!BW329,3)="Sou",INDEX(ListAndConversion!$AT$4:$AV$387,MATCH(ListAndConversion!BV329,ListAndConversion!$AV$4:$AV$387,0),2),"-"))</f>
        <v>-</v>
      </c>
      <c r="CH329" s="378"/>
      <c r="CI329" s="487" t="str">
        <f t="shared" ca="1" si="180"/>
        <v>-</v>
      </c>
      <c r="CJ329" s="378" t="str">
        <f t="shared" ca="1" si="181"/>
        <v>-</v>
      </c>
      <c r="CK329" s="378" t="str">
        <f t="shared" ca="1" si="181"/>
        <v>-</v>
      </c>
      <c r="CL329" s="378" t="str">
        <f t="shared" ca="1" si="181"/>
        <v>-</v>
      </c>
      <c r="CM329" s="378" t="str">
        <f t="shared" ca="1" si="181"/>
        <v>-</v>
      </c>
      <c r="CN329" s="378" t="str">
        <f t="shared" ca="1" si="181"/>
        <v>-</v>
      </c>
      <c r="CO329" s="378" t="str">
        <f t="shared" ca="1" si="181"/>
        <v>-</v>
      </c>
      <c r="CP329" s="378" t="str">
        <f t="shared" ca="1" si="181"/>
        <v>-</v>
      </c>
      <c r="CQ329" s="378" t="str">
        <f t="shared" ca="1" si="181"/>
        <v>-</v>
      </c>
      <c r="CR329" s="510" t="str">
        <f ca="1">IFERROR(IF(LEFT(BW329,3)="Poo",INDEX($BE$4:$BJ$99,MATCH(CI329,$BG$4:$BG$99,0),6)*((15/50))*Calculation!$AK$6,INDEX(Calculation_Tab,MATCH(BV329,Identifier,0),10)/(IF(LEN(INDEX(Calculation_Tab,MATCH(BV329,Identifier,0),9))&gt;8,LEN(INDEX(Calculation_Tab,MATCH(BV329,Identifier,0),9))-8,1))*((15/50)*Calculation!$AK$6)),"-")</f>
        <v>-</v>
      </c>
      <c r="CS329" s="498" t="str">
        <f ca="1">IF(CI329="-","-",IF(COUNTIF($CI$3:CI329,CI329)&gt;1,0,IFERROR((35/50)*Calculation!$AK$6,"-")))</f>
        <v>-</v>
      </c>
    </row>
    <row r="330" spans="4:97" x14ac:dyDescent="0.5">
      <c r="D330" s="487" t="e">
        <f t="shared" si="165"/>
        <v>#DIV/0!</v>
      </c>
      <c r="E330" s="496" t="e">
        <f t="array" ref="E330">IF(IF((ROW(E330)-3)&lt;(ListAndConversion!$A$15),INDEX(Flow_Cell_Lane,MIN(IF(COUNTIF($E$2:E329,Flow_Cell_Lane)=0,ROW(Flow_Cell_Lane)-9))),"-")="","-",IF((ROW(E330)-3)&lt;(ListAndConversion!$A$15),INDEX(Flow_Cell_Lane,MIN(IF(COUNTIF($E$2:E329,Flow_Cell_Lane)=0,ROW(Flow_Cell_Lane)-9))),"-"))</f>
        <v>#DIV/0!</v>
      </c>
      <c r="F330" s="378" t="e">
        <f t="shared" si="166"/>
        <v>#DIV/0!</v>
      </c>
      <c r="G330" s="378" t="e">
        <f t="shared" si="167"/>
        <v>#DIV/0!</v>
      </c>
      <c r="H330" s="378" t="e">
        <f t="shared" si="167"/>
        <v>#DIV/0!</v>
      </c>
      <c r="I330" s="378" t="e">
        <f t="shared" si="167"/>
        <v>#DIV/0!</v>
      </c>
      <c r="J330" s="378" t="e">
        <f t="shared" si="167"/>
        <v>#DIV/0!</v>
      </c>
      <c r="K330" s="378" t="e">
        <f t="shared" si="167"/>
        <v>#DIV/0!</v>
      </c>
      <c r="L330" s="378" t="e">
        <f t="shared" si="167"/>
        <v>#DIV/0!</v>
      </c>
      <c r="M330" s="378" t="e">
        <f t="shared" si="167"/>
        <v>#DIV/0!</v>
      </c>
      <c r="N330" s="497" t="e">
        <f t="shared" si="168"/>
        <v>#DIV/0!</v>
      </c>
      <c r="O330" s="497" t="str">
        <f t="array" ref="O330">IFERROR(INDEX(Calculation!I:AN,MATCH(ListAndConversion!E330,Calculation!I:I,0),31),"-")</f>
        <v>-</v>
      </c>
      <c r="P330" s="498">
        <f>IF(COUNTIFS(Calculation!$I$10:$I$393,E330,Direct_Denaturation,"-")&lt;&gt;1,COUNTIFS(Calculation!$I$10:$I$393,E330,Direct_Denaturation,"-"),0)</f>
        <v>0</v>
      </c>
      <c r="V330" s="542" t="s">
        <v>82</v>
      </c>
      <c r="W330" s="542" t="s">
        <v>82</v>
      </c>
      <c r="X330" s="542" t="s">
        <v>82</v>
      </c>
      <c r="Y330" s="542" t="s">
        <v>82</v>
      </c>
      <c r="Z330" s="542" t="s">
        <v>82</v>
      </c>
      <c r="AA330" s="542" t="s">
        <v>82</v>
      </c>
      <c r="AB330" s="542" t="s">
        <v>82</v>
      </c>
      <c r="AC330" s="542" t="s">
        <v>82</v>
      </c>
      <c r="AD330" s="542" t="s">
        <v>82</v>
      </c>
      <c r="AE330" s="542" t="s">
        <v>82</v>
      </c>
      <c r="AF330" s="542" t="s">
        <v>82</v>
      </c>
      <c r="AG330" s="542" t="s">
        <v>82</v>
      </c>
      <c r="AH330" s="9"/>
      <c r="AI330" s="487">
        <v>327</v>
      </c>
      <c r="AJ330" s="497" t="s">
        <v>479</v>
      </c>
      <c r="AK330" s="378">
        <v>39</v>
      </c>
      <c r="AL330" s="378" t="str">
        <f t="shared" ca="1" si="169"/>
        <v>-</v>
      </c>
      <c r="AM330" s="378" t="str">
        <f t="array" aca="1" ref="AM330" ca="1">IFERROR(IF(AI330&lt;=$AB$2,"-",INDEX(Calculation_Tab,SMALL(ROW(Main_Dil)*(Main_Dil&lt;&gt;"-"),COUNTIF(Main_Dil,"-")+ROW()-3-$AB$2)-9,5)),"-")</f>
        <v>-</v>
      </c>
      <c r="AN330" s="378" t="str">
        <f t="array" aca="1" ref="AN330" ca="1">IFERROR(IF(AI330&lt;=$AB$2,"-",INDEX($A$3:$B$12,MATCH(INDEX(Calculation_Tab,SMALL(ROW(Main_Dil)*(Main_Dil&lt;&gt;"-"),COUNTIF(Main_Dil,"-")+ROW()-3-$AB$2)-9,5),$A$3:$A$12,0),2)),"-")</f>
        <v>-</v>
      </c>
      <c r="AO330" s="378" t="str">
        <f t="array" aca="1" ref="AO330" ca="1">IFERROR(IF(AI330&lt;=$AB$2,"-",INDEX(Coordinate,MATCH(INDEX(Calculation_Tab,SMALL(ROW(Main_Dil)*(Main_Dil&lt;&gt;"-"),COUNTIF(Main_Dil,"-")+ROW()-3-$AB$2)-9,6),$X$4:$X$99,0),2)),"-")</f>
        <v>-</v>
      </c>
      <c r="AP330" s="510" t="str">
        <f t="array" aca="1" ref="AP330" ca="1">IFERROR(IF(AI330&lt;=$AB$2,"-",INDEX(Calculation_Tab,SMALL(ROW(Main_Dil)*(Main_Dil&lt;&gt;"-"),COUNTIF(Main_Dil,"-")+ROW()-3-$AB$2)-9,21)),"-")</f>
        <v>-</v>
      </c>
      <c r="AQ330" s="511" t="str">
        <f t="array" aca="1" ref="AQ330" ca="1">IFERROR(IF(AI330&lt;=$AB$2,"-",INDEX(Calculation_Tab,SMALL(ROW(Main_Dil)*(Main_Dil&lt;&gt;"-"),COUNTIF(Main_Dil,"-")+ROW()-3-$AB$2)-9,22)),"-")</f>
        <v>-</v>
      </c>
      <c r="AR330" s="487" t="str">
        <f t="shared" ca="1" si="170"/>
        <v>-</v>
      </c>
      <c r="AS330" s="378">
        <v>327</v>
      </c>
      <c r="AT330" s="497" t="s">
        <v>479</v>
      </c>
      <c r="AU330" s="498">
        <v>39</v>
      </c>
      <c r="AV330" s="378" t="str">
        <f t="shared" ca="1" si="171"/>
        <v>-</v>
      </c>
      <c r="AW330" s="378" t="str">
        <f t="array" aca="1" ref="AW330" ca="1">IFERROR(IF(AS330&lt;=$AB$2+$AN$2,"-",INDEX(Calculation_Tab,SMALL(ROW(Direct_Denaturation)*(Direct_Denaturation&lt;&gt;"-"),COUNTIF(Direct_Denaturation,"-")+ROW()-3-$AB$2-$AN$2)-9,5)),"-")</f>
        <v>-</v>
      </c>
      <c r="AX330" s="378" t="str">
        <f t="array" aca="1" ref="AX330" ca="1">IFERROR(IF(AS330&lt;=$AB$2+$AN$2,"-",INDEX($A$3:$B$12,MATCH(INDEX(Calculation_Tab,SMALL(ROW(Direct_Denaturation)*(Direct_Denaturation&lt;&gt;"-"),COUNTIF(Direct_Denaturation,"-")+ROW()-3-$AB$2-$AN$2)-9,5),$A$3:$A$12,0),2)),"-")</f>
        <v>-</v>
      </c>
      <c r="AY330" s="378" t="str">
        <f t="array" aca="1" ref="AY330" ca="1">IFERROR(IF(AS330&lt;=$AB$2+$AN$2,"-",INDEX(Coordinate,MATCH(INDEX(Calculation_Tab,SMALL(ROW(Direct_Denaturation)*(Direct_Denaturation&lt;&gt;"-"),COUNTIF(Direct_Denaturation,"-")+ROW()-3-$AB$2-$AN$2)-9,6),$X$4:$X$99,0),2)),"-")</f>
        <v>-</v>
      </c>
      <c r="AZ330" s="510" t="str">
        <f t="array" aca="1" ref="AZ330" ca="1">IFERROR(IF(AS330&lt;=$AB$2+$AN$2,"-",INDEX(Calculation_Tab,SMALL(ROW(Direct_Denaturation)*(Direct_Denaturation&lt;&gt;"-"),COUNTIF(Direct_Denaturation,"-")+ROW()-3-$AB$2-$AN$2)-9,32)),"-")</f>
        <v>-</v>
      </c>
      <c r="BA330" s="510" t="str">
        <f t="array" aca="1" ref="BA330" ca="1">IFERROR(IF(AS330&lt;=$AB$2+$AN$2,"-",INDEX(Calculation_Tab,SMALL(ROW(Direct_Denaturation)*(Direct_Denaturation&lt;&gt;"-"),COUNTIF(Direct_Denaturation,"-")+ROW()-3-$AB$2-$AN$2)-9,34)),"-")</f>
        <v>-</v>
      </c>
      <c r="BB330" s="510" t="str">
        <f t="array" aca="1" ref="BB330" ca="1">IFERROR(IF(AS330&lt;=$AB$2+$AN$2,"-",INDEX(Calculation_Tab,SMALL(ROW(Direct_Denaturation)*(Direct_Denaturation&lt;&gt;"-"),COUNTIF(Direct_Denaturation,"-")+ROW()-3-$AB$2-$AN$2)-9,33)),"-")</f>
        <v>-</v>
      </c>
      <c r="BC330" s="510" t="str">
        <f t="array" aca="1" ref="BC330" ca="1">IFERROR(IF(AS330&lt;=$AB$2+$AN$2,"-",INDEX(Calculation_Tab,SMALL(ROW(Direct_Denaturation)*(Direct_Denaturation&lt;&gt;"-"),COUNTIF(Direct_Denaturation,"-")+ROW()-3-$AB$2-$AN$2)-9,35)),"-")</f>
        <v>-</v>
      </c>
      <c r="BD330" s="511" t="str">
        <f t="shared" ca="1" si="172"/>
        <v>-</v>
      </c>
      <c r="BK330" s="542" t="s">
        <v>82</v>
      </c>
      <c r="BL330" s="542" t="s">
        <v>82</v>
      </c>
      <c r="BM330" s="487" t="str">
        <f t="array" aca="1" ref="BM330" ca="1">IFERROR(INDEX(Calculation_Tab,SMALL(ROW(ToPool)*(ToPool&lt;&gt;"-"),COUNTIF(ToPool,"-")+ROW()-3)-9,3),"-")</f>
        <v>-</v>
      </c>
      <c r="BN330" s="378" t="str">
        <f t="shared" ca="1" si="173"/>
        <v>-</v>
      </c>
      <c r="BO330" s="378" t="str">
        <f t="shared" ca="1" si="174"/>
        <v>-</v>
      </c>
      <c r="BP330" s="523" t="str">
        <f t="shared" ca="1" si="175"/>
        <v>-</v>
      </c>
      <c r="BQ330" s="378" t="str">
        <f t="array" aca="1" ref="BQ330" ca="1">IFERROR(INDEX(BE:BG,MATCH(INDEX(Calculation_Tab,SMALL(ROW(ToPool)*(ToPool&lt;&gt;"-"),COUNTIF(ToPool,"-")+ROW()-3)-9,9),BG:BG,0),2),"-")</f>
        <v>-</v>
      </c>
      <c r="BR330" s="510" t="str">
        <f t="shared" ca="1" si="176"/>
        <v>-</v>
      </c>
      <c r="BS330" s="511" t="str">
        <f t="shared" ca="1" si="177"/>
        <v>-</v>
      </c>
      <c r="BT330" s="543" t="s">
        <v>82</v>
      </c>
      <c r="BU330" s="487" t="str">
        <f t="shared" ca="1" si="182"/>
        <v>-</v>
      </c>
      <c r="BV330" s="487" t="str">
        <f t="array" aca="1" ref="BV33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30" s="378" t="str">
        <f t="shared" ca="1" si="178"/>
        <v>-</v>
      </c>
      <c r="BX330" s="378" t="str">
        <f t="shared" ca="1" si="179"/>
        <v>-</v>
      </c>
      <c r="BY330" s="510" t="str">
        <f ca="1">IFERROR(ROUND(INDEX(Cluster,MATCH(IF(LEFT(BV330,4)="Pool",INDEX(Cluster,MATCH(INDEX(Calculation_Tab,MATCH(INDEX($BE$4:$BJ$99,MATCH(BV330,$BE$4:$BE$99,0),3),Flow_Cell_Lane,0),3),Cluster!$F$29:$F$412,0),6),BV330),Identifier_Cluster,0),19)*IF(LEFT(BV330,4)="pool",IF(LEN(INDEX($BE$4:$BJ$99,MATCH(BV330,$BE$4:$BE$99,0),3))=10,2,IF(LEN(INDEX($BE$4:$BJ$99,MATCH(BV330,$BE$4:$BE$99,0),3))&gt;10,LEN(INDEX($BE$4:$BJ$99,MATCH(BV330,$BE$4:$BE$99,0),3))-8,1)),1)*IF(LEFT(BV330,4)="pool",IF(INDEX($BE$4:$BJ$99,MATCH(BV330,$BE$4:$BE$99,0),6)&lt;1,1,INDEX($BE$4:$BJ$99,MATCH(BV330,$BE$4:$BE$99,0),6)),INDEX(Calculation_Tab,MATCH(BV330,Identifier,0),10)),1)*(1+Calculation!$Q$6),"-")</f>
        <v>-</v>
      </c>
      <c r="BZ330" s="378" t="str">
        <f ca="1">IFERROR((0.5/50)*CE330/Calculation!$AG$6*(IF(LEFT(BV330,4)="Pool",IF(LEN(INDEX($BE$4:$BJ$99,MATCH(BV330,$BE$4:$BE$99,0),3))=10,2,IF(LEN(INDEX($BE$4:$BJ$99,MATCH(BV330,$BE$4:$BE$99,0),3))&gt;10,LEN(INDEX($BE$4:$BJ$99,MATCH(BV330,$BE$4:$BE$99,0),3))-8,1)),IF(INDEX(Calculation_Tab,MATCH(BV330,Identifier,0),10)&gt;1,INDEX(Calculation_Tab,MATCH(BV330,Identifier,0),10),1)))*(1+Calculation!$Q$6),"-")</f>
        <v>-</v>
      </c>
      <c r="CA330" s="510" t="str">
        <f ca="1">IFERROR(IF((BZ330*Calculation!$AG$6/0.05)-SUM(BY330:BZ330,CC330)&gt;0,(BZ330*Calculation!$AG$6/0.05)-SUM(BY330:BZ330,CC330),0),"-")</f>
        <v>-</v>
      </c>
      <c r="CB330" s="510" t="str">
        <f ca="1">IFERROR(5/50*CE330*(IF(LEFT(BV330,4)="Pool",IF(LEN(INDEX($BE$4:$BJ$99,MATCH(BV330,$BE$4:$BE$99,0),3))=10,2,IF(LEN(INDEX($BE$4:$BJ$99,MATCH(BV330,$BE$4:$BE$99,0),3))&gt;10,LEN(INDEX($BE$4:$BJ$99,MATCH(BV330,$BE$4:$BE$99,0),3))-8,1)),IF(INDEX(Calculation_Tab,MATCH(BV330,Identifier,0),10)&gt;1,INDEX(Calculation_Tab,MATCH(BV330,Identifier,0),10),1)))*(1+Calculation!$Q$6),"-")</f>
        <v>-</v>
      </c>
      <c r="CC330" s="508" t="str">
        <f ca="1">IFERROR(ROUND(INDEX(Cluster,MATCH(IF(LEFT(BV330,4)="Pool",INDEX(Cluster,MATCH(INDEX(Calculation_Tab,MATCH(INDEX($BE$4:$BJ$99,MATCH(BV330,$BE$4:$BE$99,0),3),Flow_Cell_Lane,0),3),Cluster!$F$29:$F$412,0),6),BV330),Identifier_Cluster,0),20)*IF(LEFT(BV330,4)="pool",IF(LEN(INDEX($BE$4:$BJ$99,MATCH(BV330,$BE$4:$BE$99,0),3))=10,2,IF(LEN(INDEX($BE$4:$BJ$99,MATCH(BV330,$BE$4:$BE$99,0),3))&gt;10,LEN(INDEX($BE$4:$BJ$99,MATCH(BV330,$BE$4:$BE$99,0),3))-8,1)),1)*IF(LEFT(BV330,4)="pool",IF(INDEX($BE$4:$BJ$99,MATCH(BV330,$BE$4:$BE$99,0),6)&lt;1,1,INDEX($BE$4:$BJ$99,MATCH(BV330,$BE$4:$BE$99,0),6)),INDEX(Calculation_Tab,MATCH(BV330,Identifier,0),10)),1)*(1+Calculation!$Q$6),"-")</f>
        <v>-</v>
      </c>
      <c r="CD330" s="509" t="str">
        <f ca="1">IFERROR(INDEX(Cluster!AC:AD,MATCH(IF(LEFT(BV330,4)="Pool",INDEX(Cluster!$D$29:$AA$412,MATCH(INDEX(Calculation_Tab,MATCH(INDEX($BE$4:$BJ$99,MATCH(BV330,$BE$4:$BE$99,0),3),Flow_Cell_Lane,0),3),Cluster!$F$29:$F$412,0),24),INDEX(Cluster!$D$29:$AA$412,MATCH(BV330,Cluster!$F$29:$F$412,0),24)),Cluster!AC:AC,0),2),"-")</f>
        <v>-</v>
      </c>
      <c r="CE330" s="378" t="str">
        <f ca="1">IFERROR(IF(BV330&lt;&gt;"-",Calculation!$AK$6,"-"),"-")</f>
        <v>-</v>
      </c>
      <c r="CF330" s="378" t="str">
        <f ca="1">IF(OR(LEFT(ListAndConversion!BW330,3)="Dil",LEFT(ListAndConversion!BW330,3)="Poo"),ListAndConversion!$BT$4,IF(LEFT(ListAndConversion!BW330,3)="Sou",INDEX(ListAndConversion!$AT$3:$AV$387,MATCH(ListAndConversion!BV330,ListAndConversion!$AV$3:$AV$387,0),1),"-"))</f>
        <v>-</v>
      </c>
      <c r="CG330" s="498" t="str">
        <f ca="1">IF(OR(LEFT(ListAndConversion!BW330,3)="Dil",LEFT(ListAndConversion!BW330,3)="Poo"),ListAndConversion!BU330,IF(LEFT(ListAndConversion!BW330,3)="Sou",INDEX(ListAndConversion!$AT$4:$AV$387,MATCH(ListAndConversion!BV330,ListAndConversion!$AV$4:$AV$387,0),2),"-"))</f>
        <v>-</v>
      </c>
      <c r="CH330" s="378"/>
      <c r="CI330" s="487" t="str">
        <f t="shared" ca="1" si="180"/>
        <v>-</v>
      </c>
      <c r="CJ330" s="378" t="str">
        <f t="shared" ca="1" si="181"/>
        <v>-</v>
      </c>
      <c r="CK330" s="378" t="str">
        <f t="shared" ca="1" si="181"/>
        <v>-</v>
      </c>
      <c r="CL330" s="378" t="str">
        <f t="shared" ca="1" si="181"/>
        <v>-</v>
      </c>
      <c r="CM330" s="378" t="str">
        <f t="shared" ca="1" si="181"/>
        <v>-</v>
      </c>
      <c r="CN330" s="378" t="str">
        <f t="shared" ca="1" si="181"/>
        <v>-</v>
      </c>
      <c r="CO330" s="378" t="str">
        <f t="shared" ca="1" si="181"/>
        <v>-</v>
      </c>
      <c r="CP330" s="378" t="str">
        <f t="shared" ca="1" si="181"/>
        <v>-</v>
      </c>
      <c r="CQ330" s="378" t="str">
        <f t="shared" ca="1" si="181"/>
        <v>-</v>
      </c>
      <c r="CR330" s="510" t="str">
        <f ca="1">IFERROR(IF(LEFT(BW330,3)="Poo",INDEX($BE$4:$BJ$99,MATCH(CI330,$BG$4:$BG$99,0),6)*((15/50))*Calculation!$AK$6,INDEX(Calculation_Tab,MATCH(BV330,Identifier,0),10)/(IF(LEN(INDEX(Calculation_Tab,MATCH(BV330,Identifier,0),9))&gt;8,LEN(INDEX(Calculation_Tab,MATCH(BV330,Identifier,0),9))-8,1))*((15/50)*Calculation!$AK$6)),"-")</f>
        <v>-</v>
      </c>
      <c r="CS330" s="498" t="str">
        <f ca="1">IF(CI330="-","-",IF(COUNTIF($CI$3:CI330,CI330)&gt;1,0,IFERROR((35/50)*Calculation!$AK$6,"-")))</f>
        <v>-</v>
      </c>
    </row>
    <row r="331" spans="4:97" x14ac:dyDescent="0.5">
      <c r="D331" s="487" t="e">
        <f t="shared" si="165"/>
        <v>#DIV/0!</v>
      </c>
      <c r="E331" s="496" t="e">
        <f t="array" ref="E331">IF(IF((ROW(E331)-3)&lt;(ListAndConversion!$A$15),INDEX(Flow_Cell_Lane,MIN(IF(COUNTIF($E$2:E330,Flow_Cell_Lane)=0,ROW(Flow_Cell_Lane)-9))),"-")="","-",IF((ROW(E331)-3)&lt;(ListAndConversion!$A$15),INDEX(Flow_Cell_Lane,MIN(IF(COUNTIF($E$2:E330,Flow_Cell_Lane)=0,ROW(Flow_Cell_Lane)-9))),"-"))</f>
        <v>#DIV/0!</v>
      </c>
      <c r="F331" s="378" t="e">
        <f t="shared" si="166"/>
        <v>#DIV/0!</v>
      </c>
      <c r="G331" s="378" t="e">
        <f t="shared" si="167"/>
        <v>#DIV/0!</v>
      </c>
      <c r="H331" s="378" t="e">
        <f t="shared" si="167"/>
        <v>#DIV/0!</v>
      </c>
      <c r="I331" s="378" t="e">
        <f t="shared" si="167"/>
        <v>#DIV/0!</v>
      </c>
      <c r="J331" s="378" t="e">
        <f t="shared" si="167"/>
        <v>#DIV/0!</v>
      </c>
      <c r="K331" s="378" t="e">
        <f t="shared" si="167"/>
        <v>#DIV/0!</v>
      </c>
      <c r="L331" s="378" t="e">
        <f t="shared" si="167"/>
        <v>#DIV/0!</v>
      </c>
      <c r="M331" s="378" t="e">
        <f t="shared" si="167"/>
        <v>#DIV/0!</v>
      </c>
      <c r="N331" s="497" t="e">
        <f t="shared" si="168"/>
        <v>#DIV/0!</v>
      </c>
      <c r="O331" s="497" t="str">
        <f t="array" ref="O331">IFERROR(INDEX(Calculation!I:AN,MATCH(ListAndConversion!E331,Calculation!I:I,0),31),"-")</f>
        <v>-</v>
      </c>
      <c r="P331" s="498">
        <f>IF(COUNTIFS(Calculation!$I$10:$I$393,E331,Direct_Denaturation,"-")&lt;&gt;1,COUNTIFS(Calculation!$I$10:$I$393,E331,Direct_Denaturation,"-"),0)</f>
        <v>0</v>
      </c>
      <c r="V331" s="542" t="s">
        <v>82</v>
      </c>
      <c r="W331" s="542" t="s">
        <v>82</v>
      </c>
      <c r="X331" s="542" t="s">
        <v>82</v>
      </c>
      <c r="Y331" s="542" t="s">
        <v>82</v>
      </c>
      <c r="Z331" s="542" t="s">
        <v>82</v>
      </c>
      <c r="AA331" s="542" t="s">
        <v>82</v>
      </c>
      <c r="AB331" s="542" t="s">
        <v>82</v>
      </c>
      <c r="AC331" s="542" t="s">
        <v>82</v>
      </c>
      <c r="AD331" s="542" t="s">
        <v>82</v>
      </c>
      <c r="AE331" s="542" t="s">
        <v>82</v>
      </c>
      <c r="AF331" s="542" t="s">
        <v>82</v>
      </c>
      <c r="AG331" s="542" t="s">
        <v>82</v>
      </c>
      <c r="AH331" s="9"/>
      <c r="AI331" s="487">
        <v>328</v>
      </c>
      <c r="AJ331" s="497" t="s">
        <v>479</v>
      </c>
      <c r="AK331" s="378">
        <v>40</v>
      </c>
      <c r="AL331" s="378" t="str">
        <f t="shared" ca="1" si="169"/>
        <v>-</v>
      </c>
      <c r="AM331" s="378" t="str">
        <f t="array" aca="1" ref="AM331" ca="1">IFERROR(IF(AI331&lt;=$AB$2,"-",INDEX(Calculation_Tab,SMALL(ROW(Main_Dil)*(Main_Dil&lt;&gt;"-"),COUNTIF(Main_Dil,"-")+ROW()-3-$AB$2)-9,5)),"-")</f>
        <v>-</v>
      </c>
      <c r="AN331" s="378" t="str">
        <f t="array" aca="1" ref="AN331" ca="1">IFERROR(IF(AI331&lt;=$AB$2,"-",INDEX($A$3:$B$12,MATCH(INDEX(Calculation_Tab,SMALL(ROW(Main_Dil)*(Main_Dil&lt;&gt;"-"),COUNTIF(Main_Dil,"-")+ROW()-3-$AB$2)-9,5),$A$3:$A$12,0),2)),"-")</f>
        <v>-</v>
      </c>
      <c r="AO331" s="378" t="str">
        <f t="array" aca="1" ref="AO331" ca="1">IFERROR(IF(AI331&lt;=$AB$2,"-",INDEX(Coordinate,MATCH(INDEX(Calculation_Tab,SMALL(ROW(Main_Dil)*(Main_Dil&lt;&gt;"-"),COUNTIF(Main_Dil,"-")+ROW()-3-$AB$2)-9,6),$X$4:$X$99,0),2)),"-")</f>
        <v>-</v>
      </c>
      <c r="AP331" s="510" t="str">
        <f t="array" aca="1" ref="AP331" ca="1">IFERROR(IF(AI331&lt;=$AB$2,"-",INDEX(Calculation_Tab,SMALL(ROW(Main_Dil)*(Main_Dil&lt;&gt;"-"),COUNTIF(Main_Dil,"-")+ROW()-3-$AB$2)-9,21)),"-")</f>
        <v>-</v>
      </c>
      <c r="AQ331" s="511" t="str">
        <f t="array" aca="1" ref="AQ331" ca="1">IFERROR(IF(AI331&lt;=$AB$2,"-",INDEX(Calculation_Tab,SMALL(ROW(Main_Dil)*(Main_Dil&lt;&gt;"-"),COUNTIF(Main_Dil,"-")+ROW()-3-$AB$2)-9,22)),"-")</f>
        <v>-</v>
      </c>
      <c r="AR331" s="487" t="str">
        <f t="shared" ca="1" si="170"/>
        <v>-</v>
      </c>
      <c r="AS331" s="378">
        <v>328</v>
      </c>
      <c r="AT331" s="497" t="s">
        <v>479</v>
      </c>
      <c r="AU331" s="498">
        <v>40</v>
      </c>
      <c r="AV331" s="378" t="str">
        <f t="shared" ca="1" si="171"/>
        <v>-</v>
      </c>
      <c r="AW331" s="378" t="str">
        <f t="array" aca="1" ref="AW331" ca="1">IFERROR(IF(AS331&lt;=$AB$2+$AN$2,"-",INDEX(Calculation_Tab,SMALL(ROW(Direct_Denaturation)*(Direct_Denaturation&lt;&gt;"-"),COUNTIF(Direct_Denaturation,"-")+ROW()-3-$AB$2-$AN$2)-9,5)),"-")</f>
        <v>-</v>
      </c>
      <c r="AX331" s="378" t="str">
        <f t="array" aca="1" ref="AX331" ca="1">IFERROR(IF(AS331&lt;=$AB$2+$AN$2,"-",INDEX($A$3:$B$12,MATCH(INDEX(Calculation_Tab,SMALL(ROW(Direct_Denaturation)*(Direct_Denaturation&lt;&gt;"-"),COUNTIF(Direct_Denaturation,"-")+ROW()-3-$AB$2-$AN$2)-9,5),$A$3:$A$12,0),2)),"-")</f>
        <v>-</v>
      </c>
      <c r="AY331" s="378" t="str">
        <f t="array" aca="1" ref="AY331" ca="1">IFERROR(IF(AS331&lt;=$AB$2+$AN$2,"-",INDEX(Coordinate,MATCH(INDEX(Calculation_Tab,SMALL(ROW(Direct_Denaturation)*(Direct_Denaturation&lt;&gt;"-"),COUNTIF(Direct_Denaturation,"-")+ROW()-3-$AB$2-$AN$2)-9,6),$X$4:$X$99,0),2)),"-")</f>
        <v>-</v>
      </c>
      <c r="AZ331" s="510" t="str">
        <f t="array" aca="1" ref="AZ331" ca="1">IFERROR(IF(AS331&lt;=$AB$2+$AN$2,"-",INDEX(Calculation_Tab,SMALL(ROW(Direct_Denaturation)*(Direct_Denaturation&lt;&gt;"-"),COUNTIF(Direct_Denaturation,"-")+ROW()-3-$AB$2-$AN$2)-9,32)),"-")</f>
        <v>-</v>
      </c>
      <c r="BA331" s="510" t="str">
        <f t="array" aca="1" ref="BA331" ca="1">IFERROR(IF(AS331&lt;=$AB$2+$AN$2,"-",INDEX(Calculation_Tab,SMALL(ROW(Direct_Denaturation)*(Direct_Denaturation&lt;&gt;"-"),COUNTIF(Direct_Denaturation,"-")+ROW()-3-$AB$2-$AN$2)-9,34)),"-")</f>
        <v>-</v>
      </c>
      <c r="BB331" s="510" t="str">
        <f t="array" aca="1" ref="BB331" ca="1">IFERROR(IF(AS331&lt;=$AB$2+$AN$2,"-",INDEX(Calculation_Tab,SMALL(ROW(Direct_Denaturation)*(Direct_Denaturation&lt;&gt;"-"),COUNTIF(Direct_Denaturation,"-")+ROW()-3-$AB$2-$AN$2)-9,33)),"-")</f>
        <v>-</v>
      </c>
      <c r="BC331" s="510" t="str">
        <f t="array" aca="1" ref="BC331" ca="1">IFERROR(IF(AS331&lt;=$AB$2+$AN$2,"-",INDEX(Calculation_Tab,SMALL(ROW(Direct_Denaturation)*(Direct_Denaturation&lt;&gt;"-"),COUNTIF(Direct_Denaturation,"-")+ROW()-3-$AB$2-$AN$2)-9,35)),"-")</f>
        <v>-</v>
      </c>
      <c r="BD331" s="511" t="str">
        <f t="shared" ca="1" si="172"/>
        <v>-</v>
      </c>
      <c r="BK331" s="542" t="s">
        <v>82</v>
      </c>
      <c r="BL331" s="542" t="s">
        <v>82</v>
      </c>
      <c r="BM331" s="487" t="str">
        <f t="array" aca="1" ref="BM331" ca="1">IFERROR(INDEX(Calculation_Tab,SMALL(ROW(ToPool)*(ToPool&lt;&gt;"-"),COUNTIF(ToPool,"-")+ROW()-3)-9,3),"-")</f>
        <v>-</v>
      </c>
      <c r="BN331" s="378" t="str">
        <f t="shared" ca="1" si="173"/>
        <v>-</v>
      </c>
      <c r="BO331" s="378" t="str">
        <f t="shared" ca="1" si="174"/>
        <v>-</v>
      </c>
      <c r="BP331" s="523" t="str">
        <f t="shared" ca="1" si="175"/>
        <v>-</v>
      </c>
      <c r="BQ331" s="378" t="str">
        <f t="array" aca="1" ref="BQ331" ca="1">IFERROR(INDEX(BE:BG,MATCH(INDEX(Calculation_Tab,SMALL(ROW(ToPool)*(ToPool&lt;&gt;"-"),COUNTIF(ToPool,"-")+ROW()-3)-9,9),BG:BG,0),2),"-")</f>
        <v>-</v>
      </c>
      <c r="BR331" s="510" t="str">
        <f t="shared" ca="1" si="176"/>
        <v>-</v>
      </c>
      <c r="BS331" s="511" t="str">
        <f t="shared" ca="1" si="177"/>
        <v>-</v>
      </c>
      <c r="BT331" s="543" t="s">
        <v>82</v>
      </c>
      <c r="BU331" s="487" t="str">
        <f t="shared" ca="1" si="182"/>
        <v>-</v>
      </c>
      <c r="BV331" s="487" t="str">
        <f t="array" aca="1" ref="BV33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31" s="378" t="str">
        <f t="shared" ca="1" si="178"/>
        <v>-</v>
      </c>
      <c r="BX331" s="378" t="str">
        <f t="shared" ca="1" si="179"/>
        <v>-</v>
      </c>
      <c r="BY331" s="510" t="str">
        <f ca="1">IFERROR(ROUND(INDEX(Cluster,MATCH(IF(LEFT(BV331,4)="Pool",INDEX(Cluster,MATCH(INDEX(Calculation_Tab,MATCH(INDEX($BE$4:$BJ$99,MATCH(BV331,$BE$4:$BE$99,0),3),Flow_Cell_Lane,0),3),Cluster!$F$29:$F$412,0),6),BV331),Identifier_Cluster,0),19)*IF(LEFT(BV331,4)="pool",IF(LEN(INDEX($BE$4:$BJ$99,MATCH(BV331,$BE$4:$BE$99,0),3))=10,2,IF(LEN(INDEX($BE$4:$BJ$99,MATCH(BV331,$BE$4:$BE$99,0),3))&gt;10,LEN(INDEX($BE$4:$BJ$99,MATCH(BV331,$BE$4:$BE$99,0),3))-8,1)),1)*IF(LEFT(BV331,4)="pool",IF(INDEX($BE$4:$BJ$99,MATCH(BV331,$BE$4:$BE$99,0),6)&lt;1,1,INDEX($BE$4:$BJ$99,MATCH(BV331,$BE$4:$BE$99,0),6)),INDEX(Calculation_Tab,MATCH(BV331,Identifier,0),10)),1)*(1+Calculation!$Q$6),"-")</f>
        <v>-</v>
      </c>
      <c r="BZ331" s="378" t="str">
        <f ca="1">IFERROR((0.5/50)*CE331/Calculation!$AG$6*(IF(LEFT(BV331,4)="Pool",IF(LEN(INDEX($BE$4:$BJ$99,MATCH(BV331,$BE$4:$BE$99,0),3))=10,2,IF(LEN(INDEX($BE$4:$BJ$99,MATCH(BV331,$BE$4:$BE$99,0),3))&gt;10,LEN(INDEX($BE$4:$BJ$99,MATCH(BV331,$BE$4:$BE$99,0),3))-8,1)),IF(INDEX(Calculation_Tab,MATCH(BV331,Identifier,0),10)&gt;1,INDEX(Calculation_Tab,MATCH(BV331,Identifier,0),10),1)))*(1+Calculation!$Q$6),"-")</f>
        <v>-</v>
      </c>
      <c r="CA331" s="510" t="str">
        <f ca="1">IFERROR(IF((BZ331*Calculation!$AG$6/0.05)-SUM(BY331:BZ331,CC331)&gt;0,(BZ331*Calculation!$AG$6/0.05)-SUM(BY331:BZ331,CC331),0),"-")</f>
        <v>-</v>
      </c>
      <c r="CB331" s="510" t="str">
        <f ca="1">IFERROR(5/50*CE331*(IF(LEFT(BV331,4)="Pool",IF(LEN(INDEX($BE$4:$BJ$99,MATCH(BV331,$BE$4:$BE$99,0),3))=10,2,IF(LEN(INDEX($BE$4:$BJ$99,MATCH(BV331,$BE$4:$BE$99,0),3))&gt;10,LEN(INDEX($BE$4:$BJ$99,MATCH(BV331,$BE$4:$BE$99,0),3))-8,1)),IF(INDEX(Calculation_Tab,MATCH(BV331,Identifier,0),10)&gt;1,INDEX(Calculation_Tab,MATCH(BV331,Identifier,0),10),1)))*(1+Calculation!$Q$6),"-")</f>
        <v>-</v>
      </c>
      <c r="CC331" s="508" t="str">
        <f ca="1">IFERROR(ROUND(INDEX(Cluster,MATCH(IF(LEFT(BV331,4)="Pool",INDEX(Cluster,MATCH(INDEX(Calculation_Tab,MATCH(INDEX($BE$4:$BJ$99,MATCH(BV331,$BE$4:$BE$99,0),3),Flow_Cell_Lane,0),3),Cluster!$F$29:$F$412,0),6),BV331),Identifier_Cluster,0),20)*IF(LEFT(BV331,4)="pool",IF(LEN(INDEX($BE$4:$BJ$99,MATCH(BV331,$BE$4:$BE$99,0),3))=10,2,IF(LEN(INDEX($BE$4:$BJ$99,MATCH(BV331,$BE$4:$BE$99,0),3))&gt;10,LEN(INDEX($BE$4:$BJ$99,MATCH(BV331,$BE$4:$BE$99,0),3))-8,1)),1)*IF(LEFT(BV331,4)="pool",IF(INDEX($BE$4:$BJ$99,MATCH(BV331,$BE$4:$BE$99,0),6)&lt;1,1,INDEX($BE$4:$BJ$99,MATCH(BV331,$BE$4:$BE$99,0),6)),INDEX(Calculation_Tab,MATCH(BV331,Identifier,0),10)),1)*(1+Calculation!$Q$6),"-")</f>
        <v>-</v>
      </c>
      <c r="CD331" s="509" t="str">
        <f ca="1">IFERROR(INDEX(Cluster!AC:AD,MATCH(IF(LEFT(BV331,4)="Pool",INDEX(Cluster!$D$29:$AA$412,MATCH(INDEX(Calculation_Tab,MATCH(INDEX($BE$4:$BJ$99,MATCH(BV331,$BE$4:$BE$99,0),3),Flow_Cell_Lane,0),3),Cluster!$F$29:$F$412,0),24),INDEX(Cluster!$D$29:$AA$412,MATCH(BV331,Cluster!$F$29:$F$412,0),24)),Cluster!AC:AC,0),2),"-")</f>
        <v>-</v>
      </c>
      <c r="CE331" s="378" t="str">
        <f ca="1">IFERROR(IF(BV331&lt;&gt;"-",Calculation!$AK$6,"-"),"-")</f>
        <v>-</v>
      </c>
      <c r="CF331" s="378" t="str">
        <f ca="1">IF(OR(LEFT(ListAndConversion!BW331,3)="Dil",LEFT(ListAndConversion!BW331,3)="Poo"),ListAndConversion!$BT$4,IF(LEFT(ListAndConversion!BW331,3)="Sou",INDEX(ListAndConversion!$AT$3:$AV$387,MATCH(ListAndConversion!BV331,ListAndConversion!$AV$3:$AV$387,0),1),"-"))</f>
        <v>-</v>
      </c>
      <c r="CG331" s="498" t="str">
        <f ca="1">IF(OR(LEFT(ListAndConversion!BW331,3)="Dil",LEFT(ListAndConversion!BW331,3)="Poo"),ListAndConversion!BU331,IF(LEFT(ListAndConversion!BW331,3)="Sou",INDEX(ListAndConversion!$AT$4:$AV$387,MATCH(ListAndConversion!BV331,ListAndConversion!$AV$4:$AV$387,0),2),"-"))</f>
        <v>-</v>
      </c>
      <c r="CH331" s="378"/>
      <c r="CI331" s="487" t="str">
        <f t="shared" ca="1" si="180"/>
        <v>-</v>
      </c>
      <c r="CJ331" s="378" t="str">
        <f t="shared" ca="1" si="181"/>
        <v>-</v>
      </c>
      <c r="CK331" s="378" t="str">
        <f t="shared" ca="1" si="181"/>
        <v>-</v>
      </c>
      <c r="CL331" s="378" t="str">
        <f t="shared" ca="1" si="181"/>
        <v>-</v>
      </c>
      <c r="CM331" s="378" t="str">
        <f t="shared" ca="1" si="181"/>
        <v>-</v>
      </c>
      <c r="CN331" s="378" t="str">
        <f t="shared" ca="1" si="181"/>
        <v>-</v>
      </c>
      <c r="CO331" s="378" t="str">
        <f t="shared" ca="1" si="181"/>
        <v>-</v>
      </c>
      <c r="CP331" s="378" t="str">
        <f t="shared" ca="1" si="181"/>
        <v>-</v>
      </c>
      <c r="CQ331" s="378" t="str">
        <f t="shared" ca="1" si="181"/>
        <v>-</v>
      </c>
      <c r="CR331" s="510" t="str">
        <f ca="1">IFERROR(IF(LEFT(BW331,3)="Poo",INDEX($BE$4:$BJ$99,MATCH(CI331,$BG$4:$BG$99,0),6)*((15/50))*Calculation!$AK$6,INDEX(Calculation_Tab,MATCH(BV331,Identifier,0),10)/(IF(LEN(INDEX(Calculation_Tab,MATCH(BV331,Identifier,0),9))&gt;8,LEN(INDEX(Calculation_Tab,MATCH(BV331,Identifier,0),9))-8,1))*((15/50)*Calculation!$AK$6)),"-")</f>
        <v>-</v>
      </c>
      <c r="CS331" s="498" t="str">
        <f ca="1">IF(CI331="-","-",IF(COUNTIF($CI$3:CI331,CI331)&gt;1,0,IFERROR((35/50)*Calculation!$AK$6,"-")))</f>
        <v>-</v>
      </c>
    </row>
    <row r="332" spans="4:97" x14ac:dyDescent="0.5">
      <c r="D332" s="487" t="e">
        <f t="shared" si="165"/>
        <v>#DIV/0!</v>
      </c>
      <c r="E332" s="496" t="e">
        <f t="array" ref="E332">IF(IF((ROW(E332)-3)&lt;(ListAndConversion!$A$15),INDEX(Flow_Cell_Lane,MIN(IF(COUNTIF($E$2:E331,Flow_Cell_Lane)=0,ROW(Flow_Cell_Lane)-9))),"-")="","-",IF((ROW(E332)-3)&lt;(ListAndConversion!$A$15),INDEX(Flow_Cell_Lane,MIN(IF(COUNTIF($E$2:E331,Flow_Cell_Lane)=0,ROW(Flow_Cell_Lane)-9))),"-"))</f>
        <v>#DIV/0!</v>
      </c>
      <c r="F332" s="378" t="e">
        <f t="shared" si="166"/>
        <v>#DIV/0!</v>
      </c>
      <c r="G332" s="378" t="e">
        <f t="shared" si="167"/>
        <v>#DIV/0!</v>
      </c>
      <c r="H332" s="378" t="e">
        <f t="shared" si="167"/>
        <v>#DIV/0!</v>
      </c>
      <c r="I332" s="378" t="e">
        <f t="shared" si="167"/>
        <v>#DIV/0!</v>
      </c>
      <c r="J332" s="378" t="e">
        <f t="shared" si="167"/>
        <v>#DIV/0!</v>
      </c>
      <c r="K332" s="378" t="e">
        <f t="shared" si="167"/>
        <v>#DIV/0!</v>
      </c>
      <c r="L332" s="378" t="e">
        <f t="shared" si="167"/>
        <v>#DIV/0!</v>
      </c>
      <c r="M332" s="378" t="e">
        <f t="shared" si="167"/>
        <v>#DIV/0!</v>
      </c>
      <c r="N332" s="497" t="e">
        <f t="shared" si="168"/>
        <v>#DIV/0!</v>
      </c>
      <c r="O332" s="497" t="str">
        <f t="array" ref="O332">IFERROR(INDEX(Calculation!I:AN,MATCH(ListAndConversion!E332,Calculation!I:I,0),31),"-")</f>
        <v>-</v>
      </c>
      <c r="P332" s="498">
        <f>IF(COUNTIFS(Calculation!$I$10:$I$393,E332,Direct_Denaturation,"-")&lt;&gt;1,COUNTIFS(Calculation!$I$10:$I$393,E332,Direct_Denaturation,"-"),0)</f>
        <v>0</v>
      </c>
      <c r="V332" s="542" t="s">
        <v>82</v>
      </c>
      <c r="W332" s="542" t="s">
        <v>82</v>
      </c>
      <c r="X332" s="542" t="s">
        <v>82</v>
      </c>
      <c r="Y332" s="542" t="s">
        <v>82</v>
      </c>
      <c r="Z332" s="542" t="s">
        <v>82</v>
      </c>
      <c r="AA332" s="542" t="s">
        <v>82</v>
      </c>
      <c r="AB332" s="542" t="s">
        <v>82</v>
      </c>
      <c r="AC332" s="542" t="s">
        <v>82</v>
      </c>
      <c r="AD332" s="542" t="s">
        <v>82</v>
      </c>
      <c r="AE332" s="542" t="s">
        <v>82</v>
      </c>
      <c r="AF332" s="542" t="s">
        <v>82</v>
      </c>
      <c r="AG332" s="542" t="s">
        <v>82</v>
      </c>
      <c r="AH332" s="9"/>
      <c r="AI332" s="487">
        <v>329</v>
      </c>
      <c r="AJ332" s="497" t="s">
        <v>479</v>
      </c>
      <c r="AK332" s="378">
        <v>41</v>
      </c>
      <c r="AL332" s="378" t="str">
        <f t="shared" ca="1" si="169"/>
        <v>-</v>
      </c>
      <c r="AM332" s="378" t="str">
        <f t="array" aca="1" ref="AM332" ca="1">IFERROR(IF(AI332&lt;=$AB$2,"-",INDEX(Calculation_Tab,SMALL(ROW(Main_Dil)*(Main_Dil&lt;&gt;"-"),COUNTIF(Main_Dil,"-")+ROW()-3-$AB$2)-9,5)),"-")</f>
        <v>-</v>
      </c>
      <c r="AN332" s="378" t="str">
        <f t="array" aca="1" ref="AN332" ca="1">IFERROR(IF(AI332&lt;=$AB$2,"-",INDEX($A$3:$B$12,MATCH(INDEX(Calculation_Tab,SMALL(ROW(Main_Dil)*(Main_Dil&lt;&gt;"-"),COUNTIF(Main_Dil,"-")+ROW()-3-$AB$2)-9,5),$A$3:$A$12,0),2)),"-")</f>
        <v>-</v>
      </c>
      <c r="AO332" s="378" t="str">
        <f t="array" aca="1" ref="AO332" ca="1">IFERROR(IF(AI332&lt;=$AB$2,"-",INDEX(Coordinate,MATCH(INDEX(Calculation_Tab,SMALL(ROW(Main_Dil)*(Main_Dil&lt;&gt;"-"),COUNTIF(Main_Dil,"-")+ROW()-3-$AB$2)-9,6),$X$4:$X$99,0),2)),"-")</f>
        <v>-</v>
      </c>
      <c r="AP332" s="510" t="str">
        <f t="array" aca="1" ref="AP332" ca="1">IFERROR(IF(AI332&lt;=$AB$2,"-",INDEX(Calculation_Tab,SMALL(ROW(Main_Dil)*(Main_Dil&lt;&gt;"-"),COUNTIF(Main_Dil,"-")+ROW()-3-$AB$2)-9,21)),"-")</f>
        <v>-</v>
      </c>
      <c r="AQ332" s="511" t="str">
        <f t="array" aca="1" ref="AQ332" ca="1">IFERROR(IF(AI332&lt;=$AB$2,"-",INDEX(Calculation_Tab,SMALL(ROW(Main_Dil)*(Main_Dil&lt;&gt;"-"),COUNTIF(Main_Dil,"-")+ROW()-3-$AB$2)-9,22)),"-")</f>
        <v>-</v>
      </c>
      <c r="AR332" s="487" t="str">
        <f t="shared" ca="1" si="170"/>
        <v>-</v>
      </c>
      <c r="AS332" s="378">
        <v>329</v>
      </c>
      <c r="AT332" s="497" t="s">
        <v>479</v>
      </c>
      <c r="AU332" s="498">
        <v>41</v>
      </c>
      <c r="AV332" s="378" t="str">
        <f t="shared" ca="1" si="171"/>
        <v>-</v>
      </c>
      <c r="AW332" s="378" t="str">
        <f t="array" aca="1" ref="AW332" ca="1">IFERROR(IF(AS332&lt;=$AB$2+$AN$2,"-",INDEX(Calculation_Tab,SMALL(ROW(Direct_Denaturation)*(Direct_Denaturation&lt;&gt;"-"),COUNTIF(Direct_Denaturation,"-")+ROW()-3-$AB$2-$AN$2)-9,5)),"-")</f>
        <v>-</v>
      </c>
      <c r="AX332" s="378" t="str">
        <f t="array" aca="1" ref="AX332" ca="1">IFERROR(IF(AS332&lt;=$AB$2+$AN$2,"-",INDEX($A$3:$B$12,MATCH(INDEX(Calculation_Tab,SMALL(ROW(Direct_Denaturation)*(Direct_Denaturation&lt;&gt;"-"),COUNTIF(Direct_Denaturation,"-")+ROW()-3-$AB$2-$AN$2)-9,5),$A$3:$A$12,0),2)),"-")</f>
        <v>-</v>
      </c>
      <c r="AY332" s="378" t="str">
        <f t="array" aca="1" ref="AY332" ca="1">IFERROR(IF(AS332&lt;=$AB$2+$AN$2,"-",INDEX(Coordinate,MATCH(INDEX(Calculation_Tab,SMALL(ROW(Direct_Denaturation)*(Direct_Denaturation&lt;&gt;"-"),COUNTIF(Direct_Denaturation,"-")+ROW()-3-$AB$2-$AN$2)-9,6),$X$4:$X$99,0),2)),"-")</f>
        <v>-</v>
      </c>
      <c r="AZ332" s="510" t="str">
        <f t="array" aca="1" ref="AZ332" ca="1">IFERROR(IF(AS332&lt;=$AB$2+$AN$2,"-",INDEX(Calculation_Tab,SMALL(ROW(Direct_Denaturation)*(Direct_Denaturation&lt;&gt;"-"),COUNTIF(Direct_Denaturation,"-")+ROW()-3-$AB$2-$AN$2)-9,32)),"-")</f>
        <v>-</v>
      </c>
      <c r="BA332" s="510" t="str">
        <f t="array" aca="1" ref="BA332" ca="1">IFERROR(IF(AS332&lt;=$AB$2+$AN$2,"-",INDEX(Calculation_Tab,SMALL(ROW(Direct_Denaturation)*(Direct_Denaturation&lt;&gt;"-"),COUNTIF(Direct_Denaturation,"-")+ROW()-3-$AB$2-$AN$2)-9,34)),"-")</f>
        <v>-</v>
      </c>
      <c r="BB332" s="510" t="str">
        <f t="array" aca="1" ref="BB332" ca="1">IFERROR(IF(AS332&lt;=$AB$2+$AN$2,"-",INDEX(Calculation_Tab,SMALL(ROW(Direct_Denaturation)*(Direct_Denaturation&lt;&gt;"-"),COUNTIF(Direct_Denaturation,"-")+ROW()-3-$AB$2-$AN$2)-9,33)),"-")</f>
        <v>-</v>
      </c>
      <c r="BC332" s="510" t="str">
        <f t="array" aca="1" ref="BC332" ca="1">IFERROR(IF(AS332&lt;=$AB$2+$AN$2,"-",INDEX(Calculation_Tab,SMALL(ROW(Direct_Denaturation)*(Direct_Denaturation&lt;&gt;"-"),COUNTIF(Direct_Denaturation,"-")+ROW()-3-$AB$2-$AN$2)-9,35)),"-")</f>
        <v>-</v>
      </c>
      <c r="BD332" s="511" t="str">
        <f t="shared" ca="1" si="172"/>
        <v>-</v>
      </c>
      <c r="BK332" s="542" t="s">
        <v>82</v>
      </c>
      <c r="BL332" s="542" t="s">
        <v>82</v>
      </c>
      <c r="BM332" s="487" t="str">
        <f t="array" aca="1" ref="BM332" ca="1">IFERROR(INDEX(Calculation_Tab,SMALL(ROW(ToPool)*(ToPool&lt;&gt;"-"),COUNTIF(ToPool,"-")+ROW()-3)-9,3),"-")</f>
        <v>-</v>
      </c>
      <c r="BN332" s="378" t="str">
        <f t="shared" ca="1" si="173"/>
        <v>-</v>
      </c>
      <c r="BO332" s="378" t="str">
        <f t="shared" ca="1" si="174"/>
        <v>-</v>
      </c>
      <c r="BP332" s="523" t="str">
        <f t="shared" ca="1" si="175"/>
        <v>-</v>
      </c>
      <c r="BQ332" s="378" t="str">
        <f t="array" aca="1" ref="BQ332" ca="1">IFERROR(INDEX(BE:BG,MATCH(INDEX(Calculation_Tab,SMALL(ROW(ToPool)*(ToPool&lt;&gt;"-"),COUNTIF(ToPool,"-")+ROW()-3)-9,9),BG:BG,0),2),"-")</f>
        <v>-</v>
      </c>
      <c r="BR332" s="510" t="str">
        <f t="shared" ca="1" si="176"/>
        <v>-</v>
      </c>
      <c r="BS332" s="511" t="str">
        <f t="shared" ca="1" si="177"/>
        <v>-</v>
      </c>
      <c r="BT332" s="543" t="s">
        <v>82</v>
      </c>
      <c r="BU332" s="487" t="str">
        <f t="shared" ca="1" si="182"/>
        <v>-</v>
      </c>
      <c r="BV332" s="487" t="str">
        <f t="array" aca="1" ref="BV33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32" s="378" t="str">
        <f t="shared" ca="1" si="178"/>
        <v>-</v>
      </c>
      <c r="BX332" s="378" t="str">
        <f t="shared" ca="1" si="179"/>
        <v>-</v>
      </c>
      <c r="BY332" s="510" t="str">
        <f ca="1">IFERROR(ROUND(INDEX(Cluster,MATCH(IF(LEFT(BV332,4)="Pool",INDEX(Cluster,MATCH(INDEX(Calculation_Tab,MATCH(INDEX($BE$4:$BJ$99,MATCH(BV332,$BE$4:$BE$99,0),3),Flow_Cell_Lane,0),3),Cluster!$F$29:$F$412,0),6),BV332),Identifier_Cluster,0),19)*IF(LEFT(BV332,4)="pool",IF(LEN(INDEX($BE$4:$BJ$99,MATCH(BV332,$BE$4:$BE$99,0),3))=10,2,IF(LEN(INDEX($BE$4:$BJ$99,MATCH(BV332,$BE$4:$BE$99,0),3))&gt;10,LEN(INDEX($BE$4:$BJ$99,MATCH(BV332,$BE$4:$BE$99,0),3))-8,1)),1)*IF(LEFT(BV332,4)="pool",IF(INDEX($BE$4:$BJ$99,MATCH(BV332,$BE$4:$BE$99,0),6)&lt;1,1,INDEX($BE$4:$BJ$99,MATCH(BV332,$BE$4:$BE$99,0),6)),INDEX(Calculation_Tab,MATCH(BV332,Identifier,0),10)),1)*(1+Calculation!$Q$6),"-")</f>
        <v>-</v>
      </c>
      <c r="BZ332" s="378" t="str">
        <f ca="1">IFERROR((0.5/50)*CE332/Calculation!$AG$6*(IF(LEFT(BV332,4)="Pool",IF(LEN(INDEX($BE$4:$BJ$99,MATCH(BV332,$BE$4:$BE$99,0),3))=10,2,IF(LEN(INDEX($BE$4:$BJ$99,MATCH(BV332,$BE$4:$BE$99,0),3))&gt;10,LEN(INDEX($BE$4:$BJ$99,MATCH(BV332,$BE$4:$BE$99,0),3))-8,1)),IF(INDEX(Calculation_Tab,MATCH(BV332,Identifier,0),10)&gt;1,INDEX(Calculation_Tab,MATCH(BV332,Identifier,0),10),1)))*(1+Calculation!$Q$6),"-")</f>
        <v>-</v>
      </c>
      <c r="CA332" s="510" t="str">
        <f ca="1">IFERROR(IF((BZ332*Calculation!$AG$6/0.05)-SUM(BY332:BZ332,CC332)&gt;0,(BZ332*Calculation!$AG$6/0.05)-SUM(BY332:BZ332,CC332),0),"-")</f>
        <v>-</v>
      </c>
      <c r="CB332" s="510" t="str">
        <f ca="1">IFERROR(5/50*CE332*(IF(LEFT(BV332,4)="Pool",IF(LEN(INDEX($BE$4:$BJ$99,MATCH(BV332,$BE$4:$BE$99,0),3))=10,2,IF(LEN(INDEX($BE$4:$BJ$99,MATCH(BV332,$BE$4:$BE$99,0),3))&gt;10,LEN(INDEX($BE$4:$BJ$99,MATCH(BV332,$BE$4:$BE$99,0),3))-8,1)),IF(INDEX(Calculation_Tab,MATCH(BV332,Identifier,0),10)&gt;1,INDEX(Calculation_Tab,MATCH(BV332,Identifier,0),10),1)))*(1+Calculation!$Q$6),"-")</f>
        <v>-</v>
      </c>
      <c r="CC332" s="508" t="str">
        <f ca="1">IFERROR(ROUND(INDEX(Cluster,MATCH(IF(LEFT(BV332,4)="Pool",INDEX(Cluster,MATCH(INDEX(Calculation_Tab,MATCH(INDEX($BE$4:$BJ$99,MATCH(BV332,$BE$4:$BE$99,0),3),Flow_Cell_Lane,0),3),Cluster!$F$29:$F$412,0),6),BV332),Identifier_Cluster,0),20)*IF(LEFT(BV332,4)="pool",IF(LEN(INDEX($BE$4:$BJ$99,MATCH(BV332,$BE$4:$BE$99,0),3))=10,2,IF(LEN(INDEX($BE$4:$BJ$99,MATCH(BV332,$BE$4:$BE$99,0),3))&gt;10,LEN(INDEX($BE$4:$BJ$99,MATCH(BV332,$BE$4:$BE$99,0),3))-8,1)),1)*IF(LEFT(BV332,4)="pool",IF(INDEX($BE$4:$BJ$99,MATCH(BV332,$BE$4:$BE$99,0),6)&lt;1,1,INDEX($BE$4:$BJ$99,MATCH(BV332,$BE$4:$BE$99,0),6)),INDEX(Calculation_Tab,MATCH(BV332,Identifier,0),10)),1)*(1+Calculation!$Q$6),"-")</f>
        <v>-</v>
      </c>
      <c r="CD332" s="509" t="str">
        <f ca="1">IFERROR(INDEX(Cluster!AC:AD,MATCH(IF(LEFT(BV332,4)="Pool",INDEX(Cluster!$D$29:$AA$412,MATCH(INDEX(Calculation_Tab,MATCH(INDEX($BE$4:$BJ$99,MATCH(BV332,$BE$4:$BE$99,0),3),Flow_Cell_Lane,0),3),Cluster!$F$29:$F$412,0),24),INDEX(Cluster!$D$29:$AA$412,MATCH(BV332,Cluster!$F$29:$F$412,0),24)),Cluster!AC:AC,0),2),"-")</f>
        <v>-</v>
      </c>
      <c r="CE332" s="378" t="str">
        <f ca="1">IFERROR(IF(BV332&lt;&gt;"-",Calculation!$AK$6,"-"),"-")</f>
        <v>-</v>
      </c>
      <c r="CF332" s="378" t="str">
        <f ca="1">IF(OR(LEFT(ListAndConversion!BW332,3)="Dil",LEFT(ListAndConversion!BW332,3)="Poo"),ListAndConversion!$BT$4,IF(LEFT(ListAndConversion!BW332,3)="Sou",INDEX(ListAndConversion!$AT$3:$AV$387,MATCH(ListAndConversion!BV332,ListAndConversion!$AV$3:$AV$387,0),1),"-"))</f>
        <v>-</v>
      </c>
      <c r="CG332" s="498" t="str">
        <f ca="1">IF(OR(LEFT(ListAndConversion!BW332,3)="Dil",LEFT(ListAndConversion!BW332,3)="Poo"),ListAndConversion!BU332,IF(LEFT(ListAndConversion!BW332,3)="Sou",INDEX(ListAndConversion!$AT$4:$AV$387,MATCH(ListAndConversion!BV332,ListAndConversion!$AV$4:$AV$387,0),2),"-"))</f>
        <v>-</v>
      </c>
      <c r="CH332" s="378"/>
      <c r="CI332" s="487" t="str">
        <f t="shared" ca="1" si="180"/>
        <v>-</v>
      </c>
      <c r="CJ332" s="378" t="str">
        <f t="shared" ca="1" si="181"/>
        <v>-</v>
      </c>
      <c r="CK332" s="378" t="str">
        <f t="shared" ca="1" si="181"/>
        <v>-</v>
      </c>
      <c r="CL332" s="378" t="str">
        <f t="shared" ca="1" si="181"/>
        <v>-</v>
      </c>
      <c r="CM332" s="378" t="str">
        <f t="shared" ca="1" si="181"/>
        <v>-</v>
      </c>
      <c r="CN332" s="378" t="str">
        <f t="shared" ca="1" si="181"/>
        <v>-</v>
      </c>
      <c r="CO332" s="378" t="str">
        <f t="shared" ca="1" si="181"/>
        <v>-</v>
      </c>
      <c r="CP332" s="378" t="str">
        <f t="shared" ca="1" si="181"/>
        <v>-</v>
      </c>
      <c r="CQ332" s="378" t="str">
        <f t="shared" ca="1" si="181"/>
        <v>-</v>
      </c>
      <c r="CR332" s="510" t="str">
        <f ca="1">IFERROR(IF(LEFT(BW332,3)="Poo",INDEX($BE$4:$BJ$99,MATCH(CI332,$BG$4:$BG$99,0),6)*((15/50))*Calculation!$AK$6,INDEX(Calculation_Tab,MATCH(BV332,Identifier,0),10)/(IF(LEN(INDEX(Calculation_Tab,MATCH(BV332,Identifier,0),9))&gt;8,LEN(INDEX(Calculation_Tab,MATCH(BV332,Identifier,0),9))-8,1))*((15/50)*Calculation!$AK$6)),"-")</f>
        <v>-</v>
      </c>
      <c r="CS332" s="498" t="str">
        <f ca="1">IF(CI332="-","-",IF(COUNTIF($CI$3:CI332,CI332)&gt;1,0,IFERROR((35/50)*Calculation!$AK$6,"-")))</f>
        <v>-</v>
      </c>
    </row>
    <row r="333" spans="4:97" x14ac:dyDescent="0.5">
      <c r="D333" s="487" t="e">
        <f t="shared" si="165"/>
        <v>#DIV/0!</v>
      </c>
      <c r="E333" s="496" t="e">
        <f t="array" ref="E333">IF(IF((ROW(E333)-3)&lt;(ListAndConversion!$A$15),INDEX(Flow_Cell_Lane,MIN(IF(COUNTIF($E$2:E332,Flow_Cell_Lane)=0,ROW(Flow_Cell_Lane)-9))),"-")="","-",IF((ROW(E333)-3)&lt;(ListAndConversion!$A$15),INDEX(Flow_Cell_Lane,MIN(IF(COUNTIF($E$2:E332,Flow_Cell_Lane)=0,ROW(Flow_Cell_Lane)-9))),"-"))</f>
        <v>#DIV/0!</v>
      </c>
      <c r="F333" s="378" t="e">
        <f t="shared" si="166"/>
        <v>#DIV/0!</v>
      </c>
      <c r="G333" s="378" t="e">
        <f t="shared" ref="G333:M342" si="183">IF($D333&gt;8,IF($D333&gt;=(8+G$2),CONCATENATE(LEFT($E333,7),RIGHT(LEFT($E333,8+G$2),1)),""),"")</f>
        <v>#DIV/0!</v>
      </c>
      <c r="H333" s="378" t="e">
        <f t="shared" si="183"/>
        <v>#DIV/0!</v>
      </c>
      <c r="I333" s="378" t="e">
        <f t="shared" si="183"/>
        <v>#DIV/0!</v>
      </c>
      <c r="J333" s="378" t="e">
        <f t="shared" si="183"/>
        <v>#DIV/0!</v>
      </c>
      <c r="K333" s="378" t="e">
        <f t="shared" si="183"/>
        <v>#DIV/0!</v>
      </c>
      <c r="L333" s="378" t="e">
        <f t="shared" si="183"/>
        <v>#DIV/0!</v>
      </c>
      <c r="M333" s="378" t="e">
        <f t="shared" si="183"/>
        <v>#DIV/0!</v>
      </c>
      <c r="N333" s="497" t="e">
        <f t="shared" si="168"/>
        <v>#DIV/0!</v>
      </c>
      <c r="O333" s="497" t="str">
        <f t="array" ref="O333">IFERROR(INDEX(Calculation!I:AN,MATCH(ListAndConversion!E333,Calculation!I:I,0),31),"-")</f>
        <v>-</v>
      </c>
      <c r="P333" s="498">
        <f>IF(COUNTIFS(Calculation!$I$10:$I$393,E333,Direct_Denaturation,"-")&lt;&gt;1,COUNTIFS(Calculation!$I$10:$I$393,E333,Direct_Denaturation,"-"),0)</f>
        <v>0</v>
      </c>
      <c r="V333" s="542" t="s">
        <v>82</v>
      </c>
      <c r="W333" s="542" t="s">
        <v>82</v>
      </c>
      <c r="X333" s="542" t="s">
        <v>82</v>
      </c>
      <c r="Y333" s="542" t="s">
        <v>82</v>
      </c>
      <c r="Z333" s="542" t="s">
        <v>82</v>
      </c>
      <c r="AA333" s="542" t="s">
        <v>82</v>
      </c>
      <c r="AB333" s="542" t="s">
        <v>82</v>
      </c>
      <c r="AC333" s="542" t="s">
        <v>82</v>
      </c>
      <c r="AD333" s="542" t="s">
        <v>82</v>
      </c>
      <c r="AE333" s="542" t="s">
        <v>82</v>
      </c>
      <c r="AF333" s="542" t="s">
        <v>82</v>
      </c>
      <c r="AG333" s="542" t="s">
        <v>82</v>
      </c>
      <c r="AH333" s="9"/>
      <c r="AI333" s="487">
        <v>330</v>
      </c>
      <c r="AJ333" s="497" t="s">
        <v>479</v>
      </c>
      <c r="AK333" s="378">
        <v>42</v>
      </c>
      <c r="AL333" s="378" t="str">
        <f t="shared" ca="1" si="169"/>
        <v>-</v>
      </c>
      <c r="AM333" s="378" t="str">
        <f t="array" aca="1" ref="AM333" ca="1">IFERROR(IF(AI333&lt;=$AB$2,"-",INDEX(Calculation_Tab,SMALL(ROW(Main_Dil)*(Main_Dil&lt;&gt;"-"),COUNTIF(Main_Dil,"-")+ROW()-3-$AB$2)-9,5)),"-")</f>
        <v>-</v>
      </c>
      <c r="AN333" s="378" t="str">
        <f t="array" aca="1" ref="AN333" ca="1">IFERROR(IF(AI333&lt;=$AB$2,"-",INDEX($A$3:$B$12,MATCH(INDEX(Calculation_Tab,SMALL(ROW(Main_Dil)*(Main_Dil&lt;&gt;"-"),COUNTIF(Main_Dil,"-")+ROW()-3-$AB$2)-9,5),$A$3:$A$12,0),2)),"-")</f>
        <v>-</v>
      </c>
      <c r="AO333" s="378" t="str">
        <f t="array" aca="1" ref="AO333" ca="1">IFERROR(IF(AI333&lt;=$AB$2,"-",INDEX(Coordinate,MATCH(INDEX(Calculation_Tab,SMALL(ROW(Main_Dil)*(Main_Dil&lt;&gt;"-"),COUNTIF(Main_Dil,"-")+ROW()-3-$AB$2)-9,6),$X$4:$X$99,0),2)),"-")</f>
        <v>-</v>
      </c>
      <c r="AP333" s="510" t="str">
        <f t="array" aca="1" ref="AP333" ca="1">IFERROR(IF(AI333&lt;=$AB$2,"-",INDEX(Calculation_Tab,SMALL(ROW(Main_Dil)*(Main_Dil&lt;&gt;"-"),COUNTIF(Main_Dil,"-")+ROW()-3-$AB$2)-9,21)),"-")</f>
        <v>-</v>
      </c>
      <c r="AQ333" s="511" t="str">
        <f t="array" aca="1" ref="AQ333" ca="1">IFERROR(IF(AI333&lt;=$AB$2,"-",INDEX(Calculation_Tab,SMALL(ROW(Main_Dil)*(Main_Dil&lt;&gt;"-"),COUNTIF(Main_Dil,"-")+ROW()-3-$AB$2)-9,22)),"-")</f>
        <v>-</v>
      </c>
      <c r="AR333" s="487" t="str">
        <f t="shared" ca="1" si="170"/>
        <v>-</v>
      </c>
      <c r="AS333" s="378">
        <v>330</v>
      </c>
      <c r="AT333" s="497" t="s">
        <v>479</v>
      </c>
      <c r="AU333" s="498">
        <v>42</v>
      </c>
      <c r="AV333" s="378" t="str">
        <f t="shared" ca="1" si="171"/>
        <v>-</v>
      </c>
      <c r="AW333" s="378" t="str">
        <f t="array" aca="1" ref="AW333" ca="1">IFERROR(IF(AS333&lt;=$AB$2+$AN$2,"-",INDEX(Calculation_Tab,SMALL(ROW(Direct_Denaturation)*(Direct_Denaturation&lt;&gt;"-"),COUNTIF(Direct_Denaturation,"-")+ROW()-3-$AB$2-$AN$2)-9,5)),"-")</f>
        <v>-</v>
      </c>
      <c r="AX333" s="378" t="str">
        <f t="array" aca="1" ref="AX333" ca="1">IFERROR(IF(AS333&lt;=$AB$2+$AN$2,"-",INDEX($A$3:$B$12,MATCH(INDEX(Calculation_Tab,SMALL(ROW(Direct_Denaturation)*(Direct_Denaturation&lt;&gt;"-"),COUNTIF(Direct_Denaturation,"-")+ROW()-3-$AB$2-$AN$2)-9,5),$A$3:$A$12,0),2)),"-")</f>
        <v>-</v>
      </c>
      <c r="AY333" s="378" t="str">
        <f t="array" aca="1" ref="AY333" ca="1">IFERROR(IF(AS333&lt;=$AB$2+$AN$2,"-",INDEX(Coordinate,MATCH(INDEX(Calculation_Tab,SMALL(ROW(Direct_Denaturation)*(Direct_Denaturation&lt;&gt;"-"),COUNTIF(Direct_Denaturation,"-")+ROW()-3-$AB$2-$AN$2)-9,6),$X$4:$X$99,0),2)),"-")</f>
        <v>-</v>
      </c>
      <c r="AZ333" s="510" t="str">
        <f t="array" aca="1" ref="AZ333" ca="1">IFERROR(IF(AS333&lt;=$AB$2+$AN$2,"-",INDEX(Calculation_Tab,SMALL(ROW(Direct_Denaturation)*(Direct_Denaturation&lt;&gt;"-"),COUNTIF(Direct_Denaturation,"-")+ROW()-3-$AB$2-$AN$2)-9,32)),"-")</f>
        <v>-</v>
      </c>
      <c r="BA333" s="510" t="str">
        <f t="array" aca="1" ref="BA333" ca="1">IFERROR(IF(AS333&lt;=$AB$2+$AN$2,"-",INDEX(Calculation_Tab,SMALL(ROW(Direct_Denaturation)*(Direct_Denaturation&lt;&gt;"-"),COUNTIF(Direct_Denaturation,"-")+ROW()-3-$AB$2-$AN$2)-9,34)),"-")</f>
        <v>-</v>
      </c>
      <c r="BB333" s="510" t="str">
        <f t="array" aca="1" ref="BB333" ca="1">IFERROR(IF(AS333&lt;=$AB$2+$AN$2,"-",INDEX(Calculation_Tab,SMALL(ROW(Direct_Denaturation)*(Direct_Denaturation&lt;&gt;"-"),COUNTIF(Direct_Denaturation,"-")+ROW()-3-$AB$2-$AN$2)-9,33)),"-")</f>
        <v>-</v>
      </c>
      <c r="BC333" s="510" t="str">
        <f t="array" aca="1" ref="BC333" ca="1">IFERROR(IF(AS333&lt;=$AB$2+$AN$2,"-",INDEX(Calculation_Tab,SMALL(ROW(Direct_Denaturation)*(Direct_Denaturation&lt;&gt;"-"),COUNTIF(Direct_Denaturation,"-")+ROW()-3-$AB$2-$AN$2)-9,35)),"-")</f>
        <v>-</v>
      </c>
      <c r="BD333" s="511" t="str">
        <f t="shared" ca="1" si="172"/>
        <v>-</v>
      </c>
      <c r="BK333" s="542" t="s">
        <v>82</v>
      </c>
      <c r="BL333" s="542" t="s">
        <v>82</v>
      </c>
      <c r="BM333" s="487" t="str">
        <f t="array" aca="1" ref="BM333" ca="1">IFERROR(INDEX(Calculation_Tab,SMALL(ROW(ToPool)*(ToPool&lt;&gt;"-"),COUNTIF(ToPool,"-")+ROW()-3)-9,3),"-")</f>
        <v>-</v>
      </c>
      <c r="BN333" s="378" t="str">
        <f t="shared" ca="1" si="173"/>
        <v>-</v>
      </c>
      <c r="BO333" s="378" t="str">
        <f t="shared" ca="1" si="174"/>
        <v>-</v>
      </c>
      <c r="BP333" s="523" t="str">
        <f t="shared" ca="1" si="175"/>
        <v>-</v>
      </c>
      <c r="BQ333" s="378" t="str">
        <f t="array" aca="1" ref="BQ333" ca="1">IFERROR(INDEX(BE:BG,MATCH(INDEX(Calculation_Tab,SMALL(ROW(ToPool)*(ToPool&lt;&gt;"-"),COUNTIF(ToPool,"-")+ROW()-3)-9,9),BG:BG,0),2),"-")</f>
        <v>-</v>
      </c>
      <c r="BR333" s="510" t="str">
        <f t="shared" ca="1" si="176"/>
        <v>-</v>
      </c>
      <c r="BS333" s="511" t="str">
        <f t="shared" ca="1" si="177"/>
        <v>-</v>
      </c>
      <c r="BT333" s="543" t="s">
        <v>82</v>
      </c>
      <c r="BU333" s="487" t="str">
        <f t="shared" ca="1" si="182"/>
        <v>-</v>
      </c>
      <c r="BV333" s="487" t="str">
        <f t="array" aca="1" ref="BV33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33" s="378" t="str">
        <f t="shared" ca="1" si="178"/>
        <v>-</v>
      </c>
      <c r="BX333" s="378" t="str">
        <f t="shared" ca="1" si="179"/>
        <v>-</v>
      </c>
      <c r="BY333" s="510" t="str">
        <f ca="1">IFERROR(ROUND(INDEX(Cluster,MATCH(IF(LEFT(BV333,4)="Pool",INDEX(Cluster,MATCH(INDEX(Calculation_Tab,MATCH(INDEX($BE$4:$BJ$99,MATCH(BV333,$BE$4:$BE$99,0),3),Flow_Cell_Lane,0),3),Cluster!$F$29:$F$412,0),6),BV333),Identifier_Cluster,0),19)*IF(LEFT(BV333,4)="pool",IF(LEN(INDEX($BE$4:$BJ$99,MATCH(BV333,$BE$4:$BE$99,0),3))=10,2,IF(LEN(INDEX($BE$4:$BJ$99,MATCH(BV333,$BE$4:$BE$99,0),3))&gt;10,LEN(INDEX($BE$4:$BJ$99,MATCH(BV333,$BE$4:$BE$99,0),3))-8,1)),1)*IF(LEFT(BV333,4)="pool",IF(INDEX($BE$4:$BJ$99,MATCH(BV333,$BE$4:$BE$99,0),6)&lt;1,1,INDEX($BE$4:$BJ$99,MATCH(BV333,$BE$4:$BE$99,0),6)),INDEX(Calculation_Tab,MATCH(BV333,Identifier,0),10)),1)*(1+Calculation!$Q$6),"-")</f>
        <v>-</v>
      </c>
      <c r="BZ333" s="378" t="str">
        <f ca="1">IFERROR((0.5/50)*CE333/Calculation!$AG$6*(IF(LEFT(BV333,4)="Pool",IF(LEN(INDEX($BE$4:$BJ$99,MATCH(BV333,$BE$4:$BE$99,0),3))=10,2,IF(LEN(INDEX($BE$4:$BJ$99,MATCH(BV333,$BE$4:$BE$99,0),3))&gt;10,LEN(INDEX($BE$4:$BJ$99,MATCH(BV333,$BE$4:$BE$99,0),3))-8,1)),IF(INDEX(Calculation_Tab,MATCH(BV333,Identifier,0),10)&gt;1,INDEX(Calculation_Tab,MATCH(BV333,Identifier,0),10),1)))*(1+Calculation!$Q$6),"-")</f>
        <v>-</v>
      </c>
      <c r="CA333" s="510" t="str">
        <f ca="1">IFERROR(IF((BZ333*Calculation!$AG$6/0.05)-SUM(BY333:BZ333,CC333)&gt;0,(BZ333*Calculation!$AG$6/0.05)-SUM(BY333:BZ333,CC333),0),"-")</f>
        <v>-</v>
      </c>
      <c r="CB333" s="510" t="str">
        <f ca="1">IFERROR(5/50*CE333*(IF(LEFT(BV333,4)="Pool",IF(LEN(INDEX($BE$4:$BJ$99,MATCH(BV333,$BE$4:$BE$99,0),3))=10,2,IF(LEN(INDEX($BE$4:$BJ$99,MATCH(BV333,$BE$4:$BE$99,0),3))&gt;10,LEN(INDEX($BE$4:$BJ$99,MATCH(BV333,$BE$4:$BE$99,0),3))-8,1)),IF(INDEX(Calculation_Tab,MATCH(BV333,Identifier,0),10)&gt;1,INDEX(Calculation_Tab,MATCH(BV333,Identifier,0),10),1)))*(1+Calculation!$Q$6),"-")</f>
        <v>-</v>
      </c>
      <c r="CC333" s="508" t="str">
        <f ca="1">IFERROR(ROUND(INDEX(Cluster,MATCH(IF(LEFT(BV333,4)="Pool",INDEX(Cluster,MATCH(INDEX(Calculation_Tab,MATCH(INDEX($BE$4:$BJ$99,MATCH(BV333,$BE$4:$BE$99,0),3),Flow_Cell_Lane,0),3),Cluster!$F$29:$F$412,0),6),BV333),Identifier_Cluster,0),20)*IF(LEFT(BV333,4)="pool",IF(LEN(INDEX($BE$4:$BJ$99,MATCH(BV333,$BE$4:$BE$99,0),3))=10,2,IF(LEN(INDEX($BE$4:$BJ$99,MATCH(BV333,$BE$4:$BE$99,0),3))&gt;10,LEN(INDEX($BE$4:$BJ$99,MATCH(BV333,$BE$4:$BE$99,0),3))-8,1)),1)*IF(LEFT(BV333,4)="pool",IF(INDEX($BE$4:$BJ$99,MATCH(BV333,$BE$4:$BE$99,0),6)&lt;1,1,INDEX($BE$4:$BJ$99,MATCH(BV333,$BE$4:$BE$99,0),6)),INDEX(Calculation_Tab,MATCH(BV333,Identifier,0),10)),1)*(1+Calculation!$Q$6),"-")</f>
        <v>-</v>
      </c>
      <c r="CD333" s="509" t="str">
        <f ca="1">IFERROR(INDEX(Cluster!AC:AD,MATCH(IF(LEFT(BV333,4)="Pool",INDEX(Cluster!$D$29:$AA$412,MATCH(INDEX(Calculation_Tab,MATCH(INDEX($BE$4:$BJ$99,MATCH(BV333,$BE$4:$BE$99,0),3),Flow_Cell_Lane,0),3),Cluster!$F$29:$F$412,0),24),INDEX(Cluster!$D$29:$AA$412,MATCH(BV333,Cluster!$F$29:$F$412,0),24)),Cluster!AC:AC,0),2),"-")</f>
        <v>-</v>
      </c>
      <c r="CE333" s="378" t="str">
        <f ca="1">IFERROR(IF(BV333&lt;&gt;"-",Calculation!$AK$6,"-"),"-")</f>
        <v>-</v>
      </c>
      <c r="CF333" s="378" t="str">
        <f ca="1">IF(OR(LEFT(ListAndConversion!BW333,3)="Dil",LEFT(ListAndConversion!BW333,3)="Poo"),ListAndConversion!$BT$4,IF(LEFT(ListAndConversion!BW333,3)="Sou",INDEX(ListAndConversion!$AT$3:$AV$387,MATCH(ListAndConversion!BV333,ListAndConversion!$AV$3:$AV$387,0),1),"-"))</f>
        <v>-</v>
      </c>
      <c r="CG333" s="498" t="str">
        <f ca="1">IF(OR(LEFT(ListAndConversion!BW333,3)="Dil",LEFT(ListAndConversion!BW333,3)="Poo"),ListAndConversion!BU333,IF(LEFT(ListAndConversion!BW333,3)="Sou",INDEX(ListAndConversion!$AT$4:$AV$387,MATCH(ListAndConversion!BV333,ListAndConversion!$AV$4:$AV$387,0),2),"-"))</f>
        <v>-</v>
      </c>
      <c r="CH333" s="378"/>
      <c r="CI333" s="487" t="str">
        <f t="shared" ca="1" si="180"/>
        <v>-</v>
      </c>
      <c r="CJ333" s="378" t="str">
        <f t="shared" ca="1" si="181"/>
        <v>-</v>
      </c>
      <c r="CK333" s="378" t="str">
        <f t="shared" ca="1" si="181"/>
        <v>-</v>
      </c>
      <c r="CL333" s="378" t="str">
        <f t="shared" ca="1" si="181"/>
        <v>-</v>
      </c>
      <c r="CM333" s="378" t="str">
        <f t="shared" ca="1" si="181"/>
        <v>-</v>
      </c>
      <c r="CN333" s="378" t="str">
        <f t="shared" ca="1" si="181"/>
        <v>-</v>
      </c>
      <c r="CO333" s="378" t="str">
        <f t="shared" ca="1" si="181"/>
        <v>-</v>
      </c>
      <c r="CP333" s="378" t="str">
        <f t="shared" ca="1" si="181"/>
        <v>-</v>
      </c>
      <c r="CQ333" s="378" t="str">
        <f t="shared" ca="1" si="181"/>
        <v>-</v>
      </c>
      <c r="CR333" s="510" t="str">
        <f ca="1">IFERROR(IF(LEFT(BW333,3)="Poo",INDEX($BE$4:$BJ$99,MATCH(CI333,$BG$4:$BG$99,0),6)*((15/50))*Calculation!$AK$6,INDEX(Calculation_Tab,MATCH(BV333,Identifier,0),10)/(IF(LEN(INDEX(Calculation_Tab,MATCH(BV333,Identifier,0),9))&gt;8,LEN(INDEX(Calculation_Tab,MATCH(BV333,Identifier,0),9))-8,1))*((15/50)*Calculation!$AK$6)),"-")</f>
        <v>-</v>
      </c>
      <c r="CS333" s="498" t="str">
        <f ca="1">IF(CI333="-","-",IF(COUNTIF($CI$3:CI333,CI333)&gt;1,0,IFERROR((35/50)*Calculation!$AK$6,"-")))</f>
        <v>-</v>
      </c>
    </row>
    <row r="334" spans="4:97" x14ac:dyDescent="0.5">
      <c r="D334" s="487" t="e">
        <f t="shared" si="165"/>
        <v>#DIV/0!</v>
      </c>
      <c r="E334" s="496" t="e">
        <f t="array" ref="E334">IF(IF((ROW(E334)-3)&lt;(ListAndConversion!$A$15),INDEX(Flow_Cell_Lane,MIN(IF(COUNTIF($E$2:E333,Flow_Cell_Lane)=0,ROW(Flow_Cell_Lane)-9))),"-")="","-",IF((ROW(E334)-3)&lt;(ListAndConversion!$A$15),INDEX(Flow_Cell_Lane,MIN(IF(COUNTIF($E$2:E333,Flow_Cell_Lane)=0,ROW(Flow_Cell_Lane)-9))),"-"))</f>
        <v>#DIV/0!</v>
      </c>
      <c r="F334" s="378" t="e">
        <f t="shared" si="166"/>
        <v>#DIV/0!</v>
      </c>
      <c r="G334" s="378" t="e">
        <f t="shared" si="183"/>
        <v>#DIV/0!</v>
      </c>
      <c r="H334" s="378" t="e">
        <f t="shared" si="183"/>
        <v>#DIV/0!</v>
      </c>
      <c r="I334" s="378" t="e">
        <f t="shared" si="183"/>
        <v>#DIV/0!</v>
      </c>
      <c r="J334" s="378" t="e">
        <f t="shared" si="183"/>
        <v>#DIV/0!</v>
      </c>
      <c r="K334" s="378" t="e">
        <f t="shared" si="183"/>
        <v>#DIV/0!</v>
      </c>
      <c r="L334" s="378" t="e">
        <f t="shared" si="183"/>
        <v>#DIV/0!</v>
      </c>
      <c r="M334" s="378" t="e">
        <f t="shared" si="183"/>
        <v>#DIV/0!</v>
      </c>
      <c r="N334" s="497" t="e">
        <f t="shared" si="168"/>
        <v>#DIV/0!</v>
      </c>
      <c r="O334" s="497" t="str">
        <f t="array" ref="O334">IFERROR(INDEX(Calculation!I:AN,MATCH(ListAndConversion!E334,Calculation!I:I,0),31),"-")</f>
        <v>-</v>
      </c>
      <c r="P334" s="498">
        <f>IF(COUNTIFS(Calculation!$I$10:$I$393,E334,Direct_Denaturation,"-")&lt;&gt;1,COUNTIFS(Calculation!$I$10:$I$393,E334,Direct_Denaturation,"-"),0)</f>
        <v>0</v>
      </c>
      <c r="V334" s="542" t="s">
        <v>82</v>
      </c>
      <c r="W334" s="542" t="s">
        <v>82</v>
      </c>
      <c r="X334" s="542" t="s">
        <v>82</v>
      </c>
      <c r="Y334" s="542" t="s">
        <v>82</v>
      </c>
      <c r="Z334" s="542" t="s">
        <v>82</v>
      </c>
      <c r="AA334" s="542" t="s">
        <v>82</v>
      </c>
      <c r="AB334" s="542" t="s">
        <v>82</v>
      </c>
      <c r="AC334" s="542" t="s">
        <v>82</v>
      </c>
      <c r="AD334" s="542" t="s">
        <v>82</v>
      </c>
      <c r="AE334" s="542" t="s">
        <v>82</v>
      </c>
      <c r="AF334" s="542" t="s">
        <v>82</v>
      </c>
      <c r="AG334" s="542" t="s">
        <v>82</v>
      </c>
      <c r="AH334" s="9"/>
      <c r="AI334" s="487">
        <v>331</v>
      </c>
      <c r="AJ334" s="497" t="s">
        <v>479</v>
      </c>
      <c r="AK334" s="378">
        <v>43</v>
      </c>
      <c r="AL334" s="378" t="str">
        <f t="shared" ca="1" si="169"/>
        <v>-</v>
      </c>
      <c r="AM334" s="378" t="str">
        <f t="array" aca="1" ref="AM334" ca="1">IFERROR(IF(AI334&lt;=$AB$2,"-",INDEX(Calculation_Tab,SMALL(ROW(Main_Dil)*(Main_Dil&lt;&gt;"-"),COUNTIF(Main_Dil,"-")+ROW()-3-$AB$2)-9,5)),"-")</f>
        <v>-</v>
      </c>
      <c r="AN334" s="378" t="str">
        <f t="array" aca="1" ref="AN334" ca="1">IFERROR(IF(AI334&lt;=$AB$2,"-",INDEX($A$3:$B$12,MATCH(INDEX(Calculation_Tab,SMALL(ROW(Main_Dil)*(Main_Dil&lt;&gt;"-"),COUNTIF(Main_Dil,"-")+ROW()-3-$AB$2)-9,5),$A$3:$A$12,0),2)),"-")</f>
        <v>-</v>
      </c>
      <c r="AO334" s="378" t="str">
        <f t="array" aca="1" ref="AO334" ca="1">IFERROR(IF(AI334&lt;=$AB$2,"-",INDEX(Coordinate,MATCH(INDEX(Calculation_Tab,SMALL(ROW(Main_Dil)*(Main_Dil&lt;&gt;"-"),COUNTIF(Main_Dil,"-")+ROW()-3-$AB$2)-9,6),$X$4:$X$99,0),2)),"-")</f>
        <v>-</v>
      </c>
      <c r="AP334" s="510" t="str">
        <f t="array" aca="1" ref="AP334" ca="1">IFERROR(IF(AI334&lt;=$AB$2,"-",INDEX(Calculation_Tab,SMALL(ROW(Main_Dil)*(Main_Dil&lt;&gt;"-"),COUNTIF(Main_Dil,"-")+ROW()-3-$AB$2)-9,21)),"-")</f>
        <v>-</v>
      </c>
      <c r="AQ334" s="511" t="str">
        <f t="array" aca="1" ref="AQ334" ca="1">IFERROR(IF(AI334&lt;=$AB$2,"-",INDEX(Calculation_Tab,SMALL(ROW(Main_Dil)*(Main_Dil&lt;&gt;"-"),COUNTIF(Main_Dil,"-")+ROW()-3-$AB$2)-9,22)),"-")</f>
        <v>-</v>
      </c>
      <c r="AR334" s="487" t="str">
        <f t="shared" ca="1" si="170"/>
        <v>-</v>
      </c>
      <c r="AS334" s="378">
        <v>331</v>
      </c>
      <c r="AT334" s="497" t="s">
        <v>479</v>
      </c>
      <c r="AU334" s="498">
        <v>43</v>
      </c>
      <c r="AV334" s="378" t="str">
        <f t="shared" ca="1" si="171"/>
        <v>-</v>
      </c>
      <c r="AW334" s="378" t="str">
        <f t="array" aca="1" ref="AW334" ca="1">IFERROR(IF(AS334&lt;=$AB$2+$AN$2,"-",INDEX(Calculation_Tab,SMALL(ROW(Direct_Denaturation)*(Direct_Denaturation&lt;&gt;"-"),COUNTIF(Direct_Denaturation,"-")+ROW()-3-$AB$2-$AN$2)-9,5)),"-")</f>
        <v>-</v>
      </c>
      <c r="AX334" s="378" t="str">
        <f t="array" aca="1" ref="AX334" ca="1">IFERROR(IF(AS334&lt;=$AB$2+$AN$2,"-",INDEX($A$3:$B$12,MATCH(INDEX(Calculation_Tab,SMALL(ROW(Direct_Denaturation)*(Direct_Denaturation&lt;&gt;"-"),COUNTIF(Direct_Denaturation,"-")+ROW()-3-$AB$2-$AN$2)-9,5),$A$3:$A$12,0),2)),"-")</f>
        <v>-</v>
      </c>
      <c r="AY334" s="378" t="str">
        <f t="array" aca="1" ref="AY334" ca="1">IFERROR(IF(AS334&lt;=$AB$2+$AN$2,"-",INDEX(Coordinate,MATCH(INDEX(Calculation_Tab,SMALL(ROW(Direct_Denaturation)*(Direct_Denaturation&lt;&gt;"-"),COUNTIF(Direct_Denaturation,"-")+ROW()-3-$AB$2-$AN$2)-9,6),$X$4:$X$99,0),2)),"-")</f>
        <v>-</v>
      </c>
      <c r="AZ334" s="510" t="str">
        <f t="array" aca="1" ref="AZ334" ca="1">IFERROR(IF(AS334&lt;=$AB$2+$AN$2,"-",INDEX(Calculation_Tab,SMALL(ROW(Direct_Denaturation)*(Direct_Denaturation&lt;&gt;"-"),COUNTIF(Direct_Denaturation,"-")+ROW()-3-$AB$2-$AN$2)-9,32)),"-")</f>
        <v>-</v>
      </c>
      <c r="BA334" s="510" t="str">
        <f t="array" aca="1" ref="BA334" ca="1">IFERROR(IF(AS334&lt;=$AB$2+$AN$2,"-",INDEX(Calculation_Tab,SMALL(ROW(Direct_Denaturation)*(Direct_Denaturation&lt;&gt;"-"),COUNTIF(Direct_Denaturation,"-")+ROW()-3-$AB$2-$AN$2)-9,34)),"-")</f>
        <v>-</v>
      </c>
      <c r="BB334" s="510" t="str">
        <f t="array" aca="1" ref="BB334" ca="1">IFERROR(IF(AS334&lt;=$AB$2+$AN$2,"-",INDEX(Calculation_Tab,SMALL(ROW(Direct_Denaturation)*(Direct_Denaturation&lt;&gt;"-"),COUNTIF(Direct_Denaturation,"-")+ROW()-3-$AB$2-$AN$2)-9,33)),"-")</f>
        <v>-</v>
      </c>
      <c r="BC334" s="510" t="str">
        <f t="array" aca="1" ref="BC334" ca="1">IFERROR(IF(AS334&lt;=$AB$2+$AN$2,"-",INDEX(Calculation_Tab,SMALL(ROW(Direct_Denaturation)*(Direct_Denaturation&lt;&gt;"-"),COUNTIF(Direct_Denaturation,"-")+ROW()-3-$AB$2-$AN$2)-9,35)),"-")</f>
        <v>-</v>
      </c>
      <c r="BD334" s="511" t="str">
        <f t="shared" ca="1" si="172"/>
        <v>-</v>
      </c>
      <c r="BK334" s="542" t="s">
        <v>82</v>
      </c>
      <c r="BL334" s="542" t="s">
        <v>82</v>
      </c>
      <c r="BM334" s="487" t="str">
        <f t="array" aca="1" ref="BM334" ca="1">IFERROR(INDEX(Calculation_Tab,SMALL(ROW(ToPool)*(ToPool&lt;&gt;"-"),COUNTIF(ToPool,"-")+ROW()-3)-9,3),"-")</f>
        <v>-</v>
      </c>
      <c r="BN334" s="378" t="str">
        <f t="shared" ca="1" si="173"/>
        <v>-</v>
      </c>
      <c r="BO334" s="378" t="str">
        <f t="shared" ca="1" si="174"/>
        <v>-</v>
      </c>
      <c r="BP334" s="523" t="str">
        <f t="shared" ca="1" si="175"/>
        <v>-</v>
      </c>
      <c r="BQ334" s="378" t="str">
        <f t="array" aca="1" ref="BQ334" ca="1">IFERROR(INDEX(BE:BG,MATCH(INDEX(Calculation_Tab,SMALL(ROW(ToPool)*(ToPool&lt;&gt;"-"),COUNTIF(ToPool,"-")+ROW()-3)-9,9),BG:BG,0),2),"-")</f>
        <v>-</v>
      </c>
      <c r="BR334" s="510" t="str">
        <f t="shared" ca="1" si="176"/>
        <v>-</v>
      </c>
      <c r="BS334" s="511" t="str">
        <f t="shared" ca="1" si="177"/>
        <v>-</v>
      </c>
      <c r="BT334" s="543" t="s">
        <v>82</v>
      </c>
      <c r="BU334" s="487" t="str">
        <f t="shared" ca="1" si="182"/>
        <v>-</v>
      </c>
      <c r="BV334" s="487" t="str">
        <f t="array" aca="1" ref="BV33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34" s="378" t="str">
        <f t="shared" ca="1" si="178"/>
        <v>-</v>
      </c>
      <c r="BX334" s="378" t="str">
        <f t="shared" ca="1" si="179"/>
        <v>-</v>
      </c>
      <c r="BY334" s="510" t="str">
        <f ca="1">IFERROR(ROUND(INDEX(Cluster,MATCH(IF(LEFT(BV334,4)="Pool",INDEX(Cluster,MATCH(INDEX(Calculation_Tab,MATCH(INDEX($BE$4:$BJ$99,MATCH(BV334,$BE$4:$BE$99,0),3),Flow_Cell_Lane,0),3),Cluster!$F$29:$F$412,0),6),BV334),Identifier_Cluster,0),19)*IF(LEFT(BV334,4)="pool",IF(LEN(INDEX($BE$4:$BJ$99,MATCH(BV334,$BE$4:$BE$99,0),3))=10,2,IF(LEN(INDEX($BE$4:$BJ$99,MATCH(BV334,$BE$4:$BE$99,0),3))&gt;10,LEN(INDEX($BE$4:$BJ$99,MATCH(BV334,$BE$4:$BE$99,0),3))-8,1)),1)*IF(LEFT(BV334,4)="pool",IF(INDEX($BE$4:$BJ$99,MATCH(BV334,$BE$4:$BE$99,0),6)&lt;1,1,INDEX($BE$4:$BJ$99,MATCH(BV334,$BE$4:$BE$99,0),6)),INDEX(Calculation_Tab,MATCH(BV334,Identifier,0),10)),1)*(1+Calculation!$Q$6),"-")</f>
        <v>-</v>
      </c>
      <c r="BZ334" s="378" t="str">
        <f ca="1">IFERROR((0.5/50)*CE334/Calculation!$AG$6*(IF(LEFT(BV334,4)="Pool",IF(LEN(INDEX($BE$4:$BJ$99,MATCH(BV334,$BE$4:$BE$99,0),3))=10,2,IF(LEN(INDEX($BE$4:$BJ$99,MATCH(BV334,$BE$4:$BE$99,0),3))&gt;10,LEN(INDEX($BE$4:$BJ$99,MATCH(BV334,$BE$4:$BE$99,0),3))-8,1)),IF(INDEX(Calculation_Tab,MATCH(BV334,Identifier,0),10)&gt;1,INDEX(Calculation_Tab,MATCH(BV334,Identifier,0),10),1)))*(1+Calculation!$Q$6),"-")</f>
        <v>-</v>
      </c>
      <c r="CA334" s="510" t="str">
        <f ca="1">IFERROR(IF((BZ334*Calculation!$AG$6/0.05)-SUM(BY334:BZ334,CC334)&gt;0,(BZ334*Calculation!$AG$6/0.05)-SUM(BY334:BZ334,CC334),0),"-")</f>
        <v>-</v>
      </c>
      <c r="CB334" s="510" t="str">
        <f ca="1">IFERROR(5/50*CE334*(IF(LEFT(BV334,4)="Pool",IF(LEN(INDEX($BE$4:$BJ$99,MATCH(BV334,$BE$4:$BE$99,0),3))=10,2,IF(LEN(INDEX($BE$4:$BJ$99,MATCH(BV334,$BE$4:$BE$99,0),3))&gt;10,LEN(INDEX($BE$4:$BJ$99,MATCH(BV334,$BE$4:$BE$99,0),3))-8,1)),IF(INDEX(Calculation_Tab,MATCH(BV334,Identifier,0),10)&gt;1,INDEX(Calculation_Tab,MATCH(BV334,Identifier,0),10),1)))*(1+Calculation!$Q$6),"-")</f>
        <v>-</v>
      </c>
      <c r="CC334" s="508" t="str">
        <f ca="1">IFERROR(ROUND(INDEX(Cluster,MATCH(IF(LEFT(BV334,4)="Pool",INDEX(Cluster,MATCH(INDEX(Calculation_Tab,MATCH(INDEX($BE$4:$BJ$99,MATCH(BV334,$BE$4:$BE$99,0),3),Flow_Cell_Lane,0),3),Cluster!$F$29:$F$412,0),6),BV334),Identifier_Cluster,0),20)*IF(LEFT(BV334,4)="pool",IF(LEN(INDEX($BE$4:$BJ$99,MATCH(BV334,$BE$4:$BE$99,0),3))=10,2,IF(LEN(INDEX($BE$4:$BJ$99,MATCH(BV334,$BE$4:$BE$99,0),3))&gt;10,LEN(INDEX($BE$4:$BJ$99,MATCH(BV334,$BE$4:$BE$99,0),3))-8,1)),1)*IF(LEFT(BV334,4)="pool",IF(INDEX($BE$4:$BJ$99,MATCH(BV334,$BE$4:$BE$99,0),6)&lt;1,1,INDEX($BE$4:$BJ$99,MATCH(BV334,$BE$4:$BE$99,0),6)),INDEX(Calculation_Tab,MATCH(BV334,Identifier,0),10)),1)*(1+Calculation!$Q$6),"-")</f>
        <v>-</v>
      </c>
      <c r="CD334" s="509" t="str">
        <f ca="1">IFERROR(INDEX(Cluster!AC:AD,MATCH(IF(LEFT(BV334,4)="Pool",INDEX(Cluster!$D$29:$AA$412,MATCH(INDEX(Calculation_Tab,MATCH(INDEX($BE$4:$BJ$99,MATCH(BV334,$BE$4:$BE$99,0),3),Flow_Cell_Lane,0),3),Cluster!$F$29:$F$412,0),24),INDEX(Cluster!$D$29:$AA$412,MATCH(BV334,Cluster!$F$29:$F$412,0),24)),Cluster!AC:AC,0),2),"-")</f>
        <v>-</v>
      </c>
      <c r="CE334" s="378" t="str">
        <f ca="1">IFERROR(IF(BV334&lt;&gt;"-",Calculation!$AK$6,"-"),"-")</f>
        <v>-</v>
      </c>
      <c r="CF334" s="378" t="str">
        <f ca="1">IF(OR(LEFT(ListAndConversion!BW334,3)="Dil",LEFT(ListAndConversion!BW334,3)="Poo"),ListAndConversion!$BT$4,IF(LEFT(ListAndConversion!BW334,3)="Sou",INDEX(ListAndConversion!$AT$3:$AV$387,MATCH(ListAndConversion!BV334,ListAndConversion!$AV$3:$AV$387,0),1),"-"))</f>
        <v>-</v>
      </c>
      <c r="CG334" s="498" t="str">
        <f ca="1">IF(OR(LEFT(ListAndConversion!BW334,3)="Dil",LEFT(ListAndConversion!BW334,3)="Poo"),ListAndConversion!BU334,IF(LEFT(ListAndConversion!BW334,3)="Sou",INDEX(ListAndConversion!$AT$4:$AV$387,MATCH(ListAndConversion!BV334,ListAndConversion!$AV$4:$AV$387,0),2),"-"))</f>
        <v>-</v>
      </c>
      <c r="CH334" s="378"/>
      <c r="CI334" s="487" t="str">
        <f t="shared" ca="1" si="180"/>
        <v>-</v>
      </c>
      <c r="CJ334" s="378" t="str">
        <f t="shared" ref="CJ334:CQ343" ca="1" si="184">IFERROR(INDEX($R$3:$U$98,MATCH(INDEX($F$3:$M$387,MATCH($CI334,$E$3:$E$386,0),CJ$3),$S$3:$S$98,0),4),"-")</f>
        <v>-</v>
      </c>
      <c r="CK334" s="378" t="str">
        <f t="shared" ca="1" si="184"/>
        <v>-</v>
      </c>
      <c r="CL334" s="378" t="str">
        <f t="shared" ca="1" si="184"/>
        <v>-</v>
      </c>
      <c r="CM334" s="378" t="str">
        <f t="shared" ca="1" si="184"/>
        <v>-</v>
      </c>
      <c r="CN334" s="378" t="str">
        <f t="shared" ca="1" si="184"/>
        <v>-</v>
      </c>
      <c r="CO334" s="378" t="str">
        <f t="shared" ca="1" si="184"/>
        <v>-</v>
      </c>
      <c r="CP334" s="378" t="str">
        <f t="shared" ca="1" si="184"/>
        <v>-</v>
      </c>
      <c r="CQ334" s="378" t="str">
        <f t="shared" ca="1" si="184"/>
        <v>-</v>
      </c>
      <c r="CR334" s="510" t="str">
        <f ca="1">IFERROR(IF(LEFT(BW334,3)="Poo",INDEX($BE$4:$BJ$99,MATCH(CI334,$BG$4:$BG$99,0),6)*((15/50))*Calculation!$AK$6,INDEX(Calculation_Tab,MATCH(BV334,Identifier,0),10)/(IF(LEN(INDEX(Calculation_Tab,MATCH(BV334,Identifier,0),9))&gt;8,LEN(INDEX(Calculation_Tab,MATCH(BV334,Identifier,0),9))-8,1))*((15/50)*Calculation!$AK$6)),"-")</f>
        <v>-</v>
      </c>
      <c r="CS334" s="498" t="str">
        <f ca="1">IF(CI334="-","-",IF(COUNTIF($CI$3:CI334,CI334)&gt;1,0,IFERROR((35/50)*Calculation!$AK$6,"-")))</f>
        <v>-</v>
      </c>
    </row>
    <row r="335" spans="4:97" x14ac:dyDescent="0.5">
      <c r="D335" s="487" t="e">
        <f t="shared" si="165"/>
        <v>#DIV/0!</v>
      </c>
      <c r="E335" s="496" t="e">
        <f t="array" ref="E335">IF(IF((ROW(E335)-3)&lt;(ListAndConversion!$A$15),INDEX(Flow_Cell_Lane,MIN(IF(COUNTIF($E$2:E334,Flow_Cell_Lane)=0,ROW(Flow_Cell_Lane)-9))),"-")="","-",IF((ROW(E335)-3)&lt;(ListAndConversion!$A$15),INDEX(Flow_Cell_Lane,MIN(IF(COUNTIF($E$2:E334,Flow_Cell_Lane)=0,ROW(Flow_Cell_Lane)-9))),"-"))</f>
        <v>#DIV/0!</v>
      </c>
      <c r="F335" s="378" t="e">
        <f t="shared" si="166"/>
        <v>#DIV/0!</v>
      </c>
      <c r="G335" s="378" t="e">
        <f t="shared" si="183"/>
        <v>#DIV/0!</v>
      </c>
      <c r="H335" s="378" t="e">
        <f t="shared" si="183"/>
        <v>#DIV/0!</v>
      </c>
      <c r="I335" s="378" t="e">
        <f t="shared" si="183"/>
        <v>#DIV/0!</v>
      </c>
      <c r="J335" s="378" t="e">
        <f t="shared" si="183"/>
        <v>#DIV/0!</v>
      </c>
      <c r="K335" s="378" t="e">
        <f t="shared" si="183"/>
        <v>#DIV/0!</v>
      </c>
      <c r="L335" s="378" t="e">
        <f t="shared" si="183"/>
        <v>#DIV/0!</v>
      </c>
      <c r="M335" s="378" t="e">
        <f t="shared" si="183"/>
        <v>#DIV/0!</v>
      </c>
      <c r="N335" s="497" t="e">
        <f t="shared" si="168"/>
        <v>#DIV/0!</v>
      </c>
      <c r="O335" s="497" t="str">
        <f t="array" ref="O335">IFERROR(INDEX(Calculation!I:AN,MATCH(ListAndConversion!E335,Calculation!I:I,0),31),"-")</f>
        <v>-</v>
      </c>
      <c r="P335" s="498">
        <f>IF(COUNTIFS(Calculation!$I$10:$I$393,E335,Direct_Denaturation,"-")&lt;&gt;1,COUNTIFS(Calculation!$I$10:$I$393,E335,Direct_Denaturation,"-"),0)</f>
        <v>0</v>
      </c>
      <c r="V335" s="542" t="s">
        <v>82</v>
      </c>
      <c r="W335" s="542" t="s">
        <v>82</v>
      </c>
      <c r="X335" s="542" t="s">
        <v>82</v>
      </c>
      <c r="Y335" s="542" t="s">
        <v>82</v>
      </c>
      <c r="Z335" s="542" t="s">
        <v>82</v>
      </c>
      <c r="AA335" s="542" t="s">
        <v>82</v>
      </c>
      <c r="AB335" s="542" t="s">
        <v>82</v>
      </c>
      <c r="AC335" s="542" t="s">
        <v>82</v>
      </c>
      <c r="AD335" s="542" t="s">
        <v>82</v>
      </c>
      <c r="AE335" s="542" t="s">
        <v>82</v>
      </c>
      <c r="AF335" s="542" t="s">
        <v>82</v>
      </c>
      <c r="AG335" s="542" t="s">
        <v>82</v>
      </c>
      <c r="AH335" s="9"/>
      <c r="AI335" s="487">
        <v>332</v>
      </c>
      <c r="AJ335" s="497" t="s">
        <v>479</v>
      </c>
      <c r="AK335" s="378">
        <v>44</v>
      </c>
      <c r="AL335" s="378" t="str">
        <f t="shared" ca="1" si="169"/>
        <v>-</v>
      </c>
      <c r="AM335" s="378" t="str">
        <f t="array" aca="1" ref="AM335" ca="1">IFERROR(IF(AI335&lt;=$AB$2,"-",INDEX(Calculation_Tab,SMALL(ROW(Main_Dil)*(Main_Dil&lt;&gt;"-"),COUNTIF(Main_Dil,"-")+ROW()-3-$AB$2)-9,5)),"-")</f>
        <v>-</v>
      </c>
      <c r="AN335" s="378" t="str">
        <f t="array" aca="1" ref="AN335" ca="1">IFERROR(IF(AI335&lt;=$AB$2,"-",INDEX($A$3:$B$12,MATCH(INDEX(Calculation_Tab,SMALL(ROW(Main_Dil)*(Main_Dil&lt;&gt;"-"),COUNTIF(Main_Dil,"-")+ROW()-3-$AB$2)-9,5),$A$3:$A$12,0),2)),"-")</f>
        <v>-</v>
      </c>
      <c r="AO335" s="378" t="str">
        <f t="array" aca="1" ref="AO335" ca="1">IFERROR(IF(AI335&lt;=$AB$2,"-",INDEX(Coordinate,MATCH(INDEX(Calculation_Tab,SMALL(ROW(Main_Dil)*(Main_Dil&lt;&gt;"-"),COUNTIF(Main_Dil,"-")+ROW()-3-$AB$2)-9,6),$X$4:$X$99,0),2)),"-")</f>
        <v>-</v>
      </c>
      <c r="AP335" s="510" t="str">
        <f t="array" aca="1" ref="AP335" ca="1">IFERROR(IF(AI335&lt;=$AB$2,"-",INDEX(Calculation_Tab,SMALL(ROW(Main_Dil)*(Main_Dil&lt;&gt;"-"),COUNTIF(Main_Dil,"-")+ROW()-3-$AB$2)-9,21)),"-")</f>
        <v>-</v>
      </c>
      <c r="AQ335" s="511" t="str">
        <f t="array" aca="1" ref="AQ335" ca="1">IFERROR(IF(AI335&lt;=$AB$2,"-",INDEX(Calculation_Tab,SMALL(ROW(Main_Dil)*(Main_Dil&lt;&gt;"-"),COUNTIF(Main_Dil,"-")+ROW()-3-$AB$2)-9,22)),"-")</f>
        <v>-</v>
      </c>
      <c r="AR335" s="487" t="str">
        <f t="shared" ca="1" si="170"/>
        <v>-</v>
      </c>
      <c r="AS335" s="378">
        <v>332</v>
      </c>
      <c r="AT335" s="497" t="s">
        <v>479</v>
      </c>
      <c r="AU335" s="498">
        <v>44</v>
      </c>
      <c r="AV335" s="378" t="str">
        <f t="shared" ca="1" si="171"/>
        <v>-</v>
      </c>
      <c r="AW335" s="378" t="str">
        <f t="array" aca="1" ref="AW335" ca="1">IFERROR(IF(AS335&lt;=$AB$2+$AN$2,"-",INDEX(Calculation_Tab,SMALL(ROW(Direct_Denaturation)*(Direct_Denaturation&lt;&gt;"-"),COUNTIF(Direct_Denaturation,"-")+ROW()-3-$AB$2-$AN$2)-9,5)),"-")</f>
        <v>-</v>
      </c>
      <c r="AX335" s="378" t="str">
        <f t="array" aca="1" ref="AX335" ca="1">IFERROR(IF(AS335&lt;=$AB$2+$AN$2,"-",INDEX($A$3:$B$12,MATCH(INDEX(Calculation_Tab,SMALL(ROW(Direct_Denaturation)*(Direct_Denaturation&lt;&gt;"-"),COUNTIF(Direct_Denaturation,"-")+ROW()-3-$AB$2-$AN$2)-9,5),$A$3:$A$12,0),2)),"-")</f>
        <v>-</v>
      </c>
      <c r="AY335" s="378" t="str">
        <f t="array" aca="1" ref="AY335" ca="1">IFERROR(IF(AS335&lt;=$AB$2+$AN$2,"-",INDEX(Coordinate,MATCH(INDEX(Calculation_Tab,SMALL(ROW(Direct_Denaturation)*(Direct_Denaturation&lt;&gt;"-"),COUNTIF(Direct_Denaturation,"-")+ROW()-3-$AB$2-$AN$2)-9,6),$X$4:$X$99,0),2)),"-")</f>
        <v>-</v>
      </c>
      <c r="AZ335" s="510" t="str">
        <f t="array" aca="1" ref="AZ335" ca="1">IFERROR(IF(AS335&lt;=$AB$2+$AN$2,"-",INDEX(Calculation_Tab,SMALL(ROW(Direct_Denaturation)*(Direct_Denaturation&lt;&gt;"-"),COUNTIF(Direct_Denaturation,"-")+ROW()-3-$AB$2-$AN$2)-9,32)),"-")</f>
        <v>-</v>
      </c>
      <c r="BA335" s="510" t="str">
        <f t="array" aca="1" ref="BA335" ca="1">IFERROR(IF(AS335&lt;=$AB$2+$AN$2,"-",INDEX(Calculation_Tab,SMALL(ROW(Direct_Denaturation)*(Direct_Denaturation&lt;&gt;"-"),COUNTIF(Direct_Denaturation,"-")+ROW()-3-$AB$2-$AN$2)-9,34)),"-")</f>
        <v>-</v>
      </c>
      <c r="BB335" s="510" t="str">
        <f t="array" aca="1" ref="BB335" ca="1">IFERROR(IF(AS335&lt;=$AB$2+$AN$2,"-",INDEX(Calculation_Tab,SMALL(ROW(Direct_Denaturation)*(Direct_Denaturation&lt;&gt;"-"),COUNTIF(Direct_Denaturation,"-")+ROW()-3-$AB$2-$AN$2)-9,33)),"-")</f>
        <v>-</v>
      </c>
      <c r="BC335" s="510" t="str">
        <f t="array" aca="1" ref="BC335" ca="1">IFERROR(IF(AS335&lt;=$AB$2+$AN$2,"-",INDEX(Calculation_Tab,SMALL(ROW(Direct_Denaturation)*(Direct_Denaturation&lt;&gt;"-"),COUNTIF(Direct_Denaturation,"-")+ROW()-3-$AB$2-$AN$2)-9,35)),"-")</f>
        <v>-</v>
      </c>
      <c r="BD335" s="511" t="str">
        <f t="shared" ca="1" si="172"/>
        <v>-</v>
      </c>
      <c r="BK335" s="542" t="s">
        <v>82</v>
      </c>
      <c r="BL335" s="542" t="s">
        <v>82</v>
      </c>
      <c r="BM335" s="487" t="str">
        <f t="array" aca="1" ref="BM335" ca="1">IFERROR(INDEX(Calculation_Tab,SMALL(ROW(ToPool)*(ToPool&lt;&gt;"-"),COUNTIF(ToPool,"-")+ROW()-3)-9,3),"-")</f>
        <v>-</v>
      </c>
      <c r="BN335" s="378" t="str">
        <f t="shared" ca="1" si="173"/>
        <v>-</v>
      </c>
      <c r="BO335" s="378" t="str">
        <f t="shared" ca="1" si="174"/>
        <v>-</v>
      </c>
      <c r="BP335" s="523" t="str">
        <f t="shared" ca="1" si="175"/>
        <v>-</v>
      </c>
      <c r="BQ335" s="378" t="str">
        <f t="array" aca="1" ref="BQ335" ca="1">IFERROR(INDEX(BE:BG,MATCH(INDEX(Calculation_Tab,SMALL(ROW(ToPool)*(ToPool&lt;&gt;"-"),COUNTIF(ToPool,"-")+ROW()-3)-9,9),BG:BG,0),2),"-")</f>
        <v>-</v>
      </c>
      <c r="BR335" s="510" t="str">
        <f t="shared" ca="1" si="176"/>
        <v>-</v>
      </c>
      <c r="BS335" s="511" t="str">
        <f t="shared" ca="1" si="177"/>
        <v>-</v>
      </c>
      <c r="BT335" s="543" t="s">
        <v>82</v>
      </c>
      <c r="BU335" s="487" t="str">
        <f t="shared" ca="1" si="182"/>
        <v>-</v>
      </c>
      <c r="BV335" s="487" t="str">
        <f t="array" aca="1" ref="BV33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35" s="378" t="str">
        <f t="shared" ca="1" si="178"/>
        <v>-</v>
      </c>
      <c r="BX335" s="378" t="str">
        <f t="shared" ca="1" si="179"/>
        <v>-</v>
      </c>
      <c r="BY335" s="510" t="str">
        <f ca="1">IFERROR(ROUND(INDEX(Cluster,MATCH(IF(LEFT(BV335,4)="Pool",INDEX(Cluster,MATCH(INDEX(Calculation_Tab,MATCH(INDEX($BE$4:$BJ$99,MATCH(BV335,$BE$4:$BE$99,0),3),Flow_Cell_Lane,0),3),Cluster!$F$29:$F$412,0),6),BV335),Identifier_Cluster,0),19)*IF(LEFT(BV335,4)="pool",IF(LEN(INDEX($BE$4:$BJ$99,MATCH(BV335,$BE$4:$BE$99,0),3))=10,2,IF(LEN(INDEX($BE$4:$BJ$99,MATCH(BV335,$BE$4:$BE$99,0),3))&gt;10,LEN(INDEX($BE$4:$BJ$99,MATCH(BV335,$BE$4:$BE$99,0),3))-8,1)),1)*IF(LEFT(BV335,4)="pool",IF(INDEX($BE$4:$BJ$99,MATCH(BV335,$BE$4:$BE$99,0),6)&lt;1,1,INDEX($BE$4:$BJ$99,MATCH(BV335,$BE$4:$BE$99,0),6)),INDEX(Calculation_Tab,MATCH(BV335,Identifier,0),10)),1)*(1+Calculation!$Q$6),"-")</f>
        <v>-</v>
      </c>
      <c r="BZ335" s="378" t="str">
        <f ca="1">IFERROR((0.5/50)*CE335/Calculation!$AG$6*(IF(LEFT(BV335,4)="Pool",IF(LEN(INDEX($BE$4:$BJ$99,MATCH(BV335,$BE$4:$BE$99,0),3))=10,2,IF(LEN(INDEX($BE$4:$BJ$99,MATCH(BV335,$BE$4:$BE$99,0),3))&gt;10,LEN(INDEX($BE$4:$BJ$99,MATCH(BV335,$BE$4:$BE$99,0),3))-8,1)),IF(INDEX(Calculation_Tab,MATCH(BV335,Identifier,0),10)&gt;1,INDEX(Calculation_Tab,MATCH(BV335,Identifier,0),10),1)))*(1+Calculation!$Q$6),"-")</f>
        <v>-</v>
      </c>
      <c r="CA335" s="510" t="str">
        <f ca="1">IFERROR(IF((BZ335*Calculation!$AG$6/0.05)-SUM(BY335:BZ335,CC335)&gt;0,(BZ335*Calculation!$AG$6/0.05)-SUM(BY335:BZ335,CC335),0),"-")</f>
        <v>-</v>
      </c>
      <c r="CB335" s="510" t="str">
        <f ca="1">IFERROR(5/50*CE335*(IF(LEFT(BV335,4)="Pool",IF(LEN(INDEX($BE$4:$BJ$99,MATCH(BV335,$BE$4:$BE$99,0),3))=10,2,IF(LEN(INDEX($BE$4:$BJ$99,MATCH(BV335,$BE$4:$BE$99,0),3))&gt;10,LEN(INDEX($BE$4:$BJ$99,MATCH(BV335,$BE$4:$BE$99,0),3))-8,1)),IF(INDEX(Calculation_Tab,MATCH(BV335,Identifier,0),10)&gt;1,INDEX(Calculation_Tab,MATCH(BV335,Identifier,0),10),1)))*(1+Calculation!$Q$6),"-")</f>
        <v>-</v>
      </c>
      <c r="CC335" s="508" t="str">
        <f ca="1">IFERROR(ROUND(INDEX(Cluster,MATCH(IF(LEFT(BV335,4)="Pool",INDEX(Cluster,MATCH(INDEX(Calculation_Tab,MATCH(INDEX($BE$4:$BJ$99,MATCH(BV335,$BE$4:$BE$99,0),3),Flow_Cell_Lane,0),3),Cluster!$F$29:$F$412,0),6),BV335),Identifier_Cluster,0),20)*IF(LEFT(BV335,4)="pool",IF(LEN(INDEX($BE$4:$BJ$99,MATCH(BV335,$BE$4:$BE$99,0),3))=10,2,IF(LEN(INDEX($BE$4:$BJ$99,MATCH(BV335,$BE$4:$BE$99,0),3))&gt;10,LEN(INDEX($BE$4:$BJ$99,MATCH(BV335,$BE$4:$BE$99,0),3))-8,1)),1)*IF(LEFT(BV335,4)="pool",IF(INDEX($BE$4:$BJ$99,MATCH(BV335,$BE$4:$BE$99,0),6)&lt;1,1,INDEX($BE$4:$BJ$99,MATCH(BV335,$BE$4:$BE$99,0),6)),INDEX(Calculation_Tab,MATCH(BV335,Identifier,0),10)),1)*(1+Calculation!$Q$6),"-")</f>
        <v>-</v>
      </c>
      <c r="CD335" s="509" t="str">
        <f ca="1">IFERROR(INDEX(Cluster!AC:AD,MATCH(IF(LEFT(BV335,4)="Pool",INDEX(Cluster!$D$29:$AA$412,MATCH(INDEX(Calculation_Tab,MATCH(INDEX($BE$4:$BJ$99,MATCH(BV335,$BE$4:$BE$99,0),3),Flow_Cell_Lane,0),3),Cluster!$F$29:$F$412,0),24),INDEX(Cluster!$D$29:$AA$412,MATCH(BV335,Cluster!$F$29:$F$412,0),24)),Cluster!AC:AC,0),2),"-")</f>
        <v>-</v>
      </c>
      <c r="CE335" s="378" t="str">
        <f ca="1">IFERROR(IF(BV335&lt;&gt;"-",Calculation!$AK$6,"-"),"-")</f>
        <v>-</v>
      </c>
      <c r="CF335" s="378" t="str">
        <f ca="1">IF(OR(LEFT(ListAndConversion!BW335,3)="Dil",LEFT(ListAndConversion!BW335,3)="Poo"),ListAndConversion!$BT$4,IF(LEFT(ListAndConversion!BW335,3)="Sou",INDEX(ListAndConversion!$AT$3:$AV$387,MATCH(ListAndConversion!BV335,ListAndConversion!$AV$3:$AV$387,0),1),"-"))</f>
        <v>-</v>
      </c>
      <c r="CG335" s="498" t="str">
        <f ca="1">IF(OR(LEFT(ListAndConversion!BW335,3)="Dil",LEFT(ListAndConversion!BW335,3)="Poo"),ListAndConversion!BU335,IF(LEFT(ListAndConversion!BW335,3)="Sou",INDEX(ListAndConversion!$AT$4:$AV$387,MATCH(ListAndConversion!BV335,ListAndConversion!$AV$4:$AV$387,0),2),"-"))</f>
        <v>-</v>
      </c>
      <c r="CH335" s="378"/>
      <c r="CI335" s="487" t="str">
        <f t="shared" ca="1" si="180"/>
        <v>-</v>
      </c>
      <c r="CJ335" s="378" t="str">
        <f t="shared" ca="1" si="184"/>
        <v>-</v>
      </c>
      <c r="CK335" s="378" t="str">
        <f t="shared" ca="1" si="184"/>
        <v>-</v>
      </c>
      <c r="CL335" s="378" t="str">
        <f t="shared" ca="1" si="184"/>
        <v>-</v>
      </c>
      <c r="CM335" s="378" t="str">
        <f t="shared" ca="1" si="184"/>
        <v>-</v>
      </c>
      <c r="CN335" s="378" t="str">
        <f t="shared" ca="1" si="184"/>
        <v>-</v>
      </c>
      <c r="CO335" s="378" t="str">
        <f t="shared" ca="1" si="184"/>
        <v>-</v>
      </c>
      <c r="CP335" s="378" t="str">
        <f t="shared" ca="1" si="184"/>
        <v>-</v>
      </c>
      <c r="CQ335" s="378" t="str">
        <f t="shared" ca="1" si="184"/>
        <v>-</v>
      </c>
      <c r="CR335" s="510" t="str">
        <f ca="1">IFERROR(IF(LEFT(BW335,3)="Poo",INDEX($BE$4:$BJ$99,MATCH(CI335,$BG$4:$BG$99,0),6)*((15/50))*Calculation!$AK$6,INDEX(Calculation_Tab,MATCH(BV335,Identifier,0),10)/(IF(LEN(INDEX(Calculation_Tab,MATCH(BV335,Identifier,0),9))&gt;8,LEN(INDEX(Calculation_Tab,MATCH(BV335,Identifier,0),9))-8,1))*((15/50)*Calculation!$AK$6)),"-")</f>
        <v>-</v>
      </c>
      <c r="CS335" s="498" t="str">
        <f ca="1">IF(CI335="-","-",IF(COUNTIF($CI$3:CI335,CI335)&gt;1,0,IFERROR((35/50)*Calculation!$AK$6,"-")))</f>
        <v>-</v>
      </c>
    </row>
    <row r="336" spans="4:97" x14ac:dyDescent="0.5">
      <c r="D336" s="487" t="e">
        <f t="shared" si="165"/>
        <v>#DIV/0!</v>
      </c>
      <c r="E336" s="496" t="e">
        <f t="array" ref="E336">IF(IF((ROW(E336)-3)&lt;(ListAndConversion!$A$15),INDEX(Flow_Cell_Lane,MIN(IF(COUNTIF($E$2:E335,Flow_Cell_Lane)=0,ROW(Flow_Cell_Lane)-9))),"-")="","-",IF((ROW(E336)-3)&lt;(ListAndConversion!$A$15),INDEX(Flow_Cell_Lane,MIN(IF(COUNTIF($E$2:E335,Flow_Cell_Lane)=0,ROW(Flow_Cell_Lane)-9))),"-"))</f>
        <v>#DIV/0!</v>
      </c>
      <c r="F336" s="378" t="e">
        <f t="shared" si="166"/>
        <v>#DIV/0!</v>
      </c>
      <c r="G336" s="378" t="e">
        <f t="shared" si="183"/>
        <v>#DIV/0!</v>
      </c>
      <c r="H336" s="378" t="e">
        <f t="shared" si="183"/>
        <v>#DIV/0!</v>
      </c>
      <c r="I336" s="378" t="e">
        <f t="shared" si="183"/>
        <v>#DIV/0!</v>
      </c>
      <c r="J336" s="378" t="e">
        <f t="shared" si="183"/>
        <v>#DIV/0!</v>
      </c>
      <c r="K336" s="378" t="e">
        <f t="shared" si="183"/>
        <v>#DIV/0!</v>
      </c>
      <c r="L336" s="378" t="e">
        <f t="shared" si="183"/>
        <v>#DIV/0!</v>
      </c>
      <c r="M336" s="378" t="e">
        <f t="shared" si="183"/>
        <v>#DIV/0!</v>
      </c>
      <c r="N336" s="497" t="e">
        <f t="shared" si="168"/>
        <v>#DIV/0!</v>
      </c>
      <c r="O336" s="497" t="str">
        <f t="array" ref="O336">IFERROR(INDEX(Calculation!I:AN,MATCH(ListAndConversion!E336,Calculation!I:I,0),31),"-")</f>
        <v>-</v>
      </c>
      <c r="P336" s="498">
        <f>IF(COUNTIFS(Calculation!$I$10:$I$393,E336,Direct_Denaturation,"-")&lt;&gt;1,COUNTIFS(Calculation!$I$10:$I$393,E336,Direct_Denaturation,"-"),0)</f>
        <v>0</v>
      </c>
      <c r="V336" s="542" t="s">
        <v>82</v>
      </c>
      <c r="W336" s="542" t="s">
        <v>82</v>
      </c>
      <c r="X336" s="542" t="s">
        <v>82</v>
      </c>
      <c r="Y336" s="542" t="s">
        <v>82</v>
      </c>
      <c r="Z336" s="542" t="s">
        <v>82</v>
      </c>
      <c r="AA336" s="542" t="s">
        <v>82</v>
      </c>
      <c r="AB336" s="542" t="s">
        <v>82</v>
      </c>
      <c r="AC336" s="542" t="s">
        <v>82</v>
      </c>
      <c r="AD336" s="542" t="s">
        <v>82</v>
      </c>
      <c r="AE336" s="542" t="s">
        <v>82</v>
      </c>
      <c r="AF336" s="542" t="s">
        <v>82</v>
      </c>
      <c r="AG336" s="542" t="s">
        <v>82</v>
      </c>
      <c r="AH336" s="9"/>
      <c r="AI336" s="487">
        <v>333</v>
      </c>
      <c r="AJ336" s="497" t="s">
        <v>479</v>
      </c>
      <c r="AK336" s="378">
        <v>45</v>
      </c>
      <c r="AL336" s="378" t="str">
        <f t="shared" ca="1" si="169"/>
        <v>-</v>
      </c>
      <c r="AM336" s="378" t="str">
        <f t="array" aca="1" ref="AM336" ca="1">IFERROR(IF(AI336&lt;=$AB$2,"-",INDEX(Calculation_Tab,SMALL(ROW(Main_Dil)*(Main_Dil&lt;&gt;"-"),COUNTIF(Main_Dil,"-")+ROW()-3-$AB$2)-9,5)),"-")</f>
        <v>-</v>
      </c>
      <c r="AN336" s="378" t="str">
        <f t="array" aca="1" ref="AN336" ca="1">IFERROR(IF(AI336&lt;=$AB$2,"-",INDEX($A$3:$B$12,MATCH(INDEX(Calculation_Tab,SMALL(ROW(Main_Dil)*(Main_Dil&lt;&gt;"-"),COUNTIF(Main_Dil,"-")+ROW()-3-$AB$2)-9,5),$A$3:$A$12,0),2)),"-")</f>
        <v>-</v>
      </c>
      <c r="AO336" s="378" t="str">
        <f t="array" aca="1" ref="AO336" ca="1">IFERROR(IF(AI336&lt;=$AB$2,"-",INDEX(Coordinate,MATCH(INDEX(Calculation_Tab,SMALL(ROW(Main_Dil)*(Main_Dil&lt;&gt;"-"),COUNTIF(Main_Dil,"-")+ROW()-3-$AB$2)-9,6),$X$4:$X$99,0),2)),"-")</f>
        <v>-</v>
      </c>
      <c r="AP336" s="510" t="str">
        <f t="array" aca="1" ref="AP336" ca="1">IFERROR(IF(AI336&lt;=$AB$2,"-",INDEX(Calculation_Tab,SMALL(ROW(Main_Dil)*(Main_Dil&lt;&gt;"-"),COUNTIF(Main_Dil,"-")+ROW()-3-$AB$2)-9,21)),"-")</f>
        <v>-</v>
      </c>
      <c r="AQ336" s="511" t="str">
        <f t="array" aca="1" ref="AQ336" ca="1">IFERROR(IF(AI336&lt;=$AB$2,"-",INDEX(Calculation_Tab,SMALL(ROW(Main_Dil)*(Main_Dil&lt;&gt;"-"),COUNTIF(Main_Dil,"-")+ROW()-3-$AB$2)-9,22)),"-")</f>
        <v>-</v>
      </c>
      <c r="AR336" s="487" t="str">
        <f t="shared" ca="1" si="170"/>
        <v>-</v>
      </c>
      <c r="AS336" s="378">
        <v>333</v>
      </c>
      <c r="AT336" s="497" t="s">
        <v>479</v>
      </c>
      <c r="AU336" s="498">
        <v>45</v>
      </c>
      <c r="AV336" s="378" t="str">
        <f t="shared" ca="1" si="171"/>
        <v>-</v>
      </c>
      <c r="AW336" s="378" t="str">
        <f t="array" aca="1" ref="AW336" ca="1">IFERROR(IF(AS336&lt;=$AB$2+$AN$2,"-",INDEX(Calculation_Tab,SMALL(ROW(Direct_Denaturation)*(Direct_Denaturation&lt;&gt;"-"),COUNTIF(Direct_Denaturation,"-")+ROW()-3-$AB$2-$AN$2)-9,5)),"-")</f>
        <v>-</v>
      </c>
      <c r="AX336" s="378" t="str">
        <f t="array" aca="1" ref="AX336" ca="1">IFERROR(IF(AS336&lt;=$AB$2+$AN$2,"-",INDEX($A$3:$B$12,MATCH(INDEX(Calculation_Tab,SMALL(ROW(Direct_Denaturation)*(Direct_Denaturation&lt;&gt;"-"),COUNTIF(Direct_Denaturation,"-")+ROW()-3-$AB$2-$AN$2)-9,5),$A$3:$A$12,0),2)),"-")</f>
        <v>-</v>
      </c>
      <c r="AY336" s="378" t="str">
        <f t="array" aca="1" ref="AY336" ca="1">IFERROR(IF(AS336&lt;=$AB$2+$AN$2,"-",INDEX(Coordinate,MATCH(INDEX(Calculation_Tab,SMALL(ROW(Direct_Denaturation)*(Direct_Denaturation&lt;&gt;"-"),COUNTIF(Direct_Denaturation,"-")+ROW()-3-$AB$2-$AN$2)-9,6),$X$4:$X$99,0),2)),"-")</f>
        <v>-</v>
      </c>
      <c r="AZ336" s="510" t="str">
        <f t="array" aca="1" ref="AZ336" ca="1">IFERROR(IF(AS336&lt;=$AB$2+$AN$2,"-",INDEX(Calculation_Tab,SMALL(ROW(Direct_Denaturation)*(Direct_Denaturation&lt;&gt;"-"),COUNTIF(Direct_Denaturation,"-")+ROW()-3-$AB$2-$AN$2)-9,32)),"-")</f>
        <v>-</v>
      </c>
      <c r="BA336" s="510" t="str">
        <f t="array" aca="1" ref="BA336" ca="1">IFERROR(IF(AS336&lt;=$AB$2+$AN$2,"-",INDEX(Calculation_Tab,SMALL(ROW(Direct_Denaturation)*(Direct_Denaturation&lt;&gt;"-"),COUNTIF(Direct_Denaturation,"-")+ROW()-3-$AB$2-$AN$2)-9,34)),"-")</f>
        <v>-</v>
      </c>
      <c r="BB336" s="510" t="str">
        <f t="array" aca="1" ref="BB336" ca="1">IFERROR(IF(AS336&lt;=$AB$2+$AN$2,"-",INDEX(Calculation_Tab,SMALL(ROW(Direct_Denaturation)*(Direct_Denaturation&lt;&gt;"-"),COUNTIF(Direct_Denaturation,"-")+ROW()-3-$AB$2-$AN$2)-9,33)),"-")</f>
        <v>-</v>
      </c>
      <c r="BC336" s="510" t="str">
        <f t="array" aca="1" ref="BC336" ca="1">IFERROR(IF(AS336&lt;=$AB$2+$AN$2,"-",INDEX(Calculation_Tab,SMALL(ROW(Direct_Denaturation)*(Direct_Denaturation&lt;&gt;"-"),COUNTIF(Direct_Denaturation,"-")+ROW()-3-$AB$2-$AN$2)-9,35)),"-")</f>
        <v>-</v>
      </c>
      <c r="BD336" s="511" t="str">
        <f t="shared" ca="1" si="172"/>
        <v>-</v>
      </c>
      <c r="BK336" s="542" t="s">
        <v>82</v>
      </c>
      <c r="BL336" s="542" t="s">
        <v>82</v>
      </c>
      <c r="BM336" s="487" t="str">
        <f t="array" aca="1" ref="BM336" ca="1">IFERROR(INDEX(Calculation_Tab,SMALL(ROW(ToPool)*(ToPool&lt;&gt;"-"),COUNTIF(ToPool,"-")+ROW()-3)-9,3),"-")</f>
        <v>-</v>
      </c>
      <c r="BN336" s="378" t="str">
        <f t="shared" ca="1" si="173"/>
        <v>-</v>
      </c>
      <c r="BO336" s="378" t="str">
        <f t="shared" ca="1" si="174"/>
        <v>-</v>
      </c>
      <c r="BP336" s="523" t="str">
        <f t="shared" ca="1" si="175"/>
        <v>-</v>
      </c>
      <c r="BQ336" s="378" t="str">
        <f t="array" aca="1" ref="BQ336" ca="1">IFERROR(INDEX(BE:BG,MATCH(INDEX(Calculation_Tab,SMALL(ROW(ToPool)*(ToPool&lt;&gt;"-"),COUNTIF(ToPool,"-")+ROW()-3)-9,9),BG:BG,0),2),"-")</f>
        <v>-</v>
      </c>
      <c r="BR336" s="510" t="str">
        <f t="shared" ca="1" si="176"/>
        <v>-</v>
      </c>
      <c r="BS336" s="511" t="str">
        <f t="shared" ca="1" si="177"/>
        <v>-</v>
      </c>
      <c r="BT336" s="543" t="s">
        <v>82</v>
      </c>
      <c r="BU336" s="487" t="str">
        <f t="shared" ca="1" si="182"/>
        <v>-</v>
      </c>
      <c r="BV336" s="487" t="str">
        <f t="array" aca="1" ref="BV33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36" s="378" t="str">
        <f t="shared" ca="1" si="178"/>
        <v>-</v>
      </c>
      <c r="BX336" s="378" t="str">
        <f t="shared" ca="1" si="179"/>
        <v>-</v>
      </c>
      <c r="BY336" s="510" t="str">
        <f ca="1">IFERROR(ROUND(INDEX(Cluster,MATCH(IF(LEFT(BV336,4)="Pool",INDEX(Cluster,MATCH(INDEX(Calculation_Tab,MATCH(INDEX($BE$4:$BJ$99,MATCH(BV336,$BE$4:$BE$99,0),3),Flow_Cell_Lane,0),3),Cluster!$F$29:$F$412,0),6),BV336),Identifier_Cluster,0),19)*IF(LEFT(BV336,4)="pool",IF(LEN(INDEX($BE$4:$BJ$99,MATCH(BV336,$BE$4:$BE$99,0),3))=10,2,IF(LEN(INDEX($BE$4:$BJ$99,MATCH(BV336,$BE$4:$BE$99,0),3))&gt;10,LEN(INDEX($BE$4:$BJ$99,MATCH(BV336,$BE$4:$BE$99,0),3))-8,1)),1)*IF(LEFT(BV336,4)="pool",IF(INDEX($BE$4:$BJ$99,MATCH(BV336,$BE$4:$BE$99,0),6)&lt;1,1,INDEX($BE$4:$BJ$99,MATCH(BV336,$BE$4:$BE$99,0),6)),INDEX(Calculation_Tab,MATCH(BV336,Identifier,0),10)),1)*(1+Calculation!$Q$6),"-")</f>
        <v>-</v>
      </c>
      <c r="BZ336" s="378" t="str">
        <f ca="1">IFERROR((0.5/50)*CE336/Calculation!$AG$6*(IF(LEFT(BV336,4)="Pool",IF(LEN(INDEX($BE$4:$BJ$99,MATCH(BV336,$BE$4:$BE$99,0),3))=10,2,IF(LEN(INDEX($BE$4:$BJ$99,MATCH(BV336,$BE$4:$BE$99,0),3))&gt;10,LEN(INDEX($BE$4:$BJ$99,MATCH(BV336,$BE$4:$BE$99,0),3))-8,1)),IF(INDEX(Calculation_Tab,MATCH(BV336,Identifier,0),10)&gt;1,INDEX(Calculation_Tab,MATCH(BV336,Identifier,0),10),1)))*(1+Calculation!$Q$6),"-")</f>
        <v>-</v>
      </c>
      <c r="CA336" s="510" t="str">
        <f ca="1">IFERROR(IF((BZ336*Calculation!$AG$6/0.05)-SUM(BY336:BZ336,CC336)&gt;0,(BZ336*Calculation!$AG$6/0.05)-SUM(BY336:BZ336,CC336),0),"-")</f>
        <v>-</v>
      </c>
      <c r="CB336" s="510" t="str">
        <f ca="1">IFERROR(5/50*CE336*(IF(LEFT(BV336,4)="Pool",IF(LEN(INDEX($BE$4:$BJ$99,MATCH(BV336,$BE$4:$BE$99,0),3))=10,2,IF(LEN(INDEX($BE$4:$BJ$99,MATCH(BV336,$BE$4:$BE$99,0),3))&gt;10,LEN(INDEX($BE$4:$BJ$99,MATCH(BV336,$BE$4:$BE$99,0),3))-8,1)),IF(INDEX(Calculation_Tab,MATCH(BV336,Identifier,0),10)&gt;1,INDEX(Calculation_Tab,MATCH(BV336,Identifier,0),10),1)))*(1+Calculation!$Q$6),"-")</f>
        <v>-</v>
      </c>
      <c r="CC336" s="508" t="str">
        <f ca="1">IFERROR(ROUND(INDEX(Cluster,MATCH(IF(LEFT(BV336,4)="Pool",INDEX(Cluster,MATCH(INDEX(Calculation_Tab,MATCH(INDEX($BE$4:$BJ$99,MATCH(BV336,$BE$4:$BE$99,0),3),Flow_Cell_Lane,0),3),Cluster!$F$29:$F$412,0),6),BV336),Identifier_Cluster,0),20)*IF(LEFT(BV336,4)="pool",IF(LEN(INDEX($BE$4:$BJ$99,MATCH(BV336,$BE$4:$BE$99,0),3))=10,2,IF(LEN(INDEX($BE$4:$BJ$99,MATCH(BV336,$BE$4:$BE$99,0),3))&gt;10,LEN(INDEX($BE$4:$BJ$99,MATCH(BV336,$BE$4:$BE$99,0),3))-8,1)),1)*IF(LEFT(BV336,4)="pool",IF(INDEX($BE$4:$BJ$99,MATCH(BV336,$BE$4:$BE$99,0),6)&lt;1,1,INDEX($BE$4:$BJ$99,MATCH(BV336,$BE$4:$BE$99,0),6)),INDEX(Calculation_Tab,MATCH(BV336,Identifier,0),10)),1)*(1+Calculation!$Q$6),"-")</f>
        <v>-</v>
      </c>
      <c r="CD336" s="509" t="str">
        <f ca="1">IFERROR(INDEX(Cluster!AC:AD,MATCH(IF(LEFT(BV336,4)="Pool",INDEX(Cluster!$D$29:$AA$412,MATCH(INDEX(Calculation_Tab,MATCH(INDEX($BE$4:$BJ$99,MATCH(BV336,$BE$4:$BE$99,0),3),Flow_Cell_Lane,0),3),Cluster!$F$29:$F$412,0),24),INDEX(Cluster!$D$29:$AA$412,MATCH(BV336,Cluster!$F$29:$F$412,0),24)),Cluster!AC:AC,0),2),"-")</f>
        <v>-</v>
      </c>
      <c r="CE336" s="378" t="str">
        <f ca="1">IFERROR(IF(BV336&lt;&gt;"-",Calculation!$AK$6,"-"),"-")</f>
        <v>-</v>
      </c>
      <c r="CF336" s="378" t="str">
        <f ca="1">IF(OR(LEFT(ListAndConversion!BW336,3)="Dil",LEFT(ListAndConversion!BW336,3)="Poo"),ListAndConversion!$BT$4,IF(LEFT(ListAndConversion!BW336,3)="Sou",INDEX(ListAndConversion!$AT$3:$AV$387,MATCH(ListAndConversion!BV336,ListAndConversion!$AV$3:$AV$387,0),1),"-"))</f>
        <v>-</v>
      </c>
      <c r="CG336" s="498" t="str">
        <f ca="1">IF(OR(LEFT(ListAndConversion!BW336,3)="Dil",LEFT(ListAndConversion!BW336,3)="Poo"),ListAndConversion!BU336,IF(LEFT(ListAndConversion!BW336,3)="Sou",INDEX(ListAndConversion!$AT$4:$AV$387,MATCH(ListAndConversion!BV336,ListAndConversion!$AV$4:$AV$387,0),2),"-"))</f>
        <v>-</v>
      </c>
      <c r="CH336" s="378"/>
      <c r="CI336" s="487" t="str">
        <f t="shared" ca="1" si="180"/>
        <v>-</v>
      </c>
      <c r="CJ336" s="378" t="str">
        <f t="shared" ca="1" si="184"/>
        <v>-</v>
      </c>
      <c r="CK336" s="378" t="str">
        <f t="shared" ca="1" si="184"/>
        <v>-</v>
      </c>
      <c r="CL336" s="378" t="str">
        <f t="shared" ca="1" si="184"/>
        <v>-</v>
      </c>
      <c r="CM336" s="378" t="str">
        <f t="shared" ca="1" si="184"/>
        <v>-</v>
      </c>
      <c r="CN336" s="378" t="str">
        <f t="shared" ca="1" si="184"/>
        <v>-</v>
      </c>
      <c r="CO336" s="378" t="str">
        <f t="shared" ca="1" si="184"/>
        <v>-</v>
      </c>
      <c r="CP336" s="378" t="str">
        <f t="shared" ca="1" si="184"/>
        <v>-</v>
      </c>
      <c r="CQ336" s="378" t="str">
        <f t="shared" ca="1" si="184"/>
        <v>-</v>
      </c>
      <c r="CR336" s="510" t="str">
        <f ca="1">IFERROR(IF(LEFT(BW336,3)="Poo",INDEX($BE$4:$BJ$99,MATCH(CI336,$BG$4:$BG$99,0),6)*((15/50))*Calculation!$AK$6,INDEX(Calculation_Tab,MATCH(BV336,Identifier,0),10)/(IF(LEN(INDEX(Calculation_Tab,MATCH(BV336,Identifier,0),9))&gt;8,LEN(INDEX(Calculation_Tab,MATCH(BV336,Identifier,0),9))-8,1))*((15/50)*Calculation!$AK$6)),"-")</f>
        <v>-</v>
      </c>
      <c r="CS336" s="498" t="str">
        <f ca="1">IF(CI336="-","-",IF(COUNTIF($CI$3:CI336,CI336)&gt;1,0,IFERROR((35/50)*Calculation!$AK$6,"-")))</f>
        <v>-</v>
      </c>
    </row>
    <row r="337" spans="4:97" x14ac:dyDescent="0.5">
      <c r="D337" s="487" t="e">
        <f t="shared" si="165"/>
        <v>#DIV/0!</v>
      </c>
      <c r="E337" s="496" t="e">
        <f t="array" ref="E337">IF(IF((ROW(E337)-3)&lt;(ListAndConversion!$A$15),INDEX(Flow_Cell_Lane,MIN(IF(COUNTIF($E$2:E336,Flow_Cell_Lane)=0,ROW(Flow_Cell_Lane)-9))),"-")="","-",IF((ROW(E337)-3)&lt;(ListAndConversion!$A$15),INDEX(Flow_Cell_Lane,MIN(IF(COUNTIF($E$2:E336,Flow_Cell_Lane)=0,ROW(Flow_Cell_Lane)-9))),"-"))</f>
        <v>#DIV/0!</v>
      </c>
      <c r="F337" s="378" t="e">
        <f t="shared" si="166"/>
        <v>#DIV/0!</v>
      </c>
      <c r="G337" s="378" t="e">
        <f t="shared" si="183"/>
        <v>#DIV/0!</v>
      </c>
      <c r="H337" s="378" t="e">
        <f t="shared" si="183"/>
        <v>#DIV/0!</v>
      </c>
      <c r="I337" s="378" t="e">
        <f t="shared" si="183"/>
        <v>#DIV/0!</v>
      </c>
      <c r="J337" s="378" t="e">
        <f t="shared" si="183"/>
        <v>#DIV/0!</v>
      </c>
      <c r="K337" s="378" t="e">
        <f t="shared" si="183"/>
        <v>#DIV/0!</v>
      </c>
      <c r="L337" s="378" t="e">
        <f t="shared" si="183"/>
        <v>#DIV/0!</v>
      </c>
      <c r="M337" s="378" t="e">
        <f t="shared" si="183"/>
        <v>#DIV/0!</v>
      </c>
      <c r="N337" s="497" t="e">
        <f t="shared" si="168"/>
        <v>#DIV/0!</v>
      </c>
      <c r="O337" s="497" t="str">
        <f t="array" ref="O337">IFERROR(INDEX(Calculation!I:AN,MATCH(ListAndConversion!E337,Calculation!I:I,0),31),"-")</f>
        <v>-</v>
      </c>
      <c r="P337" s="498">
        <f>IF(COUNTIFS(Calculation!$I$10:$I$393,E337,Direct_Denaturation,"-")&lt;&gt;1,COUNTIFS(Calculation!$I$10:$I$393,E337,Direct_Denaturation,"-"),0)</f>
        <v>0</v>
      </c>
      <c r="V337" s="542" t="s">
        <v>82</v>
      </c>
      <c r="W337" s="542" t="s">
        <v>82</v>
      </c>
      <c r="X337" s="542" t="s">
        <v>82</v>
      </c>
      <c r="Y337" s="542" t="s">
        <v>82</v>
      </c>
      <c r="Z337" s="542" t="s">
        <v>82</v>
      </c>
      <c r="AA337" s="542" t="s">
        <v>82</v>
      </c>
      <c r="AB337" s="542" t="s">
        <v>82</v>
      </c>
      <c r="AC337" s="542" t="s">
        <v>82</v>
      </c>
      <c r="AD337" s="542" t="s">
        <v>82</v>
      </c>
      <c r="AE337" s="542" t="s">
        <v>82</v>
      </c>
      <c r="AF337" s="542" t="s">
        <v>82</v>
      </c>
      <c r="AG337" s="542" t="s">
        <v>82</v>
      </c>
      <c r="AH337" s="9"/>
      <c r="AI337" s="487">
        <v>334</v>
      </c>
      <c r="AJ337" s="497" t="s">
        <v>479</v>
      </c>
      <c r="AK337" s="378">
        <v>46</v>
      </c>
      <c r="AL337" s="378" t="str">
        <f t="shared" ca="1" si="169"/>
        <v>-</v>
      </c>
      <c r="AM337" s="378" t="str">
        <f t="array" aca="1" ref="AM337" ca="1">IFERROR(IF(AI337&lt;=$AB$2,"-",INDEX(Calculation_Tab,SMALL(ROW(Main_Dil)*(Main_Dil&lt;&gt;"-"),COUNTIF(Main_Dil,"-")+ROW()-3-$AB$2)-9,5)),"-")</f>
        <v>-</v>
      </c>
      <c r="AN337" s="378" t="str">
        <f t="array" aca="1" ref="AN337" ca="1">IFERROR(IF(AI337&lt;=$AB$2,"-",INDEX($A$3:$B$12,MATCH(INDEX(Calculation_Tab,SMALL(ROW(Main_Dil)*(Main_Dil&lt;&gt;"-"),COUNTIF(Main_Dil,"-")+ROW()-3-$AB$2)-9,5),$A$3:$A$12,0),2)),"-")</f>
        <v>-</v>
      </c>
      <c r="AO337" s="378" t="str">
        <f t="array" aca="1" ref="AO337" ca="1">IFERROR(IF(AI337&lt;=$AB$2,"-",INDEX(Coordinate,MATCH(INDEX(Calculation_Tab,SMALL(ROW(Main_Dil)*(Main_Dil&lt;&gt;"-"),COUNTIF(Main_Dil,"-")+ROW()-3-$AB$2)-9,6),$X$4:$X$99,0),2)),"-")</f>
        <v>-</v>
      </c>
      <c r="AP337" s="510" t="str">
        <f t="array" aca="1" ref="AP337" ca="1">IFERROR(IF(AI337&lt;=$AB$2,"-",INDEX(Calculation_Tab,SMALL(ROW(Main_Dil)*(Main_Dil&lt;&gt;"-"),COUNTIF(Main_Dil,"-")+ROW()-3-$AB$2)-9,21)),"-")</f>
        <v>-</v>
      </c>
      <c r="AQ337" s="511" t="str">
        <f t="array" aca="1" ref="AQ337" ca="1">IFERROR(IF(AI337&lt;=$AB$2,"-",INDEX(Calculation_Tab,SMALL(ROW(Main_Dil)*(Main_Dil&lt;&gt;"-"),COUNTIF(Main_Dil,"-")+ROW()-3-$AB$2)-9,22)),"-")</f>
        <v>-</v>
      </c>
      <c r="AR337" s="487" t="str">
        <f t="shared" ca="1" si="170"/>
        <v>-</v>
      </c>
      <c r="AS337" s="378">
        <v>334</v>
      </c>
      <c r="AT337" s="497" t="s">
        <v>479</v>
      </c>
      <c r="AU337" s="498">
        <v>46</v>
      </c>
      <c r="AV337" s="378" t="str">
        <f t="shared" ca="1" si="171"/>
        <v>-</v>
      </c>
      <c r="AW337" s="378" t="str">
        <f t="array" aca="1" ref="AW337" ca="1">IFERROR(IF(AS337&lt;=$AB$2+$AN$2,"-",INDEX(Calculation_Tab,SMALL(ROW(Direct_Denaturation)*(Direct_Denaturation&lt;&gt;"-"),COUNTIF(Direct_Denaturation,"-")+ROW()-3-$AB$2-$AN$2)-9,5)),"-")</f>
        <v>-</v>
      </c>
      <c r="AX337" s="378" t="str">
        <f t="array" aca="1" ref="AX337" ca="1">IFERROR(IF(AS337&lt;=$AB$2+$AN$2,"-",INDEX($A$3:$B$12,MATCH(INDEX(Calculation_Tab,SMALL(ROW(Direct_Denaturation)*(Direct_Denaturation&lt;&gt;"-"),COUNTIF(Direct_Denaturation,"-")+ROW()-3-$AB$2-$AN$2)-9,5),$A$3:$A$12,0),2)),"-")</f>
        <v>-</v>
      </c>
      <c r="AY337" s="378" t="str">
        <f t="array" aca="1" ref="AY337" ca="1">IFERROR(IF(AS337&lt;=$AB$2+$AN$2,"-",INDEX(Coordinate,MATCH(INDEX(Calculation_Tab,SMALL(ROW(Direct_Denaturation)*(Direct_Denaturation&lt;&gt;"-"),COUNTIF(Direct_Denaturation,"-")+ROW()-3-$AB$2-$AN$2)-9,6),$X$4:$X$99,0),2)),"-")</f>
        <v>-</v>
      </c>
      <c r="AZ337" s="510" t="str">
        <f t="array" aca="1" ref="AZ337" ca="1">IFERROR(IF(AS337&lt;=$AB$2+$AN$2,"-",INDEX(Calculation_Tab,SMALL(ROW(Direct_Denaturation)*(Direct_Denaturation&lt;&gt;"-"),COUNTIF(Direct_Denaturation,"-")+ROW()-3-$AB$2-$AN$2)-9,32)),"-")</f>
        <v>-</v>
      </c>
      <c r="BA337" s="510" t="str">
        <f t="array" aca="1" ref="BA337" ca="1">IFERROR(IF(AS337&lt;=$AB$2+$AN$2,"-",INDEX(Calculation_Tab,SMALL(ROW(Direct_Denaturation)*(Direct_Denaturation&lt;&gt;"-"),COUNTIF(Direct_Denaturation,"-")+ROW()-3-$AB$2-$AN$2)-9,34)),"-")</f>
        <v>-</v>
      </c>
      <c r="BB337" s="510" t="str">
        <f t="array" aca="1" ref="BB337" ca="1">IFERROR(IF(AS337&lt;=$AB$2+$AN$2,"-",INDEX(Calculation_Tab,SMALL(ROW(Direct_Denaturation)*(Direct_Denaturation&lt;&gt;"-"),COUNTIF(Direct_Denaturation,"-")+ROW()-3-$AB$2-$AN$2)-9,33)),"-")</f>
        <v>-</v>
      </c>
      <c r="BC337" s="510" t="str">
        <f t="array" aca="1" ref="BC337" ca="1">IFERROR(IF(AS337&lt;=$AB$2+$AN$2,"-",INDEX(Calculation_Tab,SMALL(ROW(Direct_Denaturation)*(Direct_Denaturation&lt;&gt;"-"),COUNTIF(Direct_Denaturation,"-")+ROW()-3-$AB$2-$AN$2)-9,35)),"-")</f>
        <v>-</v>
      </c>
      <c r="BD337" s="511" t="str">
        <f t="shared" ca="1" si="172"/>
        <v>-</v>
      </c>
      <c r="BK337" s="542" t="s">
        <v>82</v>
      </c>
      <c r="BL337" s="542" t="s">
        <v>82</v>
      </c>
      <c r="BM337" s="487" t="str">
        <f t="array" aca="1" ref="BM337" ca="1">IFERROR(INDEX(Calculation_Tab,SMALL(ROW(ToPool)*(ToPool&lt;&gt;"-"),COUNTIF(ToPool,"-")+ROW()-3)-9,3),"-")</f>
        <v>-</v>
      </c>
      <c r="BN337" s="378" t="str">
        <f t="shared" ca="1" si="173"/>
        <v>-</v>
      </c>
      <c r="BO337" s="378" t="str">
        <f t="shared" ca="1" si="174"/>
        <v>-</v>
      </c>
      <c r="BP337" s="523" t="str">
        <f t="shared" ca="1" si="175"/>
        <v>-</v>
      </c>
      <c r="BQ337" s="378" t="str">
        <f t="array" aca="1" ref="BQ337" ca="1">IFERROR(INDEX(BE:BG,MATCH(INDEX(Calculation_Tab,SMALL(ROW(ToPool)*(ToPool&lt;&gt;"-"),COUNTIF(ToPool,"-")+ROW()-3)-9,9),BG:BG,0),2),"-")</f>
        <v>-</v>
      </c>
      <c r="BR337" s="510" t="str">
        <f t="shared" ca="1" si="176"/>
        <v>-</v>
      </c>
      <c r="BS337" s="511" t="str">
        <f t="shared" ca="1" si="177"/>
        <v>-</v>
      </c>
      <c r="BT337" s="543" t="s">
        <v>82</v>
      </c>
      <c r="BU337" s="487" t="str">
        <f t="shared" ca="1" si="182"/>
        <v>-</v>
      </c>
      <c r="BV337" s="487" t="str">
        <f t="array" aca="1" ref="BV33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37" s="378" t="str">
        <f t="shared" ca="1" si="178"/>
        <v>-</v>
      </c>
      <c r="BX337" s="378" t="str">
        <f t="shared" ca="1" si="179"/>
        <v>-</v>
      </c>
      <c r="BY337" s="510" t="str">
        <f ca="1">IFERROR(ROUND(INDEX(Cluster,MATCH(IF(LEFT(BV337,4)="Pool",INDEX(Cluster,MATCH(INDEX(Calculation_Tab,MATCH(INDEX($BE$4:$BJ$99,MATCH(BV337,$BE$4:$BE$99,0),3),Flow_Cell_Lane,0),3),Cluster!$F$29:$F$412,0),6),BV337),Identifier_Cluster,0),19)*IF(LEFT(BV337,4)="pool",IF(LEN(INDEX($BE$4:$BJ$99,MATCH(BV337,$BE$4:$BE$99,0),3))=10,2,IF(LEN(INDEX($BE$4:$BJ$99,MATCH(BV337,$BE$4:$BE$99,0),3))&gt;10,LEN(INDEX($BE$4:$BJ$99,MATCH(BV337,$BE$4:$BE$99,0),3))-8,1)),1)*IF(LEFT(BV337,4)="pool",IF(INDEX($BE$4:$BJ$99,MATCH(BV337,$BE$4:$BE$99,0),6)&lt;1,1,INDEX($BE$4:$BJ$99,MATCH(BV337,$BE$4:$BE$99,0),6)),INDEX(Calculation_Tab,MATCH(BV337,Identifier,0),10)),1)*(1+Calculation!$Q$6),"-")</f>
        <v>-</v>
      </c>
      <c r="BZ337" s="378" t="str">
        <f ca="1">IFERROR((0.5/50)*CE337/Calculation!$AG$6*(IF(LEFT(BV337,4)="Pool",IF(LEN(INDEX($BE$4:$BJ$99,MATCH(BV337,$BE$4:$BE$99,0),3))=10,2,IF(LEN(INDEX($BE$4:$BJ$99,MATCH(BV337,$BE$4:$BE$99,0),3))&gt;10,LEN(INDEX($BE$4:$BJ$99,MATCH(BV337,$BE$4:$BE$99,0),3))-8,1)),IF(INDEX(Calculation_Tab,MATCH(BV337,Identifier,0),10)&gt;1,INDEX(Calculation_Tab,MATCH(BV337,Identifier,0),10),1)))*(1+Calculation!$Q$6),"-")</f>
        <v>-</v>
      </c>
      <c r="CA337" s="510" t="str">
        <f ca="1">IFERROR(IF((BZ337*Calculation!$AG$6/0.05)-SUM(BY337:BZ337,CC337)&gt;0,(BZ337*Calculation!$AG$6/0.05)-SUM(BY337:BZ337,CC337),0),"-")</f>
        <v>-</v>
      </c>
      <c r="CB337" s="510" t="str">
        <f ca="1">IFERROR(5/50*CE337*(IF(LEFT(BV337,4)="Pool",IF(LEN(INDEX($BE$4:$BJ$99,MATCH(BV337,$BE$4:$BE$99,0),3))=10,2,IF(LEN(INDEX($BE$4:$BJ$99,MATCH(BV337,$BE$4:$BE$99,0),3))&gt;10,LEN(INDEX($BE$4:$BJ$99,MATCH(BV337,$BE$4:$BE$99,0),3))-8,1)),IF(INDEX(Calculation_Tab,MATCH(BV337,Identifier,0),10)&gt;1,INDEX(Calculation_Tab,MATCH(BV337,Identifier,0),10),1)))*(1+Calculation!$Q$6),"-")</f>
        <v>-</v>
      </c>
      <c r="CC337" s="508" t="str">
        <f ca="1">IFERROR(ROUND(INDEX(Cluster,MATCH(IF(LEFT(BV337,4)="Pool",INDEX(Cluster,MATCH(INDEX(Calculation_Tab,MATCH(INDEX($BE$4:$BJ$99,MATCH(BV337,$BE$4:$BE$99,0),3),Flow_Cell_Lane,0),3),Cluster!$F$29:$F$412,0),6),BV337),Identifier_Cluster,0),20)*IF(LEFT(BV337,4)="pool",IF(LEN(INDEX($BE$4:$BJ$99,MATCH(BV337,$BE$4:$BE$99,0),3))=10,2,IF(LEN(INDEX($BE$4:$BJ$99,MATCH(BV337,$BE$4:$BE$99,0),3))&gt;10,LEN(INDEX($BE$4:$BJ$99,MATCH(BV337,$BE$4:$BE$99,0),3))-8,1)),1)*IF(LEFT(BV337,4)="pool",IF(INDEX($BE$4:$BJ$99,MATCH(BV337,$BE$4:$BE$99,0),6)&lt;1,1,INDEX($BE$4:$BJ$99,MATCH(BV337,$BE$4:$BE$99,0),6)),INDEX(Calculation_Tab,MATCH(BV337,Identifier,0),10)),1)*(1+Calculation!$Q$6),"-")</f>
        <v>-</v>
      </c>
      <c r="CD337" s="509" t="str">
        <f ca="1">IFERROR(INDEX(Cluster!AC:AD,MATCH(IF(LEFT(BV337,4)="Pool",INDEX(Cluster!$D$29:$AA$412,MATCH(INDEX(Calculation_Tab,MATCH(INDEX($BE$4:$BJ$99,MATCH(BV337,$BE$4:$BE$99,0),3),Flow_Cell_Lane,0),3),Cluster!$F$29:$F$412,0),24),INDEX(Cluster!$D$29:$AA$412,MATCH(BV337,Cluster!$F$29:$F$412,0),24)),Cluster!AC:AC,0),2),"-")</f>
        <v>-</v>
      </c>
      <c r="CE337" s="378" t="str">
        <f ca="1">IFERROR(IF(BV337&lt;&gt;"-",Calculation!$AK$6,"-"),"-")</f>
        <v>-</v>
      </c>
      <c r="CF337" s="378" t="str">
        <f ca="1">IF(OR(LEFT(ListAndConversion!BW337,3)="Dil",LEFT(ListAndConversion!BW337,3)="Poo"),ListAndConversion!$BT$4,IF(LEFT(ListAndConversion!BW337,3)="Sou",INDEX(ListAndConversion!$AT$3:$AV$387,MATCH(ListAndConversion!BV337,ListAndConversion!$AV$3:$AV$387,0),1),"-"))</f>
        <v>-</v>
      </c>
      <c r="CG337" s="498" t="str">
        <f ca="1">IF(OR(LEFT(ListAndConversion!BW337,3)="Dil",LEFT(ListAndConversion!BW337,3)="Poo"),ListAndConversion!BU337,IF(LEFT(ListAndConversion!BW337,3)="Sou",INDEX(ListAndConversion!$AT$4:$AV$387,MATCH(ListAndConversion!BV337,ListAndConversion!$AV$4:$AV$387,0),2),"-"))</f>
        <v>-</v>
      </c>
      <c r="CH337" s="378"/>
      <c r="CI337" s="487" t="str">
        <f t="shared" ca="1" si="180"/>
        <v>-</v>
      </c>
      <c r="CJ337" s="378" t="str">
        <f t="shared" ca="1" si="184"/>
        <v>-</v>
      </c>
      <c r="CK337" s="378" t="str">
        <f t="shared" ca="1" si="184"/>
        <v>-</v>
      </c>
      <c r="CL337" s="378" t="str">
        <f t="shared" ca="1" si="184"/>
        <v>-</v>
      </c>
      <c r="CM337" s="378" t="str">
        <f t="shared" ca="1" si="184"/>
        <v>-</v>
      </c>
      <c r="CN337" s="378" t="str">
        <f t="shared" ca="1" si="184"/>
        <v>-</v>
      </c>
      <c r="CO337" s="378" t="str">
        <f t="shared" ca="1" si="184"/>
        <v>-</v>
      </c>
      <c r="CP337" s="378" t="str">
        <f t="shared" ca="1" si="184"/>
        <v>-</v>
      </c>
      <c r="CQ337" s="378" t="str">
        <f t="shared" ca="1" si="184"/>
        <v>-</v>
      </c>
      <c r="CR337" s="510" t="str">
        <f ca="1">IFERROR(IF(LEFT(BW337,3)="Poo",INDEX($BE$4:$BJ$99,MATCH(CI337,$BG$4:$BG$99,0),6)*((15/50))*Calculation!$AK$6,INDEX(Calculation_Tab,MATCH(BV337,Identifier,0),10)/(IF(LEN(INDEX(Calculation_Tab,MATCH(BV337,Identifier,0),9))&gt;8,LEN(INDEX(Calculation_Tab,MATCH(BV337,Identifier,0),9))-8,1))*((15/50)*Calculation!$AK$6)),"-")</f>
        <v>-</v>
      </c>
      <c r="CS337" s="498" t="str">
        <f ca="1">IF(CI337="-","-",IF(COUNTIF($CI$3:CI337,CI337)&gt;1,0,IFERROR((35/50)*Calculation!$AK$6,"-")))</f>
        <v>-</v>
      </c>
    </row>
    <row r="338" spans="4:97" x14ac:dyDescent="0.5">
      <c r="D338" s="487" t="e">
        <f t="shared" si="165"/>
        <v>#DIV/0!</v>
      </c>
      <c r="E338" s="496" t="e">
        <f t="array" ref="E338">IF(IF((ROW(E338)-3)&lt;(ListAndConversion!$A$15),INDEX(Flow_Cell_Lane,MIN(IF(COUNTIF($E$2:E337,Flow_Cell_Lane)=0,ROW(Flow_Cell_Lane)-9))),"-")="","-",IF((ROW(E338)-3)&lt;(ListAndConversion!$A$15),INDEX(Flow_Cell_Lane,MIN(IF(COUNTIF($E$2:E337,Flow_Cell_Lane)=0,ROW(Flow_Cell_Lane)-9))),"-"))</f>
        <v>#DIV/0!</v>
      </c>
      <c r="F338" s="378" t="e">
        <f t="shared" si="166"/>
        <v>#DIV/0!</v>
      </c>
      <c r="G338" s="378" t="e">
        <f t="shared" si="183"/>
        <v>#DIV/0!</v>
      </c>
      <c r="H338" s="378" t="e">
        <f t="shared" si="183"/>
        <v>#DIV/0!</v>
      </c>
      <c r="I338" s="378" t="e">
        <f t="shared" si="183"/>
        <v>#DIV/0!</v>
      </c>
      <c r="J338" s="378" t="e">
        <f t="shared" si="183"/>
        <v>#DIV/0!</v>
      </c>
      <c r="K338" s="378" t="e">
        <f t="shared" si="183"/>
        <v>#DIV/0!</v>
      </c>
      <c r="L338" s="378" t="e">
        <f t="shared" si="183"/>
        <v>#DIV/0!</v>
      </c>
      <c r="M338" s="378" t="e">
        <f t="shared" si="183"/>
        <v>#DIV/0!</v>
      </c>
      <c r="N338" s="497" t="e">
        <f t="shared" si="168"/>
        <v>#DIV/0!</v>
      </c>
      <c r="O338" s="497" t="str">
        <f t="array" ref="O338">IFERROR(INDEX(Calculation!I:AN,MATCH(ListAndConversion!E338,Calculation!I:I,0),31),"-")</f>
        <v>-</v>
      </c>
      <c r="P338" s="498">
        <f>IF(COUNTIFS(Calculation!$I$10:$I$393,E338,Direct_Denaturation,"-")&lt;&gt;1,COUNTIFS(Calculation!$I$10:$I$393,E338,Direct_Denaturation,"-"),0)</f>
        <v>0</v>
      </c>
      <c r="V338" s="542" t="s">
        <v>82</v>
      </c>
      <c r="W338" s="542" t="s">
        <v>82</v>
      </c>
      <c r="X338" s="542" t="s">
        <v>82</v>
      </c>
      <c r="Y338" s="542" t="s">
        <v>82</v>
      </c>
      <c r="Z338" s="542" t="s">
        <v>82</v>
      </c>
      <c r="AA338" s="542" t="s">
        <v>82</v>
      </c>
      <c r="AB338" s="542" t="s">
        <v>82</v>
      </c>
      <c r="AC338" s="542" t="s">
        <v>82</v>
      </c>
      <c r="AD338" s="542" t="s">
        <v>82</v>
      </c>
      <c r="AE338" s="542" t="s">
        <v>82</v>
      </c>
      <c r="AF338" s="542" t="s">
        <v>82</v>
      </c>
      <c r="AG338" s="542" t="s">
        <v>82</v>
      </c>
      <c r="AH338" s="9"/>
      <c r="AI338" s="487">
        <v>335</v>
      </c>
      <c r="AJ338" s="497" t="s">
        <v>479</v>
      </c>
      <c r="AK338" s="378">
        <v>47</v>
      </c>
      <c r="AL338" s="378" t="str">
        <f t="shared" ca="1" si="169"/>
        <v>-</v>
      </c>
      <c r="AM338" s="378" t="str">
        <f t="array" aca="1" ref="AM338" ca="1">IFERROR(IF(AI338&lt;=$AB$2,"-",INDEX(Calculation_Tab,SMALL(ROW(Main_Dil)*(Main_Dil&lt;&gt;"-"),COUNTIF(Main_Dil,"-")+ROW()-3-$AB$2)-9,5)),"-")</f>
        <v>-</v>
      </c>
      <c r="AN338" s="378" t="str">
        <f t="array" aca="1" ref="AN338" ca="1">IFERROR(IF(AI338&lt;=$AB$2,"-",INDEX($A$3:$B$12,MATCH(INDEX(Calculation_Tab,SMALL(ROW(Main_Dil)*(Main_Dil&lt;&gt;"-"),COUNTIF(Main_Dil,"-")+ROW()-3-$AB$2)-9,5),$A$3:$A$12,0),2)),"-")</f>
        <v>-</v>
      </c>
      <c r="AO338" s="378" t="str">
        <f t="array" aca="1" ref="AO338" ca="1">IFERROR(IF(AI338&lt;=$AB$2,"-",INDEX(Coordinate,MATCH(INDEX(Calculation_Tab,SMALL(ROW(Main_Dil)*(Main_Dil&lt;&gt;"-"),COUNTIF(Main_Dil,"-")+ROW()-3-$AB$2)-9,6),$X$4:$X$99,0),2)),"-")</f>
        <v>-</v>
      </c>
      <c r="AP338" s="510" t="str">
        <f t="array" aca="1" ref="AP338" ca="1">IFERROR(IF(AI338&lt;=$AB$2,"-",INDEX(Calculation_Tab,SMALL(ROW(Main_Dil)*(Main_Dil&lt;&gt;"-"),COUNTIF(Main_Dil,"-")+ROW()-3-$AB$2)-9,21)),"-")</f>
        <v>-</v>
      </c>
      <c r="AQ338" s="511" t="str">
        <f t="array" aca="1" ref="AQ338" ca="1">IFERROR(IF(AI338&lt;=$AB$2,"-",INDEX(Calculation_Tab,SMALL(ROW(Main_Dil)*(Main_Dil&lt;&gt;"-"),COUNTIF(Main_Dil,"-")+ROW()-3-$AB$2)-9,22)),"-")</f>
        <v>-</v>
      </c>
      <c r="AR338" s="487" t="str">
        <f t="shared" ca="1" si="170"/>
        <v>-</v>
      </c>
      <c r="AS338" s="378">
        <v>335</v>
      </c>
      <c r="AT338" s="497" t="s">
        <v>479</v>
      </c>
      <c r="AU338" s="498">
        <v>47</v>
      </c>
      <c r="AV338" s="378" t="str">
        <f t="shared" ca="1" si="171"/>
        <v>-</v>
      </c>
      <c r="AW338" s="378" t="str">
        <f t="array" aca="1" ref="AW338" ca="1">IFERROR(IF(AS338&lt;=$AB$2+$AN$2,"-",INDEX(Calculation_Tab,SMALL(ROW(Direct_Denaturation)*(Direct_Denaturation&lt;&gt;"-"),COUNTIF(Direct_Denaturation,"-")+ROW()-3-$AB$2-$AN$2)-9,5)),"-")</f>
        <v>-</v>
      </c>
      <c r="AX338" s="378" t="str">
        <f t="array" aca="1" ref="AX338" ca="1">IFERROR(IF(AS338&lt;=$AB$2+$AN$2,"-",INDEX($A$3:$B$12,MATCH(INDEX(Calculation_Tab,SMALL(ROW(Direct_Denaturation)*(Direct_Denaturation&lt;&gt;"-"),COUNTIF(Direct_Denaturation,"-")+ROW()-3-$AB$2-$AN$2)-9,5),$A$3:$A$12,0),2)),"-")</f>
        <v>-</v>
      </c>
      <c r="AY338" s="378" t="str">
        <f t="array" aca="1" ref="AY338" ca="1">IFERROR(IF(AS338&lt;=$AB$2+$AN$2,"-",INDEX(Coordinate,MATCH(INDEX(Calculation_Tab,SMALL(ROW(Direct_Denaturation)*(Direct_Denaturation&lt;&gt;"-"),COUNTIF(Direct_Denaturation,"-")+ROW()-3-$AB$2-$AN$2)-9,6),$X$4:$X$99,0),2)),"-")</f>
        <v>-</v>
      </c>
      <c r="AZ338" s="510" t="str">
        <f t="array" aca="1" ref="AZ338" ca="1">IFERROR(IF(AS338&lt;=$AB$2+$AN$2,"-",INDEX(Calculation_Tab,SMALL(ROW(Direct_Denaturation)*(Direct_Denaturation&lt;&gt;"-"),COUNTIF(Direct_Denaturation,"-")+ROW()-3-$AB$2-$AN$2)-9,32)),"-")</f>
        <v>-</v>
      </c>
      <c r="BA338" s="510" t="str">
        <f t="array" aca="1" ref="BA338" ca="1">IFERROR(IF(AS338&lt;=$AB$2+$AN$2,"-",INDEX(Calculation_Tab,SMALL(ROW(Direct_Denaturation)*(Direct_Denaturation&lt;&gt;"-"),COUNTIF(Direct_Denaturation,"-")+ROW()-3-$AB$2-$AN$2)-9,34)),"-")</f>
        <v>-</v>
      </c>
      <c r="BB338" s="510" t="str">
        <f t="array" aca="1" ref="BB338" ca="1">IFERROR(IF(AS338&lt;=$AB$2+$AN$2,"-",INDEX(Calculation_Tab,SMALL(ROW(Direct_Denaturation)*(Direct_Denaturation&lt;&gt;"-"),COUNTIF(Direct_Denaturation,"-")+ROW()-3-$AB$2-$AN$2)-9,33)),"-")</f>
        <v>-</v>
      </c>
      <c r="BC338" s="510" t="str">
        <f t="array" aca="1" ref="BC338" ca="1">IFERROR(IF(AS338&lt;=$AB$2+$AN$2,"-",INDEX(Calculation_Tab,SMALL(ROW(Direct_Denaturation)*(Direct_Denaturation&lt;&gt;"-"),COUNTIF(Direct_Denaturation,"-")+ROW()-3-$AB$2-$AN$2)-9,35)),"-")</f>
        <v>-</v>
      </c>
      <c r="BD338" s="511" t="str">
        <f t="shared" ca="1" si="172"/>
        <v>-</v>
      </c>
      <c r="BK338" s="542" t="s">
        <v>82</v>
      </c>
      <c r="BL338" s="542" t="s">
        <v>82</v>
      </c>
      <c r="BM338" s="487" t="str">
        <f t="array" aca="1" ref="BM338" ca="1">IFERROR(INDEX(Calculation_Tab,SMALL(ROW(ToPool)*(ToPool&lt;&gt;"-"),COUNTIF(ToPool,"-")+ROW()-3)-9,3),"-")</f>
        <v>-</v>
      </c>
      <c r="BN338" s="378" t="str">
        <f t="shared" ca="1" si="173"/>
        <v>-</v>
      </c>
      <c r="BO338" s="378" t="str">
        <f t="shared" ca="1" si="174"/>
        <v>-</v>
      </c>
      <c r="BP338" s="523" t="str">
        <f t="shared" ca="1" si="175"/>
        <v>-</v>
      </c>
      <c r="BQ338" s="378" t="str">
        <f t="array" aca="1" ref="BQ338" ca="1">IFERROR(INDEX(BE:BG,MATCH(INDEX(Calculation_Tab,SMALL(ROW(ToPool)*(ToPool&lt;&gt;"-"),COUNTIF(ToPool,"-")+ROW()-3)-9,9),BG:BG,0),2),"-")</f>
        <v>-</v>
      </c>
      <c r="BR338" s="510" t="str">
        <f t="shared" ca="1" si="176"/>
        <v>-</v>
      </c>
      <c r="BS338" s="511" t="str">
        <f t="shared" ca="1" si="177"/>
        <v>-</v>
      </c>
      <c r="BT338" s="543" t="s">
        <v>82</v>
      </c>
      <c r="BU338" s="487" t="str">
        <f t="shared" ca="1" si="182"/>
        <v>-</v>
      </c>
      <c r="BV338" s="487" t="str">
        <f t="array" aca="1" ref="BV33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38" s="378" t="str">
        <f t="shared" ca="1" si="178"/>
        <v>-</v>
      </c>
      <c r="BX338" s="378" t="str">
        <f t="shared" ca="1" si="179"/>
        <v>-</v>
      </c>
      <c r="BY338" s="510" t="str">
        <f ca="1">IFERROR(ROUND(INDEX(Cluster,MATCH(IF(LEFT(BV338,4)="Pool",INDEX(Cluster,MATCH(INDEX(Calculation_Tab,MATCH(INDEX($BE$4:$BJ$99,MATCH(BV338,$BE$4:$BE$99,0),3),Flow_Cell_Lane,0),3),Cluster!$F$29:$F$412,0),6),BV338),Identifier_Cluster,0),19)*IF(LEFT(BV338,4)="pool",IF(LEN(INDEX($BE$4:$BJ$99,MATCH(BV338,$BE$4:$BE$99,0),3))=10,2,IF(LEN(INDEX($BE$4:$BJ$99,MATCH(BV338,$BE$4:$BE$99,0),3))&gt;10,LEN(INDEX($BE$4:$BJ$99,MATCH(BV338,$BE$4:$BE$99,0),3))-8,1)),1)*IF(LEFT(BV338,4)="pool",IF(INDEX($BE$4:$BJ$99,MATCH(BV338,$BE$4:$BE$99,0),6)&lt;1,1,INDEX($BE$4:$BJ$99,MATCH(BV338,$BE$4:$BE$99,0),6)),INDEX(Calculation_Tab,MATCH(BV338,Identifier,0),10)),1)*(1+Calculation!$Q$6),"-")</f>
        <v>-</v>
      </c>
      <c r="BZ338" s="378" t="str">
        <f ca="1">IFERROR((0.5/50)*CE338/Calculation!$AG$6*(IF(LEFT(BV338,4)="Pool",IF(LEN(INDEX($BE$4:$BJ$99,MATCH(BV338,$BE$4:$BE$99,0),3))=10,2,IF(LEN(INDEX($BE$4:$BJ$99,MATCH(BV338,$BE$4:$BE$99,0),3))&gt;10,LEN(INDEX($BE$4:$BJ$99,MATCH(BV338,$BE$4:$BE$99,0),3))-8,1)),IF(INDEX(Calculation_Tab,MATCH(BV338,Identifier,0),10)&gt;1,INDEX(Calculation_Tab,MATCH(BV338,Identifier,0),10),1)))*(1+Calculation!$Q$6),"-")</f>
        <v>-</v>
      </c>
      <c r="CA338" s="510" t="str">
        <f ca="1">IFERROR(IF((BZ338*Calculation!$AG$6/0.05)-SUM(BY338:BZ338,CC338)&gt;0,(BZ338*Calculation!$AG$6/0.05)-SUM(BY338:BZ338,CC338),0),"-")</f>
        <v>-</v>
      </c>
      <c r="CB338" s="510" t="str">
        <f ca="1">IFERROR(5/50*CE338*(IF(LEFT(BV338,4)="Pool",IF(LEN(INDEX($BE$4:$BJ$99,MATCH(BV338,$BE$4:$BE$99,0),3))=10,2,IF(LEN(INDEX($BE$4:$BJ$99,MATCH(BV338,$BE$4:$BE$99,0),3))&gt;10,LEN(INDEX($BE$4:$BJ$99,MATCH(BV338,$BE$4:$BE$99,0),3))-8,1)),IF(INDEX(Calculation_Tab,MATCH(BV338,Identifier,0),10)&gt;1,INDEX(Calculation_Tab,MATCH(BV338,Identifier,0),10),1)))*(1+Calculation!$Q$6),"-")</f>
        <v>-</v>
      </c>
      <c r="CC338" s="508" t="str">
        <f ca="1">IFERROR(ROUND(INDEX(Cluster,MATCH(IF(LEFT(BV338,4)="Pool",INDEX(Cluster,MATCH(INDEX(Calculation_Tab,MATCH(INDEX($BE$4:$BJ$99,MATCH(BV338,$BE$4:$BE$99,0),3),Flow_Cell_Lane,0),3),Cluster!$F$29:$F$412,0),6),BV338),Identifier_Cluster,0),20)*IF(LEFT(BV338,4)="pool",IF(LEN(INDEX($BE$4:$BJ$99,MATCH(BV338,$BE$4:$BE$99,0),3))=10,2,IF(LEN(INDEX($BE$4:$BJ$99,MATCH(BV338,$BE$4:$BE$99,0),3))&gt;10,LEN(INDEX($BE$4:$BJ$99,MATCH(BV338,$BE$4:$BE$99,0),3))-8,1)),1)*IF(LEFT(BV338,4)="pool",IF(INDEX($BE$4:$BJ$99,MATCH(BV338,$BE$4:$BE$99,0),6)&lt;1,1,INDEX($BE$4:$BJ$99,MATCH(BV338,$BE$4:$BE$99,0),6)),INDEX(Calculation_Tab,MATCH(BV338,Identifier,0),10)),1)*(1+Calculation!$Q$6),"-")</f>
        <v>-</v>
      </c>
      <c r="CD338" s="509" t="str">
        <f ca="1">IFERROR(INDEX(Cluster!AC:AD,MATCH(IF(LEFT(BV338,4)="Pool",INDEX(Cluster!$D$29:$AA$412,MATCH(INDEX(Calculation_Tab,MATCH(INDEX($BE$4:$BJ$99,MATCH(BV338,$BE$4:$BE$99,0),3),Flow_Cell_Lane,0),3),Cluster!$F$29:$F$412,0),24),INDEX(Cluster!$D$29:$AA$412,MATCH(BV338,Cluster!$F$29:$F$412,0),24)),Cluster!AC:AC,0),2),"-")</f>
        <v>-</v>
      </c>
      <c r="CE338" s="378" t="str">
        <f ca="1">IFERROR(IF(BV338&lt;&gt;"-",Calculation!$AK$6,"-"),"-")</f>
        <v>-</v>
      </c>
      <c r="CF338" s="378" t="str">
        <f ca="1">IF(OR(LEFT(ListAndConversion!BW338,3)="Dil",LEFT(ListAndConversion!BW338,3)="Poo"),ListAndConversion!$BT$4,IF(LEFT(ListAndConversion!BW338,3)="Sou",INDEX(ListAndConversion!$AT$3:$AV$387,MATCH(ListAndConversion!BV338,ListAndConversion!$AV$3:$AV$387,0),1),"-"))</f>
        <v>-</v>
      </c>
      <c r="CG338" s="498" t="str">
        <f ca="1">IF(OR(LEFT(ListAndConversion!BW338,3)="Dil",LEFT(ListAndConversion!BW338,3)="Poo"),ListAndConversion!BU338,IF(LEFT(ListAndConversion!BW338,3)="Sou",INDEX(ListAndConversion!$AT$4:$AV$387,MATCH(ListAndConversion!BV338,ListAndConversion!$AV$4:$AV$387,0),2),"-"))</f>
        <v>-</v>
      </c>
      <c r="CH338" s="378"/>
      <c r="CI338" s="487" t="str">
        <f t="shared" ca="1" si="180"/>
        <v>-</v>
      </c>
      <c r="CJ338" s="378" t="str">
        <f t="shared" ca="1" si="184"/>
        <v>-</v>
      </c>
      <c r="CK338" s="378" t="str">
        <f t="shared" ca="1" si="184"/>
        <v>-</v>
      </c>
      <c r="CL338" s="378" t="str">
        <f t="shared" ca="1" si="184"/>
        <v>-</v>
      </c>
      <c r="CM338" s="378" t="str">
        <f t="shared" ca="1" si="184"/>
        <v>-</v>
      </c>
      <c r="CN338" s="378" t="str">
        <f t="shared" ca="1" si="184"/>
        <v>-</v>
      </c>
      <c r="CO338" s="378" t="str">
        <f t="shared" ca="1" si="184"/>
        <v>-</v>
      </c>
      <c r="CP338" s="378" t="str">
        <f t="shared" ca="1" si="184"/>
        <v>-</v>
      </c>
      <c r="CQ338" s="378" t="str">
        <f t="shared" ca="1" si="184"/>
        <v>-</v>
      </c>
      <c r="CR338" s="510" t="str">
        <f ca="1">IFERROR(IF(LEFT(BW338,3)="Poo",INDEX($BE$4:$BJ$99,MATCH(CI338,$BG$4:$BG$99,0),6)*((15/50))*Calculation!$AK$6,INDEX(Calculation_Tab,MATCH(BV338,Identifier,0),10)/(IF(LEN(INDEX(Calculation_Tab,MATCH(BV338,Identifier,0),9))&gt;8,LEN(INDEX(Calculation_Tab,MATCH(BV338,Identifier,0),9))-8,1))*((15/50)*Calculation!$AK$6)),"-")</f>
        <v>-</v>
      </c>
      <c r="CS338" s="498" t="str">
        <f ca="1">IF(CI338="-","-",IF(COUNTIF($CI$3:CI338,CI338)&gt;1,0,IFERROR((35/50)*Calculation!$AK$6,"-")))</f>
        <v>-</v>
      </c>
    </row>
    <row r="339" spans="4:97" x14ac:dyDescent="0.5">
      <c r="D339" s="487" t="e">
        <f t="shared" si="165"/>
        <v>#DIV/0!</v>
      </c>
      <c r="E339" s="496" t="e">
        <f t="array" ref="E339">IF(IF((ROW(E339)-3)&lt;(ListAndConversion!$A$15),INDEX(Flow_Cell_Lane,MIN(IF(COUNTIF($E$2:E338,Flow_Cell_Lane)=0,ROW(Flow_Cell_Lane)-9))),"-")="","-",IF((ROW(E339)-3)&lt;(ListAndConversion!$A$15),INDEX(Flow_Cell_Lane,MIN(IF(COUNTIF($E$2:E338,Flow_Cell_Lane)=0,ROW(Flow_Cell_Lane)-9))),"-"))</f>
        <v>#DIV/0!</v>
      </c>
      <c r="F339" s="378" t="e">
        <f t="shared" si="166"/>
        <v>#DIV/0!</v>
      </c>
      <c r="G339" s="378" t="e">
        <f t="shared" si="183"/>
        <v>#DIV/0!</v>
      </c>
      <c r="H339" s="378" t="e">
        <f t="shared" si="183"/>
        <v>#DIV/0!</v>
      </c>
      <c r="I339" s="378" t="e">
        <f t="shared" si="183"/>
        <v>#DIV/0!</v>
      </c>
      <c r="J339" s="378" t="e">
        <f t="shared" si="183"/>
        <v>#DIV/0!</v>
      </c>
      <c r="K339" s="378" t="e">
        <f t="shared" si="183"/>
        <v>#DIV/0!</v>
      </c>
      <c r="L339" s="378" t="e">
        <f t="shared" si="183"/>
        <v>#DIV/0!</v>
      </c>
      <c r="M339" s="378" t="e">
        <f t="shared" si="183"/>
        <v>#DIV/0!</v>
      </c>
      <c r="N339" s="497" t="e">
        <f t="shared" si="168"/>
        <v>#DIV/0!</v>
      </c>
      <c r="O339" s="497" t="str">
        <f t="array" ref="O339">IFERROR(INDEX(Calculation!I:AN,MATCH(ListAndConversion!E339,Calculation!I:I,0),31),"-")</f>
        <v>-</v>
      </c>
      <c r="P339" s="498">
        <f>IF(COUNTIFS(Calculation!$I$10:$I$393,E339,Direct_Denaturation,"-")&lt;&gt;1,COUNTIFS(Calculation!$I$10:$I$393,E339,Direct_Denaturation,"-"),0)</f>
        <v>0</v>
      </c>
      <c r="V339" s="542" t="s">
        <v>82</v>
      </c>
      <c r="W339" s="542" t="s">
        <v>82</v>
      </c>
      <c r="X339" s="542" t="s">
        <v>82</v>
      </c>
      <c r="Y339" s="542" t="s">
        <v>82</v>
      </c>
      <c r="Z339" s="542" t="s">
        <v>82</v>
      </c>
      <c r="AA339" s="542" t="s">
        <v>82</v>
      </c>
      <c r="AB339" s="542" t="s">
        <v>82</v>
      </c>
      <c r="AC339" s="542" t="s">
        <v>82</v>
      </c>
      <c r="AD339" s="542" t="s">
        <v>82</v>
      </c>
      <c r="AE339" s="542" t="s">
        <v>82</v>
      </c>
      <c r="AF339" s="542" t="s">
        <v>82</v>
      </c>
      <c r="AG339" s="542" t="s">
        <v>82</v>
      </c>
      <c r="AH339" s="9"/>
      <c r="AI339" s="487">
        <v>336</v>
      </c>
      <c r="AJ339" s="497" t="s">
        <v>479</v>
      </c>
      <c r="AK339" s="378">
        <v>48</v>
      </c>
      <c r="AL339" s="378" t="str">
        <f t="shared" ca="1" si="169"/>
        <v>-</v>
      </c>
      <c r="AM339" s="378" t="str">
        <f t="array" aca="1" ref="AM339" ca="1">IFERROR(IF(AI339&lt;=$AB$2,"-",INDEX(Calculation_Tab,SMALL(ROW(Main_Dil)*(Main_Dil&lt;&gt;"-"),COUNTIF(Main_Dil,"-")+ROW()-3-$AB$2)-9,5)),"-")</f>
        <v>-</v>
      </c>
      <c r="AN339" s="378" t="str">
        <f t="array" aca="1" ref="AN339" ca="1">IFERROR(IF(AI339&lt;=$AB$2,"-",INDEX($A$3:$B$12,MATCH(INDEX(Calculation_Tab,SMALL(ROW(Main_Dil)*(Main_Dil&lt;&gt;"-"),COUNTIF(Main_Dil,"-")+ROW()-3-$AB$2)-9,5),$A$3:$A$12,0),2)),"-")</f>
        <v>-</v>
      </c>
      <c r="AO339" s="378" t="str">
        <f t="array" aca="1" ref="AO339" ca="1">IFERROR(IF(AI339&lt;=$AB$2,"-",INDEX(Coordinate,MATCH(INDEX(Calculation_Tab,SMALL(ROW(Main_Dil)*(Main_Dil&lt;&gt;"-"),COUNTIF(Main_Dil,"-")+ROW()-3-$AB$2)-9,6),$X$4:$X$99,0),2)),"-")</f>
        <v>-</v>
      </c>
      <c r="AP339" s="510" t="str">
        <f t="array" aca="1" ref="AP339" ca="1">IFERROR(IF(AI339&lt;=$AB$2,"-",INDEX(Calculation_Tab,SMALL(ROW(Main_Dil)*(Main_Dil&lt;&gt;"-"),COUNTIF(Main_Dil,"-")+ROW()-3-$AB$2)-9,21)),"-")</f>
        <v>-</v>
      </c>
      <c r="AQ339" s="511" t="str">
        <f t="array" aca="1" ref="AQ339" ca="1">IFERROR(IF(AI339&lt;=$AB$2,"-",INDEX(Calculation_Tab,SMALL(ROW(Main_Dil)*(Main_Dil&lt;&gt;"-"),COUNTIF(Main_Dil,"-")+ROW()-3-$AB$2)-9,22)),"-")</f>
        <v>-</v>
      </c>
      <c r="AR339" s="487" t="str">
        <f t="shared" ca="1" si="170"/>
        <v>-</v>
      </c>
      <c r="AS339" s="378">
        <v>336</v>
      </c>
      <c r="AT339" s="497" t="s">
        <v>479</v>
      </c>
      <c r="AU339" s="498">
        <v>48</v>
      </c>
      <c r="AV339" s="378" t="str">
        <f t="shared" ca="1" si="171"/>
        <v>-</v>
      </c>
      <c r="AW339" s="378" t="str">
        <f t="array" aca="1" ref="AW339" ca="1">IFERROR(IF(AS339&lt;=$AB$2+$AN$2,"-",INDEX(Calculation_Tab,SMALL(ROW(Direct_Denaturation)*(Direct_Denaturation&lt;&gt;"-"),COUNTIF(Direct_Denaturation,"-")+ROW()-3-$AB$2-$AN$2)-9,5)),"-")</f>
        <v>-</v>
      </c>
      <c r="AX339" s="378" t="str">
        <f t="array" aca="1" ref="AX339" ca="1">IFERROR(IF(AS339&lt;=$AB$2+$AN$2,"-",INDEX($A$3:$B$12,MATCH(INDEX(Calculation_Tab,SMALL(ROW(Direct_Denaturation)*(Direct_Denaturation&lt;&gt;"-"),COUNTIF(Direct_Denaturation,"-")+ROW()-3-$AB$2-$AN$2)-9,5),$A$3:$A$12,0),2)),"-")</f>
        <v>-</v>
      </c>
      <c r="AY339" s="378" t="str">
        <f t="array" aca="1" ref="AY339" ca="1">IFERROR(IF(AS339&lt;=$AB$2+$AN$2,"-",INDEX(Coordinate,MATCH(INDEX(Calculation_Tab,SMALL(ROW(Direct_Denaturation)*(Direct_Denaturation&lt;&gt;"-"),COUNTIF(Direct_Denaturation,"-")+ROW()-3-$AB$2-$AN$2)-9,6),$X$4:$X$99,0),2)),"-")</f>
        <v>-</v>
      </c>
      <c r="AZ339" s="510" t="str">
        <f t="array" aca="1" ref="AZ339" ca="1">IFERROR(IF(AS339&lt;=$AB$2+$AN$2,"-",INDEX(Calculation_Tab,SMALL(ROW(Direct_Denaturation)*(Direct_Denaturation&lt;&gt;"-"),COUNTIF(Direct_Denaturation,"-")+ROW()-3-$AB$2-$AN$2)-9,32)),"-")</f>
        <v>-</v>
      </c>
      <c r="BA339" s="510" t="str">
        <f t="array" aca="1" ref="BA339" ca="1">IFERROR(IF(AS339&lt;=$AB$2+$AN$2,"-",INDEX(Calculation_Tab,SMALL(ROW(Direct_Denaturation)*(Direct_Denaturation&lt;&gt;"-"),COUNTIF(Direct_Denaturation,"-")+ROW()-3-$AB$2-$AN$2)-9,34)),"-")</f>
        <v>-</v>
      </c>
      <c r="BB339" s="510" t="str">
        <f t="array" aca="1" ref="BB339" ca="1">IFERROR(IF(AS339&lt;=$AB$2+$AN$2,"-",INDEX(Calculation_Tab,SMALL(ROW(Direct_Denaturation)*(Direct_Denaturation&lt;&gt;"-"),COUNTIF(Direct_Denaturation,"-")+ROW()-3-$AB$2-$AN$2)-9,33)),"-")</f>
        <v>-</v>
      </c>
      <c r="BC339" s="510" t="str">
        <f t="array" aca="1" ref="BC339" ca="1">IFERROR(IF(AS339&lt;=$AB$2+$AN$2,"-",INDEX(Calculation_Tab,SMALL(ROW(Direct_Denaturation)*(Direct_Denaturation&lt;&gt;"-"),COUNTIF(Direct_Denaturation,"-")+ROW()-3-$AB$2-$AN$2)-9,35)),"-")</f>
        <v>-</v>
      </c>
      <c r="BD339" s="511" t="str">
        <f t="shared" ca="1" si="172"/>
        <v>-</v>
      </c>
      <c r="BK339" s="542" t="s">
        <v>82</v>
      </c>
      <c r="BL339" s="542" t="s">
        <v>82</v>
      </c>
      <c r="BM339" s="487" t="str">
        <f t="array" aca="1" ref="BM339" ca="1">IFERROR(INDEX(Calculation_Tab,SMALL(ROW(ToPool)*(ToPool&lt;&gt;"-"),COUNTIF(ToPool,"-")+ROW()-3)-9,3),"-")</f>
        <v>-</v>
      </c>
      <c r="BN339" s="378" t="str">
        <f t="shared" ca="1" si="173"/>
        <v>-</v>
      </c>
      <c r="BO339" s="378" t="str">
        <f t="shared" ca="1" si="174"/>
        <v>-</v>
      </c>
      <c r="BP339" s="523" t="str">
        <f t="shared" ca="1" si="175"/>
        <v>-</v>
      </c>
      <c r="BQ339" s="378" t="str">
        <f t="array" aca="1" ref="BQ339" ca="1">IFERROR(INDEX(BE:BG,MATCH(INDEX(Calculation_Tab,SMALL(ROW(ToPool)*(ToPool&lt;&gt;"-"),COUNTIF(ToPool,"-")+ROW()-3)-9,9),BG:BG,0),2),"-")</f>
        <v>-</v>
      </c>
      <c r="BR339" s="510" t="str">
        <f t="shared" ca="1" si="176"/>
        <v>-</v>
      </c>
      <c r="BS339" s="511" t="str">
        <f t="shared" ca="1" si="177"/>
        <v>-</v>
      </c>
      <c r="BT339" s="543" t="s">
        <v>82</v>
      </c>
      <c r="BU339" s="487" t="str">
        <f t="shared" ca="1" si="182"/>
        <v>-</v>
      </c>
      <c r="BV339" s="487" t="str">
        <f t="array" aca="1" ref="BV33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39" s="378" t="str">
        <f t="shared" ca="1" si="178"/>
        <v>-</v>
      </c>
      <c r="BX339" s="378" t="str">
        <f t="shared" ca="1" si="179"/>
        <v>-</v>
      </c>
      <c r="BY339" s="510" t="str">
        <f ca="1">IFERROR(ROUND(INDEX(Cluster,MATCH(IF(LEFT(BV339,4)="Pool",INDEX(Cluster,MATCH(INDEX(Calculation_Tab,MATCH(INDEX($BE$4:$BJ$99,MATCH(BV339,$BE$4:$BE$99,0),3),Flow_Cell_Lane,0),3),Cluster!$F$29:$F$412,0),6),BV339),Identifier_Cluster,0),19)*IF(LEFT(BV339,4)="pool",IF(LEN(INDEX($BE$4:$BJ$99,MATCH(BV339,$BE$4:$BE$99,0),3))=10,2,IF(LEN(INDEX($BE$4:$BJ$99,MATCH(BV339,$BE$4:$BE$99,0),3))&gt;10,LEN(INDEX($BE$4:$BJ$99,MATCH(BV339,$BE$4:$BE$99,0),3))-8,1)),1)*IF(LEFT(BV339,4)="pool",IF(INDEX($BE$4:$BJ$99,MATCH(BV339,$BE$4:$BE$99,0),6)&lt;1,1,INDEX($BE$4:$BJ$99,MATCH(BV339,$BE$4:$BE$99,0),6)),INDEX(Calculation_Tab,MATCH(BV339,Identifier,0),10)),1)*(1+Calculation!$Q$6),"-")</f>
        <v>-</v>
      </c>
      <c r="BZ339" s="378" t="str">
        <f ca="1">IFERROR((0.5/50)*CE339/Calculation!$AG$6*(IF(LEFT(BV339,4)="Pool",IF(LEN(INDEX($BE$4:$BJ$99,MATCH(BV339,$BE$4:$BE$99,0),3))=10,2,IF(LEN(INDEX($BE$4:$BJ$99,MATCH(BV339,$BE$4:$BE$99,0),3))&gt;10,LEN(INDEX($BE$4:$BJ$99,MATCH(BV339,$BE$4:$BE$99,0),3))-8,1)),IF(INDEX(Calculation_Tab,MATCH(BV339,Identifier,0),10)&gt;1,INDEX(Calculation_Tab,MATCH(BV339,Identifier,0),10),1)))*(1+Calculation!$Q$6),"-")</f>
        <v>-</v>
      </c>
      <c r="CA339" s="510" t="str">
        <f ca="1">IFERROR(IF((BZ339*Calculation!$AG$6/0.05)-SUM(BY339:BZ339,CC339)&gt;0,(BZ339*Calculation!$AG$6/0.05)-SUM(BY339:BZ339,CC339),0),"-")</f>
        <v>-</v>
      </c>
      <c r="CB339" s="510" t="str">
        <f ca="1">IFERROR(5/50*CE339*(IF(LEFT(BV339,4)="Pool",IF(LEN(INDEX($BE$4:$BJ$99,MATCH(BV339,$BE$4:$BE$99,0),3))=10,2,IF(LEN(INDEX($BE$4:$BJ$99,MATCH(BV339,$BE$4:$BE$99,0),3))&gt;10,LEN(INDEX($BE$4:$BJ$99,MATCH(BV339,$BE$4:$BE$99,0),3))-8,1)),IF(INDEX(Calculation_Tab,MATCH(BV339,Identifier,0),10)&gt;1,INDEX(Calculation_Tab,MATCH(BV339,Identifier,0),10),1)))*(1+Calculation!$Q$6),"-")</f>
        <v>-</v>
      </c>
      <c r="CC339" s="508" t="str">
        <f ca="1">IFERROR(ROUND(INDEX(Cluster,MATCH(IF(LEFT(BV339,4)="Pool",INDEX(Cluster,MATCH(INDEX(Calculation_Tab,MATCH(INDEX($BE$4:$BJ$99,MATCH(BV339,$BE$4:$BE$99,0),3),Flow_Cell_Lane,0),3),Cluster!$F$29:$F$412,0),6),BV339),Identifier_Cluster,0),20)*IF(LEFT(BV339,4)="pool",IF(LEN(INDEX($BE$4:$BJ$99,MATCH(BV339,$BE$4:$BE$99,0),3))=10,2,IF(LEN(INDEX($BE$4:$BJ$99,MATCH(BV339,$BE$4:$BE$99,0),3))&gt;10,LEN(INDEX($BE$4:$BJ$99,MATCH(BV339,$BE$4:$BE$99,0),3))-8,1)),1)*IF(LEFT(BV339,4)="pool",IF(INDEX($BE$4:$BJ$99,MATCH(BV339,$BE$4:$BE$99,0),6)&lt;1,1,INDEX($BE$4:$BJ$99,MATCH(BV339,$BE$4:$BE$99,0),6)),INDEX(Calculation_Tab,MATCH(BV339,Identifier,0),10)),1)*(1+Calculation!$Q$6),"-")</f>
        <v>-</v>
      </c>
      <c r="CD339" s="509" t="str">
        <f ca="1">IFERROR(INDEX(Cluster!AC:AD,MATCH(IF(LEFT(BV339,4)="Pool",INDEX(Cluster!$D$29:$AA$412,MATCH(INDEX(Calculation_Tab,MATCH(INDEX($BE$4:$BJ$99,MATCH(BV339,$BE$4:$BE$99,0),3),Flow_Cell_Lane,0),3),Cluster!$F$29:$F$412,0),24),INDEX(Cluster!$D$29:$AA$412,MATCH(BV339,Cluster!$F$29:$F$412,0),24)),Cluster!AC:AC,0),2),"-")</f>
        <v>-</v>
      </c>
      <c r="CE339" s="378" t="str">
        <f ca="1">IFERROR(IF(BV339&lt;&gt;"-",Calculation!$AK$6,"-"),"-")</f>
        <v>-</v>
      </c>
      <c r="CF339" s="378" t="str">
        <f ca="1">IF(OR(LEFT(ListAndConversion!BW339,3)="Dil",LEFT(ListAndConversion!BW339,3)="Poo"),ListAndConversion!$BT$4,IF(LEFT(ListAndConversion!BW339,3)="Sou",INDEX(ListAndConversion!$AT$3:$AV$387,MATCH(ListAndConversion!BV339,ListAndConversion!$AV$3:$AV$387,0),1),"-"))</f>
        <v>-</v>
      </c>
      <c r="CG339" s="498" t="str">
        <f ca="1">IF(OR(LEFT(ListAndConversion!BW339,3)="Dil",LEFT(ListAndConversion!BW339,3)="Poo"),ListAndConversion!BU339,IF(LEFT(ListAndConversion!BW339,3)="Sou",INDEX(ListAndConversion!$AT$4:$AV$387,MATCH(ListAndConversion!BV339,ListAndConversion!$AV$4:$AV$387,0),2),"-"))</f>
        <v>-</v>
      </c>
      <c r="CH339" s="378"/>
      <c r="CI339" s="487" t="str">
        <f t="shared" ca="1" si="180"/>
        <v>-</v>
      </c>
      <c r="CJ339" s="378" t="str">
        <f t="shared" ca="1" si="184"/>
        <v>-</v>
      </c>
      <c r="CK339" s="378" t="str">
        <f t="shared" ca="1" si="184"/>
        <v>-</v>
      </c>
      <c r="CL339" s="378" t="str">
        <f t="shared" ca="1" si="184"/>
        <v>-</v>
      </c>
      <c r="CM339" s="378" t="str">
        <f t="shared" ca="1" si="184"/>
        <v>-</v>
      </c>
      <c r="CN339" s="378" t="str">
        <f t="shared" ca="1" si="184"/>
        <v>-</v>
      </c>
      <c r="CO339" s="378" t="str">
        <f t="shared" ca="1" si="184"/>
        <v>-</v>
      </c>
      <c r="CP339" s="378" t="str">
        <f t="shared" ca="1" si="184"/>
        <v>-</v>
      </c>
      <c r="CQ339" s="378" t="str">
        <f t="shared" ca="1" si="184"/>
        <v>-</v>
      </c>
      <c r="CR339" s="510" t="str">
        <f ca="1">IFERROR(IF(LEFT(BW339,3)="Poo",INDEX($BE$4:$BJ$99,MATCH(CI339,$BG$4:$BG$99,0),6)*((15/50))*Calculation!$AK$6,INDEX(Calculation_Tab,MATCH(BV339,Identifier,0),10)/(IF(LEN(INDEX(Calculation_Tab,MATCH(BV339,Identifier,0),9))&gt;8,LEN(INDEX(Calculation_Tab,MATCH(BV339,Identifier,0),9))-8,1))*((15/50)*Calculation!$AK$6)),"-")</f>
        <v>-</v>
      </c>
      <c r="CS339" s="498" t="str">
        <f ca="1">IF(CI339="-","-",IF(COUNTIF($CI$3:CI339,CI339)&gt;1,0,IFERROR((35/50)*Calculation!$AK$6,"-")))</f>
        <v>-</v>
      </c>
    </row>
    <row r="340" spans="4:97" x14ac:dyDescent="0.5">
      <c r="D340" s="487" t="e">
        <f t="shared" si="165"/>
        <v>#DIV/0!</v>
      </c>
      <c r="E340" s="496" t="e">
        <f t="array" ref="E340">IF(IF((ROW(E340)-3)&lt;(ListAndConversion!$A$15),INDEX(Flow_Cell_Lane,MIN(IF(COUNTIF($E$2:E339,Flow_Cell_Lane)=0,ROW(Flow_Cell_Lane)-9))),"-")="","-",IF((ROW(E340)-3)&lt;(ListAndConversion!$A$15),INDEX(Flow_Cell_Lane,MIN(IF(COUNTIF($E$2:E339,Flow_Cell_Lane)=0,ROW(Flow_Cell_Lane)-9))),"-"))</f>
        <v>#DIV/0!</v>
      </c>
      <c r="F340" s="378" t="e">
        <f t="shared" si="166"/>
        <v>#DIV/0!</v>
      </c>
      <c r="G340" s="378" t="e">
        <f t="shared" si="183"/>
        <v>#DIV/0!</v>
      </c>
      <c r="H340" s="378" t="e">
        <f t="shared" si="183"/>
        <v>#DIV/0!</v>
      </c>
      <c r="I340" s="378" t="e">
        <f t="shared" si="183"/>
        <v>#DIV/0!</v>
      </c>
      <c r="J340" s="378" t="e">
        <f t="shared" si="183"/>
        <v>#DIV/0!</v>
      </c>
      <c r="K340" s="378" t="e">
        <f t="shared" si="183"/>
        <v>#DIV/0!</v>
      </c>
      <c r="L340" s="378" t="e">
        <f t="shared" si="183"/>
        <v>#DIV/0!</v>
      </c>
      <c r="M340" s="378" t="e">
        <f t="shared" si="183"/>
        <v>#DIV/0!</v>
      </c>
      <c r="N340" s="497" t="e">
        <f t="shared" si="168"/>
        <v>#DIV/0!</v>
      </c>
      <c r="O340" s="497" t="str">
        <f t="array" ref="O340">IFERROR(INDEX(Calculation!I:AN,MATCH(ListAndConversion!E340,Calculation!I:I,0),31),"-")</f>
        <v>-</v>
      </c>
      <c r="P340" s="498">
        <f>IF(COUNTIFS(Calculation!$I$10:$I$393,E340,Direct_Denaturation,"-")&lt;&gt;1,COUNTIFS(Calculation!$I$10:$I$393,E340,Direct_Denaturation,"-"),0)</f>
        <v>0</v>
      </c>
      <c r="V340" s="542" t="s">
        <v>82</v>
      </c>
      <c r="W340" s="542" t="s">
        <v>82</v>
      </c>
      <c r="X340" s="542" t="s">
        <v>82</v>
      </c>
      <c r="Y340" s="542" t="s">
        <v>82</v>
      </c>
      <c r="Z340" s="542" t="s">
        <v>82</v>
      </c>
      <c r="AA340" s="542" t="s">
        <v>82</v>
      </c>
      <c r="AB340" s="542" t="s">
        <v>82</v>
      </c>
      <c r="AC340" s="542" t="s">
        <v>82</v>
      </c>
      <c r="AD340" s="542" t="s">
        <v>82</v>
      </c>
      <c r="AE340" s="542" t="s">
        <v>82</v>
      </c>
      <c r="AF340" s="542" t="s">
        <v>82</v>
      </c>
      <c r="AG340" s="542" t="s">
        <v>82</v>
      </c>
      <c r="AH340" s="9"/>
      <c r="AI340" s="487">
        <v>337</v>
      </c>
      <c r="AJ340" s="497" t="s">
        <v>479</v>
      </c>
      <c r="AK340" s="378">
        <v>49</v>
      </c>
      <c r="AL340" s="378" t="str">
        <f t="shared" ca="1" si="169"/>
        <v>-</v>
      </c>
      <c r="AM340" s="378" t="str">
        <f t="array" aca="1" ref="AM340" ca="1">IFERROR(IF(AI340&lt;=$AB$2,"-",INDEX(Calculation_Tab,SMALL(ROW(Main_Dil)*(Main_Dil&lt;&gt;"-"),COUNTIF(Main_Dil,"-")+ROW()-3-$AB$2)-9,5)),"-")</f>
        <v>-</v>
      </c>
      <c r="AN340" s="378" t="str">
        <f t="array" aca="1" ref="AN340" ca="1">IFERROR(IF(AI340&lt;=$AB$2,"-",INDEX($A$3:$B$12,MATCH(INDEX(Calculation_Tab,SMALL(ROW(Main_Dil)*(Main_Dil&lt;&gt;"-"),COUNTIF(Main_Dil,"-")+ROW()-3-$AB$2)-9,5),$A$3:$A$12,0),2)),"-")</f>
        <v>-</v>
      </c>
      <c r="AO340" s="378" t="str">
        <f t="array" aca="1" ref="AO340" ca="1">IFERROR(IF(AI340&lt;=$AB$2,"-",INDEX(Coordinate,MATCH(INDEX(Calculation_Tab,SMALL(ROW(Main_Dil)*(Main_Dil&lt;&gt;"-"),COUNTIF(Main_Dil,"-")+ROW()-3-$AB$2)-9,6),$X$4:$X$99,0),2)),"-")</f>
        <v>-</v>
      </c>
      <c r="AP340" s="510" t="str">
        <f t="array" aca="1" ref="AP340" ca="1">IFERROR(IF(AI340&lt;=$AB$2,"-",INDEX(Calculation_Tab,SMALL(ROW(Main_Dil)*(Main_Dil&lt;&gt;"-"),COUNTIF(Main_Dil,"-")+ROW()-3-$AB$2)-9,21)),"-")</f>
        <v>-</v>
      </c>
      <c r="AQ340" s="511" t="str">
        <f t="array" aca="1" ref="AQ340" ca="1">IFERROR(IF(AI340&lt;=$AB$2,"-",INDEX(Calculation_Tab,SMALL(ROW(Main_Dil)*(Main_Dil&lt;&gt;"-"),COUNTIF(Main_Dil,"-")+ROW()-3-$AB$2)-9,22)),"-")</f>
        <v>-</v>
      </c>
      <c r="AR340" s="487" t="str">
        <f t="shared" ca="1" si="170"/>
        <v>-</v>
      </c>
      <c r="AS340" s="378">
        <v>337</v>
      </c>
      <c r="AT340" s="497" t="s">
        <v>479</v>
      </c>
      <c r="AU340" s="498">
        <v>49</v>
      </c>
      <c r="AV340" s="378" t="str">
        <f t="shared" ca="1" si="171"/>
        <v>-</v>
      </c>
      <c r="AW340" s="378" t="str">
        <f t="array" aca="1" ref="AW340" ca="1">IFERROR(IF(AS340&lt;=$AB$2+$AN$2,"-",INDEX(Calculation_Tab,SMALL(ROW(Direct_Denaturation)*(Direct_Denaturation&lt;&gt;"-"),COUNTIF(Direct_Denaturation,"-")+ROW()-3-$AB$2-$AN$2)-9,5)),"-")</f>
        <v>-</v>
      </c>
      <c r="AX340" s="378" t="str">
        <f t="array" aca="1" ref="AX340" ca="1">IFERROR(IF(AS340&lt;=$AB$2+$AN$2,"-",INDEX($A$3:$B$12,MATCH(INDEX(Calculation_Tab,SMALL(ROW(Direct_Denaturation)*(Direct_Denaturation&lt;&gt;"-"),COUNTIF(Direct_Denaturation,"-")+ROW()-3-$AB$2-$AN$2)-9,5),$A$3:$A$12,0),2)),"-")</f>
        <v>-</v>
      </c>
      <c r="AY340" s="378" t="str">
        <f t="array" aca="1" ref="AY340" ca="1">IFERROR(IF(AS340&lt;=$AB$2+$AN$2,"-",INDEX(Coordinate,MATCH(INDEX(Calculation_Tab,SMALL(ROW(Direct_Denaturation)*(Direct_Denaturation&lt;&gt;"-"),COUNTIF(Direct_Denaturation,"-")+ROW()-3-$AB$2-$AN$2)-9,6),$X$4:$X$99,0),2)),"-")</f>
        <v>-</v>
      </c>
      <c r="AZ340" s="510" t="str">
        <f t="array" aca="1" ref="AZ340" ca="1">IFERROR(IF(AS340&lt;=$AB$2+$AN$2,"-",INDEX(Calculation_Tab,SMALL(ROW(Direct_Denaturation)*(Direct_Denaturation&lt;&gt;"-"),COUNTIF(Direct_Denaturation,"-")+ROW()-3-$AB$2-$AN$2)-9,32)),"-")</f>
        <v>-</v>
      </c>
      <c r="BA340" s="510" t="str">
        <f t="array" aca="1" ref="BA340" ca="1">IFERROR(IF(AS340&lt;=$AB$2+$AN$2,"-",INDEX(Calculation_Tab,SMALL(ROW(Direct_Denaturation)*(Direct_Denaturation&lt;&gt;"-"),COUNTIF(Direct_Denaturation,"-")+ROW()-3-$AB$2-$AN$2)-9,34)),"-")</f>
        <v>-</v>
      </c>
      <c r="BB340" s="510" t="str">
        <f t="array" aca="1" ref="BB340" ca="1">IFERROR(IF(AS340&lt;=$AB$2+$AN$2,"-",INDEX(Calculation_Tab,SMALL(ROW(Direct_Denaturation)*(Direct_Denaturation&lt;&gt;"-"),COUNTIF(Direct_Denaturation,"-")+ROW()-3-$AB$2-$AN$2)-9,33)),"-")</f>
        <v>-</v>
      </c>
      <c r="BC340" s="510" t="str">
        <f t="array" aca="1" ref="BC340" ca="1">IFERROR(IF(AS340&lt;=$AB$2+$AN$2,"-",INDEX(Calculation_Tab,SMALL(ROW(Direct_Denaturation)*(Direct_Denaturation&lt;&gt;"-"),COUNTIF(Direct_Denaturation,"-")+ROW()-3-$AB$2-$AN$2)-9,35)),"-")</f>
        <v>-</v>
      </c>
      <c r="BD340" s="511" t="str">
        <f t="shared" ca="1" si="172"/>
        <v>-</v>
      </c>
      <c r="BK340" s="542" t="s">
        <v>82</v>
      </c>
      <c r="BL340" s="542" t="s">
        <v>82</v>
      </c>
      <c r="BM340" s="487" t="str">
        <f t="array" aca="1" ref="BM340" ca="1">IFERROR(INDEX(Calculation_Tab,SMALL(ROW(ToPool)*(ToPool&lt;&gt;"-"),COUNTIF(ToPool,"-")+ROW()-3)-9,3),"-")</f>
        <v>-</v>
      </c>
      <c r="BN340" s="378" t="str">
        <f t="shared" ca="1" si="173"/>
        <v>-</v>
      </c>
      <c r="BO340" s="378" t="str">
        <f t="shared" ca="1" si="174"/>
        <v>-</v>
      </c>
      <c r="BP340" s="523" t="str">
        <f t="shared" ca="1" si="175"/>
        <v>-</v>
      </c>
      <c r="BQ340" s="378" t="str">
        <f t="array" aca="1" ref="BQ340" ca="1">IFERROR(INDEX(BE:BG,MATCH(INDEX(Calculation_Tab,SMALL(ROW(ToPool)*(ToPool&lt;&gt;"-"),COUNTIF(ToPool,"-")+ROW()-3)-9,9),BG:BG,0),2),"-")</f>
        <v>-</v>
      </c>
      <c r="BR340" s="510" t="str">
        <f t="shared" ca="1" si="176"/>
        <v>-</v>
      </c>
      <c r="BS340" s="511" t="str">
        <f t="shared" ca="1" si="177"/>
        <v>-</v>
      </c>
      <c r="BT340" s="543" t="s">
        <v>82</v>
      </c>
      <c r="BU340" s="487" t="str">
        <f t="shared" ca="1" si="182"/>
        <v>-</v>
      </c>
      <c r="BV340" s="487" t="str">
        <f t="array" aca="1" ref="BV34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40" s="378" t="str">
        <f t="shared" ca="1" si="178"/>
        <v>-</v>
      </c>
      <c r="BX340" s="378" t="str">
        <f t="shared" ca="1" si="179"/>
        <v>-</v>
      </c>
      <c r="BY340" s="510" t="str">
        <f ca="1">IFERROR(ROUND(INDEX(Cluster,MATCH(IF(LEFT(BV340,4)="Pool",INDEX(Cluster,MATCH(INDEX(Calculation_Tab,MATCH(INDEX($BE$4:$BJ$99,MATCH(BV340,$BE$4:$BE$99,0),3),Flow_Cell_Lane,0),3),Cluster!$F$29:$F$412,0),6),BV340),Identifier_Cluster,0),19)*IF(LEFT(BV340,4)="pool",IF(LEN(INDEX($BE$4:$BJ$99,MATCH(BV340,$BE$4:$BE$99,0),3))=10,2,IF(LEN(INDEX($BE$4:$BJ$99,MATCH(BV340,$BE$4:$BE$99,0),3))&gt;10,LEN(INDEX($BE$4:$BJ$99,MATCH(BV340,$BE$4:$BE$99,0),3))-8,1)),1)*IF(LEFT(BV340,4)="pool",IF(INDEX($BE$4:$BJ$99,MATCH(BV340,$BE$4:$BE$99,0),6)&lt;1,1,INDEX($BE$4:$BJ$99,MATCH(BV340,$BE$4:$BE$99,0),6)),INDEX(Calculation_Tab,MATCH(BV340,Identifier,0),10)),1)*(1+Calculation!$Q$6),"-")</f>
        <v>-</v>
      </c>
      <c r="BZ340" s="378" t="str">
        <f ca="1">IFERROR((0.5/50)*CE340/Calculation!$AG$6*(IF(LEFT(BV340,4)="Pool",IF(LEN(INDEX($BE$4:$BJ$99,MATCH(BV340,$BE$4:$BE$99,0),3))=10,2,IF(LEN(INDEX($BE$4:$BJ$99,MATCH(BV340,$BE$4:$BE$99,0),3))&gt;10,LEN(INDEX($BE$4:$BJ$99,MATCH(BV340,$BE$4:$BE$99,0),3))-8,1)),IF(INDEX(Calculation_Tab,MATCH(BV340,Identifier,0),10)&gt;1,INDEX(Calculation_Tab,MATCH(BV340,Identifier,0),10),1)))*(1+Calculation!$Q$6),"-")</f>
        <v>-</v>
      </c>
      <c r="CA340" s="510" t="str">
        <f ca="1">IFERROR(IF((BZ340*Calculation!$AG$6/0.05)-SUM(BY340:BZ340,CC340)&gt;0,(BZ340*Calculation!$AG$6/0.05)-SUM(BY340:BZ340,CC340),0),"-")</f>
        <v>-</v>
      </c>
      <c r="CB340" s="510" t="str">
        <f ca="1">IFERROR(5/50*CE340*(IF(LEFT(BV340,4)="Pool",IF(LEN(INDEX($BE$4:$BJ$99,MATCH(BV340,$BE$4:$BE$99,0),3))=10,2,IF(LEN(INDEX($BE$4:$BJ$99,MATCH(BV340,$BE$4:$BE$99,0),3))&gt;10,LEN(INDEX($BE$4:$BJ$99,MATCH(BV340,$BE$4:$BE$99,0),3))-8,1)),IF(INDEX(Calculation_Tab,MATCH(BV340,Identifier,0),10)&gt;1,INDEX(Calculation_Tab,MATCH(BV340,Identifier,0),10),1)))*(1+Calculation!$Q$6),"-")</f>
        <v>-</v>
      </c>
      <c r="CC340" s="508" t="str">
        <f ca="1">IFERROR(ROUND(INDEX(Cluster,MATCH(IF(LEFT(BV340,4)="Pool",INDEX(Cluster,MATCH(INDEX(Calculation_Tab,MATCH(INDEX($BE$4:$BJ$99,MATCH(BV340,$BE$4:$BE$99,0),3),Flow_Cell_Lane,0),3),Cluster!$F$29:$F$412,0),6),BV340),Identifier_Cluster,0),20)*IF(LEFT(BV340,4)="pool",IF(LEN(INDEX($BE$4:$BJ$99,MATCH(BV340,$BE$4:$BE$99,0),3))=10,2,IF(LEN(INDEX($BE$4:$BJ$99,MATCH(BV340,$BE$4:$BE$99,0),3))&gt;10,LEN(INDEX($BE$4:$BJ$99,MATCH(BV340,$BE$4:$BE$99,0),3))-8,1)),1)*IF(LEFT(BV340,4)="pool",IF(INDEX($BE$4:$BJ$99,MATCH(BV340,$BE$4:$BE$99,0),6)&lt;1,1,INDEX($BE$4:$BJ$99,MATCH(BV340,$BE$4:$BE$99,0),6)),INDEX(Calculation_Tab,MATCH(BV340,Identifier,0),10)),1)*(1+Calculation!$Q$6),"-")</f>
        <v>-</v>
      </c>
      <c r="CD340" s="509" t="str">
        <f ca="1">IFERROR(INDEX(Cluster!AC:AD,MATCH(IF(LEFT(BV340,4)="Pool",INDEX(Cluster!$D$29:$AA$412,MATCH(INDEX(Calculation_Tab,MATCH(INDEX($BE$4:$BJ$99,MATCH(BV340,$BE$4:$BE$99,0),3),Flow_Cell_Lane,0),3),Cluster!$F$29:$F$412,0),24),INDEX(Cluster!$D$29:$AA$412,MATCH(BV340,Cluster!$F$29:$F$412,0),24)),Cluster!AC:AC,0),2),"-")</f>
        <v>-</v>
      </c>
      <c r="CE340" s="378" t="str">
        <f ca="1">IFERROR(IF(BV340&lt;&gt;"-",Calculation!$AK$6,"-"),"-")</f>
        <v>-</v>
      </c>
      <c r="CF340" s="378" t="str">
        <f ca="1">IF(OR(LEFT(ListAndConversion!BW340,3)="Dil",LEFT(ListAndConversion!BW340,3)="Poo"),ListAndConversion!$BT$4,IF(LEFT(ListAndConversion!BW340,3)="Sou",INDEX(ListAndConversion!$AT$3:$AV$387,MATCH(ListAndConversion!BV340,ListAndConversion!$AV$3:$AV$387,0),1),"-"))</f>
        <v>-</v>
      </c>
      <c r="CG340" s="498" t="str">
        <f ca="1">IF(OR(LEFT(ListAndConversion!BW340,3)="Dil",LEFT(ListAndConversion!BW340,3)="Poo"),ListAndConversion!BU340,IF(LEFT(ListAndConversion!BW340,3)="Sou",INDEX(ListAndConversion!$AT$4:$AV$387,MATCH(ListAndConversion!BV340,ListAndConversion!$AV$4:$AV$387,0),2),"-"))</f>
        <v>-</v>
      </c>
      <c r="CH340" s="378"/>
      <c r="CI340" s="487" t="str">
        <f t="shared" ca="1" si="180"/>
        <v>-</v>
      </c>
      <c r="CJ340" s="378" t="str">
        <f t="shared" ca="1" si="184"/>
        <v>-</v>
      </c>
      <c r="CK340" s="378" t="str">
        <f t="shared" ca="1" si="184"/>
        <v>-</v>
      </c>
      <c r="CL340" s="378" t="str">
        <f t="shared" ca="1" si="184"/>
        <v>-</v>
      </c>
      <c r="CM340" s="378" t="str">
        <f t="shared" ca="1" si="184"/>
        <v>-</v>
      </c>
      <c r="CN340" s="378" t="str">
        <f t="shared" ca="1" si="184"/>
        <v>-</v>
      </c>
      <c r="CO340" s="378" t="str">
        <f t="shared" ca="1" si="184"/>
        <v>-</v>
      </c>
      <c r="CP340" s="378" t="str">
        <f t="shared" ca="1" si="184"/>
        <v>-</v>
      </c>
      <c r="CQ340" s="378" t="str">
        <f t="shared" ca="1" si="184"/>
        <v>-</v>
      </c>
      <c r="CR340" s="510" t="str">
        <f ca="1">IFERROR(IF(LEFT(BW340,3)="Poo",INDEX($BE$4:$BJ$99,MATCH(CI340,$BG$4:$BG$99,0),6)*((15/50))*Calculation!$AK$6,INDEX(Calculation_Tab,MATCH(BV340,Identifier,0),10)/(IF(LEN(INDEX(Calculation_Tab,MATCH(BV340,Identifier,0),9))&gt;8,LEN(INDEX(Calculation_Tab,MATCH(BV340,Identifier,0),9))-8,1))*((15/50)*Calculation!$AK$6)),"-")</f>
        <v>-</v>
      </c>
      <c r="CS340" s="498" t="str">
        <f ca="1">IF(CI340="-","-",IF(COUNTIF($CI$3:CI340,CI340)&gt;1,0,IFERROR((35/50)*Calculation!$AK$6,"-")))</f>
        <v>-</v>
      </c>
    </row>
    <row r="341" spans="4:97" x14ac:dyDescent="0.5">
      <c r="D341" s="487" t="e">
        <f t="shared" si="165"/>
        <v>#DIV/0!</v>
      </c>
      <c r="E341" s="496" t="e">
        <f t="array" ref="E341">IF(IF((ROW(E341)-3)&lt;(ListAndConversion!$A$15),INDEX(Flow_Cell_Lane,MIN(IF(COUNTIF($E$2:E340,Flow_Cell_Lane)=0,ROW(Flow_Cell_Lane)-9))),"-")="","-",IF((ROW(E341)-3)&lt;(ListAndConversion!$A$15),INDEX(Flow_Cell_Lane,MIN(IF(COUNTIF($E$2:E340,Flow_Cell_Lane)=0,ROW(Flow_Cell_Lane)-9))),"-"))</f>
        <v>#DIV/0!</v>
      </c>
      <c r="F341" s="378" t="e">
        <f t="shared" si="166"/>
        <v>#DIV/0!</v>
      </c>
      <c r="G341" s="378" t="e">
        <f t="shared" si="183"/>
        <v>#DIV/0!</v>
      </c>
      <c r="H341" s="378" t="e">
        <f t="shared" si="183"/>
        <v>#DIV/0!</v>
      </c>
      <c r="I341" s="378" t="e">
        <f t="shared" si="183"/>
        <v>#DIV/0!</v>
      </c>
      <c r="J341" s="378" t="e">
        <f t="shared" si="183"/>
        <v>#DIV/0!</v>
      </c>
      <c r="K341" s="378" t="e">
        <f t="shared" si="183"/>
        <v>#DIV/0!</v>
      </c>
      <c r="L341" s="378" t="e">
        <f t="shared" si="183"/>
        <v>#DIV/0!</v>
      </c>
      <c r="M341" s="378" t="e">
        <f t="shared" si="183"/>
        <v>#DIV/0!</v>
      </c>
      <c r="N341" s="497" t="e">
        <f t="shared" si="168"/>
        <v>#DIV/0!</v>
      </c>
      <c r="O341" s="497" t="str">
        <f t="array" ref="O341">IFERROR(INDEX(Calculation!I:AN,MATCH(ListAndConversion!E341,Calculation!I:I,0),31),"-")</f>
        <v>-</v>
      </c>
      <c r="P341" s="498">
        <f>IF(COUNTIFS(Calculation!$I$10:$I$393,E341,Direct_Denaturation,"-")&lt;&gt;1,COUNTIFS(Calculation!$I$10:$I$393,E341,Direct_Denaturation,"-"),0)</f>
        <v>0</v>
      </c>
      <c r="V341" s="542" t="s">
        <v>82</v>
      </c>
      <c r="W341" s="542" t="s">
        <v>82</v>
      </c>
      <c r="X341" s="542" t="s">
        <v>82</v>
      </c>
      <c r="Y341" s="542" t="s">
        <v>82</v>
      </c>
      <c r="Z341" s="542" t="s">
        <v>82</v>
      </c>
      <c r="AA341" s="542" t="s">
        <v>82</v>
      </c>
      <c r="AB341" s="542" t="s">
        <v>82</v>
      </c>
      <c r="AC341" s="542" t="s">
        <v>82</v>
      </c>
      <c r="AD341" s="542" t="s">
        <v>82</v>
      </c>
      <c r="AE341" s="542" t="s">
        <v>82</v>
      </c>
      <c r="AF341" s="542" t="s">
        <v>82</v>
      </c>
      <c r="AG341" s="542" t="s">
        <v>82</v>
      </c>
      <c r="AH341" s="9"/>
      <c r="AI341" s="487">
        <v>338</v>
      </c>
      <c r="AJ341" s="497" t="s">
        <v>479</v>
      </c>
      <c r="AK341" s="378">
        <v>50</v>
      </c>
      <c r="AL341" s="378" t="str">
        <f t="shared" ca="1" si="169"/>
        <v>-</v>
      </c>
      <c r="AM341" s="378" t="str">
        <f t="array" aca="1" ref="AM341" ca="1">IFERROR(IF(AI341&lt;=$AB$2,"-",INDEX(Calculation_Tab,SMALL(ROW(Main_Dil)*(Main_Dil&lt;&gt;"-"),COUNTIF(Main_Dil,"-")+ROW()-3-$AB$2)-9,5)),"-")</f>
        <v>-</v>
      </c>
      <c r="AN341" s="378" t="str">
        <f t="array" aca="1" ref="AN341" ca="1">IFERROR(IF(AI341&lt;=$AB$2,"-",INDEX($A$3:$B$12,MATCH(INDEX(Calculation_Tab,SMALL(ROW(Main_Dil)*(Main_Dil&lt;&gt;"-"),COUNTIF(Main_Dil,"-")+ROW()-3-$AB$2)-9,5),$A$3:$A$12,0),2)),"-")</f>
        <v>-</v>
      </c>
      <c r="AO341" s="378" t="str">
        <f t="array" aca="1" ref="AO341" ca="1">IFERROR(IF(AI341&lt;=$AB$2,"-",INDEX(Coordinate,MATCH(INDEX(Calculation_Tab,SMALL(ROW(Main_Dil)*(Main_Dil&lt;&gt;"-"),COUNTIF(Main_Dil,"-")+ROW()-3-$AB$2)-9,6),$X$4:$X$99,0),2)),"-")</f>
        <v>-</v>
      </c>
      <c r="AP341" s="510" t="str">
        <f t="array" aca="1" ref="AP341" ca="1">IFERROR(IF(AI341&lt;=$AB$2,"-",INDEX(Calculation_Tab,SMALL(ROW(Main_Dil)*(Main_Dil&lt;&gt;"-"),COUNTIF(Main_Dil,"-")+ROW()-3-$AB$2)-9,21)),"-")</f>
        <v>-</v>
      </c>
      <c r="AQ341" s="511" t="str">
        <f t="array" aca="1" ref="AQ341" ca="1">IFERROR(IF(AI341&lt;=$AB$2,"-",INDEX(Calculation_Tab,SMALL(ROW(Main_Dil)*(Main_Dil&lt;&gt;"-"),COUNTIF(Main_Dil,"-")+ROW()-3-$AB$2)-9,22)),"-")</f>
        <v>-</v>
      </c>
      <c r="AR341" s="487" t="str">
        <f t="shared" ca="1" si="170"/>
        <v>-</v>
      </c>
      <c r="AS341" s="378">
        <v>338</v>
      </c>
      <c r="AT341" s="497" t="s">
        <v>479</v>
      </c>
      <c r="AU341" s="498">
        <v>50</v>
      </c>
      <c r="AV341" s="378" t="str">
        <f t="shared" ca="1" si="171"/>
        <v>-</v>
      </c>
      <c r="AW341" s="378" t="str">
        <f t="array" aca="1" ref="AW341" ca="1">IFERROR(IF(AS341&lt;=$AB$2+$AN$2,"-",INDEX(Calculation_Tab,SMALL(ROW(Direct_Denaturation)*(Direct_Denaturation&lt;&gt;"-"),COUNTIF(Direct_Denaturation,"-")+ROW()-3-$AB$2-$AN$2)-9,5)),"-")</f>
        <v>-</v>
      </c>
      <c r="AX341" s="378" t="str">
        <f t="array" aca="1" ref="AX341" ca="1">IFERROR(IF(AS341&lt;=$AB$2+$AN$2,"-",INDEX($A$3:$B$12,MATCH(INDEX(Calculation_Tab,SMALL(ROW(Direct_Denaturation)*(Direct_Denaturation&lt;&gt;"-"),COUNTIF(Direct_Denaturation,"-")+ROW()-3-$AB$2-$AN$2)-9,5),$A$3:$A$12,0),2)),"-")</f>
        <v>-</v>
      </c>
      <c r="AY341" s="378" t="str">
        <f t="array" aca="1" ref="AY341" ca="1">IFERROR(IF(AS341&lt;=$AB$2+$AN$2,"-",INDEX(Coordinate,MATCH(INDEX(Calculation_Tab,SMALL(ROW(Direct_Denaturation)*(Direct_Denaturation&lt;&gt;"-"),COUNTIF(Direct_Denaturation,"-")+ROW()-3-$AB$2-$AN$2)-9,6),$X$4:$X$99,0),2)),"-")</f>
        <v>-</v>
      </c>
      <c r="AZ341" s="510" t="str">
        <f t="array" aca="1" ref="AZ341" ca="1">IFERROR(IF(AS341&lt;=$AB$2+$AN$2,"-",INDEX(Calculation_Tab,SMALL(ROW(Direct_Denaturation)*(Direct_Denaturation&lt;&gt;"-"),COUNTIF(Direct_Denaturation,"-")+ROW()-3-$AB$2-$AN$2)-9,32)),"-")</f>
        <v>-</v>
      </c>
      <c r="BA341" s="510" t="str">
        <f t="array" aca="1" ref="BA341" ca="1">IFERROR(IF(AS341&lt;=$AB$2+$AN$2,"-",INDEX(Calculation_Tab,SMALL(ROW(Direct_Denaturation)*(Direct_Denaturation&lt;&gt;"-"),COUNTIF(Direct_Denaturation,"-")+ROW()-3-$AB$2-$AN$2)-9,34)),"-")</f>
        <v>-</v>
      </c>
      <c r="BB341" s="510" t="str">
        <f t="array" aca="1" ref="BB341" ca="1">IFERROR(IF(AS341&lt;=$AB$2+$AN$2,"-",INDEX(Calculation_Tab,SMALL(ROW(Direct_Denaturation)*(Direct_Denaturation&lt;&gt;"-"),COUNTIF(Direct_Denaturation,"-")+ROW()-3-$AB$2-$AN$2)-9,33)),"-")</f>
        <v>-</v>
      </c>
      <c r="BC341" s="510" t="str">
        <f t="array" aca="1" ref="BC341" ca="1">IFERROR(IF(AS341&lt;=$AB$2+$AN$2,"-",INDEX(Calculation_Tab,SMALL(ROW(Direct_Denaturation)*(Direct_Denaturation&lt;&gt;"-"),COUNTIF(Direct_Denaturation,"-")+ROW()-3-$AB$2-$AN$2)-9,35)),"-")</f>
        <v>-</v>
      </c>
      <c r="BD341" s="511" t="str">
        <f t="shared" ca="1" si="172"/>
        <v>-</v>
      </c>
      <c r="BK341" s="542" t="s">
        <v>82</v>
      </c>
      <c r="BL341" s="542" t="s">
        <v>82</v>
      </c>
      <c r="BM341" s="487" t="str">
        <f t="array" aca="1" ref="BM341" ca="1">IFERROR(INDEX(Calculation_Tab,SMALL(ROW(ToPool)*(ToPool&lt;&gt;"-"),COUNTIF(ToPool,"-")+ROW()-3)-9,3),"-")</f>
        <v>-</v>
      </c>
      <c r="BN341" s="378" t="str">
        <f t="shared" ca="1" si="173"/>
        <v>-</v>
      </c>
      <c r="BO341" s="378" t="str">
        <f t="shared" ca="1" si="174"/>
        <v>-</v>
      </c>
      <c r="BP341" s="523" t="str">
        <f t="shared" ca="1" si="175"/>
        <v>-</v>
      </c>
      <c r="BQ341" s="378" t="str">
        <f t="array" aca="1" ref="BQ341" ca="1">IFERROR(INDEX(BE:BG,MATCH(INDEX(Calculation_Tab,SMALL(ROW(ToPool)*(ToPool&lt;&gt;"-"),COUNTIF(ToPool,"-")+ROW()-3)-9,9),BG:BG,0),2),"-")</f>
        <v>-</v>
      </c>
      <c r="BR341" s="510" t="str">
        <f t="shared" ca="1" si="176"/>
        <v>-</v>
      </c>
      <c r="BS341" s="511" t="str">
        <f t="shared" ca="1" si="177"/>
        <v>-</v>
      </c>
      <c r="BT341" s="543" t="s">
        <v>82</v>
      </c>
      <c r="BU341" s="487" t="str">
        <f t="shared" ca="1" si="182"/>
        <v>-</v>
      </c>
      <c r="BV341" s="487" t="str">
        <f t="array" aca="1" ref="BV34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41" s="378" t="str">
        <f t="shared" ca="1" si="178"/>
        <v>-</v>
      </c>
      <c r="BX341" s="378" t="str">
        <f t="shared" ca="1" si="179"/>
        <v>-</v>
      </c>
      <c r="BY341" s="510" t="str">
        <f ca="1">IFERROR(ROUND(INDEX(Cluster,MATCH(IF(LEFT(BV341,4)="Pool",INDEX(Cluster,MATCH(INDEX(Calculation_Tab,MATCH(INDEX($BE$4:$BJ$99,MATCH(BV341,$BE$4:$BE$99,0),3),Flow_Cell_Lane,0),3),Cluster!$F$29:$F$412,0),6),BV341),Identifier_Cluster,0),19)*IF(LEFT(BV341,4)="pool",IF(LEN(INDEX($BE$4:$BJ$99,MATCH(BV341,$BE$4:$BE$99,0),3))=10,2,IF(LEN(INDEX($BE$4:$BJ$99,MATCH(BV341,$BE$4:$BE$99,0),3))&gt;10,LEN(INDEX($BE$4:$BJ$99,MATCH(BV341,$BE$4:$BE$99,0),3))-8,1)),1)*IF(LEFT(BV341,4)="pool",IF(INDEX($BE$4:$BJ$99,MATCH(BV341,$BE$4:$BE$99,0),6)&lt;1,1,INDEX($BE$4:$BJ$99,MATCH(BV341,$BE$4:$BE$99,0),6)),INDEX(Calculation_Tab,MATCH(BV341,Identifier,0),10)),1)*(1+Calculation!$Q$6),"-")</f>
        <v>-</v>
      </c>
      <c r="BZ341" s="378" t="str">
        <f ca="1">IFERROR((0.5/50)*CE341/Calculation!$AG$6*(IF(LEFT(BV341,4)="Pool",IF(LEN(INDEX($BE$4:$BJ$99,MATCH(BV341,$BE$4:$BE$99,0),3))=10,2,IF(LEN(INDEX($BE$4:$BJ$99,MATCH(BV341,$BE$4:$BE$99,0),3))&gt;10,LEN(INDEX($BE$4:$BJ$99,MATCH(BV341,$BE$4:$BE$99,0),3))-8,1)),IF(INDEX(Calculation_Tab,MATCH(BV341,Identifier,0),10)&gt;1,INDEX(Calculation_Tab,MATCH(BV341,Identifier,0),10),1)))*(1+Calculation!$Q$6),"-")</f>
        <v>-</v>
      </c>
      <c r="CA341" s="510" t="str">
        <f ca="1">IFERROR(IF((BZ341*Calculation!$AG$6/0.05)-SUM(BY341:BZ341,CC341)&gt;0,(BZ341*Calculation!$AG$6/0.05)-SUM(BY341:BZ341,CC341),0),"-")</f>
        <v>-</v>
      </c>
      <c r="CB341" s="510" t="str">
        <f ca="1">IFERROR(5/50*CE341*(IF(LEFT(BV341,4)="Pool",IF(LEN(INDEX($BE$4:$BJ$99,MATCH(BV341,$BE$4:$BE$99,0),3))=10,2,IF(LEN(INDEX($BE$4:$BJ$99,MATCH(BV341,$BE$4:$BE$99,0),3))&gt;10,LEN(INDEX($BE$4:$BJ$99,MATCH(BV341,$BE$4:$BE$99,0),3))-8,1)),IF(INDEX(Calculation_Tab,MATCH(BV341,Identifier,0),10)&gt;1,INDEX(Calculation_Tab,MATCH(BV341,Identifier,0),10),1)))*(1+Calculation!$Q$6),"-")</f>
        <v>-</v>
      </c>
      <c r="CC341" s="508" t="str">
        <f ca="1">IFERROR(ROUND(INDEX(Cluster,MATCH(IF(LEFT(BV341,4)="Pool",INDEX(Cluster,MATCH(INDEX(Calculation_Tab,MATCH(INDEX($BE$4:$BJ$99,MATCH(BV341,$BE$4:$BE$99,0),3),Flow_Cell_Lane,0),3),Cluster!$F$29:$F$412,0),6),BV341),Identifier_Cluster,0),20)*IF(LEFT(BV341,4)="pool",IF(LEN(INDEX($BE$4:$BJ$99,MATCH(BV341,$BE$4:$BE$99,0),3))=10,2,IF(LEN(INDEX($BE$4:$BJ$99,MATCH(BV341,$BE$4:$BE$99,0),3))&gt;10,LEN(INDEX($BE$4:$BJ$99,MATCH(BV341,$BE$4:$BE$99,0),3))-8,1)),1)*IF(LEFT(BV341,4)="pool",IF(INDEX($BE$4:$BJ$99,MATCH(BV341,$BE$4:$BE$99,0),6)&lt;1,1,INDEX($BE$4:$BJ$99,MATCH(BV341,$BE$4:$BE$99,0),6)),INDEX(Calculation_Tab,MATCH(BV341,Identifier,0),10)),1)*(1+Calculation!$Q$6),"-")</f>
        <v>-</v>
      </c>
      <c r="CD341" s="509" t="str">
        <f ca="1">IFERROR(INDEX(Cluster!AC:AD,MATCH(IF(LEFT(BV341,4)="Pool",INDEX(Cluster!$D$29:$AA$412,MATCH(INDEX(Calculation_Tab,MATCH(INDEX($BE$4:$BJ$99,MATCH(BV341,$BE$4:$BE$99,0),3),Flow_Cell_Lane,0),3),Cluster!$F$29:$F$412,0),24),INDEX(Cluster!$D$29:$AA$412,MATCH(BV341,Cluster!$F$29:$F$412,0),24)),Cluster!AC:AC,0),2),"-")</f>
        <v>-</v>
      </c>
      <c r="CE341" s="378" t="str">
        <f ca="1">IFERROR(IF(BV341&lt;&gt;"-",Calculation!$AK$6,"-"),"-")</f>
        <v>-</v>
      </c>
      <c r="CF341" s="378" t="str">
        <f ca="1">IF(OR(LEFT(ListAndConversion!BW341,3)="Dil",LEFT(ListAndConversion!BW341,3)="Poo"),ListAndConversion!$BT$4,IF(LEFT(ListAndConversion!BW341,3)="Sou",INDEX(ListAndConversion!$AT$3:$AV$387,MATCH(ListAndConversion!BV341,ListAndConversion!$AV$3:$AV$387,0),1),"-"))</f>
        <v>-</v>
      </c>
      <c r="CG341" s="498" t="str">
        <f ca="1">IF(OR(LEFT(ListAndConversion!BW341,3)="Dil",LEFT(ListAndConversion!BW341,3)="Poo"),ListAndConversion!BU341,IF(LEFT(ListAndConversion!BW341,3)="Sou",INDEX(ListAndConversion!$AT$4:$AV$387,MATCH(ListAndConversion!BV341,ListAndConversion!$AV$4:$AV$387,0),2),"-"))</f>
        <v>-</v>
      </c>
      <c r="CH341" s="378"/>
      <c r="CI341" s="487" t="str">
        <f t="shared" ca="1" si="180"/>
        <v>-</v>
      </c>
      <c r="CJ341" s="378" t="str">
        <f t="shared" ca="1" si="184"/>
        <v>-</v>
      </c>
      <c r="CK341" s="378" t="str">
        <f t="shared" ca="1" si="184"/>
        <v>-</v>
      </c>
      <c r="CL341" s="378" t="str">
        <f t="shared" ca="1" si="184"/>
        <v>-</v>
      </c>
      <c r="CM341" s="378" t="str">
        <f t="shared" ca="1" si="184"/>
        <v>-</v>
      </c>
      <c r="CN341" s="378" t="str">
        <f t="shared" ca="1" si="184"/>
        <v>-</v>
      </c>
      <c r="CO341" s="378" t="str">
        <f t="shared" ca="1" si="184"/>
        <v>-</v>
      </c>
      <c r="CP341" s="378" t="str">
        <f t="shared" ca="1" si="184"/>
        <v>-</v>
      </c>
      <c r="CQ341" s="378" t="str">
        <f t="shared" ca="1" si="184"/>
        <v>-</v>
      </c>
      <c r="CR341" s="510" t="str">
        <f ca="1">IFERROR(IF(LEFT(BW341,3)="Poo",INDEX($BE$4:$BJ$99,MATCH(CI341,$BG$4:$BG$99,0),6)*((15/50))*Calculation!$AK$6,INDEX(Calculation_Tab,MATCH(BV341,Identifier,0),10)/(IF(LEN(INDEX(Calculation_Tab,MATCH(BV341,Identifier,0),9))&gt;8,LEN(INDEX(Calculation_Tab,MATCH(BV341,Identifier,0),9))-8,1))*((15/50)*Calculation!$AK$6)),"-")</f>
        <v>-</v>
      </c>
      <c r="CS341" s="498" t="str">
        <f ca="1">IF(CI341="-","-",IF(COUNTIF($CI$3:CI341,CI341)&gt;1,0,IFERROR((35/50)*Calculation!$AK$6,"-")))</f>
        <v>-</v>
      </c>
    </row>
    <row r="342" spans="4:97" x14ac:dyDescent="0.5">
      <c r="D342" s="487" t="e">
        <f t="shared" si="165"/>
        <v>#DIV/0!</v>
      </c>
      <c r="E342" s="496" t="e">
        <f t="array" ref="E342">IF(IF((ROW(E342)-3)&lt;(ListAndConversion!$A$15),INDEX(Flow_Cell_Lane,MIN(IF(COUNTIF($E$2:E341,Flow_Cell_Lane)=0,ROW(Flow_Cell_Lane)-9))),"-")="","-",IF((ROW(E342)-3)&lt;(ListAndConversion!$A$15),INDEX(Flow_Cell_Lane,MIN(IF(COUNTIF($E$2:E341,Flow_Cell_Lane)=0,ROW(Flow_Cell_Lane)-9))),"-"))</f>
        <v>#DIV/0!</v>
      </c>
      <c r="F342" s="378" t="e">
        <f t="shared" si="166"/>
        <v>#DIV/0!</v>
      </c>
      <c r="G342" s="378" t="e">
        <f t="shared" si="183"/>
        <v>#DIV/0!</v>
      </c>
      <c r="H342" s="378" t="e">
        <f t="shared" si="183"/>
        <v>#DIV/0!</v>
      </c>
      <c r="I342" s="378" t="e">
        <f t="shared" si="183"/>
        <v>#DIV/0!</v>
      </c>
      <c r="J342" s="378" t="e">
        <f t="shared" si="183"/>
        <v>#DIV/0!</v>
      </c>
      <c r="K342" s="378" t="e">
        <f t="shared" si="183"/>
        <v>#DIV/0!</v>
      </c>
      <c r="L342" s="378" t="e">
        <f t="shared" si="183"/>
        <v>#DIV/0!</v>
      </c>
      <c r="M342" s="378" t="e">
        <f t="shared" si="183"/>
        <v>#DIV/0!</v>
      </c>
      <c r="N342" s="497" t="e">
        <f t="shared" si="168"/>
        <v>#DIV/0!</v>
      </c>
      <c r="O342" s="497" t="str">
        <f t="array" ref="O342">IFERROR(INDEX(Calculation!I:AN,MATCH(ListAndConversion!E342,Calculation!I:I,0),31),"-")</f>
        <v>-</v>
      </c>
      <c r="P342" s="498">
        <f>IF(COUNTIFS(Calculation!$I$10:$I$393,E342,Direct_Denaturation,"-")&lt;&gt;1,COUNTIFS(Calculation!$I$10:$I$393,E342,Direct_Denaturation,"-"),0)</f>
        <v>0</v>
      </c>
      <c r="V342" s="542" t="s">
        <v>82</v>
      </c>
      <c r="W342" s="542" t="s">
        <v>82</v>
      </c>
      <c r="X342" s="542" t="s">
        <v>82</v>
      </c>
      <c r="Y342" s="542" t="s">
        <v>82</v>
      </c>
      <c r="Z342" s="542" t="s">
        <v>82</v>
      </c>
      <c r="AA342" s="542" t="s">
        <v>82</v>
      </c>
      <c r="AB342" s="542" t="s">
        <v>82</v>
      </c>
      <c r="AC342" s="542" t="s">
        <v>82</v>
      </c>
      <c r="AD342" s="542" t="s">
        <v>82</v>
      </c>
      <c r="AE342" s="542" t="s">
        <v>82</v>
      </c>
      <c r="AF342" s="542" t="s">
        <v>82</v>
      </c>
      <c r="AG342" s="542" t="s">
        <v>82</v>
      </c>
      <c r="AH342" s="9"/>
      <c r="AI342" s="487">
        <v>339</v>
      </c>
      <c r="AJ342" s="497" t="s">
        <v>479</v>
      </c>
      <c r="AK342" s="378">
        <v>51</v>
      </c>
      <c r="AL342" s="378" t="str">
        <f t="shared" ca="1" si="169"/>
        <v>-</v>
      </c>
      <c r="AM342" s="378" t="str">
        <f t="array" aca="1" ref="AM342" ca="1">IFERROR(IF(AI342&lt;=$AB$2,"-",INDEX(Calculation_Tab,SMALL(ROW(Main_Dil)*(Main_Dil&lt;&gt;"-"),COUNTIF(Main_Dil,"-")+ROW()-3-$AB$2)-9,5)),"-")</f>
        <v>-</v>
      </c>
      <c r="AN342" s="378" t="str">
        <f t="array" aca="1" ref="AN342" ca="1">IFERROR(IF(AI342&lt;=$AB$2,"-",INDEX($A$3:$B$12,MATCH(INDEX(Calculation_Tab,SMALL(ROW(Main_Dil)*(Main_Dil&lt;&gt;"-"),COUNTIF(Main_Dil,"-")+ROW()-3-$AB$2)-9,5),$A$3:$A$12,0),2)),"-")</f>
        <v>-</v>
      </c>
      <c r="AO342" s="378" t="str">
        <f t="array" aca="1" ref="AO342" ca="1">IFERROR(IF(AI342&lt;=$AB$2,"-",INDEX(Coordinate,MATCH(INDEX(Calculation_Tab,SMALL(ROW(Main_Dil)*(Main_Dil&lt;&gt;"-"),COUNTIF(Main_Dil,"-")+ROW()-3-$AB$2)-9,6),$X$4:$X$99,0),2)),"-")</f>
        <v>-</v>
      </c>
      <c r="AP342" s="510" t="str">
        <f t="array" aca="1" ref="AP342" ca="1">IFERROR(IF(AI342&lt;=$AB$2,"-",INDEX(Calculation_Tab,SMALL(ROW(Main_Dil)*(Main_Dil&lt;&gt;"-"),COUNTIF(Main_Dil,"-")+ROW()-3-$AB$2)-9,21)),"-")</f>
        <v>-</v>
      </c>
      <c r="AQ342" s="511" t="str">
        <f t="array" aca="1" ref="AQ342" ca="1">IFERROR(IF(AI342&lt;=$AB$2,"-",INDEX(Calculation_Tab,SMALL(ROW(Main_Dil)*(Main_Dil&lt;&gt;"-"),COUNTIF(Main_Dil,"-")+ROW()-3-$AB$2)-9,22)),"-")</f>
        <v>-</v>
      </c>
      <c r="AR342" s="487" t="str">
        <f t="shared" ca="1" si="170"/>
        <v>-</v>
      </c>
      <c r="AS342" s="378">
        <v>339</v>
      </c>
      <c r="AT342" s="497" t="s">
        <v>479</v>
      </c>
      <c r="AU342" s="498">
        <v>51</v>
      </c>
      <c r="AV342" s="378" t="str">
        <f t="shared" ca="1" si="171"/>
        <v>-</v>
      </c>
      <c r="AW342" s="378" t="str">
        <f t="array" aca="1" ref="AW342" ca="1">IFERROR(IF(AS342&lt;=$AB$2+$AN$2,"-",INDEX(Calculation_Tab,SMALL(ROW(Direct_Denaturation)*(Direct_Denaturation&lt;&gt;"-"),COUNTIF(Direct_Denaturation,"-")+ROW()-3-$AB$2-$AN$2)-9,5)),"-")</f>
        <v>-</v>
      </c>
      <c r="AX342" s="378" t="str">
        <f t="array" aca="1" ref="AX342" ca="1">IFERROR(IF(AS342&lt;=$AB$2+$AN$2,"-",INDEX($A$3:$B$12,MATCH(INDEX(Calculation_Tab,SMALL(ROW(Direct_Denaturation)*(Direct_Denaturation&lt;&gt;"-"),COUNTIF(Direct_Denaturation,"-")+ROW()-3-$AB$2-$AN$2)-9,5),$A$3:$A$12,0),2)),"-")</f>
        <v>-</v>
      </c>
      <c r="AY342" s="378" t="str">
        <f t="array" aca="1" ref="AY342" ca="1">IFERROR(IF(AS342&lt;=$AB$2+$AN$2,"-",INDEX(Coordinate,MATCH(INDEX(Calculation_Tab,SMALL(ROW(Direct_Denaturation)*(Direct_Denaturation&lt;&gt;"-"),COUNTIF(Direct_Denaturation,"-")+ROW()-3-$AB$2-$AN$2)-9,6),$X$4:$X$99,0),2)),"-")</f>
        <v>-</v>
      </c>
      <c r="AZ342" s="510" t="str">
        <f t="array" aca="1" ref="AZ342" ca="1">IFERROR(IF(AS342&lt;=$AB$2+$AN$2,"-",INDEX(Calculation_Tab,SMALL(ROW(Direct_Denaturation)*(Direct_Denaturation&lt;&gt;"-"),COUNTIF(Direct_Denaturation,"-")+ROW()-3-$AB$2-$AN$2)-9,32)),"-")</f>
        <v>-</v>
      </c>
      <c r="BA342" s="510" t="str">
        <f t="array" aca="1" ref="BA342" ca="1">IFERROR(IF(AS342&lt;=$AB$2+$AN$2,"-",INDEX(Calculation_Tab,SMALL(ROW(Direct_Denaturation)*(Direct_Denaturation&lt;&gt;"-"),COUNTIF(Direct_Denaturation,"-")+ROW()-3-$AB$2-$AN$2)-9,34)),"-")</f>
        <v>-</v>
      </c>
      <c r="BB342" s="510" t="str">
        <f t="array" aca="1" ref="BB342" ca="1">IFERROR(IF(AS342&lt;=$AB$2+$AN$2,"-",INDEX(Calculation_Tab,SMALL(ROW(Direct_Denaturation)*(Direct_Denaturation&lt;&gt;"-"),COUNTIF(Direct_Denaturation,"-")+ROW()-3-$AB$2-$AN$2)-9,33)),"-")</f>
        <v>-</v>
      </c>
      <c r="BC342" s="510" t="str">
        <f t="array" aca="1" ref="BC342" ca="1">IFERROR(IF(AS342&lt;=$AB$2+$AN$2,"-",INDEX(Calculation_Tab,SMALL(ROW(Direct_Denaturation)*(Direct_Denaturation&lt;&gt;"-"),COUNTIF(Direct_Denaturation,"-")+ROW()-3-$AB$2-$AN$2)-9,35)),"-")</f>
        <v>-</v>
      </c>
      <c r="BD342" s="511" t="str">
        <f t="shared" ca="1" si="172"/>
        <v>-</v>
      </c>
      <c r="BK342" s="542" t="s">
        <v>82</v>
      </c>
      <c r="BL342" s="542" t="s">
        <v>82</v>
      </c>
      <c r="BM342" s="487" t="str">
        <f t="array" aca="1" ref="BM342" ca="1">IFERROR(INDEX(Calculation_Tab,SMALL(ROW(ToPool)*(ToPool&lt;&gt;"-"),COUNTIF(ToPool,"-")+ROW()-3)-9,3),"-")</f>
        <v>-</v>
      </c>
      <c r="BN342" s="378" t="str">
        <f t="shared" ca="1" si="173"/>
        <v>-</v>
      </c>
      <c r="BO342" s="378" t="str">
        <f t="shared" ca="1" si="174"/>
        <v>-</v>
      </c>
      <c r="BP342" s="523" t="str">
        <f t="shared" ca="1" si="175"/>
        <v>-</v>
      </c>
      <c r="BQ342" s="378" t="str">
        <f t="array" aca="1" ref="BQ342" ca="1">IFERROR(INDEX(BE:BG,MATCH(INDEX(Calculation_Tab,SMALL(ROW(ToPool)*(ToPool&lt;&gt;"-"),COUNTIF(ToPool,"-")+ROW()-3)-9,9),BG:BG,0),2),"-")</f>
        <v>-</v>
      </c>
      <c r="BR342" s="510" t="str">
        <f t="shared" ca="1" si="176"/>
        <v>-</v>
      </c>
      <c r="BS342" s="511" t="str">
        <f t="shared" ca="1" si="177"/>
        <v>-</v>
      </c>
      <c r="BT342" s="543" t="s">
        <v>82</v>
      </c>
      <c r="BU342" s="487" t="str">
        <f t="shared" ca="1" si="182"/>
        <v>-</v>
      </c>
      <c r="BV342" s="487" t="str">
        <f t="array" aca="1" ref="BV34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42" s="378" t="str">
        <f t="shared" ca="1" si="178"/>
        <v>-</v>
      </c>
      <c r="BX342" s="378" t="str">
        <f t="shared" ca="1" si="179"/>
        <v>-</v>
      </c>
      <c r="BY342" s="510" t="str">
        <f ca="1">IFERROR(ROUND(INDEX(Cluster,MATCH(IF(LEFT(BV342,4)="Pool",INDEX(Cluster,MATCH(INDEX(Calculation_Tab,MATCH(INDEX($BE$4:$BJ$99,MATCH(BV342,$BE$4:$BE$99,0),3),Flow_Cell_Lane,0),3),Cluster!$F$29:$F$412,0),6),BV342),Identifier_Cluster,0),19)*IF(LEFT(BV342,4)="pool",IF(LEN(INDEX($BE$4:$BJ$99,MATCH(BV342,$BE$4:$BE$99,0),3))=10,2,IF(LEN(INDEX($BE$4:$BJ$99,MATCH(BV342,$BE$4:$BE$99,0),3))&gt;10,LEN(INDEX($BE$4:$BJ$99,MATCH(BV342,$BE$4:$BE$99,0),3))-8,1)),1)*IF(LEFT(BV342,4)="pool",IF(INDEX($BE$4:$BJ$99,MATCH(BV342,$BE$4:$BE$99,0),6)&lt;1,1,INDEX($BE$4:$BJ$99,MATCH(BV342,$BE$4:$BE$99,0),6)),INDEX(Calculation_Tab,MATCH(BV342,Identifier,0),10)),1)*(1+Calculation!$Q$6),"-")</f>
        <v>-</v>
      </c>
      <c r="BZ342" s="378" t="str">
        <f ca="1">IFERROR((0.5/50)*CE342/Calculation!$AG$6*(IF(LEFT(BV342,4)="Pool",IF(LEN(INDEX($BE$4:$BJ$99,MATCH(BV342,$BE$4:$BE$99,0),3))=10,2,IF(LEN(INDEX($BE$4:$BJ$99,MATCH(BV342,$BE$4:$BE$99,0),3))&gt;10,LEN(INDEX($BE$4:$BJ$99,MATCH(BV342,$BE$4:$BE$99,0),3))-8,1)),IF(INDEX(Calculation_Tab,MATCH(BV342,Identifier,0),10)&gt;1,INDEX(Calculation_Tab,MATCH(BV342,Identifier,0),10),1)))*(1+Calculation!$Q$6),"-")</f>
        <v>-</v>
      </c>
      <c r="CA342" s="510" t="str">
        <f ca="1">IFERROR(IF((BZ342*Calculation!$AG$6/0.05)-SUM(BY342:BZ342,CC342)&gt;0,(BZ342*Calculation!$AG$6/0.05)-SUM(BY342:BZ342,CC342),0),"-")</f>
        <v>-</v>
      </c>
      <c r="CB342" s="510" t="str">
        <f ca="1">IFERROR(5/50*CE342*(IF(LEFT(BV342,4)="Pool",IF(LEN(INDEX($BE$4:$BJ$99,MATCH(BV342,$BE$4:$BE$99,0),3))=10,2,IF(LEN(INDEX($BE$4:$BJ$99,MATCH(BV342,$BE$4:$BE$99,0),3))&gt;10,LEN(INDEX($BE$4:$BJ$99,MATCH(BV342,$BE$4:$BE$99,0),3))-8,1)),IF(INDEX(Calculation_Tab,MATCH(BV342,Identifier,0),10)&gt;1,INDEX(Calculation_Tab,MATCH(BV342,Identifier,0),10),1)))*(1+Calculation!$Q$6),"-")</f>
        <v>-</v>
      </c>
      <c r="CC342" s="508" t="str">
        <f ca="1">IFERROR(ROUND(INDEX(Cluster,MATCH(IF(LEFT(BV342,4)="Pool",INDEX(Cluster,MATCH(INDEX(Calculation_Tab,MATCH(INDEX($BE$4:$BJ$99,MATCH(BV342,$BE$4:$BE$99,0),3),Flow_Cell_Lane,0),3),Cluster!$F$29:$F$412,0),6),BV342),Identifier_Cluster,0),20)*IF(LEFT(BV342,4)="pool",IF(LEN(INDEX($BE$4:$BJ$99,MATCH(BV342,$BE$4:$BE$99,0),3))=10,2,IF(LEN(INDEX($BE$4:$BJ$99,MATCH(BV342,$BE$4:$BE$99,0),3))&gt;10,LEN(INDEX($BE$4:$BJ$99,MATCH(BV342,$BE$4:$BE$99,0),3))-8,1)),1)*IF(LEFT(BV342,4)="pool",IF(INDEX($BE$4:$BJ$99,MATCH(BV342,$BE$4:$BE$99,0),6)&lt;1,1,INDEX($BE$4:$BJ$99,MATCH(BV342,$BE$4:$BE$99,0),6)),INDEX(Calculation_Tab,MATCH(BV342,Identifier,0),10)),1)*(1+Calculation!$Q$6),"-")</f>
        <v>-</v>
      </c>
      <c r="CD342" s="509" t="str">
        <f ca="1">IFERROR(INDEX(Cluster!AC:AD,MATCH(IF(LEFT(BV342,4)="Pool",INDEX(Cluster!$D$29:$AA$412,MATCH(INDEX(Calculation_Tab,MATCH(INDEX($BE$4:$BJ$99,MATCH(BV342,$BE$4:$BE$99,0),3),Flow_Cell_Lane,0),3),Cluster!$F$29:$F$412,0),24),INDEX(Cluster!$D$29:$AA$412,MATCH(BV342,Cluster!$F$29:$F$412,0),24)),Cluster!AC:AC,0),2),"-")</f>
        <v>-</v>
      </c>
      <c r="CE342" s="378" t="str">
        <f ca="1">IFERROR(IF(BV342&lt;&gt;"-",Calculation!$AK$6,"-"),"-")</f>
        <v>-</v>
      </c>
      <c r="CF342" s="378" t="str">
        <f ca="1">IF(OR(LEFT(ListAndConversion!BW342,3)="Dil",LEFT(ListAndConversion!BW342,3)="Poo"),ListAndConversion!$BT$4,IF(LEFT(ListAndConversion!BW342,3)="Sou",INDEX(ListAndConversion!$AT$3:$AV$387,MATCH(ListAndConversion!BV342,ListAndConversion!$AV$3:$AV$387,0),1),"-"))</f>
        <v>-</v>
      </c>
      <c r="CG342" s="498" t="str">
        <f ca="1">IF(OR(LEFT(ListAndConversion!BW342,3)="Dil",LEFT(ListAndConversion!BW342,3)="Poo"),ListAndConversion!BU342,IF(LEFT(ListAndConversion!BW342,3)="Sou",INDEX(ListAndConversion!$AT$4:$AV$387,MATCH(ListAndConversion!BV342,ListAndConversion!$AV$4:$AV$387,0),2),"-"))</f>
        <v>-</v>
      </c>
      <c r="CH342" s="378"/>
      <c r="CI342" s="487" t="str">
        <f t="shared" ca="1" si="180"/>
        <v>-</v>
      </c>
      <c r="CJ342" s="378" t="str">
        <f t="shared" ca="1" si="184"/>
        <v>-</v>
      </c>
      <c r="CK342" s="378" t="str">
        <f t="shared" ca="1" si="184"/>
        <v>-</v>
      </c>
      <c r="CL342" s="378" t="str">
        <f t="shared" ca="1" si="184"/>
        <v>-</v>
      </c>
      <c r="CM342" s="378" t="str">
        <f t="shared" ca="1" si="184"/>
        <v>-</v>
      </c>
      <c r="CN342" s="378" t="str">
        <f t="shared" ca="1" si="184"/>
        <v>-</v>
      </c>
      <c r="CO342" s="378" t="str">
        <f t="shared" ca="1" si="184"/>
        <v>-</v>
      </c>
      <c r="CP342" s="378" t="str">
        <f t="shared" ca="1" si="184"/>
        <v>-</v>
      </c>
      <c r="CQ342" s="378" t="str">
        <f t="shared" ca="1" si="184"/>
        <v>-</v>
      </c>
      <c r="CR342" s="510" t="str">
        <f ca="1">IFERROR(IF(LEFT(BW342,3)="Poo",INDEX($BE$4:$BJ$99,MATCH(CI342,$BG$4:$BG$99,0),6)*((15/50))*Calculation!$AK$6,INDEX(Calculation_Tab,MATCH(BV342,Identifier,0),10)/(IF(LEN(INDEX(Calculation_Tab,MATCH(BV342,Identifier,0),9))&gt;8,LEN(INDEX(Calculation_Tab,MATCH(BV342,Identifier,0),9))-8,1))*((15/50)*Calculation!$AK$6)),"-")</f>
        <v>-</v>
      </c>
      <c r="CS342" s="498" t="str">
        <f ca="1">IF(CI342="-","-",IF(COUNTIF($CI$3:CI342,CI342)&gt;1,0,IFERROR((35/50)*Calculation!$AK$6,"-")))</f>
        <v>-</v>
      </c>
    </row>
    <row r="343" spans="4:97" x14ac:dyDescent="0.5">
      <c r="D343" s="487" t="e">
        <f t="shared" si="165"/>
        <v>#DIV/0!</v>
      </c>
      <c r="E343" s="496" t="e">
        <f t="array" ref="E343">IF(IF((ROW(E343)-3)&lt;(ListAndConversion!$A$15),INDEX(Flow_Cell_Lane,MIN(IF(COUNTIF($E$2:E342,Flow_Cell_Lane)=0,ROW(Flow_Cell_Lane)-9))),"-")="","-",IF((ROW(E343)-3)&lt;(ListAndConversion!$A$15),INDEX(Flow_Cell_Lane,MIN(IF(COUNTIF($E$2:E342,Flow_Cell_Lane)=0,ROW(Flow_Cell_Lane)-9))),"-"))</f>
        <v>#DIV/0!</v>
      </c>
      <c r="F343" s="378" t="e">
        <f t="shared" si="166"/>
        <v>#DIV/0!</v>
      </c>
      <c r="G343" s="378" t="e">
        <f t="shared" ref="G343:M352" si="185">IF($D343&gt;8,IF($D343&gt;=(8+G$2),CONCATENATE(LEFT($E343,7),RIGHT(LEFT($E343,8+G$2),1)),""),"")</f>
        <v>#DIV/0!</v>
      </c>
      <c r="H343" s="378" t="e">
        <f t="shared" si="185"/>
        <v>#DIV/0!</v>
      </c>
      <c r="I343" s="378" t="e">
        <f t="shared" si="185"/>
        <v>#DIV/0!</v>
      </c>
      <c r="J343" s="378" t="e">
        <f t="shared" si="185"/>
        <v>#DIV/0!</v>
      </c>
      <c r="K343" s="378" t="e">
        <f t="shared" si="185"/>
        <v>#DIV/0!</v>
      </c>
      <c r="L343" s="378" t="e">
        <f t="shared" si="185"/>
        <v>#DIV/0!</v>
      </c>
      <c r="M343" s="378" t="e">
        <f t="shared" si="185"/>
        <v>#DIV/0!</v>
      </c>
      <c r="N343" s="497" t="e">
        <f t="shared" si="168"/>
        <v>#DIV/0!</v>
      </c>
      <c r="O343" s="497" t="str">
        <f t="array" ref="O343">IFERROR(INDEX(Calculation!I:AN,MATCH(ListAndConversion!E343,Calculation!I:I,0),31),"-")</f>
        <v>-</v>
      </c>
      <c r="P343" s="498">
        <f>IF(COUNTIFS(Calculation!$I$10:$I$393,E343,Direct_Denaturation,"-")&lt;&gt;1,COUNTIFS(Calculation!$I$10:$I$393,E343,Direct_Denaturation,"-"),0)</f>
        <v>0</v>
      </c>
      <c r="V343" s="542" t="s">
        <v>82</v>
      </c>
      <c r="W343" s="542" t="s">
        <v>82</v>
      </c>
      <c r="X343" s="542" t="s">
        <v>82</v>
      </c>
      <c r="Y343" s="542" t="s">
        <v>82</v>
      </c>
      <c r="Z343" s="542" t="s">
        <v>82</v>
      </c>
      <c r="AA343" s="542" t="s">
        <v>82</v>
      </c>
      <c r="AB343" s="542" t="s">
        <v>82</v>
      </c>
      <c r="AC343" s="542" t="s">
        <v>82</v>
      </c>
      <c r="AD343" s="542" t="s">
        <v>82</v>
      </c>
      <c r="AE343" s="542" t="s">
        <v>82</v>
      </c>
      <c r="AF343" s="542" t="s">
        <v>82</v>
      </c>
      <c r="AG343" s="542" t="s">
        <v>82</v>
      </c>
      <c r="AH343" s="9"/>
      <c r="AI343" s="487">
        <v>340</v>
      </c>
      <c r="AJ343" s="497" t="s">
        <v>479</v>
      </c>
      <c r="AK343" s="378">
        <v>52</v>
      </c>
      <c r="AL343" s="378" t="str">
        <f t="shared" ca="1" si="169"/>
        <v>-</v>
      </c>
      <c r="AM343" s="378" t="str">
        <f t="array" aca="1" ref="AM343" ca="1">IFERROR(IF(AI343&lt;=$AB$2,"-",INDEX(Calculation_Tab,SMALL(ROW(Main_Dil)*(Main_Dil&lt;&gt;"-"),COUNTIF(Main_Dil,"-")+ROW()-3-$AB$2)-9,5)),"-")</f>
        <v>-</v>
      </c>
      <c r="AN343" s="378" t="str">
        <f t="array" aca="1" ref="AN343" ca="1">IFERROR(IF(AI343&lt;=$AB$2,"-",INDEX($A$3:$B$12,MATCH(INDEX(Calculation_Tab,SMALL(ROW(Main_Dil)*(Main_Dil&lt;&gt;"-"),COUNTIF(Main_Dil,"-")+ROW()-3-$AB$2)-9,5),$A$3:$A$12,0),2)),"-")</f>
        <v>-</v>
      </c>
      <c r="AO343" s="378" t="str">
        <f t="array" aca="1" ref="AO343" ca="1">IFERROR(IF(AI343&lt;=$AB$2,"-",INDEX(Coordinate,MATCH(INDEX(Calculation_Tab,SMALL(ROW(Main_Dil)*(Main_Dil&lt;&gt;"-"),COUNTIF(Main_Dil,"-")+ROW()-3-$AB$2)-9,6),$X$4:$X$99,0),2)),"-")</f>
        <v>-</v>
      </c>
      <c r="AP343" s="510" t="str">
        <f t="array" aca="1" ref="AP343" ca="1">IFERROR(IF(AI343&lt;=$AB$2,"-",INDEX(Calculation_Tab,SMALL(ROW(Main_Dil)*(Main_Dil&lt;&gt;"-"),COUNTIF(Main_Dil,"-")+ROW()-3-$AB$2)-9,21)),"-")</f>
        <v>-</v>
      </c>
      <c r="AQ343" s="511" t="str">
        <f t="array" aca="1" ref="AQ343" ca="1">IFERROR(IF(AI343&lt;=$AB$2,"-",INDEX(Calculation_Tab,SMALL(ROW(Main_Dil)*(Main_Dil&lt;&gt;"-"),COUNTIF(Main_Dil,"-")+ROW()-3-$AB$2)-9,22)),"-")</f>
        <v>-</v>
      </c>
      <c r="AR343" s="487" t="str">
        <f t="shared" ca="1" si="170"/>
        <v>-</v>
      </c>
      <c r="AS343" s="378">
        <v>340</v>
      </c>
      <c r="AT343" s="497" t="s">
        <v>479</v>
      </c>
      <c r="AU343" s="498">
        <v>52</v>
      </c>
      <c r="AV343" s="378" t="str">
        <f t="shared" ca="1" si="171"/>
        <v>-</v>
      </c>
      <c r="AW343" s="378" t="str">
        <f t="array" aca="1" ref="AW343" ca="1">IFERROR(IF(AS343&lt;=$AB$2+$AN$2,"-",INDEX(Calculation_Tab,SMALL(ROW(Direct_Denaturation)*(Direct_Denaturation&lt;&gt;"-"),COUNTIF(Direct_Denaturation,"-")+ROW()-3-$AB$2-$AN$2)-9,5)),"-")</f>
        <v>-</v>
      </c>
      <c r="AX343" s="378" t="str">
        <f t="array" aca="1" ref="AX343" ca="1">IFERROR(IF(AS343&lt;=$AB$2+$AN$2,"-",INDEX($A$3:$B$12,MATCH(INDEX(Calculation_Tab,SMALL(ROW(Direct_Denaturation)*(Direct_Denaturation&lt;&gt;"-"),COUNTIF(Direct_Denaturation,"-")+ROW()-3-$AB$2-$AN$2)-9,5),$A$3:$A$12,0),2)),"-")</f>
        <v>-</v>
      </c>
      <c r="AY343" s="378" t="str">
        <f t="array" aca="1" ref="AY343" ca="1">IFERROR(IF(AS343&lt;=$AB$2+$AN$2,"-",INDEX(Coordinate,MATCH(INDEX(Calculation_Tab,SMALL(ROW(Direct_Denaturation)*(Direct_Denaturation&lt;&gt;"-"),COUNTIF(Direct_Denaturation,"-")+ROW()-3-$AB$2-$AN$2)-9,6),$X$4:$X$99,0),2)),"-")</f>
        <v>-</v>
      </c>
      <c r="AZ343" s="510" t="str">
        <f t="array" aca="1" ref="AZ343" ca="1">IFERROR(IF(AS343&lt;=$AB$2+$AN$2,"-",INDEX(Calculation_Tab,SMALL(ROW(Direct_Denaturation)*(Direct_Denaturation&lt;&gt;"-"),COUNTIF(Direct_Denaturation,"-")+ROW()-3-$AB$2-$AN$2)-9,32)),"-")</f>
        <v>-</v>
      </c>
      <c r="BA343" s="510" t="str">
        <f t="array" aca="1" ref="BA343" ca="1">IFERROR(IF(AS343&lt;=$AB$2+$AN$2,"-",INDEX(Calculation_Tab,SMALL(ROW(Direct_Denaturation)*(Direct_Denaturation&lt;&gt;"-"),COUNTIF(Direct_Denaturation,"-")+ROW()-3-$AB$2-$AN$2)-9,34)),"-")</f>
        <v>-</v>
      </c>
      <c r="BB343" s="510" t="str">
        <f t="array" aca="1" ref="BB343" ca="1">IFERROR(IF(AS343&lt;=$AB$2+$AN$2,"-",INDEX(Calculation_Tab,SMALL(ROW(Direct_Denaturation)*(Direct_Denaturation&lt;&gt;"-"),COUNTIF(Direct_Denaturation,"-")+ROW()-3-$AB$2-$AN$2)-9,33)),"-")</f>
        <v>-</v>
      </c>
      <c r="BC343" s="510" t="str">
        <f t="array" aca="1" ref="BC343" ca="1">IFERROR(IF(AS343&lt;=$AB$2+$AN$2,"-",INDEX(Calculation_Tab,SMALL(ROW(Direct_Denaturation)*(Direct_Denaturation&lt;&gt;"-"),COUNTIF(Direct_Denaturation,"-")+ROW()-3-$AB$2-$AN$2)-9,35)),"-")</f>
        <v>-</v>
      </c>
      <c r="BD343" s="511" t="str">
        <f t="shared" ca="1" si="172"/>
        <v>-</v>
      </c>
      <c r="BK343" s="542" t="s">
        <v>82</v>
      </c>
      <c r="BL343" s="542" t="s">
        <v>82</v>
      </c>
      <c r="BM343" s="487" t="str">
        <f t="array" aca="1" ref="BM343" ca="1">IFERROR(INDEX(Calculation_Tab,SMALL(ROW(ToPool)*(ToPool&lt;&gt;"-"),COUNTIF(ToPool,"-")+ROW()-3)-9,3),"-")</f>
        <v>-</v>
      </c>
      <c r="BN343" s="378" t="str">
        <f t="shared" ca="1" si="173"/>
        <v>-</v>
      </c>
      <c r="BO343" s="378" t="str">
        <f t="shared" ca="1" si="174"/>
        <v>-</v>
      </c>
      <c r="BP343" s="523" t="str">
        <f t="shared" ca="1" si="175"/>
        <v>-</v>
      </c>
      <c r="BQ343" s="378" t="str">
        <f t="array" aca="1" ref="BQ343" ca="1">IFERROR(INDEX(BE:BG,MATCH(INDEX(Calculation_Tab,SMALL(ROW(ToPool)*(ToPool&lt;&gt;"-"),COUNTIF(ToPool,"-")+ROW()-3)-9,9),BG:BG,0),2),"-")</f>
        <v>-</v>
      </c>
      <c r="BR343" s="510" t="str">
        <f t="shared" ca="1" si="176"/>
        <v>-</v>
      </c>
      <c r="BS343" s="511" t="str">
        <f t="shared" ca="1" si="177"/>
        <v>-</v>
      </c>
      <c r="BT343" s="543" t="s">
        <v>82</v>
      </c>
      <c r="BU343" s="487" t="str">
        <f t="shared" ca="1" si="182"/>
        <v>-</v>
      </c>
      <c r="BV343" s="487" t="str">
        <f t="array" aca="1" ref="BV34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43" s="378" t="str">
        <f t="shared" ca="1" si="178"/>
        <v>-</v>
      </c>
      <c r="BX343" s="378" t="str">
        <f t="shared" ca="1" si="179"/>
        <v>-</v>
      </c>
      <c r="BY343" s="510" t="str">
        <f ca="1">IFERROR(ROUND(INDEX(Cluster,MATCH(IF(LEFT(BV343,4)="Pool",INDEX(Cluster,MATCH(INDEX(Calculation_Tab,MATCH(INDEX($BE$4:$BJ$99,MATCH(BV343,$BE$4:$BE$99,0),3),Flow_Cell_Lane,0),3),Cluster!$F$29:$F$412,0),6),BV343),Identifier_Cluster,0),19)*IF(LEFT(BV343,4)="pool",IF(LEN(INDEX($BE$4:$BJ$99,MATCH(BV343,$BE$4:$BE$99,0),3))=10,2,IF(LEN(INDEX($BE$4:$BJ$99,MATCH(BV343,$BE$4:$BE$99,0),3))&gt;10,LEN(INDEX($BE$4:$BJ$99,MATCH(BV343,$BE$4:$BE$99,0),3))-8,1)),1)*IF(LEFT(BV343,4)="pool",IF(INDEX($BE$4:$BJ$99,MATCH(BV343,$BE$4:$BE$99,0),6)&lt;1,1,INDEX($BE$4:$BJ$99,MATCH(BV343,$BE$4:$BE$99,0),6)),INDEX(Calculation_Tab,MATCH(BV343,Identifier,0),10)),1)*(1+Calculation!$Q$6),"-")</f>
        <v>-</v>
      </c>
      <c r="BZ343" s="378" t="str">
        <f ca="1">IFERROR((0.5/50)*CE343/Calculation!$AG$6*(IF(LEFT(BV343,4)="Pool",IF(LEN(INDEX($BE$4:$BJ$99,MATCH(BV343,$BE$4:$BE$99,0),3))=10,2,IF(LEN(INDEX($BE$4:$BJ$99,MATCH(BV343,$BE$4:$BE$99,0),3))&gt;10,LEN(INDEX($BE$4:$BJ$99,MATCH(BV343,$BE$4:$BE$99,0),3))-8,1)),IF(INDEX(Calculation_Tab,MATCH(BV343,Identifier,0),10)&gt;1,INDEX(Calculation_Tab,MATCH(BV343,Identifier,0),10),1)))*(1+Calculation!$Q$6),"-")</f>
        <v>-</v>
      </c>
      <c r="CA343" s="510" t="str">
        <f ca="1">IFERROR(IF((BZ343*Calculation!$AG$6/0.05)-SUM(BY343:BZ343,CC343)&gt;0,(BZ343*Calculation!$AG$6/0.05)-SUM(BY343:BZ343,CC343),0),"-")</f>
        <v>-</v>
      </c>
      <c r="CB343" s="510" t="str">
        <f ca="1">IFERROR(5/50*CE343*(IF(LEFT(BV343,4)="Pool",IF(LEN(INDEX($BE$4:$BJ$99,MATCH(BV343,$BE$4:$BE$99,0),3))=10,2,IF(LEN(INDEX($BE$4:$BJ$99,MATCH(BV343,$BE$4:$BE$99,0),3))&gt;10,LEN(INDEX($BE$4:$BJ$99,MATCH(BV343,$BE$4:$BE$99,0),3))-8,1)),IF(INDEX(Calculation_Tab,MATCH(BV343,Identifier,0),10)&gt;1,INDEX(Calculation_Tab,MATCH(BV343,Identifier,0),10),1)))*(1+Calculation!$Q$6),"-")</f>
        <v>-</v>
      </c>
      <c r="CC343" s="508" t="str">
        <f ca="1">IFERROR(ROUND(INDEX(Cluster,MATCH(IF(LEFT(BV343,4)="Pool",INDEX(Cluster,MATCH(INDEX(Calculation_Tab,MATCH(INDEX($BE$4:$BJ$99,MATCH(BV343,$BE$4:$BE$99,0),3),Flow_Cell_Lane,0),3),Cluster!$F$29:$F$412,0),6),BV343),Identifier_Cluster,0),20)*IF(LEFT(BV343,4)="pool",IF(LEN(INDEX($BE$4:$BJ$99,MATCH(BV343,$BE$4:$BE$99,0),3))=10,2,IF(LEN(INDEX($BE$4:$BJ$99,MATCH(BV343,$BE$4:$BE$99,0),3))&gt;10,LEN(INDEX($BE$4:$BJ$99,MATCH(BV343,$BE$4:$BE$99,0),3))-8,1)),1)*IF(LEFT(BV343,4)="pool",IF(INDEX($BE$4:$BJ$99,MATCH(BV343,$BE$4:$BE$99,0),6)&lt;1,1,INDEX($BE$4:$BJ$99,MATCH(BV343,$BE$4:$BE$99,0),6)),INDEX(Calculation_Tab,MATCH(BV343,Identifier,0),10)),1)*(1+Calculation!$Q$6),"-")</f>
        <v>-</v>
      </c>
      <c r="CD343" s="509" t="str">
        <f ca="1">IFERROR(INDEX(Cluster!AC:AD,MATCH(IF(LEFT(BV343,4)="Pool",INDEX(Cluster!$D$29:$AA$412,MATCH(INDEX(Calculation_Tab,MATCH(INDEX($BE$4:$BJ$99,MATCH(BV343,$BE$4:$BE$99,0),3),Flow_Cell_Lane,0),3),Cluster!$F$29:$F$412,0),24),INDEX(Cluster!$D$29:$AA$412,MATCH(BV343,Cluster!$F$29:$F$412,0),24)),Cluster!AC:AC,0),2),"-")</f>
        <v>-</v>
      </c>
      <c r="CE343" s="378" t="str">
        <f ca="1">IFERROR(IF(BV343&lt;&gt;"-",Calculation!$AK$6,"-"),"-")</f>
        <v>-</v>
      </c>
      <c r="CF343" s="378" t="str">
        <f ca="1">IF(OR(LEFT(ListAndConversion!BW343,3)="Dil",LEFT(ListAndConversion!BW343,3)="Poo"),ListAndConversion!$BT$4,IF(LEFT(ListAndConversion!BW343,3)="Sou",INDEX(ListAndConversion!$AT$3:$AV$387,MATCH(ListAndConversion!BV343,ListAndConversion!$AV$3:$AV$387,0),1),"-"))</f>
        <v>-</v>
      </c>
      <c r="CG343" s="498" t="str">
        <f ca="1">IF(OR(LEFT(ListAndConversion!BW343,3)="Dil",LEFT(ListAndConversion!BW343,3)="Poo"),ListAndConversion!BU343,IF(LEFT(ListAndConversion!BW343,3)="Sou",INDEX(ListAndConversion!$AT$4:$AV$387,MATCH(ListAndConversion!BV343,ListAndConversion!$AV$4:$AV$387,0),2),"-"))</f>
        <v>-</v>
      </c>
      <c r="CH343" s="378"/>
      <c r="CI343" s="487" t="str">
        <f t="shared" ca="1" si="180"/>
        <v>-</v>
      </c>
      <c r="CJ343" s="378" t="str">
        <f t="shared" ca="1" si="184"/>
        <v>-</v>
      </c>
      <c r="CK343" s="378" t="str">
        <f t="shared" ca="1" si="184"/>
        <v>-</v>
      </c>
      <c r="CL343" s="378" t="str">
        <f t="shared" ca="1" si="184"/>
        <v>-</v>
      </c>
      <c r="CM343" s="378" t="str">
        <f t="shared" ca="1" si="184"/>
        <v>-</v>
      </c>
      <c r="CN343" s="378" t="str">
        <f t="shared" ca="1" si="184"/>
        <v>-</v>
      </c>
      <c r="CO343" s="378" t="str">
        <f t="shared" ca="1" si="184"/>
        <v>-</v>
      </c>
      <c r="CP343" s="378" t="str">
        <f t="shared" ca="1" si="184"/>
        <v>-</v>
      </c>
      <c r="CQ343" s="378" t="str">
        <f t="shared" ca="1" si="184"/>
        <v>-</v>
      </c>
      <c r="CR343" s="510" t="str">
        <f ca="1">IFERROR(IF(LEFT(BW343,3)="Poo",INDEX($BE$4:$BJ$99,MATCH(CI343,$BG$4:$BG$99,0),6)*((15/50))*Calculation!$AK$6,INDEX(Calculation_Tab,MATCH(BV343,Identifier,0),10)/(IF(LEN(INDEX(Calculation_Tab,MATCH(BV343,Identifier,0),9))&gt;8,LEN(INDEX(Calculation_Tab,MATCH(BV343,Identifier,0),9))-8,1))*((15/50)*Calculation!$AK$6)),"-")</f>
        <v>-</v>
      </c>
      <c r="CS343" s="498" t="str">
        <f ca="1">IF(CI343="-","-",IF(COUNTIF($CI$3:CI343,CI343)&gt;1,0,IFERROR((35/50)*Calculation!$AK$6,"-")))</f>
        <v>-</v>
      </c>
    </row>
    <row r="344" spans="4:97" x14ac:dyDescent="0.5">
      <c r="D344" s="487" t="e">
        <f t="shared" si="165"/>
        <v>#DIV/0!</v>
      </c>
      <c r="E344" s="496" t="e">
        <f t="array" ref="E344">IF(IF((ROW(E344)-3)&lt;(ListAndConversion!$A$15),INDEX(Flow_Cell_Lane,MIN(IF(COUNTIF($E$2:E343,Flow_Cell_Lane)=0,ROW(Flow_Cell_Lane)-9))),"-")="","-",IF((ROW(E344)-3)&lt;(ListAndConversion!$A$15),INDEX(Flow_Cell_Lane,MIN(IF(COUNTIF($E$2:E343,Flow_Cell_Lane)=0,ROW(Flow_Cell_Lane)-9))),"-"))</f>
        <v>#DIV/0!</v>
      </c>
      <c r="F344" s="378" t="e">
        <f t="shared" si="166"/>
        <v>#DIV/0!</v>
      </c>
      <c r="G344" s="378" t="e">
        <f t="shared" si="185"/>
        <v>#DIV/0!</v>
      </c>
      <c r="H344" s="378" t="e">
        <f t="shared" si="185"/>
        <v>#DIV/0!</v>
      </c>
      <c r="I344" s="378" t="e">
        <f t="shared" si="185"/>
        <v>#DIV/0!</v>
      </c>
      <c r="J344" s="378" t="e">
        <f t="shared" si="185"/>
        <v>#DIV/0!</v>
      </c>
      <c r="K344" s="378" t="e">
        <f t="shared" si="185"/>
        <v>#DIV/0!</v>
      </c>
      <c r="L344" s="378" t="e">
        <f t="shared" si="185"/>
        <v>#DIV/0!</v>
      </c>
      <c r="M344" s="378" t="e">
        <f t="shared" si="185"/>
        <v>#DIV/0!</v>
      </c>
      <c r="N344" s="497" t="e">
        <f t="shared" si="168"/>
        <v>#DIV/0!</v>
      </c>
      <c r="O344" s="497" t="str">
        <f t="array" ref="O344">IFERROR(INDEX(Calculation!I:AN,MATCH(ListAndConversion!E344,Calculation!I:I,0),31),"-")</f>
        <v>-</v>
      </c>
      <c r="P344" s="498">
        <f>IF(COUNTIFS(Calculation!$I$10:$I$393,E344,Direct_Denaturation,"-")&lt;&gt;1,COUNTIFS(Calculation!$I$10:$I$393,E344,Direct_Denaturation,"-"),0)</f>
        <v>0</v>
      </c>
      <c r="V344" s="542" t="s">
        <v>82</v>
      </c>
      <c r="W344" s="542" t="s">
        <v>82</v>
      </c>
      <c r="X344" s="542" t="s">
        <v>82</v>
      </c>
      <c r="Y344" s="542" t="s">
        <v>82</v>
      </c>
      <c r="Z344" s="542" t="s">
        <v>82</v>
      </c>
      <c r="AA344" s="542" t="s">
        <v>82</v>
      </c>
      <c r="AB344" s="542" t="s">
        <v>82</v>
      </c>
      <c r="AC344" s="542" t="s">
        <v>82</v>
      </c>
      <c r="AD344" s="542" t="s">
        <v>82</v>
      </c>
      <c r="AE344" s="542" t="s">
        <v>82</v>
      </c>
      <c r="AF344" s="542" t="s">
        <v>82</v>
      </c>
      <c r="AG344" s="542" t="s">
        <v>82</v>
      </c>
      <c r="AH344" s="9"/>
      <c r="AI344" s="487">
        <v>341</v>
      </c>
      <c r="AJ344" s="497" t="s">
        <v>479</v>
      </c>
      <c r="AK344" s="378">
        <v>53</v>
      </c>
      <c r="AL344" s="378" t="str">
        <f t="shared" ca="1" si="169"/>
        <v>-</v>
      </c>
      <c r="AM344" s="378" t="str">
        <f t="array" aca="1" ref="AM344" ca="1">IFERROR(IF(AI344&lt;=$AB$2,"-",INDEX(Calculation_Tab,SMALL(ROW(Main_Dil)*(Main_Dil&lt;&gt;"-"),COUNTIF(Main_Dil,"-")+ROW()-3-$AB$2)-9,5)),"-")</f>
        <v>-</v>
      </c>
      <c r="AN344" s="378" t="str">
        <f t="array" aca="1" ref="AN344" ca="1">IFERROR(IF(AI344&lt;=$AB$2,"-",INDEX($A$3:$B$12,MATCH(INDEX(Calculation_Tab,SMALL(ROW(Main_Dil)*(Main_Dil&lt;&gt;"-"),COUNTIF(Main_Dil,"-")+ROW()-3-$AB$2)-9,5),$A$3:$A$12,0),2)),"-")</f>
        <v>-</v>
      </c>
      <c r="AO344" s="378" t="str">
        <f t="array" aca="1" ref="AO344" ca="1">IFERROR(IF(AI344&lt;=$AB$2,"-",INDEX(Coordinate,MATCH(INDEX(Calculation_Tab,SMALL(ROW(Main_Dil)*(Main_Dil&lt;&gt;"-"),COUNTIF(Main_Dil,"-")+ROW()-3-$AB$2)-9,6),$X$4:$X$99,0),2)),"-")</f>
        <v>-</v>
      </c>
      <c r="AP344" s="510" t="str">
        <f t="array" aca="1" ref="AP344" ca="1">IFERROR(IF(AI344&lt;=$AB$2,"-",INDEX(Calculation_Tab,SMALL(ROW(Main_Dil)*(Main_Dil&lt;&gt;"-"),COUNTIF(Main_Dil,"-")+ROW()-3-$AB$2)-9,21)),"-")</f>
        <v>-</v>
      </c>
      <c r="AQ344" s="511" t="str">
        <f t="array" aca="1" ref="AQ344" ca="1">IFERROR(IF(AI344&lt;=$AB$2,"-",INDEX(Calculation_Tab,SMALL(ROW(Main_Dil)*(Main_Dil&lt;&gt;"-"),COUNTIF(Main_Dil,"-")+ROW()-3-$AB$2)-9,22)),"-")</f>
        <v>-</v>
      </c>
      <c r="AR344" s="487" t="str">
        <f t="shared" ca="1" si="170"/>
        <v>-</v>
      </c>
      <c r="AS344" s="378">
        <v>341</v>
      </c>
      <c r="AT344" s="497" t="s">
        <v>479</v>
      </c>
      <c r="AU344" s="498">
        <v>53</v>
      </c>
      <c r="AV344" s="378" t="str">
        <f t="shared" ca="1" si="171"/>
        <v>-</v>
      </c>
      <c r="AW344" s="378" t="str">
        <f t="array" aca="1" ref="AW344" ca="1">IFERROR(IF(AS344&lt;=$AB$2+$AN$2,"-",INDEX(Calculation_Tab,SMALL(ROW(Direct_Denaturation)*(Direct_Denaturation&lt;&gt;"-"),COUNTIF(Direct_Denaturation,"-")+ROW()-3-$AB$2-$AN$2)-9,5)),"-")</f>
        <v>-</v>
      </c>
      <c r="AX344" s="378" t="str">
        <f t="array" aca="1" ref="AX344" ca="1">IFERROR(IF(AS344&lt;=$AB$2+$AN$2,"-",INDEX($A$3:$B$12,MATCH(INDEX(Calculation_Tab,SMALL(ROW(Direct_Denaturation)*(Direct_Denaturation&lt;&gt;"-"),COUNTIF(Direct_Denaturation,"-")+ROW()-3-$AB$2-$AN$2)-9,5),$A$3:$A$12,0),2)),"-")</f>
        <v>-</v>
      </c>
      <c r="AY344" s="378" t="str">
        <f t="array" aca="1" ref="AY344" ca="1">IFERROR(IF(AS344&lt;=$AB$2+$AN$2,"-",INDEX(Coordinate,MATCH(INDEX(Calculation_Tab,SMALL(ROW(Direct_Denaturation)*(Direct_Denaturation&lt;&gt;"-"),COUNTIF(Direct_Denaturation,"-")+ROW()-3-$AB$2-$AN$2)-9,6),$X$4:$X$99,0),2)),"-")</f>
        <v>-</v>
      </c>
      <c r="AZ344" s="510" t="str">
        <f t="array" aca="1" ref="AZ344" ca="1">IFERROR(IF(AS344&lt;=$AB$2+$AN$2,"-",INDEX(Calculation_Tab,SMALL(ROW(Direct_Denaturation)*(Direct_Denaturation&lt;&gt;"-"),COUNTIF(Direct_Denaturation,"-")+ROW()-3-$AB$2-$AN$2)-9,32)),"-")</f>
        <v>-</v>
      </c>
      <c r="BA344" s="510" t="str">
        <f t="array" aca="1" ref="BA344" ca="1">IFERROR(IF(AS344&lt;=$AB$2+$AN$2,"-",INDEX(Calculation_Tab,SMALL(ROW(Direct_Denaturation)*(Direct_Denaturation&lt;&gt;"-"),COUNTIF(Direct_Denaturation,"-")+ROW()-3-$AB$2-$AN$2)-9,34)),"-")</f>
        <v>-</v>
      </c>
      <c r="BB344" s="510" t="str">
        <f t="array" aca="1" ref="BB344" ca="1">IFERROR(IF(AS344&lt;=$AB$2+$AN$2,"-",INDEX(Calculation_Tab,SMALL(ROW(Direct_Denaturation)*(Direct_Denaturation&lt;&gt;"-"),COUNTIF(Direct_Denaturation,"-")+ROW()-3-$AB$2-$AN$2)-9,33)),"-")</f>
        <v>-</v>
      </c>
      <c r="BC344" s="510" t="str">
        <f t="array" aca="1" ref="BC344" ca="1">IFERROR(IF(AS344&lt;=$AB$2+$AN$2,"-",INDEX(Calculation_Tab,SMALL(ROW(Direct_Denaturation)*(Direct_Denaturation&lt;&gt;"-"),COUNTIF(Direct_Denaturation,"-")+ROW()-3-$AB$2-$AN$2)-9,35)),"-")</f>
        <v>-</v>
      </c>
      <c r="BD344" s="511" t="str">
        <f t="shared" ca="1" si="172"/>
        <v>-</v>
      </c>
      <c r="BK344" s="542" t="s">
        <v>82</v>
      </c>
      <c r="BL344" s="542" t="s">
        <v>82</v>
      </c>
      <c r="BM344" s="487" t="str">
        <f t="array" aca="1" ref="BM344" ca="1">IFERROR(INDEX(Calculation_Tab,SMALL(ROW(ToPool)*(ToPool&lt;&gt;"-"),COUNTIF(ToPool,"-")+ROW()-3)-9,3),"-")</f>
        <v>-</v>
      </c>
      <c r="BN344" s="378" t="str">
        <f t="shared" ca="1" si="173"/>
        <v>-</v>
      </c>
      <c r="BO344" s="378" t="str">
        <f t="shared" ca="1" si="174"/>
        <v>-</v>
      </c>
      <c r="BP344" s="523" t="str">
        <f t="shared" ca="1" si="175"/>
        <v>-</v>
      </c>
      <c r="BQ344" s="378" t="str">
        <f t="array" aca="1" ref="BQ344" ca="1">IFERROR(INDEX(BE:BG,MATCH(INDEX(Calculation_Tab,SMALL(ROW(ToPool)*(ToPool&lt;&gt;"-"),COUNTIF(ToPool,"-")+ROW()-3)-9,9),BG:BG,0),2),"-")</f>
        <v>-</v>
      </c>
      <c r="BR344" s="510" t="str">
        <f t="shared" ca="1" si="176"/>
        <v>-</v>
      </c>
      <c r="BS344" s="511" t="str">
        <f t="shared" ca="1" si="177"/>
        <v>-</v>
      </c>
      <c r="BT344" s="543" t="s">
        <v>82</v>
      </c>
      <c r="BU344" s="487" t="str">
        <f t="shared" ca="1" si="182"/>
        <v>-</v>
      </c>
      <c r="BV344" s="487" t="str">
        <f t="array" aca="1" ref="BV34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44" s="378" t="str">
        <f t="shared" ca="1" si="178"/>
        <v>-</v>
      </c>
      <c r="BX344" s="378" t="str">
        <f t="shared" ca="1" si="179"/>
        <v>-</v>
      </c>
      <c r="BY344" s="510" t="str">
        <f ca="1">IFERROR(ROUND(INDEX(Cluster,MATCH(IF(LEFT(BV344,4)="Pool",INDEX(Cluster,MATCH(INDEX(Calculation_Tab,MATCH(INDEX($BE$4:$BJ$99,MATCH(BV344,$BE$4:$BE$99,0),3),Flow_Cell_Lane,0),3),Cluster!$F$29:$F$412,0),6),BV344),Identifier_Cluster,0),19)*IF(LEFT(BV344,4)="pool",IF(LEN(INDEX($BE$4:$BJ$99,MATCH(BV344,$BE$4:$BE$99,0),3))=10,2,IF(LEN(INDEX($BE$4:$BJ$99,MATCH(BV344,$BE$4:$BE$99,0),3))&gt;10,LEN(INDEX($BE$4:$BJ$99,MATCH(BV344,$BE$4:$BE$99,0),3))-8,1)),1)*IF(LEFT(BV344,4)="pool",IF(INDEX($BE$4:$BJ$99,MATCH(BV344,$BE$4:$BE$99,0),6)&lt;1,1,INDEX($BE$4:$BJ$99,MATCH(BV344,$BE$4:$BE$99,0),6)),INDEX(Calculation_Tab,MATCH(BV344,Identifier,0),10)),1)*(1+Calculation!$Q$6),"-")</f>
        <v>-</v>
      </c>
      <c r="BZ344" s="378" t="str">
        <f ca="1">IFERROR((0.5/50)*CE344/Calculation!$AG$6*(IF(LEFT(BV344,4)="Pool",IF(LEN(INDEX($BE$4:$BJ$99,MATCH(BV344,$BE$4:$BE$99,0),3))=10,2,IF(LEN(INDEX($BE$4:$BJ$99,MATCH(BV344,$BE$4:$BE$99,0),3))&gt;10,LEN(INDEX($BE$4:$BJ$99,MATCH(BV344,$BE$4:$BE$99,0),3))-8,1)),IF(INDEX(Calculation_Tab,MATCH(BV344,Identifier,0),10)&gt;1,INDEX(Calculation_Tab,MATCH(BV344,Identifier,0),10),1)))*(1+Calculation!$Q$6),"-")</f>
        <v>-</v>
      </c>
      <c r="CA344" s="510" t="str">
        <f ca="1">IFERROR(IF((BZ344*Calculation!$AG$6/0.05)-SUM(BY344:BZ344,CC344)&gt;0,(BZ344*Calculation!$AG$6/0.05)-SUM(BY344:BZ344,CC344),0),"-")</f>
        <v>-</v>
      </c>
      <c r="CB344" s="510" t="str">
        <f ca="1">IFERROR(5/50*CE344*(IF(LEFT(BV344,4)="Pool",IF(LEN(INDEX($BE$4:$BJ$99,MATCH(BV344,$BE$4:$BE$99,0),3))=10,2,IF(LEN(INDEX($BE$4:$BJ$99,MATCH(BV344,$BE$4:$BE$99,0),3))&gt;10,LEN(INDEX($BE$4:$BJ$99,MATCH(BV344,$BE$4:$BE$99,0),3))-8,1)),IF(INDEX(Calculation_Tab,MATCH(BV344,Identifier,0),10)&gt;1,INDEX(Calculation_Tab,MATCH(BV344,Identifier,0),10),1)))*(1+Calculation!$Q$6),"-")</f>
        <v>-</v>
      </c>
      <c r="CC344" s="508" t="str">
        <f ca="1">IFERROR(ROUND(INDEX(Cluster,MATCH(IF(LEFT(BV344,4)="Pool",INDEX(Cluster,MATCH(INDEX(Calculation_Tab,MATCH(INDEX($BE$4:$BJ$99,MATCH(BV344,$BE$4:$BE$99,0),3),Flow_Cell_Lane,0),3),Cluster!$F$29:$F$412,0),6),BV344),Identifier_Cluster,0),20)*IF(LEFT(BV344,4)="pool",IF(LEN(INDEX($BE$4:$BJ$99,MATCH(BV344,$BE$4:$BE$99,0),3))=10,2,IF(LEN(INDEX($BE$4:$BJ$99,MATCH(BV344,$BE$4:$BE$99,0),3))&gt;10,LEN(INDEX($BE$4:$BJ$99,MATCH(BV344,$BE$4:$BE$99,0),3))-8,1)),1)*IF(LEFT(BV344,4)="pool",IF(INDEX($BE$4:$BJ$99,MATCH(BV344,$BE$4:$BE$99,0),6)&lt;1,1,INDEX($BE$4:$BJ$99,MATCH(BV344,$BE$4:$BE$99,0),6)),INDEX(Calculation_Tab,MATCH(BV344,Identifier,0),10)),1)*(1+Calculation!$Q$6),"-")</f>
        <v>-</v>
      </c>
      <c r="CD344" s="509" t="str">
        <f ca="1">IFERROR(INDEX(Cluster!AC:AD,MATCH(IF(LEFT(BV344,4)="Pool",INDEX(Cluster!$D$29:$AA$412,MATCH(INDEX(Calculation_Tab,MATCH(INDEX($BE$4:$BJ$99,MATCH(BV344,$BE$4:$BE$99,0),3),Flow_Cell_Lane,0),3),Cluster!$F$29:$F$412,0),24),INDEX(Cluster!$D$29:$AA$412,MATCH(BV344,Cluster!$F$29:$F$412,0),24)),Cluster!AC:AC,0),2),"-")</f>
        <v>-</v>
      </c>
      <c r="CE344" s="378" t="str">
        <f ca="1">IFERROR(IF(BV344&lt;&gt;"-",Calculation!$AK$6,"-"),"-")</f>
        <v>-</v>
      </c>
      <c r="CF344" s="378" t="str">
        <f ca="1">IF(OR(LEFT(ListAndConversion!BW344,3)="Dil",LEFT(ListAndConversion!BW344,3)="Poo"),ListAndConversion!$BT$4,IF(LEFT(ListAndConversion!BW344,3)="Sou",INDEX(ListAndConversion!$AT$3:$AV$387,MATCH(ListAndConversion!BV344,ListAndConversion!$AV$3:$AV$387,0),1),"-"))</f>
        <v>-</v>
      </c>
      <c r="CG344" s="498" t="str">
        <f ca="1">IF(OR(LEFT(ListAndConversion!BW344,3)="Dil",LEFT(ListAndConversion!BW344,3)="Poo"),ListAndConversion!BU344,IF(LEFT(ListAndConversion!BW344,3)="Sou",INDEX(ListAndConversion!$AT$4:$AV$387,MATCH(ListAndConversion!BV344,ListAndConversion!$AV$4:$AV$387,0),2),"-"))</f>
        <v>-</v>
      </c>
      <c r="CH344" s="378"/>
      <c r="CI344" s="487" t="str">
        <f t="shared" ca="1" si="180"/>
        <v>-</v>
      </c>
      <c r="CJ344" s="378" t="str">
        <f t="shared" ref="CJ344:CQ353" ca="1" si="186">IFERROR(INDEX($R$3:$U$98,MATCH(INDEX($F$3:$M$387,MATCH($CI344,$E$3:$E$386,0),CJ$3),$S$3:$S$98,0),4),"-")</f>
        <v>-</v>
      </c>
      <c r="CK344" s="378" t="str">
        <f t="shared" ca="1" si="186"/>
        <v>-</v>
      </c>
      <c r="CL344" s="378" t="str">
        <f t="shared" ca="1" si="186"/>
        <v>-</v>
      </c>
      <c r="CM344" s="378" t="str">
        <f t="shared" ca="1" si="186"/>
        <v>-</v>
      </c>
      <c r="CN344" s="378" t="str">
        <f t="shared" ca="1" si="186"/>
        <v>-</v>
      </c>
      <c r="CO344" s="378" t="str">
        <f t="shared" ca="1" si="186"/>
        <v>-</v>
      </c>
      <c r="CP344" s="378" t="str">
        <f t="shared" ca="1" si="186"/>
        <v>-</v>
      </c>
      <c r="CQ344" s="378" t="str">
        <f t="shared" ca="1" si="186"/>
        <v>-</v>
      </c>
      <c r="CR344" s="510" t="str">
        <f ca="1">IFERROR(IF(LEFT(BW344,3)="Poo",INDEX($BE$4:$BJ$99,MATCH(CI344,$BG$4:$BG$99,0),6)*((15/50))*Calculation!$AK$6,INDEX(Calculation_Tab,MATCH(BV344,Identifier,0),10)/(IF(LEN(INDEX(Calculation_Tab,MATCH(BV344,Identifier,0),9))&gt;8,LEN(INDEX(Calculation_Tab,MATCH(BV344,Identifier,0),9))-8,1))*((15/50)*Calculation!$AK$6)),"-")</f>
        <v>-</v>
      </c>
      <c r="CS344" s="498" t="str">
        <f ca="1">IF(CI344="-","-",IF(COUNTIF($CI$3:CI344,CI344)&gt;1,0,IFERROR((35/50)*Calculation!$AK$6,"-")))</f>
        <v>-</v>
      </c>
    </row>
    <row r="345" spans="4:97" x14ac:dyDescent="0.5">
      <c r="D345" s="487" t="e">
        <f t="shared" si="165"/>
        <v>#DIV/0!</v>
      </c>
      <c r="E345" s="496" t="e">
        <f t="array" ref="E345">IF(IF((ROW(E345)-3)&lt;(ListAndConversion!$A$15),INDEX(Flow_Cell_Lane,MIN(IF(COUNTIF($E$2:E344,Flow_Cell_Lane)=0,ROW(Flow_Cell_Lane)-9))),"-")="","-",IF((ROW(E345)-3)&lt;(ListAndConversion!$A$15),INDEX(Flow_Cell_Lane,MIN(IF(COUNTIF($E$2:E344,Flow_Cell_Lane)=0,ROW(Flow_Cell_Lane)-9))),"-"))</f>
        <v>#DIV/0!</v>
      </c>
      <c r="F345" s="378" t="e">
        <f t="shared" si="166"/>
        <v>#DIV/0!</v>
      </c>
      <c r="G345" s="378" t="e">
        <f t="shared" si="185"/>
        <v>#DIV/0!</v>
      </c>
      <c r="H345" s="378" t="e">
        <f t="shared" si="185"/>
        <v>#DIV/0!</v>
      </c>
      <c r="I345" s="378" t="e">
        <f t="shared" si="185"/>
        <v>#DIV/0!</v>
      </c>
      <c r="J345" s="378" t="e">
        <f t="shared" si="185"/>
        <v>#DIV/0!</v>
      </c>
      <c r="K345" s="378" t="e">
        <f t="shared" si="185"/>
        <v>#DIV/0!</v>
      </c>
      <c r="L345" s="378" t="e">
        <f t="shared" si="185"/>
        <v>#DIV/0!</v>
      </c>
      <c r="M345" s="378" t="e">
        <f t="shared" si="185"/>
        <v>#DIV/0!</v>
      </c>
      <c r="N345" s="497" t="e">
        <f t="shared" si="168"/>
        <v>#DIV/0!</v>
      </c>
      <c r="O345" s="497" t="str">
        <f t="array" ref="O345">IFERROR(INDEX(Calculation!I:AN,MATCH(ListAndConversion!E345,Calculation!I:I,0),31),"-")</f>
        <v>-</v>
      </c>
      <c r="P345" s="498">
        <f>IF(COUNTIFS(Calculation!$I$10:$I$393,E345,Direct_Denaturation,"-")&lt;&gt;1,COUNTIFS(Calculation!$I$10:$I$393,E345,Direct_Denaturation,"-"),0)</f>
        <v>0</v>
      </c>
      <c r="V345" s="542" t="s">
        <v>82</v>
      </c>
      <c r="W345" s="542" t="s">
        <v>82</v>
      </c>
      <c r="X345" s="542" t="s">
        <v>82</v>
      </c>
      <c r="Y345" s="542" t="s">
        <v>82</v>
      </c>
      <c r="Z345" s="542" t="s">
        <v>82</v>
      </c>
      <c r="AA345" s="542" t="s">
        <v>82</v>
      </c>
      <c r="AB345" s="542" t="s">
        <v>82</v>
      </c>
      <c r="AC345" s="542" t="s">
        <v>82</v>
      </c>
      <c r="AD345" s="542" t="s">
        <v>82</v>
      </c>
      <c r="AE345" s="542" t="s">
        <v>82</v>
      </c>
      <c r="AF345" s="542" t="s">
        <v>82</v>
      </c>
      <c r="AG345" s="542" t="s">
        <v>82</v>
      </c>
      <c r="AH345" s="9"/>
      <c r="AI345" s="487">
        <v>342</v>
      </c>
      <c r="AJ345" s="497" t="s">
        <v>479</v>
      </c>
      <c r="AK345" s="378">
        <v>54</v>
      </c>
      <c r="AL345" s="378" t="str">
        <f t="shared" ca="1" si="169"/>
        <v>-</v>
      </c>
      <c r="AM345" s="378" t="str">
        <f t="array" aca="1" ref="AM345" ca="1">IFERROR(IF(AI345&lt;=$AB$2,"-",INDEX(Calculation_Tab,SMALL(ROW(Main_Dil)*(Main_Dil&lt;&gt;"-"),COUNTIF(Main_Dil,"-")+ROW()-3-$AB$2)-9,5)),"-")</f>
        <v>-</v>
      </c>
      <c r="AN345" s="378" t="str">
        <f t="array" aca="1" ref="AN345" ca="1">IFERROR(IF(AI345&lt;=$AB$2,"-",INDEX($A$3:$B$12,MATCH(INDEX(Calculation_Tab,SMALL(ROW(Main_Dil)*(Main_Dil&lt;&gt;"-"),COUNTIF(Main_Dil,"-")+ROW()-3-$AB$2)-9,5),$A$3:$A$12,0),2)),"-")</f>
        <v>-</v>
      </c>
      <c r="AO345" s="378" t="str">
        <f t="array" aca="1" ref="AO345" ca="1">IFERROR(IF(AI345&lt;=$AB$2,"-",INDEX(Coordinate,MATCH(INDEX(Calculation_Tab,SMALL(ROW(Main_Dil)*(Main_Dil&lt;&gt;"-"),COUNTIF(Main_Dil,"-")+ROW()-3-$AB$2)-9,6),$X$4:$X$99,0),2)),"-")</f>
        <v>-</v>
      </c>
      <c r="AP345" s="510" t="str">
        <f t="array" aca="1" ref="AP345" ca="1">IFERROR(IF(AI345&lt;=$AB$2,"-",INDEX(Calculation_Tab,SMALL(ROW(Main_Dil)*(Main_Dil&lt;&gt;"-"),COUNTIF(Main_Dil,"-")+ROW()-3-$AB$2)-9,21)),"-")</f>
        <v>-</v>
      </c>
      <c r="AQ345" s="511" t="str">
        <f t="array" aca="1" ref="AQ345" ca="1">IFERROR(IF(AI345&lt;=$AB$2,"-",INDEX(Calculation_Tab,SMALL(ROW(Main_Dil)*(Main_Dil&lt;&gt;"-"),COUNTIF(Main_Dil,"-")+ROW()-3-$AB$2)-9,22)),"-")</f>
        <v>-</v>
      </c>
      <c r="AR345" s="487" t="str">
        <f t="shared" ca="1" si="170"/>
        <v>-</v>
      </c>
      <c r="AS345" s="378">
        <v>342</v>
      </c>
      <c r="AT345" s="497" t="s">
        <v>479</v>
      </c>
      <c r="AU345" s="498">
        <v>54</v>
      </c>
      <c r="AV345" s="378" t="str">
        <f t="shared" ca="1" si="171"/>
        <v>-</v>
      </c>
      <c r="AW345" s="378" t="str">
        <f t="array" aca="1" ref="AW345" ca="1">IFERROR(IF(AS345&lt;=$AB$2+$AN$2,"-",INDEX(Calculation_Tab,SMALL(ROW(Direct_Denaturation)*(Direct_Denaturation&lt;&gt;"-"),COUNTIF(Direct_Denaturation,"-")+ROW()-3-$AB$2-$AN$2)-9,5)),"-")</f>
        <v>-</v>
      </c>
      <c r="AX345" s="378" t="str">
        <f t="array" aca="1" ref="AX345" ca="1">IFERROR(IF(AS345&lt;=$AB$2+$AN$2,"-",INDEX($A$3:$B$12,MATCH(INDEX(Calculation_Tab,SMALL(ROW(Direct_Denaturation)*(Direct_Denaturation&lt;&gt;"-"),COUNTIF(Direct_Denaturation,"-")+ROW()-3-$AB$2-$AN$2)-9,5),$A$3:$A$12,0),2)),"-")</f>
        <v>-</v>
      </c>
      <c r="AY345" s="378" t="str">
        <f t="array" aca="1" ref="AY345" ca="1">IFERROR(IF(AS345&lt;=$AB$2+$AN$2,"-",INDEX(Coordinate,MATCH(INDEX(Calculation_Tab,SMALL(ROW(Direct_Denaturation)*(Direct_Denaturation&lt;&gt;"-"),COUNTIF(Direct_Denaturation,"-")+ROW()-3-$AB$2-$AN$2)-9,6),$X$4:$X$99,0),2)),"-")</f>
        <v>-</v>
      </c>
      <c r="AZ345" s="510" t="str">
        <f t="array" aca="1" ref="AZ345" ca="1">IFERROR(IF(AS345&lt;=$AB$2+$AN$2,"-",INDEX(Calculation_Tab,SMALL(ROW(Direct_Denaturation)*(Direct_Denaturation&lt;&gt;"-"),COUNTIF(Direct_Denaturation,"-")+ROW()-3-$AB$2-$AN$2)-9,32)),"-")</f>
        <v>-</v>
      </c>
      <c r="BA345" s="510" t="str">
        <f t="array" aca="1" ref="BA345" ca="1">IFERROR(IF(AS345&lt;=$AB$2+$AN$2,"-",INDEX(Calculation_Tab,SMALL(ROW(Direct_Denaturation)*(Direct_Denaturation&lt;&gt;"-"),COUNTIF(Direct_Denaturation,"-")+ROW()-3-$AB$2-$AN$2)-9,34)),"-")</f>
        <v>-</v>
      </c>
      <c r="BB345" s="510" t="str">
        <f t="array" aca="1" ref="BB345" ca="1">IFERROR(IF(AS345&lt;=$AB$2+$AN$2,"-",INDEX(Calculation_Tab,SMALL(ROW(Direct_Denaturation)*(Direct_Denaturation&lt;&gt;"-"),COUNTIF(Direct_Denaturation,"-")+ROW()-3-$AB$2-$AN$2)-9,33)),"-")</f>
        <v>-</v>
      </c>
      <c r="BC345" s="510" t="str">
        <f t="array" aca="1" ref="BC345" ca="1">IFERROR(IF(AS345&lt;=$AB$2+$AN$2,"-",INDEX(Calculation_Tab,SMALL(ROW(Direct_Denaturation)*(Direct_Denaturation&lt;&gt;"-"),COUNTIF(Direct_Denaturation,"-")+ROW()-3-$AB$2-$AN$2)-9,35)),"-")</f>
        <v>-</v>
      </c>
      <c r="BD345" s="511" t="str">
        <f t="shared" ca="1" si="172"/>
        <v>-</v>
      </c>
      <c r="BK345" s="542" t="s">
        <v>82</v>
      </c>
      <c r="BL345" s="542" t="s">
        <v>82</v>
      </c>
      <c r="BM345" s="487" t="str">
        <f t="array" aca="1" ref="BM345" ca="1">IFERROR(INDEX(Calculation_Tab,SMALL(ROW(ToPool)*(ToPool&lt;&gt;"-"),COUNTIF(ToPool,"-")+ROW()-3)-9,3),"-")</f>
        <v>-</v>
      </c>
      <c r="BN345" s="378" t="str">
        <f t="shared" ca="1" si="173"/>
        <v>-</v>
      </c>
      <c r="BO345" s="378" t="str">
        <f t="shared" ca="1" si="174"/>
        <v>-</v>
      </c>
      <c r="BP345" s="523" t="str">
        <f t="shared" ca="1" si="175"/>
        <v>-</v>
      </c>
      <c r="BQ345" s="378" t="str">
        <f t="array" aca="1" ref="BQ345" ca="1">IFERROR(INDEX(BE:BG,MATCH(INDEX(Calculation_Tab,SMALL(ROW(ToPool)*(ToPool&lt;&gt;"-"),COUNTIF(ToPool,"-")+ROW()-3)-9,9),BG:BG,0),2),"-")</f>
        <v>-</v>
      </c>
      <c r="BR345" s="510" t="str">
        <f t="shared" ca="1" si="176"/>
        <v>-</v>
      </c>
      <c r="BS345" s="511" t="str">
        <f t="shared" ca="1" si="177"/>
        <v>-</v>
      </c>
      <c r="BT345" s="543" t="s">
        <v>82</v>
      </c>
      <c r="BU345" s="487" t="str">
        <f t="shared" ca="1" si="182"/>
        <v>-</v>
      </c>
      <c r="BV345" s="487" t="str">
        <f t="array" aca="1" ref="BV34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45" s="378" t="str">
        <f t="shared" ca="1" si="178"/>
        <v>-</v>
      </c>
      <c r="BX345" s="378" t="str">
        <f t="shared" ca="1" si="179"/>
        <v>-</v>
      </c>
      <c r="BY345" s="510" t="str">
        <f ca="1">IFERROR(ROUND(INDEX(Cluster,MATCH(IF(LEFT(BV345,4)="Pool",INDEX(Cluster,MATCH(INDEX(Calculation_Tab,MATCH(INDEX($BE$4:$BJ$99,MATCH(BV345,$BE$4:$BE$99,0),3),Flow_Cell_Lane,0),3),Cluster!$F$29:$F$412,0),6),BV345),Identifier_Cluster,0),19)*IF(LEFT(BV345,4)="pool",IF(LEN(INDEX($BE$4:$BJ$99,MATCH(BV345,$BE$4:$BE$99,0),3))=10,2,IF(LEN(INDEX($BE$4:$BJ$99,MATCH(BV345,$BE$4:$BE$99,0),3))&gt;10,LEN(INDEX($BE$4:$BJ$99,MATCH(BV345,$BE$4:$BE$99,0),3))-8,1)),1)*IF(LEFT(BV345,4)="pool",IF(INDEX($BE$4:$BJ$99,MATCH(BV345,$BE$4:$BE$99,0),6)&lt;1,1,INDEX($BE$4:$BJ$99,MATCH(BV345,$BE$4:$BE$99,0),6)),INDEX(Calculation_Tab,MATCH(BV345,Identifier,0),10)),1)*(1+Calculation!$Q$6),"-")</f>
        <v>-</v>
      </c>
      <c r="BZ345" s="378" t="str">
        <f ca="1">IFERROR((0.5/50)*CE345/Calculation!$AG$6*(IF(LEFT(BV345,4)="Pool",IF(LEN(INDEX($BE$4:$BJ$99,MATCH(BV345,$BE$4:$BE$99,0),3))=10,2,IF(LEN(INDEX($BE$4:$BJ$99,MATCH(BV345,$BE$4:$BE$99,0),3))&gt;10,LEN(INDEX($BE$4:$BJ$99,MATCH(BV345,$BE$4:$BE$99,0),3))-8,1)),IF(INDEX(Calculation_Tab,MATCH(BV345,Identifier,0),10)&gt;1,INDEX(Calculation_Tab,MATCH(BV345,Identifier,0),10),1)))*(1+Calculation!$Q$6),"-")</f>
        <v>-</v>
      </c>
      <c r="CA345" s="510" t="str">
        <f ca="1">IFERROR(IF((BZ345*Calculation!$AG$6/0.05)-SUM(BY345:BZ345,CC345)&gt;0,(BZ345*Calculation!$AG$6/0.05)-SUM(BY345:BZ345,CC345),0),"-")</f>
        <v>-</v>
      </c>
      <c r="CB345" s="510" t="str">
        <f ca="1">IFERROR(5/50*CE345*(IF(LEFT(BV345,4)="Pool",IF(LEN(INDEX($BE$4:$BJ$99,MATCH(BV345,$BE$4:$BE$99,0),3))=10,2,IF(LEN(INDEX($BE$4:$BJ$99,MATCH(BV345,$BE$4:$BE$99,0),3))&gt;10,LEN(INDEX($BE$4:$BJ$99,MATCH(BV345,$BE$4:$BE$99,0),3))-8,1)),IF(INDEX(Calculation_Tab,MATCH(BV345,Identifier,0),10)&gt;1,INDEX(Calculation_Tab,MATCH(BV345,Identifier,0),10),1)))*(1+Calculation!$Q$6),"-")</f>
        <v>-</v>
      </c>
      <c r="CC345" s="508" t="str">
        <f ca="1">IFERROR(ROUND(INDEX(Cluster,MATCH(IF(LEFT(BV345,4)="Pool",INDEX(Cluster,MATCH(INDEX(Calculation_Tab,MATCH(INDEX($BE$4:$BJ$99,MATCH(BV345,$BE$4:$BE$99,0),3),Flow_Cell_Lane,0),3),Cluster!$F$29:$F$412,0),6),BV345),Identifier_Cluster,0),20)*IF(LEFT(BV345,4)="pool",IF(LEN(INDEX($BE$4:$BJ$99,MATCH(BV345,$BE$4:$BE$99,0),3))=10,2,IF(LEN(INDEX($BE$4:$BJ$99,MATCH(BV345,$BE$4:$BE$99,0),3))&gt;10,LEN(INDEX($BE$4:$BJ$99,MATCH(BV345,$BE$4:$BE$99,0),3))-8,1)),1)*IF(LEFT(BV345,4)="pool",IF(INDEX($BE$4:$BJ$99,MATCH(BV345,$BE$4:$BE$99,0),6)&lt;1,1,INDEX($BE$4:$BJ$99,MATCH(BV345,$BE$4:$BE$99,0),6)),INDEX(Calculation_Tab,MATCH(BV345,Identifier,0),10)),1)*(1+Calculation!$Q$6),"-")</f>
        <v>-</v>
      </c>
      <c r="CD345" s="509" t="str">
        <f ca="1">IFERROR(INDEX(Cluster!AC:AD,MATCH(IF(LEFT(BV345,4)="Pool",INDEX(Cluster!$D$29:$AA$412,MATCH(INDEX(Calculation_Tab,MATCH(INDEX($BE$4:$BJ$99,MATCH(BV345,$BE$4:$BE$99,0),3),Flow_Cell_Lane,0),3),Cluster!$F$29:$F$412,0),24),INDEX(Cluster!$D$29:$AA$412,MATCH(BV345,Cluster!$F$29:$F$412,0),24)),Cluster!AC:AC,0),2),"-")</f>
        <v>-</v>
      </c>
      <c r="CE345" s="378" t="str">
        <f ca="1">IFERROR(IF(BV345&lt;&gt;"-",Calculation!$AK$6,"-"),"-")</f>
        <v>-</v>
      </c>
      <c r="CF345" s="378" t="str">
        <f ca="1">IF(OR(LEFT(ListAndConversion!BW345,3)="Dil",LEFT(ListAndConversion!BW345,3)="Poo"),ListAndConversion!$BT$4,IF(LEFT(ListAndConversion!BW345,3)="Sou",INDEX(ListAndConversion!$AT$3:$AV$387,MATCH(ListAndConversion!BV345,ListAndConversion!$AV$3:$AV$387,0),1),"-"))</f>
        <v>-</v>
      </c>
      <c r="CG345" s="498" t="str">
        <f ca="1">IF(OR(LEFT(ListAndConversion!BW345,3)="Dil",LEFT(ListAndConversion!BW345,3)="Poo"),ListAndConversion!BU345,IF(LEFT(ListAndConversion!BW345,3)="Sou",INDEX(ListAndConversion!$AT$4:$AV$387,MATCH(ListAndConversion!BV345,ListAndConversion!$AV$4:$AV$387,0),2),"-"))</f>
        <v>-</v>
      </c>
      <c r="CH345" s="378"/>
      <c r="CI345" s="487" t="str">
        <f t="shared" ca="1" si="180"/>
        <v>-</v>
      </c>
      <c r="CJ345" s="378" t="str">
        <f t="shared" ca="1" si="186"/>
        <v>-</v>
      </c>
      <c r="CK345" s="378" t="str">
        <f t="shared" ca="1" si="186"/>
        <v>-</v>
      </c>
      <c r="CL345" s="378" t="str">
        <f t="shared" ca="1" si="186"/>
        <v>-</v>
      </c>
      <c r="CM345" s="378" t="str">
        <f t="shared" ca="1" si="186"/>
        <v>-</v>
      </c>
      <c r="CN345" s="378" t="str">
        <f t="shared" ca="1" si="186"/>
        <v>-</v>
      </c>
      <c r="CO345" s="378" t="str">
        <f t="shared" ca="1" si="186"/>
        <v>-</v>
      </c>
      <c r="CP345" s="378" t="str">
        <f t="shared" ca="1" si="186"/>
        <v>-</v>
      </c>
      <c r="CQ345" s="378" t="str">
        <f t="shared" ca="1" si="186"/>
        <v>-</v>
      </c>
      <c r="CR345" s="510" t="str">
        <f ca="1">IFERROR(IF(LEFT(BW345,3)="Poo",INDEX($BE$4:$BJ$99,MATCH(CI345,$BG$4:$BG$99,0),6)*((15/50))*Calculation!$AK$6,INDEX(Calculation_Tab,MATCH(BV345,Identifier,0),10)/(IF(LEN(INDEX(Calculation_Tab,MATCH(BV345,Identifier,0),9))&gt;8,LEN(INDEX(Calculation_Tab,MATCH(BV345,Identifier,0),9))-8,1))*((15/50)*Calculation!$AK$6)),"-")</f>
        <v>-</v>
      </c>
      <c r="CS345" s="498" t="str">
        <f ca="1">IF(CI345="-","-",IF(COUNTIF($CI$3:CI345,CI345)&gt;1,0,IFERROR((35/50)*Calculation!$AK$6,"-")))</f>
        <v>-</v>
      </c>
    </row>
    <row r="346" spans="4:97" x14ac:dyDescent="0.5">
      <c r="D346" s="487" t="e">
        <f t="shared" si="165"/>
        <v>#DIV/0!</v>
      </c>
      <c r="E346" s="496" t="e">
        <f t="array" ref="E346">IF(IF((ROW(E346)-3)&lt;(ListAndConversion!$A$15),INDEX(Flow_Cell_Lane,MIN(IF(COUNTIF($E$2:E345,Flow_Cell_Lane)=0,ROW(Flow_Cell_Lane)-9))),"-")="","-",IF((ROW(E346)-3)&lt;(ListAndConversion!$A$15),INDEX(Flow_Cell_Lane,MIN(IF(COUNTIF($E$2:E345,Flow_Cell_Lane)=0,ROW(Flow_Cell_Lane)-9))),"-"))</f>
        <v>#DIV/0!</v>
      </c>
      <c r="F346" s="378" t="e">
        <f t="shared" si="166"/>
        <v>#DIV/0!</v>
      </c>
      <c r="G346" s="378" t="e">
        <f t="shared" si="185"/>
        <v>#DIV/0!</v>
      </c>
      <c r="H346" s="378" t="e">
        <f t="shared" si="185"/>
        <v>#DIV/0!</v>
      </c>
      <c r="I346" s="378" t="e">
        <f t="shared" si="185"/>
        <v>#DIV/0!</v>
      </c>
      <c r="J346" s="378" t="e">
        <f t="shared" si="185"/>
        <v>#DIV/0!</v>
      </c>
      <c r="K346" s="378" t="e">
        <f t="shared" si="185"/>
        <v>#DIV/0!</v>
      </c>
      <c r="L346" s="378" t="e">
        <f t="shared" si="185"/>
        <v>#DIV/0!</v>
      </c>
      <c r="M346" s="378" t="e">
        <f t="shared" si="185"/>
        <v>#DIV/0!</v>
      </c>
      <c r="N346" s="497" t="e">
        <f t="shared" si="168"/>
        <v>#DIV/0!</v>
      </c>
      <c r="O346" s="497" t="str">
        <f t="array" ref="O346">IFERROR(INDEX(Calculation!I:AN,MATCH(ListAndConversion!E346,Calculation!I:I,0),31),"-")</f>
        <v>-</v>
      </c>
      <c r="P346" s="498">
        <f>IF(COUNTIFS(Calculation!$I$10:$I$393,E346,Direct_Denaturation,"-")&lt;&gt;1,COUNTIFS(Calculation!$I$10:$I$393,E346,Direct_Denaturation,"-"),0)</f>
        <v>0</v>
      </c>
      <c r="V346" s="542" t="s">
        <v>82</v>
      </c>
      <c r="W346" s="542" t="s">
        <v>82</v>
      </c>
      <c r="X346" s="542" t="s">
        <v>82</v>
      </c>
      <c r="Y346" s="542" t="s">
        <v>82</v>
      </c>
      <c r="Z346" s="542" t="s">
        <v>82</v>
      </c>
      <c r="AA346" s="542" t="s">
        <v>82</v>
      </c>
      <c r="AB346" s="542" t="s">
        <v>82</v>
      </c>
      <c r="AC346" s="542" t="s">
        <v>82</v>
      </c>
      <c r="AD346" s="542" t="s">
        <v>82</v>
      </c>
      <c r="AE346" s="542" t="s">
        <v>82</v>
      </c>
      <c r="AF346" s="542" t="s">
        <v>82</v>
      </c>
      <c r="AG346" s="542" t="s">
        <v>82</v>
      </c>
      <c r="AH346" s="9"/>
      <c r="AI346" s="487">
        <v>343</v>
      </c>
      <c r="AJ346" s="497" t="s">
        <v>479</v>
      </c>
      <c r="AK346" s="378">
        <v>55</v>
      </c>
      <c r="AL346" s="378" t="str">
        <f t="shared" ca="1" si="169"/>
        <v>-</v>
      </c>
      <c r="AM346" s="378" t="str">
        <f t="array" aca="1" ref="AM346" ca="1">IFERROR(IF(AI346&lt;=$AB$2,"-",INDEX(Calculation_Tab,SMALL(ROW(Main_Dil)*(Main_Dil&lt;&gt;"-"),COUNTIF(Main_Dil,"-")+ROW()-3-$AB$2)-9,5)),"-")</f>
        <v>-</v>
      </c>
      <c r="AN346" s="378" t="str">
        <f t="array" aca="1" ref="AN346" ca="1">IFERROR(IF(AI346&lt;=$AB$2,"-",INDEX($A$3:$B$12,MATCH(INDEX(Calculation_Tab,SMALL(ROW(Main_Dil)*(Main_Dil&lt;&gt;"-"),COUNTIF(Main_Dil,"-")+ROW()-3-$AB$2)-9,5),$A$3:$A$12,0),2)),"-")</f>
        <v>-</v>
      </c>
      <c r="AO346" s="378" t="str">
        <f t="array" aca="1" ref="AO346" ca="1">IFERROR(IF(AI346&lt;=$AB$2,"-",INDEX(Coordinate,MATCH(INDEX(Calculation_Tab,SMALL(ROW(Main_Dil)*(Main_Dil&lt;&gt;"-"),COUNTIF(Main_Dil,"-")+ROW()-3-$AB$2)-9,6),$X$4:$X$99,0),2)),"-")</f>
        <v>-</v>
      </c>
      <c r="AP346" s="510" t="str">
        <f t="array" aca="1" ref="AP346" ca="1">IFERROR(IF(AI346&lt;=$AB$2,"-",INDEX(Calculation_Tab,SMALL(ROW(Main_Dil)*(Main_Dil&lt;&gt;"-"),COUNTIF(Main_Dil,"-")+ROW()-3-$AB$2)-9,21)),"-")</f>
        <v>-</v>
      </c>
      <c r="AQ346" s="511" t="str">
        <f t="array" aca="1" ref="AQ346" ca="1">IFERROR(IF(AI346&lt;=$AB$2,"-",INDEX(Calculation_Tab,SMALL(ROW(Main_Dil)*(Main_Dil&lt;&gt;"-"),COUNTIF(Main_Dil,"-")+ROW()-3-$AB$2)-9,22)),"-")</f>
        <v>-</v>
      </c>
      <c r="AR346" s="487" t="str">
        <f t="shared" ca="1" si="170"/>
        <v>-</v>
      </c>
      <c r="AS346" s="378">
        <v>343</v>
      </c>
      <c r="AT346" s="497" t="s">
        <v>479</v>
      </c>
      <c r="AU346" s="498">
        <v>55</v>
      </c>
      <c r="AV346" s="378" t="str">
        <f t="shared" ca="1" si="171"/>
        <v>-</v>
      </c>
      <c r="AW346" s="378" t="str">
        <f t="array" aca="1" ref="AW346" ca="1">IFERROR(IF(AS346&lt;=$AB$2+$AN$2,"-",INDEX(Calculation_Tab,SMALL(ROW(Direct_Denaturation)*(Direct_Denaturation&lt;&gt;"-"),COUNTIF(Direct_Denaturation,"-")+ROW()-3-$AB$2-$AN$2)-9,5)),"-")</f>
        <v>-</v>
      </c>
      <c r="AX346" s="378" t="str">
        <f t="array" aca="1" ref="AX346" ca="1">IFERROR(IF(AS346&lt;=$AB$2+$AN$2,"-",INDEX($A$3:$B$12,MATCH(INDEX(Calculation_Tab,SMALL(ROW(Direct_Denaturation)*(Direct_Denaturation&lt;&gt;"-"),COUNTIF(Direct_Denaturation,"-")+ROW()-3-$AB$2-$AN$2)-9,5),$A$3:$A$12,0),2)),"-")</f>
        <v>-</v>
      </c>
      <c r="AY346" s="378" t="str">
        <f t="array" aca="1" ref="AY346" ca="1">IFERROR(IF(AS346&lt;=$AB$2+$AN$2,"-",INDEX(Coordinate,MATCH(INDEX(Calculation_Tab,SMALL(ROW(Direct_Denaturation)*(Direct_Denaturation&lt;&gt;"-"),COUNTIF(Direct_Denaturation,"-")+ROW()-3-$AB$2-$AN$2)-9,6),$X$4:$X$99,0),2)),"-")</f>
        <v>-</v>
      </c>
      <c r="AZ346" s="510" t="str">
        <f t="array" aca="1" ref="AZ346" ca="1">IFERROR(IF(AS346&lt;=$AB$2+$AN$2,"-",INDEX(Calculation_Tab,SMALL(ROW(Direct_Denaturation)*(Direct_Denaturation&lt;&gt;"-"),COUNTIF(Direct_Denaturation,"-")+ROW()-3-$AB$2-$AN$2)-9,32)),"-")</f>
        <v>-</v>
      </c>
      <c r="BA346" s="510" t="str">
        <f t="array" aca="1" ref="BA346" ca="1">IFERROR(IF(AS346&lt;=$AB$2+$AN$2,"-",INDEX(Calculation_Tab,SMALL(ROW(Direct_Denaturation)*(Direct_Denaturation&lt;&gt;"-"),COUNTIF(Direct_Denaturation,"-")+ROW()-3-$AB$2-$AN$2)-9,34)),"-")</f>
        <v>-</v>
      </c>
      <c r="BB346" s="510" t="str">
        <f t="array" aca="1" ref="BB346" ca="1">IFERROR(IF(AS346&lt;=$AB$2+$AN$2,"-",INDEX(Calculation_Tab,SMALL(ROW(Direct_Denaturation)*(Direct_Denaturation&lt;&gt;"-"),COUNTIF(Direct_Denaturation,"-")+ROW()-3-$AB$2-$AN$2)-9,33)),"-")</f>
        <v>-</v>
      </c>
      <c r="BC346" s="510" t="str">
        <f t="array" aca="1" ref="BC346" ca="1">IFERROR(IF(AS346&lt;=$AB$2+$AN$2,"-",INDEX(Calculation_Tab,SMALL(ROW(Direct_Denaturation)*(Direct_Denaturation&lt;&gt;"-"),COUNTIF(Direct_Denaturation,"-")+ROW()-3-$AB$2-$AN$2)-9,35)),"-")</f>
        <v>-</v>
      </c>
      <c r="BD346" s="511" t="str">
        <f t="shared" ca="1" si="172"/>
        <v>-</v>
      </c>
      <c r="BK346" s="542" t="s">
        <v>82</v>
      </c>
      <c r="BL346" s="542" t="s">
        <v>82</v>
      </c>
      <c r="BM346" s="487" t="str">
        <f t="array" aca="1" ref="BM346" ca="1">IFERROR(INDEX(Calculation_Tab,SMALL(ROW(ToPool)*(ToPool&lt;&gt;"-"),COUNTIF(ToPool,"-")+ROW()-3)-9,3),"-")</f>
        <v>-</v>
      </c>
      <c r="BN346" s="378" t="str">
        <f t="shared" ca="1" si="173"/>
        <v>-</v>
      </c>
      <c r="BO346" s="378" t="str">
        <f t="shared" ca="1" si="174"/>
        <v>-</v>
      </c>
      <c r="BP346" s="523" t="str">
        <f t="shared" ca="1" si="175"/>
        <v>-</v>
      </c>
      <c r="BQ346" s="378" t="str">
        <f t="array" aca="1" ref="BQ346" ca="1">IFERROR(INDEX(BE:BG,MATCH(INDEX(Calculation_Tab,SMALL(ROW(ToPool)*(ToPool&lt;&gt;"-"),COUNTIF(ToPool,"-")+ROW()-3)-9,9),BG:BG,0),2),"-")</f>
        <v>-</v>
      </c>
      <c r="BR346" s="510" t="str">
        <f t="shared" ca="1" si="176"/>
        <v>-</v>
      </c>
      <c r="BS346" s="511" t="str">
        <f t="shared" ca="1" si="177"/>
        <v>-</v>
      </c>
      <c r="BT346" s="543" t="s">
        <v>82</v>
      </c>
      <c r="BU346" s="487" t="str">
        <f t="shared" ca="1" si="182"/>
        <v>-</v>
      </c>
      <c r="BV346" s="487" t="str">
        <f t="array" aca="1" ref="BV34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46" s="378" t="str">
        <f t="shared" ca="1" si="178"/>
        <v>-</v>
      </c>
      <c r="BX346" s="378" t="str">
        <f t="shared" ca="1" si="179"/>
        <v>-</v>
      </c>
      <c r="BY346" s="510" t="str">
        <f ca="1">IFERROR(ROUND(INDEX(Cluster,MATCH(IF(LEFT(BV346,4)="Pool",INDEX(Cluster,MATCH(INDEX(Calculation_Tab,MATCH(INDEX($BE$4:$BJ$99,MATCH(BV346,$BE$4:$BE$99,0),3),Flow_Cell_Lane,0),3),Cluster!$F$29:$F$412,0),6),BV346),Identifier_Cluster,0),19)*IF(LEFT(BV346,4)="pool",IF(LEN(INDEX($BE$4:$BJ$99,MATCH(BV346,$BE$4:$BE$99,0),3))=10,2,IF(LEN(INDEX($BE$4:$BJ$99,MATCH(BV346,$BE$4:$BE$99,0),3))&gt;10,LEN(INDEX($BE$4:$BJ$99,MATCH(BV346,$BE$4:$BE$99,0),3))-8,1)),1)*IF(LEFT(BV346,4)="pool",IF(INDEX($BE$4:$BJ$99,MATCH(BV346,$BE$4:$BE$99,0),6)&lt;1,1,INDEX($BE$4:$BJ$99,MATCH(BV346,$BE$4:$BE$99,0),6)),INDEX(Calculation_Tab,MATCH(BV346,Identifier,0),10)),1)*(1+Calculation!$Q$6),"-")</f>
        <v>-</v>
      </c>
      <c r="BZ346" s="378" t="str">
        <f ca="1">IFERROR((0.5/50)*CE346/Calculation!$AG$6*(IF(LEFT(BV346,4)="Pool",IF(LEN(INDEX($BE$4:$BJ$99,MATCH(BV346,$BE$4:$BE$99,0),3))=10,2,IF(LEN(INDEX($BE$4:$BJ$99,MATCH(BV346,$BE$4:$BE$99,0),3))&gt;10,LEN(INDEX($BE$4:$BJ$99,MATCH(BV346,$BE$4:$BE$99,0),3))-8,1)),IF(INDEX(Calculation_Tab,MATCH(BV346,Identifier,0),10)&gt;1,INDEX(Calculation_Tab,MATCH(BV346,Identifier,0),10),1)))*(1+Calculation!$Q$6),"-")</f>
        <v>-</v>
      </c>
      <c r="CA346" s="510" t="str">
        <f ca="1">IFERROR(IF((BZ346*Calculation!$AG$6/0.05)-SUM(BY346:BZ346,CC346)&gt;0,(BZ346*Calculation!$AG$6/0.05)-SUM(BY346:BZ346,CC346),0),"-")</f>
        <v>-</v>
      </c>
      <c r="CB346" s="510" t="str">
        <f ca="1">IFERROR(5/50*CE346*(IF(LEFT(BV346,4)="Pool",IF(LEN(INDEX($BE$4:$BJ$99,MATCH(BV346,$BE$4:$BE$99,0),3))=10,2,IF(LEN(INDEX($BE$4:$BJ$99,MATCH(BV346,$BE$4:$BE$99,0),3))&gt;10,LEN(INDEX($BE$4:$BJ$99,MATCH(BV346,$BE$4:$BE$99,0),3))-8,1)),IF(INDEX(Calculation_Tab,MATCH(BV346,Identifier,0),10)&gt;1,INDEX(Calculation_Tab,MATCH(BV346,Identifier,0),10),1)))*(1+Calculation!$Q$6),"-")</f>
        <v>-</v>
      </c>
      <c r="CC346" s="508" t="str">
        <f ca="1">IFERROR(ROUND(INDEX(Cluster,MATCH(IF(LEFT(BV346,4)="Pool",INDEX(Cluster,MATCH(INDEX(Calculation_Tab,MATCH(INDEX($BE$4:$BJ$99,MATCH(BV346,$BE$4:$BE$99,0),3),Flow_Cell_Lane,0),3),Cluster!$F$29:$F$412,0),6),BV346),Identifier_Cluster,0),20)*IF(LEFT(BV346,4)="pool",IF(LEN(INDEX($BE$4:$BJ$99,MATCH(BV346,$BE$4:$BE$99,0),3))=10,2,IF(LEN(INDEX($BE$4:$BJ$99,MATCH(BV346,$BE$4:$BE$99,0),3))&gt;10,LEN(INDEX($BE$4:$BJ$99,MATCH(BV346,$BE$4:$BE$99,0),3))-8,1)),1)*IF(LEFT(BV346,4)="pool",IF(INDEX($BE$4:$BJ$99,MATCH(BV346,$BE$4:$BE$99,0),6)&lt;1,1,INDEX($BE$4:$BJ$99,MATCH(BV346,$BE$4:$BE$99,0),6)),INDEX(Calculation_Tab,MATCH(BV346,Identifier,0),10)),1)*(1+Calculation!$Q$6),"-")</f>
        <v>-</v>
      </c>
      <c r="CD346" s="509" t="str">
        <f ca="1">IFERROR(INDEX(Cluster!AC:AD,MATCH(IF(LEFT(BV346,4)="Pool",INDEX(Cluster!$D$29:$AA$412,MATCH(INDEX(Calculation_Tab,MATCH(INDEX($BE$4:$BJ$99,MATCH(BV346,$BE$4:$BE$99,0),3),Flow_Cell_Lane,0),3),Cluster!$F$29:$F$412,0),24),INDEX(Cluster!$D$29:$AA$412,MATCH(BV346,Cluster!$F$29:$F$412,0),24)),Cluster!AC:AC,0),2),"-")</f>
        <v>-</v>
      </c>
      <c r="CE346" s="378" t="str">
        <f ca="1">IFERROR(IF(BV346&lt;&gt;"-",Calculation!$AK$6,"-"),"-")</f>
        <v>-</v>
      </c>
      <c r="CF346" s="378" t="str">
        <f ca="1">IF(OR(LEFT(ListAndConversion!BW346,3)="Dil",LEFT(ListAndConversion!BW346,3)="Poo"),ListAndConversion!$BT$4,IF(LEFT(ListAndConversion!BW346,3)="Sou",INDEX(ListAndConversion!$AT$3:$AV$387,MATCH(ListAndConversion!BV346,ListAndConversion!$AV$3:$AV$387,0),1),"-"))</f>
        <v>-</v>
      </c>
      <c r="CG346" s="498" t="str">
        <f ca="1">IF(OR(LEFT(ListAndConversion!BW346,3)="Dil",LEFT(ListAndConversion!BW346,3)="Poo"),ListAndConversion!BU346,IF(LEFT(ListAndConversion!BW346,3)="Sou",INDEX(ListAndConversion!$AT$4:$AV$387,MATCH(ListAndConversion!BV346,ListAndConversion!$AV$4:$AV$387,0),2),"-"))</f>
        <v>-</v>
      </c>
      <c r="CH346" s="378"/>
      <c r="CI346" s="487" t="str">
        <f t="shared" ca="1" si="180"/>
        <v>-</v>
      </c>
      <c r="CJ346" s="378" t="str">
        <f t="shared" ca="1" si="186"/>
        <v>-</v>
      </c>
      <c r="CK346" s="378" t="str">
        <f t="shared" ca="1" si="186"/>
        <v>-</v>
      </c>
      <c r="CL346" s="378" t="str">
        <f t="shared" ca="1" si="186"/>
        <v>-</v>
      </c>
      <c r="CM346" s="378" t="str">
        <f t="shared" ca="1" si="186"/>
        <v>-</v>
      </c>
      <c r="CN346" s="378" t="str">
        <f t="shared" ca="1" si="186"/>
        <v>-</v>
      </c>
      <c r="CO346" s="378" t="str">
        <f t="shared" ca="1" si="186"/>
        <v>-</v>
      </c>
      <c r="CP346" s="378" t="str">
        <f t="shared" ca="1" si="186"/>
        <v>-</v>
      </c>
      <c r="CQ346" s="378" t="str">
        <f t="shared" ca="1" si="186"/>
        <v>-</v>
      </c>
      <c r="CR346" s="510" t="str">
        <f ca="1">IFERROR(IF(LEFT(BW346,3)="Poo",INDEX($BE$4:$BJ$99,MATCH(CI346,$BG$4:$BG$99,0),6)*((15/50))*Calculation!$AK$6,INDEX(Calculation_Tab,MATCH(BV346,Identifier,0),10)/(IF(LEN(INDEX(Calculation_Tab,MATCH(BV346,Identifier,0),9))&gt;8,LEN(INDEX(Calculation_Tab,MATCH(BV346,Identifier,0),9))-8,1))*((15/50)*Calculation!$AK$6)),"-")</f>
        <v>-</v>
      </c>
      <c r="CS346" s="498" t="str">
        <f ca="1">IF(CI346="-","-",IF(COUNTIF($CI$3:CI346,CI346)&gt;1,0,IFERROR((35/50)*Calculation!$AK$6,"-")))</f>
        <v>-</v>
      </c>
    </row>
    <row r="347" spans="4:97" x14ac:dyDescent="0.5">
      <c r="D347" s="487" t="e">
        <f t="shared" si="165"/>
        <v>#DIV/0!</v>
      </c>
      <c r="E347" s="496" t="e">
        <f t="array" ref="E347">IF(IF((ROW(E347)-3)&lt;(ListAndConversion!$A$15),INDEX(Flow_Cell_Lane,MIN(IF(COUNTIF($E$2:E346,Flow_Cell_Lane)=0,ROW(Flow_Cell_Lane)-9))),"-")="","-",IF((ROW(E347)-3)&lt;(ListAndConversion!$A$15),INDEX(Flow_Cell_Lane,MIN(IF(COUNTIF($E$2:E346,Flow_Cell_Lane)=0,ROW(Flow_Cell_Lane)-9))),"-"))</f>
        <v>#DIV/0!</v>
      </c>
      <c r="F347" s="378" t="e">
        <f t="shared" si="166"/>
        <v>#DIV/0!</v>
      </c>
      <c r="G347" s="378" t="e">
        <f t="shared" si="185"/>
        <v>#DIV/0!</v>
      </c>
      <c r="H347" s="378" t="e">
        <f t="shared" si="185"/>
        <v>#DIV/0!</v>
      </c>
      <c r="I347" s="378" t="e">
        <f t="shared" si="185"/>
        <v>#DIV/0!</v>
      </c>
      <c r="J347" s="378" t="e">
        <f t="shared" si="185"/>
        <v>#DIV/0!</v>
      </c>
      <c r="K347" s="378" t="e">
        <f t="shared" si="185"/>
        <v>#DIV/0!</v>
      </c>
      <c r="L347" s="378" t="e">
        <f t="shared" si="185"/>
        <v>#DIV/0!</v>
      </c>
      <c r="M347" s="378" t="e">
        <f t="shared" si="185"/>
        <v>#DIV/0!</v>
      </c>
      <c r="N347" s="497" t="e">
        <f t="shared" si="168"/>
        <v>#DIV/0!</v>
      </c>
      <c r="O347" s="497" t="str">
        <f t="array" ref="O347">IFERROR(INDEX(Calculation!I:AN,MATCH(ListAndConversion!E347,Calculation!I:I,0),31),"-")</f>
        <v>-</v>
      </c>
      <c r="P347" s="498">
        <f>IF(COUNTIFS(Calculation!$I$10:$I$393,E347,Direct_Denaturation,"-")&lt;&gt;1,COUNTIFS(Calculation!$I$10:$I$393,E347,Direct_Denaturation,"-"),0)</f>
        <v>0</v>
      </c>
      <c r="V347" s="542" t="s">
        <v>82</v>
      </c>
      <c r="W347" s="542" t="s">
        <v>82</v>
      </c>
      <c r="X347" s="542" t="s">
        <v>82</v>
      </c>
      <c r="Y347" s="542" t="s">
        <v>82</v>
      </c>
      <c r="Z347" s="542" t="s">
        <v>82</v>
      </c>
      <c r="AA347" s="542" t="s">
        <v>82</v>
      </c>
      <c r="AB347" s="542" t="s">
        <v>82</v>
      </c>
      <c r="AC347" s="542" t="s">
        <v>82</v>
      </c>
      <c r="AD347" s="542" t="s">
        <v>82</v>
      </c>
      <c r="AE347" s="542" t="s">
        <v>82</v>
      </c>
      <c r="AF347" s="542" t="s">
        <v>82</v>
      </c>
      <c r="AG347" s="542" t="s">
        <v>82</v>
      </c>
      <c r="AH347" s="9"/>
      <c r="AI347" s="487">
        <v>344</v>
      </c>
      <c r="AJ347" s="497" t="s">
        <v>479</v>
      </c>
      <c r="AK347" s="378">
        <v>56</v>
      </c>
      <c r="AL347" s="378" t="str">
        <f t="shared" ca="1" si="169"/>
        <v>-</v>
      </c>
      <c r="AM347" s="378" t="str">
        <f t="array" aca="1" ref="AM347" ca="1">IFERROR(IF(AI347&lt;=$AB$2,"-",INDEX(Calculation_Tab,SMALL(ROW(Main_Dil)*(Main_Dil&lt;&gt;"-"),COUNTIF(Main_Dil,"-")+ROW()-3-$AB$2)-9,5)),"-")</f>
        <v>-</v>
      </c>
      <c r="AN347" s="378" t="str">
        <f t="array" aca="1" ref="AN347" ca="1">IFERROR(IF(AI347&lt;=$AB$2,"-",INDEX($A$3:$B$12,MATCH(INDEX(Calculation_Tab,SMALL(ROW(Main_Dil)*(Main_Dil&lt;&gt;"-"),COUNTIF(Main_Dil,"-")+ROW()-3-$AB$2)-9,5),$A$3:$A$12,0),2)),"-")</f>
        <v>-</v>
      </c>
      <c r="AO347" s="378" t="str">
        <f t="array" aca="1" ref="AO347" ca="1">IFERROR(IF(AI347&lt;=$AB$2,"-",INDEX(Coordinate,MATCH(INDEX(Calculation_Tab,SMALL(ROW(Main_Dil)*(Main_Dil&lt;&gt;"-"),COUNTIF(Main_Dil,"-")+ROW()-3-$AB$2)-9,6),$X$4:$X$99,0),2)),"-")</f>
        <v>-</v>
      </c>
      <c r="AP347" s="510" t="str">
        <f t="array" aca="1" ref="AP347" ca="1">IFERROR(IF(AI347&lt;=$AB$2,"-",INDEX(Calculation_Tab,SMALL(ROW(Main_Dil)*(Main_Dil&lt;&gt;"-"),COUNTIF(Main_Dil,"-")+ROW()-3-$AB$2)-9,21)),"-")</f>
        <v>-</v>
      </c>
      <c r="AQ347" s="511" t="str">
        <f t="array" aca="1" ref="AQ347" ca="1">IFERROR(IF(AI347&lt;=$AB$2,"-",INDEX(Calculation_Tab,SMALL(ROW(Main_Dil)*(Main_Dil&lt;&gt;"-"),COUNTIF(Main_Dil,"-")+ROW()-3-$AB$2)-9,22)),"-")</f>
        <v>-</v>
      </c>
      <c r="AR347" s="487" t="str">
        <f t="shared" ca="1" si="170"/>
        <v>-</v>
      </c>
      <c r="AS347" s="378">
        <v>344</v>
      </c>
      <c r="AT347" s="497" t="s">
        <v>479</v>
      </c>
      <c r="AU347" s="498">
        <v>56</v>
      </c>
      <c r="AV347" s="378" t="str">
        <f t="shared" ca="1" si="171"/>
        <v>-</v>
      </c>
      <c r="AW347" s="378" t="str">
        <f t="array" aca="1" ref="AW347" ca="1">IFERROR(IF(AS347&lt;=$AB$2+$AN$2,"-",INDEX(Calculation_Tab,SMALL(ROW(Direct_Denaturation)*(Direct_Denaturation&lt;&gt;"-"),COUNTIF(Direct_Denaturation,"-")+ROW()-3-$AB$2-$AN$2)-9,5)),"-")</f>
        <v>-</v>
      </c>
      <c r="AX347" s="378" t="str">
        <f t="array" aca="1" ref="AX347" ca="1">IFERROR(IF(AS347&lt;=$AB$2+$AN$2,"-",INDEX($A$3:$B$12,MATCH(INDEX(Calculation_Tab,SMALL(ROW(Direct_Denaturation)*(Direct_Denaturation&lt;&gt;"-"),COUNTIF(Direct_Denaturation,"-")+ROW()-3-$AB$2-$AN$2)-9,5),$A$3:$A$12,0),2)),"-")</f>
        <v>-</v>
      </c>
      <c r="AY347" s="378" t="str">
        <f t="array" aca="1" ref="AY347" ca="1">IFERROR(IF(AS347&lt;=$AB$2+$AN$2,"-",INDEX(Coordinate,MATCH(INDEX(Calculation_Tab,SMALL(ROW(Direct_Denaturation)*(Direct_Denaturation&lt;&gt;"-"),COUNTIF(Direct_Denaturation,"-")+ROW()-3-$AB$2-$AN$2)-9,6),$X$4:$X$99,0),2)),"-")</f>
        <v>-</v>
      </c>
      <c r="AZ347" s="510" t="str">
        <f t="array" aca="1" ref="AZ347" ca="1">IFERROR(IF(AS347&lt;=$AB$2+$AN$2,"-",INDEX(Calculation_Tab,SMALL(ROW(Direct_Denaturation)*(Direct_Denaturation&lt;&gt;"-"),COUNTIF(Direct_Denaturation,"-")+ROW()-3-$AB$2-$AN$2)-9,32)),"-")</f>
        <v>-</v>
      </c>
      <c r="BA347" s="510" t="str">
        <f t="array" aca="1" ref="BA347" ca="1">IFERROR(IF(AS347&lt;=$AB$2+$AN$2,"-",INDEX(Calculation_Tab,SMALL(ROW(Direct_Denaturation)*(Direct_Denaturation&lt;&gt;"-"),COUNTIF(Direct_Denaturation,"-")+ROW()-3-$AB$2-$AN$2)-9,34)),"-")</f>
        <v>-</v>
      </c>
      <c r="BB347" s="510" t="str">
        <f t="array" aca="1" ref="BB347" ca="1">IFERROR(IF(AS347&lt;=$AB$2+$AN$2,"-",INDEX(Calculation_Tab,SMALL(ROW(Direct_Denaturation)*(Direct_Denaturation&lt;&gt;"-"),COUNTIF(Direct_Denaturation,"-")+ROW()-3-$AB$2-$AN$2)-9,33)),"-")</f>
        <v>-</v>
      </c>
      <c r="BC347" s="510" t="str">
        <f t="array" aca="1" ref="BC347" ca="1">IFERROR(IF(AS347&lt;=$AB$2+$AN$2,"-",INDEX(Calculation_Tab,SMALL(ROW(Direct_Denaturation)*(Direct_Denaturation&lt;&gt;"-"),COUNTIF(Direct_Denaturation,"-")+ROW()-3-$AB$2-$AN$2)-9,35)),"-")</f>
        <v>-</v>
      </c>
      <c r="BD347" s="511" t="str">
        <f t="shared" ca="1" si="172"/>
        <v>-</v>
      </c>
      <c r="BK347" s="542" t="s">
        <v>82</v>
      </c>
      <c r="BL347" s="542" t="s">
        <v>82</v>
      </c>
      <c r="BM347" s="487" t="str">
        <f t="array" aca="1" ref="BM347" ca="1">IFERROR(INDEX(Calculation_Tab,SMALL(ROW(ToPool)*(ToPool&lt;&gt;"-"),COUNTIF(ToPool,"-")+ROW()-3)-9,3),"-")</f>
        <v>-</v>
      </c>
      <c r="BN347" s="378" t="str">
        <f t="shared" ca="1" si="173"/>
        <v>-</v>
      </c>
      <c r="BO347" s="378" t="str">
        <f t="shared" ca="1" si="174"/>
        <v>-</v>
      </c>
      <c r="BP347" s="523" t="str">
        <f t="shared" ca="1" si="175"/>
        <v>-</v>
      </c>
      <c r="BQ347" s="378" t="str">
        <f t="array" aca="1" ref="BQ347" ca="1">IFERROR(INDEX(BE:BG,MATCH(INDEX(Calculation_Tab,SMALL(ROW(ToPool)*(ToPool&lt;&gt;"-"),COUNTIF(ToPool,"-")+ROW()-3)-9,9),BG:BG,0),2),"-")</f>
        <v>-</v>
      </c>
      <c r="BR347" s="510" t="str">
        <f t="shared" ca="1" si="176"/>
        <v>-</v>
      </c>
      <c r="BS347" s="511" t="str">
        <f t="shared" ca="1" si="177"/>
        <v>-</v>
      </c>
      <c r="BT347" s="543" t="s">
        <v>82</v>
      </c>
      <c r="BU347" s="487" t="str">
        <f t="shared" ca="1" si="182"/>
        <v>-</v>
      </c>
      <c r="BV347" s="487" t="str">
        <f t="array" aca="1" ref="BV34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47" s="378" t="str">
        <f t="shared" ca="1" si="178"/>
        <v>-</v>
      </c>
      <c r="BX347" s="378" t="str">
        <f t="shared" ca="1" si="179"/>
        <v>-</v>
      </c>
      <c r="BY347" s="510" t="str">
        <f ca="1">IFERROR(ROUND(INDEX(Cluster,MATCH(IF(LEFT(BV347,4)="Pool",INDEX(Cluster,MATCH(INDEX(Calculation_Tab,MATCH(INDEX($BE$4:$BJ$99,MATCH(BV347,$BE$4:$BE$99,0),3),Flow_Cell_Lane,0),3),Cluster!$F$29:$F$412,0),6),BV347),Identifier_Cluster,0),19)*IF(LEFT(BV347,4)="pool",IF(LEN(INDEX($BE$4:$BJ$99,MATCH(BV347,$BE$4:$BE$99,0),3))=10,2,IF(LEN(INDEX($BE$4:$BJ$99,MATCH(BV347,$BE$4:$BE$99,0),3))&gt;10,LEN(INDEX($BE$4:$BJ$99,MATCH(BV347,$BE$4:$BE$99,0),3))-8,1)),1)*IF(LEFT(BV347,4)="pool",IF(INDEX($BE$4:$BJ$99,MATCH(BV347,$BE$4:$BE$99,0),6)&lt;1,1,INDEX($BE$4:$BJ$99,MATCH(BV347,$BE$4:$BE$99,0),6)),INDEX(Calculation_Tab,MATCH(BV347,Identifier,0),10)),1)*(1+Calculation!$Q$6),"-")</f>
        <v>-</v>
      </c>
      <c r="BZ347" s="378" t="str">
        <f ca="1">IFERROR((0.5/50)*CE347/Calculation!$AG$6*(IF(LEFT(BV347,4)="Pool",IF(LEN(INDEX($BE$4:$BJ$99,MATCH(BV347,$BE$4:$BE$99,0),3))=10,2,IF(LEN(INDEX($BE$4:$BJ$99,MATCH(BV347,$BE$4:$BE$99,0),3))&gt;10,LEN(INDEX($BE$4:$BJ$99,MATCH(BV347,$BE$4:$BE$99,0),3))-8,1)),IF(INDEX(Calculation_Tab,MATCH(BV347,Identifier,0),10)&gt;1,INDEX(Calculation_Tab,MATCH(BV347,Identifier,0),10),1)))*(1+Calculation!$Q$6),"-")</f>
        <v>-</v>
      </c>
      <c r="CA347" s="510" t="str">
        <f ca="1">IFERROR(IF((BZ347*Calculation!$AG$6/0.05)-SUM(BY347:BZ347,CC347)&gt;0,(BZ347*Calculation!$AG$6/0.05)-SUM(BY347:BZ347,CC347),0),"-")</f>
        <v>-</v>
      </c>
      <c r="CB347" s="510" t="str">
        <f ca="1">IFERROR(5/50*CE347*(IF(LEFT(BV347,4)="Pool",IF(LEN(INDEX($BE$4:$BJ$99,MATCH(BV347,$BE$4:$BE$99,0),3))=10,2,IF(LEN(INDEX($BE$4:$BJ$99,MATCH(BV347,$BE$4:$BE$99,0),3))&gt;10,LEN(INDEX($BE$4:$BJ$99,MATCH(BV347,$BE$4:$BE$99,0),3))-8,1)),IF(INDEX(Calculation_Tab,MATCH(BV347,Identifier,0),10)&gt;1,INDEX(Calculation_Tab,MATCH(BV347,Identifier,0),10),1)))*(1+Calculation!$Q$6),"-")</f>
        <v>-</v>
      </c>
      <c r="CC347" s="508" t="str">
        <f ca="1">IFERROR(ROUND(INDEX(Cluster,MATCH(IF(LEFT(BV347,4)="Pool",INDEX(Cluster,MATCH(INDEX(Calculation_Tab,MATCH(INDEX($BE$4:$BJ$99,MATCH(BV347,$BE$4:$BE$99,0),3),Flow_Cell_Lane,0),3),Cluster!$F$29:$F$412,0),6),BV347),Identifier_Cluster,0),20)*IF(LEFT(BV347,4)="pool",IF(LEN(INDEX($BE$4:$BJ$99,MATCH(BV347,$BE$4:$BE$99,0),3))=10,2,IF(LEN(INDEX($BE$4:$BJ$99,MATCH(BV347,$BE$4:$BE$99,0),3))&gt;10,LEN(INDEX($BE$4:$BJ$99,MATCH(BV347,$BE$4:$BE$99,0),3))-8,1)),1)*IF(LEFT(BV347,4)="pool",IF(INDEX($BE$4:$BJ$99,MATCH(BV347,$BE$4:$BE$99,0),6)&lt;1,1,INDEX($BE$4:$BJ$99,MATCH(BV347,$BE$4:$BE$99,0),6)),INDEX(Calculation_Tab,MATCH(BV347,Identifier,0),10)),1)*(1+Calculation!$Q$6),"-")</f>
        <v>-</v>
      </c>
      <c r="CD347" s="509" t="str">
        <f ca="1">IFERROR(INDEX(Cluster!AC:AD,MATCH(IF(LEFT(BV347,4)="Pool",INDEX(Cluster!$D$29:$AA$412,MATCH(INDEX(Calculation_Tab,MATCH(INDEX($BE$4:$BJ$99,MATCH(BV347,$BE$4:$BE$99,0),3),Flow_Cell_Lane,0),3),Cluster!$F$29:$F$412,0),24),INDEX(Cluster!$D$29:$AA$412,MATCH(BV347,Cluster!$F$29:$F$412,0),24)),Cluster!AC:AC,0),2),"-")</f>
        <v>-</v>
      </c>
      <c r="CE347" s="378" t="str">
        <f ca="1">IFERROR(IF(BV347&lt;&gt;"-",Calculation!$AK$6,"-"),"-")</f>
        <v>-</v>
      </c>
      <c r="CF347" s="378" t="str">
        <f ca="1">IF(OR(LEFT(ListAndConversion!BW347,3)="Dil",LEFT(ListAndConversion!BW347,3)="Poo"),ListAndConversion!$BT$4,IF(LEFT(ListAndConversion!BW347,3)="Sou",INDEX(ListAndConversion!$AT$3:$AV$387,MATCH(ListAndConversion!BV347,ListAndConversion!$AV$3:$AV$387,0),1),"-"))</f>
        <v>-</v>
      </c>
      <c r="CG347" s="498" t="str">
        <f ca="1">IF(OR(LEFT(ListAndConversion!BW347,3)="Dil",LEFT(ListAndConversion!BW347,3)="Poo"),ListAndConversion!BU347,IF(LEFT(ListAndConversion!BW347,3)="Sou",INDEX(ListAndConversion!$AT$4:$AV$387,MATCH(ListAndConversion!BV347,ListAndConversion!$AV$4:$AV$387,0),2),"-"))</f>
        <v>-</v>
      </c>
      <c r="CH347" s="378"/>
      <c r="CI347" s="487" t="str">
        <f t="shared" ca="1" si="180"/>
        <v>-</v>
      </c>
      <c r="CJ347" s="378" t="str">
        <f t="shared" ca="1" si="186"/>
        <v>-</v>
      </c>
      <c r="CK347" s="378" t="str">
        <f t="shared" ca="1" si="186"/>
        <v>-</v>
      </c>
      <c r="CL347" s="378" t="str">
        <f t="shared" ca="1" si="186"/>
        <v>-</v>
      </c>
      <c r="CM347" s="378" t="str">
        <f t="shared" ca="1" si="186"/>
        <v>-</v>
      </c>
      <c r="CN347" s="378" t="str">
        <f t="shared" ca="1" si="186"/>
        <v>-</v>
      </c>
      <c r="CO347" s="378" t="str">
        <f t="shared" ca="1" si="186"/>
        <v>-</v>
      </c>
      <c r="CP347" s="378" t="str">
        <f t="shared" ca="1" si="186"/>
        <v>-</v>
      </c>
      <c r="CQ347" s="378" t="str">
        <f t="shared" ca="1" si="186"/>
        <v>-</v>
      </c>
      <c r="CR347" s="510" t="str">
        <f ca="1">IFERROR(IF(LEFT(BW347,3)="Poo",INDEX($BE$4:$BJ$99,MATCH(CI347,$BG$4:$BG$99,0),6)*((15/50))*Calculation!$AK$6,INDEX(Calculation_Tab,MATCH(BV347,Identifier,0),10)/(IF(LEN(INDEX(Calculation_Tab,MATCH(BV347,Identifier,0),9))&gt;8,LEN(INDEX(Calculation_Tab,MATCH(BV347,Identifier,0),9))-8,1))*((15/50)*Calculation!$AK$6)),"-")</f>
        <v>-</v>
      </c>
      <c r="CS347" s="498" t="str">
        <f ca="1">IF(CI347="-","-",IF(COUNTIF($CI$3:CI347,CI347)&gt;1,0,IFERROR((35/50)*Calculation!$AK$6,"-")))</f>
        <v>-</v>
      </c>
    </row>
    <row r="348" spans="4:97" x14ac:dyDescent="0.5">
      <c r="D348" s="487" t="e">
        <f t="shared" si="165"/>
        <v>#DIV/0!</v>
      </c>
      <c r="E348" s="496" t="e">
        <f t="array" ref="E348">IF(IF((ROW(E348)-3)&lt;(ListAndConversion!$A$15),INDEX(Flow_Cell_Lane,MIN(IF(COUNTIF($E$2:E347,Flow_Cell_Lane)=0,ROW(Flow_Cell_Lane)-9))),"-")="","-",IF((ROW(E348)-3)&lt;(ListAndConversion!$A$15),INDEX(Flow_Cell_Lane,MIN(IF(COUNTIF($E$2:E347,Flow_Cell_Lane)=0,ROW(Flow_Cell_Lane)-9))),"-"))</f>
        <v>#DIV/0!</v>
      </c>
      <c r="F348" s="378" t="e">
        <f t="shared" si="166"/>
        <v>#DIV/0!</v>
      </c>
      <c r="G348" s="378" t="e">
        <f t="shared" si="185"/>
        <v>#DIV/0!</v>
      </c>
      <c r="H348" s="378" t="e">
        <f t="shared" si="185"/>
        <v>#DIV/0!</v>
      </c>
      <c r="I348" s="378" t="e">
        <f t="shared" si="185"/>
        <v>#DIV/0!</v>
      </c>
      <c r="J348" s="378" t="e">
        <f t="shared" si="185"/>
        <v>#DIV/0!</v>
      </c>
      <c r="K348" s="378" t="e">
        <f t="shared" si="185"/>
        <v>#DIV/0!</v>
      </c>
      <c r="L348" s="378" t="e">
        <f t="shared" si="185"/>
        <v>#DIV/0!</v>
      </c>
      <c r="M348" s="378" t="e">
        <f t="shared" si="185"/>
        <v>#DIV/0!</v>
      </c>
      <c r="N348" s="497" t="e">
        <f t="shared" si="168"/>
        <v>#DIV/0!</v>
      </c>
      <c r="O348" s="497" t="str">
        <f t="array" ref="O348">IFERROR(INDEX(Calculation!I:AN,MATCH(ListAndConversion!E348,Calculation!I:I,0),31),"-")</f>
        <v>-</v>
      </c>
      <c r="P348" s="498">
        <f>IF(COUNTIFS(Calculation!$I$10:$I$393,E348,Direct_Denaturation,"-")&lt;&gt;1,COUNTIFS(Calculation!$I$10:$I$393,E348,Direct_Denaturation,"-"),0)</f>
        <v>0</v>
      </c>
      <c r="V348" s="542" t="s">
        <v>82</v>
      </c>
      <c r="W348" s="542" t="s">
        <v>82</v>
      </c>
      <c r="X348" s="542" t="s">
        <v>82</v>
      </c>
      <c r="Y348" s="542" t="s">
        <v>82</v>
      </c>
      <c r="Z348" s="542" t="s">
        <v>82</v>
      </c>
      <c r="AA348" s="542" t="s">
        <v>82</v>
      </c>
      <c r="AB348" s="542" t="s">
        <v>82</v>
      </c>
      <c r="AC348" s="542" t="s">
        <v>82</v>
      </c>
      <c r="AD348" s="542" t="s">
        <v>82</v>
      </c>
      <c r="AE348" s="542" t="s">
        <v>82</v>
      </c>
      <c r="AF348" s="542" t="s">
        <v>82</v>
      </c>
      <c r="AG348" s="542" t="s">
        <v>82</v>
      </c>
      <c r="AH348" s="9"/>
      <c r="AI348" s="487">
        <v>345</v>
      </c>
      <c r="AJ348" s="497" t="s">
        <v>479</v>
      </c>
      <c r="AK348" s="378">
        <v>57</v>
      </c>
      <c r="AL348" s="378" t="str">
        <f t="shared" ca="1" si="169"/>
        <v>-</v>
      </c>
      <c r="AM348" s="378" t="str">
        <f t="array" aca="1" ref="AM348" ca="1">IFERROR(IF(AI348&lt;=$AB$2,"-",INDEX(Calculation_Tab,SMALL(ROW(Main_Dil)*(Main_Dil&lt;&gt;"-"),COUNTIF(Main_Dil,"-")+ROW()-3-$AB$2)-9,5)),"-")</f>
        <v>-</v>
      </c>
      <c r="AN348" s="378" t="str">
        <f t="array" aca="1" ref="AN348" ca="1">IFERROR(IF(AI348&lt;=$AB$2,"-",INDEX($A$3:$B$12,MATCH(INDEX(Calculation_Tab,SMALL(ROW(Main_Dil)*(Main_Dil&lt;&gt;"-"),COUNTIF(Main_Dil,"-")+ROW()-3-$AB$2)-9,5),$A$3:$A$12,0),2)),"-")</f>
        <v>-</v>
      </c>
      <c r="AO348" s="378" t="str">
        <f t="array" aca="1" ref="AO348" ca="1">IFERROR(IF(AI348&lt;=$AB$2,"-",INDEX(Coordinate,MATCH(INDEX(Calculation_Tab,SMALL(ROW(Main_Dil)*(Main_Dil&lt;&gt;"-"),COUNTIF(Main_Dil,"-")+ROW()-3-$AB$2)-9,6),$X$4:$X$99,0),2)),"-")</f>
        <v>-</v>
      </c>
      <c r="AP348" s="510" t="str">
        <f t="array" aca="1" ref="AP348" ca="1">IFERROR(IF(AI348&lt;=$AB$2,"-",INDEX(Calculation_Tab,SMALL(ROW(Main_Dil)*(Main_Dil&lt;&gt;"-"),COUNTIF(Main_Dil,"-")+ROW()-3-$AB$2)-9,21)),"-")</f>
        <v>-</v>
      </c>
      <c r="AQ348" s="511" t="str">
        <f t="array" aca="1" ref="AQ348" ca="1">IFERROR(IF(AI348&lt;=$AB$2,"-",INDEX(Calculation_Tab,SMALL(ROW(Main_Dil)*(Main_Dil&lt;&gt;"-"),COUNTIF(Main_Dil,"-")+ROW()-3-$AB$2)-9,22)),"-")</f>
        <v>-</v>
      </c>
      <c r="AR348" s="487" t="str">
        <f t="shared" ca="1" si="170"/>
        <v>-</v>
      </c>
      <c r="AS348" s="378">
        <v>345</v>
      </c>
      <c r="AT348" s="497" t="s">
        <v>479</v>
      </c>
      <c r="AU348" s="498">
        <v>57</v>
      </c>
      <c r="AV348" s="378" t="str">
        <f t="shared" ca="1" si="171"/>
        <v>-</v>
      </c>
      <c r="AW348" s="378" t="str">
        <f t="array" aca="1" ref="AW348" ca="1">IFERROR(IF(AS348&lt;=$AB$2+$AN$2,"-",INDEX(Calculation_Tab,SMALL(ROW(Direct_Denaturation)*(Direct_Denaturation&lt;&gt;"-"),COUNTIF(Direct_Denaturation,"-")+ROW()-3-$AB$2-$AN$2)-9,5)),"-")</f>
        <v>-</v>
      </c>
      <c r="AX348" s="378" t="str">
        <f t="array" aca="1" ref="AX348" ca="1">IFERROR(IF(AS348&lt;=$AB$2+$AN$2,"-",INDEX($A$3:$B$12,MATCH(INDEX(Calculation_Tab,SMALL(ROW(Direct_Denaturation)*(Direct_Denaturation&lt;&gt;"-"),COUNTIF(Direct_Denaturation,"-")+ROW()-3-$AB$2-$AN$2)-9,5),$A$3:$A$12,0),2)),"-")</f>
        <v>-</v>
      </c>
      <c r="AY348" s="378" t="str">
        <f t="array" aca="1" ref="AY348" ca="1">IFERROR(IF(AS348&lt;=$AB$2+$AN$2,"-",INDEX(Coordinate,MATCH(INDEX(Calculation_Tab,SMALL(ROW(Direct_Denaturation)*(Direct_Denaturation&lt;&gt;"-"),COUNTIF(Direct_Denaturation,"-")+ROW()-3-$AB$2-$AN$2)-9,6),$X$4:$X$99,0),2)),"-")</f>
        <v>-</v>
      </c>
      <c r="AZ348" s="510" t="str">
        <f t="array" aca="1" ref="AZ348" ca="1">IFERROR(IF(AS348&lt;=$AB$2+$AN$2,"-",INDEX(Calculation_Tab,SMALL(ROW(Direct_Denaturation)*(Direct_Denaturation&lt;&gt;"-"),COUNTIF(Direct_Denaturation,"-")+ROW()-3-$AB$2-$AN$2)-9,32)),"-")</f>
        <v>-</v>
      </c>
      <c r="BA348" s="510" t="str">
        <f t="array" aca="1" ref="BA348" ca="1">IFERROR(IF(AS348&lt;=$AB$2+$AN$2,"-",INDEX(Calculation_Tab,SMALL(ROW(Direct_Denaturation)*(Direct_Denaturation&lt;&gt;"-"),COUNTIF(Direct_Denaturation,"-")+ROW()-3-$AB$2-$AN$2)-9,34)),"-")</f>
        <v>-</v>
      </c>
      <c r="BB348" s="510" t="str">
        <f t="array" aca="1" ref="BB348" ca="1">IFERROR(IF(AS348&lt;=$AB$2+$AN$2,"-",INDEX(Calculation_Tab,SMALL(ROW(Direct_Denaturation)*(Direct_Denaturation&lt;&gt;"-"),COUNTIF(Direct_Denaturation,"-")+ROW()-3-$AB$2-$AN$2)-9,33)),"-")</f>
        <v>-</v>
      </c>
      <c r="BC348" s="510" t="str">
        <f t="array" aca="1" ref="BC348" ca="1">IFERROR(IF(AS348&lt;=$AB$2+$AN$2,"-",INDEX(Calculation_Tab,SMALL(ROW(Direct_Denaturation)*(Direct_Denaturation&lt;&gt;"-"),COUNTIF(Direct_Denaturation,"-")+ROW()-3-$AB$2-$AN$2)-9,35)),"-")</f>
        <v>-</v>
      </c>
      <c r="BD348" s="511" t="str">
        <f t="shared" ca="1" si="172"/>
        <v>-</v>
      </c>
      <c r="BK348" s="542" t="s">
        <v>82</v>
      </c>
      <c r="BL348" s="542" t="s">
        <v>82</v>
      </c>
      <c r="BM348" s="487" t="str">
        <f t="array" aca="1" ref="BM348" ca="1">IFERROR(INDEX(Calculation_Tab,SMALL(ROW(ToPool)*(ToPool&lt;&gt;"-"),COUNTIF(ToPool,"-")+ROW()-3)-9,3),"-")</f>
        <v>-</v>
      </c>
      <c r="BN348" s="378" t="str">
        <f t="shared" ca="1" si="173"/>
        <v>-</v>
      </c>
      <c r="BO348" s="378" t="str">
        <f t="shared" ca="1" si="174"/>
        <v>-</v>
      </c>
      <c r="BP348" s="523" t="str">
        <f t="shared" ca="1" si="175"/>
        <v>-</v>
      </c>
      <c r="BQ348" s="378" t="str">
        <f t="array" aca="1" ref="BQ348" ca="1">IFERROR(INDEX(BE:BG,MATCH(INDEX(Calculation_Tab,SMALL(ROW(ToPool)*(ToPool&lt;&gt;"-"),COUNTIF(ToPool,"-")+ROW()-3)-9,9),BG:BG,0),2),"-")</f>
        <v>-</v>
      </c>
      <c r="BR348" s="510" t="str">
        <f t="shared" ca="1" si="176"/>
        <v>-</v>
      </c>
      <c r="BS348" s="511" t="str">
        <f t="shared" ca="1" si="177"/>
        <v>-</v>
      </c>
      <c r="BT348" s="543" t="s">
        <v>82</v>
      </c>
      <c r="BU348" s="487" t="str">
        <f t="shared" ca="1" si="182"/>
        <v>-</v>
      </c>
      <c r="BV348" s="487" t="str">
        <f t="array" aca="1" ref="BV34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48" s="378" t="str">
        <f t="shared" ca="1" si="178"/>
        <v>-</v>
      </c>
      <c r="BX348" s="378" t="str">
        <f t="shared" ca="1" si="179"/>
        <v>-</v>
      </c>
      <c r="BY348" s="510" t="str">
        <f ca="1">IFERROR(ROUND(INDEX(Cluster,MATCH(IF(LEFT(BV348,4)="Pool",INDEX(Cluster,MATCH(INDEX(Calculation_Tab,MATCH(INDEX($BE$4:$BJ$99,MATCH(BV348,$BE$4:$BE$99,0),3),Flow_Cell_Lane,0),3),Cluster!$F$29:$F$412,0),6),BV348),Identifier_Cluster,0),19)*IF(LEFT(BV348,4)="pool",IF(LEN(INDEX($BE$4:$BJ$99,MATCH(BV348,$BE$4:$BE$99,0),3))=10,2,IF(LEN(INDEX($BE$4:$BJ$99,MATCH(BV348,$BE$4:$BE$99,0),3))&gt;10,LEN(INDEX($BE$4:$BJ$99,MATCH(BV348,$BE$4:$BE$99,0),3))-8,1)),1)*IF(LEFT(BV348,4)="pool",IF(INDEX($BE$4:$BJ$99,MATCH(BV348,$BE$4:$BE$99,0),6)&lt;1,1,INDEX($BE$4:$BJ$99,MATCH(BV348,$BE$4:$BE$99,0),6)),INDEX(Calculation_Tab,MATCH(BV348,Identifier,0),10)),1)*(1+Calculation!$Q$6),"-")</f>
        <v>-</v>
      </c>
      <c r="BZ348" s="378" t="str">
        <f ca="1">IFERROR((0.5/50)*CE348/Calculation!$AG$6*(IF(LEFT(BV348,4)="Pool",IF(LEN(INDEX($BE$4:$BJ$99,MATCH(BV348,$BE$4:$BE$99,0),3))=10,2,IF(LEN(INDEX($BE$4:$BJ$99,MATCH(BV348,$BE$4:$BE$99,0),3))&gt;10,LEN(INDEX($BE$4:$BJ$99,MATCH(BV348,$BE$4:$BE$99,0),3))-8,1)),IF(INDEX(Calculation_Tab,MATCH(BV348,Identifier,0),10)&gt;1,INDEX(Calculation_Tab,MATCH(BV348,Identifier,0),10),1)))*(1+Calculation!$Q$6),"-")</f>
        <v>-</v>
      </c>
      <c r="CA348" s="510" t="str">
        <f ca="1">IFERROR(IF((BZ348*Calculation!$AG$6/0.05)-SUM(BY348:BZ348,CC348)&gt;0,(BZ348*Calculation!$AG$6/0.05)-SUM(BY348:BZ348,CC348),0),"-")</f>
        <v>-</v>
      </c>
      <c r="CB348" s="510" t="str">
        <f ca="1">IFERROR(5/50*CE348*(IF(LEFT(BV348,4)="Pool",IF(LEN(INDEX($BE$4:$BJ$99,MATCH(BV348,$BE$4:$BE$99,0),3))=10,2,IF(LEN(INDEX($BE$4:$BJ$99,MATCH(BV348,$BE$4:$BE$99,0),3))&gt;10,LEN(INDEX($BE$4:$BJ$99,MATCH(BV348,$BE$4:$BE$99,0),3))-8,1)),IF(INDEX(Calculation_Tab,MATCH(BV348,Identifier,0),10)&gt;1,INDEX(Calculation_Tab,MATCH(BV348,Identifier,0),10),1)))*(1+Calculation!$Q$6),"-")</f>
        <v>-</v>
      </c>
      <c r="CC348" s="508" t="str">
        <f ca="1">IFERROR(ROUND(INDEX(Cluster,MATCH(IF(LEFT(BV348,4)="Pool",INDEX(Cluster,MATCH(INDEX(Calculation_Tab,MATCH(INDEX($BE$4:$BJ$99,MATCH(BV348,$BE$4:$BE$99,0),3),Flow_Cell_Lane,0),3),Cluster!$F$29:$F$412,0),6),BV348),Identifier_Cluster,0),20)*IF(LEFT(BV348,4)="pool",IF(LEN(INDEX($BE$4:$BJ$99,MATCH(BV348,$BE$4:$BE$99,0),3))=10,2,IF(LEN(INDEX($BE$4:$BJ$99,MATCH(BV348,$BE$4:$BE$99,0),3))&gt;10,LEN(INDEX($BE$4:$BJ$99,MATCH(BV348,$BE$4:$BE$99,0),3))-8,1)),1)*IF(LEFT(BV348,4)="pool",IF(INDEX($BE$4:$BJ$99,MATCH(BV348,$BE$4:$BE$99,0),6)&lt;1,1,INDEX($BE$4:$BJ$99,MATCH(BV348,$BE$4:$BE$99,0),6)),INDEX(Calculation_Tab,MATCH(BV348,Identifier,0),10)),1)*(1+Calculation!$Q$6),"-")</f>
        <v>-</v>
      </c>
      <c r="CD348" s="509" t="str">
        <f ca="1">IFERROR(INDEX(Cluster!AC:AD,MATCH(IF(LEFT(BV348,4)="Pool",INDEX(Cluster!$D$29:$AA$412,MATCH(INDEX(Calculation_Tab,MATCH(INDEX($BE$4:$BJ$99,MATCH(BV348,$BE$4:$BE$99,0),3),Flow_Cell_Lane,0),3),Cluster!$F$29:$F$412,0),24),INDEX(Cluster!$D$29:$AA$412,MATCH(BV348,Cluster!$F$29:$F$412,0),24)),Cluster!AC:AC,0),2),"-")</f>
        <v>-</v>
      </c>
      <c r="CE348" s="378" t="str">
        <f ca="1">IFERROR(IF(BV348&lt;&gt;"-",Calculation!$AK$6,"-"),"-")</f>
        <v>-</v>
      </c>
      <c r="CF348" s="378" t="str">
        <f ca="1">IF(OR(LEFT(ListAndConversion!BW348,3)="Dil",LEFT(ListAndConversion!BW348,3)="Poo"),ListAndConversion!$BT$4,IF(LEFT(ListAndConversion!BW348,3)="Sou",INDEX(ListAndConversion!$AT$3:$AV$387,MATCH(ListAndConversion!BV348,ListAndConversion!$AV$3:$AV$387,0),1),"-"))</f>
        <v>-</v>
      </c>
      <c r="CG348" s="498" t="str">
        <f ca="1">IF(OR(LEFT(ListAndConversion!BW348,3)="Dil",LEFT(ListAndConversion!BW348,3)="Poo"),ListAndConversion!BU348,IF(LEFT(ListAndConversion!BW348,3)="Sou",INDEX(ListAndConversion!$AT$4:$AV$387,MATCH(ListAndConversion!BV348,ListAndConversion!$AV$4:$AV$387,0),2),"-"))</f>
        <v>-</v>
      </c>
      <c r="CH348" s="378"/>
      <c r="CI348" s="487" t="str">
        <f t="shared" ca="1" si="180"/>
        <v>-</v>
      </c>
      <c r="CJ348" s="378" t="str">
        <f t="shared" ca="1" si="186"/>
        <v>-</v>
      </c>
      <c r="CK348" s="378" t="str">
        <f t="shared" ca="1" si="186"/>
        <v>-</v>
      </c>
      <c r="CL348" s="378" t="str">
        <f t="shared" ca="1" si="186"/>
        <v>-</v>
      </c>
      <c r="CM348" s="378" t="str">
        <f t="shared" ca="1" si="186"/>
        <v>-</v>
      </c>
      <c r="CN348" s="378" t="str">
        <f t="shared" ca="1" si="186"/>
        <v>-</v>
      </c>
      <c r="CO348" s="378" t="str">
        <f t="shared" ca="1" si="186"/>
        <v>-</v>
      </c>
      <c r="CP348" s="378" t="str">
        <f t="shared" ca="1" si="186"/>
        <v>-</v>
      </c>
      <c r="CQ348" s="378" t="str">
        <f t="shared" ca="1" si="186"/>
        <v>-</v>
      </c>
      <c r="CR348" s="510" t="str">
        <f ca="1">IFERROR(IF(LEFT(BW348,3)="Poo",INDEX($BE$4:$BJ$99,MATCH(CI348,$BG$4:$BG$99,0),6)*((15/50))*Calculation!$AK$6,INDEX(Calculation_Tab,MATCH(BV348,Identifier,0),10)/(IF(LEN(INDEX(Calculation_Tab,MATCH(BV348,Identifier,0),9))&gt;8,LEN(INDEX(Calculation_Tab,MATCH(BV348,Identifier,0),9))-8,1))*((15/50)*Calculation!$AK$6)),"-")</f>
        <v>-</v>
      </c>
      <c r="CS348" s="498" t="str">
        <f ca="1">IF(CI348="-","-",IF(COUNTIF($CI$3:CI348,CI348)&gt;1,0,IFERROR((35/50)*Calculation!$AK$6,"-")))</f>
        <v>-</v>
      </c>
    </row>
    <row r="349" spans="4:97" x14ac:dyDescent="0.5">
      <c r="D349" s="487" t="e">
        <f t="shared" si="165"/>
        <v>#DIV/0!</v>
      </c>
      <c r="E349" s="496" t="e">
        <f t="array" ref="E349">IF(IF((ROW(E349)-3)&lt;(ListAndConversion!$A$15),INDEX(Flow_Cell_Lane,MIN(IF(COUNTIF($E$2:E348,Flow_Cell_Lane)=0,ROW(Flow_Cell_Lane)-9))),"-")="","-",IF((ROW(E349)-3)&lt;(ListAndConversion!$A$15),INDEX(Flow_Cell_Lane,MIN(IF(COUNTIF($E$2:E348,Flow_Cell_Lane)=0,ROW(Flow_Cell_Lane)-9))),"-"))</f>
        <v>#DIV/0!</v>
      </c>
      <c r="F349" s="378" t="e">
        <f t="shared" si="166"/>
        <v>#DIV/0!</v>
      </c>
      <c r="G349" s="378" t="e">
        <f t="shared" si="185"/>
        <v>#DIV/0!</v>
      </c>
      <c r="H349" s="378" t="e">
        <f t="shared" si="185"/>
        <v>#DIV/0!</v>
      </c>
      <c r="I349" s="378" t="e">
        <f t="shared" si="185"/>
        <v>#DIV/0!</v>
      </c>
      <c r="J349" s="378" t="e">
        <f t="shared" si="185"/>
        <v>#DIV/0!</v>
      </c>
      <c r="K349" s="378" t="e">
        <f t="shared" si="185"/>
        <v>#DIV/0!</v>
      </c>
      <c r="L349" s="378" t="e">
        <f t="shared" si="185"/>
        <v>#DIV/0!</v>
      </c>
      <c r="M349" s="378" t="e">
        <f t="shared" si="185"/>
        <v>#DIV/0!</v>
      </c>
      <c r="N349" s="497" t="e">
        <f t="shared" si="168"/>
        <v>#DIV/0!</v>
      </c>
      <c r="O349" s="497" t="str">
        <f t="array" ref="O349">IFERROR(INDEX(Calculation!I:AN,MATCH(ListAndConversion!E349,Calculation!I:I,0),31),"-")</f>
        <v>-</v>
      </c>
      <c r="P349" s="498">
        <f>IF(COUNTIFS(Calculation!$I$10:$I$393,E349,Direct_Denaturation,"-")&lt;&gt;1,COUNTIFS(Calculation!$I$10:$I$393,E349,Direct_Denaturation,"-"),0)</f>
        <v>0</v>
      </c>
      <c r="V349" s="542" t="s">
        <v>82</v>
      </c>
      <c r="W349" s="542" t="s">
        <v>82</v>
      </c>
      <c r="X349" s="542" t="s">
        <v>82</v>
      </c>
      <c r="Y349" s="542" t="s">
        <v>82</v>
      </c>
      <c r="Z349" s="542" t="s">
        <v>82</v>
      </c>
      <c r="AA349" s="542" t="s">
        <v>82</v>
      </c>
      <c r="AB349" s="542" t="s">
        <v>82</v>
      </c>
      <c r="AC349" s="542" t="s">
        <v>82</v>
      </c>
      <c r="AD349" s="542" t="s">
        <v>82</v>
      </c>
      <c r="AE349" s="542" t="s">
        <v>82</v>
      </c>
      <c r="AF349" s="542" t="s">
        <v>82</v>
      </c>
      <c r="AG349" s="542" t="s">
        <v>82</v>
      </c>
      <c r="AH349" s="9"/>
      <c r="AI349" s="487">
        <v>346</v>
      </c>
      <c r="AJ349" s="497" t="s">
        <v>479</v>
      </c>
      <c r="AK349" s="378">
        <v>58</v>
      </c>
      <c r="AL349" s="378" t="str">
        <f t="shared" ca="1" si="169"/>
        <v>-</v>
      </c>
      <c r="AM349" s="378" t="str">
        <f t="array" aca="1" ref="AM349" ca="1">IFERROR(IF(AI349&lt;=$AB$2,"-",INDEX(Calculation_Tab,SMALL(ROW(Main_Dil)*(Main_Dil&lt;&gt;"-"),COUNTIF(Main_Dil,"-")+ROW()-3-$AB$2)-9,5)),"-")</f>
        <v>-</v>
      </c>
      <c r="AN349" s="378" t="str">
        <f t="array" aca="1" ref="AN349" ca="1">IFERROR(IF(AI349&lt;=$AB$2,"-",INDEX($A$3:$B$12,MATCH(INDEX(Calculation_Tab,SMALL(ROW(Main_Dil)*(Main_Dil&lt;&gt;"-"),COUNTIF(Main_Dil,"-")+ROW()-3-$AB$2)-9,5),$A$3:$A$12,0),2)),"-")</f>
        <v>-</v>
      </c>
      <c r="AO349" s="378" t="str">
        <f t="array" aca="1" ref="AO349" ca="1">IFERROR(IF(AI349&lt;=$AB$2,"-",INDEX(Coordinate,MATCH(INDEX(Calculation_Tab,SMALL(ROW(Main_Dil)*(Main_Dil&lt;&gt;"-"),COUNTIF(Main_Dil,"-")+ROW()-3-$AB$2)-9,6),$X$4:$X$99,0),2)),"-")</f>
        <v>-</v>
      </c>
      <c r="AP349" s="510" t="str">
        <f t="array" aca="1" ref="AP349" ca="1">IFERROR(IF(AI349&lt;=$AB$2,"-",INDEX(Calculation_Tab,SMALL(ROW(Main_Dil)*(Main_Dil&lt;&gt;"-"),COUNTIF(Main_Dil,"-")+ROW()-3-$AB$2)-9,21)),"-")</f>
        <v>-</v>
      </c>
      <c r="AQ349" s="511" t="str">
        <f t="array" aca="1" ref="AQ349" ca="1">IFERROR(IF(AI349&lt;=$AB$2,"-",INDEX(Calculation_Tab,SMALL(ROW(Main_Dil)*(Main_Dil&lt;&gt;"-"),COUNTIF(Main_Dil,"-")+ROW()-3-$AB$2)-9,22)),"-")</f>
        <v>-</v>
      </c>
      <c r="AR349" s="487" t="str">
        <f t="shared" ca="1" si="170"/>
        <v>-</v>
      </c>
      <c r="AS349" s="378">
        <v>346</v>
      </c>
      <c r="AT349" s="497" t="s">
        <v>479</v>
      </c>
      <c r="AU349" s="498">
        <v>58</v>
      </c>
      <c r="AV349" s="378" t="str">
        <f t="shared" ca="1" si="171"/>
        <v>-</v>
      </c>
      <c r="AW349" s="378" t="str">
        <f t="array" aca="1" ref="AW349" ca="1">IFERROR(IF(AS349&lt;=$AB$2+$AN$2,"-",INDEX(Calculation_Tab,SMALL(ROW(Direct_Denaturation)*(Direct_Denaturation&lt;&gt;"-"),COUNTIF(Direct_Denaturation,"-")+ROW()-3-$AB$2-$AN$2)-9,5)),"-")</f>
        <v>-</v>
      </c>
      <c r="AX349" s="378" t="str">
        <f t="array" aca="1" ref="AX349" ca="1">IFERROR(IF(AS349&lt;=$AB$2+$AN$2,"-",INDEX($A$3:$B$12,MATCH(INDEX(Calculation_Tab,SMALL(ROW(Direct_Denaturation)*(Direct_Denaturation&lt;&gt;"-"),COUNTIF(Direct_Denaturation,"-")+ROW()-3-$AB$2-$AN$2)-9,5),$A$3:$A$12,0),2)),"-")</f>
        <v>-</v>
      </c>
      <c r="AY349" s="378" t="str">
        <f t="array" aca="1" ref="AY349" ca="1">IFERROR(IF(AS349&lt;=$AB$2+$AN$2,"-",INDEX(Coordinate,MATCH(INDEX(Calculation_Tab,SMALL(ROW(Direct_Denaturation)*(Direct_Denaturation&lt;&gt;"-"),COUNTIF(Direct_Denaturation,"-")+ROW()-3-$AB$2-$AN$2)-9,6),$X$4:$X$99,0),2)),"-")</f>
        <v>-</v>
      </c>
      <c r="AZ349" s="510" t="str">
        <f t="array" aca="1" ref="AZ349" ca="1">IFERROR(IF(AS349&lt;=$AB$2+$AN$2,"-",INDEX(Calculation_Tab,SMALL(ROW(Direct_Denaturation)*(Direct_Denaturation&lt;&gt;"-"),COUNTIF(Direct_Denaturation,"-")+ROW()-3-$AB$2-$AN$2)-9,32)),"-")</f>
        <v>-</v>
      </c>
      <c r="BA349" s="510" t="str">
        <f t="array" aca="1" ref="BA349" ca="1">IFERROR(IF(AS349&lt;=$AB$2+$AN$2,"-",INDEX(Calculation_Tab,SMALL(ROW(Direct_Denaturation)*(Direct_Denaturation&lt;&gt;"-"),COUNTIF(Direct_Denaturation,"-")+ROW()-3-$AB$2-$AN$2)-9,34)),"-")</f>
        <v>-</v>
      </c>
      <c r="BB349" s="510" t="str">
        <f t="array" aca="1" ref="BB349" ca="1">IFERROR(IF(AS349&lt;=$AB$2+$AN$2,"-",INDEX(Calculation_Tab,SMALL(ROW(Direct_Denaturation)*(Direct_Denaturation&lt;&gt;"-"),COUNTIF(Direct_Denaturation,"-")+ROW()-3-$AB$2-$AN$2)-9,33)),"-")</f>
        <v>-</v>
      </c>
      <c r="BC349" s="510" t="str">
        <f t="array" aca="1" ref="BC349" ca="1">IFERROR(IF(AS349&lt;=$AB$2+$AN$2,"-",INDEX(Calculation_Tab,SMALL(ROW(Direct_Denaturation)*(Direct_Denaturation&lt;&gt;"-"),COUNTIF(Direct_Denaturation,"-")+ROW()-3-$AB$2-$AN$2)-9,35)),"-")</f>
        <v>-</v>
      </c>
      <c r="BD349" s="511" t="str">
        <f t="shared" ca="1" si="172"/>
        <v>-</v>
      </c>
      <c r="BK349" s="542" t="s">
        <v>82</v>
      </c>
      <c r="BL349" s="542" t="s">
        <v>82</v>
      </c>
      <c r="BM349" s="487" t="str">
        <f t="array" aca="1" ref="BM349" ca="1">IFERROR(INDEX(Calculation_Tab,SMALL(ROW(ToPool)*(ToPool&lt;&gt;"-"),COUNTIF(ToPool,"-")+ROW()-3)-9,3),"-")</f>
        <v>-</v>
      </c>
      <c r="BN349" s="378" t="str">
        <f t="shared" ca="1" si="173"/>
        <v>-</v>
      </c>
      <c r="BO349" s="378" t="str">
        <f t="shared" ca="1" si="174"/>
        <v>-</v>
      </c>
      <c r="BP349" s="523" t="str">
        <f t="shared" ca="1" si="175"/>
        <v>-</v>
      </c>
      <c r="BQ349" s="378" t="str">
        <f t="array" aca="1" ref="BQ349" ca="1">IFERROR(INDEX(BE:BG,MATCH(INDEX(Calculation_Tab,SMALL(ROW(ToPool)*(ToPool&lt;&gt;"-"),COUNTIF(ToPool,"-")+ROW()-3)-9,9),BG:BG,0),2),"-")</f>
        <v>-</v>
      </c>
      <c r="BR349" s="510" t="str">
        <f t="shared" ca="1" si="176"/>
        <v>-</v>
      </c>
      <c r="BS349" s="511" t="str">
        <f t="shared" ca="1" si="177"/>
        <v>-</v>
      </c>
      <c r="BT349" s="543" t="s">
        <v>82</v>
      </c>
      <c r="BU349" s="487" t="str">
        <f t="shared" ca="1" si="182"/>
        <v>-</v>
      </c>
      <c r="BV349" s="487" t="str">
        <f t="array" aca="1" ref="BV34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49" s="378" t="str">
        <f t="shared" ca="1" si="178"/>
        <v>-</v>
      </c>
      <c r="BX349" s="378" t="str">
        <f t="shared" ca="1" si="179"/>
        <v>-</v>
      </c>
      <c r="BY349" s="510" t="str">
        <f ca="1">IFERROR(ROUND(INDEX(Cluster,MATCH(IF(LEFT(BV349,4)="Pool",INDEX(Cluster,MATCH(INDEX(Calculation_Tab,MATCH(INDEX($BE$4:$BJ$99,MATCH(BV349,$BE$4:$BE$99,0),3),Flow_Cell_Lane,0),3),Cluster!$F$29:$F$412,0),6),BV349),Identifier_Cluster,0),19)*IF(LEFT(BV349,4)="pool",IF(LEN(INDEX($BE$4:$BJ$99,MATCH(BV349,$BE$4:$BE$99,0),3))=10,2,IF(LEN(INDEX($BE$4:$BJ$99,MATCH(BV349,$BE$4:$BE$99,0),3))&gt;10,LEN(INDEX($BE$4:$BJ$99,MATCH(BV349,$BE$4:$BE$99,0),3))-8,1)),1)*IF(LEFT(BV349,4)="pool",IF(INDEX($BE$4:$BJ$99,MATCH(BV349,$BE$4:$BE$99,0),6)&lt;1,1,INDEX($BE$4:$BJ$99,MATCH(BV349,$BE$4:$BE$99,0),6)),INDEX(Calculation_Tab,MATCH(BV349,Identifier,0),10)),1)*(1+Calculation!$Q$6),"-")</f>
        <v>-</v>
      </c>
      <c r="BZ349" s="378" t="str">
        <f ca="1">IFERROR((0.5/50)*CE349/Calculation!$AG$6*(IF(LEFT(BV349,4)="Pool",IF(LEN(INDEX($BE$4:$BJ$99,MATCH(BV349,$BE$4:$BE$99,0),3))=10,2,IF(LEN(INDEX($BE$4:$BJ$99,MATCH(BV349,$BE$4:$BE$99,0),3))&gt;10,LEN(INDEX($BE$4:$BJ$99,MATCH(BV349,$BE$4:$BE$99,0),3))-8,1)),IF(INDEX(Calculation_Tab,MATCH(BV349,Identifier,0),10)&gt;1,INDEX(Calculation_Tab,MATCH(BV349,Identifier,0),10),1)))*(1+Calculation!$Q$6),"-")</f>
        <v>-</v>
      </c>
      <c r="CA349" s="510" t="str">
        <f ca="1">IFERROR(IF((BZ349*Calculation!$AG$6/0.05)-SUM(BY349:BZ349,CC349)&gt;0,(BZ349*Calculation!$AG$6/0.05)-SUM(BY349:BZ349,CC349),0),"-")</f>
        <v>-</v>
      </c>
      <c r="CB349" s="510" t="str">
        <f ca="1">IFERROR(5/50*CE349*(IF(LEFT(BV349,4)="Pool",IF(LEN(INDEX($BE$4:$BJ$99,MATCH(BV349,$BE$4:$BE$99,0),3))=10,2,IF(LEN(INDEX($BE$4:$BJ$99,MATCH(BV349,$BE$4:$BE$99,0),3))&gt;10,LEN(INDEX($BE$4:$BJ$99,MATCH(BV349,$BE$4:$BE$99,0),3))-8,1)),IF(INDEX(Calculation_Tab,MATCH(BV349,Identifier,0),10)&gt;1,INDEX(Calculation_Tab,MATCH(BV349,Identifier,0),10),1)))*(1+Calculation!$Q$6),"-")</f>
        <v>-</v>
      </c>
      <c r="CC349" s="508" t="str">
        <f ca="1">IFERROR(ROUND(INDEX(Cluster,MATCH(IF(LEFT(BV349,4)="Pool",INDEX(Cluster,MATCH(INDEX(Calculation_Tab,MATCH(INDEX($BE$4:$BJ$99,MATCH(BV349,$BE$4:$BE$99,0),3),Flow_Cell_Lane,0),3),Cluster!$F$29:$F$412,0),6),BV349),Identifier_Cluster,0),20)*IF(LEFT(BV349,4)="pool",IF(LEN(INDEX($BE$4:$BJ$99,MATCH(BV349,$BE$4:$BE$99,0),3))=10,2,IF(LEN(INDEX($BE$4:$BJ$99,MATCH(BV349,$BE$4:$BE$99,0),3))&gt;10,LEN(INDEX($BE$4:$BJ$99,MATCH(BV349,$BE$4:$BE$99,0),3))-8,1)),1)*IF(LEFT(BV349,4)="pool",IF(INDEX($BE$4:$BJ$99,MATCH(BV349,$BE$4:$BE$99,0),6)&lt;1,1,INDEX($BE$4:$BJ$99,MATCH(BV349,$BE$4:$BE$99,0),6)),INDEX(Calculation_Tab,MATCH(BV349,Identifier,0),10)),1)*(1+Calculation!$Q$6),"-")</f>
        <v>-</v>
      </c>
      <c r="CD349" s="509" t="str">
        <f ca="1">IFERROR(INDEX(Cluster!AC:AD,MATCH(IF(LEFT(BV349,4)="Pool",INDEX(Cluster!$D$29:$AA$412,MATCH(INDEX(Calculation_Tab,MATCH(INDEX($BE$4:$BJ$99,MATCH(BV349,$BE$4:$BE$99,0),3),Flow_Cell_Lane,0),3),Cluster!$F$29:$F$412,0),24),INDEX(Cluster!$D$29:$AA$412,MATCH(BV349,Cluster!$F$29:$F$412,0),24)),Cluster!AC:AC,0),2),"-")</f>
        <v>-</v>
      </c>
      <c r="CE349" s="378" t="str">
        <f ca="1">IFERROR(IF(BV349&lt;&gt;"-",Calculation!$AK$6,"-"),"-")</f>
        <v>-</v>
      </c>
      <c r="CF349" s="378" t="str">
        <f ca="1">IF(OR(LEFT(ListAndConversion!BW349,3)="Dil",LEFT(ListAndConversion!BW349,3)="Poo"),ListAndConversion!$BT$4,IF(LEFT(ListAndConversion!BW349,3)="Sou",INDEX(ListAndConversion!$AT$3:$AV$387,MATCH(ListAndConversion!BV349,ListAndConversion!$AV$3:$AV$387,0),1),"-"))</f>
        <v>-</v>
      </c>
      <c r="CG349" s="498" t="str">
        <f ca="1">IF(OR(LEFT(ListAndConversion!BW349,3)="Dil",LEFT(ListAndConversion!BW349,3)="Poo"),ListAndConversion!BU349,IF(LEFT(ListAndConversion!BW349,3)="Sou",INDEX(ListAndConversion!$AT$4:$AV$387,MATCH(ListAndConversion!BV349,ListAndConversion!$AV$4:$AV$387,0),2),"-"))</f>
        <v>-</v>
      </c>
      <c r="CH349" s="378"/>
      <c r="CI349" s="487" t="str">
        <f t="shared" ca="1" si="180"/>
        <v>-</v>
      </c>
      <c r="CJ349" s="378" t="str">
        <f t="shared" ca="1" si="186"/>
        <v>-</v>
      </c>
      <c r="CK349" s="378" t="str">
        <f t="shared" ca="1" si="186"/>
        <v>-</v>
      </c>
      <c r="CL349" s="378" t="str">
        <f t="shared" ca="1" si="186"/>
        <v>-</v>
      </c>
      <c r="CM349" s="378" t="str">
        <f t="shared" ca="1" si="186"/>
        <v>-</v>
      </c>
      <c r="CN349" s="378" t="str">
        <f t="shared" ca="1" si="186"/>
        <v>-</v>
      </c>
      <c r="CO349" s="378" t="str">
        <f t="shared" ca="1" si="186"/>
        <v>-</v>
      </c>
      <c r="CP349" s="378" t="str">
        <f t="shared" ca="1" si="186"/>
        <v>-</v>
      </c>
      <c r="CQ349" s="378" t="str">
        <f t="shared" ca="1" si="186"/>
        <v>-</v>
      </c>
      <c r="CR349" s="510" t="str">
        <f ca="1">IFERROR(IF(LEFT(BW349,3)="Poo",INDEX($BE$4:$BJ$99,MATCH(CI349,$BG$4:$BG$99,0),6)*((15/50))*Calculation!$AK$6,INDEX(Calculation_Tab,MATCH(BV349,Identifier,0),10)/(IF(LEN(INDEX(Calculation_Tab,MATCH(BV349,Identifier,0),9))&gt;8,LEN(INDEX(Calculation_Tab,MATCH(BV349,Identifier,0),9))-8,1))*((15/50)*Calculation!$AK$6)),"-")</f>
        <v>-</v>
      </c>
      <c r="CS349" s="498" t="str">
        <f ca="1">IF(CI349="-","-",IF(COUNTIF($CI$3:CI349,CI349)&gt;1,0,IFERROR((35/50)*Calculation!$AK$6,"-")))</f>
        <v>-</v>
      </c>
    </row>
    <row r="350" spans="4:97" x14ac:dyDescent="0.5">
      <c r="D350" s="487" t="e">
        <f t="shared" si="165"/>
        <v>#DIV/0!</v>
      </c>
      <c r="E350" s="496" t="e">
        <f t="array" ref="E350">IF(IF((ROW(E350)-3)&lt;(ListAndConversion!$A$15),INDEX(Flow_Cell_Lane,MIN(IF(COUNTIF($E$2:E349,Flow_Cell_Lane)=0,ROW(Flow_Cell_Lane)-9))),"-")="","-",IF((ROW(E350)-3)&lt;(ListAndConversion!$A$15),INDEX(Flow_Cell_Lane,MIN(IF(COUNTIF($E$2:E349,Flow_Cell_Lane)=0,ROW(Flow_Cell_Lane)-9))),"-"))</f>
        <v>#DIV/0!</v>
      </c>
      <c r="F350" s="378" t="e">
        <f t="shared" si="166"/>
        <v>#DIV/0!</v>
      </c>
      <c r="G350" s="378" t="e">
        <f t="shared" si="185"/>
        <v>#DIV/0!</v>
      </c>
      <c r="H350" s="378" t="e">
        <f t="shared" si="185"/>
        <v>#DIV/0!</v>
      </c>
      <c r="I350" s="378" t="e">
        <f t="shared" si="185"/>
        <v>#DIV/0!</v>
      </c>
      <c r="J350" s="378" t="e">
        <f t="shared" si="185"/>
        <v>#DIV/0!</v>
      </c>
      <c r="K350" s="378" t="e">
        <f t="shared" si="185"/>
        <v>#DIV/0!</v>
      </c>
      <c r="L350" s="378" t="e">
        <f t="shared" si="185"/>
        <v>#DIV/0!</v>
      </c>
      <c r="M350" s="378" t="e">
        <f t="shared" si="185"/>
        <v>#DIV/0!</v>
      </c>
      <c r="N350" s="497" t="e">
        <f t="shared" si="168"/>
        <v>#DIV/0!</v>
      </c>
      <c r="O350" s="497" t="str">
        <f t="array" ref="O350">IFERROR(INDEX(Calculation!I:AN,MATCH(ListAndConversion!E350,Calculation!I:I,0),31),"-")</f>
        <v>-</v>
      </c>
      <c r="P350" s="498">
        <f>IF(COUNTIFS(Calculation!$I$10:$I$393,E350,Direct_Denaturation,"-")&lt;&gt;1,COUNTIFS(Calculation!$I$10:$I$393,E350,Direct_Denaturation,"-"),0)</f>
        <v>0</v>
      </c>
      <c r="V350" s="542" t="s">
        <v>82</v>
      </c>
      <c r="W350" s="542" t="s">
        <v>82</v>
      </c>
      <c r="X350" s="542" t="s">
        <v>82</v>
      </c>
      <c r="Y350" s="542" t="s">
        <v>82</v>
      </c>
      <c r="Z350" s="542" t="s">
        <v>82</v>
      </c>
      <c r="AA350" s="542" t="s">
        <v>82</v>
      </c>
      <c r="AB350" s="542" t="s">
        <v>82</v>
      </c>
      <c r="AC350" s="542" t="s">
        <v>82</v>
      </c>
      <c r="AD350" s="542" t="s">
        <v>82</v>
      </c>
      <c r="AE350" s="542" t="s">
        <v>82</v>
      </c>
      <c r="AF350" s="542" t="s">
        <v>82</v>
      </c>
      <c r="AG350" s="542" t="s">
        <v>82</v>
      </c>
      <c r="AH350" s="9"/>
      <c r="AI350" s="487">
        <v>347</v>
      </c>
      <c r="AJ350" s="497" t="s">
        <v>479</v>
      </c>
      <c r="AK350" s="378">
        <v>59</v>
      </c>
      <c r="AL350" s="378" t="str">
        <f t="shared" ca="1" si="169"/>
        <v>-</v>
      </c>
      <c r="AM350" s="378" t="str">
        <f t="array" aca="1" ref="AM350" ca="1">IFERROR(IF(AI350&lt;=$AB$2,"-",INDEX(Calculation_Tab,SMALL(ROW(Main_Dil)*(Main_Dil&lt;&gt;"-"),COUNTIF(Main_Dil,"-")+ROW()-3-$AB$2)-9,5)),"-")</f>
        <v>-</v>
      </c>
      <c r="AN350" s="378" t="str">
        <f t="array" aca="1" ref="AN350" ca="1">IFERROR(IF(AI350&lt;=$AB$2,"-",INDEX($A$3:$B$12,MATCH(INDEX(Calculation_Tab,SMALL(ROW(Main_Dil)*(Main_Dil&lt;&gt;"-"),COUNTIF(Main_Dil,"-")+ROW()-3-$AB$2)-9,5),$A$3:$A$12,0),2)),"-")</f>
        <v>-</v>
      </c>
      <c r="AO350" s="378" t="str">
        <f t="array" aca="1" ref="AO350" ca="1">IFERROR(IF(AI350&lt;=$AB$2,"-",INDEX(Coordinate,MATCH(INDEX(Calculation_Tab,SMALL(ROW(Main_Dil)*(Main_Dil&lt;&gt;"-"),COUNTIF(Main_Dil,"-")+ROW()-3-$AB$2)-9,6),$X$4:$X$99,0),2)),"-")</f>
        <v>-</v>
      </c>
      <c r="AP350" s="510" t="str">
        <f t="array" aca="1" ref="AP350" ca="1">IFERROR(IF(AI350&lt;=$AB$2,"-",INDEX(Calculation_Tab,SMALL(ROW(Main_Dil)*(Main_Dil&lt;&gt;"-"),COUNTIF(Main_Dil,"-")+ROW()-3-$AB$2)-9,21)),"-")</f>
        <v>-</v>
      </c>
      <c r="AQ350" s="511" t="str">
        <f t="array" aca="1" ref="AQ350" ca="1">IFERROR(IF(AI350&lt;=$AB$2,"-",INDEX(Calculation_Tab,SMALL(ROW(Main_Dil)*(Main_Dil&lt;&gt;"-"),COUNTIF(Main_Dil,"-")+ROW()-3-$AB$2)-9,22)),"-")</f>
        <v>-</v>
      </c>
      <c r="AR350" s="487" t="str">
        <f t="shared" ca="1" si="170"/>
        <v>-</v>
      </c>
      <c r="AS350" s="378">
        <v>347</v>
      </c>
      <c r="AT350" s="497" t="s">
        <v>479</v>
      </c>
      <c r="AU350" s="498">
        <v>59</v>
      </c>
      <c r="AV350" s="378" t="str">
        <f t="shared" ca="1" si="171"/>
        <v>-</v>
      </c>
      <c r="AW350" s="378" t="str">
        <f t="array" aca="1" ref="AW350" ca="1">IFERROR(IF(AS350&lt;=$AB$2+$AN$2,"-",INDEX(Calculation_Tab,SMALL(ROW(Direct_Denaturation)*(Direct_Denaturation&lt;&gt;"-"),COUNTIF(Direct_Denaturation,"-")+ROW()-3-$AB$2-$AN$2)-9,5)),"-")</f>
        <v>-</v>
      </c>
      <c r="AX350" s="378" t="str">
        <f t="array" aca="1" ref="AX350" ca="1">IFERROR(IF(AS350&lt;=$AB$2+$AN$2,"-",INDEX($A$3:$B$12,MATCH(INDEX(Calculation_Tab,SMALL(ROW(Direct_Denaturation)*(Direct_Denaturation&lt;&gt;"-"),COUNTIF(Direct_Denaturation,"-")+ROW()-3-$AB$2-$AN$2)-9,5),$A$3:$A$12,0),2)),"-")</f>
        <v>-</v>
      </c>
      <c r="AY350" s="378" t="str">
        <f t="array" aca="1" ref="AY350" ca="1">IFERROR(IF(AS350&lt;=$AB$2+$AN$2,"-",INDEX(Coordinate,MATCH(INDEX(Calculation_Tab,SMALL(ROW(Direct_Denaturation)*(Direct_Denaturation&lt;&gt;"-"),COUNTIF(Direct_Denaturation,"-")+ROW()-3-$AB$2-$AN$2)-9,6),$X$4:$X$99,0),2)),"-")</f>
        <v>-</v>
      </c>
      <c r="AZ350" s="510" t="str">
        <f t="array" aca="1" ref="AZ350" ca="1">IFERROR(IF(AS350&lt;=$AB$2+$AN$2,"-",INDEX(Calculation_Tab,SMALL(ROW(Direct_Denaturation)*(Direct_Denaturation&lt;&gt;"-"),COUNTIF(Direct_Denaturation,"-")+ROW()-3-$AB$2-$AN$2)-9,32)),"-")</f>
        <v>-</v>
      </c>
      <c r="BA350" s="510" t="str">
        <f t="array" aca="1" ref="BA350" ca="1">IFERROR(IF(AS350&lt;=$AB$2+$AN$2,"-",INDEX(Calculation_Tab,SMALL(ROW(Direct_Denaturation)*(Direct_Denaturation&lt;&gt;"-"),COUNTIF(Direct_Denaturation,"-")+ROW()-3-$AB$2-$AN$2)-9,34)),"-")</f>
        <v>-</v>
      </c>
      <c r="BB350" s="510" t="str">
        <f t="array" aca="1" ref="BB350" ca="1">IFERROR(IF(AS350&lt;=$AB$2+$AN$2,"-",INDEX(Calculation_Tab,SMALL(ROW(Direct_Denaturation)*(Direct_Denaturation&lt;&gt;"-"),COUNTIF(Direct_Denaturation,"-")+ROW()-3-$AB$2-$AN$2)-9,33)),"-")</f>
        <v>-</v>
      </c>
      <c r="BC350" s="510" t="str">
        <f t="array" aca="1" ref="BC350" ca="1">IFERROR(IF(AS350&lt;=$AB$2+$AN$2,"-",INDEX(Calculation_Tab,SMALL(ROW(Direct_Denaturation)*(Direct_Denaturation&lt;&gt;"-"),COUNTIF(Direct_Denaturation,"-")+ROW()-3-$AB$2-$AN$2)-9,35)),"-")</f>
        <v>-</v>
      </c>
      <c r="BD350" s="511" t="str">
        <f t="shared" ca="1" si="172"/>
        <v>-</v>
      </c>
      <c r="BK350" s="542" t="s">
        <v>82</v>
      </c>
      <c r="BL350" s="542" t="s">
        <v>82</v>
      </c>
      <c r="BM350" s="487" t="str">
        <f t="array" aca="1" ref="BM350" ca="1">IFERROR(INDEX(Calculation_Tab,SMALL(ROW(ToPool)*(ToPool&lt;&gt;"-"),COUNTIF(ToPool,"-")+ROW()-3)-9,3),"-")</f>
        <v>-</v>
      </c>
      <c r="BN350" s="378" t="str">
        <f t="shared" ca="1" si="173"/>
        <v>-</v>
      </c>
      <c r="BO350" s="378" t="str">
        <f t="shared" ca="1" si="174"/>
        <v>-</v>
      </c>
      <c r="BP350" s="523" t="str">
        <f t="shared" ca="1" si="175"/>
        <v>-</v>
      </c>
      <c r="BQ350" s="378" t="str">
        <f t="array" aca="1" ref="BQ350" ca="1">IFERROR(INDEX(BE:BG,MATCH(INDEX(Calculation_Tab,SMALL(ROW(ToPool)*(ToPool&lt;&gt;"-"),COUNTIF(ToPool,"-")+ROW()-3)-9,9),BG:BG,0),2),"-")</f>
        <v>-</v>
      </c>
      <c r="BR350" s="510" t="str">
        <f t="shared" ca="1" si="176"/>
        <v>-</v>
      </c>
      <c r="BS350" s="511" t="str">
        <f t="shared" ca="1" si="177"/>
        <v>-</v>
      </c>
      <c r="BT350" s="543" t="s">
        <v>82</v>
      </c>
      <c r="BU350" s="487" t="str">
        <f t="shared" ca="1" si="182"/>
        <v>-</v>
      </c>
      <c r="BV350" s="487" t="str">
        <f t="array" aca="1" ref="BV35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50" s="378" t="str">
        <f t="shared" ca="1" si="178"/>
        <v>-</v>
      </c>
      <c r="BX350" s="378" t="str">
        <f t="shared" ca="1" si="179"/>
        <v>-</v>
      </c>
      <c r="BY350" s="510" t="str">
        <f ca="1">IFERROR(ROUND(INDEX(Cluster,MATCH(IF(LEFT(BV350,4)="Pool",INDEX(Cluster,MATCH(INDEX(Calculation_Tab,MATCH(INDEX($BE$4:$BJ$99,MATCH(BV350,$BE$4:$BE$99,0),3),Flow_Cell_Lane,0),3),Cluster!$F$29:$F$412,0),6),BV350),Identifier_Cluster,0),19)*IF(LEFT(BV350,4)="pool",IF(LEN(INDEX($BE$4:$BJ$99,MATCH(BV350,$BE$4:$BE$99,0),3))=10,2,IF(LEN(INDEX($BE$4:$BJ$99,MATCH(BV350,$BE$4:$BE$99,0),3))&gt;10,LEN(INDEX($BE$4:$BJ$99,MATCH(BV350,$BE$4:$BE$99,0),3))-8,1)),1)*IF(LEFT(BV350,4)="pool",IF(INDEX($BE$4:$BJ$99,MATCH(BV350,$BE$4:$BE$99,0),6)&lt;1,1,INDEX($BE$4:$BJ$99,MATCH(BV350,$BE$4:$BE$99,0),6)),INDEX(Calculation_Tab,MATCH(BV350,Identifier,0),10)),1)*(1+Calculation!$Q$6),"-")</f>
        <v>-</v>
      </c>
      <c r="BZ350" s="378" t="str">
        <f ca="1">IFERROR((0.5/50)*CE350/Calculation!$AG$6*(IF(LEFT(BV350,4)="Pool",IF(LEN(INDEX($BE$4:$BJ$99,MATCH(BV350,$BE$4:$BE$99,0),3))=10,2,IF(LEN(INDEX($BE$4:$BJ$99,MATCH(BV350,$BE$4:$BE$99,0),3))&gt;10,LEN(INDEX($BE$4:$BJ$99,MATCH(BV350,$BE$4:$BE$99,0),3))-8,1)),IF(INDEX(Calculation_Tab,MATCH(BV350,Identifier,0),10)&gt;1,INDEX(Calculation_Tab,MATCH(BV350,Identifier,0),10),1)))*(1+Calculation!$Q$6),"-")</f>
        <v>-</v>
      </c>
      <c r="CA350" s="510" t="str">
        <f ca="1">IFERROR(IF((BZ350*Calculation!$AG$6/0.05)-SUM(BY350:BZ350,CC350)&gt;0,(BZ350*Calculation!$AG$6/0.05)-SUM(BY350:BZ350,CC350),0),"-")</f>
        <v>-</v>
      </c>
      <c r="CB350" s="510" t="str">
        <f ca="1">IFERROR(5/50*CE350*(IF(LEFT(BV350,4)="Pool",IF(LEN(INDEX($BE$4:$BJ$99,MATCH(BV350,$BE$4:$BE$99,0),3))=10,2,IF(LEN(INDEX($BE$4:$BJ$99,MATCH(BV350,$BE$4:$BE$99,0),3))&gt;10,LEN(INDEX($BE$4:$BJ$99,MATCH(BV350,$BE$4:$BE$99,0),3))-8,1)),IF(INDEX(Calculation_Tab,MATCH(BV350,Identifier,0),10)&gt;1,INDEX(Calculation_Tab,MATCH(BV350,Identifier,0),10),1)))*(1+Calculation!$Q$6),"-")</f>
        <v>-</v>
      </c>
      <c r="CC350" s="508" t="str">
        <f ca="1">IFERROR(ROUND(INDEX(Cluster,MATCH(IF(LEFT(BV350,4)="Pool",INDEX(Cluster,MATCH(INDEX(Calculation_Tab,MATCH(INDEX($BE$4:$BJ$99,MATCH(BV350,$BE$4:$BE$99,0),3),Flow_Cell_Lane,0),3),Cluster!$F$29:$F$412,0),6),BV350),Identifier_Cluster,0),20)*IF(LEFT(BV350,4)="pool",IF(LEN(INDEX($BE$4:$BJ$99,MATCH(BV350,$BE$4:$BE$99,0),3))=10,2,IF(LEN(INDEX($BE$4:$BJ$99,MATCH(BV350,$BE$4:$BE$99,0),3))&gt;10,LEN(INDEX($BE$4:$BJ$99,MATCH(BV350,$BE$4:$BE$99,0),3))-8,1)),1)*IF(LEFT(BV350,4)="pool",IF(INDEX($BE$4:$BJ$99,MATCH(BV350,$BE$4:$BE$99,0),6)&lt;1,1,INDEX($BE$4:$BJ$99,MATCH(BV350,$BE$4:$BE$99,0),6)),INDEX(Calculation_Tab,MATCH(BV350,Identifier,0),10)),1)*(1+Calculation!$Q$6),"-")</f>
        <v>-</v>
      </c>
      <c r="CD350" s="509" t="str">
        <f ca="1">IFERROR(INDEX(Cluster!AC:AD,MATCH(IF(LEFT(BV350,4)="Pool",INDEX(Cluster!$D$29:$AA$412,MATCH(INDEX(Calculation_Tab,MATCH(INDEX($BE$4:$BJ$99,MATCH(BV350,$BE$4:$BE$99,0),3),Flow_Cell_Lane,0),3),Cluster!$F$29:$F$412,0),24),INDEX(Cluster!$D$29:$AA$412,MATCH(BV350,Cluster!$F$29:$F$412,0),24)),Cluster!AC:AC,0),2),"-")</f>
        <v>-</v>
      </c>
      <c r="CE350" s="378" t="str">
        <f ca="1">IFERROR(IF(BV350&lt;&gt;"-",Calculation!$AK$6,"-"),"-")</f>
        <v>-</v>
      </c>
      <c r="CF350" s="378" t="str">
        <f ca="1">IF(OR(LEFT(ListAndConversion!BW350,3)="Dil",LEFT(ListAndConversion!BW350,3)="Poo"),ListAndConversion!$BT$4,IF(LEFT(ListAndConversion!BW350,3)="Sou",INDEX(ListAndConversion!$AT$3:$AV$387,MATCH(ListAndConversion!BV350,ListAndConversion!$AV$3:$AV$387,0),1),"-"))</f>
        <v>-</v>
      </c>
      <c r="CG350" s="498" t="str">
        <f ca="1">IF(OR(LEFT(ListAndConversion!BW350,3)="Dil",LEFT(ListAndConversion!BW350,3)="Poo"),ListAndConversion!BU350,IF(LEFT(ListAndConversion!BW350,3)="Sou",INDEX(ListAndConversion!$AT$4:$AV$387,MATCH(ListAndConversion!BV350,ListAndConversion!$AV$4:$AV$387,0),2),"-"))</f>
        <v>-</v>
      </c>
      <c r="CH350" s="378"/>
      <c r="CI350" s="487" t="str">
        <f t="shared" ca="1" si="180"/>
        <v>-</v>
      </c>
      <c r="CJ350" s="378" t="str">
        <f t="shared" ca="1" si="186"/>
        <v>-</v>
      </c>
      <c r="CK350" s="378" t="str">
        <f t="shared" ca="1" si="186"/>
        <v>-</v>
      </c>
      <c r="CL350" s="378" t="str">
        <f t="shared" ca="1" si="186"/>
        <v>-</v>
      </c>
      <c r="CM350" s="378" t="str">
        <f t="shared" ca="1" si="186"/>
        <v>-</v>
      </c>
      <c r="CN350" s="378" t="str">
        <f t="shared" ca="1" si="186"/>
        <v>-</v>
      </c>
      <c r="CO350" s="378" t="str">
        <f t="shared" ca="1" si="186"/>
        <v>-</v>
      </c>
      <c r="CP350" s="378" t="str">
        <f t="shared" ca="1" si="186"/>
        <v>-</v>
      </c>
      <c r="CQ350" s="378" t="str">
        <f t="shared" ca="1" si="186"/>
        <v>-</v>
      </c>
      <c r="CR350" s="510" t="str">
        <f ca="1">IFERROR(IF(LEFT(BW350,3)="Poo",INDEX($BE$4:$BJ$99,MATCH(CI350,$BG$4:$BG$99,0),6)*((15/50))*Calculation!$AK$6,INDEX(Calculation_Tab,MATCH(BV350,Identifier,0),10)/(IF(LEN(INDEX(Calculation_Tab,MATCH(BV350,Identifier,0),9))&gt;8,LEN(INDEX(Calculation_Tab,MATCH(BV350,Identifier,0),9))-8,1))*((15/50)*Calculation!$AK$6)),"-")</f>
        <v>-</v>
      </c>
      <c r="CS350" s="498" t="str">
        <f ca="1">IF(CI350="-","-",IF(COUNTIF($CI$3:CI350,CI350)&gt;1,0,IFERROR((35/50)*Calculation!$AK$6,"-")))</f>
        <v>-</v>
      </c>
    </row>
    <row r="351" spans="4:97" x14ac:dyDescent="0.5">
      <c r="D351" s="487" t="e">
        <f t="shared" si="165"/>
        <v>#DIV/0!</v>
      </c>
      <c r="E351" s="496" t="e">
        <f t="array" ref="E351">IF(IF((ROW(E351)-3)&lt;(ListAndConversion!$A$15),INDEX(Flow_Cell_Lane,MIN(IF(COUNTIF($E$2:E350,Flow_Cell_Lane)=0,ROW(Flow_Cell_Lane)-9))),"-")="","-",IF((ROW(E351)-3)&lt;(ListAndConversion!$A$15),INDEX(Flow_Cell_Lane,MIN(IF(COUNTIF($E$2:E350,Flow_Cell_Lane)=0,ROW(Flow_Cell_Lane)-9))),"-"))</f>
        <v>#DIV/0!</v>
      </c>
      <c r="F351" s="378" t="e">
        <f t="shared" si="166"/>
        <v>#DIV/0!</v>
      </c>
      <c r="G351" s="378" t="e">
        <f t="shared" si="185"/>
        <v>#DIV/0!</v>
      </c>
      <c r="H351" s="378" t="e">
        <f t="shared" si="185"/>
        <v>#DIV/0!</v>
      </c>
      <c r="I351" s="378" t="e">
        <f t="shared" si="185"/>
        <v>#DIV/0!</v>
      </c>
      <c r="J351" s="378" t="e">
        <f t="shared" si="185"/>
        <v>#DIV/0!</v>
      </c>
      <c r="K351" s="378" t="e">
        <f t="shared" si="185"/>
        <v>#DIV/0!</v>
      </c>
      <c r="L351" s="378" t="e">
        <f t="shared" si="185"/>
        <v>#DIV/0!</v>
      </c>
      <c r="M351" s="378" t="e">
        <f t="shared" si="185"/>
        <v>#DIV/0!</v>
      </c>
      <c r="N351" s="497" t="e">
        <f t="shared" si="168"/>
        <v>#DIV/0!</v>
      </c>
      <c r="O351" s="497" t="str">
        <f t="array" ref="O351">IFERROR(INDEX(Calculation!I:AN,MATCH(ListAndConversion!E351,Calculation!I:I,0),31),"-")</f>
        <v>-</v>
      </c>
      <c r="P351" s="498">
        <f>IF(COUNTIFS(Calculation!$I$10:$I$393,E351,Direct_Denaturation,"-")&lt;&gt;1,COUNTIFS(Calculation!$I$10:$I$393,E351,Direct_Denaturation,"-"),0)</f>
        <v>0</v>
      </c>
      <c r="V351" s="542" t="s">
        <v>82</v>
      </c>
      <c r="W351" s="542" t="s">
        <v>82</v>
      </c>
      <c r="X351" s="542" t="s">
        <v>82</v>
      </c>
      <c r="Y351" s="542" t="s">
        <v>82</v>
      </c>
      <c r="Z351" s="542" t="s">
        <v>82</v>
      </c>
      <c r="AA351" s="542" t="s">
        <v>82</v>
      </c>
      <c r="AB351" s="542" t="s">
        <v>82</v>
      </c>
      <c r="AC351" s="542" t="s">
        <v>82</v>
      </c>
      <c r="AD351" s="542" t="s">
        <v>82</v>
      </c>
      <c r="AE351" s="542" t="s">
        <v>82</v>
      </c>
      <c r="AF351" s="542" t="s">
        <v>82</v>
      </c>
      <c r="AG351" s="542" t="s">
        <v>82</v>
      </c>
      <c r="AH351" s="9"/>
      <c r="AI351" s="487">
        <v>348</v>
      </c>
      <c r="AJ351" s="497" t="s">
        <v>479</v>
      </c>
      <c r="AK351" s="378">
        <v>60</v>
      </c>
      <c r="AL351" s="378" t="str">
        <f t="shared" ca="1" si="169"/>
        <v>-</v>
      </c>
      <c r="AM351" s="378" t="str">
        <f t="array" aca="1" ref="AM351" ca="1">IFERROR(IF(AI351&lt;=$AB$2,"-",INDEX(Calculation_Tab,SMALL(ROW(Main_Dil)*(Main_Dil&lt;&gt;"-"),COUNTIF(Main_Dil,"-")+ROW()-3-$AB$2)-9,5)),"-")</f>
        <v>-</v>
      </c>
      <c r="AN351" s="378" t="str">
        <f t="array" aca="1" ref="AN351" ca="1">IFERROR(IF(AI351&lt;=$AB$2,"-",INDEX($A$3:$B$12,MATCH(INDEX(Calculation_Tab,SMALL(ROW(Main_Dil)*(Main_Dil&lt;&gt;"-"),COUNTIF(Main_Dil,"-")+ROW()-3-$AB$2)-9,5),$A$3:$A$12,0),2)),"-")</f>
        <v>-</v>
      </c>
      <c r="AO351" s="378" t="str">
        <f t="array" aca="1" ref="AO351" ca="1">IFERROR(IF(AI351&lt;=$AB$2,"-",INDEX(Coordinate,MATCH(INDEX(Calculation_Tab,SMALL(ROW(Main_Dil)*(Main_Dil&lt;&gt;"-"),COUNTIF(Main_Dil,"-")+ROW()-3-$AB$2)-9,6),$X$4:$X$99,0),2)),"-")</f>
        <v>-</v>
      </c>
      <c r="AP351" s="510" t="str">
        <f t="array" aca="1" ref="AP351" ca="1">IFERROR(IF(AI351&lt;=$AB$2,"-",INDEX(Calculation_Tab,SMALL(ROW(Main_Dil)*(Main_Dil&lt;&gt;"-"),COUNTIF(Main_Dil,"-")+ROW()-3-$AB$2)-9,21)),"-")</f>
        <v>-</v>
      </c>
      <c r="AQ351" s="511" t="str">
        <f t="array" aca="1" ref="AQ351" ca="1">IFERROR(IF(AI351&lt;=$AB$2,"-",INDEX(Calculation_Tab,SMALL(ROW(Main_Dil)*(Main_Dil&lt;&gt;"-"),COUNTIF(Main_Dil,"-")+ROW()-3-$AB$2)-9,22)),"-")</f>
        <v>-</v>
      </c>
      <c r="AR351" s="487" t="str">
        <f t="shared" ca="1" si="170"/>
        <v>-</v>
      </c>
      <c r="AS351" s="378">
        <v>348</v>
      </c>
      <c r="AT351" s="497" t="s">
        <v>479</v>
      </c>
      <c r="AU351" s="498">
        <v>60</v>
      </c>
      <c r="AV351" s="378" t="str">
        <f t="shared" ca="1" si="171"/>
        <v>-</v>
      </c>
      <c r="AW351" s="378" t="str">
        <f t="array" aca="1" ref="AW351" ca="1">IFERROR(IF(AS351&lt;=$AB$2+$AN$2,"-",INDEX(Calculation_Tab,SMALL(ROW(Direct_Denaturation)*(Direct_Denaturation&lt;&gt;"-"),COUNTIF(Direct_Denaturation,"-")+ROW()-3-$AB$2-$AN$2)-9,5)),"-")</f>
        <v>-</v>
      </c>
      <c r="AX351" s="378" t="str">
        <f t="array" aca="1" ref="AX351" ca="1">IFERROR(IF(AS351&lt;=$AB$2+$AN$2,"-",INDEX($A$3:$B$12,MATCH(INDEX(Calculation_Tab,SMALL(ROW(Direct_Denaturation)*(Direct_Denaturation&lt;&gt;"-"),COUNTIF(Direct_Denaturation,"-")+ROW()-3-$AB$2-$AN$2)-9,5),$A$3:$A$12,0),2)),"-")</f>
        <v>-</v>
      </c>
      <c r="AY351" s="378" t="str">
        <f t="array" aca="1" ref="AY351" ca="1">IFERROR(IF(AS351&lt;=$AB$2+$AN$2,"-",INDEX(Coordinate,MATCH(INDEX(Calculation_Tab,SMALL(ROW(Direct_Denaturation)*(Direct_Denaturation&lt;&gt;"-"),COUNTIF(Direct_Denaturation,"-")+ROW()-3-$AB$2-$AN$2)-9,6),$X$4:$X$99,0),2)),"-")</f>
        <v>-</v>
      </c>
      <c r="AZ351" s="510" t="str">
        <f t="array" aca="1" ref="AZ351" ca="1">IFERROR(IF(AS351&lt;=$AB$2+$AN$2,"-",INDEX(Calculation_Tab,SMALL(ROW(Direct_Denaturation)*(Direct_Denaturation&lt;&gt;"-"),COUNTIF(Direct_Denaturation,"-")+ROW()-3-$AB$2-$AN$2)-9,32)),"-")</f>
        <v>-</v>
      </c>
      <c r="BA351" s="510" t="str">
        <f t="array" aca="1" ref="BA351" ca="1">IFERROR(IF(AS351&lt;=$AB$2+$AN$2,"-",INDEX(Calculation_Tab,SMALL(ROW(Direct_Denaturation)*(Direct_Denaturation&lt;&gt;"-"),COUNTIF(Direct_Denaturation,"-")+ROW()-3-$AB$2-$AN$2)-9,34)),"-")</f>
        <v>-</v>
      </c>
      <c r="BB351" s="510" t="str">
        <f t="array" aca="1" ref="BB351" ca="1">IFERROR(IF(AS351&lt;=$AB$2+$AN$2,"-",INDEX(Calculation_Tab,SMALL(ROW(Direct_Denaturation)*(Direct_Denaturation&lt;&gt;"-"),COUNTIF(Direct_Denaturation,"-")+ROW()-3-$AB$2-$AN$2)-9,33)),"-")</f>
        <v>-</v>
      </c>
      <c r="BC351" s="510" t="str">
        <f t="array" aca="1" ref="BC351" ca="1">IFERROR(IF(AS351&lt;=$AB$2+$AN$2,"-",INDEX(Calculation_Tab,SMALL(ROW(Direct_Denaturation)*(Direct_Denaturation&lt;&gt;"-"),COUNTIF(Direct_Denaturation,"-")+ROW()-3-$AB$2-$AN$2)-9,35)),"-")</f>
        <v>-</v>
      </c>
      <c r="BD351" s="511" t="str">
        <f t="shared" ca="1" si="172"/>
        <v>-</v>
      </c>
      <c r="BK351" s="542" t="s">
        <v>82</v>
      </c>
      <c r="BL351" s="542" t="s">
        <v>82</v>
      </c>
      <c r="BM351" s="487" t="str">
        <f t="array" aca="1" ref="BM351" ca="1">IFERROR(INDEX(Calculation_Tab,SMALL(ROW(ToPool)*(ToPool&lt;&gt;"-"),COUNTIF(ToPool,"-")+ROW()-3)-9,3),"-")</f>
        <v>-</v>
      </c>
      <c r="BN351" s="378" t="str">
        <f t="shared" ca="1" si="173"/>
        <v>-</v>
      </c>
      <c r="BO351" s="378" t="str">
        <f t="shared" ca="1" si="174"/>
        <v>-</v>
      </c>
      <c r="BP351" s="523" t="str">
        <f t="shared" ca="1" si="175"/>
        <v>-</v>
      </c>
      <c r="BQ351" s="378" t="str">
        <f t="array" aca="1" ref="BQ351" ca="1">IFERROR(INDEX(BE:BG,MATCH(INDEX(Calculation_Tab,SMALL(ROW(ToPool)*(ToPool&lt;&gt;"-"),COUNTIF(ToPool,"-")+ROW()-3)-9,9),BG:BG,0),2),"-")</f>
        <v>-</v>
      </c>
      <c r="BR351" s="510" t="str">
        <f t="shared" ca="1" si="176"/>
        <v>-</v>
      </c>
      <c r="BS351" s="511" t="str">
        <f t="shared" ca="1" si="177"/>
        <v>-</v>
      </c>
      <c r="BT351" s="543" t="s">
        <v>82</v>
      </c>
      <c r="BU351" s="487" t="str">
        <f t="shared" ca="1" si="182"/>
        <v>-</v>
      </c>
      <c r="BV351" s="487" t="str">
        <f t="array" aca="1" ref="BV35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51" s="378" t="str">
        <f t="shared" ca="1" si="178"/>
        <v>-</v>
      </c>
      <c r="BX351" s="378" t="str">
        <f t="shared" ca="1" si="179"/>
        <v>-</v>
      </c>
      <c r="BY351" s="510" t="str">
        <f ca="1">IFERROR(ROUND(INDEX(Cluster,MATCH(IF(LEFT(BV351,4)="Pool",INDEX(Cluster,MATCH(INDEX(Calculation_Tab,MATCH(INDEX($BE$4:$BJ$99,MATCH(BV351,$BE$4:$BE$99,0),3),Flow_Cell_Lane,0),3),Cluster!$F$29:$F$412,0),6),BV351),Identifier_Cluster,0),19)*IF(LEFT(BV351,4)="pool",IF(LEN(INDEX($BE$4:$BJ$99,MATCH(BV351,$BE$4:$BE$99,0),3))=10,2,IF(LEN(INDEX($BE$4:$BJ$99,MATCH(BV351,$BE$4:$BE$99,0),3))&gt;10,LEN(INDEX($BE$4:$BJ$99,MATCH(BV351,$BE$4:$BE$99,0),3))-8,1)),1)*IF(LEFT(BV351,4)="pool",IF(INDEX($BE$4:$BJ$99,MATCH(BV351,$BE$4:$BE$99,0),6)&lt;1,1,INDEX($BE$4:$BJ$99,MATCH(BV351,$BE$4:$BE$99,0),6)),INDEX(Calculation_Tab,MATCH(BV351,Identifier,0),10)),1)*(1+Calculation!$Q$6),"-")</f>
        <v>-</v>
      </c>
      <c r="BZ351" s="378" t="str">
        <f ca="1">IFERROR((0.5/50)*CE351/Calculation!$AG$6*(IF(LEFT(BV351,4)="Pool",IF(LEN(INDEX($BE$4:$BJ$99,MATCH(BV351,$BE$4:$BE$99,0),3))=10,2,IF(LEN(INDEX($BE$4:$BJ$99,MATCH(BV351,$BE$4:$BE$99,0),3))&gt;10,LEN(INDEX($BE$4:$BJ$99,MATCH(BV351,$BE$4:$BE$99,0),3))-8,1)),IF(INDEX(Calculation_Tab,MATCH(BV351,Identifier,0),10)&gt;1,INDEX(Calculation_Tab,MATCH(BV351,Identifier,0),10),1)))*(1+Calculation!$Q$6),"-")</f>
        <v>-</v>
      </c>
      <c r="CA351" s="510" t="str">
        <f ca="1">IFERROR(IF((BZ351*Calculation!$AG$6/0.05)-SUM(BY351:BZ351,CC351)&gt;0,(BZ351*Calculation!$AG$6/0.05)-SUM(BY351:BZ351,CC351),0),"-")</f>
        <v>-</v>
      </c>
      <c r="CB351" s="510" t="str">
        <f ca="1">IFERROR(5/50*CE351*(IF(LEFT(BV351,4)="Pool",IF(LEN(INDEX($BE$4:$BJ$99,MATCH(BV351,$BE$4:$BE$99,0),3))=10,2,IF(LEN(INDEX($BE$4:$BJ$99,MATCH(BV351,$BE$4:$BE$99,0),3))&gt;10,LEN(INDEX($BE$4:$BJ$99,MATCH(BV351,$BE$4:$BE$99,0),3))-8,1)),IF(INDEX(Calculation_Tab,MATCH(BV351,Identifier,0),10)&gt;1,INDEX(Calculation_Tab,MATCH(BV351,Identifier,0),10),1)))*(1+Calculation!$Q$6),"-")</f>
        <v>-</v>
      </c>
      <c r="CC351" s="508" t="str">
        <f ca="1">IFERROR(ROUND(INDEX(Cluster,MATCH(IF(LEFT(BV351,4)="Pool",INDEX(Cluster,MATCH(INDEX(Calculation_Tab,MATCH(INDEX($BE$4:$BJ$99,MATCH(BV351,$BE$4:$BE$99,0),3),Flow_Cell_Lane,0),3),Cluster!$F$29:$F$412,0),6),BV351),Identifier_Cluster,0),20)*IF(LEFT(BV351,4)="pool",IF(LEN(INDEX($BE$4:$BJ$99,MATCH(BV351,$BE$4:$BE$99,0),3))=10,2,IF(LEN(INDEX($BE$4:$BJ$99,MATCH(BV351,$BE$4:$BE$99,0),3))&gt;10,LEN(INDEX($BE$4:$BJ$99,MATCH(BV351,$BE$4:$BE$99,0),3))-8,1)),1)*IF(LEFT(BV351,4)="pool",IF(INDEX($BE$4:$BJ$99,MATCH(BV351,$BE$4:$BE$99,0),6)&lt;1,1,INDEX($BE$4:$BJ$99,MATCH(BV351,$BE$4:$BE$99,0),6)),INDEX(Calculation_Tab,MATCH(BV351,Identifier,0),10)),1)*(1+Calculation!$Q$6),"-")</f>
        <v>-</v>
      </c>
      <c r="CD351" s="509" t="str">
        <f ca="1">IFERROR(INDEX(Cluster!AC:AD,MATCH(IF(LEFT(BV351,4)="Pool",INDEX(Cluster!$D$29:$AA$412,MATCH(INDEX(Calculation_Tab,MATCH(INDEX($BE$4:$BJ$99,MATCH(BV351,$BE$4:$BE$99,0),3),Flow_Cell_Lane,0),3),Cluster!$F$29:$F$412,0),24),INDEX(Cluster!$D$29:$AA$412,MATCH(BV351,Cluster!$F$29:$F$412,0),24)),Cluster!AC:AC,0),2),"-")</f>
        <v>-</v>
      </c>
      <c r="CE351" s="378" t="str">
        <f ca="1">IFERROR(IF(BV351&lt;&gt;"-",Calculation!$AK$6,"-"),"-")</f>
        <v>-</v>
      </c>
      <c r="CF351" s="378" t="str">
        <f ca="1">IF(OR(LEFT(ListAndConversion!BW351,3)="Dil",LEFT(ListAndConversion!BW351,3)="Poo"),ListAndConversion!$BT$4,IF(LEFT(ListAndConversion!BW351,3)="Sou",INDEX(ListAndConversion!$AT$3:$AV$387,MATCH(ListAndConversion!BV351,ListAndConversion!$AV$3:$AV$387,0),1),"-"))</f>
        <v>-</v>
      </c>
      <c r="CG351" s="498" t="str">
        <f ca="1">IF(OR(LEFT(ListAndConversion!BW351,3)="Dil",LEFT(ListAndConversion!BW351,3)="Poo"),ListAndConversion!BU351,IF(LEFT(ListAndConversion!BW351,3)="Sou",INDEX(ListAndConversion!$AT$4:$AV$387,MATCH(ListAndConversion!BV351,ListAndConversion!$AV$4:$AV$387,0),2),"-"))</f>
        <v>-</v>
      </c>
      <c r="CH351" s="378"/>
      <c r="CI351" s="487" t="str">
        <f t="shared" ca="1" si="180"/>
        <v>-</v>
      </c>
      <c r="CJ351" s="378" t="str">
        <f t="shared" ca="1" si="186"/>
        <v>-</v>
      </c>
      <c r="CK351" s="378" t="str">
        <f t="shared" ca="1" si="186"/>
        <v>-</v>
      </c>
      <c r="CL351" s="378" t="str">
        <f t="shared" ca="1" si="186"/>
        <v>-</v>
      </c>
      <c r="CM351" s="378" t="str">
        <f t="shared" ca="1" si="186"/>
        <v>-</v>
      </c>
      <c r="CN351" s="378" t="str">
        <f t="shared" ca="1" si="186"/>
        <v>-</v>
      </c>
      <c r="CO351" s="378" t="str">
        <f t="shared" ca="1" si="186"/>
        <v>-</v>
      </c>
      <c r="CP351" s="378" t="str">
        <f t="shared" ca="1" si="186"/>
        <v>-</v>
      </c>
      <c r="CQ351" s="378" t="str">
        <f t="shared" ca="1" si="186"/>
        <v>-</v>
      </c>
      <c r="CR351" s="510" t="str">
        <f ca="1">IFERROR(IF(LEFT(BW351,3)="Poo",INDEX($BE$4:$BJ$99,MATCH(CI351,$BG$4:$BG$99,0),6)*((15/50))*Calculation!$AK$6,INDEX(Calculation_Tab,MATCH(BV351,Identifier,0),10)/(IF(LEN(INDEX(Calculation_Tab,MATCH(BV351,Identifier,0),9))&gt;8,LEN(INDEX(Calculation_Tab,MATCH(BV351,Identifier,0),9))-8,1))*((15/50)*Calculation!$AK$6)),"-")</f>
        <v>-</v>
      </c>
      <c r="CS351" s="498" t="str">
        <f ca="1">IF(CI351="-","-",IF(COUNTIF($CI$3:CI351,CI351)&gt;1,0,IFERROR((35/50)*Calculation!$AK$6,"-")))</f>
        <v>-</v>
      </c>
    </row>
    <row r="352" spans="4:97" x14ac:dyDescent="0.5">
      <c r="D352" s="487" t="e">
        <f t="shared" si="165"/>
        <v>#DIV/0!</v>
      </c>
      <c r="E352" s="496" t="e">
        <f t="array" ref="E352">IF(IF((ROW(E352)-3)&lt;(ListAndConversion!$A$15),INDEX(Flow_Cell_Lane,MIN(IF(COUNTIF($E$2:E351,Flow_Cell_Lane)=0,ROW(Flow_Cell_Lane)-9))),"-")="","-",IF((ROW(E352)-3)&lt;(ListAndConversion!$A$15),INDEX(Flow_Cell_Lane,MIN(IF(COUNTIF($E$2:E351,Flow_Cell_Lane)=0,ROW(Flow_Cell_Lane)-9))),"-"))</f>
        <v>#DIV/0!</v>
      </c>
      <c r="F352" s="378" t="e">
        <f t="shared" si="166"/>
        <v>#DIV/0!</v>
      </c>
      <c r="G352" s="378" t="e">
        <f t="shared" si="185"/>
        <v>#DIV/0!</v>
      </c>
      <c r="H352" s="378" t="e">
        <f t="shared" si="185"/>
        <v>#DIV/0!</v>
      </c>
      <c r="I352" s="378" t="e">
        <f t="shared" si="185"/>
        <v>#DIV/0!</v>
      </c>
      <c r="J352" s="378" t="e">
        <f t="shared" si="185"/>
        <v>#DIV/0!</v>
      </c>
      <c r="K352" s="378" t="e">
        <f t="shared" si="185"/>
        <v>#DIV/0!</v>
      </c>
      <c r="L352" s="378" t="e">
        <f t="shared" si="185"/>
        <v>#DIV/0!</v>
      </c>
      <c r="M352" s="378" t="e">
        <f t="shared" si="185"/>
        <v>#DIV/0!</v>
      </c>
      <c r="N352" s="497" t="e">
        <f t="shared" si="168"/>
        <v>#DIV/0!</v>
      </c>
      <c r="O352" s="497" t="str">
        <f t="array" ref="O352">IFERROR(INDEX(Calculation!I:AN,MATCH(ListAndConversion!E352,Calculation!I:I,0),31),"-")</f>
        <v>-</v>
      </c>
      <c r="P352" s="498">
        <f>IF(COUNTIFS(Calculation!$I$10:$I$393,E352,Direct_Denaturation,"-")&lt;&gt;1,COUNTIFS(Calculation!$I$10:$I$393,E352,Direct_Denaturation,"-"),0)</f>
        <v>0</v>
      </c>
      <c r="V352" s="542" t="s">
        <v>82</v>
      </c>
      <c r="W352" s="542" t="s">
        <v>82</v>
      </c>
      <c r="X352" s="542" t="s">
        <v>82</v>
      </c>
      <c r="Y352" s="542" t="s">
        <v>82</v>
      </c>
      <c r="Z352" s="542" t="s">
        <v>82</v>
      </c>
      <c r="AA352" s="542" t="s">
        <v>82</v>
      </c>
      <c r="AB352" s="542" t="s">
        <v>82</v>
      </c>
      <c r="AC352" s="542" t="s">
        <v>82</v>
      </c>
      <c r="AD352" s="542" t="s">
        <v>82</v>
      </c>
      <c r="AE352" s="542" t="s">
        <v>82</v>
      </c>
      <c r="AF352" s="542" t="s">
        <v>82</v>
      </c>
      <c r="AG352" s="542" t="s">
        <v>82</v>
      </c>
      <c r="AH352" s="9"/>
      <c r="AI352" s="487">
        <v>349</v>
      </c>
      <c r="AJ352" s="497" t="s">
        <v>479</v>
      </c>
      <c r="AK352" s="378">
        <v>61</v>
      </c>
      <c r="AL352" s="378" t="str">
        <f t="shared" ca="1" si="169"/>
        <v>-</v>
      </c>
      <c r="AM352" s="378" t="str">
        <f t="array" aca="1" ref="AM352" ca="1">IFERROR(IF(AI352&lt;=$AB$2,"-",INDEX(Calculation_Tab,SMALL(ROW(Main_Dil)*(Main_Dil&lt;&gt;"-"),COUNTIF(Main_Dil,"-")+ROW()-3-$AB$2)-9,5)),"-")</f>
        <v>-</v>
      </c>
      <c r="AN352" s="378" t="str">
        <f t="array" aca="1" ref="AN352" ca="1">IFERROR(IF(AI352&lt;=$AB$2,"-",INDEX($A$3:$B$12,MATCH(INDEX(Calculation_Tab,SMALL(ROW(Main_Dil)*(Main_Dil&lt;&gt;"-"),COUNTIF(Main_Dil,"-")+ROW()-3-$AB$2)-9,5),$A$3:$A$12,0),2)),"-")</f>
        <v>-</v>
      </c>
      <c r="AO352" s="378" t="str">
        <f t="array" aca="1" ref="AO352" ca="1">IFERROR(IF(AI352&lt;=$AB$2,"-",INDEX(Coordinate,MATCH(INDEX(Calculation_Tab,SMALL(ROW(Main_Dil)*(Main_Dil&lt;&gt;"-"),COUNTIF(Main_Dil,"-")+ROW()-3-$AB$2)-9,6),$X$4:$X$99,0),2)),"-")</f>
        <v>-</v>
      </c>
      <c r="AP352" s="510" t="str">
        <f t="array" aca="1" ref="AP352" ca="1">IFERROR(IF(AI352&lt;=$AB$2,"-",INDEX(Calculation_Tab,SMALL(ROW(Main_Dil)*(Main_Dil&lt;&gt;"-"),COUNTIF(Main_Dil,"-")+ROW()-3-$AB$2)-9,21)),"-")</f>
        <v>-</v>
      </c>
      <c r="AQ352" s="511" t="str">
        <f t="array" aca="1" ref="AQ352" ca="1">IFERROR(IF(AI352&lt;=$AB$2,"-",INDEX(Calculation_Tab,SMALL(ROW(Main_Dil)*(Main_Dil&lt;&gt;"-"),COUNTIF(Main_Dil,"-")+ROW()-3-$AB$2)-9,22)),"-")</f>
        <v>-</v>
      </c>
      <c r="AR352" s="487" t="str">
        <f t="shared" ca="1" si="170"/>
        <v>-</v>
      </c>
      <c r="AS352" s="378">
        <v>349</v>
      </c>
      <c r="AT352" s="497" t="s">
        <v>479</v>
      </c>
      <c r="AU352" s="498">
        <v>61</v>
      </c>
      <c r="AV352" s="378" t="str">
        <f t="shared" ca="1" si="171"/>
        <v>-</v>
      </c>
      <c r="AW352" s="378" t="str">
        <f t="array" aca="1" ref="AW352" ca="1">IFERROR(IF(AS352&lt;=$AB$2+$AN$2,"-",INDEX(Calculation_Tab,SMALL(ROW(Direct_Denaturation)*(Direct_Denaturation&lt;&gt;"-"),COUNTIF(Direct_Denaturation,"-")+ROW()-3-$AB$2-$AN$2)-9,5)),"-")</f>
        <v>-</v>
      </c>
      <c r="AX352" s="378" t="str">
        <f t="array" aca="1" ref="AX352" ca="1">IFERROR(IF(AS352&lt;=$AB$2+$AN$2,"-",INDEX($A$3:$B$12,MATCH(INDEX(Calculation_Tab,SMALL(ROW(Direct_Denaturation)*(Direct_Denaturation&lt;&gt;"-"),COUNTIF(Direct_Denaturation,"-")+ROW()-3-$AB$2-$AN$2)-9,5),$A$3:$A$12,0),2)),"-")</f>
        <v>-</v>
      </c>
      <c r="AY352" s="378" t="str">
        <f t="array" aca="1" ref="AY352" ca="1">IFERROR(IF(AS352&lt;=$AB$2+$AN$2,"-",INDEX(Coordinate,MATCH(INDEX(Calculation_Tab,SMALL(ROW(Direct_Denaturation)*(Direct_Denaturation&lt;&gt;"-"),COUNTIF(Direct_Denaturation,"-")+ROW()-3-$AB$2-$AN$2)-9,6),$X$4:$X$99,0),2)),"-")</f>
        <v>-</v>
      </c>
      <c r="AZ352" s="510" t="str">
        <f t="array" aca="1" ref="AZ352" ca="1">IFERROR(IF(AS352&lt;=$AB$2+$AN$2,"-",INDEX(Calculation_Tab,SMALL(ROW(Direct_Denaturation)*(Direct_Denaturation&lt;&gt;"-"),COUNTIF(Direct_Denaturation,"-")+ROW()-3-$AB$2-$AN$2)-9,32)),"-")</f>
        <v>-</v>
      </c>
      <c r="BA352" s="510" t="str">
        <f t="array" aca="1" ref="BA352" ca="1">IFERROR(IF(AS352&lt;=$AB$2+$AN$2,"-",INDEX(Calculation_Tab,SMALL(ROW(Direct_Denaturation)*(Direct_Denaturation&lt;&gt;"-"),COUNTIF(Direct_Denaturation,"-")+ROW()-3-$AB$2-$AN$2)-9,34)),"-")</f>
        <v>-</v>
      </c>
      <c r="BB352" s="510" t="str">
        <f t="array" aca="1" ref="BB352" ca="1">IFERROR(IF(AS352&lt;=$AB$2+$AN$2,"-",INDEX(Calculation_Tab,SMALL(ROW(Direct_Denaturation)*(Direct_Denaturation&lt;&gt;"-"),COUNTIF(Direct_Denaturation,"-")+ROW()-3-$AB$2-$AN$2)-9,33)),"-")</f>
        <v>-</v>
      </c>
      <c r="BC352" s="510" t="str">
        <f t="array" aca="1" ref="BC352" ca="1">IFERROR(IF(AS352&lt;=$AB$2+$AN$2,"-",INDEX(Calculation_Tab,SMALL(ROW(Direct_Denaturation)*(Direct_Denaturation&lt;&gt;"-"),COUNTIF(Direct_Denaturation,"-")+ROW()-3-$AB$2-$AN$2)-9,35)),"-")</f>
        <v>-</v>
      </c>
      <c r="BD352" s="511" t="str">
        <f t="shared" ca="1" si="172"/>
        <v>-</v>
      </c>
      <c r="BK352" s="542" t="s">
        <v>82</v>
      </c>
      <c r="BL352" s="542" t="s">
        <v>82</v>
      </c>
      <c r="BM352" s="487" t="str">
        <f t="array" aca="1" ref="BM352" ca="1">IFERROR(INDEX(Calculation_Tab,SMALL(ROW(ToPool)*(ToPool&lt;&gt;"-"),COUNTIF(ToPool,"-")+ROW()-3)-9,3),"-")</f>
        <v>-</v>
      </c>
      <c r="BN352" s="378" t="str">
        <f t="shared" ca="1" si="173"/>
        <v>-</v>
      </c>
      <c r="BO352" s="378" t="str">
        <f t="shared" ca="1" si="174"/>
        <v>-</v>
      </c>
      <c r="BP352" s="523" t="str">
        <f t="shared" ca="1" si="175"/>
        <v>-</v>
      </c>
      <c r="BQ352" s="378" t="str">
        <f t="array" aca="1" ref="BQ352" ca="1">IFERROR(INDEX(BE:BG,MATCH(INDEX(Calculation_Tab,SMALL(ROW(ToPool)*(ToPool&lt;&gt;"-"),COUNTIF(ToPool,"-")+ROW()-3)-9,9),BG:BG,0),2),"-")</f>
        <v>-</v>
      </c>
      <c r="BR352" s="510" t="str">
        <f t="shared" ca="1" si="176"/>
        <v>-</v>
      </c>
      <c r="BS352" s="511" t="str">
        <f t="shared" ca="1" si="177"/>
        <v>-</v>
      </c>
      <c r="BT352" s="543" t="s">
        <v>82</v>
      </c>
      <c r="BU352" s="487" t="str">
        <f t="shared" ca="1" si="182"/>
        <v>-</v>
      </c>
      <c r="BV352" s="487" t="str">
        <f t="array" aca="1" ref="BV35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52" s="378" t="str">
        <f t="shared" ca="1" si="178"/>
        <v>-</v>
      </c>
      <c r="BX352" s="378" t="str">
        <f t="shared" ca="1" si="179"/>
        <v>-</v>
      </c>
      <c r="BY352" s="510" t="str">
        <f ca="1">IFERROR(ROUND(INDEX(Cluster,MATCH(IF(LEFT(BV352,4)="Pool",INDEX(Cluster,MATCH(INDEX(Calculation_Tab,MATCH(INDEX($BE$4:$BJ$99,MATCH(BV352,$BE$4:$BE$99,0),3),Flow_Cell_Lane,0),3),Cluster!$F$29:$F$412,0),6),BV352),Identifier_Cluster,0),19)*IF(LEFT(BV352,4)="pool",IF(LEN(INDEX($BE$4:$BJ$99,MATCH(BV352,$BE$4:$BE$99,0),3))=10,2,IF(LEN(INDEX($BE$4:$BJ$99,MATCH(BV352,$BE$4:$BE$99,0),3))&gt;10,LEN(INDEX($BE$4:$BJ$99,MATCH(BV352,$BE$4:$BE$99,0),3))-8,1)),1)*IF(LEFT(BV352,4)="pool",IF(INDEX($BE$4:$BJ$99,MATCH(BV352,$BE$4:$BE$99,0),6)&lt;1,1,INDEX($BE$4:$BJ$99,MATCH(BV352,$BE$4:$BE$99,0),6)),INDEX(Calculation_Tab,MATCH(BV352,Identifier,0),10)),1)*(1+Calculation!$Q$6),"-")</f>
        <v>-</v>
      </c>
      <c r="BZ352" s="378" t="str">
        <f ca="1">IFERROR((0.5/50)*CE352/Calculation!$AG$6*(IF(LEFT(BV352,4)="Pool",IF(LEN(INDEX($BE$4:$BJ$99,MATCH(BV352,$BE$4:$BE$99,0),3))=10,2,IF(LEN(INDEX($BE$4:$BJ$99,MATCH(BV352,$BE$4:$BE$99,0),3))&gt;10,LEN(INDEX($BE$4:$BJ$99,MATCH(BV352,$BE$4:$BE$99,0),3))-8,1)),IF(INDEX(Calculation_Tab,MATCH(BV352,Identifier,0),10)&gt;1,INDEX(Calculation_Tab,MATCH(BV352,Identifier,0),10),1)))*(1+Calculation!$Q$6),"-")</f>
        <v>-</v>
      </c>
      <c r="CA352" s="510" t="str">
        <f ca="1">IFERROR(IF((BZ352*Calculation!$AG$6/0.05)-SUM(BY352:BZ352,CC352)&gt;0,(BZ352*Calculation!$AG$6/0.05)-SUM(BY352:BZ352,CC352),0),"-")</f>
        <v>-</v>
      </c>
      <c r="CB352" s="510" t="str">
        <f ca="1">IFERROR(5/50*CE352*(IF(LEFT(BV352,4)="Pool",IF(LEN(INDEX($BE$4:$BJ$99,MATCH(BV352,$BE$4:$BE$99,0),3))=10,2,IF(LEN(INDEX($BE$4:$BJ$99,MATCH(BV352,$BE$4:$BE$99,0),3))&gt;10,LEN(INDEX($BE$4:$BJ$99,MATCH(BV352,$BE$4:$BE$99,0),3))-8,1)),IF(INDEX(Calculation_Tab,MATCH(BV352,Identifier,0),10)&gt;1,INDEX(Calculation_Tab,MATCH(BV352,Identifier,0),10),1)))*(1+Calculation!$Q$6),"-")</f>
        <v>-</v>
      </c>
      <c r="CC352" s="508" t="str">
        <f ca="1">IFERROR(ROUND(INDEX(Cluster,MATCH(IF(LEFT(BV352,4)="Pool",INDEX(Cluster,MATCH(INDEX(Calculation_Tab,MATCH(INDEX($BE$4:$BJ$99,MATCH(BV352,$BE$4:$BE$99,0),3),Flow_Cell_Lane,0),3),Cluster!$F$29:$F$412,0),6),BV352),Identifier_Cluster,0),20)*IF(LEFT(BV352,4)="pool",IF(LEN(INDEX($BE$4:$BJ$99,MATCH(BV352,$BE$4:$BE$99,0),3))=10,2,IF(LEN(INDEX($BE$4:$BJ$99,MATCH(BV352,$BE$4:$BE$99,0),3))&gt;10,LEN(INDEX($BE$4:$BJ$99,MATCH(BV352,$BE$4:$BE$99,0),3))-8,1)),1)*IF(LEFT(BV352,4)="pool",IF(INDEX($BE$4:$BJ$99,MATCH(BV352,$BE$4:$BE$99,0),6)&lt;1,1,INDEX($BE$4:$BJ$99,MATCH(BV352,$BE$4:$BE$99,0),6)),INDEX(Calculation_Tab,MATCH(BV352,Identifier,0),10)),1)*(1+Calculation!$Q$6),"-")</f>
        <v>-</v>
      </c>
      <c r="CD352" s="509" t="str">
        <f ca="1">IFERROR(INDEX(Cluster!AC:AD,MATCH(IF(LEFT(BV352,4)="Pool",INDEX(Cluster!$D$29:$AA$412,MATCH(INDEX(Calculation_Tab,MATCH(INDEX($BE$4:$BJ$99,MATCH(BV352,$BE$4:$BE$99,0),3),Flow_Cell_Lane,0),3),Cluster!$F$29:$F$412,0),24),INDEX(Cluster!$D$29:$AA$412,MATCH(BV352,Cluster!$F$29:$F$412,0),24)),Cluster!AC:AC,0),2),"-")</f>
        <v>-</v>
      </c>
      <c r="CE352" s="378" t="str">
        <f ca="1">IFERROR(IF(BV352&lt;&gt;"-",Calculation!$AK$6,"-"),"-")</f>
        <v>-</v>
      </c>
      <c r="CF352" s="378" t="str">
        <f ca="1">IF(OR(LEFT(ListAndConversion!BW352,3)="Dil",LEFT(ListAndConversion!BW352,3)="Poo"),ListAndConversion!$BT$4,IF(LEFT(ListAndConversion!BW352,3)="Sou",INDEX(ListAndConversion!$AT$3:$AV$387,MATCH(ListAndConversion!BV352,ListAndConversion!$AV$3:$AV$387,0),1),"-"))</f>
        <v>-</v>
      </c>
      <c r="CG352" s="498" t="str">
        <f ca="1">IF(OR(LEFT(ListAndConversion!BW352,3)="Dil",LEFT(ListAndConversion!BW352,3)="Poo"),ListAndConversion!BU352,IF(LEFT(ListAndConversion!BW352,3)="Sou",INDEX(ListAndConversion!$AT$4:$AV$387,MATCH(ListAndConversion!BV352,ListAndConversion!$AV$4:$AV$387,0),2),"-"))</f>
        <v>-</v>
      </c>
      <c r="CH352" s="378"/>
      <c r="CI352" s="487" t="str">
        <f t="shared" ca="1" si="180"/>
        <v>-</v>
      </c>
      <c r="CJ352" s="378" t="str">
        <f t="shared" ca="1" si="186"/>
        <v>-</v>
      </c>
      <c r="CK352" s="378" t="str">
        <f t="shared" ca="1" si="186"/>
        <v>-</v>
      </c>
      <c r="CL352" s="378" t="str">
        <f t="shared" ca="1" si="186"/>
        <v>-</v>
      </c>
      <c r="CM352" s="378" t="str">
        <f t="shared" ca="1" si="186"/>
        <v>-</v>
      </c>
      <c r="CN352" s="378" t="str">
        <f t="shared" ca="1" si="186"/>
        <v>-</v>
      </c>
      <c r="CO352" s="378" t="str">
        <f t="shared" ca="1" si="186"/>
        <v>-</v>
      </c>
      <c r="CP352" s="378" t="str">
        <f t="shared" ca="1" si="186"/>
        <v>-</v>
      </c>
      <c r="CQ352" s="378" t="str">
        <f t="shared" ca="1" si="186"/>
        <v>-</v>
      </c>
      <c r="CR352" s="510" t="str">
        <f ca="1">IFERROR(IF(LEFT(BW352,3)="Poo",INDEX($BE$4:$BJ$99,MATCH(CI352,$BG$4:$BG$99,0),6)*((15/50))*Calculation!$AK$6,INDEX(Calculation_Tab,MATCH(BV352,Identifier,0),10)/(IF(LEN(INDEX(Calculation_Tab,MATCH(BV352,Identifier,0),9))&gt;8,LEN(INDEX(Calculation_Tab,MATCH(BV352,Identifier,0),9))-8,1))*((15/50)*Calculation!$AK$6)),"-")</f>
        <v>-</v>
      </c>
      <c r="CS352" s="498" t="str">
        <f ca="1">IF(CI352="-","-",IF(COUNTIF($CI$3:CI352,CI352)&gt;1,0,IFERROR((35/50)*Calculation!$AK$6,"-")))</f>
        <v>-</v>
      </c>
    </row>
    <row r="353" spans="4:97" x14ac:dyDescent="0.5">
      <c r="D353" s="487" t="e">
        <f t="shared" si="165"/>
        <v>#DIV/0!</v>
      </c>
      <c r="E353" s="496" t="e">
        <f t="array" ref="E353">IF(IF((ROW(E353)-3)&lt;(ListAndConversion!$A$15),INDEX(Flow_Cell_Lane,MIN(IF(COUNTIF($E$2:E352,Flow_Cell_Lane)=0,ROW(Flow_Cell_Lane)-9))),"-")="","-",IF((ROW(E353)-3)&lt;(ListAndConversion!$A$15),INDEX(Flow_Cell_Lane,MIN(IF(COUNTIF($E$2:E352,Flow_Cell_Lane)=0,ROW(Flow_Cell_Lane)-9))),"-"))</f>
        <v>#DIV/0!</v>
      </c>
      <c r="F353" s="378" t="e">
        <f t="shared" si="166"/>
        <v>#DIV/0!</v>
      </c>
      <c r="G353" s="378" t="e">
        <f t="shared" ref="G353:M362" si="187">IF($D353&gt;8,IF($D353&gt;=(8+G$2),CONCATENATE(LEFT($E353,7),RIGHT(LEFT($E353,8+G$2),1)),""),"")</f>
        <v>#DIV/0!</v>
      </c>
      <c r="H353" s="378" t="e">
        <f t="shared" si="187"/>
        <v>#DIV/0!</v>
      </c>
      <c r="I353" s="378" t="e">
        <f t="shared" si="187"/>
        <v>#DIV/0!</v>
      </c>
      <c r="J353" s="378" t="e">
        <f t="shared" si="187"/>
        <v>#DIV/0!</v>
      </c>
      <c r="K353" s="378" t="e">
        <f t="shared" si="187"/>
        <v>#DIV/0!</v>
      </c>
      <c r="L353" s="378" t="e">
        <f t="shared" si="187"/>
        <v>#DIV/0!</v>
      </c>
      <c r="M353" s="378" t="e">
        <f t="shared" si="187"/>
        <v>#DIV/0!</v>
      </c>
      <c r="N353" s="497" t="e">
        <f t="shared" si="168"/>
        <v>#DIV/0!</v>
      </c>
      <c r="O353" s="497" t="str">
        <f t="array" ref="O353">IFERROR(INDEX(Calculation!I:AN,MATCH(ListAndConversion!E353,Calculation!I:I,0),31),"-")</f>
        <v>-</v>
      </c>
      <c r="P353" s="498">
        <f>IF(COUNTIFS(Calculation!$I$10:$I$393,E353,Direct_Denaturation,"-")&lt;&gt;1,COUNTIFS(Calculation!$I$10:$I$393,E353,Direct_Denaturation,"-"),0)</f>
        <v>0</v>
      </c>
      <c r="V353" s="542" t="s">
        <v>82</v>
      </c>
      <c r="W353" s="542" t="s">
        <v>82</v>
      </c>
      <c r="X353" s="542" t="s">
        <v>82</v>
      </c>
      <c r="Y353" s="542" t="s">
        <v>82</v>
      </c>
      <c r="Z353" s="542" t="s">
        <v>82</v>
      </c>
      <c r="AA353" s="542" t="s">
        <v>82</v>
      </c>
      <c r="AB353" s="542" t="s">
        <v>82</v>
      </c>
      <c r="AC353" s="542" t="s">
        <v>82</v>
      </c>
      <c r="AD353" s="542" t="s">
        <v>82</v>
      </c>
      <c r="AE353" s="542" t="s">
        <v>82</v>
      </c>
      <c r="AF353" s="542" t="s">
        <v>82</v>
      </c>
      <c r="AG353" s="542" t="s">
        <v>82</v>
      </c>
      <c r="AH353" s="9"/>
      <c r="AI353" s="487">
        <v>350</v>
      </c>
      <c r="AJ353" s="497" t="s">
        <v>479</v>
      </c>
      <c r="AK353" s="378">
        <v>62</v>
      </c>
      <c r="AL353" s="378" t="str">
        <f t="shared" ca="1" si="169"/>
        <v>-</v>
      </c>
      <c r="AM353" s="378" t="str">
        <f t="array" aca="1" ref="AM353" ca="1">IFERROR(IF(AI353&lt;=$AB$2,"-",INDEX(Calculation_Tab,SMALL(ROW(Main_Dil)*(Main_Dil&lt;&gt;"-"),COUNTIF(Main_Dil,"-")+ROW()-3-$AB$2)-9,5)),"-")</f>
        <v>-</v>
      </c>
      <c r="AN353" s="378" t="str">
        <f t="array" aca="1" ref="AN353" ca="1">IFERROR(IF(AI353&lt;=$AB$2,"-",INDEX($A$3:$B$12,MATCH(INDEX(Calculation_Tab,SMALL(ROW(Main_Dil)*(Main_Dil&lt;&gt;"-"),COUNTIF(Main_Dil,"-")+ROW()-3-$AB$2)-9,5),$A$3:$A$12,0),2)),"-")</f>
        <v>-</v>
      </c>
      <c r="AO353" s="378" t="str">
        <f t="array" aca="1" ref="AO353" ca="1">IFERROR(IF(AI353&lt;=$AB$2,"-",INDEX(Coordinate,MATCH(INDEX(Calculation_Tab,SMALL(ROW(Main_Dil)*(Main_Dil&lt;&gt;"-"),COUNTIF(Main_Dil,"-")+ROW()-3-$AB$2)-9,6),$X$4:$X$99,0),2)),"-")</f>
        <v>-</v>
      </c>
      <c r="AP353" s="510" t="str">
        <f t="array" aca="1" ref="AP353" ca="1">IFERROR(IF(AI353&lt;=$AB$2,"-",INDEX(Calculation_Tab,SMALL(ROW(Main_Dil)*(Main_Dil&lt;&gt;"-"),COUNTIF(Main_Dil,"-")+ROW()-3-$AB$2)-9,21)),"-")</f>
        <v>-</v>
      </c>
      <c r="AQ353" s="511" t="str">
        <f t="array" aca="1" ref="AQ353" ca="1">IFERROR(IF(AI353&lt;=$AB$2,"-",INDEX(Calculation_Tab,SMALL(ROW(Main_Dil)*(Main_Dil&lt;&gt;"-"),COUNTIF(Main_Dil,"-")+ROW()-3-$AB$2)-9,22)),"-")</f>
        <v>-</v>
      </c>
      <c r="AR353" s="487" t="str">
        <f t="shared" ca="1" si="170"/>
        <v>-</v>
      </c>
      <c r="AS353" s="378">
        <v>350</v>
      </c>
      <c r="AT353" s="497" t="s">
        <v>479</v>
      </c>
      <c r="AU353" s="498">
        <v>62</v>
      </c>
      <c r="AV353" s="378" t="str">
        <f t="shared" ca="1" si="171"/>
        <v>-</v>
      </c>
      <c r="AW353" s="378" t="str">
        <f t="array" aca="1" ref="AW353" ca="1">IFERROR(IF(AS353&lt;=$AB$2+$AN$2,"-",INDEX(Calculation_Tab,SMALL(ROW(Direct_Denaturation)*(Direct_Denaturation&lt;&gt;"-"),COUNTIF(Direct_Denaturation,"-")+ROW()-3-$AB$2-$AN$2)-9,5)),"-")</f>
        <v>-</v>
      </c>
      <c r="AX353" s="378" t="str">
        <f t="array" aca="1" ref="AX353" ca="1">IFERROR(IF(AS353&lt;=$AB$2+$AN$2,"-",INDEX($A$3:$B$12,MATCH(INDEX(Calculation_Tab,SMALL(ROW(Direct_Denaturation)*(Direct_Denaturation&lt;&gt;"-"),COUNTIF(Direct_Denaturation,"-")+ROW()-3-$AB$2-$AN$2)-9,5),$A$3:$A$12,0),2)),"-")</f>
        <v>-</v>
      </c>
      <c r="AY353" s="378" t="str">
        <f t="array" aca="1" ref="AY353" ca="1">IFERROR(IF(AS353&lt;=$AB$2+$AN$2,"-",INDEX(Coordinate,MATCH(INDEX(Calculation_Tab,SMALL(ROW(Direct_Denaturation)*(Direct_Denaturation&lt;&gt;"-"),COUNTIF(Direct_Denaturation,"-")+ROW()-3-$AB$2-$AN$2)-9,6),$X$4:$X$99,0),2)),"-")</f>
        <v>-</v>
      </c>
      <c r="AZ353" s="510" t="str">
        <f t="array" aca="1" ref="AZ353" ca="1">IFERROR(IF(AS353&lt;=$AB$2+$AN$2,"-",INDEX(Calculation_Tab,SMALL(ROW(Direct_Denaturation)*(Direct_Denaturation&lt;&gt;"-"),COUNTIF(Direct_Denaturation,"-")+ROW()-3-$AB$2-$AN$2)-9,32)),"-")</f>
        <v>-</v>
      </c>
      <c r="BA353" s="510" t="str">
        <f t="array" aca="1" ref="BA353" ca="1">IFERROR(IF(AS353&lt;=$AB$2+$AN$2,"-",INDEX(Calculation_Tab,SMALL(ROW(Direct_Denaturation)*(Direct_Denaturation&lt;&gt;"-"),COUNTIF(Direct_Denaturation,"-")+ROW()-3-$AB$2-$AN$2)-9,34)),"-")</f>
        <v>-</v>
      </c>
      <c r="BB353" s="510" t="str">
        <f t="array" aca="1" ref="BB353" ca="1">IFERROR(IF(AS353&lt;=$AB$2+$AN$2,"-",INDEX(Calculation_Tab,SMALL(ROW(Direct_Denaturation)*(Direct_Denaturation&lt;&gt;"-"),COUNTIF(Direct_Denaturation,"-")+ROW()-3-$AB$2-$AN$2)-9,33)),"-")</f>
        <v>-</v>
      </c>
      <c r="BC353" s="510" t="str">
        <f t="array" aca="1" ref="BC353" ca="1">IFERROR(IF(AS353&lt;=$AB$2+$AN$2,"-",INDEX(Calculation_Tab,SMALL(ROW(Direct_Denaturation)*(Direct_Denaturation&lt;&gt;"-"),COUNTIF(Direct_Denaturation,"-")+ROW()-3-$AB$2-$AN$2)-9,35)),"-")</f>
        <v>-</v>
      </c>
      <c r="BD353" s="511" t="str">
        <f t="shared" ca="1" si="172"/>
        <v>-</v>
      </c>
      <c r="BK353" s="542" t="s">
        <v>82</v>
      </c>
      <c r="BL353" s="542" t="s">
        <v>82</v>
      </c>
      <c r="BM353" s="487" t="str">
        <f t="array" aca="1" ref="BM353" ca="1">IFERROR(INDEX(Calculation_Tab,SMALL(ROW(ToPool)*(ToPool&lt;&gt;"-"),COUNTIF(ToPool,"-")+ROW()-3)-9,3),"-")</f>
        <v>-</v>
      </c>
      <c r="BN353" s="378" t="str">
        <f t="shared" ca="1" si="173"/>
        <v>-</v>
      </c>
      <c r="BO353" s="378" t="str">
        <f t="shared" ca="1" si="174"/>
        <v>-</v>
      </c>
      <c r="BP353" s="523" t="str">
        <f t="shared" ca="1" si="175"/>
        <v>-</v>
      </c>
      <c r="BQ353" s="378" t="str">
        <f t="array" aca="1" ref="BQ353" ca="1">IFERROR(INDEX(BE:BG,MATCH(INDEX(Calculation_Tab,SMALL(ROW(ToPool)*(ToPool&lt;&gt;"-"),COUNTIF(ToPool,"-")+ROW()-3)-9,9),BG:BG,0),2),"-")</f>
        <v>-</v>
      </c>
      <c r="BR353" s="510" t="str">
        <f t="shared" ca="1" si="176"/>
        <v>-</v>
      </c>
      <c r="BS353" s="511" t="str">
        <f t="shared" ca="1" si="177"/>
        <v>-</v>
      </c>
      <c r="BT353" s="543" t="s">
        <v>82</v>
      </c>
      <c r="BU353" s="487" t="str">
        <f t="shared" ca="1" si="182"/>
        <v>-</v>
      </c>
      <c r="BV353" s="487" t="str">
        <f t="array" aca="1" ref="BV35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53" s="378" t="str">
        <f t="shared" ca="1" si="178"/>
        <v>-</v>
      </c>
      <c r="BX353" s="378" t="str">
        <f t="shared" ca="1" si="179"/>
        <v>-</v>
      </c>
      <c r="BY353" s="510" t="str">
        <f ca="1">IFERROR(ROUND(INDEX(Cluster,MATCH(IF(LEFT(BV353,4)="Pool",INDEX(Cluster,MATCH(INDEX(Calculation_Tab,MATCH(INDEX($BE$4:$BJ$99,MATCH(BV353,$BE$4:$BE$99,0),3),Flow_Cell_Lane,0),3),Cluster!$F$29:$F$412,0),6),BV353),Identifier_Cluster,0),19)*IF(LEFT(BV353,4)="pool",IF(LEN(INDEX($BE$4:$BJ$99,MATCH(BV353,$BE$4:$BE$99,0),3))=10,2,IF(LEN(INDEX($BE$4:$BJ$99,MATCH(BV353,$BE$4:$BE$99,0),3))&gt;10,LEN(INDEX($BE$4:$BJ$99,MATCH(BV353,$BE$4:$BE$99,0),3))-8,1)),1)*IF(LEFT(BV353,4)="pool",IF(INDEX($BE$4:$BJ$99,MATCH(BV353,$BE$4:$BE$99,0),6)&lt;1,1,INDEX($BE$4:$BJ$99,MATCH(BV353,$BE$4:$BE$99,0),6)),INDEX(Calculation_Tab,MATCH(BV353,Identifier,0),10)),1)*(1+Calculation!$Q$6),"-")</f>
        <v>-</v>
      </c>
      <c r="BZ353" s="378" t="str">
        <f ca="1">IFERROR((0.5/50)*CE353/Calculation!$AG$6*(IF(LEFT(BV353,4)="Pool",IF(LEN(INDEX($BE$4:$BJ$99,MATCH(BV353,$BE$4:$BE$99,0),3))=10,2,IF(LEN(INDEX($BE$4:$BJ$99,MATCH(BV353,$BE$4:$BE$99,0),3))&gt;10,LEN(INDEX($BE$4:$BJ$99,MATCH(BV353,$BE$4:$BE$99,0),3))-8,1)),IF(INDEX(Calculation_Tab,MATCH(BV353,Identifier,0),10)&gt;1,INDEX(Calculation_Tab,MATCH(BV353,Identifier,0),10),1)))*(1+Calculation!$Q$6),"-")</f>
        <v>-</v>
      </c>
      <c r="CA353" s="510" t="str">
        <f ca="1">IFERROR(IF((BZ353*Calculation!$AG$6/0.05)-SUM(BY353:BZ353,CC353)&gt;0,(BZ353*Calculation!$AG$6/0.05)-SUM(BY353:BZ353,CC353),0),"-")</f>
        <v>-</v>
      </c>
      <c r="CB353" s="510" t="str">
        <f ca="1">IFERROR(5/50*CE353*(IF(LEFT(BV353,4)="Pool",IF(LEN(INDEX($BE$4:$BJ$99,MATCH(BV353,$BE$4:$BE$99,0),3))=10,2,IF(LEN(INDEX($BE$4:$BJ$99,MATCH(BV353,$BE$4:$BE$99,0),3))&gt;10,LEN(INDEX($BE$4:$BJ$99,MATCH(BV353,$BE$4:$BE$99,0),3))-8,1)),IF(INDEX(Calculation_Tab,MATCH(BV353,Identifier,0),10)&gt;1,INDEX(Calculation_Tab,MATCH(BV353,Identifier,0),10),1)))*(1+Calculation!$Q$6),"-")</f>
        <v>-</v>
      </c>
      <c r="CC353" s="508" t="str">
        <f ca="1">IFERROR(ROUND(INDEX(Cluster,MATCH(IF(LEFT(BV353,4)="Pool",INDEX(Cluster,MATCH(INDEX(Calculation_Tab,MATCH(INDEX($BE$4:$BJ$99,MATCH(BV353,$BE$4:$BE$99,0),3),Flow_Cell_Lane,0),3),Cluster!$F$29:$F$412,0),6),BV353),Identifier_Cluster,0),20)*IF(LEFT(BV353,4)="pool",IF(LEN(INDEX($BE$4:$BJ$99,MATCH(BV353,$BE$4:$BE$99,0),3))=10,2,IF(LEN(INDEX($BE$4:$BJ$99,MATCH(BV353,$BE$4:$BE$99,0),3))&gt;10,LEN(INDEX($BE$4:$BJ$99,MATCH(BV353,$BE$4:$BE$99,0),3))-8,1)),1)*IF(LEFT(BV353,4)="pool",IF(INDEX($BE$4:$BJ$99,MATCH(BV353,$BE$4:$BE$99,0),6)&lt;1,1,INDEX($BE$4:$BJ$99,MATCH(BV353,$BE$4:$BE$99,0),6)),INDEX(Calculation_Tab,MATCH(BV353,Identifier,0),10)),1)*(1+Calculation!$Q$6),"-")</f>
        <v>-</v>
      </c>
      <c r="CD353" s="509" t="str">
        <f ca="1">IFERROR(INDEX(Cluster!AC:AD,MATCH(IF(LEFT(BV353,4)="Pool",INDEX(Cluster!$D$29:$AA$412,MATCH(INDEX(Calculation_Tab,MATCH(INDEX($BE$4:$BJ$99,MATCH(BV353,$BE$4:$BE$99,0),3),Flow_Cell_Lane,0),3),Cluster!$F$29:$F$412,0),24),INDEX(Cluster!$D$29:$AA$412,MATCH(BV353,Cluster!$F$29:$F$412,0),24)),Cluster!AC:AC,0),2),"-")</f>
        <v>-</v>
      </c>
      <c r="CE353" s="378" t="str">
        <f ca="1">IFERROR(IF(BV353&lt;&gt;"-",Calculation!$AK$6,"-"),"-")</f>
        <v>-</v>
      </c>
      <c r="CF353" s="378" t="str">
        <f ca="1">IF(OR(LEFT(ListAndConversion!BW353,3)="Dil",LEFT(ListAndConversion!BW353,3)="Poo"),ListAndConversion!$BT$4,IF(LEFT(ListAndConversion!BW353,3)="Sou",INDEX(ListAndConversion!$AT$3:$AV$387,MATCH(ListAndConversion!BV353,ListAndConversion!$AV$3:$AV$387,0),1),"-"))</f>
        <v>-</v>
      </c>
      <c r="CG353" s="498" t="str">
        <f ca="1">IF(OR(LEFT(ListAndConversion!BW353,3)="Dil",LEFT(ListAndConversion!BW353,3)="Poo"),ListAndConversion!BU353,IF(LEFT(ListAndConversion!BW353,3)="Sou",INDEX(ListAndConversion!$AT$4:$AV$387,MATCH(ListAndConversion!BV353,ListAndConversion!$AV$4:$AV$387,0),2),"-"))</f>
        <v>-</v>
      </c>
      <c r="CH353" s="378"/>
      <c r="CI353" s="487" t="str">
        <f t="shared" ca="1" si="180"/>
        <v>-</v>
      </c>
      <c r="CJ353" s="378" t="str">
        <f t="shared" ca="1" si="186"/>
        <v>-</v>
      </c>
      <c r="CK353" s="378" t="str">
        <f t="shared" ca="1" si="186"/>
        <v>-</v>
      </c>
      <c r="CL353" s="378" t="str">
        <f t="shared" ca="1" si="186"/>
        <v>-</v>
      </c>
      <c r="CM353" s="378" t="str">
        <f t="shared" ca="1" si="186"/>
        <v>-</v>
      </c>
      <c r="CN353" s="378" t="str">
        <f t="shared" ca="1" si="186"/>
        <v>-</v>
      </c>
      <c r="CO353" s="378" t="str">
        <f t="shared" ca="1" si="186"/>
        <v>-</v>
      </c>
      <c r="CP353" s="378" t="str">
        <f t="shared" ca="1" si="186"/>
        <v>-</v>
      </c>
      <c r="CQ353" s="378" t="str">
        <f t="shared" ca="1" si="186"/>
        <v>-</v>
      </c>
      <c r="CR353" s="510" t="str">
        <f ca="1">IFERROR(IF(LEFT(BW353,3)="Poo",INDEX($BE$4:$BJ$99,MATCH(CI353,$BG$4:$BG$99,0),6)*((15/50))*Calculation!$AK$6,INDEX(Calculation_Tab,MATCH(BV353,Identifier,0),10)/(IF(LEN(INDEX(Calculation_Tab,MATCH(BV353,Identifier,0),9))&gt;8,LEN(INDEX(Calculation_Tab,MATCH(BV353,Identifier,0),9))-8,1))*((15/50)*Calculation!$AK$6)),"-")</f>
        <v>-</v>
      </c>
      <c r="CS353" s="498" t="str">
        <f ca="1">IF(CI353="-","-",IF(COUNTIF($CI$3:CI353,CI353)&gt;1,0,IFERROR((35/50)*Calculation!$AK$6,"-")))</f>
        <v>-</v>
      </c>
    </row>
    <row r="354" spans="4:97" x14ac:dyDescent="0.5">
      <c r="D354" s="487" t="e">
        <f t="shared" si="165"/>
        <v>#DIV/0!</v>
      </c>
      <c r="E354" s="496" t="e">
        <f t="array" ref="E354">IF(IF((ROW(E354)-3)&lt;(ListAndConversion!$A$15),INDEX(Flow_Cell_Lane,MIN(IF(COUNTIF($E$2:E353,Flow_Cell_Lane)=0,ROW(Flow_Cell_Lane)-9))),"-")="","-",IF((ROW(E354)-3)&lt;(ListAndConversion!$A$15),INDEX(Flow_Cell_Lane,MIN(IF(COUNTIF($E$2:E353,Flow_Cell_Lane)=0,ROW(Flow_Cell_Lane)-9))),"-"))</f>
        <v>#DIV/0!</v>
      </c>
      <c r="F354" s="378" t="e">
        <f t="shared" si="166"/>
        <v>#DIV/0!</v>
      </c>
      <c r="G354" s="378" t="e">
        <f t="shared" si="187"/>
        <v>#DIV/0!</v>
      </c>
      <c r="H354" s="378" t="e">
        <f t="shared" si="187"/>
        <v>#DIV/0!</v>
      </c>
      <c r="I354" s="378" t="e">
        <f t="shared" si="187"/>
        <v>#DIV/0!</v>
      </c>
      <c r="J354" s="378" t="e">
        <f t="shared" si="187"/>
        <v>#DIV/0!</v>
      </c>
      <c r="K354" s="378" t="e">
        <f t="shared" si="187"/>
        <v>#DIV/0!</v>
      </c>
      <c r="L354" s="378" t="e">
        <f t="shared" si="187"/>
        <v>#DIV/0!</v>
      </c>
      <c r="M354" s="378" t="e">
        <f t="shared" si="187"/>
        <v>#DIV/0!</v>
      </c>
      <c r="N354" s="497" t="e">
        <f t="shared" si="168"/>
        <v>#DIV/0!</v>
      </c>
      <c r="O354" s="497" t="str">
        <f t="array" ref="O354">IFERROR(INDEX(Calculation!I:AN,MATCH(ListAndConversion!E354,Calculation!I:I,0),31),"-")</f>
        <v>-</v>
      </c>
      <c r="P354" s="498">
        <f>IF(COUNTIFS(Calculation!$I$10:$I$393,E354,Direct_Denaturation,"-")&lt;&gt;1,COUNTIFS(Calculation!$I$10:$I$393,E354,Direct_Denaturation,"-"),0)</f>
        <v>0</v>
      </c>
      <c r="V354" s="542" t="s">
        <v>82</v>
      </c>
      <c r="W354" s="542" t="s">
        <v>82</v>
      </c>
      <c r="X354" s="542" t="s">
        <v>82</v>
      </c>
      <c r="Y354" s="542" t="s">
        <v>82</v>
      </c>
      <c r="Z354" s="542" t="s">
        <v>82</v>
      </c>
      <c r="AA354" s="542" t="s">
        <v>82</v>
      </c>
      <c r="AB354" s="542" t="s">
        <v>82</v>
      </c>
      <c r="AC354" s="542" t="s">
        <v>82</v>
      </c>
      <c r="AD354" s="542" t="s">
        <v>82</v>
      </c>
      <c r="AE354" s="542" t="s">
        <v>82</v>
      </c>
      <c r="AF354" s="542" t="s">
        <v>82</v>
      </c>
      <c r="AG354" s="542" t="s">
        <v>82</v>
      </c>
      <c r="AH354" s="9"/>
      <c r="AI354" s="487">
        <v>351</v>
      </c>
      <c r="AJ354" s="497" t="s">
        <v>479</v>
      </c>
      <c r="AK354" s="378">
        <v>63</v>
      </c>
      <c r="AL354" s="378" t="str">
        <f t="shared" ca="1" si="169"/>
        <v>-</v>
      </c>
      <c r="AM354" s="378" t="str">
        <f t="array" aca="1" ref="AM354" ca="1">IFERROR(IF(AI354&lt;=$AB$2,"-",INDEX(Calculation_Tab,SMALL(ROW(Main_Dil)*(Main_Dil&lt;&gt;"-"),COUNTIF(Main_Dil,"-")+ROW()-3-$AB$2)-9,5)),"-")</f>
        <v>-</v>
      </c>
      <c r="AN354" s="378" t="str">
        <f t="array" aca="1" ref="AN354" ca="1">IFERROR(IF(AI354&lt;=$AB$2,"-",INDEX($A$3:$B$12,MATCH(INDEX(Calculation_Tab,SMALL(ROW(Main_Dil)*(Main_Dil&lt;&gt;"-"),COUNTIF(Main_Dil,"-")+ROW()-3-$AB$2)-9,5),$A$3:$A$12,0),2)),"-")</f>
        <v>-</v>
      </c>
      <c r="AO354" s="378" t="str">
        <f t="array" aca="1" ref="AO354" ca="1">IFERROR(IF(AI354&lt;=$AB$2,"-",INDEX(Coordinate,MATCH(INDEX(Calculation_Tab,SMALL(ROW(Main_Dil)*(Main_Dil&lt;&gt;"-"),COUNTIF(Main_Dil,"-")+ROW()-3-$AB$2)-9,6),$X$4:$X$99,0),2)),"-")</f>
        <v>-</v>
      </c>
      <c r="AP354" s="510" t="str">
        <f t="array" aca="1" ref="AP354" ca="1">IFERROR(IF(AI354&lt;=$AB$2,"-",INDEX(Calculation_Tab,SMALL(ROW(Main_Dil)*(Main_Dil&lt;&gt;"-"),COUNTIF(Main_Dil,"-")+ROW()-3-$AB$2)-9,21)),"-")</f>
        <v>-</v>
      </c>
      <c r="AQ354" s="511" t="str">
        <f t="array" aca="1" ref="AQ354" ca="1">IFERROR(IF(AI354&lt;=$AB$2,"-",INDEX(Calculation_Tab,SMALL(ROW(Main_Dil)*(Main_Dil&lt;&gt;"-"),COUNTIF(Main_Dil,"-")+ROW()-3-$AB$2)-9,22)),"-")</f>
        <v>-</v>
      </c>
      <c r="AR354" s="487" t="str">
        <f t="shared" ca="1" si="170"/>
        <v>-</v>
      </c>
      <c r="AS354" s="378">
        <v>351</v>
      </c>
      <c r="AT354" s="497" t="s">
        <v>479</v>
      </c>
      <c r="AU354" s="498">
        <v>63</v>
      </c>
      <c r="AV354" s="378" t="str">
        <f t="shared" ca="1" si="171"/>
        <v>-</v>
      </c>
      <c r="AW354" s="378" t="str">
        <f t="array" aca="1" ref="AW354" ca="1">IFERROR(IF(AS354&lt;=$AB$2+$AN$2,"-",INDEX(Calculation_Tab,SMALL(ROW(Direct_Denaturation)*(Direct_Denaturation&lt;&gt;"-"),COUNTIF(Direct_Denaturation,"-")+ROW()-3-$AB$2-$AN$2)-9,5)),"-")</f>
        <v>-</v>
      </c>
      <c r="AX354" s="378" t="str">
        <f t="array" aca="1" ref="AX354" ca="1">IFERROR(IF(AS354&lt;=$AB$2+$AN$2,"-",INDEX($A$3:$B$12,MATCH(INDEX(Calculation_Tab,SMALL(ROW(Direct_Denaturation)*(Direct_Denaturation&lt;&gt;"-"),COUNTIF(Direct_Denaturation,"-")+ROW()-3-$AB$2-$AN$2)-9,5),$A$3:$A$12,0),2)),"-")</f>
        <v>-</v>
      </c>
      <c r="AY354" s="378" t="str">
        <f t="array" aca="1" ref="AY354" ca="1">IFERROR(IF(AS354&lt;=$AB$2+$AN$2,"-",INDEX(Coordinate,MATCH(INDEX(Calculation_Tab,SMALL(ROW(Direct_Denaturation)*(Direct_Denaturation&lt;&gt;"-"),COUNTIF(Direct_Denaturation,"-")+ROW()-3-$AB$2-$AN$2)-9,6),$X$4:$X$99,0),2)),"-")</f>
        <v>-</v>
      </c>
      <c r="AZ354" s="510" t="str">
        <f t="array" aca="1" ref="AZ354" ca="1">IFERROR(IF(AS354&lt;=$AB$2+$AN$2,"-",INDEX(Calculation_Tab,SMALL(ROW(Direct_Denaturation)*(Direct_Denaturation&lt;&gt;"-"),COUNTIF(Direct_Denaturation,"-")+ROW()-3-$AB$2-$AN$2)-9,32)),"-")</f>
        <v>-</v>
      </c>
      <c r="BA354" s="510" t="str">
        <f t="array" aca="1" ref="BA354" ca="1">IFERROR(IF(AS354&lt;=$AB$2+$AN$2,"-",INDEX(Calculation_Tab,SMALL(ROW(Direct_Denaturation)*(Direct_Denaturation&lt;&gt;"-"),COUNTIF(Direct_Denaturation,"-")+ROW()-3-$AB$2-$AN$2)-9,34)),"-")</f>
        <v>-</v>
      </c>
      <c r="BB354" s="510" t="str">
        <f t="array" aca="1" ref="BB354" ca="1">IFERROR(IF(AS354&lt;=$AB$2+$AN$2,"-",INDEX(Calculation_Tab,SMALL(ROW(Direct_Denaturation)*(Direct_Denaturation&lt;&gt;"-"),COUNTIF(Direct_Denaturation,"-")+ROW()-3-$AB$2-$AN$2)-9,33)),"-")</f>
        <v>-</v>
      </c>
      <c r="BC354" s="510" t="str">
        <f t="array" aca="1" ref="BC354" ca="1">IFERROR(IF(AS354&lt;=$AB$2+$AN$2,"-",INDEX(Calculation_Tab,SMALL(ROW(Direct_Denaturation)*(Direct_Denaturation&lt;&gt;"-"),COUNTIF(Direct_Denaturation,"-")+ROW()-3-$AB$2-$AN$2)-9,35)),"-")</f>
        <v>-</v>
      </c>
      <c r="BD354" s="511" t="str">
        <f t="shared" ca="1" si="172"/>
        <v>-</v>
      </c>
      <c r="BK354" s="542" t="s">
        <v>82</v>
      </c>
      <c r="BL354" s="542" t="s">
        <v>82</v>
      </c>
      <c r="BM354" s="487" t="str">
        <f t="array" aca="1" ref="BM354" ca="1">IFERROR(INDEX(Calculation_Tab,SMALL(ROW(ToPool)*(ToPool&lt;&gt;"-"),COUNTIF(ToPool,"-")+ROW()-3)-9,3),"-")</f>
        <v>-</v>
      </c>
      <c r="BN354" s="378" t="str">
        <f t="shared" ca="1" si="173"/>
        <v>-</v>
      </c>
      <c r="BO354" s="378" t="str">
        <f t="shared" ca="1" si="174"/>
        <v>-</v>
      </c>
      <c r="BP354" s="523" t="str">
        <f t="shared" ca="1" si="175"/>
        <v>-</v>
      </c>
      <c r="BQ354" s="378" t="str">
        <f t="array" aca="1" ref="BQ354" ca="1">IFERROR(INDEX(BE:BG,MATCH(INDEX(Calculation_Tab,SMALL(ROW(ToPool)*(ToPool&lt;&gt;"-"),COUNTIF(ToPool,"-")+ROW()-3)-9,9),BG:BG,0),2),"-")</f>
        <v>-</v>
      </c>
      <c r="BR354" s="510" t="str">
        <f t="shared" ca="1" si="176"/>
        <v>-</v>
      </c>
      <c r="BS354" s="511" t="str">
        <f t="shared" ca="1" si="177"/>
        <v>-</v>
      </c>
      <c r="BT354" s="543" t="s">
        <v>82</v>
      </c>
      <c r="BU354" s="487" t="str">
        <f t="shared" ca="1" si="182"/>
        <v>-</v>
      </c>
      <c r="BV354" s="487" t="str">
        <f t="array" aca="1" ref="BV35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54" s="378" t="str">
        <f t="shared" ca="1" si="178"/>
        <v>-</v>
      </c>
      <c r="BX354" s="378" t="str">
        <f t="shared" ca="1" si="179"/>
        <v>-</v>
      </c>
      <c r="BY354" s="510" t="str">
        <f ca="1">IFERROR(ROUND(INDEX(Cluster,MATCH(IF(LEFT(BV354,4)="Pool",INDEX(Cluster,MATCH(INDEX(Calculation_Tab,MATCH(INDEX($BE$4:$BJ$99,MATCH(BV354,$BE$4:$BE$99,0),3),Flow_Cell_Lane,0),3),Cluster!$F$29:$F$412,0),6),BV354),Identifier_Cluster,0),19)*IF(LEFT(BV354,4)="pool",IF(LEN(INDEX($BE$4:$BJ$99,MATCH(BV354,$BE$4:$BE$99,0),3))=10,2,IF(LEN(INDEX($BE$4:$BJ$99,MATCH(BV354,$BE$4:$BE$99,0),3))&gt;10,LEN(INDEX($BE$4:$BJ$99,MATCH(BV354,$BE$4:$BE$99,0),3))-8,1)),1)*IF(LEFT(BV354,4)="pool",IF(INDEX($BE$4:$BJ$99,MATCH(BV354,$BE$4:$BE$99,0),6)&lt;1,1,INDEX($BE$4:$BJ$99,MATCH(BV354,$BE$4:$BE$99,0),6)),INDEX(Calculation_Tab,MATCH(BV354,Identifier,0),10)),1)*(1+Calculation!$Q$6),"-")</f>
        <v>-</v>
      </c>
      <c r="BZ354" s="378" t="str">
        <f ca="1">IFERROR((0.5/50)*CE354/Calculation!$AG$6*(IF(LEFT(BV354,4)="Pool",IF(LEN(INDEX($BE$4:$BJ$99,MATCH(BV354,$BE$4:$BE$99,0),3))=10,2,IF(LEN(INDEX($BE$4:$BJ$99,MATCH(BV354,$BE$4:$BE$99,0),3))&gt;10,LEN(INDEX($BE$4:$BJ$99,MATCH(BV354,$BE$4:$BE$99,0),3))-8,1)),IF(INDEX(Calculation_Tab,MATCH(BV354,Identifier,0),10)&gt;1,INDEX(Calculation_Tab,MATCH(BV354,Identifier,0),10),1)))*(1+Calculation!$Q$6),"-")</f>
        <v>-</v>
      </c>
      <c r="CA354" s="510" t="str">
        <f ca="1">IFERROR(IF((BZ354*Calculation!$AG$6/0.05)-SUM(BY354:BZ354,CC354)&gt;0,(BZ354*Calculation!$AG$6/0.05)-SUM(BY354:BZ354,CC354),0),"-")</f>
        <v>-</v>
      </c>
      <c r="CB354" s="510" t="str">
        <f ca="1">IFERROR(5/50*CE354*(IF(LEFT(BV354,4)="Pool",IF(LEN(INDEX($BE$4:$BJ$99,MATCH(BV354,$BE$4:$BE$99,0),3))=10,2,IF(LEN(INDEX($BE$4:$BJ$99,MATCH(BV354,$BE$4:$BE$99,0),3))&gt;10,LEN(INDEX($BE$4:$BJ$99,MATCH(BV354,$BE$4:$BE$99,0),3))-8,1)),IF(INDEX(Calculation_Tab,MATCH(BV354,Identifier,0),10)&gt;1,INDEX(Calculation_Tab,MATCH(BV354,Identifier,0),10),1)))*(1+Calculation!$Q$6),"-")</f>
        <v>-</v>
      </c>
      <c r="CC354" s="508" t="str">
        <f ca="1">IFERROR(ROUND(INDEX(Cluster,MATCH(IF(LEFT(BV354,4)="Pool",INDEX(Cluster,MATCH(INDEX(Calculation_Tab,MATCH(INDEX($BE$4:$BJ$99,MATCH(BV354,$BE$4:$BE$99,0),3),Flow_Cell_Lane,0),3),Cluster!$F$29:$F$412,0),6),BV354),Identifier_Cluster,0),20)*IF(LEFT(BV354,4)="pool",IF(LEN(INDEX($BE$4:$BJ$99,MATCH(BV354,$BE$4:$BE$99,0),3))=10,2,IF(LEN(INDEX($BE$4:$BJ$99,MATCH(BV354,$BE$4:$BE$99,0),3))&gt;10,LEN(INDEX($BE$4:$BJ$99,MATCH(BV354,$BE$4:$BE$99,0),3))-8,1)),1)*IF(LEFT(BV354,4)="pool",IF(INDEX($BE$4:$BJ$99,MATCH(BV354,$BE$4:$BE$99,0),6)&lt;1,1,INDEX($BE$4:$BJ$99,MATCH(BV354,$BE$4:$BE$99,0),6)),INDEX(Calculation_Tab,MATCH(BV354,Identifier,0),10)),1)*(1+Calculation!$Q$6),"-")</f>
        <v>-</v>
      </c>
      <c r="CD354" s="509" t="str">
        <f ca="1">IFERROR(INDEX(Cluster!AC:AD,MATCH(IF(LEFT(BV354,4)="Pool",INDEX(Cluster!$D$29:$AA$412,MATCH(INDEX(Calculation_Tab,MATCH(INDEX($BE$4:$BJ$99,MATCH(BV354,$BE$4:$BE$99,0),3),Flow_Cell_Lane,0),3),Cluster!$F$29:$F$412,0),24),INDEX(Cluster!$D$29:$AA$412,MATCH(BV354,Cluster!$F$29:$F$412,0),24)),Cluster!AC:AC,0),2),"-")</f>
        <v>-</v>
      </c>
      <c r="CE354" s="378" t="str">
        <f ca="1">IFERROR(IF(BV354&lt;&gt;"-",Calculation!$AK$6,"-"),"-")</f>
        <v>-</v>
      </c>
      <c r="CF354" s="378" t="str">
        <f ca="1">IF(OR(LEFT(ListAndConversion!BW354,3)="Dil",LEFT(ListAndConversion!BW354,3)="Poo"),ListAndConversion!$BT$4,IF(LEFT(ListAndConversion!BW354,3)="Sou",INDEX(ListAndConversion!$AT$3:$AV$387,MATCH(ListAndConversion!BV354,ListAndConversion!$AV$3:$AV$387,0),1),"-"))</f>
        <v>-</v>
      </c>
      <c r="CG354" s="498" t="str">
        <f ca="1">IF(OR(LEFT(ListAndConversion!BW354,3)="Dil",LEFT(ListAndConversion!BW354,3)="Poo"),ListAndConversion!BU354,IF(LEFT(ListAndConversion!BW354,3)="Sou",INDEX(ListAndConversion!$AT$4:$AV$387,MATCH(ListAndConversion!BV354,ListAndConversion!$AV$4:$AV$387,0),2),"-"))</f>
        <v>-</v>
      </c>
      <c r="CH354" s="378"/>
      <c r="CI354" s="487" t="str">
        <f t="shared" ca="1" si="180"/>
        <v>-</v>
      </c>
      <c r="CJ354" s="378" t="str">
        <f t="shared" ref="CJ354:CQ363" ca="1" si="188">IFERROR(INDEX($R$3:$U$98,MATCH(INDEX($F$3:$M$387,MATCH($CI354,$E$3:$E$386,0),CJ$3),$S$3:$S$98,0),4),"-")</f>
        <v>-</v>
      </c>
      <c r="CK354" s="378" t="str">
        <f t="shared" ca="1" si="188"/>
        <v>-</v>
      </c>
      <c r="CL354" s="378" t="str">
        <f t="shared" ca="1" si="188"/>
        <v>-</v>
      </c>
      <c r="CM354" s="378" t="str">
        <f t="shared" ca="1" si="188"/>
        <v>-</v>
      </c>
      <c r="CN354" s="378" t="str">
        <f t="shared" ca="1" si="188"/>
        <v>-</v>
      </c>
      <c r="CO354" s="378" t="str">
        <f t="shared" ca="1" si="188"/>
        <v>-</v>
      </c>
      <c r="CP354" s="378" t="str">
        <f t="shared" ca="1" si="188"/>
        <v>-</v>
      </c>
      <c r="CQ354" s="378" t="str">
        <f t="shared" ca="1" si="188"/>
        <v>-</v>
      </c>
      <c r="CR354" s="510" t="str">
        <f ca="1">IFERROR(IF(LEFT(BW354,3)="Poo",INDEX($BE$4:$BJ$99,MATCH(CI354,$BG$4:$BG$99,0),6)*((15/50))*Calculation!$AK$6,INDEX(Calculation_Tab,MATCH(BV354,Identifier,0),10)/(IF(LEN(INDEX(Calculation_Tab,MATCH(BV354,Identifier,0),9))&gt;8,LEN(INDEX(Calculation_Tab,MATCH(BV354,Identifier,0),9))-8,1))*((15/50)*Calculation!$AK$6)),"-")</f>
        <v>-</v>
      </c>
      <c r="CS354" s="498" t="str">
        <f ca="1">IF(CI354="-","-",IF(COUNTIF($CI$3:CI354,CI354)&gt;1,0,IFERROR((35/50)*Calculation!$AK$6,"-")))</f>
        <v>-</v>
      </c>
    </row>
    <row r="355" spans="4:97" x14ac:dyDescent="0.5">
      <c r="D355" s="487" t="e">
        <f t="shared" si="165"/>
        <v>#DIV/0!</v>
      </c>
      <c r="E355" s="496" t="e">
        <f t="array" ref="E355">IF(IF((ROW(E355)-3)&lt;(ListAndConversion!$A$15),INDEX(Flow_Cell_Lane,MIN(IF(COUNTIF($E$2:E354,Flow_Cell_Lane)=0,ROW(Flow_Cell_Lane)-9))),"-")="","-",IF((ROW(E355)-3)&lt;(ListAndConversion!$A$15),INDEX(Flow_Cell_Lane,MIN(IF(COUNTIF($E$2:E354,Flow_Cell_Lane)=0,ROW(Flow_Cell_Lane)-9))),"-"))</f>
        <v>#DIV/0!</v>
      </c>
      <c r="F355" s="378" t="e">
        <f t="shared" si="166"/>
        <v>#DIV/0!</v>
      </c>
      <c r="G355" s="378" t="e">
        <f t="shared" si="187"/>
        <v>#DIV/0!</v>
      </c>
      <c r="H355" s="378" t="e">
        <f t="shared" si="187"/>
        <v>#DIV/0!</v>
      </c>
      <c r="I355" s="378" t="e">
        <f t="shared" si="187"/>
        <v>#DIV/0!</v>
      </c>
      <c r="J355" s="378" t="e">
        <f t="shared" si="187"/>
        <v>#DIV/0!</v>
      </c>
      <c r="K355" s="378" t="e">
        <f t="shared" si="187"/>
        <v>#DIV/0!</v>
      </c>
      <c r="L355" s="378" t="e">
        <f t="shared" si="187"/>
        <v>#DIV/0!</v>
      </c>
      <c r="M355" s="378" t="e">
        <f t="shared" si="187"/>
        <v>#DIV/0!</v>
      </c>
      <c r="N355" s="497" t="e">
        <f t="shared" si="168"/>
        <v>#DIV/0!</v>
      </c>
      <c r="O355" s="497" t="str">
        <f t="array" ref="O355">IFERROR(INDEX(Calculation!I:AN,MATCH(ListAndConversion!E355,Calculation!I:I,0),31),"-")</f>
        <v>-</v>
      </c>
      <c r="P355" s="498">
        <f>IF(COUNTIFS(Calculation!$I$10:$I$393,E355,Direct_Denaturation,"-")&lt;&gt;1,COUNTIFS(Calculation!$I$10:$I$393,E355,Direct_Denaturation,"-"),0)</f>
        <v>0</v>
      </c>
      <c r="V355" s="542" t="s">
        <v>82</v>
      </c>
      <c r="W355" s="542" t="s">
        <v>82</v>
      </c>
      <c r="X355" s="542" t="s">
        <v>82</v>
      </c>
      <c r="Y355" s="542" t="s">
        <v>82</v>
      </c>
      <c r="Z355" s="542" t="s">
        <v>82</v>
      </c>
      <c r="AA355" s="542" t="s">
        <v>82</v>
      </c>
      <c r="AB355" s="542" t="s">
        <v>82</v>
      </c>
      <c r="AC355" s="542" t="s">
        <v>82</v>
      </c>
      <c r="AD355" s="542" t="s">
        <v>82</v>
      </c>
      <c r="AE355" s="542" t="s">
        <v>82</v>
      </c>
      <c r="AF355" s="542" t="s">
        <v>82</v>
      </c>
      <c r="AG355" s="542" t="s">
        <v>82</v>
      </c>
      <c r="AH355" s="9"/>
      <c r="AI355" s="487">
        <v>352</v>
      </c>
      <c r="AJ355" s="497" t="s">
        <v>479</v>
      </c>
      <c r="AK355" s="378">
        <v>64</v>
      </c>
      <c r="AL355" s="378" t="str">
        <f t="shared" ca="1" si="169"/>
        <v>-</v>
      </c>
      <c r="AM355" s="378" t="str">
        <f t="array" aca="1" ref="AM355" ca="1">IFERROR(IF(AI355&lt;=$AB$2,"-",INDEX(Calculation_Tab,SMALL(ROW(Main_Dil)*(Main_Dil&lt;&gt;"-"),COUNTIF(Main_Dil,"-")+ROW()-3-$AB$2)-9,5)),"-")</f>
        <v>-</v>
      </c>
      <c r="AN355" s="378" t="str">
        <f t="array" aca="1" ref="AN355" ca="1">IFERROR(IF(AI355&lt;=$AB$2,"-",INDEX($A$3:$B$12,MATCH(INDEX(Calculation_Tab,SMALL(ROW(Main_Dil)*(Main_Dil&lt;&gt;"-"),COUNTIF(Main_Dil,"-")+ROW()-3-$AB$2)-9,5),$A$3:$A$12,0),2)),"-")</f>
        <v>-</v>
      </c>
      <c r="AO355" s="378" t="str">
        <f t="array" aca="1" ref="AO355" ca="1">IFERROR(IF(AI355&lt;=$AB$2,"-",INDEX(Coordinate,MATCH(INDEX(Calculation_Tab,SMALL(ROW(Main_Dil)*(Main_Dil&lt;&gt;"-"),COUNTIF(Main_Dil,"-")+ROW()-3-$AB$2)-9,6),$X$4:$X$99,0),2)),"-")</f>
        <v>-</v>
      </c>
      <c r="AP355" s="510" t="str">
        <f t="array" aca="1" ref="AP355" ca="1">IFERROR(IF(AI355&lt;=$AB$2,"-",INDEX(Calculation_Tab,SMALL(ROW(Main_Dil)*(Main_Dil&lt;&gt;"-"),COUNTIF(Main_Dil,"-")+ROW()-3-$AB$2)-9,21)),"-")</f>
        <v>-</v>
      </c>
      <c r="AQ355" s="511" t="str">
        <f t="array" aca="1" ref="AQ355" ca="1">IFERROR(IF(AI355&lt;=$AB$2,"-",INDEX(Calculation_Tab,SMALL(ROW(Main_Dil)*(Main_Dil&lt;&gt;"-"),COUNTIF(Main_Dil,"-")+ROW()-3-$AB$2)-9,22)),"-")</f>
        <v>-</v>
      </c>
      <c r="AR355" s="487" t="str">
        <f t="shared" ca="1" si="170"/>
        <v>-</v>
      </c>
      <c r="AS355" s="378">
        <v>352</v>
      </c>
      <c r="AT355" s="497" t="s">
        <v>479</v>
      </c>
      <c r="AU355" s="498">
        <v>64</v>
      </c>
      <c r="AV355" s="378" t="str">
        <f t="shared" ca="1" si="171"/>
        <v>-</v>
      </c>
      <c r="AW355" s="378" t="str">
        <f t="array" aca="1" ref="AW355" ca="1">IFERROR(IF(AS355&lt;=$AB$2+$AN$2,"-",INDEX(Calculation_Tab,SMALL(ROW(Direct_Denaturation)*(Direct_Denaturation&lt;&gt;"-"),COUNTIF(Direct_Denaturation,"-")+ROW()-3-$AB$2-$AN$2)-9,5)),"-")</f>
        <v>-</v>
      </c>
      <c r="AX355" s="378" t="str">
        <f t="array" aca="1" ref="AX355" ca="1">IFERROR(IF(AS355&lt;=$AB$2+$AN$2,"-",INDEX($A$3:$B$12,MATCH(INDEX(Calculation_Tab,SMALL(ROW(Direct_Denaturation)*(Direct_Denaturation&lt;&gt;"-"),COUNTIF(Direct_Denaturation,"-")+ROW()-3-$AB$2-$AN$2)-9,5),$A$3:$A$12,0),2)),"-")</f>
        <v>-</v>
      </c>
      <c r="AY355" s="378" t="str">
        <f t="array" aca="1" ref="AY355" ca="1">IFERROR(IF(AS355&lt;=$AB$2+$AN$2,"-",INDEX(Coordinate,MATCH(INDEX(Calculation_Tab,SMALL(ROW(Direct_Denaturation)*(Direct_Denaturation&lt;&gt;"-"),COUNTIF(Direct_Denaturation,"-")+ROW()-3-$AB$2-$AN$2)-9,6),$X$4:$X$99,0),2)),"-")</f>
        <v>-</v>
      </c>
      <c r="AZ355" s="510" t="str">
        <f t="array" aca="1" ref="AZ355" ca="1">IFERROR(IF(AS355&lt;=$AB$2+$AN$2,"-",INDEX(Calculation_Tab,SMALL(ROW(Direct_Denaturation)*(Direct_Denaturation&lt;&gt;"-"),COUNTIF(Direct_Denaturation,"-")+ROW()-3-$AB$2-$AN$2)-9,32)),"-")</f>
        <v>-</v>
      </c>
      <c r="BA355" s="510" t="str">
        <f t="array" aca="1" ref="BA355" ca="1">IFERROR(IF(AS355&lt;=$AB$2+$AN$2,"-",INDEX(Calculation_Tab,SMALL(ROW(Direct_Denaturation)*(Direct_Denaturation&lt;&gt;"-"),COUNTIF(Direct_Denaturation,"-")+ROW()-3-$AB$2-$AN$2)-9,34)),"-")</f>
        <v>-</v>
      </c>
      <c r="BB355" s="510" t="str">
        <f t="array" aca="1" ref="BB355" ca="1">IFERROR(IF(AS355&lt;=$AB$2+$AN$2,"-",INDEX(Calculation_Tab,SMALL(ROW(Direct_Denaturation)*(Direct_Denaturation&lt;&gt;"-"),COUNTIF(Direct_Denaturation,"-")+ROW()-3-$AB$2-$AN$2)-9,33)),"-")</f>
        <v>-</v>
      </c>
      <c r="BC355" s="510" t="str">
        <f t="array" aca="1" ref="BC355" ca="1">IFERROR(IF(AS355&lt;=$AB$2+$AN$2,"-",INDEX(Calculation_Tab,SMALL(ROW(Direct_Denaturation)*(Direct_Denaturation&lt;&gt;"-"),COUNTIF(Direct_Denaturation,"-")+ROW()-3-$AB$2-$AN$2)-9,35)),"-")</f>
        <v>-</v>
      </c>
      <c r="BD355" s="511" t="str">
        <f t="shared" ca="1" si="172"/>
        <v>-</v>
      </c>
      <c r="BK355" s="542" t="s">
        <v>82</v>
      </c>
      <c r="BL355" s="542" t="s">
        <v>82</v>
      </c>
      <c r="BM355" s="487" t="str">
        <f t="array" aca="1" ref="BM355" ca="1">IFERROR(INDEX(Calculation_Tab,SMALL(ROW(ToPool)*(ToPool&lt;&gt;"-"),COUNTIF(ToPool,"-")+ROW()-3)-9,3),"-")</f>
        <v>-</v>
      </c>
      <c r="BN355" s="378" t="str">
        <f t="shared" ca="1" si="173"/>
        <v>-</v>
      </c>
      <c r="BO355" s="378" t="str">
        <f t="shared" ca="1" si="174"/>
        <v>-</v>
      </c>
      <c r="BP355" s="523" t="str">
        <f t="shared" ca="1" si="175"/>
        <v>-</v>
      </c>
      <c r="BQ355" s="378" t="str">
        <f t="array" aca="1" ref="BQ355" ca="1">IFERROR(INDEX(BE:BG,MATCH(INDEX(Calculation_Tab,SMALL(ROW(ToPool)*(ToPool&lt;&gt;"-"),COUNTIF(ToPool,"-")+ROW()-3)-9,9),BG:BG,0),2),"-")</f>
        <v>-</v>
      </c>
      <c r="BR355" s="510" t="str">
        <f t="shared" ca="1" si="176"/>
        <v>-</v>
      </c>
      <c r="BS355" s="511" t="str">
        <f t="shared" ca="1" si="177"/>
        <v>-</v>
      </c>
      <c r="BT355" s="543" t="s">
        <v>82</v>
      </c>
      <c r="BU355" s="487" t="str">
        <f t="shared" ca="1" si="182"/>
        <v>-</v>
      </c>
      <c r="BV355" s="487" t="str">
        <f t="array" aca="1" ref="BV35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55" s="378" t="str">
        <f t="shared" ca="1" si="178"/>
        <v>-</v>
      </c>
      <c r="BX355" s="378" t="str">
        <f t="shared" ca="1" si="179"/>
        <v>-</v>
      </c>
      <c r="BY355" s="510" t="str">
        <f ca="1">IFERROR(ROUND(INDEX(Cluster,MATCH(IF(LEFT(BV355,4)="Pool",INDEX(Cluster,MATCH(INDEX(Calculation_Tab,MATCH(INDEX($BE$4:$BJ$99,MATCH(BV355,$BE$4:$BE$99,0),3),Flow_Cell_Lane,0),3),Cluster!$F$29:$F$412,0),6),BV355),Identifier_Cluster,0),19)*IF(LEFT(BV355,4)="pool",IF(LEN(INDEX($BE$4:$BJ$99,MATCH(BV355,$BE$4:$BE$99,0),3))=10,2,IF(LEN(INDEX($BE$4:$BJ$99,MATCH(BV355,$BE$4:$BE$99,0),3))&gt;10,LEN(INDEX($BE$4:$BJ$99,MATCH(BV355,$BE$4:$BE$99,0),3))-8,1)),1)*IF(LEFT(BV355,4)="pool",IF(INDEX($BE$4:$BJ$99,MATCH(BV355,$BE$4:$BE$99,0),6)&lt;1,1,INDEX($BE$4:$BJ$99,MATCH(BV355,$BE$4:$BE$99,0),6)),INDEX(Calculation_Tab,MATCH(BV355,Identifier,0),10)),1)*(1+Calculation!$Q$6),"-")</f>
        <v>-</v>
      </c>
      <c r="BZ355" s="378" t="str">
        <f ca="1">IFERROR((0.5/50)*CE355/Calculation!$AG$6*(IF(LEFT(BV355,4)="Pool",IF(LEN(INDEX($BE$4:$BJ$99,MATCH(BV355,$BE$4:$BE$99,0),3))=10,2,IF(LEN(INDEX($BE$4:$BJ$99,MATCH(BV355,$BE$4:$BE$99,0),3))&gt;10,LEN(INDEX($BE$4:$BJ$99,MATCH(BV355,$BE$4:$BE$99,0),3))-8,1)),IF(INDEX(Calculation_Tab,MATCH(BV355,Identifier,0),10)&gt;1,INDEX(Calculation_Tab,MATCH(BV355,Identifier,0),10),1)))*(1+Calculation!$Q$6),"-")</f>
        <v>-</v>
      </c>
      <c r="CA355" s="510" t="str">
        <f ca="1">IFERROR(IF((BZ355*Calculation!$AG$6/0.05)-SUM(BY355:BZ355,CC355)&gt;0,(BZ355*Calculation!$AG$6/0.05)-SUM(BY355:BZ355,CC355),0),"-")</f>
        <v>-</v>
      </c>
      <c r="CB355" s="510" t="str">
        <f ca="1">IFERROR(5/50*CE355*(IF(LEFT(BV355,4)="Pool",IF(LEN(INDEX($BE$4:$BJ$99,MATCH(BV355,$BE$4:$BE$99,0),3))=10,2,IF(LEN(INDEX($BE$4:$BJ$99,MATCH(BV355,$BE$4:$BE$99,0),3))&gt;10,LEN(INDEX($BE$4:$BJ$99,MATCH(BV355,$BE$4:$BE$99,0),3))-8,1)),IF(INDEX(Calculation_Tab,MATCH(BV355,Identifier,0),10)&gt;1,INDEX(Calculation_Tab,MATCH(BV355,Identifier,0),10),1)))*(1+Calculation!$Q$6),"-")</f>
        <v>-</v>
      </c>
      <c r="CC355" s="508" t="str">
        <f ca="1">IFERROR(ROUND(INDEX(Cluster,MATCH(IF(LEFT(BV355,4)="Pool",INDEX(Cluster,MATCH(INDEX(Calculation_Tab,MATCH(INDEX($BE$4:$BJ$99,MATCH(BV355,$BE$4:$BE$99,0),3),Flow_Cell_Lane,0),3),Cluster!$F$29:$F$412,0),6),BV355),Identifier_Cluster,0),20)*IF(LEFT(BV355,4)="pool",IF(LEN(INDEX($BE$4:$BJ$99,MATCH(BV355,$BE$4:$BE$99,0),3))=10,2,IF(LEN(INDEX($BE$4:$BJ$99,MATCH(BV355,$BE$4:$BE$99,0),3))&gt;10,LEN(INDEX($BE$4:$BJ$99,MATCH(BV355,$BE$4:$BE$99,0),3))-8,1)),1)*IF(LEFT(BV355,4)="pool",IF(INDEX($BE$4:$BJ$99,MATCH(BV355,$BE$4:$BE$99,0),6)&lt;1,1,INDEX($BE$4:$BJ$99,MATCH(BV355,$BE$4:$BE$99,0),6)),INDEX(Calculation_Tab,MATCH(BV355,Identifier,0),10)),1)*(1+Calculation!$Q$6),"-")</f>
        <v>-</v>
      </c>
      <c r="CD355" s="509" t="str">
        <f ca="1">IFERROR(INDEX(Cluster!AC:AD,MATCH(IF(LEFT(BV355,4)="Pool",INDEX(Cluster!$D$29:$AA$412,MATCH(INDEX(Calculation_Tab,MATCH(INDEX($BE$4:$BJ$99,MATCH(BV355,$BE$4:$BE$99,0),3),Flow_Cell_Lane,0),3),Cluster!$F$29:$F$412,0),24),INDEX(Cluster!$D$29:$AA$412,MATCH(BV355,Cluster!$F$29:$F$412,0),24)),Cluster!AC:AC,0),2),"-")</f>
        <v>-</v>
      </c>
      <c r="CE355" s="378" t="str">
        <f ca="1">IFERROR(IF(BV355&lt;&gt;"-",Calculation!$AK$6,"-"),"-")</f>
        <v>-</v>
      </c>
      <c r="CF355" s="378" t="str">
        <f ca="1">IF(OR(LEFT(ListAndConversion!BW355,3)="Dil",LEFT(ListAndConversion!BW355,3)="Poo"),ListAndConversion!$BT$4,IF(LEFT(ListAndConversion!BW355,3)="Sou",INDEX(ListAndConversion!$AT$3:$AV$387,MATCH(ListAndConversion!BV355,ListAndConversion!$AV$3:$AV$387,0),1),"-"))</f>
        <v>-</v>
      </c>
      <c r="CG355" s="498" t="str">
        <f ca="1">IF(OR(LEFT(ListAndConversion!BW355,3)="Dil",LEFT(ListAndConversion!BW355,3)="Poo"),ListAndConversion!BU355,IF(LEFT(ListAndConversion!BW355,3)="Sou",INDEX(ListAndConversion!$AT$4:$AV$387,MATCH(ListAndConversion!BV355,ListAndConversion!$AV$4:$AV$387,0),2),"-"))</f>
        <v>-</v>
      </c>
      <c r="CH355" s="378"/>
      <c r="CI355" s="487" t="str">
        <f t="shared" ca="1" si="180"/>
        <v>-</v>
      </c>
      <c r="CJ355" s="378" t="str">
        <f t="shared" ca="1" si="188"/>
        <v>-</v>
      </c>
      <c r="CK355" s="378" t="str">
        <f t="shared" ca="1" si="188"/>
        <v>-</v>
      </c>
      <c r="CL355" s="378" t="str">
        <f t="shared" ca="1" si="188"/>
        <v>-</v>
      </c>
      <c r="CM355" s="378" t="str">
        <f t="shared" ca="1" si="188"/>
        <v>-</v>
      </c>
      <c r="CN355" s="378" t="str">
        <f t="shared" ca="1" si="188"/>
        <v>-</v>
      </c>
      <c r="CO355" s="378" t="str">
        <f t="shared" ca="1" si="188"/>
        <v>-</v>
      </c>
      <c r="CP355" s="378" t="str">
        <f t="shared" ca="1" si="188"/>
        <v>-</v>
      </c>
      <c r="CQ355" s="378" t="str">
        <f t="shared" ca="1" si="188"/>
        <v>-</v>
      </c>
      <c r="CR355" s="510" t="str">
        <f ca="1">IFERROR(IF(LEFT(BW355,3)="Poo",INDEX($BE$4:$BJ$99,MATCH(CI355,$BG$4:$BG$99,0),6)*((15/50))*Calculation!$AK$6,INDEX(Calculation_Tab,MATCH(BV355,Identifier,0),10)/(IF(LEN(INDEX(Calculation_Tab,MATCH(BV355,Identifier,0),9))&gt;8,LEN(INDEX(Calculation_Tab,MATCH(BV355,Identifier,0),9))-8,1))*((15/50)*Calculation!$AK$6)),"-")</f>
        <v>-</v>
      </c>
      <c r="CS355" s="498" t="str">
        <f ca="1">IF(CI355="-","-",IF(COUNTIF($CI$3:CI355,CI355)&gt;1,0,IFERROR((35/50)*Calculation!$AK$6,"-")))</f>
        <v>-</v>
      </c>
    </row>
    <row r="356" spans="4:97" x14ac:dyDescent="0.5">
      <c r="D356" s="487" t="e">
        <f t="shared" si="165"/>
        <v>#DIV/0!</v>
      </c>
      <c r="E356" s="496" t="e">
        <f t="array" ref="E356">IF(IF((ROW(E356)-3)&lt;(ListAndConversion!$A$15),INDEX(Flow_Cell_Lane,MIN(IF(COUNTIF($E$2:E355,Flow_Cell_Lane)=0,ROW(Flow_Cell_Lane)-9))),"-")="","-",IF((ROW(E356)-3)&lt;(ListAndConversion!$A$15),INDEX(Flow_Cell_Lane,MIN(IF(COUNTIF($E$2:E355,Flow_Cell_Lane)=0,ROW(Flow_Cell_Lane)-9))),"-"))</f>
        <v>#DIV/0!</v>
      </c>
      <c r="F356" s="378" t="e">
        <f t="shared" si="166"/>
        <v>#DIV/0!</v>
      </c>
      <c r="G356" s="378" t="e">
        <f t="shared" si="187"/>
        <v>#DIV/0!</v>
      </c>
      <c r="H356" s="378" t="e">
        <f t="shared" si="187"/>
        <v>#DIV/0!</v>
      </c>
      <c r="I356" s="378" t="e">
        <f t="shared" si="187"/>
        <v>#DIV/0!</v>
      </c>
      <c r="J356" s="378" t="e">
        <f t="shared" si="187"/>
        <v>#DIV/0!</v>
      </c>
      <c r="K356" s="378" t="e">
        <f t="shared" si="187"/>
        <v>#DIV/0!</v>
      </c>
      <c r="L356" s="378" t="e">
        <f t="shared" si="187"/>
        <v>#DIV/0!</v>
      </c>
      <c r="M356" s="378" t="e">
        <f t="shared" si="187"/>
        <v>#DIV/0!</v>
      </c>
      <c r="N356" s="497" t="e">
        <f t="shared" si="168"/>
        <v>#DIV/0!</v>
      </c>
      <c r="O356" s="497" t="str">
        <f t="array" ref="O356">IFERROR(INDEX(Calculation!I:AN,MATCH(ListAndConversion!E356,Calculation!I:I,0),31),"-")</f>
        <v>-</v>
      </c>
      <c r="P356" s="498">
        <f>IF(COUNTIFS(Calculation!$I$10:$I$393,E356,Direct_Denaturation,"-")&lt;&gt;1,COUNTIFS(Calculation!$I$10:$I$393,E356,Direct_Denaturation,"-"),0)</f>
        <v>0</v>
      </c>
      <c r="V356" s="542" t="s">
        <v>82</v>
      </c>
      <c r="W356" s="542" t="s">
        <v>82</v>
      </c>
      <c r="X356" s="542" t="s">
        <v>82</v>
      </c>
      <c r="Y356" s="542" t="s">
        <v>82</v>
      </c>
      <c r="Z356" s="542" t="s">
        <v>82</v>
      </c>
      <c r="AA356" s="542" t="s">
        <v>82</v>
      </c>
      <c r="AB356" s="542" t="s">
        <v>82</v>
      </c>
      <c r="AC356" s="542" t="s">
        <v>82</v>
      </c>
      <c r="AD356" s="542" t="s">
        <v>82</v>
      </c>
      <c r="AE356" s="542" t="s">
        <v>82</v>
      </c>
      <c r="AF356" s="542" t="s">
        <v>82</v>
      </c>
      <c r="AG356" s="542" t="s">
        <v>82</v>
      </c>
      <c r="AH356" s="9"/>
      <c r="AI356" s="487">
        <v>353</v>
      </c>
      <c r="AJ356" s="497" t="s">
        <v>479</v>
      </c>
      <c r="AK356" s="378">
        <v>65</v>
      </c>
      <c r="AL356" s="378" t="str">
        <f t="shared" ca="1" si="169"/>
        <v>-</v>
      </c>
      <c r="AM356" s="378" t="str">
        <f t="array" aca="1" ref="AM356" ca="1">IFERROR(IF(AI356&lt;=$AB$2,"-",INDEX(Calculation_Tab,SMALL(ROW(Main_Dil)*(Main_Dil&lt;&gt;"-"),COUNTIF(Main_Dil,"-")+ROW()-3-$AB$2)-9,5)),"-")</f>
        <v>-</v>
      </c>
      <c r="AN356" s="378" t="str">
        <f t="array" aca="1" ref="AN356" ca="1">IFERROR(IF(AI356&lt;=$AB$2,"-",INDEX($A$3:$B$12,MATCH(INDEX(Calculation_Tab,SMALL(ROW(Main_Dil)*(Main_Dil&lt;&gt;"-"),COUNTIF(Main_Dil,"-")+ROW()-3-$AB$2)-9,5),$A$3:$A$12,0),2)),"-")</f>
        <v>-</v>
      </c>
      <c r="AO356" s="378" t="str">
        <f t="array" aca="1" ref="AO356" ca="1">IFERROR(IF(AI356&lt;=$AB$2,"-",INDEX(Coordinate,MATCH(INDEX(Calculation_Tab,SMALL(ROW(Main_Dil)*(Main_Dil&lt;&gt;"-"),COUNTIF(Main_Dil,"-")+ROW()-3-$AB$2)-9,6),$X$4:$X$99,0),2)),"-")</f>
        <v>-</v>
      </c>
      <c r="AP356" s="510" t="str">
        <f t="array" aca="1" ref="AP356" ca="1">IFERROR(IF(AI356&lt;=$AB$2,"-",INDEX(Calculation_Tab,SMALL(ROW(Main_Dil)*(Main_Dil&lt;&gt;"-"),COUNTIF(Main_Dil,"-")+ROW()-3-$AB$2)-9,21)),"-")</f>
        <v>-</v>
      </c>
      <c r="AQ356" s="511" t="str">
        <f t="array" aca="1" ref="AQ356" ca="1">IFERROR(IF(AI356&lt;=$AB$2,"-",INDEX(Calculation_Tab,SMALL(ROW(Main_Dil)*(Main_Dil&lt;&gt;"-"),COUNTIF(Main_Dil,"-")+ROW()-3-$AB$2)-9,22)),"-")</f>
        <v>-</v>
      </c>
      <c r="AR356" s="487" t="str">
        <f t="shared" ca="1" si="170"/>
        <v>-</v>
      </c>
      <c r="AS356" s="378">
        <v>353</v>
      </c>
      <c r="AT356" s="497" t="s">
        <v>479</v>
      </c>
      <c r="AU356" s="498">
        <v>65</v>
      </c>
      <c r="AV356" s="378" t="str">
        <f t="shared" ca="1" si="171"/>
        <v>-</v>
      </c>
      <c r="AW356" s="378" t="str">
        <f t="array" aca="1" ref="AW356" ca="1">IFERROR(IF(AS356&lt;=$AB$2+$AN$2,"-",INDEX(Calculation_Tab,SMALL(ROW(Direct_Denaturation)*(Direct_Denaturation&lt;&gt;"-"),COUNTIF(Direct_Denaturation,"-")+ROW()-3-$AB$2-$AN$2)-9,5)),"-")</f>
        <v>-</v>
      </c>
      <c r="AX356" s="378" t="str">
        <f t="array" aca="1" ref="AX356" ca="1">IFERROR(IF(AS356&lt;=$AB$2+$AN$2,"-",INDEX($A$3:$B$12,MATCH(INDEX(Calculation_Tab,SMALL(ROW(Direct_Denaturation)*(Direct_Denaturation&lt;&gt;"-"),COUNTIF(Direct_Denaturation,"-")+ROW()-3-$AB$2-$AN$2)-9,5),$A$3:$A$12,0),2)),"-")</f>
        <v>-</v>
      </c>
      <c r="AY356" s="378" t="str">
        <f t="array" aca="1" ref="AY356" ca="1">IFERROR(IF(AS356&lt;=$AB$2+$AN$2,"-",INDEX(Coordinate,MATCH(INDEX(Calculation_Tab,SMALL(ROW(Direct_Denaturation)*(Direct_Denaturation&lt;&gt;"-"),COUNTIF(Direct_Denaturation,"-")+ROW()-3-$AB$2-$AN$2)-9,6),$X$4:$X$99,0),2)),"-")</f>
        <v>-</v>
      </c>
      <c r="AZ356" s="510" t="str">
        <f t="array" aca="1" ref="AZ356" ca="1">IFERROR(IF(AS356&lt;=$AB$2+$AN$2,"-",INDEX(Calculation_Tab,SMALL(ROW(Direct_Denaturation)*(Direct_Denaturation&lt;&gt;"-"),COUNTIF(Direct_Denaturation,"-")+ROW()-3-$AB$2-$AN$2)-9,32)),"-")</f>
        <v>-</v>
      </c>
      <c r="BA356" s="510" t="str">
        <f t="array" aca="1" ref="BA356" ca="1">IFERROR(IF(AS356&lt;=$AB$2+$AN$2,"-",INDEX(Calculation_Tab,SMALL(ROW(Direct_Denaturation)*(Direct_Denaturation&lt;&gt;"-"),COUNTIF(Direct_Denaturation,"-")+ROW()-3-$AB$2-$AN$2)-9,34)),"-")</f>
        <v>-</v>
      </c>
      <c r="BB356" s="510" t="str">
        <f t="array" aca="1" ref="BB356" ca="1">IFERROR(IF(AS356&lt;=$AB$2+$AN$2,"-",INDEX(Calculation_Tab,SMALL(ROW(Direct_Denaturation)*(Direct_Denaturation&lt;&gt;"-"),COUNTIF(Direct_Denaturation,"-")+ROW()-3-$AB$2-$AN$2)-9,33)),"-")</f>
        <v>-</v>
      </c>
      <c r="BC356" s="510" t="str">
        <f t="array" aca="1" ref="BC356" ca="1">IFERROR(IF(AS356&lt;=$AB$2+$AN$2,"-",INDEX(Calculation_Tab,SMALL(ROW(Direct_Denaturation)*(Direct_Denaturation&lt;&gt;"-"),COUNTIF(Direct_Denaturation,"-")+ROW()-3-$AB$2-$AN$2)-9,35)),"-")</f>
        <v>-</v>
      </c>
      <c r="BD356" s="511" t="str">
        <f t="shared" ca="1" si="172"/>
        <v>-</v>
      </c>
      <c r="BK356" s="542" t="s">
        <v>82</v>
      </c>
      <c r="BL356" s="542" t="s">
        <v>82</v>
      </c>
      <c r="BM356" s="487" t="str">
        <f t="array" aca="1" ref="BM356" ca="1">IFERROR(INDEX(Calculation_Tab,SMALL(ROW(ToPool)*(ToPool&lt;&gt;"-"),COUNTIF(ToPool,"-")+ROW()-3)-9,3),"-")</f>
        <v>-</v>
      </c>
      <c r="BN356" s="378" t="str">
        <f t="shared" ca="1" si="173"/>
        <v>-</v>
      </c>
      <c r="BO356" s="378" t="str">
        <f t="shared" ca="1" si="174"/>
        <v>-</v>
      </c>
      <c r="BP356" s="523" t="str">
        <f t="shared" ca="1" si="175"/>
        <v>-</v>
      </c>
      <c r="BQ356" s="378" t="str">
        <f t="array" aca="1" ref="BQ356" ca="1">IFERROR(INDEX(BE:BG,MATCH(INDEX(Calculation_Tab,SMALL(ROW(ToPool)*(ToPool&lt;&gt;"-"),COUNTIF(ToPool,"-")+ROW()-3)-9,9),BG:BG,0),2),"-")</f>
        <v>-</v>
      </c>
      <c r="BR356" s="510" t="str">
        <f t="shared" ca="1" si="176"/>
        <v>-</v>
      </c>
      <c r="BS356" s="511" t="str">
        <f t="shared" ca="1" si="177"/>
        <v>-</v>
      </c>
      <c r="BT356" s="543" t="s">
        <v>82</v>
      </c>
      <c r="BU356" s="487" t="str">
        <f t="shared" ca="1" si="182"/>
        <v>-</v>
      </c>
      <c r="BV356" s="487" t="str">
        <f t="array" aca="1" ref="BV35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56" s="378" t="str">
        <f t="shared" ca="1" si="178"/>
        <v>-</v>
      </c>
      <c r="BX356" s="378" t="str">
        <f t="shared" ca="1" si="179"/>
        <v>-</v>
      </c>
      <c r="BY356" s="510" t="str">
        <f ca="1">IFERROR(ROUND(INDEX(Cluster,MATCH(IF(LEFT(BV356,4)="Pool",INDEX(Cluster,MATCH(INDEX(Calculation_Tab,MATCH(INDEX($BE$4:$BJ$99,MATCH(BV356,$BE$4:$BE$99,0),3),Flow_Cell_Lane,0),3),Cluster!$F$29:$F$412,0),6),BV356),Identifier_Cluster,0),19)*IF(LEFT(BV356,4)="pool",IF(LEN(INDEX($BE$4:$BJ$99,MATCH(BV356,$BE$4:$BE$99,0),3))=10,2,IF(LEN(INDEX($BE$4:$BJ$99,MATCH(BV356,$BE$4:$BE$99,0),3))&gt;10,LEN(INDEX($BE$4:$BJ$99,MATCH(BV356,$BE$4:$BE$99,0),3))-8,1)),1)*IF(LEFT(BV356,4)="pool",IF(INDEX($BE$4:$BJ$99,MATCH(BV356,$BE$4:$BE$99,0),6)&lt;1,1,INDEX($BE$4:$BJ$99,MATCH(BV356,$BE$4:$BE$99,0),6)),INDEX(Calculation_Tab,MATCH(BV356,Identifier,0),10)),1)*(1+Calculation!$Q$6),"-")</f>
        <v>-</v>
      </c>
      <c r="BZ356" s="378" t="str">
        <f ca="1">IFERROR((0.5/50)*CE356/Calculation!$AG$6*(IF(LEFT(BV356,4)="Pool",IF(LEN(INDEX($BE$4:$BJ$99,MATCH(BV356,$BE$4:$BE$99,0),3))=10,2,IF(LEN(INDEX($BE$4:$BJ$99,MATCH(BV356,$BE$4:$BE$99,0),3))&gt;10,LEN(INDEX($BE$4:$BJ$99,MATCH(BV356,$BE$4:$BE$99,0),3))-8,1)),IF(INDEX(Calculation_Tab,MATCH(BV356,Identifier,0),10)&gt;1,INDEX(Calculation_Tab,MATCH(BV356,Identifier,0),10),1)))*(1+Calculation!$Q$6),"-")</f>
        <v>-</v>
      </c>
      <c r="CA356" s="510" t="str">
        <f ca="1">IFERROR(IF((BZ356*Calculation!$AG$6/0.05)-SUM(BY356:BZ356,CC356)&gt;0,(BZ356*Calculation!$AG$6/0.05)-SUM(BY356:BZ356,CC356),0),"-")</f>
        <v>-</v>
      </c>
      <c r="CB356" s="510" t="str">
        <f ca="1">IFERROR(5/50*CE356*(IF(LEFT(BV356,4)="Pool",IF(LEN(INDEX($BE$4:$BJ$99,MATCH(BV356,$BE$4:$BE$99,0),3))=10,2,IF(LEN(INDEX($BE$4:$BJ$99,MATCH(BV356,$BE$4:$BE$99,0),3))&gt;10,LEN(INDEX($BE$4:$BJ$99,MATCH(BV356,$BE$4:$BE$99,0),3))-8,1)),IF(INDEX(Calculation_Tab,MATCH(BV356,Identifier,0),10)&gt;1,INDEX(Calculation_Tab,MATCH(BV356,Identifier,0),10),1)))*(1+Calculation!$Q$6),"-")</f>
        <v>-</v>
      </c>
      <c r="CC356" s="508" t="str">
        <f ca="1">IFERROR(ROUND(INDEX(Cluster,MATCH(IF(LEFT(BV356,4)="Pool",INDEX(Cluster,MATCH(INDEX(Calculation_Tab,MATCH(INDEX($BE$4:$BJ$99,MATCH(BV356,$BE$4:$BE$99,0),3),Flow_Cell_Lane,0),3),Cluster!$F$29:$F$412,0),6),BV356),Identifier_Cluster,0),20)*IF(LEFT(BV356,4)="pool",IF(LEN(INDEX($BE$4:$BJ$99,MATCH(BV356,$BE$4:$BE$99,0),3))=10,2,IF(LEN(INDEX($BE$4:$BJ$99,MATCH(BV356,$BE$4:$BE$99,0),3))&gt;10,LEN(INDEX($BE$4:$BJ$99,MATCH(BV356,$BE$4:$BE$99,0),3))-8,1)),1)*IF(LEFT(BV356,4)="pool",IF(INDEX($BE$4:$BJ$99,MATCH(BV356,$BE$4:$BE$99,0),6)&lt;1,1,INDEX($BE$4:$BJ$99,MATCH(BV356,$BE$4:$BE$99,0),6)),INDEX(Calculation_Tab,MATCH(BV356,Identifier,0),10)),1)*(1+Calculation!$Q$6),"-")</f>
        <v>-</v>
      </c>
      <c r="CD356" s="509" t="str">
        <f ca="1">IFERROR(INDEX(Cluster!AC:AD,MATCH(IF(LEFT(BV356,4)="Pool",INDEX(Cluster!$D$29:$AA$412,MATCH(INDEX(Calculation_Tab,MATCH(INDEX($BE$4:$BJ$99,MATCH(BV356,$BE$4:$BE$99,0),3),Flow_Cell_Lane,0),3),Cluster!$F$29:$F$412,0),24),INDEX(Cluster!$D$29:$AA$412,MATCH(BV356,Cluster!$F$29:$F$412,0),24)),Cluster!AC:AC,0),2),"-")</f>
        <v>-</v>
      </c>
      <c r="CE356" s="378" t="str">
        <f ca="1">IFERROR(IF(BV356&lt;&gt;"-",Calculation!$AK$6,"-"),"-")</f>
        <v>-</v>
      </c>
      <c r="CF356" s="378" t="str">
        <f ca="1">IF(OR(LEFT(ListAndConversion!BW356,3)="Dil",LEFT(ListAndConversion!BW356,3)="Poo"),ListAndConversion!$BT$4,IF(LEFT(ListAndConversion!BW356,3)="Sou",INDEX(ListAndConversion!$AT$3:$AV$387,MATCH(ListAndConversion!BV356,ListAndConversion!$AV$3:$AV$387,0),1),"-"))</f>
        <v>-</v>
      </c>
      <c r="CG356" s="498" t="str">
        <f ca="1">IF(OR(LEFT(ListAndConversion!BW356,3)="Dil",LEFT(ListAndConversion!BW356,3)="Poo"),ListAndConversion!BU356,IF(LEFT(ListAndConversion!BW356,3)="Sou",INDEX(ListAndConversion!$AT$4:$AV$387,MATCH(ListAndConversion!BV356,ListAndConversion!$AV$4:$AV$387,0),2),"-"))</f>
        <v>-</v>
      </c>
      <c r="CH356" s="378"/>
      <c r="CI356" s="487" t="str">
        <f t="shared" ca="1" si="180"/>
        <v>-</v>
      </c>
      <c r="CJ356" s="378" t="str">
        <f t="shared" ca="1" si="188"/>
        <v>-</v>
      </c>
      <c r="CK356" s="378" t="str">
        <f t="shared" ca="1" si="188"/>
        <v>-</v>
      </c>
      <c r="CL356" s="378" t="str">
        <f t="shared" ca="1" si="188"/>
        <v>-</v>
      </c>
      <c r="CM356" s="378" t="str">
        <f t="shared" ca="1" si="188"/>
        <v>-</v>
      </c>
      <c r="CN356" s="378" t="str">
        <f t="shared" ca="1" si="188"/>
        <v>-</v>
      </c>
      <c r="CO356" s="378" t="str">
        <f t="shared" ca="1" si="188"/>
        <v>-</v>
      </c>
      <c r="CP356" s="378" t="str">
        <f t="shared" ca="1" si="188"/>
        <v>-</v>
      </c>
      <c r="CQ356" s="378" t="str">
        <f t="shared" ca="1" si="188"/>
        <v>-</v>
      </c>
      <c r="CR356" s="510" t="str">
        <f ca="1">IFERROR(IF(LEFT(BW356,3)="Poo",INDEX($BE$4:$BJ$99,MATCH(CI356,$BG$4:$BG$99,0),6)*((15/50))*Calculation!$AK$6,INDEX(Calculation_Tab,MATCH(BV356,Identifier,0),10)/(IF(LEN(INDEX(Calculation_Tab,MATCH(BV356,Identifier,0),9))&gt;8,LEN(INDEX(Calculation_Tab,MATCH(BV356,Identifier,0),9))-8,1))*((15/50)*Calculation!$AK$6)),"-")</f>
        <v>-</v>
      </c>
      <c r="CS356" s="498" t="str">
        <f ca="1">IF(CI356="-","-",IF(COUNTIF($CI$3:CI356,CI356)&gt;1,0,IFERROR((35/50)*Calculation!$AK$6,"-")))</f>
        <v>-</v>
      </c>
    </row>
    <row r="357" spans="4:97" x14ac:dyDescent="0.5">
      <c r="D357" s="487" t="e">
        <f t="shared" si="165"/>
        <v>#DIV/0!</v>
      </c>
      <c r="E357" s="496" t="e">
        <f t="array" ref="E357">IF(IF((ROW(E357)-3)&lt;(ListAndConversion!$A$15),INDEX(Flow_Cell_Lane,MIN(IF(COUNTIF($E$2:E356,Flow_Cell_Lane)=0,ROW(Flow_Cell_Lane)-9))),"-")="","-",IF((ROW(E357)-3)&lt;(ListAndConversion!$A$15),INDEX(Flow_Cell_Lane,MIN(IF(COUNTIF($E$2:E356,Flow_Cell_Lane)=0,ROW(Flow_Cell_Lane)-9))),"-"))</f>
        <v>#DIV/0!</v>
      </c>
      <c r="F357" s="378" t="e">
        <f t="shared" si="166"/>
        <v>#DIV/0!</v>
      </c>
      <c r="G357" s="378" t="e">
        <f t="shared" si="187"/>
        <v>#DIV/0!</v>
      </c>
      <c r="H357" s="378" t="e">
        <f t="shared" si="187"/>
        <v>#DIV/0!</v>
      </c>
      <c r="I357" s="378" t="e">
        <f t="shared" si="187"/>
        <v>#DIV/0!</v>
      </c>
      <c r="J357" s="378" t="e">
        <f t="shared" si="187"/>
        <v>#DIV/0!</v>
      </c>
      <c r="K357" s="378" t="e">
        <f t="shared" si="187"/>
        <v>#DIV/0!</v>
      </c>
      <c r="L357" s="378" t="e">
        <f t="shared" si="187"/>
        <v>#DIV/0!</v>
      </c>
      <c r="M357" s="378" t="e">
        <f t="shared" si="187"/>
        <v>#DIV/0!</v>
      </c>
      <c r="N357" s="497" t="e">
        <f t="shared" si="168"/>
        <v>#DIV/0!</v>
      </c>
      <c r="O357" s="497" t="str">
        <f t="array" ref="O357">IFERROR(INDEX(Calculation!I:AN,MATCH(ListAndConversion!E357,Calculation!I:I,0),31),"-")</f>
        <v>-</v>
      </c>
      <c r="P357" s="498">
        <f>IF(COUNTIFS(Calculation!$I$10:$I$393,E357,Direct_Denaturation,"-")&lt;&gt;1,COUNTIFS(Calculation!$I$10:$I$393,E357,Direct_Denaturation,"-"),0)</f>
        <v>0</v>
      </c>
      <c r="V357" s="542" t="s">
        <v>82</v>
      </c>
      <c r="W357" s="542" t="s">
        <v>82</v>
      </c>
      <c r="X357" s="542" t="s">
        <v>82</v>
      </c>
      <c r="Y357" s="542" t="s">
        <v>82</v>
      </c>
      <c r="Z357" s="542" t="s">
        <v>82</v>
      </c>
      <c r="AA357" s="542" t="s">
        <v>82</v>
      </c>
      <c r="AB357" s="542" t="s">
        <v>82</v>
      </c>
      <c r="AC357" s="542" t="s">
        <v>82</v>
      </c>
      <c r="AD357" s="542" t="s">
        <v>82</v>
      </c>
      <c r="AE357" s="542" t="s">
        <v>82</v>
      </c>
      <c r="AF357" s="542" t="s">
        <v>82</v>
      </c>
      <c r="AG357" s="542" t="s">
        <v>82</v>
      </c>
      <c r="AH357" s="9"/>
      <c r="AI357" s="487">
        <v>354</v>
      </c>
      <c r="AJ357" s="497" t="s">
        <v>479</v>
      </c>
      <c r="AK357" s="378">
        <v>66</v>
      </c>
      <c r="AL357" s="378" t="str">
        <f t="shared" ca="1" si="169"/>
        <v>-</v>
      </c>
      <c r="AM357" s="378" t="str">
        <f t="array" aca="1" ref="AM357" ca="1">IFERROR(IF(AI357&lt;=$AB$2,"-",INDEX(Calculation_Tab,SMALL(ROW(Main_Dil)*(Main_Dil&lt;&gt;"-"),COUNTIF(Main_Dil,"-")+ROW()-3-$AB$2)-9,5)),"-")</f>
        <v>-</v>
      </c>
      <c r="AN357" s="378" t="str">
        <f t="array" aca="1" ref="AN357" ca="1">IFERROR(IF(AI357&lt;=$AB$2,"-",INDEX($A$3:$B$12,MATCH(INDEX(Calculation_Tab,SMALL(ROW(Main_Dil)*(Main_Dil&lt;&gt;"-"),COUNTIF(Main_Dil,"-")+ROW()-3-$AB$2)-9,5),$A$3:$A$12,0),2)),"-")</f>
        <v>-</v>
      </c>
      <c r="AO357" s="378" t="str">
        <f t="array" aca="1" ref="AO357" ca="1">IFERROR(IF(AI357&lt;=$AB$2,"-",INDEX(Coordinate,MATCH(INDEX(Calculation_Tab,SMALL(ROW(Main_Dil)*(Main_Dil&lt;&gt;"-"),COUNTIF(Main_Dil,"-")+ROW()-3-$AB$2)-9,6),$X$4:$X$99,0),2)),"-")</f>
        <v>-</v>
      </c>
      <c r="AP357" s="510" t="str">
        <f t="array" aca="1" ref="AP357" ca="1">IFERROR(IF(AI357&lt;=$AB$2,"-",INDEX(Calculation_Tab,SMALL(ROW(Main_Dil)*(Main_Dil&lt;&gt;"-"),COUNTIF(Main_Dil,"-")+ROW()-3-$AB$2)-9,21)),"-")</f>
        <v>-</v>
      </c>
      <c r="AQ357" s="511" t="str">
        <f t="array" aca="1" ref="AQ357" ca="1">IFERROR(IF(AI357&lt;=$AB$2,"-",INDEX(Calculation_Tab,SMALL(ROW(Main_Dil)*(Main_Dil&lt;&gt;"-"),COUNTIF(Main_Dil,"-")+ROW()-3-$AB$2)-9,22)),"-")</f>
        <v>-</v>
      </c>
      <c r="AR357" s="487" t="str">
        <f t="shared" ca="1" si="170"/>
        <v>-</v>
      </c>
      <c r="AS357" s="378">
        <v>354</v>
      </c>
      <c r="AT357" s="497" t="s">
        <v>479</v>
      </c>
      <c r="AU357" s="498">
        <v>66</v>
      </c>
      <c r="AV357" s="378" t="str">
        <f t="shared" ca="1" si="171"/>
        <v>-</v>
      </c>
      <c r="AW357" s="378" t="str">
        <f t="array" aca="1" ref="AW357" ca="1">IFERROR(IF(AS357&lt;=$AB$2+$AN$2,"-",INDEX(Calculation_Tab,SMALL(ROW(Direct_Denaturation)*(Direct_Denaturation&lt;&gt;"-"),COUNTIF(Direct_Denaturation,"-")+ROW()-3-$AB$2-$AN$2)-9,5)),"-")</f>
        <v>-</v>
      </c>
      <c r="AX357" s="378" t="str">
        <f t="array" aca="1" ref="AX357" ca="1">IFERROR(IF(AS357&lt;=$AB$2+$AN$2,"-",INDEX($A$3:$B$12,MATCH(INDEX(Calculation_Tab,SMALL(ROW(Direct_Denaturation)*(Direct_Denaturation&lt;&gt;"-"),COUNTIF(Direct_Denaturation,"-")+ROW()-3-$AB$2-$AN$2)-9,5),$A$3:$A$12,0),2)),"-")</f>
        <v>-</v>
      </c>
      <c r="AY357" s="378" t="str">
        <f t="array" aca="1" ref="AY357" ca="1">IFERROR(IF(AS357&lt;=$AB$2+$AN$2,"-",INDEX(Coordinate,MATCH(INDEX(Calculation_Tab,SMALL(ROW(Direct_Denaturation)*(Direct_Denaturation&lt;&gt;"-"),COUNTIF(Direct_Denaturation,"-")+ROW()-3-$AB$2-$AN$2)-9,6),$X$4:$X$99,0),2)),"-")</f>
        <v>-</v>
      </c>
      <c r="AZ357" s="510" t="str">
        <f t="array" aca="1" ref="AZ357" ca="1">IFERROR(IF(AS357&lt;=$AB$2+$AN$2,"-",INDEX(Calculation_Tab,SMALL(ROW(Direct_Denaturation)*(Direct_Denaturation&lt;&gt;"-"),COUNTIF(Direct_Denaturation,"-")+ROW()-3-$AB$2-$AN$2)-9,32)),"-")</f>
        <v>-</v>
      </c>
      <c r="BA357" s="510" t="str">
        <f t="array" aca="1" ref="BA357" ca="1">IFERROR(IF(AS357&lt;=$AB$2+$AN$2,"-",INDEX(Calculation_Tab,SMALL(ROW(Direct_Denaturation)*(Direct_Denaturation&lt;&gt;"-"),COUNTIF(Direct_Denaturation,"-")+ROW()-3-$AB$2-$AN$2)-9,34)),"-")</f>
        <v>-</v>
      </c>
      <c r="BB357" s="510" t="str">
        <f t="array" aca="1" ref="BB357" ca="1">IFERROR(IF(AS357&lt;=$AB$2+$AN$2,"-",INDEX(Calculation_Tab,SMALL(ROW(Direct_Denaturation)*(Direct_Denaturation&lt;&gt;"-"),COUNTIF(Direct_Denaturation,"-")+ROW()-3-$AB$2-$AN$2)-9,33)),"-")</f>
        <v>-</v>
      </c>
      <c r="BC357" s="510" t="str">
        <f t="array" aca="1" ref="BC357" ca="1">IFERROR(IF(AS357&lt;=$AB$2+$AN$2,"-",INDEX(Calculation_Tab,SMALL(ROW(Direct_Denaturation)*(Direct_Denaturation&lt;&gt;"-"),COUNTIF(Direct_Denaturation,"-")+ROW()-3-$AB$2-$AN$2)-9,35)),"-")</f>
        <v>-</v>
      </c>
      <c r="BD357" s="511" t="str">
        <f t="shared" ca="1" si="172"/>
        <v>-</v>
      </c>
      <c r="BK357" s="542" t="s">
        <v>82</v>
      </c>
      <c r="BL357" s="542" t="s">
        <v>82</v>
      </c>
      <c r="BM357" s="487" t="str">
        <f t="array" aca="1" ref="BM357" ca="1">IFERROR(INDEX(Calculation_Tab,SMALL(ROW(ToPool)*(ToPool&lt;&gt;"-"),COUNTIF(ToPool,"-")+ROW()-3)-9,3),"-")</f>
        <v>-</v>
      </c>
      <c r="BN357" s="378" t="str">
        <f t="shared" ca="1" si="173"/>
        <v>-</v>
      </c>
      <c r="BO357" s="378" t="str">
        <f t="shared" ca="1" si="174"/>
        <v>-</v>
      </c>
      <c r="BP357" s="523" t="str">
        <f t="shared" ca="1" si="175"/>
        <v>-</v>
      </c>
      <c r="BQ357" s="378" t="str">
        <f t="array" aca="1" ref="BQ357" ca="1">IFERROR(INDEX(BE:BG,MATCH(INDEX(Calculation_Tab,SMALL(ROW(ToPool)*(ToPool&lt;&gt;"-"),COUNTIF(ToPool,"-")+ROW()-3)-9,9),BG:BG,0),2),"-")</f>
        <v>-</v>
      </c>
      <c r="BR357" s="510" t="str">
        <f t="shared" ca="1" si="176"/>
        <v>-</v>
      </c>
      <c r="BS357" s="511" t="str">
        <f t="shared" ca="1" si="177"/>
        <v>-</v>
      </c>
      <c r="BT357" s="543" t="s">
        <v>82</v>
      </c>
      <c r="BU357" s="487" t="str">
        <f t="shared" ca="1" si="182"/>
        <v>-</v>
      </c>
      <c r="BV357" s="487" t="str">
        <f t="array" aca="1" ref="BV35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57" s="378" t="str">
        <f t="shared" ca="1" si="178"/>
        <v>-</v>
      </c>
      <c r="BX357" s="378" t="str">
        <f t="shared" ca="1" si="179"/>
        <v>-</v>
      </c>
      <c r="BY357" s="510" t="str">
        <f ca="1">IFERROR(ROUND(INDEX(Cluster,MATCH(IF(LEFT(BV357,4)="Pool",INDEX(Cluster,MATCH(INDEX(Calculation_Tab,MATCH(INDEX($BE$4:$BJ$99,MATCH(BV357,$BE$4:$BE$99,0),3),Flow_Cell_Lane,0),3),Cluster!$F$29:$F$412,0),6),BV357),Identifier_Cluster,0),19)*IF(LEFT(BV357,4)="pool",IF(LEN(INDEX($BE$4:$BJ$99,MATCH(BV357,$BE$4:$BE$99,0),3))=10,2,IF(LEN(INDEX($BE$4:$BJ$99,MATCH(BV357,$BE$4:$BE$99,0),3))&gt;10,LEN(INDEX($BE$4:$BJ$99,MATCH(BV357,$BE$4:$BE$99,0),3))-8,1)),1)*IF(LEFT(BV357,4)="pool",IF(INDEX($BE$4:$BJ$99,MATCH(BV357,$BE$4:$BE$99,0),6)&lt;1,1,INDEX($BE$4:$BJ$99,MATCH(BV357,$BE$4:$BE$99,0),6)),INDEX(Calculation_Tab,MATCH(BV357,Identifier,0),10)),1)*(1+Calculation!$Q$6),"-")</f>
        <v>-</v>
      </c>
      <c r="BZ357" s="378" t="str">
        <f ca="1">IFERROR((0.5/50)*CE357/Calculation!$AG$6*(IF(LEFT(BV357,4)="Pool",IF(LEN(INDEX($BE$4:$BJ$99,MATCH(BV357,$BE$4:$BE$99,0),3))=10,2,IF(LEN(INDEX($BE$4:$BJ$99,MATCH(BV357,$BE$4:$BE$99,0),3))&gt;10,LEN(INDEX($BE$4:$BJ$99,MATCH(BV357,$BE$4:$BE$99,0),3))-8,1)),IF(INDEX(Calculation_Tab,MATCH(BV357,Identifier,0),10)&gt;1,INDEX(Calculation_Tab,MATCH(BV357,Identifier,0),10),1)))*(1+Calculation!$Q$6),"-")</f>
        <v>-</v>
      </c>
      <c r="CA357" s="510" t="str">
        <f ca="1">IFERROR(IF((BZ357*Calculation!$AG$6/0.05)-SUM(BY357:BZ357,CC357)&gt;0,(BZ357*Calculation!$AG$6/0.05)-SUM(BY357:BZ357,CC357),0),"-")</f>
        <v>-</v>
      </c>
      <c r="CB357" s="510" t="str">
        <f ca="1">IFERROR(5/50*CE357*(IF(LEFT(BV357,4)="Pool",IF(LEN(INDEX($BE$4:$BJ$99,MATCH(BV357,$BE$4:$BE$99,0),3))=10,2,IF(LEN(INDEX($BE$4:$BJ$99,MATCH(BV357,$BE$4:$BE$99,0),3))&gt;10,LEN(INDEX($BE$4:$BJ$99,MATCH(BV357,$BE$4:$BE$99,0),3))-8,1)),IF(INDEX(Calculation_Tab,MATCH(BV357,Identifier,0),10)&gt;1,INDEX(Calculation_Tab,MATCH(BV357,Identifier,0),10),1)))*(1+Calculation!$Q$6),"-")</f>
        <v>-</v>
      </c>
      <c r="CC357" s="508" t="str">
        <f ca="1">IFERROR(ROUND(INDEX(Cluster,MATCH(IF(LEFT(BV357,4)="Pool",INDEX(Cluster,MATCH(INDEX(Calculation_Tab,MATCH(INDEX($BE$4:$BJ$99,MATCH(BV357,$BE$4:$BE$99,0),3),Flow_Cell_Lane,0),3),Cluster!$F$29:$F$412,0),6),BV357),Identifier_Cluster,0),20)*IF(LEFT(BV357,4)="pool",IF(LEN(INDEX($BE$4:$BJ$99,MATCH(BV357,$BE$4:$BE$99,0),3))=10,2,IF(LEN(INDEX($BE$4:$BJ$99,MATCH(BV357,$BE$4:$BE$99,0),3))&gt;10,LEN(INDEX($BE$4:$BJ$99,MATCH(BV357,$BE$4:$BE$99,0),3))-8,1)),1)*IF(LEFT(BV357,4)="pool",IF(INDEX($BE$4:$BJ$99,MATCH(BV357,$BE$4:$BE$99,0),6)&lt;1,1,INDEX($BE$4:$BJ$99,MATCH(BV357,$BE$4:$BE$99,0),6)),INDEX(Calculation_Tab,MATCH(BV357,Identifier,0),10)),1)*(1+Calculation!$Q$6),"-")</f>
        <v>-</v>
      </c>
      <c r="CD357" s="509" t="str">
        <f ca="1">IFERROR(INDEX(Cluster!AC:AD,MATCH(IF(LEFT(BV357,4)="Pool",INDEX(Cluster!$D$29:$AA$412,MATCH(INDEX(Calculation_Tab,MATCH(INDEX($BE$4:$BJ$99,MATCH(BV357,$BE$4:$BE$99,0),3),Flow_Cell_Lane,0),3),Cluster!$F$29:$F$412,0),24),INDEX(Cluster!$D$29:$AA$412,MATCH(BV357,Cluster!$F$29:$F$412,0),24)),Cluster!AC:AC,0),2),"-")</f>
        <v>-</v>
      </c>
      <c r="CE357" s="378" t="str">
        <f ca="1">IFERROR(IF(BV357&lt;&gt;"-",Calculation!$AK$6,"-"),"-")</f>
        <v>-</v>
      </c>
      <c r="CF357" s="378" t="str">
        <f ca="1">IF(OR(LEFT(ListAndConversion!BW357,3)="Dil",LEFT(ListAndConversion!BW357,3)="Poo"),ListAndConversion!$BT$4,IF(LEFT(ListAndConversion!BW357,3)="Sou",INDEX(ListAndConversion!$AT$3:$AV$387,MATCH(ListAndConversion!BV357,ListAndConversion!$AV$3:$AV$387,0),1),"-"))</f>
        <v>-</v>
      </c>
      <c r="CG357" s="498" t="str">
        <f ca="1">IF(OR(LEFT(ListAndConversion!BW357,3)="Dil",LEFT(ListAndConversion!BW357,3)="Poo"),ListAndConversion!BU357,IF(LEFT(ListAndConversion!BW357,3)="Sou",INDEX(ListAndConversion!$AT$4:$AV$387,MATCH(ListAndConversion!BV357,ListAndConversion!$AV$4:$AV$387,0),2),"-"))</f>
        <v>-</v>
      </c>
      <c r="CH357" s="378"/>
      <c r="CI357" s="487" t="str">
        <f t="shared" ca="1" si="180"/>
        <v>-</v>
      </c>
      <c r="CJ357" s="378" t="str">
        <f t="shared" ca="1" si="188"/>
        <v>-</v>
      </c>
      <c r="CK357" s="378" t="str">
        <f t="shared" ca="1" si="188"/>
        <v>-</v>
      </c>
      <c r="CL357" s="378" t="str">
        <f t="shared" ca="1" si="188"/>
        <v>-</v>
      </c>
      <c r="CM357" s="378" t="str">
        <f t="shared" ca="1" si="188"/>
        <v>-</v>
      </c>
      <c r="CN357" s="378" t="str">
        <f t="shared" ca="1" si="188"/>
        <v>-</v>
      </c>
      <c r="CO357" s="378" t="str">
        <f t="shared" ca="1" si="188"/>
        <v>-</v>
      </c>
      <c r="CP357" s="378" t="str">
        <f t="shared" ca="1" si="188"/>
        <v>-</v>
      </c>
      <c r="CQ357" s="378" t="str">
        <f t="shared" ca="1" si="188"/>
        <v>-</v>
      </c>
      <c r="CR357" s="510" t="str">
        <f ca="1">IFERROR(IF(LEFT(BW357,3)="Poo",INDEX($BE$4:$BJ$99,MATCH(CI357,$BG$4:$BG$99,0),6)*((15/50))*Calculation!$AK$6,INDEX(Calculation_Tab,MATCH(BV357,Identifier,0),10)/(IF(LEN(INDEX(Calculation_Tab,MATCH(BV357,Identifier,0),9))&gt;8,LEN(INDEX(Calculation_Tab,MATCH(BV357,Identifier,0),9))-8,1))*((15/50)*Calculation!$AK$6)),"-")</f>
        <v>-</v>
      </c>
      <c r="CS357" s="498" t="str">
        <f ca="1">IF(CI357="-","-",IF(COUNTIF($CI$3:CI357,CI357)&gt;1,0,IFERROR((35/50)*Calculation!$AK$6,"-")))</f>
        <v>-</v>
      </c>
    </row>
    <row r="358" spans="4:97" x14ac:dyDescent="0.5">
      <c r="D358" s="487" t="e">
        <f t="shared" si="165"/>
        <v>#DIV/0!</v>
      </c>
      <c r="E358" s="496" t="e">
        <f t="array" ref="E358">IF(IF((ROW(E358)-3)&lt;(ListAndConversion!$A$15),INDEX(Flow_Cell_Lane,MIN(IF(COUNTIF($E$2:E357,Flow_Cell_Lane)=0,ROW(Flow_Cell_Lane)-9))),"-")="","-",IF((ROW(E358)-3)&lt;(ListAndConversion!$A$15),INDEX(Flow_Cell_Lane,MIN(IF(COUNTIF($E$2:E357,Flow_Cell_Lane)=0,ROW(Flow_Cell_Lane)-9))),"-"))</f>
        <v>#DIV/0!</v>
      </c>
      <c r="F358" s="378" t="e">
        <f t="shared" si="166"/>
        <v>#DIV/0!</v>
      </c>
      <c r="G358" s="378" t="e">
        <f t="shared" si="187"/>
        <v>#DIV/0!</v>
      </c>
      <c r="H358" s="378" t="e">
        <f t="shared" si="187"/>
        <v>#DIV/0!</v>
      </c>
      <c r="I358" s="378" t="e">
        <f t="shared" si="187"/>
        <v>#DIV/0!</v>
      </c>
      <c r="J358" s="378" t="e">
        <f t="shared" si="187"/>
        <v>#DIV/0!</v>
      </c>
      <c r="K358" s="378" t="e">
        <f t="shared" si="187"/>
        <v>#DIV/0!</v>
      </c>
      <c r="L358" s="378" t="e">
        <f t="shared" si="187"/>
        <v>#DIV/0!</v>
      </c>
      <c r="M358" s="378" t="e">
        <f t="shared" si="187"/>
        <v>#DIV/0!</v>
      </c>
      <c r="N358" s="497" t="e">
        <f t="shared" si="168"/>
        <v>#DIV/0!</v>
      </c>
      <c r="O358" s="497" t="str">
        <f t="array" ref="O358">IFERROR(INDEX(Calculation!I:AN,MATCH(ListAndConversion!E358,Calculation!I:I,0),31),"-")</f>
        <v>-</v>
      </c>
      <c r="P358" s="498">
        <f>IF(COUNTIFS(Calculation!$I$10:$I$393,E358,Direct_Denaturation,"-")&lt;&gt;1,COUNTIFS(Calculation!$I$10:$I$393,E358,Direct_Denaturation,"-"),0)</f>
        <v>0</v>
      </c>
      <c r="V358" s="542" t="s">
        <v>82</v>
      </c>
      <c r="W358" s="542" t="s">
        <v>82</v>
      </c>
      <c r="X358" s="542" t="s">
        <v>82</v>
      </c>
      <c r="Y358" s="542" t="s">
        <v>82</v>
      </c>
      <c r="Z358" s="542" t="s">
        <v>82</v>
      </c>
      <c r="AA358" s="542" t="s">
        <v>82</v>
      </c>
      <c r="AB358" s="542" t="s">
        <v>82</v>
      </c>
      <c r="AC358" s="542" t="s">
        <v>82</v>
      </c>
      <c r="AD358" s="542" t="s">
        <v>82</v>
      </c>
      <c r="AE358" s="542" t="s">
        <v>82</v>
      </c>
      <c r="AF358" s="542" t="s">
        <v>82</v>
      </c>
      <c r="AG358" s="542" t="s">
        <v>82</v>
      </c>
      <c r="AH358" s="9"/>
      <c r="AI358" s="487">
        <v>355</v>
      </c>
      <c r="AJ358" s="497" t="s">
        <v>479</v>
      </c>
      <c r="AK358" s="378">
        <v>67</v>
      </c>
      <c r="AL358" s="378" t="str">
        <f t="shared" ca="1" si="169"/>
        <v>-</v>
      </c>
      <c r="AM358" s="378" t="str">
        <f t="array" aca="1" ref="AM358" ca="1">IFERROR(IF(AI358&lt;=$AB$2,"-",INDEX(Calculation_Tab,SMALL(ROW(Main_Dil)*(Main_Dil&lt;&gt;"-"),COUNTIF(Main_Dil,"-")+ROW()-3-$AB$2)-9,5)),"-")</f>
        <v>-</v>
      </c>
      <c r="AN358" s="378" t="str">
        <f t="array" aca="1" ref="AN358" ca="1">IFERROR(IF(AI358&lt;=$AB$2,"-",INDEX($A$3:$B$12,MATCH(INDEX(Calculation_Tab,SMALL(ROW(Main_Dil)*(Main_Dil&lt;&gt;"-"),COUNTIF(Main_Dil,"-")+ROW()-3-$AB$2)-9,5),$A$3:$A$12,0),2)),"-")</f>
        <v>-</v>
      </c>
      <c r="AO358" s="378" t="str">
        <f t="array" aca="1" ref="AO358" ca="1">IFERROR(IF(AI358&lt;=$AB$2,"-",INDEX(Coordinate,MATCH(INDEX(Calculation_Tab,SMALL(ROW(Main_Dil)*(Main_Dil&lt;&gt;"-"),COUNTIF(Main_Dil,"-")+ROW()-3-$AB$2)-9,6),$X$4:$X$99,0),2)),"-")</f>
        <v>-</v>
      </c>
      <c r="AP358" s="510" t="str">
        <f t="array" aca="1" ref="AP358" ca="1">IFERROR(IF(AI358&lt;=$AB$2,"-",INDEX(Calculation_Tab,SMALL(ROW(Main_Dil)*(Main_Dil&lt;&gt;"-"),COUNTIF(Main_Dil,"-")+ROW()-3-$AB$2)-9,21)),"-")</f>
        <v>-</v>
      </c>
      <c r="AQ358" s="511" t="str">
        <f t="array" aca="1" ref="AQ358" ca="1">IFERROR(IF(AI358&lt;=$AB$2,"-",INDEX(Calculation_Tab,SMALL(ROW(Main_Dil)*(Main_Dil&lt;&gt;"-"),COUNTIF(Main_Dil,"-")+ROW()-3-$AB$2)-9,22)),"-")</f>
        <v>-</v>
      </c>
      <c r="AR358" s="487" t="str">
        <f t="shared" ca="1" si="170"/>
        <v>-</v>
      </c>
      <c r="AS358" s="378">
        <v>355</v>
      </c>
      <c r="AT358" s="497" t="s">
        <v>479</v>
      </c>
      <c r="AU358" s="498">
        <v>67</v>
      </c>
      <c r="AV358" s="378" t="str">
        <f t="shared" ca="1" si="171"/>
        <v>-</v>
      </c>
      <c r="AW358" s="378" t="str">
        <f t="array" aca="1" ref="AW358" ca="1">IFERROR(IF(AS358&lt;=$AB$2+$AN$2,"-",INDEX(Calculation_Tab,SMALL(ROW(Direct_Denaturation)*(Direct_Denaturation&lt;&gt;"-"),COUNTIF(Direct_Denaturation,"-")+ROW()-3-$AB$2-$AN$2)-9,5)),"-")</f>
        <v>-</v>
      </c>
      <c r="AX358" s="378" t="str">
        <f t="array" aca="1" ref="AX358" ca="1">IFERROR(IF(AS358&lt;=$AB$2+$AN$2,"-",INDEX($A$3:$B$12,MATCH(INDEX(Calculation_Tab,SMALL(ROW(Direct_Denaturation)*(Direct_Denaturation&lt;&gt;"-"),COUNTIF(Direct_Denaturation,"-")+ROW()-3-$AB$2-$AN$2)-9,5),$A$3:$A$12,0),2)),"-")</f>
        <v>-</v>
      </c>
      <c r="AY358" s="378" t="str">
        <f t="array" aca="1" ref="AY358" ca="1">IFERROR(IF(AS358&lt;=$AB$2+$AN$2,"-",INDEX(Coordinate,MATCH(INDEX(Calculation_Tab,SMALL(ROW(Direct_Denaturation)*(Direct_Denaturation&lt;&gt;"-"),COUNTIF(Direct_Denaturation,"-")+ROW()-3-$AB$2-$AN$2)-9,6),$X$4:$X$99,0),2)),"-")</f>
        <v>-</v>
      </c>
      <c r="AZ358" s="510" t="str">
        <f t="array" aca="1" ref="AZ358" ca="1">IFERROR(IF(AS358&lt;=$AB$2+$AN$2,"-",INDEX(Calculation_Tab,SMALL(ROW(Direct_Denaturation)*(Direct_Denaturation&lt;&gt;"-"),COUNTIF(Direct_Denaturation,"-")+ROW()-3-$AB$2-$AN$2)-9,32)),"-")</f>
        <v>-</v>
      </c>
      <c r="BA358" s="510" t="str">
        <f t="array" aca="1" ref="BA358" ca="1">IFERROR(IF(AS358&lt;=$AB$2+$AN$2,"-",INDEX(Calculation_Tab,SMALL(ROW(Direct_Denaturation)*(Direct_Denaturation&lt;&gt;"-"),COUNTIF(Direct_Denaturation,"-")+ROW()-3-$AB$2-$AN$2)-9,34)),"-")</f>
        <v>-</v>
      </c>
      <c r="BB358" s="510" t="str">
        <f t="array" aca="1" ref="BB358" ca="1">IFERROR(IF(AS358&lt;=$AB$2+$AN$2,"-",INDEX(Calculation_Tab,SMALL(ROW(Direct_Denaturation)*(Direct_Denaturation&lt;&gt;"-"),COUNTIF(Direct_Denaturation,"-")+ROW()-3-$AB$2-$AN$2)-9,33)),"-")</f>
        <v>-</v>
      </c>
      <c r="BC358" s="510" t="str">
        <f t="array" aca="1" ref="BC358" ca="1">IFERROR(IF(AS358&lt;=$AB$2+$AN$2,"-",INDEX(Calculation_Tab,SMALL(ROW(Direct_Denaturation)*(Direct_Denaturation&lt;&gt;"-"),COUNTIF(Direct_Denaturation,"-")+ROW()-3-$AB$2-$AN$2)-9,35)),"-")</f>
        <v>-</v>
      </c>
      <c r="BD358" s="511" t="str">
        <f t="shared" ca="1" si="172"/>
        <v>-</v>
      </c>
      <c r="BK358" s="542" t="s">
        <v>82</v>
      </c>
      <c r="BL358" s="542" t="s">
        <v>82</v>
      </c>
      <c r="BM358" s="487" t="str">
        <f t="array" aca="1" ref="BM358" ca="1">IFERROR(INDEX(Calculation_Tab,SMALL(ROW(ToPool)*(ToPool&lt;&gt;"-"),COUNTIF(ToPool,"-")+ROW()-3)-9,3),"-")</f>
        <v>-</v>
      </c>
      <c r="BN358" s="378" t="str">
        <f t="shared" ca="1" si="173"/>
        <v>-</v>
      </c>
      <c r="BO358" s="378" t="str">
        <f t="shared" ca="1" si="174"/>
        <v>-</v>
      </c>
      <c r="BP358" s="523" t="str">
        <f t="shared" ca="1" si="175"/>
        <v>-</v>
      </c>
      <c r="BQ358" s="378" t="str">
        <f t="array" aca="1" ref="BQ358" ca="1">IFERROR(INDEX(BE:BG,MATCH(INDEX(Calculation_Tab,SMALL(ROW(ToPool)*(ToPool&lt;&gt;"-"),COUNTIF(ToPool,"-")+ROW()-3)-9,9),BG:BG,0),2),"-")</f>
        <v>-</v>
      </c>
      <c r="BR358" s="510" t="str">
        <f t="shared" ca="1" si="176"/>
        <v>-</v>
      </c>
      <c r="BS358" s="511" t="str">
        <f t="shared" ca="1" si="177"/>
        <v>-</v>
      </c>
      <c r="BT358" s="543" t="s">
        <v>82</v>
      </c>
      <c r="BU358" s="487" t="str">
        <f t="shared" ca="1" si="182"/>
        <v>-</v>
      </c>
      <c r="BV358" s="487" t="str">
        <f t="array" aca="1" ref="BV35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58" s="378" t="str">
        <f t="shared" ca="1" si="178"/>
        <v>-</v>
      </c>
      <c r="BX358" s="378" t="str">
        <f t="shared" ca="1" si="179"/>
        <v>-</v>
      </c>
      <c r="BY358" s="510" t="str">
        <f ca="1">IFERROR(ROUND(INDEX(Cluster,MATCH(IF(LEFT(BV358,4)="Pool",INDEX(Cluster,MATCH(INDEX(Calculation_Tab,MATCH(INDEX($BE$4:$BJ$99,MATCH(BV358,$BE$4:$BE$99,0),3),Flow_Cell_Lane,0),3),Cluster!$F$29:$F$412,0),6),BV358),Identifier_Cluster,0),19)*IF(LEFT(BV358,4)="pool",IF(LEN(INDEX($BE$4:$BJ$99,MATCH(BV358,$BE$4:$BE$99,0),3))=10,2,IF(LEN(INDEX($BE$4:$BJ$99,MATCH(BV358,$BE$4:$BE$99,0),3))&gt;10,LEN(INDEX($BE$4:$BJ$99,MATCH(BV358,$BE$4:$BE$99,0),3))-8,1)),1)*IF(LEFT(BV358,4)="pool",IF(INDEX($BE$4:$BJ$99,MATCH(BV358,$BE$4:$BE$99,0),6)&lt;1,1,INDEX($BE$4:$BJ$99,MATCH(BV358,$BE$4:$BE$99,0),6)),INDEX(Calculation_Tab,MATCH(BV358,Identifier,0),10)),1)*(1+Calculation!$Q$6),"-")</f>
        <v>-</v>
      </c>
      <c r="BZ358" s="378" t="str">
        <f ca="1">IFERROR((0.5/50)*CE358/Calculation!$AG$6*(IF(LEFT(BV358,4)="Pool",IF(LEN(INDEX($BE$4:$BJ$99,MATCH(BV358,$BE$4:$BE$99,0),3))=10,2,IF(LEN(INDEX($BE$4:$BJ$99,MATCH(BV358,$BE$4:$BE$99,0),3))&gt;10,LEN(INDEX($BE$4:$BJ$99,MATCH(BV358,$BE$4:$BE$99,0),3))-8,1)),IF(INDEX(Calculation_Tab,MATCH(BV358,Identifier,0),10)&gt;1,INDEX(Calculation_Tab,MATCH(BV358,Identifier,0),10),1)))*(1+Calculation!$Q$6),"-")</f>
        <v>-</v>
      </c>
      <c r="CA358" s="510" t="str">
        <f ca="1">IFERROR(IF((BZ358*Calculation!$AG$6/0.05)-SUM(BY358:BZ358,CC358)&gt;0,(BZ358*Calculation!$AG$6/0.05)-SUM(BY358:BZ358,CC358),0),"-")</f>
        <v>-</v>
      </c>
      <c r="CB358" s="510" t="str">
        <f ca="1">IFERROR(5/50*CE358*(IF(LEFT(BV358,4)="Pool",IF(LEN(INDEX($BE$4:$BJ$99,MATCH(BV358,$BE$4:$BE$99,0),3))=10,2,IF(LEN(INDEX($BE$4:$BJ$99,MATCH(BV358,$BE$4:$BE$99,0),3))&gt;10,LEN(INDEX($BE$4:$BJ$99,MATCH(BV358,$BE$4:$BE$99,0),3))-8,1)),IF(INDEX(Calculation_Tab,MATCH(BV358,Identifier,0),10)&gt;1,INDEX(Calculation_Tab,MATCH(BV358,Identifier,0),10),1)))*(1+Calculation!$Q$6),"-")</f>
        <v>-</v>
      </c>
      <c r="CC358" s="508" t="str">
        <f ca="1">IFERROR(ROUND(INDEX(Cluster,MATCH(IF(LEFT(BV358,4)="Pool",INDEX(Cluster,MATCH(INDEX(Calculation_Tab,MATCH(INDEX($BE$4:$BJ$99,MATCH(BV358,$BE$4:$BE$99,0),3),Flow_Cell_Lane,0),3),Cluster!$F$29:$F$412,0),6),BV358),Identifier_Cluster,0),20)*IF(LEFT(BV358,4)="pool",IF(LEN(INDEX($BE$4:$BJ$99,MATCH(BV358,$BE$4:$BE$99,0),3))=10,2,IF(LEN(INDEX($BE$4:$BJ$99,MATCH(BV358,$BE$4:$BE$99,0),3))&gt;10,LEN(INDEX($BE$4:$BJ$99,MATCH(BV358,$BE$4:$BE$99,0),3))-8,1)),1)*IF(LEFT(BV358,4)="pool",IF(INDEX($BE$4:$BJ$99,MATCH(BV358,$BE$4:$BE$99,0),6)&lt;1,1,INDEX($BE$4:$BJ$99,MATCH(BV358,$BE$4:$BE$99,0),6)),INDEX(Calculation_Tab,MATCH(BV358,Identifier,0),10)),1)*(1+Calculation!$Q$6),"-")</f>
        <v>-</v>
      </c>
      <c r="CD358" s="509" t="str">
        <f ca="1">IFERROR(INDEX(Cluster!AC:AD,MATCH(IF(LEFT(BV358,4)="Pool",INDEX(Cluster!$D$29:$AA$412,MATCH(INDEX(Calculation_Tab,MATCH(INDEX($BE$4:$BJ$99,MATCH(BV358,$BE$4:$BE$99,0),3),Flow_Cell_Lane,0),3),Cluster!$F$29:$F$412,0),24),INDEX(Cluster!$D$29:$AA$412,MATCH(BV358,Cluster!$F$29:$F$412,0),24)),Cluster!AC:AC,0),2),"-")</f>
        <v>-</v>
      </c>
      <c r="CE358" s="378" t="str">
        <f ca="1">IFERROR(IF(BV358&lt;&gt;"-",Calculation!$AK$6,"-"),"-")</f>
        <v>-</v>
      </c>
      <c r="CF358" s="378" t="str">
        <f ca="1">IF(OR(LEFT(ListAndConversion!BW358,3)="Dil",LEFT(ListAndConversion!BW358,3)="Poo"),ListAndConversion!$BT$4,IF(LEFT(ListAndConversion!BW358,3)="Sou",INDEX(ListAndConversion!$AT$3:$AV$387,MATCH(ListAndConversion!BV358,ListAndConversion!$AV$3:$AV$387,0),1),"-"))</f>
        <v>-</v>
      </c>
      <c r="CG358" s="498" t="str">
        <f ca="1">IF(OR(LEFT(ListAndConversion!BW358,3)="Dil",LEFT(ListAndConversion!BW358,3)="Poo"),ListAndConversion!BU358,IF(LEFT(ListAndConversion!BW358,3)="Sou",INDEX(ListAndConversion!$AT$4:$AV$387,MATCH(ListAndConversion!BV358,ListAndConversion!$AV$4:$AV$387,0),2),"-"))</f>
        <v>-</v>
      </c>
      <c r="CH358" s="378"/>
      <c r="CI358" s="487" t="str">
        <f t="shared" ca="1" si="180"/>
        <v>-</v>
      </c>
      <c r="CJ358" s="378" t="str">
        <f t="shared" ca="1" si="188"/>
        <v>-</v>
      </c>
      <c r="CK358" s="378" t="str">
        <f t="shared" ca="1" si="188"/>
        <v>-</v>
      </c>
      <c r="CL358" s="378" t="str">
        <f t="shared" ca="1" si="188"/>
        <v>-</v>
      </c>
      <c r="CM358" s="378" t="str">
        <f t="shared" ca="1" si="188"/>
        <v>-</v>
      </c>
      <c r="CN358" s="378" t="str">
        <f t="shared" ca="1" si="188"/>
        <v>-</v>
      </c>
      <c r="CO358" s="378" t="str">
        <f t="shared" ca="1" si="188"/>
        <v>-</v>
      </c>
      <c r="CP358" s="378" t="str">
        <f t="shared" ca="1" si="188"/>
        <v>-</v>
      </c>
      <c r="CQ358" s="378" t="str">
        <f t="shared" ca="1" si="188"/>
        <v>-</v>
      </c>
      <c r="CR358" s="510" t="str">
        <f ca="1">IFERROR(IF(LEFT(BW358,3)="Poo",INDEX($BE$4:$BJ$99,MATCH(CI358,$BG$4:$BG$99,0),6)*((15/50))*Calculation!$AK$6,INDEX(Calculation_Tab,MATCH(BV358,Identifier,0),10)/(IF(LEN(INDEX(Calculation_Tab,MATCH(BV358,Identifier,0),9))&gt;8,LEN(INDEX(Calculation_Tab,MATCH(BV358,Identifier,0),9))-8,1))*((15/50)*Calculation!$AK$6)),"-")</f>
        <v>-</v>
      </c>
      <c r="CS358" s="498" t="str">
        <f ca="1">IF(CI358="-","-",IF(COUNTIF($CI$3:CI358,CI358)&gt;1,0,IFERROR((35/50)*Calculation!$AK$6,"-")))</f>
        <v>-</v>
      </c>
    </row>
    <row r="359" spans="4:97" x14ac:dyDescent="0.5">
      <c r="D359" s="487" t="e">
        <f t="shared" si="165"/>
        <v>#DIV/0!</v>
      </c>
      <c r="E359" s="496" t="e">
        <f t="array" ref="E359">IF(IF((ROW(E359)-3)&lt;(ListAndConversion!$A$15),INDEX(Flow_Cell_Lane,MIN(IF(COUNTIF($E$2:E358,Flow_Cell_Lane)=0,ROW(Flow_Cell_Lane)-9))),"-")="","-",IF((ROW(E359)-3)&lt;(ListAndConversion!$A$15),INDEX(Flow_Cell_Lane,MIN(IF(COUNTIF($E$2:E358,Flow_Cell_Lane)=0,ROW(Flow_Cell_Lane)-9))),"-"))</f>
        <v>#DIV/0!</v>
      </c>
      <c r="F359" s="378" t="e">
        <f t="shared" si="166"/>
        <v>#DIV/0!</v>
      </c>
      <c r="G359" s="378" t="e">
        <f t="shared" si="187"/>
        <v>#DIV/0!</v>
      </c>
      <c r="H359" s="378" t="e">
        <f t="shared" si="187"/>
        <v>#DIV/0!</v>
      </c>
      <c r="I359" s="378" t="e">
        <f t="shared" si="187"/>
        <v>#DIV/0!</v>
      </c>
      <c r="J359" s="378" t="e">
        <f t="shared" si="187"/>
        <v>#DIV/0!</v>
      </c>
      <c r="K359" s="378" t="e">
        <f t="shared" si="187"/>
        <v>#DIV/0!</v>
      </c>
      <c r="L359" s="378" t="e">
        <f t="shared" si="187"/>
        <v>#DIV/0!</v>
      </c>
      <c r="M359" s="378" t="e">
        <f t="shared" si="187"/>
        <v>#DIV/0!</v>
      </c>
      <c r="N359" s="497" t="e">
        <f t="shared" si="168"/>
        <v>#DIV/0!</v>
      </c>
      <c r="O359" s="497" t="str">
        <f t="array" ref="O359">IFERROR(INDEX(Calculation!I:AN,MATCH(ListAndConversion!E359,Calculation!I:I,0),31),"-")</f>
        <v>-</v>
      </c>
      <c r="P359" s="498">
        <f>IF(COUNTIFS(Calculation!$I$10:$I$393,E359,Direct_Denaturation,"-")&lt;&gt;1,COUNTIFS(Calculation!$I$10:$I$393,E359,Direct_Denaturation,"-"),0)</f>
        <v>0</v>
      </c>
      <c r="V359" s="542" t="s">
        <v>82</v>
      </c>
      <c r="W359" s="542" t="s">
        <v>82</v>
      </c>
      <c r="X359" s="542" t="s">
        <v>82</v>
      </c>
      <c r="Y359" s="542" t="s">
        <v>82</v>
      </c>
      <c r="Z359" s="542" t="s">
        <v>82</v>
      </c>
      <c r="AA359" s="542" t="s">
        <v>82</v>
      </c>
      <c r="AB359" s="542" t="s">
        <v>82</v>
      </c>
      <c r="AC359" s="542" t="s">
        <v>82</v>
      </c>
      <c r="AD359" s="542" t="s">
        <v>82</v>
      </c>
      <c r="AE359" s="542" t="s">
        <v>82</v>
      </c>
      <c r="AF359" s="542" t="s">
        <v>82</v>
      </c>
      <c r="AG359" s="542" t="s">
        <v>82</v>
      </c>
      <c r="AH359" s="9"/>
      <c r="AI359" s="487">
        <v>356</v>
      </c>
      <c r="AJ359" s="497" t="s">
        <v>479</v>
      </c>
      <c r="AK359" s="378">
        <v>68</v>
      </c>
      <c r="AL359" s="378" t="str">
        <f t="shared" ca="1" si="169"/>
        <v>-</v>
      </c>
      <c r="AM359" s="378" t="str">
        <f t="array" aca="1" ref="AM359" ca="1">IFERROR(IF(AI359&lt;=$AB$2,"-",INDEX(Calculation_Tab,SMALL(ROW(Main_Dil)*(Main_Dil&lt;&gt;"-"),COUNTIF(Main_Dil,"-")+ROW()-3-$AB$2)-9,5)),"-")</f>
        <v>-</v>
      </c>
      <c r="AN359" s="378" t="str">
        <f t="array" aca="1" ref="AN359" ca="1">IFERROR(IF(AI359&lt;=$AB$2,"-",INDEX($A$3:$B$12,MATCH(INDEX(Calculation_Tab,SMALL(ROW(Main_Dil)*(Main_Dil&lt;&gt;"-"),COUNTIF(Main_Dil,"-")+ROW()-3-$AB$2)-9,5),$A$3:$A$12,0),2)),"-")</f>
        <v>-</v>
      </c>
      <c r="AO359" s="378" t="str">
        <f t="array" aca="1" ref="AO359" ca="1">IFERROR(IF(AI359&lt;=$AB$2,"-",INDEX(Coordinate,MATCH(INDEX(Calculation_Tab,SMALL(ROW(Main_Dil)*(Main_Dil&lt;&gt;"-"),COUNTIF(Main_Dil,"-")+ROW()-3-$AB$2)-9,6),$X$4:$X$99,0),2)),"-")</f>
        <v>-</v>
      </c>
      <c r="AP359" s="510" t="str">
        <f t="array" aca="1" ref="AP359" ca="1">IFERROR(IF(AI359&lt;=$AB$2,"-",INDEX(Calculation_Tab,SMALL(ROW(Main_Dil)*(Main_Dil&lt;&gt;"-"),COUNTIF(Main_Dil,"-")+ROW()-3-$AB$2)-9,21)),"-")</f>
        <v>-</v>
      </c>
      <c r="AQ359" s="511" t="str">
        <f t="array" aca="1" ref="AQ359" ca="1">IFERROR(IF(AI359&lt;=$AB$2,"-",INDEX(Calculation_Tab,SMALL(ROW(Main_Dil)*(Main_Dil&lt;&gt;"-"),COUNTIF(Main_Dil,"-")+ROW()-3-$AB$2)-9,22)),"-")</f>
        <v>-</v>
      </c>
      <c r="AR359" s="487" t="str">
        <f t="shared" ca="1" si="170"/>
        <v>-</v>
      </c>
      <c r="AS359" s="378">
        <v>356</v>
      </c>
      <c r="AT359" s="497" t="s">
        <v>479</v>
      </c>
      <c r="AU359" s="498">
        <v>68</v>
      </c>
      <c r="AV359" s="378" t="str">
        <f t="shared" ca="1" si="171"/>
        <v>-</v>
      </c>
      <c r="AW359" s="378" t="str">
        <f t="array" aca="1" ref="AW359" ca="1">IFERROR(IF(AS359&lt;=$AB$2+$AN$2,"-",INDEX(Calculation_Tab,SMALL(ROW(Direct_Denaturation)*(Direct_Denaturation&lt;&gt;"-"),COUNTIF(Direct_Denaturation,"-")+ROW()-3-$AB$2-$AN$2)-9,5)),"-")</f>
        <v>-</v>
      </c>
      <c r="AX359" s="378" t="str">
        <f t="array" aca="1" ref="AX359" ca="1">IFERROR(IF(AS359&lt;=$AB$2+$AN$2,"-",INDEX($A$3:$B$12,MATCH(INDEX(Calculation_Tab,SMALL(ROW(Direct_Denaturation)*(Direct_Denaturation&lt;&gt;"-"),COUNTIF(Direct_Denaturation,"-")+ROW()-3-$AB$2-$AN$2)-9,5),$A$3:$A$12,0),2)),"-")</f>
        <v>-</v>
      </c>
      <c r="AY359" s="378" t="str">
        <f t="array" aca="1" ref="AY359" ca="1">IFERROR(IF(AS359&lt;=$AB$2+$AN$2,"-",INDEX(Coordinate,MATCH(INDEX(Calculation_Tab,SMALL(ROW(Direct_Denaturation)*(Direct_Denaturation&lt;&gt;"-"),COUNTIF(Direct_Denaturation,"-")+ROW()-3-$AB$2-$AN$2)-9,6),$X$4:$X$99,0),2)),"-")</f>
        <v>-</v>
      </c>
      <c r="AZ359" s="510" t="str">
        <f t="array" aca="1" ref="AZ359" ca="1">IFERROR(IF(AS359&lt;=$AB$2+$AN$2,"-",INDEX(Calculation_Tab,SMALL(ROW(Direct_Denaturation)*(Direct_Denaturation&lt;&gt;"-"),COUNTIF(Direct_Denaturation,"-")+ROW()-3-$AB$2-$AN$2)-9,32)),"-")</f>
        <v>-</v>
      </c>
      <c r="BA359" s="510" t="str">
        <f t="array" aca="1" ref="BA359" ca="1">IFERROR(IF(AS359&lt;=$AB$2+$AN$2,"-",INDEX(Calculation_Tab,SMALL(ROW(Direct_Denaturation)*(Direct_Denaturation&lt;&gt;"-"),COUNTIF(Direct_Denaturation,"-")+ROW()-3-$AB$2-$AN$2)-9,34)),"-")</f>
        <v>-</v>
      </c>
      <c r="BB359" s="510" t="str">
        <f t="array" aca="1" ref="BB359" ca="1">IFERROR(IF(AS359&lt;=$AB$2+$AN$2,"-",INDEX(Calculation_Tab,SMALL(ROW(Direct_Denaturation)*(Direct_Denaturation&lt;&gt;"-"),COUNTIF(Direct_Denaturation,"-")+ROW()-3-$AB$2-$AN$2)-9,33)),"-")</f>
        <v>-</v>
      </c>
      <c r="BC359" s="510" t="str">
        <f t="array" aca="1" ref="BC359" ca="1">IFERROR(IF(AS359&lt;=$AB$2+$AN$2,"-",INDEX(Calculation_Tab,SMALL(ROW(Direct_Denaturation)*(Direct_Denaturation&lt;&gt;"-"),COUNTIF(Direct_Denaturation,"-")+ROW()-3-$AB$2-$AN$2)-9,35)),"-")</f>
        <v>-</v>
      </c>
      <c r="BD359" s="511" t="str">
        <f t="shared" ca="1" si="172"/>
        <v>-</v>
      </c>
      <c r="BK359" s="542" t="s">
        <v>82</v>
      </c>
      <c r="BL359" s="542" t="s">
        <v>82</v>
      </c>
      <c r="BM359" s="487" t="str">
        <f t="array" aca="1" ref="BM359" ca="1">IFERROR(INDEX(Calculation_Tab,SMALL(ROW(ToPool)*(ToPool&lt;&gt;"-"),COUNTIF(ToPool,"-")+ROW()-3)-9,3),"-")</f>
        <v>-</v>
      </c>
      <c r="BN359" s="378" t="str">
        <f t="shared" ca="1" si="173"/>
        <v>-</v>
      </c>
      <c r="BO359" s="378" t="str">
        <f t="shared" ca="1" si="174"/>
        <v>-</v>
      </c>
      <c r="BP359" s="523" t="str">
        <f t="shared" ca="1" si="175"/>
        <v>-</v>
      </c>
      <c r="BQ359" s="378" t="str">
        <f t="array" aca="1" ref="BQ359" ca="1">IFERROR(INDEX(BE:BG,MATCH(INDEX(Calculation_Tab,SMALL(ROW(ToPool)*(ToPool&lt;&gt;"-"),COUNTIF(ToPool,"-")+ROW()-3)-9,9),BG:BG,0),2),"-")</f>
        <v>-</v>
      </c>
      <c r="BR359" s="510" t="str">
        <f t="shared" ca="1" si="176"/>
        <v>-</v>
      </c>
      <c r="BS359" s="511" t="str">
        <f t="shared" ca="1" si="177"/>
        <v>-</v>
      </c>
      <c r="BT359" s="543" t="s">
        <v>82</v>
      </c>
      <c r="BU359" s="487" t="str">
        <f t="shared" ca="1" si="182"/>
        <v>-</v>
      </c>
      <c r="BV359" s="487" t="str">
        <f t="array" aca="1" ref="BV35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59" s="378" t="str">
        <f t="shared" ca="1" si="178"/>
        <v>-</v>
      </c>
      <c r="BX359" s="378" t="str">
        <f t="shared" ca="1" si="179"/>
        <v>-</v>
      </c>
      <c r="BY359" s="510" t="str">
        <f ca="1">IFERROR(ROUND(INDEX(Cluster,MATCH(IF(LEFT(BV359,4)="Pool",INDEX(Cluster,MATCH(INDEX(Calculation_Tab,MATCH(INDEX($BE$4:$BJ$99,MATCH(BV359,$BE$4:$BE$99,0),3),Flow_Cell_Lane,0),3),Cluster!$F$29:$F$412,0),6),BV359),Identifier_Cluster,0),19)*IF(LEFT(BV359,4)="pool",IF(LEN(INDEX($BE$4:$BJ$99,MATCH(BV359,$BE$4:$BE$99,0),3))=10,2,IF(LEN(INDEX($BE$4:$BJ$99,MATCH(BV359,$BE$4:$BE$99,0),3))&gt;10,LEN(INDEX($BE$4:$BJ$99,MATCH(BV359,$BE$4:$BE$99,0),3))-8,1)),1)*IF(LEFT(BV359,4)="pool",IF(INDEX($BE$4:$BJ$99,MATCH(BV359,$BE$4:$BE$99,0),6)&lt;1,1,INDEX($BE$4:$BJ$99,MATCH(BV359,$BE$4:$BE$99,0),6)),INDEX(Calculation_Tab,MATCH(BV359,Identifier,0),10)),1)*(1+Calculation!$Q$6),"-")</f>
        <v>-</v>
      </c>
      <c r="BZ359" s="378" t="str">
        <f ca="1">IFERROR((0.5/50)*CE359/Calculation!$AG$6*(IF(LEFT(BV359,4)="Pool",IF(LEN(INDEX($BE$4:$BJ$99,MATCH(BV359,$BE$4:$BE$99,0),3))=10,2,IF(LEN(INDEX($BE$4:$BJ$99,MATCH(BV359,$BE$4:$BE$99,0),3))&gt;10,LEN(INDEX($BE$4:$BJ$99,MATCH(BV359,$BE$4:$BE$99,0),3))-8,1)),IF(INDEX(Calculation_Tab,MATCH(BV359,Identifier,0),10)&gt;1,INDEX(Calculation_Tab,MATCH(BV359,Identifier,0),10),1)))*(1+Calculation!$Q$6),"-")</f>
        <v>-</v>
      </c>
      <c r="CA359" s="510" t="str">
        <f ca="1">IFERROR(IF((BZ359*Calculation!$AG$6/0.05)-SUM(BY359:BZ359,CC359)&gt;0,(BZ359*Calculation!$AG$6/0.05)-SUM(BY359:BZ359,CC359),0),"-")</f>
        <v>-</v>
      </c>
      <c r="CB359" s="510" t="str">
        <f ca="1">IFERROR(5/50*CE359*(IF(LEFT(BV359,4)="Pool",IF(LEN(INDEX($BE$4:$BJ$99,MATCH(BV359,$BE$4:$BE$99,0),3))=10,2,IF(LEN(INDEX($BE$4:$BJ$99,MATCH(BV359,$BE$4:$BE$99,0),3))&gt;10,LEN(INDEX($BE$4:$BJ$99,MATCH(BV359,$BE$4:$BE$99,0),3))-8,1)),IF(INDEX(Calculation_Tab,MATCH(BV359,Identifier,0),10)&gt;1,INDEX(Calculation_Tab,MATCH(BV359,Identifier,0),10),1)))*(1+Calculation!$Q$6),"-")</f>
        <v>-</v>
      </c>
      <c r="CC359" s="508" t="str">
        <f ca="1">IFERROR(ROUND(INDEX(Cluster,MATCH(IF(LEFT(BV359,4)="Pool",INDEX(Cluster,MATCH(INDEX(Calculation_Tab,MATCH(INDEX($BE$4:$BJ$99,MATCH(BV359,$BE$4:$BE$99,0),3),Flow_Cell_Lane,0),3),Cluster!$F$29:$F$412,0),6),BV359),Identifier_Cluster,0),20)*IF(LEFT(BV359,4)="pool",IF(LEN(INDEX($BE$4:$BJ$99,MATCH(BV359,$BE$4:$BE$99,0),3))=10,2,IF(LEN(INDEX($BE$4:$BJ$99,MATCH(BV359,$BE$4:$BE$99,0),3))&gt;10,LEN(INDEX($BE$4:$BJ$99,MATCH(BV359,$BE$4:$BE$99,0),3))-8,1)),1)*IF(LEFT(BV359,4)="pool",IF(INDEX($BE$4:$BJ$99,MATCH(BV359,$BE$4:$BE$99,0),6)&lt;1,1,INDEX($BE$4:$BJ$99,MATCH(BV359,$BE$4:$BE$99,0),6)),INDEX(Calculation_Tab,MATCH(BV359,Identifier,0),10)),1)*(1+Calculation!$Q$6),"-")</f>
        <v>-</v>
      </c>
      <c r="CD359" s="509" t="str">
        <f ca="1">IFERROR(INDEX(Cluster!AC:AD,MATCH(IF(LEFT(BV359,4)="Pool",INDEX(Cluster!$D$29:$AA$412,MATCH(INDEX(Calculation_Tab,MATCH(INDEX($BE$4:$BJ$99,MATCH(BV359,$BE$4:$BE$99,0),3),Flow_Cell_Lane,0),3),Cluster!$F$29:$F$412,0),24),INDEX(Cluster!$D$29:$AA$412,MATCH(BV359,Cluster!$F$29:$F$412,0),24)),Cluster!AC:AC,0),2),"-")</f>
        <v>-</v>
      </c>
      <c r="CE359" s="378" t="str">
        <f ca="1">IFERROR(IF(BV359&lt;&gt;"-",Calculation!$AK$6,"-"),"-")</f>
        <v>-</v>
      </c>
      <c r="CF359" s="378" t="str">
        <f ca="1">IF(OR(LEFT(ListAndConversion!BW359,3)="Dil",LEFT(ListAndConversion!BW359,3)="Poo"),ListAndConversion!$BT$4,IF(LEFT(ListAndConversion!BW359,3)="Sou",INDEX(ListAndConversion!$AT$3:$AV$387,MATCH(ListAndConversion!BV359,ListAndConversion!$AV$3:$AV$387,0),1),"-"))</f>
        <v>-</v>
      </c>
      <c r="CG359" s="498" t="str">
        <f ca="1">IF(OR(LEFT(ListAndConversion!BW359,3)="Dil",LEFT(ListAndConversion!BW359,3)="Poo"),ListAndConversion!BU359,IF(LEFT(ListAndConversion!BW359,3)="Sou",INDEX(ListAndConversion!$AT$4:$AV$387,MATCH(ListAndConversion!BV359,ListAndConversion!$AV$4:$AV$387,0),2),"-"))</f>
        <v>-</v>
      </c>
      <c r="CH359" s="378"/>
      <c r="CI359" s="487" t="str">
        <f t="shared" ca="1" si="180"/>
        <v>-</v>
      </c>
      <c r="CJ359" s="378" t="str">
        <f t="shared" ca="1" si="188"/>
        <v>-</v>
      </c>
      <c r="CK359" s="378" t="str">
        <f t="shared" ca="1" si="188"/>
        <v>-</v>
      </c>
      <c r="CL359" s="378" t="str">
        <f t="shared" ca="1" si="188"/>
        <v>-</v>
      </c>
      <c r="CM359" s="378" t="str">
        <f t="shared" ca="1" si="188"/>
        <v>-</v>
      </c>
      <c r="CN359" s="378" t="str">
        <f t="shared" ca="1" si="188"/>
        <v>-</v>
      </c>
      <c r="CO359" s="378" t="str">
        <f t="shared" ca="1" si="188"/>
        <v>-</v>
      </c>
      <c r="CP359" s="378" t="str">
        <f t="shared" ca="1" si="188"/>
        <v>-</v>
      </c>
      <c r="CQ359" s="378" t="str">
        <f t="shared" ca="1" si="188"/>
        <v>-</v>
      </c>
      <c r="CR359" s="510" t="str">
        <f ca="1">IFERROR(IF(LEFT(BW359,3)="Poo",INDEX($BE$4:$BJ$99,MATCH(CI359,$BG$4:$BG$99,0),6)*((15/50))*Calculation!$AK$6,INDEX(Calculation_Tab,MATCH(BV359,Identifier,0),10)/(IF(LEN(INDEX(Calculation_Tab,MATCH(BV359,Identifier,0),9))&gt;8,LEN(INDEX(Calculation_Tab,MATCH(BV359,Identifier,0),9))-8,1))*((15/50)*Calculation!$AK$6)),"-")</f>
        <v>-</v>
      </c>
      <c r="CS359" s="498" t="str">
        <f ca="1">IF(CI359="-","-",IF(COUNTIF($CI$3:CI359,CI359)&gt;1,0,IFERROR((35/50)*Calculation!$AK$6,"-")))</f>
        <v>-</v>
      </c>
    </row>
    <row r="360" spans="4:97" x14ac:dyDescent="0.5">
      <c r="D360" s="487" t="e">
        <f t="shared" si="165"/>
        <v>#DIV/0!</v>
      </c>
      <c r="E360" s="496" t="e">
        <f t="array" ref="E360">IF(IF((ROW(E360)-3)&lt;(ListAndConversion!$A$15),INDEX(Flow_Cell_Lane,MIN(IF(COUNTIF($E$2:E359,Flow_Cell_Lane)=0,ROW(Flow_Cell_Lane)-9))),"-")="","-",IF((ROW(E360)-3)&lt;(ListAndConversion!$A$15),INDEX(Flow_Cell_Lane,MIN(IF(COUNTIF($E$2:E359,Flow_Cell_Lane)=0,ROW(Flow_Cell_Lane)-9))),"-"))</f>
        <v>#DIV/0!</v>
      </c>
      <c r="F360" s="378" t="e">
        <f t="shared" si="166"/>
        <v>#DIV/0!</v>
      </c>
      <c r="G360" s="378" t="e">
        <f t="shared" si="187"/>
        <v>#DIV/0!</v>
      </c>
      <c r="H360" s="378" t="e">
        <f t="shared" si="187"/>
        <v>#DIV/0!</v>
      </c>
      <c r="I360" s="378" t="e">
        <f t="shared" si="187"/>
        <v>#DIV/0!</v>
      </c>
      <c r="J360" s="378" t="e">
        <f t="shared" si="187"/>
        <v>#DIV/0!</v>
      </c>
      <c r="K360" s="378" t="e">
        <f t="shared" si="187"/>
        <v>#DIV/0!</v>
      </c>
      <c r="L360" s="378" t="e">
        <f t="shared" si="187"/>
        <v>#DIV/0!</v>
      </c>
      <c r="M360" s="378" t="e">
        <f t="shared" si="187"/>
        <v>#DIV/0!</v>
      </c>
      <c r="N360" s="497" t="e">
        <f t="shared" si="168"/>
        <v>#DIV/0!</v>
      </c>
      <c r="O360" s="497" t="str">
        <f t="array" ref="O360">IFERROR(INDEX(Calculation!I:AN,MATCH(ListAndConversion!E360,Calculation!I:I,0),31),"-")</f>
        <v>-</v>
      </c>
      <c r="P360" s="498">
        <f>IF(COUNTIFS(Calculation!$I$10:$I$393,E360,Direct_Denaturation,"-")&lt;&gt;1,COUNTIFS(Calculation!$I$10:$I$393,E360,Direct_Denaturation,"-"),0)</f>
        <v>0</v>
      </c>
      <c r="V360" s="542" t="s">
        <v>82</v>
      </c>
      <c r="W360" s="542" t="s">
        <v>82</v>
      </c>
      <c r="X360" s="542" t="s">
        <v>82</v>
      </c>
      <c r="Y360" s="542" t="s">
        <v>82</v>
      </c>
      <c r="Z360" s="542" t="s">
        <v>82</v>
      </c>
      <c r="AA360" s="542" t="s">
        <v>82</v>
      </c>
      <c r="AB360" s="542" t="s">
        <v>82</v>
      </c>
      <c r="AC360" s="542" t="s">
        <v>82</v>
      </c>
      <c r="AD360" s="542" t="s">
        <v>82</v>
      </c>
      <c r="AE360" s="542" t="s">
        <v>82</v>
      </c>
      <c r="AF360" s="542" t="s">
        <v>82</v>
      </c>
      <c r="AG360" s="542" t="s">
        <v>82</v>
      </c>
      <c r="AH360" s="9"/>
      <c r="AI360" s="487">
        <v>357</v>
      </c>
      <c r="AJ360" s="497" t="s">
        <v>479</v>
      </c>
      <c r="AK360" s="378">
        <v>69</v>
      </c>
      <c r="AL360" s="378" t="str">
        <f t="shared" ca="1" si="169"/>
        <v>-</v>
      </c>
      <c r="AM360" s="378" t="str">
        <f t="array" aca="1" ref="AM360" ca="1">IFERROR(IF(AI360&lt;=$AB$2,"-",INDEX(Calculation_Tab,SMALL(ROW(Main_Dil)*(Main_Dil&lt;&gt;"-"),COUNTIF(Main_Dil,"-")+ROW()-3-$AB$2)-9,5)),"-")</f>
        <v>-</v>
      </c>
      <c r="AN360" s="378" t="str">
        <f t="array" aca="1" ref="AN360" ca="1">IFERROR(IF(AI360&lt;=$AB$2,"-",INDEX($A$3:$B$12,MATCH(INDEX(Calculation_Tab,SMALL(ROW(Main_Dil)*(Main_Dil&lt;&gt;"-"),COUNTIF(Main_Dil,"-")+ROW()-3-$AB$2)-9,5),$A$3:$A$12,0),2)),"-")</f>
        <v>-</v>
      </c>
      <c r="AO360" s="378" t="str">
        <f t="array" aca="1" ref="AO360" ca="1">IFERROR(IF(AI360&lt;=$AB$2,"-",INDEX(Coordinate,MATCH(INDEX(Calculation_Tab,SMALL(ROW(Main_Dil)*(Main_Dil&lt;&gt;"-"),COUNTIF(Main_Dil,"-")+ROW()-3-$AB$2)-9,6),$X$4:$X$99,0),2)),"-")</f>
        <v>-</v>
      </c>
      <c r="AP360" s="510" t="str">
        <f t="array" aca="1" ref="AP360" ca="1">IFERROR(IF(AI360&lt;=$AB$2,"-",INDEX(Calculation_Tab,SMALL(ROW(Main_Dil)*(Main_Dil&lt;&gt;"-"),COUNTIF(Main_Dil,"-")+ROW()-3-$AB$2)-9,21)),"-")</f>
        <v>-</v>
      </c>
      <c r="AQ360" s="511" t="str">
        <f t="array" aca="1" ref="AQ360" ca="1">IFERROR(IF(AI360&lt;=$AB$2,"-",INDEX(Calculation_Tab,SMALL(ROW(Main_Dil)*(Main_Dil&lt;&gt;"-"),COUNTIF(Main_Dil,"-")+ROW()-3-$AB$2)-9,22)),"-")</f>
        <v>-</v>
      </c>
      <c r="AR360" s="487" t="str">
        <f t="shared" ca="1" si="170"/>
        <v>-</v>
      </c>
      <c r="AS360" s="378">
        <v>357</v>
      </c>
      <c r="AT360" s="497" t="s">
        <v>479</v>
      </c>
      <c r="AU360" s="498">
        <v>69</v>
      </c>
      <c r="AV360" s="378" t="str">
        <f t="shared" ca="1" si="171"/>
        <v>-</v>
      </c>
      <c r="AW360" s="378" t="str">
        <f t="array" aca="1" ref="AW360" ca="1">IFERROR(IF(AS360&lt;=$AB$2+$AN$2,"-",INDEX(Calculation_Tab,SMALL(ROW(Direct_Denaturation)*(Direct_Denaturation&lt;&gt;"-"),COUNTIF(Direct_Denaturation,"-")+ROW()-3-$AB$2-$AN$2)-9,5)),"-")</f>
        <v>-</v>
      </c>
      <c r="AX360" s="378" t="str">
        <f t="array" aca="1" ref="AX360" ca="1">IFERROR(IF(AS360&lt;=$AB$2+$AN$2,"-",INDEX($A$3:$B$12,MATCH(INDEX(Calculation_Tab,SMALL(ROW(Direct_Denaturation)*(Direct_Denaturation&lt;&gt;"-"),COUNTIF(Direct_Denaturation,"-")+ROW()-3-$AB$2-$AN$2)-9,5),$A$3:$A$12,0),2)),"-")</f>
        <v>-</v>
      </c>
      <c r="AY360" s="378" t="str">
        <f t="array" aca="1" ref="AY360" ca="1">IFERROR(IF(AS360&lt;=$AB$2+$AN$2,"-",INDEX(Coordinate,MATCH(INDEX(Calculation_Tab,SMALL(ROW(Direct_Denaturation)*(Direct_Denaturation&lt;&gt;"-"),COUNTIF(Direct_Denaturation,"-")+ROW()-3-$AB$2-$AN$2)-9,6),$X$4:$X$99,0),2)),"-")</f>
        <v>-</v>
      </c>
      <c r="AZ360" s="510" t="str">
        <f t="array" aca="1" ref="AZ360" ca="1">IFERROR(IF(AS360&lt;=$AB$2+$AN$2,"-",INDEX(Calculation_Tab,SMALL(ROW(Direct_Denaturation)*(Direct_Denaturation&lt;&gt;"-"),COUNTIF(Direct_Denaturation,"-")+ROW()-3-$AB$2-$AN$2)-9,32)),"-")</f>
        <v>-</v>
      </c>
      <c r="BA360" s="510" t="str">
        <f t="array" aca="1" ref="BA360" ca="1">IFERROR(IF(AS360&lt;=$AB$2+$AN$2,"-",INDEX(Calculation_Tab,SMALL(ROW(Direct_Denaturation)*(Direct_Denaturation&lt;&gt;"-"),COUNTIF(Direct_Denaturation,"-")+ROW()-3-$AB$2-$AN$2)-9,34)),"-")</f>
        <v>-</v>
      </c>
      <c r="BB360" s="510" t="str">
        <f t="array" aca="1" ref="BB360" ca="1">IFERROR(IF(AS360&lt;=$AB$2+$AN$2,"-",INDEX(Calculation_Tab,SMALL(ROW(Direct_Denaturation)*(Direct_Denaturation&lt;&gt;"-"),COUNTIF(Direct_Denaturation,"-")+ROW()-3-$AB$2-$AN$2)-9,33)),"-")</f>
        <v>-</v>
      </c>
      <c r="BC360" s="510" t="str">
        <f t="array" aca="1" ref="BC360" ca="1">IFERROR(IF(AS360&lt;=$AB$2+$AN$2,"-",INDEX(Calculation_Tab,SMALL(ROW(Direct_Denaturation)*(Direct_Denaturation&lt;&gt;"-"),COUNTIF(Direct_Denaturation,"-")+ROW()-3-$AB$2-$AN$2)-9,35)),"-")</f>
        <v>-</v>
      </c>
      <c r="BD360" s="511" t="str">
        <f t="shared" ca="1" si="172"/>
        <v>-</v>
      </c>
      <c r="BK360" s="542" t="s">
        <v>82</v>
      </c>
      <c r="BL360" s="542" t="s">
        <v>82</v>
      </c>
      <c r="BM360" s="487" t="str">
        <f t="array" aca="1" ref="BM360" ca="1">IFERROR(INDEX(Calculation_Tab,SMALL(ROW(ToPool)*(ToPool&lt;&gt;"-"),COUNTIF(ToPool,"-")+ROW()-3)-9,3),"-")</f>
        <v>-</v>
      </c>
      <c r="BN360" s="378" t="str">
        <f t="shared" ca="1" si="173"/>
        <v>-</v>
      </c>
      <c r="BO360" s="378" t="str">
        <f t="shared" ca="1" si="174"/>
        <v>-</v>
      </c>
      <c r="BP360" s="523" t="str">
        <f t="shared" ca="1" si="175"/>
        <v>-</v>
      </c>
      <c r="BQ360" s="378" t="str">
        <f t="array" aca="1" ref="BQ360" ca="1">IFERROR(INDEX(BE:BG,MATCH(INDEX(Calculation_Tab,SMALL(ROW(ToPool)*(ToPool&lt;&gt;"-"),COUNTIF(ToPool,"-")+ROW()-3)-9,9),BG:BG,0),2),"-")</f>
        <v>-</v>
      </c>
      <c r="BR360" s="510" t="str">
        <f t="shared" ca="1" si="176"/>
        <v>-</v>
      </c>
      <c r="BS360" s="511" t="str">
        <f t="shared" ca="1" si="177"/>
        <v>-</v>
      </c>
      <c r="BT360" s="543" t="s">
        <v>82</v>
      </c>
      <c r="BU360" s="487" t="str">
        <f t="shared" ca="1" si="182"/>
        <v>-</v>
      </c>
      <c r="BV360" s="487" t="str">
        <f t="array" aca="1" ref="BV36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60" s="378" t="str">
        <f t="shared" ca="1" si="178"/>
        <v>-</v>
      </c>
      <c r="BX360" s="378" t="str">
        <f t="shared" ca="1" si="179"/>
        <v>-</v>
      </c>
      <c r="BY360" s="510" t="str">
        <f ca="1">IFERROR(ROUND(INDEX(Cluster,MATCH(IF(LEFT(BV360,4)="Pool",INDEX(Cluster,MATCH(INDEX(Calculation_Tab,MATCH(INDEX($BE$4:$BJ$99,MATCH(BV360,$BE$4:$BE$99,0),3),Flow_Cell_Lane,0),3),Cluster!$F$29:$F$412,0),6),BV360),Identifier_Cluster,0),19)*IF(LEFT(BV360,4)="pool",IF(LEN(INDEX($BE$4:$BJ$99,MATCH(BV360,$BE$4:$BE$99,0),3))=10,2,IF(LEN(INDEX($BE$4:$BJ$99,MATCH(BV360,$BE$4:$BE$99,0),3))&gt;10,LEN(INDEX($BE$4:$BJ$99,MATCH(BV360,$BE$4:$BE$99,0),3))-8,1)),1)*IF(LEFT(BV360,4)="pool",IF(INDEX($BE$4:$BJ$99,MATCH(BV360,$BE$4:$BE$99,0),6)&lt;1,1,INDEX($BE$4:$BJ$99,MATCH(BV360,$BE$4:$BE$99,0),6)),INDEX(Calculation_Tab,MATCH(BV360,Identifier,0),10)),1)*(1+Calculation!$Q$6),"-")</f>
        <v>-</v>
      </c>
      <c r="BZ360" s="378" t="str">
        <f ca="1">IFERROR((0.5/50)*CE360/Calculation!$AG$6*(IF(LEFT(BV360,4)="Pool",IF(LEN(INDEX($BE$4:$BJ$99,MATCH(BV360,$BE$4:$BE$99,0),3))=10,2,IF(LEN(INDEX($BE$4:$BJ$99,MATCH(BV360,$BE$4:$BE$99,0),3))&gt;10,LEN(INDEX($BE$4:$BJ$99,MATCH(BV360,$BE$4:$BE$99,0),3))-8,1)),IF(INDEX(Calculation_Tab,MATCH(BV360,Identifier,0),10)&gt;1,INDEX(Calculation_Tab,MATCH(BV360,Identifier,0),10),1)))*(1+Calculation!$Q$6),"-")</f>
        <v>-</v>
      </c>
      <c r="CA360" s="510" t="str">
        <f ca="1">IFERROR(IF((BZ360*Calculation!$AG$6/0.05)-SUM(BY360:BZ360,CC360)&gt;0,(BZ360*Calculation!$AG$6/0.05)-SUM(BY360:BZ360,CC360),0),"-")</f>
        <v>-</v>
      </c>
      <c r="CB360" s="510" t="str">
        <f ca="1">IFERROR(5/50*CE360*(IF(LEFT(BV360,4)="Pool",IF(LEN(INDEX($BE$4:$BJ$99,MATCH(BV360,$BE$4:$BE$99,0),3))=10,2,IF(LEN(INDEX($BE$4:$BJ$99,MATCH(BV360,$BE$4:$BE$99,0),3))&gt;10,LEN(INDEX($BE$4:$BJ$99,MATCH(BV360,$BE$4:$BE$99,0),3))-8,1)),IF(INDEX(Calculation_Tab,MATCH(BV360,Identifier,0),10)&gt;1,INDEX(Calculation_Tab,MATCH(BV360,Identifier,0),10),1)))*(1+Calculation!$Q$6),"-")</f>
        <v>-</v>
      </c>
      <c r="CC360" s="508" t="str">
        <f ca="1">IFERROR(ROUND(INDEX(Cluster,MATCH(IF(LEFT(BV360,4)="Pool",INDEX(Cluster,MATCH(INDEX(Calculation_Tab,MATCH(INDEX($BE$4:$BJ$99,MATCH(BV360,$BE$4:$BE$99,0),3),Flow_Cell_Lane,0),3),Cluster!$F$29:$F$412,0),6),BV360),Identifier_Cluster,0),20)*IF(LEFT(BV360,4)="pool",IF(LEN(INDEX($BE$4:$BJ$99,MATCH(BV360,$BE$4:$BE$99,0),3))=10,2,IF(LEN(INDEX($BE$4:$BJ$99,MATCH(BV360,$BE$4:$BE$99,0),3))&gt;10,LEN(INDEX($BE$4:$BJ$99,MATCH(BV360,$BE$4:$BE$99,0),3))-8,1)),1)*IF(LEFT(BV360,4)="pool",IF(INDEX($BE$4:$BJ$99,MATCH(BV360,$BE$4:$BE$99,0),6)&lt;1,1,INDEX($BE$4:$BJ$99,MATCH(BV360,$BE$4:$BE$99,0),6)),INDEX(Calculation_Tab,MATCH(BV360,Identifier,0),10)),1)*(1+Calculation!$Q$6),"-")</f>
        <v>-</v>
      </c>
      <c r="CD360" s="509" t="str">
        <f ca="1">IFERROR(INDEX(Cluster!AC:AD,MATCH(IF(LEFT(BV360,4)="Pool",INDEX(Cluster!$D$29:$AA$412,MATCH(INDEX(Calculation_Tab,MATCH(INDEX($BE$4:$BJ$99,MATCH(BV360,$BE$4:$BE$99,0),3),Flow_Cell_Lane,0),3),Cluster!$F$29:$F$412,0),24),INDEX(Cluster!$D$29:$AA$412,MATCH(BV360,Cluster!$F$29:$F$412,0),24)),Cluster!AC:AC,0),2),"-")</f>
        <v>-</v>
      </c>
      <c r="CE360" s="378" t="str">
        <f ca="1">IFERROR(IF(BV360&lt;&gt;"-",Calculation!$AK$6,"-"),"-")</f>
        <v>-</v>
      </c>
      <c r="CF360" s="378" t="str">
        <f ca="1">IF(OR(LEFT(ListAndConversion!BW360,3)="Dil",LEFT(ListAndConversion!BW360,3)="Poo"),ListAndConversion!$BT$4,IF(LEFT(ListAndConversion!BW360,3)="Sou",INDEX(ListAndConversion!$AT$3:$AV$387,MATCH(ListAndConversion!BV360,ListAndConversion!$AV$3:$AV$387,0),1),"-"))</f>
        <v>-</v>
      </c>
      <c r="CG360" s="498" t="str">
        <f ca="1">IF(OR(LEFT(ListAndConversion!BW360,3)="Dil",LEFT(ListAndConversion!BW360,3)="Poo"),ListAndConversion!BU360,IF(LEFT(ListAndConversion!BW360,3)="Sou",INDEX(ListAndConversion!$AT$4:$AV$387,MATCH(ListAndConversion!BV360,ListAndConversion!$AV$4:$AV$387,0),2),"-"))</f>
        <v>-</v>
      </c>
      <c r="CH360" s="378"/>
      <c r="CI360" s="487" t="str">
        <f t="shared" ca="1" si="180"/>
        <v>-</v>
      </c>
      <c r="CJ360" s="378" t="str">
        <f t="shared" ca="1" si="188"/>
        <v>-</v>
      </c>
      <c r="CK360" s="378" t="str">
        <f t="shared" ca="1" si="188"/>
        <v>-</v>
      </c>
      <c r="CL360" s="378" t="str">
        <f t="shared" ca="1" si="188"/>
        <v>-</v>
      </c>
      <c r="CM360" s="378" t="str">
        <f t="shared" ca="1" si="188"/>
        <v>-</v>
      </c>
      <c r="CN360" s="378" t="str">
        <f t="shared" ca="1" si="188"/>
        <v>-</v>
      </c>
      <c r="CO360" s="378" t="str">
        <f t="shared" ca="1" si="188"/>
        <v>-</v>
      </c>
      <c r="CP360" s="378" t="str">
        <f t="shared" ca="1" si="188"/>
        <v>-</v>
      </c>
      <c r="CQ360" s="378" t="str">
        <f t="shared" ca="1" si="188"/>
        <v>-</v>
      </c>
      <c r="CR360" s="510" t="str">
        <f ca="1">IFERROR(IF(LEFT(BW360,3)="Poo",INDEX($BE$4:$BJ$99,MATCH(CI360,$BG$4:$BG$99,0),6)*((15/50))*Calculation!$AK$6,INDEX(Calculation_Tab,MATCH(BV360,Identifier,0),10)/(IF(LEN(INDEX(Calculation_Tab,MATCH(BV360,Identifier,0),9))&gt;8,LEN(INDEX(Calculation_Tab,MATCH(BV360,Identifier,0),9))-8,1))*((15/50)*Calculation!$AK$6)),"-")</f>
        <v>-</v>
      </c>
      <c r="CS360" s="498" t="str">
        <f ca="1">IF(CI360="-","-",IF(COUNTIF($CI$3:CI360,CI360)&gt;1,0,IFERROR((35/50)*Calculation!$AK$6,"-")))</f>
        <v>-</v>
      </c>
    </row>
    <row r="361" spans="4:97" x14ac:dyDescent="0.5">
      <c r="D361" s="487" t="e">
        <f t="shared" si="165"/>
        <v>#DIV/0!</v>
      </c>
      <c r="E361" s="496" t="e">
        <f t="array" ref="E361">IF(IF((ROW(E361)-3)&lt;(ListAndConversion!$A$15),INDEX(Flow_Cell_Lane,MIN(IF(COUNTIF($E$2:E360,Flow_Cell_Lane)=0,ROW(Flow_Cell_Lane)-9))),"-")="","-",IF((ROW(E361)-3)&lt;(ListAndConversion!$A$15),INDEX(Flow_Cell_Lane,MIN(IF(COUNTIF($E$2:E360,Flow_Cell_Lane)=0,ROW(Flow_Cell_Lane)-9))),"-"))</f>
        <v>#DIV/0!</v>
      </c>
      <c r="F361" s="378" t="e">
        <f t="shared" si="166"/>
        <v>#DIV/0!</v>
      </c>
      <c r="G361" s="378" t="e">
        <f t="shared" si="187"/>
        <v>#DIV/0!</v>
      </c>
      <c r="H361" s="378" t="e">
        <f t="shared" si="187"/>
        <v>#DIV/0!</v>
      </c>
      <c r="I361" s="378" t="e">
        <f t="shared" si="187"/>
        <v>#DIV/0!</v>
      </c>
      <c r="J361" s="378" t="e">
        <f t="shared" si="187"/>
        <v>#DIV/0!</v>
      </c>
      <c r="K361" s="378" t="e">
        <f t="shared" si="187"/>
        <v>#DIV/0!</v>
      </c>
      <c r="L361" s="378" t="e">
        <f t="shared" si="187"/>
        <v>#DIV/0!</v>
      </c>
      <c r="M361" s="378" t="e">
        <f t="shared" si="187"/>
        <v>#DIV/0!</v>
      </c>
      <c r="N361" s="497" t="e">
        <f t="shared" si="168"/>
        <v>#DIV/0!</v>
      </c>
      <c r="O361" s="497" t="str">
        <f t="array" ref="O361">IFERROR(INDEX(Calculation!I:AN,MATCH(ListAndConversion!E361,Calculation!I:I,0),31),"-")</f>
        <v>-</v>
      </c>
      <c r="P361" s="498">
        <f>IF(COUNTIFS(Calculation!$I$10:$I$393,E361,Direct_Denaturation,"-")&lt;&gt;1,COUNTIFS(Calculation!$I$10:$I$393,E361,Direct_Denaturation,"-"),0)</f>
        <v>0</v>
      </c>
      <c r="V361" s="542" t="s">
        <v>82</v>
      </c>
      <c r="W361" s="542" t="s">
        <v>82</v>
      </c>
      <c r="X361" s="542" t="s">
        <v>82</v>
      </c>
      <c r="Y361" s="542" t="s">
        <v>82</v>
      </c>
      <c r="Z361" s="542" t="s">
        <v>82</v>
      </c>
      <c r="AA361" s="542" t="s">
        <v>82</v>
      </c>
      <c r="AB361" s="542" t="s">
        <v>82</v>
      </c>
      <c r="AC361" s="542" t="s">
        <v>82</v>
      </c>
      <c r="AD361" s="542" t="s">
        <v>82</v>
      </c>
      <c r="AE361" s="542" t="s">
        <v>82</v>
      </c>
      <c r="AF361" s="542" t="s">
        <v>82</v>
      </c>
      <c r="AG361" s="542" t="s">
        <v>82</v>
      </c>
      <c r="AH361" s="9"/>
      <c r="AI361" s="487">
        <v>358</v>
      </c>
      <c r="AJ361" s="497" t="s">
        <v>479</v>
      </c>
      <c r="AK361" s="378">
        <v>70</v>
      </c>
      <c r="AL361" s="378" t="str">
        <f t="shared" ca="1" si="169"/>
        <v>-</v>
      </c>
      <c r="AM361" s="378" t="str">
        <f t="array" aca="1" ref="AM361" ca="1">IFERROR(IF(AI361&lt;=$AB$2,"-",INDEX(Calculation_Tab,SMALL(ROW(Main_Dil)*(Main_Dil&lt;&gt;"-"),COUNTIF(Main_Dil,"-")+ROW()-3-$AB$2)-9,5)),"-")</f>
        <v>-</v>
      </c>
      <c r="AN361" s="378" t="str">
        <f t="array" aca="1" ref="AN361" ca="1">IFERROR(IF(AI361&lt;=$AB$2,"-",INDEX($A$3:$B$12,MATCH(INDEX(Calculation_Tab,SMALL(ROW(Main_Dil)*(Main_Dil&lt;&gt;"-"),COUNTIF(Main_Dil,"-")+ROW()-3-$AB$2)-9,5),$A$3:$A$12,0),2)),"-")</f>
        <v>-</v>
      </c>
      <c r="AO361" s="378" t="str">
        <f t="array" aca="1" ref="AO361" ca="1">IFERROR(IF(AI361&lt;=$AB$2,"-",INDEX(Coordinate,MATCH(INDEX(Calculation_Tab,SMALL(ROW(Main_Dil)*(Main_Dil&lt;&gt;"-"),COUNTIF(Main_Dil,"-")+ROW()-3-$AB$2)-9,6),$X$4:$X$99,0),2)),"-")</f>
        <v>-</v>
      </c>
      <c r="AP361" s="510" t="str">
        <f t="array" aca="1" ref="AP361" ca="1">IFERROR(IF(AI361&lt;=$AB$2,"-",INDEX(Calculation_Tab,SMALL(ROW(Main_Dil)*(Main_Dil&lt;&gt;"-"),COUNTIF(Main_Dil,"-")+ROW()-3-$AB$2)-9,21)),"-")</f>
        <v>-</v>
      </c>
      <c r="AQ361" s="511" t="str">
        <f t="array" aca="1" ref="AQ361" ca="1">IFERROR(IF(AI361&lt;=$AB$2,"-",INDEX(Calculation_Tab,SMALL(ROW(Main_Dil)*(Main_Dil&lt;&gt;"-"),COUNTIF(Main_Dil,"-")+ROW()-3-$AB$2)-9,22)),"-")</f>
        <v>-</v>
      </c>
      <c r="AR361" s="487" t="str">
        <f t="shared" ca="1" si="170"/>
        <v>-</v>
      </c>
      <c r="AS361" s="378">
        <v>358</v>
      </c>
      <c r="AT361" s="497" t="s">
        <v>479</v>
      </c>
      <c r="AU361" s="498">
        <v>70</v>
      </c>
      <c r="AV361" s="378" t="str">
        <f t="shared" ca="1" si="171"/>
        <v>-</v>
      </c>
      <c r="AW361" s="378" t="str">
        <f t="array" aca="1" ref="AW361" ca="1">IFERROR(IF(AS361&lt;=$AB$2+$AN$2,"-",INDEX(Calculation_Tab,SMALL(ROW(Direct_Denaturation)*(Direct_Denaturation&lt;&gt;"-"),COUNTIF(Direct_Denaturation,"-")+ROW()-3-$AB$2-$AN$2)-9,5)),"-")</f>
        <v>-</v>
      </c>
      <c r="AX361" s="378" t="str">
        <f t="array" aca="1" ref="AX361" ca="1">IFERROR(IF(AS361&lt;=$AB$2+$AN$2,"-",INDEX($A$3:$B$12,MATCH(INDEX(Calculation_Tab,SMALL(ROW(Direct_Denaturation)*(Direct_Denaturation&lt;&gt;"-"),COUNTIF(Direct_Denaturation,"-")+ROW()-3-$AB$2-$AN$2)-9,5),$A$3:$A$12,0),2)),"-")</f>
        <v>-</v>
      </c>
      <c r="AY361" s="378" t="str">
        <f t="array" aca="1" ref="AY361" ca="1">IFERROR(IF(AS361&lt;=$AB$2+$AN$2,"-",INDEX(Coordinate,MATCH(INDEX(Calculation_Tab,SMALL(ROW(Direct_Denaturation)*(Direct_Denaturation&lt;&gt;"-"),COUNTIF(Direct_Denaturation,"-")+ROW()-3-$AB$2-$AN$2)-9,6),$X$4:$X$99,0),2)),"-")</f>
        <v>-</v>
      </c>
      <c r="AZ361" s="510" t="str">
        <f t="array" aca="1" ref="AZ361" ca="1">IFERROR(IF(AS361&lt;=$AB$2+$AN$2,"-",INDEX(Calculation_Tab,SMALL(ROW(Direct_Denaturation)*(Direct_Denaturation&lt;&gt;"-"),COUNTIF(Direct_Denaturation,"-")+ROW()-3-$AB$2-$AN$2)-9,32)),"-")</f>
        <v>-</v>
      </c>
      <c r="BA361" s="510" t="str">
        <f t="array" aca="1" ref="BA361" ca="1">IFERROR(IF(AS361&lt;=$AB$2+$AN$2,"-",INDEX(Calculation_Tab,SMALL(ROW(Direct_Denaturation)*(Direct_Denaturation&lt;&gt;"-"),COUNTIF(Direct_Denaturation,"-")+ROW()-3-$AB$2-$AN$2)-9,34)),"-")</f>
        <v>-</v>
      </c>
      <c r="BB361" s="510" t="str">
        <f t="array" aca="1" ref="BB361" ca="1">IFERROR(IF(AS361&lt;=$AB$2+$AN$2,"-",INDEX(Calculation_Tab,SMALL(ROW(Direct_Denaturation)*(Direct_Denaturation&lt;&gt;"-"),COUNTIF(Direct_Denaturation,"-")+ROW()-3-$AB$2-$AN$2)-9,33)),"-")</f>
        <v>-</v>
      </c>
      <c r="BC361" s="510" t="str">
        <f t="array" aca="1" ref="BC361" ca="1">IFERROR(IF(AS361&lt;=$AB$2+$AN$2,"-",INDEX(Calculation_Tab,SMALL(ROW(Direct_Denaturation)*(Direct_Denaturation&lt;&gt;"-"),COUNTIF(Direct_Denaturation,"-")+ROW()-3-$AB$2-$AN$2)-9,35)),"-")</f>
        <v>-</v>
      </c>
      <c r="BD361" s="511" t="str">
        <f t="shared" ca="1" si="172"/>
        <v>-</v>
      </c>
      <c r="BK361" s="542" t="s">
        <v>82</v>
      </c>
      <c r="BL361" s="542" t="s">
        <v>82</v>
      </c>
      <c r="BM361" s="487" t="str">
        <f t="array" aca="1" ref="BM361" ca="1">IFERROR(INDEX(Calculation_Tab,SMALL(ROW(ToPool)*(ToPool&lt;&gt;"-"),COUNTIF(ToPool,"-")+ROW()-3)-9,3),"-")</f>
        <v>-</v>
      </c>
      <c r="BN361" s="378" t="str">
        <f t="shared" ca="1" si="173"/>
        <v>-</v>
      </c>
      <c r="BO361" s="378" t="str">
        <f t="shared" ca="1" si="174"/>
        <v>-</v>
      </c>
      <c r="BP361" s="523" t="str">
        <f t="shared" ca="1" si="175"/>
        <v>-</v>
      </c>
      <c r="BQ361" s="378" t="str">
        <f t="array" aca="1" ref="BQ361" ca="1">IFERROR(INDEX(BE:BG,MATCH(INDEX(Calculation_Tab,SMALL(ROW(ToPool)*(ToPool&lt;&gt;"-"),COUNTIF(ToPool,"-")+ROW()-3)-9,9),BG:BG,0),2),"-")</f>
        <v>-</v>
      </c>
      <c r="BR361" s="510" t="str">
        <f t="shared" ca="1" si="176"/>
        <v>-</v>
      </c>
      <c r="BS361" s="511" t="str">
        <f t="shared" ca="1" si="177"/>
        <v>-</v>
      </c>
      <c r="BT361" s="543" t="s">
        <v>82</v>
      </c>
      <c r="BU361" s="487" t="str">
        <f t="shared" ca="1" si="182"/>
        <v>-</v>
      </c>
      <c r="BV361" s="487" t="str">
        <f t="array" aca="1" ref="BV36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61" s="378" t="str">
        <f t="shared" ca="1" si="178"/>
        <v>-</v>
      </c>
      <c r="BX361" s="378" t="str">
        <f t="shared" ca="1" si="179"/>
        <v>-</v>
      </c>
      <c r="BY361" s="510" t="str">
        <f ca="1">IFERROR(ROUND(INDEX(Cluster,MATCH(IF(LEFT(BV361,4)="Pool",INDEX(Cluster,MATCH(INDEX(Calculation_Tab,MATCH(INDEX($BE$4:$BJ$99,MATCH(BV361,$BE$4:$BE$99,0),3),Flow_Cell_Lane,0),3),Cluster!$F$29:$F$412,0),6),BV361),Identifier_Cluster,0),19)*IF(LEFT(BV361,4)="pool",IF(LEN(INDEX($BE$4:$BJ$99,MATCH(BV361,$BE$4:$BE$99,0),3))=10,2,IF(LEN(INDEX($BE$4:$BJ$99,MATCH(BV361,$BE$4:$BE$99,0),3))&gt;10,LEN(INDEX($BE$4:$BJ$99,MATCH(BV361,$BE$4:$BE$99,0),3))-8,1)),1)*IF(LEFT(BV361,4)="pool",IF(INDEX($BE$4:$BJ$99,MATCH(BV361,$BE$4:$BE$99,0),6)&lt;1,1,INDEX($BE$4:$BJ$99,MATCH(BV361,$BE$4:$BE$99,0),6)),INDEX(Calculation_Tab,MATCH(BV361,Identifier,0),10)),1)*(1+Calculation!$Q$6),"-")</f>
        <v>-</v>
      </c>
      <c r="BZ361" s="378" t="str">
        <f ca="1">IFERROR((0.5/50)*CE361/Calculation!$AG$6*(IF(LEFT(BV361,4)="Pool",IF(LEN(INDEX($BE$4:$BJ$99,MATCH(BV361,$BE$4:$BE$99,0),3))=10,2,IF(LEN(INDEX($BE$4:$BJ$99,MATCH(BV361,$BE$4:$BE$99,0),3))&gt;10,LEN(INDEX($BE$4:$BJ$99,MATCH(BV361,$BE$4:$BE$99,0),3))-8,1)),IF(INDEX(Calculation_Tab,MATCH(BV361,Identifier,0),10)&gt;1,INDEX(Calculation_Tab,MATCH(BV361,Identifier,0),10),1)))*(1+Calculation!$Q$6),"-")</f>
        <v>-</v>
      </c>
      <c r="CA361" s="510" t="str">
        <f ca="1">IFERROR(IF((BZ361*Calculation!$AG$6/0.05)-SUM(BY361:BZ361,CC361)&gt;0,(BZ361*Calculation!$AG$6/0.05)-SUM(BY361:BZ361,CC361),0),"-")</f>
        <v>-</v>
      </c>
      <c r="CB361" s="510" t="str">
        <f ca="1">IFERROR(5/50*CE361*(IF(LEFT(BV361,4)="Pool",IF(LEN(INDEX($BE$4:$BJ$99,MATCH(BV361,$BE$4:$BE$99,0),3))=10,2,IF(LEN(INDEX($BE$4:$BJ$99,MATCH(BV361,$BE$4:$BE$99,0),3))&gt;10,LEN(INDEX($BE$4:$BJ$99,MATCH(BV361,$BE$4:$BE$99,0),3))-8,1)),IF(INDEX(Calculation_Tab,MATCH(BV361,Identifier,0),10)&gt;1,INDEX(Calculation_Tab,MATCH(BV361,Identifier,0),10),1)))*(1+Calculation!$Q$6),"-")</f>
        <v>-</v>
      </c>
      <c r="CC361" s="508" t="str">
        <f ca="1">IFERROR(ROUND(INDEX(Cluster,MATCH(IF(LEFT(BV361,4)="Pool",INDEX(Cluster,MATCH(INDEX(Calculation_Tab,MATCH(INDEX($BE$4:$BJ$99,MATCH(BV361,$BE$4:$BE$99,0),3),Flow_Cell_Lane,0),3),Cluster!$F$29:$F$412,0),6),BV361),Identifier_Cluster,0),20)*IF(LEFT(BV361,4)="pool",IF(LEN(INDEX($BE$4:$BJ$99,MATCH(BV361,$BE$4:$BE$99,0),3))=10,2,IF(LEN(INDEX($BE$4:$BJ$99,MATCH(BV361,$BE$4:$BE$99,0),3))&gt;10,LEN(INDEX($BE$4:$BJ$99,MATCH(BV361,$BE$4:$BE$99,0),3))-8,1)),1)*IF(LEFT(BV361,4)="pool",IF(INDEX($BE$4:$BJ$99,MATCH(BV361,$BE$4:$BE$99,0),6)&lt;1,1,INDEX($BE$4:$BJ$99,MATCH(BV361,$BE$4:$BE$99,0),6)),INDEX(Calculation_Tab,MATCH(BV361,Identifier,0),10)),1)*(1+Calculation!$Q$6),"-")</f>
        <v>-</v>
      </c>
      <c r="CD361" s="509" t="str">
        <f ca="1">IFERROR(INDEX(Cluster!AC:AD,MATCH(IF(LEFT(BV361,4)="Pool",INDEX(Cluster!$D$29:$AA$412,MATCH(INDEX(Calculation_Tab,MATCH(INDEX($BE$4:$BJ$99,MATCH(BV361,$BE$4:$BE$99,0),3),Flow_Cell_Lane,0),3),Cluster!$F$29:$F$412,0),24),INDEX(Cluster!$D$29:$AA$412,MATCH(BV361,Cluster!$F$29:$F$412,0),24)),Cluster!AC:AC,0),2),"-")</f>
        <v>-</v>
      </c>
      <c r="CE361" s="378" t="str">
        <f ca="1">IFERROR(IF(BV361&lt;&gt;"-",Calculation!$AK$6,"-"),"-")</f>
        <v>-</v>
      </c>
      <c r="CF361" s="378" t="str">
        <f ca="1">IF(OR(LEFT(ListAndConversion!BW361,3)="Dil",LEFT(ListAndConversion!BW361,3)="Poo"),ListAndConversion!$BT$4,IF(LEFT(ListAndConversion!BW361,3)="Sou",INDEX(ListAndConversion!$AT$3:$AV$387,MATCH(ListAndConversion!BV361,ListAndConversion!$AV$3:$AV$387,0),1),"-"))</f>
        <v>-</v>
      </c>
      <c r="CG361" s="498" t="str">
        <f ca="1">IF(OR(LEFT(ListAndConversion!BW361,3)="Dil",LEFT(ListAndConversion!BW361,3)="Poo"),ListAndConversion!BU361,IF(LEFT(ListAndConversion!BW361,3)="Sou",INDEX(ListAndConversion!$AT$4:$AV$387,MATCH(ListAndConversion!BV361,ListAndConversion!$AV$4:$AV$387,0),2),"-"))</f>
        <v>-</v>
      </c>
      <c r="CH361" s="378"/>
      <c r="CI361" s="487" t="str">
        <f t="shared" ca="1" si="180"/>
        <v>-</v>
      </c>
      <c r="CJ361" s="378" t="str">
        <f t="shared" ca="1" si="188"/>
        <v>-</v>
      </c>
      <c r="CK361" s="378" t="str">
        <f t="shared" ca="1" si="188"/>
        <v>-</v>
      </c>
      <c r="CL361" s="378" t="str">
        <f t="shared" ca="1" si="188"/>
        <v>-</v>
      </c>
      <c r="CM361" s="378" t="str">
        <f t="shared" ca="1" si="188"/>
        <v>-</v>
      </c>
      <c r="CN361" s="378" t="str">
        <f t="shared" ca="1" si="188"/>
        <v>-</v>
      </c>
      <c r="CO361" s="378" t="str">
        <f t="shared" ca="1" si="188"/>
        <v>-</v>
      </c>
      <c r="CP361" s="378" t="str">
        <f t="shared" ca="1" si="188"/>
        <v>-</v>
      </c>
      <c r="CQ361" s="378" t="str">
        <f t="shared" ca="1" si="188"/>
        <v>-</v>
      </c>
      <c r="CR361" s="510" t="str">
        <f ca="1">IFERROR(IF(LEFT(BW361,3)="Poo",INDEX($BE$4:$BJ$99,MATCH(CI361,$BG$4:$BG$99,0),6)*((15/50))*Calculation!$AK$6,INDEX(Calculation_Tab,MATCH(BV361,Identifier,0),10)/(IF(LEN(INDEX(Calculation_Tab,MATCH(BV361,Identifier,0),9))&gt;8,LEN(INDEX(Calculation_Tab,MATCH(BV361,Identifier,0),9))-8,1))*((15/50)*Calculation!$AK$6)),"-")</f>
        <v>-</v>
      </c>
      <c r="CS361" s="498" t="str">
        <f ca="1">IF(CI361="-","-",IF(COUNTIF($CI$3:CI361,CI361)&gt;1,0,IFERROR((35/50)*Calculation!$AK$6,"-")))</f>
        <v>-</v>
      </c>
    </row>
    <row r="362" spans="4:97" x14ac:dyDescent="0.5">
      <c r="D362" s="487" t="e">
        <f t="shared" si="165"/>
        <v>#DIV/0!</v>
      </c>
      <c r="E362" s="496" t="e">
        <f t="array" ref="E362">IF(IF((ROW(E362)-3)&lt;(ListAndConversion!$A$15),INDEX(Flow_Cell_Lane,MIN(IF(COUNTIF($E$2:E361,Flow_Cell_Lane)=0,ROW(Flow_Cell_Lane)-9))),"-")="","-",IF((ROW(E362)-3)&lt;(ListAndConversion!$A$15),INDEX(Flow_Cell_Lane,MIN(IF(COUNTIF($E$2:E361,Flow_Cell_Lane)=0,ROW(Flow_Cell_Lane)-9))),"-"))</f>
        <v>#DIV/0!</v>
      </c>
      <c r="F362" s="378" t="e">
        <f t="shared" si="166"/>
        <v>#DIV/0!</v>
      </c>
      <c r="G362" s="378" t="e">
        <f t="shared" si="187"/>
        <v>#DIV/0!</v>
      </c>
      <c r="H362" s="378" t="e">
        <f t="shared" si="187"/>
        <v>#DIV/0!</v>
      </c>
      <c r="I362" s="378" t="e">
        <f t="shared" si="187"/>
        <v>#DIV/0!</v>
      </c>
      <c r="J362" s="378" t="e">
        <f t="shared" si="187"/>
        <v>#DIV/0!</v>
      </c>
      <c r="K362" s="378" t="e">
        <f t="shared" si="187"/>
        <v>#DIV/0!</v>
      </c>
      <c r="L362" s="378" t="e">
        <f t="shared" si="187"/>
        <v>#DIV/0!</v>
      </c>
      <c r="M362" s="378" t="e">
        <f t="shared" si="187"/>
        <v>#DIV/0!</v>
      </c>
      <c r="N362" s="497" t="e">
        <f t="shared" si="168"/>
        <v>#DIV/0!</v>
      </c>
      <c r="O362" s="497" t="str">
        <f t="array" ref="O362">IFERROR(INDEX(Calculation!I:AN,MATCH(ListAndConversion!E362,Calculation!I:I,0),31),"-")</f>
        <v>-</v>
      </c>
      <c r="P362" s="498">
        <f>IF(COUNTIFS(Calculation!$I$10:$I$393,E362,Direct_Denaturation,"-")&lt;&gt;1,COUNTIFS(Calculation!$I$10:$I$393,E362,Direct_Denaturation,"-"),0)</f>
        <v>0</v>
      </c>
      <c r="V362" s="542" t="s">
        <v>82</v>
      </c>
      <c r="W362" s="542" t="s">
        <v>82</v>
      </c>
      <c r="X362" s="542" t="s">
        <v>82</v>
      </c>
      <c r="Y362" s="542" t="s">
        <v>82</v>
      </c>
      <c r="Z362" s="542" t="s">
        <v>82</v>
      </c>
      <c r="AA362" s="542" t="s">
        <v>82</v>
      </c>
      <c r="AB362" s="542" t="s">
        <v>82</v>
      </c>
      <c r="AC362" s="542" t="s">
        <v>82</v>
      </c>
      <c r="AD362" s="542" t="s">
        <v>82</v>
      </c>
      <c r="AE362" s="542" t="s">
        <v>82</v>
      </c>
      <c r="AF362" s="542" t="s">
        <v>82</v>
      </c>
      <c r="AG362" s="542" t="s">
        <v>82</v>
      </c>
      <c r="AH362" s="9"/>
      <c r="AI362" s="487">
        <v>359</v>
      </c>
      <c r="AJ362" s="497" t="s">
        <v>479</v>
      </c>
      <c r="AK362" s="378">
        <v>71</v>
      </c>
      <c r="AL362" s="378" t="str">
        <f t="shared" ca="1" si="169"/>
        <v>-</v>
      </c>
      <c r="AM362" s="378" t="str">
        <f t="array" aca="1" ref="AM362" ca="1">IFERROR(IF(AI362&lt;=$AB$2,"-",INDEX(Calculation_Tab,SMALL(ROW(Main_Dil)*(Main_Dil&lt;&gt;"-"),COUNTIF(Main_Dil,"-")+ROW()-3-$AB$2)-9,5)),"-")</f>
        <v>-</v>
      </c>
      <c r="AN362" s="378" t="str">
        <f t="array" aca="1" ref="AN362" ca="1">IFERROR(IF(AI362&lt;=$AB$2,"-",INDEX($A$3:$B$12,MATCH(INDEX(Calculation_Tab,SMALL(ROW(Main_Dil)*(Main_Dil&lt;&gt;"-"),COUNTIF(Main_Dil,"-")+ROW()-3-$AB$2)-9,5),$A$3:$A$12,0),2)),"-")</f>
        <v>-</v>
      </c>
      <c r="AO362" s="378" t="str">
        <f t="array" aca="1" ref="AO362" ca="1">IFERROR(IF(AI362&lt;=$AB$2,"-",INDEX(Coordinate,MATCH(INDEX(Calculation_Tab,SMALL(ROW(Main_Dil)*(Main_Dil&lt;&gt;"-"),COUNTIF(Main_Dil,"-")+ROW()-3-$AB$2)-9,6),$X$4:$X$99,0),2)),"-")</f>
        <v>-</v>
      </c>
      <c r="AP362" s="510" t="str">
        <f t="array" aca="1" ref="AP362" ca="1">IFERROR(IF(AI362&lt;=$AB$2,"-",INDEX(Calculation_Tab,SMALL(ROW(Main_Dil)*(Main_Dil&lt;&gt;"-"),COUNTIF(Main_Dil,"-")+ROW()-3-$AB$2)-9,21)),"-")</f>
        <v>-</v>
      </c>
      <c r="AQ362" s="511" t="str">
        <f t="array" aca="1" ref="AQ362" ca="1">IFERROR(IF(AI362&lt;=$AB$2,"-",INDEX(Calculation_Tab,SMALL(ROW(Main_Dil)*(Main_Dil&lt;&gt;"-"),COUNTIF(Main_Dil,"-")+ROW()-3-$AB$2)-9,22)),"-")</f>
        <v>-</v>
      </c>
      <c r="AR362" s="487" t="str">
        <f t="shared" ca="1" si="170"/>
        <v>-</v>
      </c>
      <c r="AS362" s="378">
        <v>359</v>
      </c>
      <c r="AT362" s="497" t="s">
        <v>479</v>
      </c>
      <c r="AU362" s="498">
        <v>71</v>
      </c>
      <c r="AV362" s="378" t="str">
        <f t="shared" ca="1" si="171"/>
        <v>-</v>
      </c>
      <c r="AW362" s="378" t="str">
        <f t="array" aca="1" ref="AW362" ca="1">IFERROR(IF(AS362&lt;=$AB$2+$AN$2,"-",INDEX(Calculation_Tab,SMALL(ROW(Direct_Denaturation)*(Direct_Denaturation&lt;&gt;"-"),COUNTIF(Direct_Denaturation,"-")+ROW()-3-$AB$2-$AN$2)-9,5)),"-")</f>
        <v>-</v>
      </c>
      <c r="AX362" s="378" t="str">
        <f t="array" aca="1" ref="AX362" ca="1">IFERROR(IF(AS362&lt;=$AB$2+$AN$2,"-",INDEX($A$3:$B$12,MATCH(INDEX(Calculation_Tab,SMALL(ROW(Direct_Denaturation)*(Direct_Denaturation&lt;&gt;"-"),COUNTIF(Direct_Denaturation,"-")+ROW()-3-$AB$2-$AN$2)-9,5),$A$3:$A$12,0),2)),"-")</f>
        <v>-</v>
      </c>
      <c r="AY362" s="378" t="str">
        <f t="array" aca="1" ref="AY362" ca="1">IFERROR(IF(AS362&lt;=$AB$2+$AN$2,"-",INDEX(Coordinate,MATCH(INDEX(Calculation_Tab,SMALL(ROW(Direct_Denaturation)*(Direct_Denaturation&lt;&gt;"-"),COUNTIF(Direct_Denaturation,"-")+ROW()-3-$AB$2-$AN$2)-9,6),$X$4:$X$99,0),2)),"-")</f>
        <v>-</v>
      </c>
      <c r="AZ362" s="510" t="str">
        <f t="array" aca="1" ref="AZ362" ca="1">IFERROR(IF(AS362&lt;=$AB$2+$AN$2,"-",INDEX(Calculation_Tab,SMALL(ROW(Direct_Denaturation)*(Direct_Denaturation&lt;&gt;"-"),COUNTIF(Direct_Denaturation,"-")+ROW()-3-$AB$2-$AN$2)-9,32)),"-")</f>
        <v>-</v>
      </c>
      <c r="BA362" s="510" t="str">
        <f t="array" aca="1" ref="BA362" ca="1">IFERROR(IF(AS362&lt;=$AB$2+$AN$2,"-",INDEX(Calculation_Tab,SMALL(ROW(Direct_Denaturation)*(Direct_Denaturation&lt;&gt;"-"),COUNTIF(Direct_Denaturation,"-")+ROW()-3-$AB$2-$AN$2)-9,34)),"-")</f>
        <v>-</v>
      </c>
      <c r="BB362" s="510" t="str">
        <f t="array" aca="1" ref="BB362" ca="1">IFERROR(IF(AS362&lt;=$AB$2+$AN$2,"-",INDEX(Calculation_Tab,SMALL(ROW(Direct_Denaturation)*(Direct_Denaturation&lt;&gt;"-"),COUNTIF(Direct_Denaturation,"-")+ROW()-3-$AB$2-$AN$2)-9,33)),"-")</f>
        <v>-</v>
      </c>
      <c r="BC362" s="510" t="str">
        <f t="array" aca="1" ref="BC362" ca="1">IFERROR(IF(AS362&lt;=$AB$2+$AN$2,"-",INDEX(Calculation_Tab,SMALL(ROW(Direct_Denaturation)*(Direct_Denaturation&lt;&gt;"-"),COUNTIF(Direct_Denaturation,"-")+ROW()-3-$AB$2-$AN$2)-9,35)),"-")</f>
        <v>-</v>
      </c>
      <c r="BD362" s="511" t="str">
        <f t="shared" ca="1" si="172"/>
        <v>-</v>
      </c>
      <c r="BK362" s="542" t="s">
        <v>82</v>
      </c>
      <c r="BL362" s="542" t="s">
        <v>82</v>
      </c>
      <c r="BM362" s="487" t="str">
        <f t="array" aca="1" ref="BM362" ca="1">IFERROR(INDEX(Calculation_Tab,SMALL(ROW(ToPool)*(ToPool&lt;&gt;"-"),COUNTIF(ToPool,"-")+ROW()-3)-9,3),"-")</f>
        <v>-</v>
      </c>
      <c r="BN362" s="378" t="str">
        <f t="shared" ca="1" si="173"/>
        <v>-</v>
      </c>
      <c r="BO362" s="378" t="str">
        <f t="shared" ca="1" si="174"/>
        <v>-</v>
      </c>
      <c r="BP362" s="523" t="str">
        <f t="shared" ca="1" si="175"/>
        <v>-</v>
      </c>
      <c r="BQ362" s="378" t="str">
        <f t="array" aca="1" ref="BQ362" ca="1">IFERROR(INDEX(BE:BG,MATCH(INDEX(Calculation_Tab,SMALL(ROW(ToPool)*(ToPool&lt;&gt;"-"),COUNTIF(ToPool,"-")+ROW()-3)-9,9),BG:BG,0),2),"-")</f>
        <v>-</v>
      </c>
      <c r="BR362" s="510" t="str">
        <f t="shared" ca="1" si="176"/>
        <v>-</v>
      </c>
      <c r="BS362" s="511" t="str">
        <f t="shared" ca="1" si="177"/>
        <v>-</v>
      </c>
      <c r="BT362" s="543" t="s">
        <v>82</v>
      </c>
      <c r="BU362" s="487" t="str">
        <f t="shared" ca="1" si="182"/>
        <v>-</v>
      </c>
      <c r="BV362" s="487" t="str">
        <f t="array" aca="1" ref="BV36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62" s="378" t="str">
        <f t="shared" ca="1" si="178"/>
        <v>-</v>
      </c>
      <c r="BX362" s="378" t="str">
        <f t="shared" ca="1" si="179"/>
        <v>-</v>
      </c>
      <c r="BY362" s="510" t="str">
        <f ca="1">IFERROR(ROUND(INDEX(Cluster,MATCH(IF(LEFT(BV362,4)="Pool",INDEX(Cluster,MATCH(INDEX(Calculation_Tab,MATCH(INDEX($BE$4:$BJ$99,MATCH(BV362,$BE$4:$BE$99,0),3),Flow_Cell_Lane,0),3),Cluster!$F$29:$F$412,0),6),BV362),Identifier_Cluster,0),19)*IF(LEFT(BV362,4)="pool",IF(LEN(INDEX($BE$4:$BJ$99,MATCH(BV362,$BE$4:$BE$99,0),3))=10,2,IF(LEN(INDEX($BE$4:$BJ$99,MATCH(BV362,$BE$4:$BE$99,0),3))&gt;10,LEN(INDEX($BE$4:$BJ$99,MATCH(BV362,$BE$4:$BE$99,0),3))-8,1)),1)*IF(LEFT(BV362,4)="pool",IF(INDEX($BE$4:$BJ$99,MATCH(BV362,$BE$4:$BE$99,0),6)&lt;1,1,INDEX($BE$4:$BJ$99,MATCH(BV362,$BE$4:$BE$99,0),6)),INDEX(Calculation_Tab,MATCH(BV362,Identifier,0),10)),1)*(1+Calculation!$Q$6),"-")</f>
        <v>-</v>
      </c>
      <c r="BZ362" s="378" t="str">
        <f ca="1">IFERROR((0.5/50)*CE362/Calculation!$AG$6*(IF(LEFT(BV362,4)="Pool",IF(LEN(INDEX($BE$4:$BJ$99,MATCH(BV362,$BE$4:$BE$99,0),3))=10,2,IF(LEN(INDEX($BE$4:$BJ$99,MATCH(BV362,$BE$4:$BE$99,0),3))&gt;10,LEN(INDEX($BE$4:$BJ$99,MATCH(BV362,$BE$4:$BE$99,0),3))-8,1)),IF(INDEX(Calculation_Tab,MATCH(BV362,Identifier,0),10)&gt;1,INDEX(Calculation_Tab,MATCH(BV362,Identifier,0),10),1)))*(1+Calculation!$Q$6),"-")</f>
        <v>-</v>
      </c>
      <c r="CA362" s="510" t="str">
        <f ca="1">IFERROR(IF((BZ362*Calculation!$AG$6/0.05)-SUM(BY362:BZ362,CC362)&gt;0,(BZ362*Calculation!$AG$6/0.05)-SUM(BY362:BZ362,CC362),0),"-")</f>
        <v>-</v>
      </c>
      <c r="CB362" s="510" t="str">
        <f ca="1">IFERROR(5/50*CE362*(IF(LEFT(BV362,4)="Pool",IF(LEN(INDEX($BE$4:$BJ$99,MATCH(BV362,$BE$4:$BE$99,0),3))=10,2,IF(LEN(INDEX($BE$4:$BJ$99,MATCH(BV362,$BE$4:$BE$99,0),3))&gt;10,LEN(INDEX($BE$4:$BJ$99,MATCH(BV362,$BE$4:$BE$99,0),3))-8,1)),IF(INDEX(Calculation_Tab,MATCH(BV362,Identifier,0),10)&gt;1,INDEX(Calculation_Tab,MATCH(BV362,Identifier,0),10),1)))*(1+Calculation!$Q$6),"-")</f>
        <v>-</v>
      </c>
      <c r="CC362" s="508" t="str">
        <f ca="1">IFERROR(ROUND(INDEX(Cluster,MATCH(IF(LEFT(BV362,4)="Pool",INDEX(Cluster,MATCH(INDEX(Calculation_Tab,MATCH(INDEX($BE$4:$BJ$99,MATCH(BV362,$BE$4:$BE$99,0),3),Flow_Cell_Lane,0),3),Cluster!$F$29:$F$412,0),6),BV362),Identifier_Cluster,0),20)*IF(LEFT(BV362,4)="pool",IF(LEN(INDEX($BE$4:$BJ$99,MATCH(BV362,$BE$4:$BE$99,0),3))=10,2,IF(LEN(INDEX($BE$4:$BJ$99,MATCH(BV362,$BE$4:$BE$99,0),3))&gt;10,LEN(INDEX($BE$4:$BJ$99,MATCH(BV362,$BE$4:$BE$99,0),3))-8,1)),1)*IF(LEFT(BV362,4)="pool",IF(INDEX($BE$4:$BJ$99,MATCH(BV362,$BE$4:$BE$99,0),6)&lt;1,1,INDEX($BE$4:$BJ$99,MATCH(BV362,$BE$4:$BE$99,0),6)),INDEX(Calculation_Tab,MATCH(BV362,Identifier,0),10)),1)*(1+Calculation!$Q$6),"-")</f>
        <v>-</v>
      </c>
      <c r="CD362" s="509" t="str">
        <f ca="1">IFERROR(INDEX(Cluster!AC:AD,MATCH(IF(LEFT(BV362,4)="Pool",INDEX(Cluster!$D$29:$AA$412,MATCH(INDEX(Calculation_Tab,MATCH(INDEX($BE$4:$BJ$99,MATCH(BV362,$BE$4:$BE$99,0),3),Flow_Cell_Lane,0),3),Cluster!$F$29:$F$412,0),24),INDEX(Cluster!$D$29:$AA$412,MATCH(BV362,Cluster!$F$29:$F$412,0),24)),Cluster!AC:AC,0),2),"-")</f>
        <v>-</v>
      </c>
      <c r="CE362" s="378" t="str">
        <f ca="1">IFERROR(IF(BV362&lt;&gt;"-",Calculation!$AK$6,"-"),"-")</f>
        <v>-</v>
      </c>
      <c r="CF362" s="378" t="str">
        <f ca="1">IF(OR(LEFT(ListAndConversion!BW362,3)="Dil",LEFT(ListAndConversion!BW362,3)="Poo"),ListAndConversion!$BT$4,IF(LEFT(ListAndConversion!BW362,3)="Sou",INDEX(ListAndConversion!$AT$3:$AV$387,MATCH(ListAndConversion!BV362,ListAndConversion!$AV$3:$AV$387,0),1),"-"))</f>
        <v>-</v>
      </c>
      <c r="CG362" s="498" t="str">
        <f ca="1">IF(OR(LEFT(ListAndConversion!BW362,3)="Dil",LEFT(ListAndConversion!BW362,3)="Poo"),ListAndConversion!BU362,IF(LEFT(ListAndConversion!BW362,3)="Sou",INDEX(ListAndConversion!$AT$4:$AV$387,MATCH(ListAndConversion!BV362,ListAndConversion!$AV$4:$AV$387,0),2),"-"))</f>
        <v>-</v>
      </c>
      <c r="CH362" s="378"/>
      <c r="CI362" s="487" t="str">
        <f t="shared" ca="1" si="180"/>
        <v>-</v>
      </c>
      <c r="CJ362" s="378" t="str">
        <f t="shared" ca="1" si="188"/>
        <v>-</v>
      </c>
      <c r="CK362" s="378" t="str">
        <f t="shared" ca="1" si="188"/>
        <v>-</v>
      </c>
      <c r="CL362" s="378" t="str">
        <f t="shared" ca="1" si="188"/>
        <v>-</v>
      </c>
      <c r="CM362" s="378" t="str">
        <f t="shared" ca="1" si="188"/>
        <v>-</v>
      </c>
      <c r="CN362" s="378" t="str">
        <f t="shared" ca="1" si="188"/>
        <v>-</v>
      </c>
      <c r="CO362" s="378" t="str">
        <f t="shared" ca="1" si="188"/>
        <v>-</v>
      </c>
      <c r="CP362" s="378" t="str">
        <f t="shared" ca="1" si="188"/>
        <v>-</v>
      </c>
      <c r="CQ362" s="378" t="str">
        <f t="shared" ca="1" si="188"/>
        <v>-</v>
      </c>
      <c r="CR362" s="510" t="str">
        <f ca="1">IFERROR(IF(LEFT(BW362,3)="Poo",INDEX($BE$4:$BJ$99,MATCH(CI362,$BG$4:$BG$99,0),6)*((15/50))*Calculation!$AK$6,INDEX(Calculation_Tab,MATCH(BV362,Identifier,0),10)/(IF(LEN(INDEX(Calculation_Tab,MATCH(BV362,Identifier,0),9))&gt;8,LEN(INDEX(Calculation_Tab,MATCH(BV362,Identifier,0),9))-8,1))*((15/50)*Calculation!$AK$6)),"-")</f>
        <v>-</v>
      </c>
      <c r="CS362" s="498" t="str">
        <f ca="1">IF(CI362="-","-",IF(COUNTIF($CI$3:CI362,CI362)&gt;1,0,IFERROR((35/50)*Calculation!$AK$6,"-")))</f>
        <v>-</v>
      </c>
    </row>
    <row r="363" spans="4:97" x14ac:dyDescent="0.5">
      <c r="D363" s="487" t="e">
        <f t="shared" si="165"/>
        <v>#DIV/0!</v>
      </c>
      <c r="E363" s="496" t="e">
        <f t="array" ref="E363">IF(IF((ROW(E363)-3)&lt;(ListAndConversion!$A$15),INDEX(Flow_Cell_Lane,MIN(IF(COUNTIF($E$2:E362,Flow_Cell_Lane)=0,ROW(Flow_Cell_Lane)-9))),"-")="","-",IF((ROW(E363)-3)&lt;(ListAndConversion!$A$15),INDEX(Flow_Cell_Lane,MIN(IF(COUNTIF($E$2:E362,Flow_Cell_Lane)=0,ROW(Flow_Cell_Lane)-9))),"-"))</f>
        <v>#DIV/0!</v>
      </c>
      <c r="F363" s="378" t="e">
        <f t="shared" si="166"/>
        <v>#DIV/0!</v>
      </c>
      <c r="G363" s="378" t="e">
        <f t="shared" ref="G363:M372" si="189">IF($D363&gt;8,IF($D363&gt;=(8+G$2),CONCATENATE(LEFT($E363,7),RIGHT(LEFT($E363,8+G$2),1)),""),"")</f>
        <v>#DIV/0!</v>
      </c>
      <c r="H363" s="378" t="e">
        <f t="shared" si="189"/>
        <v>#DIV/0!</v>
      </c>
      <c r="I363" s="378" t="e">
        <f t="shared" si="189"/>
        <v>#DIV/0!</v>
      </c>
      <c r="J363" s="378" t="e">
        <f t="shared" si="189"/>
        <v>#DIV/0!</v>
      </c>
      <c r="K363" s="378" t="e">
        <f t="shared" si="189"/>
        <v>#DIV/0!</v>
      </c>
      <c r="L363" s="378" t="e">
        <f t="shared" si="189"/>
        <v>#DIV/0!</v>
      </c>
      <c r="M363" s="378" t="e">
        <f t="shared" si="189"/>
        <v>#DIV/0!</v>
      </c>
      <c r="N363" s="497" t="e">
        <f t="shared" si="168"/>
        <v>#DIV/0!</v>
      </c>
      <c r="O363" s="497" t="str">
        <f t="array" ref="O363">IFERROR(INDEX(Calculation!I:AN,MATCH(ListAndConversion!E363,Calculation!I:I,0),31),"-")</f>
        <v>-</v>
      </c>
      <c r="P363" s="498">
        <f>IF(COUNTIFS(Calculation!$I$10:$I$393,E363,Direct_Denaturation,"-")&lt;&gt;1,COUNTIFS(Calculation!$I$10:$I$393,E363,Direct_Denaturation,"-"),0)</f>
        <v>0</v>
      </c>
      <c r="V363" s="542" t="s">
        <v>82</v>
      </c>
      <c r="W363" s="542" t="s">
        <v>82</v>
      </c>
      <c r="X363" s="542" t="s">
        <v>82</v>
      </c>
      <c r="Y363" s="542" t="s">
        <v>82</v>
      </c>
      <c r="Z363" s="542" t="s">
        <v>82</v>
      </c>
      <c r="AA363" s="542" t="s">
        <v>82</v>
      </c>
      <c r="AB363" s="542" t="s">
        <v>82</v>
      </c>
      <c r="AC363" s="542" t="s">
        <v>82</v>
      </c>
      <c r="AD363" s="542" t="s">
        <v>82</v>
      </c>
      <c r="AE363" s="542" t="s">
        <v>82</v>
      </c>
      <c r="AF363" s="542" t="s">
        <v>82</v>
      </c>
      <c r="AG363" s="542" t="s">
        <v>82</v>
      </c>
      <c r="AH363" s="9"/>
      <c r="AI363" s="487">
        <v>360</v>
      </c>
      <c r="AJ363" s="497" t="s">
        <v>479</v>
      </c>
      <c r="AK363" s="378">
        <v>72</v>
      </c>
      <c r="AL363" s="378" t="str">
        <f t="shared" ca="1" si="169"/>
        <v>-</v>
      </c>
      <c r="AM363" s="378" t="str">
        <f t="array" aca="1" ref="AM363" ca="1">IFERROR(IF(AI363&lt;=$AB$2,"-",INDEX(Calculation_Tab,SMALL(ROW(Main_Dil)*(Main_Dil&lt;&gt;"-"),COUNTIF(Main_Dil,"-")+ROW()-3-$AB$2)-9,5)),"-")</f>
        <v>-</v>
      </c>
      <c r="AN363" s="378" t="str">
        <f t="array" aca="1" ref="AN363" ca="1">IFERROR(IF(AI363&lt;=$AB$2,"-",INDEX($A$3:$B$12,MATCH(INDEX(Calculation_Tab,SMALL(ROW(Main_Dil)*(Main_Dil&lt;&gt;"-"),COUNTIF(Main_Dil,"-")+ROW()-3-$AB$2)-9,5),$A$3:$A$12,0),2)),"-")</f>
        <v>-</v>
      </c>
      <c r="AO363" s="378" t="str">
        <f t="array" aca="1" ref="AO363" ca="1">IFERROR(IF(AI363&lt;=$AB$2,"-",INDEX(Coordinate,MATCH(INDEX(Calculation_Tab,SMALL(ROW(Main_Dil)*(Main_Dil&lt;&gt;"-"),COUNTIF(Main_Dil,"-")+ROW()-3-$AB$2)-9,6),$X$4:$X$99,0),2)),"-")</f>
        <v>-</v>
      </c>
      <c r="AP363" s="510" t="str">
        <f t="array" aca="1" ref="AP363" ca="1">IFERROR(IF(AI363&lt;=$AB$2,"-",INDEX(Calculation_Tab,SMALL(ROW(Main_Dil)*(Main_Dil&lt;&gt;"-"),COUNTIF(Main_Dil,"-")+ROW()-3-$AB$2)-9,21)),"-")</f>
        <v>-</v>
      </c>
      <c r="AQ363" s="511" t="str">
        <f t="array" aca="1" ref="AQ363" ca="1">IFERROR(IF(AI363&lt;=$AB$2,"-",INDEX(Calculation_Tab,SMALL(ROW(Main_Dil)*(Main_Dil&lt;&gt;"-"),COUNTIF(Main_Dil,"-")+ROW()-3-$AB$2)-9,22)),"-")</f>
        <v>-</v>
      </c>
      <c r="AR363" s="487" t="str">
        <f t="shared" ca="1" si="170"/>
        <v>-</v>
      </c>
      <c r="AS363" s="378">
        <v>360</v>
      </c>
      <c r="AT363" s="497" t="s">
        <v>479</v>
      </c>
      <c r="AU363" s="498">
        <v>72</v>
      </c>
      <c r="AV363" s="378" t="str">
        <f t="shared" ca="1" si="171"/>
        <v>-</v>
      </c>
      <c r="AW363" s="378" t="str">
        <f t="array" aca="1" ref="AW363" ca="1">IFERROR(IF(AS363&lt;=$AB$2+$AN$2,"-",INDEX(Calculation_Tab,SMALL(ROW(Direct_Denaturation)*(Direct_Denaturation&lt;&gt;"-"),COUNTIF(Direct_Denaturation,"-")+ROW()-3-$AB$2-$AN$2)-9,5)),"-")</f>
        <v>-</v>
      </c>
      <c r="AX363" s="378" t="str">
        <f t="array" aca="1" ref="AX363" ca="1">IFERROR(IF(AS363&lt;=$AB$2+$AN$2,"-",INDEX($A$3:$B$12,MATCH(INDEX(Calculation_Tab,SMALL(ROW(Direct_Denaturation)*(Direct_Denaturation&lt;&gt;"-"),COUNTIF(Direct_Denaturation,"-")+ROW()-3-$AB$2-$AN$2)-9,5),$A$3:$A$12,0),2)),"-")</f>
        <v>-</v>
      </c>
      <c r="AY363" s="378" t="str">
        <f t="array" aca="1" ref="AY363" ca="1">IFERROR(IF(AS363&lt;=$AB$2+$AN$2,"-",INDEX(Coordinate,MATCH(INDEX(Calculation_Tab,SMALL(ROW(Direct_Denaturation)*(Direct_Denaturation&lt;&gt;"-"),COUNTIF(Direct_Denaturation,"-")+ROW()-3-$AB$2-$AN$2)-9,6),$X$4:$X$99,0),2)),"-")</f>
        <v>-</v>
      </c>
      <c r="AZ363" s="510" t="str">
        <f t="array" aca="1" ref="AZ363" ca="1">IFERROR(IF(AS363&lt;=$AB$2+$AN$2,"-",INDEX(Calculation_Tab,SMALL(ROW(Direct_Denaturation)*(Direct_Denaturation&lt;&gt;"-"),COUNTIF(Direct_Denaturation,"-")+ROW()-3-$AB$2-$AN$2)-9,32)),"-")</f>
        <v>-</v>
      </c>
      <c r="BA363" s="510" t="str">
        <f t="array" aca="1" ref="BA363" ca="1">IFERROR(IF(AS363&lt;=$AB$2+$AN$2,"-",INDEX(Calculation_Tab,SMALL(ROW(Direct_Denaturation)*(Direct_Denaturation&lt;&gt;"-"),COUNTIF(Direct_Denaturation,"-")+ROW()-3-$AB$2-$AN$2)-9,34)),"-")</f>
        <v>-</v>
      </c>
      <c r="BB363" s="510" t="str">
        <f t="array" aca="1" ref="BB363" ca="1">IFERROR(IF(AS363&lt;=$AB$2+$AN$2,"-",INDEX(Calculation_Tab,SMALL(ROW(Direct_Denaturation)*(Direct_Denaturation&lt;&gt;"-"),COUNTIF(Direct_Denaturation,"-")+ROW()-3-$AB$2-$AN$2)-9,33)),"-")</f>
        <v>-</v>
      </c>
      <c r="BC363" s="510" t="str">
        <f t="array" aca="1" ref="BC363" ca="1">IFERROR(IF(AS363&lt;=$AB$2+$AN$2,"-",INDEX(Calculation_Tab,SMALL(ROW(Direct_Denaturation)*(Direct_Denaturation&lt;&gt;"-"),COUNTIF(Direct_Denaturation,"-")+ROW()-3-$AB$2-$AN$2)-9,35)),"-")</f>
        <v>-</v>
      </c>
      <c r="BD363" s="511" t="str">
        <f t="shared" ca="1" si="172"/>
        <v>-</v>
      </c>
      <c r="BK363" s="542" t="s">
        <v>82</v>
      </c>
      <c r="BL363" s="542" t="s">
        <v>82</v>
      </c>
      <c r="BM363" s="487" t="str">
        <f t="array" aca="1" ref="BM363" ca="1">IFERROR(INDEX(Calculation_Tab,SMALL(ROW(ToPool)*(ToPool&lt;&gt;"-"),COUNTIF(ToPool,"-")+ROW()-3)-9,3),"-")</f>
        <v>-</v>
      </c>
      <c r="BN363" s="378" t="str">
        <f t="shared" ca="1" si="173"/>
        <v>-</v>
      </c>
      <c r="BO363" s="378" t="str">
        <f t="shared" ca="1" si="174"/>
        <v>-</v>
      </c>
      <c r="BP363" s="523" t="str">
        <f t="shared" ca="1" si="175"/>
        <v>-</v>
      </c>
      <c r="BQ363" s="378" t="str">
        <f t="array" aca="1" ref="BQ363" ca="1">IFERROR(INDEX(BE:BG,MATCH(INDEX(Calculation_Tab,SMALL(ROW(ToPool)*(ToPool&lt;&gt;"-"),COUNTIF(ToPool,"-")+ROW()-3)-9,9),BG:BG,0),2),"-")</f>
        <v>-</v>
      </c>
      <c r="BR363" s="510" t="str">
        <f t="shared" ca="1" si="176"/>
        <v>-</v>
      </c>
      <c r="BS363" s="511" t="str">
        <f t="shared" ca="1" si="177"/>
        <v>-</v>
      </c>
      <c r="BT363" s="543" t="s">
        <v>82</v>
      </c>
      <c r="BU363" s="487" t="str">
        <f t="shared" ca="1" si="182"/>
        <v>-</v>
      </c>
      <c r="BV363" s="487" t="str">
        <f t="array" aca="1" ref="BV36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63" s="378" t="str">
        <f t="shared" ca="1" si="178"/>
        <v>-</v>
      </c>
      <c r="BX363" s="378" t="str">
        <f t="shared" ca="1" si="179"/>
        <v>-</v>
      </c>
      <c r="BY363" s="510" t="str">
        <f ca="1">IFERROR(ROUND(INDEX(Cluster,MATCH(IF(LEFT(BV363,4)="Pool",INDEX(Cluster,MATCH(INDEX(Calculation_Tab,MATCH(INDEX($BE$4:$BJ$99,MATCH(BV363,$BE$4:$BE$99,0),3),Flow_Cell_Lane,0),3),Cluster!$F$29:$F$412,0),6),BV363),Identifier_Cluster,0),19)*IF(LEFT(BV363,4)="pool",IF(LEN(INDEX($BE$4:$BJ$99,MATCH(BV363,$BE$4:$BE$99,0),3))=10,2,IF(LEN(INDEX($BE$4:$BJ$99,MATCH(BV363,$BE$4:$BE$99,0),3))&gt;10,LEN(INDEX($BE$4:$BJ$99,MATCH(BV363,$BE$4:$BE$99,0),3))-8,1)),1)*IF(LEFT(BV363,4)="pool",IF(INDEX($BE$4:$BJ$99,MATCH(BV363,$BE$4:$BE$99,0),6)&lt;1,1,INDEX($BE$4:$BJ$99,MATCH(BV363,$BE$4:$BE$99,0),6)),INDEX(Calculation_Tab,MATCH(BV363,Identifier,0),10)),1)*(1+Calculation!$Q$6),"-")</f>
        <v>-</v>
      </c>
      <c r="BZ363" s="378" t="str">
        <f ca="1">IFERROR((0.5/50)*CE363/Calculation!$AG$6*(IF(LEFT(BV363,4)="Pool",IF(LEN(INDEX($BE$4:$BJ$99,MATCH(BV363,$BE$4:$BE$99,0),3))=10,2,IF(LEN(INDEX($BE$4:$BJ$99,MATCH(BV363,$BE$4:$BE$99,0),3))&gt;10,LEN(INDEX($BE$4:$BJ$99,MATCH(BV363,$BE$4:$BE$99,0),3))-8,1)),IF(INDEX(Calculation_Tab,MATCH(BV363,Identifier,0),10)&gt;1,INDEX(Calculation_Tab,MATCH(BV363,Identifier,0),10),1)))*(1+Calculation!$Q$6),"-")</f>
        <v>-</v>
      </c>
      <c r="CA363" s="510" t="str">
        <f ca="1">IFERROR(IF((BZ363*Calculation!$AG$6/0.05)-SUM(BY363:BZ363,CC363)&gt;0,(BZ363*Calculation!$AG$6/0.05)-SUM(BY363:BZ363,CC363),0),"-")</f>
        <v>-</v>
      </c>
      <c r="CB363" s="510" t="str">
        <f ca="1">IFERROR(5/50*CE363*(IF(LEFT(BV363,4)="Pool",IF(LEN(INDEX($BE$4:$BJ$99,MATCH(BV363,$BE$4:$BE$99,0),3))=10,2,IF(LEN(INDEX($BE$4:$BJ$99,MATCH(BV363,$BE$4:$BE$99,0),3))&gt;10,LEN(INDEX($BE$4:$BJ$99,MATCH(BV363,$BE$4:$BE$99,0),3))-8,1)),IF(INDEX(Calculation_Tab,MATCH(BV363,Identifier,0),10)&gt;1,INDEX(Calculation_Tab,MATCH(BV363,Identifier,0),10),1)))*(1+Calculation!$Q$6),"-")</f>
        <v>-</v>
      </c>
      <c r="CC363" s="508" t="str">
        <f ca="1">IFERROR(ROUND(INDEX(Cluster,MATCH(IF(LEFT(BV363,4)="Pool",INDEX(Cluster,MATCH(INDEX(Calculation_Tab,MATCH(INDEX($BE$4:$BJ$99,MATCH(BV363,$BE$4:$BE$99,0),3),Flow_Cell_Lane,0),3),Cluster!$F$29:$F$412,0),6),BV363),Identifier_Cluster,0),20)*IF(LEFT(BV363,4)="pool",IF(LEN(INDEX($BE$4:$BJ$99,MATCH(BV363,$BE$4:$BE$99,0),3))=10,2,IF(LEN(INDEX($BE$4:$BJ$99,MATCH(BV363,$BE$4:$BE$99,0),3))&gt;10,LEN(INDEX($BE$4:$BJ$99,MATCH(BV363,$BE$4:$BE$99,0),3))-8,1)),1)*IF(LEFT(BV363,4)="pool",IF(INDEX($BE$4:$BJ$99,MATCH(BV363,$BE$4:$BE$99,0),6)&lt;1,1,INDEX($BE$4:$BJ$99,MATCH(BV363,$BE$4:$BE$99,0),6)),INDEX(Calculation_Tab,MATCH(BV363,Identifier,0),10)),1)*(1+Calculation!$Q$6),"-")</f>
        <v>-</v>
      </c>
      <c r="CD363" s="509" t="str">
        <f ca="1">IFERROR(INDEX(Cluster!AC:AD,MATCH(IF(LEFT(BV363,4)="Pool",INDEX(Cluster!$D$29:$AA$412,MATCH(INDEX(Calculation_Tab,MATCH(INDEX($BE$4:$BJ$99,MATCH(BV363,$BE$4:$BE$99,0),3),Flow_Cell_Lane,0),3),Cluster!$F$29:$F$412,0),24),INDEX(Cluster!$D$29:$AA$412,MATCH(BV363,Cluster!$F$29:$F$412,0),24)),Cluster!AC:AC,0),2),"-")</f>
        <v>-</v>
      </c>
      <c r="CE363" s="378" t="str">
        <f ca="1">IFERROR(IF(BV363&lt;&gt;"-",Calculation!$AK$6,"-"),"-")</f>
        <v>-</v>
      </c>
      <c r="CF363" s="378" t="str">
        <f ca="1">IF(OR(LEFT(ListAndConversion!BW363,3)="Dil",LEFT(ListAndConversion!BW363,3)="Poo"),ListAndConversion!$BT$4,IF(LEFT(ListAndConversion!BW363,3)="Sou",INDEX(ListAndConversion!$AT$3:$AV$387,MATCH(ListAndConversion!BV363,ListAndConversion!$AV$3:$AV$387,0),1),"-"))</f>
        <v>-</v>
      </c>
      <c r="CG363" s="498" t="str">
        <f ca="1">IF(OR(LEFT(ListAndConversion!BW363,3)="Dil",LEFT(ListAndConversion!BW363,3)="Poo"),ListAndConversion!BU363,IF(LEFT(ListAndConversion!BW363,3)="Sou",INDEX(ListAndConversion!$AT$4:$AV$387,MATCH(ListAndConversion!BV363,ListAndConversion!$AV$4:$AV$387,0),2),"-"))</f>
        <v>-</v>
      </c>
      <c r="CH363" s="378"/>
      <c r="CI363" s="487" t="str">
        <f t="shared" ca="1" si="180"/>
        <v>-</v>
      </c>
      <c r="CJ363" s="378" t="str">
        <f t="shared" ca="1" si="188"/>
        <v>-</v>
      </c>
      <c r="CK363" s="378" t="str">
        <f t="shared" ca="1" si="188"/>
        <v>-</v>
      </c>
      <c r="CL363" s="378" t="str">
        <f t="shared" ca="1" si="188"/>
        <v>-</v>
      </c>
      <c r="CM363" s="378" t="str">
        <f t="shared" ca="1" si="188"/>
        <v>-</v>
      </c>
      <c r="CN363" s="378" t="str">
        <f t="shared" ca="1" si="188"/>
        <v>-</v>
      </c>
      <c r="CO363" s="378" t="str">
        <f t="shared" ca="1" si="188"/>
        <v>-</v>
      </c>
      <c r="CP363" s="378" t="str">
        <f t="shared" ca="1" si="188"/>
        <v>-</v>
      </c>
      <c r="CQ363" s="378" t="str">
        <f t="shared" ca="1" si="188"/>
        <v>-</v>
      </c>
      <c r="CR363" s="510" t="str">
        <f ca="1">IFERROR(IF(LEFT(BW363,3)="Poo",INDEX($BE$4:$BJ$99,MATCH(CI363,$BG$4:$BG$99,0),6)*((15/50))*Calculation!$AK$6,INDEX(Calculation_Tab,MATCH(BV363,Identifier,0),10)/(IF(LEN(INDEX(Calculation_Tab,MATCH(BV363,Identifier,0),9))&gt;8,LEN(INDEX(Calculation_Tab,MATCH(BV363,Identifier,0),9))-8,1))*((15/50)*Calculation!$AK$6)),"-")</f>
        <v>-</v>
      </c>
      <c r="CS363" s="498" t="str">
        <f ca="1">IF(CI363="-","-",IF(COUNTIF($CI$3:CI363,CI363)&gt;1,0,IFERROR((35/50)*Calculation!$AK$6,"-")))</f>
        <v>-</v>
      </c>
    </row>
    <row r="364" spans="4:97" x14ac:dyDescent="0.5">
      <c r="D364" s="487" t="e">
        <f t="shared" si="165"/>
        <v>#DIV/0!</v>
      </c>
      <c r="E364" s="496" t="e">
        <f t="array" ref="E364">IF(IF((ROW(E364)-3)&lt;(ListAndConversion!$A$15),INDEX(Flow_Cell_Lane,MIN(IF(COUNTIF($E$2:E363,Flow_Cell_Lane)=0,ROW(Flow_Cell_Lane)-9))),"-")="","-",IF((ROW(E364)-3)&lt;(ListAndConversion!$A$15),INDEX(Flow_Cell_Lane,MIN(IF(COUNTIF($E$2:E363,Flow_Cell_Lane)=0,ROW(Flow_Cell_Lane)-9))),"-"))</f>
        <v>#DIV/0!</v>
      </c>
      <c r="F364" s="378" t="e">
        <f t="shared" si="166"/>
        <v>#DIV/0!</v>
      </c>
      <c r="G364" s="378" t="e">
        <f t="shared" si="189"/>
        <v>#DIV/0!</v>
      </c>
      <c r="H364" s="378" t="e">
        <f t="shared" si="189"/>
        <v>#DIV/0!</v>
      </c>
      <c r="I364" s="378" t="e">
        <f t="shared" si="189"/>
        <v>#DIV/0!</v>
      </c>
      <c r="J364" s="378" t="e">
        <f t="shared" si="189"/>
        <v>#DIV/0!</v>
      </c>
      <c r="K364" s="378" t="e">
        <f t="shared" si="189"/>
        <v>#DIV/0!</v>
      </c>
      <c r="L364" s="378" t="e">
        <f t="shared" si="189"/>
        <v>#DIV/0!</v>
      </c>
      <c r="M364" s="378" t="e">
        <f t="shared" si="189"/>
        <v>#DIV/0!</v>
      </c>
      <c r="N364" s="497" t="e">
        <f t="shared" si="168"/>
        <v>#DIV/0!</v>
      </c>
      <c r="O364" s="497" t="str">
        <f t="array" ref="O364">IFERROR(INDEX(Calculation!I:AN,MATCH(ListAndConversion!E364,Calculation!I:I,0),31),"-")</f>
        <v>-</v>
      </c>
      <c r="P364" s="498">
        <f>IF(COUNTIFS(Calculation!$I$10:$I$393,E364,Direct_Denaturation,"-")&lt;&gt;1,COUNTIFS(Calculation!$I$10:$I$393,E364,Direct_Denaturation,"-"),0)</f>
        <v>0</v>
      </c>
      <c r="V364" s="542" t="s">
        <v>82</v>
      </c>
      <c r="W364" s="542" t="s">
        <v>82</v>
      </c>
      <c r="X364" s="542" t="s">
        <v>82</v>
      </c>
      <c r="Y364" s="542" t="s">
        <v>82</v>
      </c>
      <c r="Z364" s="542" t="s">
        <v>82</v>
      </c>
      <c r="AA364" s="542" t="s">
        <v>82</v>
      </c>
      <c r="AB364" s="542" t="s">
        <v>82</v>
      </c>
      <c r="AC364" s="542" t="s">
        <v>82</v>
      </c>
      <c r="AD364" s="542" t="s">
        <v>82</v>
      </c>
      <c r="AE364" s="542" t="s">
        <v>82</v>
      </c>
      <c r="AF364" s="542" t="s">
        <v>82</v>
      </c>
      <c r="AG364" s="542" t="s">
        <v>82</v>
      </c>
      <c r="AH364" s="9"/>
      <c r="AI364" s="487">
        <v>361</v>
      </c>
      <c r="AJ364" s="497" t="s">
        <v>479</v>
      </c>
      <c r="AK364" s="378">
        <v>73</v>
      </c>
      <c r="AL364" s="378" t="str">
        <f t="shared" ca="1" si="169"/>
        <v>-</v>
      </c>
      <c r="AM364" s="378" t="str">
        <f t="array" aca="1" ref="AM364" ca="1">IFERROR(IF(AI364&lt;=$AB$2,"-",INDEX(Calculation_Tab,SMALL(ROW(Main_Dil)*(Main_Dil&lt;&gt;"-"),COUNTIF(Main_Dil,"-")+ROW()-3-$AB$2)-9,5)),"-")</f>
        <v>-</v>
      </c>
      <c r="AN364" s="378" t="str">
        <f t="array" aca="1" ref="AN364" ca="1">IFERROR(IF(AI364&lt;=$AB$2,"-",INDEX($A$3:$B$12,MATCH(INDEX(Calculation_Tab,SMALL(ROW(Main_Dil)*(Main_Dil&lt;&gt;"-"),COUNTIF(Main_Dil,"-")+ROW()-3-$AB$2)-9,5),$A$3:$A$12,0),2)),"-")</f>
        <v>-</v>
      </c>
      <c r="AO364" s="378" t="str">
        <f t="array" aca="1" ref="AO364" ca="1">IFERROR(IF(AI364&lt;=$AB$2,"-",INDEX(Coordinate,MATCH(INDEX(Calculation_Tab,SMALL(ROW(Main_Dil)*(Main_Dil&lt;&gt;"-"),COUNTIF(Main_Dil,"-")+ROW()-3-$AB$2)-9,6),$X$4:$X$99,0),2)),"-")</f>
        <v>-</v>
      </c>
      <c r="AP364" s="510" t="str">
        <f t="array" aca="1" ref="AP364" ca="1">IFERROR(IF(AI364&lt;=$AB$2,"-",INDEX(Calculation_Tab,SMALL(ROW(Main_Dil)*(Main_Dil&lt;&gt;"-"),COUNTIF(Main_Dil,"-")+ROW()-3-$AB$2)-9,21)),"-")</f>
        <v>-</v>
      </c>
      <c r="AQ364" s="511" t="str">
        <f t="array" aca="1" ref="AQ364" ca="1">IFERROR(IF(AI364&lt;=$AB$2,"-",INDEX(Calculation_Tab,SMALL(ROW(Main_Dil)*(Main_Dil&lt;&gt;"-"),COUNTIF(Main_Dil,"-")+ROW()-3-$AB$2)-9,22)),"-")</f>
        <v>-</v>
      </c>
      <c r="AR364" s="487" t="str">
        <f t="shared" ca="1" si="170"/>
        <v>-</v>
      </c>
      <c r="AS364" s="378">
        <v>361</v>
      </c>
      <c r="AT364" s="497" t="s">
        <v>479</v>
      </c>
      <c r="AU364" s="498">
        <v>73</v>
      </c>
      <c r="AV364" s="378" t="str">
        <f t="shared" ca="1" si="171"/>
        <v>-</v>
      </c>
      <c r="AW364" s="378" t="str">
        <f t="array" aca="1" ref="AW364" ca="1">IFERROR(IF(AS364&lt;=$AB$2+$AN$2,"-",INDEX(Calculation_Tab,SMALL(ROW(Direct_Denaturation)*(Direct_Denaturation&lt;&gt;"-"),COUNTIF(Direct_Denaturation,"-")+ROW()-3-$AB$2-$AN$2)-9,5)),"-")</f>
        <v>-</v>
      </c>
      <c r="AX364" s="378" t="str">
        <f t="array" aca="1" ref="AX364" ca="1">IFERROR(IF(AS364&lt;=$AB$2+$AN$2,"-",INDEX($A$3:$B$12,MATCH(INDEX(Calculation_Tab,SMALL(ROW(Direct_Denaturation)*(Direct_Denaturation&lt;&gt;"-"),COUNTIF(Direct_Denaturation,"-")+ROW()-3-$AB$2-$AN$2)-9,5),$A$3:$A$12,0),2)),"-")</f>
        <v>-</v>
      </c>
      <c r="AY364" s="378" t="str">
        <f t="array" aca="1" ref="AY364" ca="1">IFERROR(IF(AS364&lt;=$AB$2+$AN$2,"-",INDEX(Coordinate,MATCH(INDEX(Calculation_Tab,SMALL(ROW(Direct_Denaturation)*(Direct_Denaturation&lt;&gt;"-"),COUNTIF(Direct_Denaturation,"-")+ROW()-3-$AB$2-$AN$2)-9,6),$X$4:$X$99,0),2)),"-")</f>
        <v>-</v>
      </c>
      <c r="AZ364" s="510" t="str">
        <f t="array" aca="1" ref="AZ364" ca="1">IFERROR(IF(AS364&lt;=$AB$2+$AN$2,"-",INDEX(Calculation_Tab,SMALL(ROW(Direct_Denaturation)*(Direct_Denaturation&lt;&gt;"-"),COUNTIF(Direct_Denaturation,"-")+ROW()-3-$AB$2-$AN$2)-9,32)),"-")</f>
        <v>-</v>
      </c>
      <c r="BA364" s="510" t="str">
        <f t="array" aca="1" ref="BA364" ca="1">IFERROR(IF(AS364&lt;=$AB$2+$AN$2,"-",INDEX(Calculation_Tab,SMALL(ROW(Direct_Denaturation)*(Direct_Denaturation&lt;&gt;"-"),COUNTIF(Direct_Denaturation,"-")+ROW()-3-$AB$2-$AN$2)-9,34)),"-")</f>
        <v>-</v>
      </c>
      <c r="BB364" s="510" t="str">
        <f t="array" aca="1" ref="BB364" ca="1">IFERROR(IF(AS364&lt;=$AB$2+$AN$2,"-",INDEX(Calculation_Tab,SMALL(ROW(Direct_Denaturation)*(Direct_Denaturation&lt;&gt;"-"),COUNTIF(Direct_Denaturation,"-")+ROW()-3-$AB$2-$AN$2)-9,33)),"-")</f>
        <v>-</v>
      </c>
      <c r="BC364" s="510" t="str">
        <f t="array" aca="1" ref="BC364" ca="1">IFERROR(IF(AS364&lt;=$AB$2+$AN$2,"-",INDEX(Calculation_Tab,SMALL(ROW(Direct_Denaturation)*(Direct_Denaturation&lt;&gt;"-"),COUNTIF(Direct_Denaturation,"-")+ROW()-3-$AB$2-$AN$2)-9,35)),"-")</f>
        <v>-</v>
      </c>
      <c r="BD364" s="511" t="str">
        <f t="shared" ca="1" si="172"/>
        <v>-</v>
      </c>
      <c r="BK364" s="542" t="s">
        <v>82</v>
      </c>
      <c r="BL364" s="542" t="s">
        <v>82</v>
      </c>
      <c r="BM364" s="487" t="str">
        <f t="array" aca="1" ref="BM364" ca="1">IFERROR(INDEX(Calculation_Tab,SMALL(ROW(ToPool)*(ToPool&lt;&gt;"-"),COUNTIF(ToPool,"-")+ROW()-3)-9,3),"-")</f>
        <v>-</v>
      </c>
      <c r="BN364" s="378" t="str">
        <f t="shared" ca="1" si="173"/>
        <v>-</v>
      </c>
      <c r="BO364" s="378" t="str">
        <f t="shared" ca="1" si="174"/>
        <v>-</v>
      </c>
      <c r="BP364" s="523" t="str">
        <f t="shared" ca="1" si="175"/>
        <v>-</v>
      </c>
      <c r="BQ364" s="378" t="str">
        <f t="array" aca="1" ref="BQ364" ca="1">IFERROR(INDEX(BE:BG,MATCH(INDEX(Calculation_Tab,SMALL(ROW(ToPool)*(ToPool&lt;&gt;"-"),COUNTIF(ToPool,"-")+ROW()-3)-9,9),BG:BG,0),2),"-")</f>
        <v>-</v>
      </c>
      <c r="BR364" s="510" t="str">
        <f t="shared" ca="1" si="176"/>
        <v>-</v>
      </c>
      <c r="BS364" s="511" t="str">
        <f t="shared" ca="1" si="177"/>
        <v>-</v>
      </c>
      <c r="BT364" s="543" t="s">
        <v>82</v>
      </c>
      <c r="BU364" s="487" t="str">
        <f t="shared" ca="1" si="182"/>
        <v>-</v>
      </c>
      <c r="BV364" s="487" t="str">
        <f t="array" aca="1" ref="BV36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64" s="378" t="str">
        <f t="shared" ca="1" si="178"/>
        <v>-</v>
      </c>
      <c r="BX364" s="378" t="str">
        <f t="shared" ca="1" si="179"/>
        <v>-</v>
      </c>
      <c r="BY364" s="510" t="str">
        <f ca="1">IFERROR(ROUND(INDEX(Cluster,MATCH(IF(LEFT(BV364,4)="Pool",INDEX(Cluster,MATCH(INDEX(Calculation_Tab,MATCH(INDEX($BE$4:$BJ$99,MATCH(BV364,$BE$4:$BE$99,0),3),Flow_Cell_Lane,0),3),Cluster!$F$29:$F$412,0),6),BV364),Identifier_Cluster,0),19)*IF(LEFT(BV364,4)="pool",IF(LEN(INDEX($BE$4:$BJ$99,MATCH(BV364,$BE$4:$BE$99,0),3))=10,2,IF(LEN(INDEX($BE$4:$BJ$99,MATCH(BV364,$BE$4:$BE$99,0),3))&gt;10,LEN(INDEX($BE$4:$BJ$99,MATCH(BV364,$BE$4:$BE$99,0),3))-8,1)),1)*IF(LEFT(BV364,4)="pool",IF(INDEX($BE$4:$BJ$99,MATCH(BV364,$BE$4:$BE$99,0),6)&lt;1,1,INDEX($BE$4:$BJ$99,MATCH(BV364,$BE$4:$BE$99,0),6)),INDEX(Calculation_Tab,MATCH(BV364,Identifier,0),10)),1)*(1+Calculation!$Q$6),"-")</f>
        <v>-</v>
      </c>
      <c r="BZ364" s="378" t="str">
        <f ca="1">IFERROR((0.5/50)*CE364/Calculation!$AG$6*(IF(LEFT(BV364,4)="Pool",IF(LEN(INDEX($BE$4:$BJ$99,MATCH(BV364,$BE$4:$BE$99,0),3))=10,2,IF(LEN(INDEX($BE$4:$BJ$99,MATCH(BV364,$BE$4:$BE$99,0),3))&gt;10,LEN(INDEX($BE$4:$BJ$99,MATCH(BV364,$BE$4:$BE$99,0),3))-8,1)),IF(INDEX(Calculation_Tab,MATCH(BV364,Identifier,0),10)&gt;1,INDEX(Calculation_Tab,MATCH(BV364,Identifier,0),10),1)))*(1+Calculation!$Q$6),"-")</f>
        <v>-</v>
      </c>
      <c r="CA364" s="510" t="str">
        <f ca="1">IFERROR(IF((BZ364*Calculation!$AG$6/0.05)-SUM(BY364:BZ364,CC364)&gt;0,(BZ364*Calculation!$AG$6/0.05)-SUM(BY364:BZ364,CC364),0),"-")</f>
        <v>-</v>
      </c>
      <c r="CB364" s="510" t="str">
        <f ca="1">IFERROR(5/50*CE364*(IF(LEFT(BV364,4)="Pool",IF(LEN(INDEX($BE$4:$BJ$99,MATCH(BV364,$BE$4:$BE$99,0),3))=10,2,IF(LEN(INDEX($BE$4:$BJ$99,MATCH(BV364,$BE$4:$BE$99,0),3))&gt;10,LEN(INDEX($BE$4:$BJ$99,MATCH(BV364,$BE$4:$BE$99,0),3))-8,1)),IF(INDEX(Calculation_Tab,MATCH(BV364,Identifier,0),10)&gt;1,INDEX(Calculation_Tab,MATCH(BV364,Identifier,0),10),1)))*(1+Calculation!$Q$6),"-")</f>
        <v>-</v>
      </c>
      <c r="CC364" s="508" t="str">
        <f ca="1">IFERROR(ROUND(INDEX(Cluster,MATCH(IF(LEFT(BV364,4)="Pool",INDEX(Cluster,MATCH(INDEX(Calculation_Tab,MATCH(INDEX($BE$4:$BJ$99,MATCH(BV364,$BE$4:$BE$99,0),3),Flow_Cell_Lane,0),3),Cluster!$F$29:$F$412,0),6),BV364),Identifier_Cluster,0),20)*IF(LEFT(BV364,4)="pool",IF(LEN(INDEX($BE$4:$BJ$99,MATCH(BV364,$BE$4:$BE$99,0),3))=10,2,IF(LEN(INDEX($BE$4:$BJ$99,MATCH(BV364,$BE$4:$BE$99,0),3))&gt;10,LEN(INDEX($BE$4:$BJ$99,MATCH(BV364,$BE$4:$BE$99,0),3))-8,1)),1)*IF(LEFT(BV364,4)="pool",IF(INDEX($BE$4:$BJ$99,MATCH(BV364,$BE$4:$BE$99,0),6)&lt;1,1,INDEX($BE$4:$BJ$99,MATCH(BV364,$BE$4:$BE$99,0),6)),INDEX(Calculation_Tab,MATCH(BV364,Identifier,0),10)),1)*(1+Calculation!$Q$6),"-")</f>
        <v>-</v>
      </c>
      <c r="CD364" s="509" t="str">
        <f ca="1">IFERROR(INDEX(Cluster!AC:AD,MATCH(IF(LEFT(BV364,4)="Pool",INDEX(Cluster!$D$29:$AA$412,MATCH(INDEX(Calculation_Tab,MATCH(INDEX($BE$4:$BJ$99,MATCH(BV364,$BE$4:$BE$99,0),3),Flow_Cell_Lane,0),3),Cluster!$F$29:$F$412,0),24),INDEX(Cluster!$D$29:$AA$412,MATCH(BV364,Cluster!$F$29:$F$412,0),24)),Cluster!AC:AC,0),2),"-")</f>
        <v>-</v>
      </c>
      <c r="CE364" s="378" t="str">
        <f ca="1">IFERROR(IF(BV364&lt;&gt;"-",Calculation!$AK$6,"-"),"-")</f>
        <v>-</v>
      </c>
      <c r="CF364" s="378" t="str">
        <f ca="1">IF(OR(LEFT(ListAndConversion!BW364,3)="Dil",LEFT(ListAndConversion!BW364,3)="Poo"),ListAndConversion!$BT$4,IF(LEFT(ListAndConversion!BW364,3)="Sou",INDEX(ListAndConversion!$AT$3:$AV$387,MATCH(ListAndConversion!BV364,ListAndConversion!$AV$3:$AV$387,0),1),"-"))</f>
        <v>-</v>
      </c>
      <c r="CG364" s="498" t="str">
        <f ca="1">IF(OR(LEFT(ListAndConversion!BW364,3)="Dil",LEFT(ListAndConversion!BW364,3)="Poo"),ListAndConversion!BU364,IF(LEFT(ListAndConversion!BW364,3)="Sou",INDEX(ListAndConversion!$AT$4:$AV$387,MATCH(ListAndConversion!BV364,ListAndConversion!$AV$4:$AV$387,0),2),"-"))</f>
        <v>-</v>
      </c>
      <c r="CH364" s="378"/>
      <c r="CI364" s="487" t="str">
        <f t="shared" ca="1" si="180"/>
        <v>-</v>
      </c>
      <c r="CJ364" s="378" t="str">
        <f t="shared" ref="CJ364:CQ373" ca="1" si="190">IFERROR(INDEX($R$3:$U$98,MATCH(INDEX($F$3:$M$387,MATCH($CI364,$E$3:$E$386,0),CJ$3),$S$3:$S$98,0),4),"-")</f>
        <v>-</v>
      </c>
      <c r="CK364" s="378" t="str">
        <f t="shared" ca="1" si="190"/>
        <v>-</v>
      </c>
      <c r="CL364" s="378" t="str">
        <f t="shared" ca="1" si="190"/>
        <v>-</v>
      </c>
      <c r="CM364" s="378" t="str">
        <f t="shared" ca="1" si="190"/>
        <v>-</v>
      </c>
      <c r="CN364" s="378" t="str">
        <f t="shared" ca="1" si="190"/>
        <v>-</v>
      </c>
      <c r="CO364" s="378" t="str">
        <f t="shared" ca="1" si="190"/>
        <v>-</v>
      </c>
      <c r="CP364" s="378" t="str">
        <f t="shared" ca="1" si="190"/>
        <v>-</v>
      </c>
      <c r="CQ364" s="378" t="str">
        <f t="shared" ca="1" si="190"/>
        <v>-</v>
      </c>
      <c r="CR364" s="510" t="str">
        <f ca="1">IFERROR(IF(LEFT(BW364,3)="Poo",INDEX($BE$4:$BJ$99,MATCH(CI364,$BG$4:$BG$99,0),6)*((15/50))*Calculation!$AK$6,INDEX(Calculation_Tab,MATCH(BV364,Identifier,0),10)/(IF(LEN(INDEX(Calculation_Tab,MATCH(BV364,Identifier,0),9))&gt;8,LEN(INDEX(Calculation_Tab,MATCH(BV364,Identifier,0),9))-8,1))*((15/50)*Calculation!$AK$6)),"-")</f>
        <v>-</v>
      </c>
      <c r="CS364" s="498" t="str">
        <f ca="1">IF(CI364="-","-",IF(COUNTIF($CI$3:CI364,CI364)&gt;1,0,IFERROR((35/50)*Calculation!$AK$6,"-")))</f>
        <v>-</v>
      </c>
    </row>
    <row r="365" spans="4:97" x14ac:dyDescent="0.5">
      <c r="D365" s="487" t="e">
        <f t="shared" si="165"/>
        <v>#DIV/0!</v>
      </c>
      <c r="E365" s="496" t="e">
        <f t="array" ref="E365">IF(IF((ROW(E365)-3)&lt;(ListAndConversion!$A$15),INDEX(Flow_Cell_Lane,MIN(IF(COUNTIF($E$2:E364,Flow_Cell_Lane)=0,ROW(Flow_Cell_Lane)-9))),"-")="","-",IF((ROW(E365)-3)&lt;(ListAndConversion!$A$15),INDEX(Flow_Cell_Lane,MIN(IF(COUNTIF($E$2:E364,Flow_Cell_Lane)=0,ROW(Flow_Cell_Lane)-9))),"-"))</f>
        <v>#DIV/0!</v>
      </c>
      <c r="F365" s="378" t="e">
        <f t="shared" si="166"/>
        <v>#DIV/0!</v>
      </c>
      <c r="G365" s="378" t="e">
        <f t="shared" si="189"/>
        <v>#DIV/0!</v>
      </c>
      <c r="H365" s="378" t="e">
        <f t="shared" si="189"/>
        <v>#DIV/0!</v>
      </c>
      <c r="I365" s="378" t="e">
        <f t="shared" si="189"/>
        <v>#DIV/0!</v>
      </c>
      <c r="J365" s="378" t="e">
        <f t="shared" si="189"/>
        <v>#DIV/0!</v>
      </c>
      <c r="K365" s="378" t="e">
        <f t="shared" si="189"/>
        <v>#DIV/0!</v>
      </c>
      <c r="L365" s="378" t="e">
        <f t="shared" si="189"/>
        <v>#DIV/0!</v>
      </c>
      <c r="M365" s="378" t="e">
        <f t="shared" si="189"/>
        <v>#DIV/0!</v>
      </c>
      <c r="N365" s="497" t="e">
        <f t="shared" si="168"/>
        <v>#DIV/0!</v>
      </c>
      <c r="O365" s="497" t="str">
        <f t="array" ref="O365">IFERROR(INDEX(Calculation!I:AN,MATCH(ListAndConversion!E365,Calculation!I:I,0),31),"-")</f>
        <v>-</v>
      </c>
      <c r="P365" s="498">
        <f>IF(COUNTIFS(Calculation!$I$10:$I$393,E365,Direct_Denaturation,"-")&lt;&gt;1,COUNTIFS(Calculation!$I$10:$I$393,E365,Direct_Denaturation,"-"),0)</f>
        <v>0</v>
      </c>
      <c r="V365" s="542" t="s">
        <v>82</v>
      </c>
      <c r="W365" s="542" t="s">
        <v>82</v>
      </c>
      <c r="X365" s="542" t="s">
        <v>82</v>
      </c>
      <c r="Y365" s="542" t="s">
        <v>82</v>
      </c>
      <c r="Z365" s="542" t="s">
        <v>82</v>
      </c>
      <c r="AA365" s="542" t="s">
        <v>82</v>
      </c>
      <c r="AB365" s="542" t="s">
        <v>82</v>
      </c>
      <c r="AC365" s="542" t="s">
        <v>82</v>
      </c>
      <c r="AD365" s="542" t="s">
        <v>82</v>
      </c>
      <c r="AE365" s="542" t="s">
        <v>82</v>
      </c>
      <c r="AF365" s="542" t="s">
        <v>82</v>
      </c>
      <c r="AG365" s="542" t="s">
        <v>82</v>
      </c>
      <c r="AH365" s="9"/>
      <c r="AI365" s="487">
        <v>362</v>
      </c>
      <c r="AJ365" s="497" t="s">
        <v>479</v>
      </c>
      <c r="AK365" s="378">
        <v>74</v>
      </c>
      <c r="AL365" s="378" t="str">
        <f t="shared" ca="1" si="169"/>
        <v>-</v>
      </c>
      <c r="AM365" s="378" t="str">
        <f t="array" aca="1" ref="AM365" ca="1">IFERROR(IF(AI365&lt;=$AB$2,"-",INDEX(Calculation_Tab,SMALL(ROW(Main_Dil)*(Main_Dil&lt;&gt;"-"),COUNTIF(Main_Dil,"-")+ROW()-3-$AB$2)-9,5)),"-")</f>
        <v>-</v>
      </c>
      <c r="AN365" s="378" t="str">
        <f t="array" aca="1" ref="AN365" ca="1">IFERROR(IF(AI365&lt;=$AB$2,"-",INDEX($A$3:$B$12,MATCH(INDEX(Calculation_Tab,SMALL(ROW(Main_Dil)*(Main_Dil&lt;&gt;"-"),COUNTIF(Main_Dil,"-")+ROW()-3-$AB$2)-9,5),$A$3:$A$12,0),2)),"-")</f>
        <v>-</v>
      </c>
      <c r="AO365" s="378" t="str">
        <f t="array" aca="1" ref="AO365" ca="1">IFERROR(IF(AI365&lt;=$AB$2,"-",INDEX(Coordinate,MATCH(INDEX(Calculation_Tab,SMALL(ROW(Main_Dil)*(Main_Dil&lt;&gt;"-"),COUNTIF(Main_Dil,"-")+ROW()-3-$AB$2)-9,6),$X$4:$X$99,0),2)),"-")</f>
        <v>-</v>
      </c>
      <c r="AP365" s="510" t="str">
        <f t="array" aca="1" ref="AP365" ca="1">IFERROR(IF(AI365&lt;=$AB$2,"-",INDEX(Calculation_Tab,SMALL(ROW(Main_Dil)*(Main_Dil&lt;&gt;"-"),COUNTIF(Main_Dil,"-")+ROW()-3-$AB$2)-9,21)),"-")</f>
        <v>-</v>
      </c>
      <c r="AQ365" s="511" t="str">
        <f t="array" aca="1" ref="AQ365" ca="1">IFERROR(IF(AI365&lt;=$AB$2,"-",INDEX(Calculation_Tab,SMALL(ROW(Main_Dil)*(Main_Dil&lt;&gt;"-"),COUNTIF(Main_Dil,"-")+ROW()-3-$AB$2)-9,22)),"-")</f>
        <v>-</v>
      </c>
      <c r="AR365" s="487" t="str">
        <f t="shared" ca="1" si="170"/>
        <v>-</v>
      </c>
      <c r="AS365" s="378">
        <v>362</v>
      </c>
      <c r="AT365" s="497" t="s">
        <v>479</v>
      </c>
      <c r="AU365" s="498">
        <v>74</v>
      </c>
      <c r="AV365" s="378" t="str">
        <f t="shared" ca="1" si="171"/>
        <v>-</v>
      </c>
      <c r="AW365" s="378" t="str">
        <f t="array" aca="1" ref="AW365" ca="1">IFERROR(IF(AS365&lt;=$AB$2+$AN$2,"-",INDEX(Calculation_Tab,SMALL(ROW(Direct_Denaturation)*(Direct_Denaturation&lt;&gt;"-"),COUNTIF(Direct_Denaturation,"-")+ROW()-3-$AB$2-$AN$2)-9,5)),"-")</f>
        <v>-</v>
      </c>
      <c r="AX365" s="378" t="str">
        <f t="array" aca="1" ref="AX365" ca="1">IFERROR(IF(AS365&lt;=$AB$2+$AN$2,"-",INDEX($A$3:$B$12,MATCH(INDEX(Calculation_Tab,SMALL(ROW(Direct_Denaturation)*(Direct_Denaturation&lt;&gt;"-"),COUNTIF(Direct_Denaturation,"-")+ROW()-3-$AB$2-$AN$2)-9,5),$A$3:$A$12,0),2)),"-")</f>
        <v>-</v>
      </c>
      <c r="AY365" s="378" t="str">
        <f t="array" aca="1" ref="AY365" ca="1">IFERROR(IF(AS365&lt;=$AB$2+$AN$2,"-",INDEX(Coordinate,MATCH(INDEX(Calculation_Tab,SMALL(ROW(Direct_Denaturation)*(Direct_Denaturation&lt;&gt;"-"),COUNTIF(Direct_Denaturation,"-")+ROW()-3-$AB$2-$AN$2)-9,6),$X$4:$X$99,0),2)),"-")</f>
        <v>-</v>
      </c>
      <c r="AZ365" s="510" t="str">
        <f t="array" aca="1" ref="AZ365" ca="1">IFERROR(IF(AS365&lt;=$AB$2+$AN$2,"-",INDEX(Calculation_Tab,SMALL(ROW(Direct_Denaturation)*(Direct_Denaturation&lt;&gt;"-"),COUNTIF(Direct_Denaturation,"-")+ROW()-3-$AB$2-$AN$2)-9,32)),"-")</f>
        <v>-</v>
      </c>
      <c r="BA365" s="510" t="str">
        <f t="array" aca="1" ref="BA365" ca="1">IFERROR(IF(AS365&lt;=$AB$2+$AN$2,"-",INDEX(Calculation_Tab,SMALL(ROW(Direct_Denaturation)*(Direct_Denaturation&lt;&gt;"-"),COUNTIF(Direct_Denaturation,"-")+ROW()-3-$AB$2-$AN$2)-9,34)),"-")</f>
        <v>-</v>
      </c>
      <c r="BB365" s="510" t="str">
        <f t="array" aca="1" ref="BB365" ca="1">IFERROR(IF(AS365&lt;=$AB$2+$AN$2,"-",INDEX(Calculation_Tab,SMALL(ROW(Direct_Denaturation)*(Direct_Denaturation&lt;&gt;"-"),COUNTIF(Direct_Denaturation,"-")+ROW()-3-$AB$2-$AN$2)-9,33)),"-")</f>
        <v>-</v>
      </c>
      <c r="BC365" s="510" t="str">
        <f t="array" aca="1" ref="BC365" ca="1">IFERROR(IF(AS365&lt;=$AB$2+$AN$2,"-",INDEX(Calculation_Tab,SMALL(ROW(Direct_Denaturation)*(Direct_Denaturation&lt;&gt;"-"),COUNTIF(Direct_Denaturation,"-")+ROW()-3-$AB$2-$AN$2)-9,35)),"-")</f>
        <v>-</v>
      </c>
      <c r="BD365" s="511" t="str">
        <f t="shared" ca="1" si="172"/>
        <v>-</v>
      </c>
      <c r="BK365" s="542" t="s">
        <v>82</v>
      </c>
      <c r="BL365" s="542" t="s">
        <v>82</v>
      </c>
      <c r="BM365" s="487" t="str">
        <f t="array" aca="1" ref="BM365" ca="1">IFERROR(INDEX(Calculation_Tab,SMALL(ROW(ToPool)*(ToPool&lt;&gt;"-"),COUNTIF(ToPool,"-")+ROW()-3)-9,3),"-")</f>
        <v>-</v>
      </c>
      <c r="BN365" s="378" t="str">
        <f t="shared" ca="1" si="173"/>
        <v>-</v>
      </c>
      <c r="BO365" s="378" t="str">
        <f t="shared" ca="1" si="174"/>
        <v>-</v>
      </c>
      <c r="BP365" s="523" t="str">
        <f t="shared" ca="1" si="175"/>
        <v>-</v>
      </c>
      <c r="BQ365" s="378" t="str">
        <f t="array" aca="1" ref="BQ365" ca="1">IFERROR(INDEX(BE:BG,MATCH(INDEX(Calculation_Tab,SMALL(ROW(ToPool)*(ToPool&lt;&gt;"-"),COUNTIF(ToPool,"-")+ROW()-3)-9,9),BG:BG,0),2),"-")</f>
        <v>-</v>
      </c>
      <c r="BR365" s="510" t="str">
        <f t="shared" ca="1" si="176"/>
        <v>-</v>
      </c>
      <c r="BS365" s="511" t="str">
        <f t="shared" ca="1" si="177"/>
        <v>-</v>
      </c>
      <c r="BT365" s="543" t="s">
        <v>82</v>
      </c>
      <c r="BU365" s="487" t="str">
        <f t="shared" ca="1" si="182"/>
        <v>-</v>
      </c>
      <c r="BV365" s="487" t="str">
        <f t="array" aca="1" ref="BV36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65" s="378" t="str">
        <f t="shared" ca="1" si="178"/>
        <v>-</v>
      </c>
      <c r="BX365" s="378" t="str">
        <f t="shared" ca="1" si="179"/>
        <v>-</v>
      </c>
      <c r="BY365" s="510" t="str">
        <f ca="1">IFERROR(ROUND(INDEX(Cluster,MATCH(IF(LEFT(BV365,4)="Pool",INDEX(Cluster,MATCH(INDEX(Calculation_Tab,MATCH(INDEX($BE$4:$BJ$99,MATCH(BV365,$BE$4:$BE$99,0),3),Flow_Cell_Lane,0),3),Cluster!$F$29:$F$412,0),6),BV365),Identifier_Cluster,0),19)*IF(LEFT(BV365,4)="pool",IF(LEN(INDEX($BE$4:$BJ$99,MATCH(BV365,$BE$4:$BE$99,0),3))=10,2,IF(LEN(INDEX($BE$4:$BJ$99,MATCH(BV365,$BE$4:$BE$99,0),3))&gt;10,LEN(INDEX($BE$4:$BJ$99,MATCH(BV365,$BE$4:$BE$99,0),3))-8,1)),1)*IF(LEFT(BV365,4)="pool",IF(INDEX($BE$4:$BJ$99,MATCH(BV365,$BE$4:$BE$99,0),6)&lt;1,1,INDEX($BE$4:$BJ$99,MATCH(BV365,$BE$4:$BE$99,0),6)),INDEX(Calculation_Tab,MATCH(BV365,Identifier,0),10)),1)*(1+Calculation!$Q$6),"-")</f>
        <v>-</v>
      </c>
      <c r="BZ365" s="378" t="str">
        <f ca="1">IFERROR((0.5/50)*CE365/Calculation!$AG$6*(IF(LEFT(BV365,4)="Pool",IF(LEN(INDEX($BE$4:$BJ$99,MATCH(BV365,$BE$4:$BE$99,0),3))=10,2,IF(LEN(INDEX($BE$4:$BJ$99,MATCH(BV365,$BE$4:$BE$99,0),3))&gt;10,LEN(INDEX($BE$4:$BJ$99,MATCH(BV365,$BE$4:$BE$99,0),3))-8,1)),IF(INDEX(Calculation_Tab,MATCH(BV365,Identifier,0),10)&gt;1,INDEX(Calculation_Tab,MATCH(BV365,Identifier,0),10),1)))*(1+Calculation!$Q$6),"-")</f>
        <v>-</v>
      </c>
      <c r="CA365" s="510" t="str">
        <f ca="1">IFERROR(IF((BZ365*Calculation!$AG$6/0.05)-SUM(BY365:BZ365,CC365)&gt;0,(BZ365*Calculation!$AG$6/0.05)-SUM(BY365:BZ365,CC365),0),"-")</f>
        <v>-</v>
      </c>
      <c r="CB365" s="510" t="str">
        <f ca="1">IFERROR(5/50*CE365*(IF(LEFT(BV365,4)="Pool",IF(LEN(INDEX($BE$4:$BJ$99,MATCH(BV365,$BE$4:$BE$99,0),3))=10,2,IF(LEN(INDEX($BE$4:$BJ$99,MATCH(BV365,$BE$4:$BE$99,0),3))&gt;10,LEN(INDEX($BE$4:$BJ$99,MATCH(BV365,$BE$4:$BE$99,0),3))-8,1)),IF(INDEX(Calculation_Tab,MATCH(BV365,Identifier,0),10)&gt;1,INDEX(Calculation_Tab,MATCH(BV365,Identifier,0),10),1)))*(1+Calculation!$Q$6),"-")</f>
        <v>-</v>
      </c>
      <c r="CC365" s="508" t="str">
        <f ca="1">IFERROR(ROUND(INDEX(Cluster,MATCH(IF(LEFT(BV365,4)="Pool",INDEX(Cluster,MATCH(INDEX(Calculation_Tab,MATCH(INDEX($BE$4:$BJ$99,MATCH(BV365,$BE$4:$BE$99,0),3),Flow_Cell_Lane,0),3),Cluster!$F$29:$F$412,0),6),BV365),Identifier_Cluster,0),20)*IF(LEFT(BV365,4)="pool",IF(LEN(INDEX($BE$4:$BJ$99,MATCH(BV365,$BE$4:$BE$99,0),3))=10,2,IF(LEN(INDEX($BE$4:$BJ$99,MATCH(BV365,$BE$4:$BE$99,0),3))&gt;10,LEN(INDEX($BE$4:$BJ$99,MATCH(BV365,$BE$4:$BE$99,0),3))-8,1)),1)*IF(LEFT(BV365,4)="pool",IF(INDEX($BE$4:$BJ$99,MATCH(BV365,$BE$4:$BE$99,0),6)&lt;1,1,INDEX($BE$4:$BJ$99,MATCH(BV365,$BE$4:$BE$99,0),6)),INDEX(Calculation_Tab,MATCH(BV365,Identifier,0),10)),1)*(1+Calculation!$Q$6),"-")</f>
        <v>-</v>
      </c>
      <c r="CD365" s="509" t="str">
        <f ca="1">IFERROR(INDEX(Cluster!AC:AD,MATCH(IF(LEFT(BV365,4)="Pool",INDEX(Cluster!$D$29:$AA$412,MATCH(INDEX(Calculation_Tab,MATCH(INDEX($BE$4:$BJ$99,MATCH(BV365,$BE$4:$BE$99,0),3),Flow_Cell_Lane,0),3),Cluster!$F$29:$F$412,0),24),INDEX(Cluster!$D$29:$AA$412,MATCH(BV365,Cluster!$F$29:$F$412,0),24)),Cluster!AC:AC,0),2),"-")</f>
        <v>-</v>
      </c>
      <c r="CE365" s="378" t="str">
        <f ca="1">IFERROR(IF(BV365&lt;&gt;"-",Calculation!$AK$6,"-"),"-")</f>
        <v>-</v>
      </c>
      <c r="CF365" s="378" t="str">
        <f ca="1">IF(OR(LEFT(ListAndConversion!BW365,3)="Dil",LEFT(ListAndConversion!BW365,3)="Poo"),ListAndConversion!$BT$4,IF(LEFT(ListAndConversion!BW365,3)="Sou",INDEX(ListAndConversion!$AT$3:$AV$387,MATCH(ListAndConversion!BV365,ListAndConversion!$AV$3:$AV$387,0),1),"-"))</f>
        <v>-</v>
      </c>
      <c r="CG365" s="498" t="str">
        <f ca="1">IF(OR(LEFT(ListAndConversion!BW365,3)="Dil",LEFT(ListAndConversion!BW365,3)="Poo"),ListAndConversion!BU365,IF(LEFT(ListAndConversion!BW365,3)="Sou",INDEX(ListAndConversion!$AT$4:$AV$387,MATCH(ListAndConversion!BV365,ListAndConversion!$AV$4:$AV$387,0),2),"-"))</f>
        <v>-</v>
      </c>
      <c r="CH365" s="378"/>
      <c r="CI365" s="487" t="str">
        <f t="shared" ca="1" si="180"/>
        <v>-</v>
      </c>
      <c r="CJ365" s="378" t="str">
        <f t="shared" ca="1" si="190"/>
        <v>-</v>
      </c>
      <c r="CK365" s="378" t="str">
        <f t="shared" ca="1" si="190"/>
        <v>-</v>
      </c>
      <c r="CL365" s="378" t="str">
        <f t="shared" ca="1" si="190"/>
        <v>-</v>
      </c>
      <c r="CM365" s="378" t="str">
        <f t="shared" ca="1" si="190"/>
        <v>-</v>
      </c>
      <c r="CN365" s="378" t="str">
        <f t="shared" ca="1" si="190"/>
        <v>-</v>
      </c>
      <c r="CO365" s="378" t="str">
        <f t="shared" ca="1" si="190"/>
        <v>-</v>
      </c>
      <c r="CP365" s="378" t="str">
        <f t="shared" ca="1" si="190"/>
        <v>-</v>
      </c>
      <c r="CQ365" s="378" t="str">
        <f t="shared" ca="1" si="190"/>
        <v>-</v>
      </c>
      <c r="CR365" s="510" t="str">
        <f ca="1">IFERROR(IF(LEFT(BW365,3)="Poo",INDEX($BE$4:$BJ$99,MATCH(CI365,$BG$4:$BG$99,0),6)*((15/50))*Calculation!$AK$6,INDEX(Calculation_Tab,MATCH(BV365,Identifier,0),10)/(IF(LEN(INDEX(Calculation_Tab,MATCH(BV365,Identifier,0),9))&gt;8,LEN(INDEX(Calculation_Tab,MATCH(BV365,Identifier,0),9))-8,1))*((15/50)*Calculation!$AK$6)),"-")</f>
        <v>-</v>
      </c>
      <c r="CS365" s="498" t="str">
        <f ca="1">IF(CI365="-","-",IF(COUNTIF($CI$3:CI365,CI365)&gt;1,0,IFERROR((35/50)*Calculation!$AK$6,"-")))</f>
        <v>-</v>
      </c>
    </row>
    <row r="366" spans="4:97" x14ac:dyDescent="0.5">
      <c r="D366" s="487" t="e">
        <f t="shared" si="165"/>
        <v>#DIV/0!</v>
      </c>
      <c r="E366" s="496" t="e">
        <f t="array" ref="E366">IF(IF((ROW(E366)-3)&lt;(ListAndConversion!$A$15),INDEX(Flow_Cell_Lane,MIN(IF(COUNTIF($E$2:E365,Flow_Cell_Lane)=0,ROW(Flow_Cell_Lane)-9))),"-")="","-",IF((ROW(E366)-3)&lt;(ListAndConversion!$A$15),INDEX(Flow_Cell_Lane,MIN(IF(COUNTIF($E$2:E365,Flow_Cell_Lane)=0,ROW(Flow_Cell_Lane)-9))),"-"))</f>
        <v>#DIV/0!</v>
      </c>
      <c r="F366" s="378" t="e">
        <f t="shared" si="166"/>
        <v>#DIV/0!</v>
      </c>
      <c r="G366" s="378" t="e">
        <f t="shared" si="189"/>
        <v>#DIV/0!</v>
      </c>
      <c r="H366" s="378" t="e">
        <f t="shared" si="189"/>
        <v>#DIV/0!</v>
      </c>
      <c r="I366" s="378" t="e">
        <f t="shared" si="189"/>
        <v>#DIV/0!</v>
      </c>
      <c r="J366" s="378" t="e">
        <f t="shared" si="189"/>
        <v>#DIV/0!</v>
      </c>
      <c r="K366" s="378" t="e">
        <f t="shared" si="189"/>
        <v>#DIV/0!</v>
      </c>
      <c r="L366" s="378" t="e">
        <f t="shared" si="189"/>
        <v>#DIV/0!</v>
      </c>
      <c r="M366" s="378" t="e">
        <f t="shared" si="189"/>
        <v>#DIV/0!</v>
      </c>
      <c r="N366" s="497" t="e">
        <f t="shared" si="168"/>
        <v>#DIV/0!</v>
      </c>
      <c r="O366" s="497" t="str">
        <f t="array" ref="O366">IFERROR(INDEX(Calculation!I:AN,MATCH(ListAndConversion!E366,Calculation!I:I,0),31),"-")</f>
        <v>-</v>
      </c>
      <c r="P366" s="498">
        <f>IF(COUNTIFS(Calculation!$I$10:$I$393,E366,Direct_Denaturation,"-")&lt;&gt;1,COUNTIFS(Calculation!$I$10:$I$393,E366,Direct_Denaturation,"-"),0)</f>
        <v>0</v>
      </c>
      <c r="V366" s="542" t="s">
        <v>82</v>
      </c>
      <c r="W366" s="542" t="s">
        <v>82</v>
      </c>
      <c r="X366" s="542" t="s">
        <v>82</v>
      </c>
      <c r="Y366" s="542" t="s">
        <v>82</v>
      </c>
      <c r="Z366" s="542" t="s">
        <v>82</v>
      </c>
      <c r="AA366" s="542" t="s">
        <v>82</v>
      </c>
      <c r="AB366" s="542" t="s">
        <v>82</v>
      </c>
      <c r="AC366" s="542" t="s">
        <v>82</v>
      </c>
      <c r="AD366" s="542" t="s">
        <v>82</v>
      </c>
      <c r="AE366" s="542" t="s">
        <v>82</v>
      </c>
      <c r="AF366" s="542" t="s">
        <v>82</v>
      </c>
      <c r="AG366" s="542" t="s">
        <v>82</v>
      </c>
      <c r="AH366" s="9"/>
      <c r="AI366" s="487">
        <v>363</v>
      </c>
      <c r="AJ366" s="497" t="s">
        <v>479</v>
      </c>
      <c r="AK366" s="378">
        <v>75</v>
      </c>
      <c r="AL366" s="378" t="str">
        <f t="shared" ca="1" si="169"/>
        <v>-</v>
      </c>
      <c r="AM366" s="378" t="str">
        <f t="array" aca="1" ref="AM366" ca="1">IFERROR(IF(AI366&lt;=$AB$2,"-",INDEX(Calculation_Tab,SMALL(ROW(Main_Dil)*(Main_Dil&lt;&gt;"-"),COUNTIF(Main_Dil,"-")+ROW()-3-$AB$2)-9,5)),"-")</f>
        <v>-</v>
      </c>
      <c r="AN366" s="378" t="str">
        <f t="array" aca="1" ref="AN366" ca="1">IFERROR(IF(AI366&lt;=$AB$2,"-",INDEX($A$3:$B$12,MATCH(INDEX(Calculation_Tab,SMALL(ROW(Main_Dil)*(Main_Dil&lt;&gt;"-"),COUNTIF(Main_Dil,"-")+ROW()-3-$AB$2)-9,5),$A$3:$A$12,0),2)),"-")</f>
        <v>-</v>
      </c>
      <c r="AO366" s="378" t="str">
        <f t="array" aca="1" ref="AO366" ca="1">IFERROR(IF(AI366&lt;=$AB$2,"-",INDEX(Coordinate,MATCH(INDEX(Calculation_Tab,SMALL(ROW(Main_Dil)*(Main_Dil&lt;&gt;"-"),COUNTIF(Main_Dil,"-")+ROW()-3-$AB$2)-9,6),$X$4:$X$99,0),2)),"-")</f>
        <v>-</v>
      </c>
      <c r="AP366" s="510" t="str">
        <f t="array" aca="1" ref="AP366" ca="1">IFERROR(IF(AI366&lt;=$AB$2,"-",INDEX(Calculation_Tab,SMALL(ROW(Main_Dil)*(Main_Dil&lt;&gt;"-"),COUNTIF(Main_Dil,"-")+ROW()-3-$AB$2)-9,21)),"-")</f>
        <v>-</v>
      </c>
      <c r="AQ366" s="511" t="str">
        <f t="array" aca="1" ref="AQ366" ca="1">IFERROR(IF(AI366&lt;=$AB$2,"-",INDEX(Calculation_Tab,SMALL(ROW(Main_Dil)*(Main_Dil&lt;&gt;"-"),COUNTIF(Main_Dil,"-")+ROW()-3-$AB$2)-9,22)),"-")</f>
        <v>-</v>
      </c>
      <c r="AR366" s="487" t="str">
        <f t="shared" ca="1" si="170"/>
        <v>-</v>
      </c>
      <c r="AS366" s="378">
        <v>363</v>
      </c>
      <c r="AT366" s="497" t="s">
        <v>479</v>
      </c>
      <c r="AU366" s="498">
        <v>75</v>
      </c>
      <c r="AV366" s="378" t="str">
        <f t="shared" ca="1" si="171"/>
        <v>-</v>
      </c>
      <c r="AW366" s="378" t="str">
        <f t="array" aca="1" ref="AW366" ca="1">IFERROR(IF(AS366&lt;=$AB$2+$AN$2,"-",INDEX(Calculation_Tab,SMALL(ROW(Direct_Denaturation)*(Direct_Denaturation&lt;&gt;"-"),COUNTIF(Direct_Denaturation,"-")+ROW()-3-$AB$2-$AN$2)-9,5)),"-")</f>
        <v>-</v>
      </c>
      <c r="AX366" s="378" t="str">
        <f t="array" aca="1" ref="AX366" ca="1">IFERROR(IF(AS366&lt;=$AB$2+$AN$2,"-",INDEX($A$3:$B$12,MATCH(INDEX(Calculation_Tab,SMALL(ROW(Direct_Denaturation)*(Direct_Denaturation&lt;&gt;"-"),COUNTIF(Direct_Denaturation,"-")+ROW()-3-$AB$2-$AN$2)-9,5),$A$3:$A$12,0),2)),"-")</f>
        <v>-</v>
      </c>
      <c r="AY366" s="378" t="str">
        <f t="array" aca="1" ref="AY366" ca="1">IFERROR(IF(AS366&lt;=$AB$2+$AN$2,"-",INDEX(Coordinate,MATCH(INDEX(Calculation_Tab,SMALL(ROW(Direct_Denaturation)*(Direct_Denaturation&lt;&gt;"-"),COUNTIF(Direct_Denaturation,"-")+ROW()-3-$AB$2-$AN$2)-9,6),$X$4:$X$99,0),2)),"-")</f>
        <v>-</v>
      </c>
      <c r="AZ366" s="510" t="str">
        <f t="array" aca="1" ref="AZ366" ca="1">IFERROR(IF(AS366&lt;=$AB$2+$AN$2,"-",INDEX(Calculation_Tab,SMALL(ROW(Direct_Denaturation)*(Direct_Denaturation&lt;&gt;"-"),COUNTIF(Direct_Denaturation,"-")+ROW()-3-$AB$2-$AN$2)-9,32)),"-")</f>
        <v>-</v>
      </c>
      <c r="BA366" s="510" t="str">
        <f t="array" aca="1" ref="BA366" ca="1">IFERROR(IF(AS366&lt;=$AB$2+$AN$2,"-",INDEX(Calculation_Tab,SMALL(ROW(Direct_Denaturation)*(Direct_Denaturation&lt;&gt;"-"),COUNTIF(Direct_Denaturation,"-")+ROW()-3-$AB$2-$AN$2)-9,34)),"-")</f>
        <v>-</v>
      </c>
      <c r="BB366" s="510" t="str">
        <f t="array" aca="1" ref="BB366" ca="1">IFERROR(IF(AS366&lt;=$AB$2+$AN$2,"-",INDEX(Calculation_Tab,SMALL(ROW(Direct_Denaturation)*(Direct_Denaturation&lt;&gt;"-"),COUNTIF(Direct_Denaturation,"-")+ROW()-3-$AB$2-$AN$2)-9,33)),"-")</f>
        <v>-</v>
      </c>
      <c r="BC366" s="510" t="str">
        <f t="array" aca="1" ref="BC366" ca="1">IFERROR(IF(AS366&lt;=$AB$2+$AN$2,"-",INDEX(Calculation_Tab,SMALL(ROW(Direct_Denaturation)*(Direct_Denaturation&lt;&gt;"-"),COUNTIF(Direct_Denaturation,"-")+ROW()-3-$AB$2-$AN$2)-9,35)),"-")</f>
        <v>-</v>
      </c>
      <c r="BD366" s="511" t="str">
        <f t="shared" ca="1" si="172"/>
        <v>-</v>
      </c>
      <c r="BK366" s="542" t="s">
        <v>82</v>
      </c>
      <c r="BL366" s="542" t="s">
        <v>82</v>
      </c>
      <c r="BM366" s="487" t="str">
        <f t="array" aca="1" ref="BM366" ca="1">IFERROR(INDEX(Calculation_Tab,SMALL(ROW(ToPool)*(ToPool&lt;&gt;"-"),COUNTIF(ToPool,"-")+ROW()-3)-9,3),"-")</f>
        <v>-</v>
      </c>
      <c r="BN366" s="378" t="str">
        <f t="shared" ca="1" si="173"/>
        <v>-</v>
      </c>
      <c r="BO366" s="378" t="str">
        <f t="shared" ca="1" si="174"/>
        <v>-</v>
      </c>
      <c r="BP366" s="523" t="str">
        <f t="shared" ca="1" si="175"/>
        <v>-</v>
      </c>
      <c r="BQ366" s="378" t="str">
        <f t="array" aca="1" ref="BQ366" ca="1">IFERROR(INDEX(BE:BG,MATCH(INDEX(Calculation_Tab,SMALL(ROW(ToPool)*(ToPool&lt;&gt;"-"),COUNTIF(ToPool,"-")+ROW()-3)-9,9),BG:BG,0),2),"-")</f>
        <v>-</v>
      </c>
      <c r="BR366" s="510" t="str">
        <f t="shared" ca="1" si="176"/>
        <v>-</v>
      </c>
      <c r="BS366" s="511" t="str">
        <f t="shared" ca="1" si="177"/>
        <v>-</v>
      </c>
      <c r="BT366" s="543" t="s">
        <v>82</v>
      </c>
      <c r="BU366" s="487" t="str">
        <f t="shared" ca="1" si="182"/>
        <v>-</v>
      </c>
      <c r="BV366" s="487" t="str">
        <f t="array" aca="1" ref="BV36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66" s="378" t="str">
        <f t="shared" ca="1" si="178"/>
        <v>-</v>
      </c>
      <c r="BX366" s="378" t="str">
        <f t="shared" ca="1" si="179"/>
        <v>-</v>
      </c>
      <c r="BY366" s="510" t="str">
        <f ca="1">IFERROR(ROUND(INDEX(Cluster,MATCH(IF(LEFT(BV366,4)="Pool",INDEX(Cluster,MATCH(INDEX(Calculation_Tab,MATCH(INDEX($BE$4:$BJ$99,MATCH(BV366,$BE$4:$BE$99,0),3),Flow_Cell_Lane,0),3),Cluster!$F$29:$F$412,0),6),BV366),Identifier_Cluster,0),19)*IF(LEFT(BV366,4)="pool",IF(LEN(INDEX($BE$4:$BJ$99,MATCH(BV366,$BE$4:$BE$99,0),3))=10,2,IF(LEN(INDEX($BE$4:$BJ$99,MATCH(BV366,$BE$4:$BE$99,0),3))&gt;10,LEN(INDEX($BE$4:$BJ$99,MATCH(BV366,$BE$4:$BE$99,0),3))-8,1)),1)*IF(LEFT(BV366,4)="pool",IF(INDEX($BE$4:$BJ$99,MATCH(BV366,$BE$4:$BE$99,0),6)&lt;1,1,INDEX($BE$4:$BJ$99,MATCH(BV366,$BE$4:$BE$99,0),6)),INDEX(Calculation_Tab,MATCH(BV366,Identifier,0),10)),1)*(1+Calculation!$Q$6),"-")</f>
        <v>-</v>
      </c>
      <c r="BZ366" s="378" t="str">
        <f ca="1">IFERROR((0.5/50)*CE366/Calculation!$AG$6*(IF(LEFT(BV366,4)="Pool",IF(LEN(INDEX($BE$4:$BJ$99,MATCH(BV366,$BE$4:$BE$99,0),3))=10,2,IF(LEN(INDEX($BE$4:$BJ$99,MATCH(BV366,$BE$4:$BE$99,0),3))&gt;10,LEN(INDEX($BE$4:$BJ$99,MATCH(BV366,$BE$4:$BE$99,0),3))-8,1)),IF(INDEX(Calculation_Tab,MATCH(BV366,Identifier,0),10)&gt;1,INDEX(Calculation_Tab,MATCH(BV366,Identifier,0),10),1)))*(1+Calculation!$Q$6),"-")</f>
        <v>-</v>
      </c>
      <c r="CA366" s="510" t="str">
        <f ca="1">IFERROR(IF((BZ366*Calculation!$AG$6/0.05)-SUM(BY366:BZ366,CC366)&gt;0,(BZ366*Calculation!$AG$6/0.05)-SUM(BY366:BZ366,CC366),0),"-")</f>
        <v>-</v>
      </c>
      <c r="CB366" s="510" t="str">
        <f ca="1">IFERROR(5/50*CE366*(IF(LEFT(BV366,4)="Pool",IF(LEN(INDEX($BE$4:$BJ$99,MATCH(BV366,$BE$4:$BE$99,0),3))=10,2,IF(LEN(INDEX($BE$4:$BJ$99,MATCH(BV366,$BE$4:$BE$99,0),3))&gt;10,LEN(INDEX($BE$4:$BJ$99,MATCH(BV366,$BE$4:$BE$99,0),3))-8,1)),IF(INDEX(Calculation_Tab,MATCH(BV366,Identifier,0),10)&gt;1,INDEX(Calculation_Tab,MATCH(BV366,Identifier,0),10),1)))*(1+Calculation!$Q$6),"-")</f>
        <v>-</v>
      </c>
      <c r="CC366" s="508" t="str">
        <f ca="1">IFERROR(ROUND(INDEX(Cluster,MATCH(IF(LEFT(BV366,4)="Pool",INDEX(Cluster,MATCH(INDEX(Calculation_Tab,MATCH(INDEX($BE$4:$BJ$99,MATCH(BV366,$BE$4:$BE$99,0),3),Flow_Cell_Lane,0),3),Cluster!$F$29:$F$412,0),6),BV366),Identifier_Cluster,0),20)*IF(LEFT(BV366,4)="pool",IF(LEN(INDEX($BE$4:$BJ$99,MATCH(BV366,$BE$4:$BE$99,0),3))=10,2,IF(LEN(INDEX($BE$4:$BJ$99,MATCH(BV366,$BE$4:$BE$99,0),3))&gt;10,LEN(INDEX($BE$4:$BJ$99,MATCH(BV366,$BE$4:$BE$99,0),3))-8,1)),1)*IF(LEFT(BV366,4)="pool",IF(INDEX($BE$4:$BJ$99,MATCH(BV366,$BE$4:$BE$99,0),6)&lt;1,1,INDEX($BE$4:$BJ$99,MATCH(BV366,$BE$4:$BE$99,0),6)),INDEX(Calculation_Tab,MATCH(BV366,Identifier,0),10)),1)*(1+Calculation!$Q$6),"-")</f>
        <v>-</v>
      </c>
      <c r="CD366" s="509" t="str">
        <f ca="1">IFERROR(INDEX(Cluster!AC:AD,MATCH(IF(LEFT(BV366,4)="Pool",INDEX(Cluster!$D$29:$AA$412,MATCH(INDEX(Calculation_Tab,MATCH(INDEX($BE$4:$BJ$99,MATCH(BV366,$BE$4:$BE$99,0),3),Flow_Cell_Lane,0),3),Cluster!$F$29:$F$412,0),24),INDEX(Cluster!$D$29:$AA$412,MATCH(BV366,Cluster!$F$29:$F$412,0),24)),Cluster!AC:AC,0),2),"-")</f>
        <v>-</v>
      </c>
      <c r="CE366" s="378" t="str">
        <f ca="1">IFERROR(IF(BV366&lt;&gt;"-",Calculation!$AK$6,"-"),"-")</f>
        <v>-</v>
      </c>
      <c r="CF366" s="378" t="str">
        <f ca="1">IF(OR(LEFT(ListAndConversion!BW366,3)="Dil",LEFT(ListAndConversion!BW366,3)="Poo"),ListAndConversion!$BT$4,IF(LEFT(ListAndConversion!BW366,3)="Sou",INDEX(ListAndConversion!$AT$3:$AV$387,MATCH(ListAndConversion!BV366,ListAndConversion!$AV$3:$AV$387,0),1),"-"))</f>
        <v>-</v>
      </c>
      <c r="CG366" s="498" t="str">
        <f ca="1">IF(OR(LEFT(ListAndConversion!BW366,3)="Dil",LEFT(ListAndConversion!BW366,3)="Poo"),ListAndConversion!BU366,IF(LEFT(ListAndConversion!BW366,3)="Sou",INDEX(ListAndConversion!$AT$4:$AV$387,MATCH(ListAndConversion!BV366,ListAndConversion!$AV$4:$AV$387,0),2),"-"))</f>
        <v>-</v>
      </c>
      <c r="CH366" s="378"/>
      <c r="CI366" s="487" t="str">
        <f t="shared" ca="1" si="180"/>
        <v>-</v>
      </c>
      <c r="CJ366" s="378" t="str">
        <f t="shared" ca="1" si="190"/>
        <v>-</v>
      </c>
      <c r="CK366" s="378" t="str">
        <f t="shared" ca="1" si="190"/>
        <v>-</v>
      </c>
      <c r="CL366" s="378" t="str">
        <f t="shared" ca="1" si="190"/>
        <v>-</v>
      </c>
      <c r="CM366" s="378" t="str">
        <f t="shared" ca="1" si="190"/>
        <v>-</v>
      </c>
      <c r="CN366" s="378" t="str">
        <f t="shared" ca="1" si="190"/>
        <v>-</v>
      </c>
      <c r="CO366" s="378" t="str">
        <f t="shared" ca="1" si="190"/>
        <v>-</v>
      </c>
      <c r="CP366" s="378" t="str">
        <f t="shared" ca="1" si="190"/>
        <v>-</v>
      </c>
      <c r="CQ366" s="378" t="str">
        <f t="shared" ca="1" si="190"/>
        <v>-</v>
      </c>
      <c r="CR366" s="510" t="str">
        <f ca="1">IFERROR(IF(LEFT(BW366,3)="Poo",INDEX($BE$4:$BJ$99,MATCH(CI366,$BG$4:$BG$99,0),6)*((15/50))*Calculation!$AK$6,INDEX(Calculation_Tab,MATCH(BV366,Identifier,0),10)/(IF(LEN(INDEX(Calculation_Tab,MATCH(BV366,Identifier,0),9))&gt;8,LEN(INDEX(Calculation_Tab,MATCH(BV366,Identifier,0),9))-8,1))*((15/50)*Calculation!$AK$6)),"-")</f>
        <v>-</v>
      </c>
      <c r="CS366" s="498" t="str">
        <f ca="1">IF(CI366="-","-",IF(COUNTIF($CI$3:CI366,CI366)&gt;1,0,IFERROR((35/50)*Calculation!$AK$6,"-")))</f>
        <v>-</v>
      </c>
    </row>
    <row r="367" spans="4:97" x14ac:dyDescent="0.5">
      <c r="D367" s="487" t="e">
        <f t="shared" si="165"/>
        <v>#DIV/0!</v>
      </c>
      <c r="E367" s="496" t="e">
        <f t="array" ref="E367">IF(IF((ROW(E367)-3)&lt;(ListAndConversion!$A$15),INDEX(Flow_Cell_Lane,MIN(IF(COUNTIF($E$2:E366,Flow_Cell_Lane)=0,ROW(Flow_Cell_Lane)-9))),"-")="","-",IF((ROW(E367)-3)&lt;(ListAndConversion!$A$15),INDEX(Flow_Cell_Lane,MIN(IF(COUNTIF($E$2:E366,Flow_Cell_Lane)=0,ROW(Flow_Cell_Lane)-9))),"-"))</f>
        <v>#DIV/0!</v>
      </c>
      <c r="F367" s="378" t="e">
        <f t="shared" si="166"/>
        <v>#DIV/0!</v>
      </c>
      <c r="G367" s="378" t="e">
        <f t="shared" si="189"/>
        <v>#DIV/0!</v>
      </c>
      <c r="H367" s="378" t="e">
        <f t="shared" si="189"/>
        <v>#DIV/0!</v>
      </c>
      <c r="I367" s="378" t="e">
        <f t="shared" si="189"/>
        <v>#DIV/0!</v>
      </c>
      <c r="J367" s="378" t="e">
        <f t="shared" si="189"/>
        <v>#DIV/0!</v>
      </c>
      <c r="K367" s="378" t="e">
        <f t="shared" si="189"/>
        <v>#DIV/0!</v>
      </c>
      <c r="L367" s="378" t="e">
        <f t="shared" si="189"/>
        <v>#DIV/0!</v>
      </c>
      <c r="M367" s="378" t="e">
        <f t="shared" si="189"/>
        <v>#DIV/0!</v>
      </c>
      <c r="N367" s="497" t="e">
        <f t="shared" si="168"/>
        <v>#DIV/0!</v>
      </c>
      <c r="O367" s="497" t="str">
        <f t="array" ref="O367">IFERROR(INDEX(Calculation!I:AN,MATCH(ListAndConversion!E367,Calculation!I:I,0),31),"-")</f>
        <v>-</v>
      </c>
      <c r="P367" s="498">
        <f>IF(COUNTIFS(Calculation!$I$10:$I$393,E367,Direct_Denaturation,"-")&lt;&gt;1,COUNTIFS(Calculation!$I$10:$I$393,E367,Direct_Denaturation,"-"),0)</f>
        <v>0</v>
      </c>
      <c r="V367" s="542" t="s">
        <v>82</v>
      </c>
      <c r="W367" s="542" t="s">
        <v>82</v>
      </c>
      <c r="X367" s="542" t="s">
        <v>82</v>
      </c>
      <c r="Y367" s="542" t="s">
        <v>82</v>
      </c>
      <c r="Z367" s="542" t="s">
        <v>82</v>
      </c>
      <c r="AA367" s="542" t="s">
        <v>82</v>
      </c>
      <c r="AB367" s="542" t="s">
        <v>82</v>
      </c>
      <c r="AC367" s="542" t="s">
        <v>82</v>
      </c>
      <c r="AD367" s="542" t="s">
        <v>82</v>
      </c>
      <c r="AE367" s="542" t="s">
        <v>82</v>
      </c>
      <c r="AF367" s="542" t="s">
        <v>82</v>
      </c>
      <c r="AG367" s="542" t="s">
        <v>82</v>
      </c>
      <c r="AH367" s="9"/>
      <c r="AI367" s="487">
        <v>364</v>
      </c>
      <c r="AJ367" s="497" t="s">
        <v>479</v>
      </c>
      <c r="AK367" s="378">
        <v>76</v>
      </c>
      <c r="AL367" s="378" t="str">
        <f t="shared" ca="1" si="169"/>
        <v>-</v>
      </c>
      <c r="AM367" s="378" t="str">
        <f t="array" aca="1" ref="AM367" ca="1">IFERROR(IF(AI367&lt;=$AB$2,"-",INDEX(Calculation_Tab,SMALL(ROW(Main_Dil)*(Main_Dil&lt;&gt;"-"),COUNTIF(Main_Dil,"-")+ROW()-3-$AB$2)-9,5)),"-")</f>
        <v>-</v>
      </c>
      <c r="AN367" s="378" t="str">
        <f t="array" aca="1" ref="AN367" ca="1">IFERROR(IF(AI367&lt;=$AB$2,"-",INDEX($A$3:$B$12,MATCH(INDEX(Calculation_Tab,SMALL(ROW(Main_Dil)*(Main_Dil&lt;&gt;"-"),COUNTIF(Main_Dil,"-")+ROW()-3-$AB$2)-9,5),$A$3:$A$12,0),2)),"-")</f>
        <v>-</v>
      </c>
      <c r="AO367" s="378" t="str">
        <f t="array" aca="1" ref="AO367" ca="1">IFERROR(IF(AI367&lt;=$AB$2,"-",INDEX(Coordinate,MATCH(INDEX(Calculation_Tab,SMALL(ROW(Main_Dil)*(Main_Dil&lt;&gt;"-"),COUNTIF(Main_Dil,"-")+ROW()-3-$AB$2)-9,6),$X$4:$X$99,0),2)),"-")</f>
        <v>-</v>
      </c>
      <c r="AP367" s="510" t="str">
        <f t="array" aca="1" ref="AP367" ca="1">IFERROR(IF(AI367&lt;=$AB$2,"-",INDEX(Calculation_Tab,SMALL(ROW(Main_Dil)*(Main_Dil&lt;&gt;"-"),COUNTIF(Main_Dil,"-")+ROW()-3-$AB$2)-9,21)),"-")</f>
        <v>-</v>
      </c>
      <c r="AQ367" s="511" t="str">
        <f t="array" aca="1" ref="AQ367" ca="1">IFERROR(IF(AI367&lt;=$AB$2,"-",INDEX(Calculation_Tab,SMALL(ROW(Main_Dil)*(Main_Dil&lt;&gt;"-"),COUNTIF(Main_Dil,"-")+ROW()-3-$AB$2)-9,22)),"-")</f>
        <v>-</v>
      </c>
      <c r="AR367" s="487" t="str">
        <f t="shared" ca="1" si="170"/>
        <v>-</v>
      </c>
      <c r="AS367" s="378">
        <v>364</v>
      </c>
      <c r="AT367" s="497" t="s">
        <v>479</v>
      </c>
      <c r="AU367" s="498">
        <v>76</v>
      </c>
      <c r="AV367" s="378" t="str">
        <f t="shared" ca="1" si="171"/>
        <v>-</v>
      </c>
      <c r="AW367" s="378" t="str">
        <f t="array" aca="1" ref="AW367" ca="1">IFERROR(IF(AS367&lt;=$AB$2+$AN$2,"-",INDEX(Calculation_Tab,SMALL(ROW(Direct_Denaturation)*(Direct_Denaturation&lt;&gt;"-"),COUNTIF(Direct_Denaturation,"-")+ROW()-3-$AB$2-$AN$2)-9,5)),"-")</f>
        <v>-</v>
      </c>
      <c r="AX367" s="378" t="str">
        <f t="array" aca="1" ref="AX367" ca="1">IFERROR(IF(AS367&lt;=$AB$2+$AN$2,"-",INDEX($A$3:$B$12,MATCH(INDEX(Calculation_Tab,SMALL(ROW(Direct_Denaturation)*(Direct_Denaturation&lt;&gt;"-"),COUNTIF(Direct_Denaturation,"-")+ROW()-3-$AB$2-$AN$2)-9,5),$A$3:$A$12,0),2)),"-")</f>
        <v>-</v>
      </c>
      <c r="AY367" s="378" t="str">
        <f t="array" aca="1" ref="AY367" ca="1">IFERROR(IF(AS367&lt;=$AB$2+$AN$2,"-",INDEX(Coordinate,MATCH(INDEX(Calculation_Tab,SMALL(ROW(Direct_Denaturation)*(Direct_Denaturation&lt;&gt;"-"),COUNTIF(Direct_Denaturation,"-")+ROW()-3-$AB$2-$AN$2)-9,6),$X$4:$X$99,0),2)),"-")</f>
        <v>-</v>
      </c>
      <c r="AZ367" s="510" t="str">
        <f t="array" aca="1" ref="AZ367" ca="1">IFERROR(IF(AS367&lt;=$AB$2+$AN$2,"-",INDEX(Calculation_Tab,SMALL(ROW(Direct_Denaturation)*(Direct_Denaturation&lt;&gt;"-"),COUNTIF(Direct_Denaturation,"-")+ROW()-3-$AB$2-$AN$2)-9,32)),"-")</f>
        <v>-</v>
      </c>
      <c r="BA367" s="510" t="str">
        <f t="array" aca="1" ref="BA367" ca="1">IFERROR(IF(AS367&lt;=$AB$2+$AN$2,"-",INDEX(Calculation_Tab,SMALL(ROW(Direct_Denaturation)*(Direct_Denaturation&lt;&gt;"-"),COUNTIF(Direct_Denaturation,"-")+ROW()-3-$AB$2-$AN$2)-9,34)),"-")</f>
        <v>-</v>
      </c>
      <c r="BB367" s="510" t="str">
        <f t="array" aca="1" ref="BB367" ca="1">IFERROR(IF(AS367&lt;=$AB$2+$AN$2,"-",INDEX(Calculation_Tab,SMALL(ROW(Direct_Denaturation)*(Direct_Denaturation&lt;&gt;"-"),COUNTIF(Direct_Denaturation,"-")+ROW()-3-$AB$2-$AN$2)-9,33)),"-")</f>
        <v>-</v>
      </c>
      <c r="BC367" s="510" t="str">
        <f t="array" aca="1" ref="BC367" ca="1">IFERROR(IF(AS367&lt;=$AB$2+$AN$2,"-",INDEX(Calculation_Tab,SMALL(ROW(Direct_Denaturation)*(Direct_Denaturation&lt;&gt;"-"),COUNTIF(Direct_Denaturation,"-")+ROW()-3-$AB$2-$AN$2)-9,35)),"-")</f>
        <v>-</v>
      </c>
      <c r="BD367" s="511" t="str">
        <f t="shared" ca="1" si="172"/>
        <v>-</v>
      </c>
      <c r="BK367" s="542" t="s">
        <v>82</v>
      </c>
      <c r="BL367" s="542" t="s">
        <v>82</v>
      </c>
      <c r="BM367" s="487" t="str">
        <f t="array" aca="1" ref="BM367" ca="1">IFERROR(INDEX(Calculation_Tab,SMALL(ROW(ToPool)*(ToPool&lt;&gt;"-"),COUNTIF(ToPool,"-")+ROW()-3)-9,3),"-")</f>
        <v>-</v>
      </c>
      <c r="BN367" s="378" t="str">
        <f t="shared" ca="1" si="173"/>
        <v>-</v>
      </c>
      <c r="BO367" s="378" t="str">
        <f t="shared" ca="1" si="174"/>
        <v>-</v>
      </c>
      <c r="BP367" s="523" t="str">
        <f t="shared" ca="1" si="175"/>
        <v>-</v>
      </c>
      <c r="BQ367" s="378" t="str">
        <f t="array" aca="1" ref="BQ367" ca="1">IFERROR(INDEX(BE:BG,MATCH(INDEX(Calculation_Tab,SMALL(ROW(ToPool)*(ToPool&lt;&gt;"-"),COUNTIF(ToPool,"-")+ROW()-3)-9,9),BG:BG,0),2),"-")</f>
        <v>-</v>
      </c>
      <c r="BR367" s="510" t="str">
        <f t="shared" ca="1" si="176"/>
        <v>-</v>
      </c>
      <c r="BS367" s="511" t="str">
        <f t="shared" ca="1" si="177"/>
        <v>-</v>
      </c>
      <c r="BT367" s="543" t="s">
        <v>82</v>
      </c>
      <c r="BU367" s="487" t="str">
        <f t="shared" ca="1" si="182"/>
        <v>-</v>
      </c>
      <c r="BV367" s="487" t="str">
        <f t="array" aca="1" ref="BV36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67" s="378" t="str">
        <f t="shared" ca="1" si="178"/>
        <v>-</v>
      </c>
      <c r="BX367" s="378" t="str">
        <f t="shared" ca="1" si="179"/>
        <v>-</v>
      </c>
      <c r="BY367" s="510" t="str">
        <f ca="1">IFERROR(ROUND(INDEX(Cluster,MATCH(IF(LEFT(BV367,4)="Pool",INDEX(Cluster,MATCH(INDEX(Calculation_Tab,MATCH(INDEX($BE$4:$BJ$99,MATCH(BV367,$BE$4:$BE$99,0),3),Flow_Cell_Lane,0),3),Cluster!$F$29:$F$412,0),6),BV367),Identifier_Cluster,0),19)*IF(LEFT(BV367,4)="pool",IF(LEN(INDEX($BE$4:$BJ$99,MATCH(BV367,$BE$4:$BE$99,0),3))=10,2,IF(LEN(INDEX($BE$4:$BJ$99,MATCH(BV367,$BE$4:$BE$99,0),3))&gt;10,LEN(INDEX($BE$4:$BJ$99,MATCH(BV367,$BE$4:$BE$99,0),3))-8,1)),1)*IF(LEFT(BV367,4)="pool",IF(INDEX($BE$4:$BJ$99,MATCH(BV367,$BE$4:$BE$99,0),6)&lt;1,1,INDEX($BE$4:$BJ$99,MATCH(BV367,$BE$4:$BE$99,0),6)),INDEX(Calculation_Tab,MATCH(BV367,Identifier,0),10)),1)*(1+Calculation!$Q$6),"-")</f>
        <v>-</v>
      </c>
      <c r="BZ367" s="378" t="str">
        <f ca="1">IFERROR((0.5/50)*CE367/Calculation!$AG$6*(IF(LEFT(BV367,4)="Pool",IF(LEN(INDEX($BE$4:$BJ$99,MATCH(BV367,$BE$4:$BE$99,0),3))=10,2,IF(LEN(INDEX($BE$4:$BJ$99,MATCH(BV367,$BE$4:$BE$99,0),3))&gt;10,LEN(INDEX($BE$4:$BJ$99,MATCH(BV367,$BE$4:$BE$99,0),3))-8,1)),IF(INDEX(Calculation_Tab,MATCH(BV367,Identifier,0),10)&gt;1,INDEX(Calculation_Tab,MATCH(BV367,Identifier,0),10),1)))*(1+Calculation!$Q$6),"-")</f>
        <v>-</v>
      </c>
      <c r="CA367" s="510" t="str">
        <f ca="1">IFERROR(IF((BZ367*Calculation!$AG$6/0.05)-SUM(BY367:BZ367,CC367)&gt;0,(BZ367*Calculation!$AG$6/0.05)-SUM(BY367:BZ367,CC367),0),"-")</f>
        <v>-</v>
      </c>
      <c r="CB367" s="510" t="str">
        <f ca="1">IFERROR(5/50*CE367*(IF(LEFT(BV367,4)="Pool",IF(LEN(INDEX($BE$4:$BJ$99,MATCH(BV367,$BE$4:$BE$99,0),3))=10,2,IF(LEN(INDEX($BE$4:$BJ$99,MATCH(BV367,$BE$4:$BE$99,0),3))&gt;10,LEN(INDEX($BE$4:$BJ$99,MATCH(BV367,$BE$4:$BE$99,0),3))-8,1)),IF(INDEX(Calculation_Tab,MATCH(BV367,Identifier,0),10)&gt;1,INDEX(Calculation_Tab,MATCH(BV367,Identifier,0),10),1)))*(1+Calculation!$Q$6),"-")</f>
        <v>-</v>
      </c>
      <c r="CC367" s="508" t="str">
        <f ca="1">IFERROR(ROUND(INDEX(Cluster,MATCH(IF(LEFT(BV367,4)="Pool",INDEX(Cluster,MATCH(INDEX(Calculation_Tab,MATCH(INDEX($BE$4:$BJ$99,MATCH(BV367,$BE$4:$BE$99,0),3),Flow_Cell_Lane,0),3),Cluster!$F$29:$F$412,0),6),BV367),Identifier_Cluster,0),20)*IF(LEFT(BV367,4)="pool",IF(LEN(INDEX($BE$4:$BJ$99,MATCH(BV367,$BE$4:$BE$99,0),3))=10,2,IF(LEN(INDEX($BE$4:$BJ$99,MATCH(BV367,$BE$4:$BE$99,0),3))&gt;10,LEN(INDEX($BE$4:$BJ$99,MATCH(BV367,$BE$4:$BE$99,0),3))-8,1)),1)*IF(LEFT(BV367,4)="pool",IF(INDEX($BE$4:$BJ$99,MATCH(BV367,$BE$4:$BE$99,0),6)&lt;1,1,INDEX($BE$4:$BJ$99,MATCH(BV367,$BE$4:$BE$99,0),6)),INDEX(Calculation_Tab,MATCH(BV367,Identifier,0),10)),1)*(1+Calculation!$Q$6),"-")</f>
        <v>-</v>
      </c>
      <c r="CD367" s="509" t="str">
        <f ca="1">IFERROR(INDEX(Cluster!AC:AD,MATCH(IF(LEFT(BV367,4)="Pool",INDEX(Cluster!$D$29:$AA$412,MATCH(INDEX(Calculation_Tab,MATCH(INDEX($BE$4:$BJ$99,MATCH(BV367,$BE$4:$BE$99,0),3),Flow_Cell_Lane,0),3),Cluster!$F$29:$F$412,0),24),INDEX(Cluster!$D$29:$AA$412,MATCH(BV367,Cluster!$F$29:$F$412,0),24)),Cluster!AC:AC,0),2),"-")</f>
        <v>-</v>
      </c>
      <c r="CE367" s="378" t="str">
        <f ca="1">IFERROR(IF(BV367&lt;&gt;"-",Calculation!$AK$6,"-"),"-")</f>
        <v>-</v>
      </c>
      <c r="CF367" s="378" t="str">
        <f ca="1">IF(OR(LEFT(ListAndConversion!BW367,3)="Dil",LEFT(ListAndConversion!BW367,3)="Poo"),ListAndConversion!$BT$4,IF(LEFT(ListAndConversion!BW367,3)="Sou",INDEX(ListAndConversion!$AT$3:$AV$387,MATCH(ListAndConversion!BV367,ListAndConversion!$AV$3:$AV$387,0),1),"-"))</f>
        <v>-</v>
      </c>
      <c r="CG367" s="498" t="str">
        <f ca="1">IF(OR(LEFT(ListAndConversion!BW367,3)="Dil",LEFT(ListAndConversion!BW367,3)="Poo"),ListAndConversion!BU367,IF(LEFT(ListAndConversion!BW367,3)="Sou",INDEX(ListAndConversion!$AT$4:$AV$387,MATCH(ListAndConversion!BV367,ListAndConversion!$AV$4:$AV$387,0),2),"-"))</f>
        <v>-</v>
      </c>
      <c r="CH367" s="378"/>
      <c r="CI367" s="487" t="str">
        <f t="shared" ca="1" si="180"/>
        <v>-</v>
      </c>
      <c r="CJ367" s="378" t="str">
        <f t="shared" ca="1" si="190"/>
        <v>-</v>
      </c>
      <c r="CK367" s="378" t="str">
        <f t="shared" ca="1" si="190"/>
        <v>-</v>
      </c>
      <c r="CL367" s="378" t="str">
        <f t="shared" ca="1" si="190"/>
        <v>-</v>
      </c>
      <c r="CM367" s="378" t="str">
        <f t="shared" ca="1" si="190"/>
        <v>-</v>
      </c>
      <c r="CN367" s="378" t="str">
        <f t="shared" ca="1" si="190"/>
        <v>-</v>
      </c>
      <c r="CO367" s="378" t="str">
        <f t="shared" ca="1" si="190"/>
        <v>-</v>
      </c>
      <c r="CP367" s="378" t="str">
        <f t="shared" ca="1" si="190"/>
        <v>-</v>
      </c>
      <c r="CQ367" s="378" t="str">
        <f t="shared" ca="1" si="190"/>
        <v>-</v>
      </c>
      <c r="CR367" s="510" t="str">
        <f ca="1">IFERROR(IF(LEFT(BW367,3)="Poo",INDEX($BE$4:$BJ$99,MATCH(CI367,$BG$4:$BG$99,0),6)*((15/50))*Calculation!$AK$6,INDEX(Calculation_Tab,MATCH(BV367,Identifier,0),10)/(IF(LEN(INDEX(Calculation_Tab,MATCH(BV367,Identifier,0),9))&gt;8,LEN(INDEX(Calculation_Tab,MATCH(BV367,Identifier,0),9))-8,1))*((15/50)*Calculation!$AK$6)),"-")</f>
        <v>-</v>
      </c>
      <c r="CS367" s="498" t="str">
        <f ca="1">IF(CI367="-","-",IF(COUNTIF($CI$3:CI367,CI367)&gt;1,0,IFERROR((35/50)*Calculation!$AK$6,"-")))</f>
        <v>-</v>
      </c>
    </row>
    <row r="368" spans="4:97" x14ac:dyDescent="0.5">
      <c r="D368" s="487" t="e">
        <f t="shared" si="165"/>
        <v>#DIV/0!</v>
      </c>
      <c r="E368" s="496" t="e">
        <f t="array" ref="E368">IF(IF((ROW(E368)-3)&lt;(ListAndConversion!$A$15),INDEX(Flow_Cell_Lane,MIN(IF(COUNTIF($E$2:E367,Flow_Cell_Lane)=0,ROW(Flow_Cell_Lane)-9))),"-")="","-",IF((ROW(E368)-3)&lt;(ListAndConversion!$A$15),INDEX(Flow_Cell_Lane,MIN(IF(COUNTIF($E$2:E367,Flow_Cell_Lane)=0,ROW(Flow_Cell_Lane)-9))),"-"))</f>
        <v>#DIV/0!</v>
      </c>
      <c r="F368" s="378" t="e">
        <f t="shared" si="166"/>
        <v>#DIV/0!</v>
      </c>
      <c r="G368" s="378" t="e">
        <f t="shared" si="189"/>
        <v>#DIV/0!</v>
      </c>
      <c r="H368" s="378" t="e">
        <f t="shared" si="189"/>
        <v>#DIV/0!</v>
      </c>
      <c r="I368" s="378" t="e">
        <f t="shared" si="189"/>
        <v>#DIV/0!</v>
      </c>
      <c r="J368" s="378" t="e">
        <f t="shared" si="189"/>
        <v>#DIV/0!</v>
      </c>
      <c r="K368" s="378" t="e">
        <f t="shared" si="189"/>
        <v>#DIV/0!</v>
      </c>
      <c r="L368" s="378" t="e">
        <f t="shared" si="189"/>
        <v>#DIV/0!</v>
      </c>
      <c r="M368" s="378" t="e">
        <f t="shared" si="189"/>
        <v>#DIV/0!</v>
      </c>
      <c r="N368" s="497" t="e">
        <f t="shared" si="168"/>
        <v>#DIV/0!</v>
      </c>
      <c r="O368" s="497" t="str">
        <f t="array" ref="O368">IFERROR(INDEX(Calculation!I:AN,MATCH(ListAndConversion!E368,Calculation!I:I,0),31),"-")</f>
        <v>-</v>
      </c>
      <c r="P368" s="498">
        <f>IF(COUNTIFS(Calculation!$I$10:$I$393,E368,Direct_Denaturation,"-")&lt;&gt;1,COUNTIFS(Calculation!$I$10:$I$393,E368,Direct_Denaturation,"-"),0)</f>
        <v>0</v>
      </c>
      <c r="V368" s="542" t="s">
        <v>82</v>
      </c>
      <c r="W368" s="542" t="s">
        <v>82</v>
      </c>
      <c r="X368" s="542" t="s">
        <v>82</v>
      </c>
      <c r="Y368" s="542" t="s">
        <v>82</v>
      </c>
      <c r="Z368" s="542" t="s">
        <v>82</v>
      </c>
      <c r="AA368" s="542" t="s">
        <v>82</v>
      </c>
      <c r="AB368" s="542" t="s">
        <v>82</v>
      </c>
      <c r="AC368" s="542" t="s">
        <v>82</v>
      </c>
      <c r="AD368" s="542" t="s">
        <v>82</v>
      </c>
      <c r="AE368" s="542" t="s">
        <v>82</v>
      </c>
      <c r="AF368" s="542" t="s">
        <v>82</v>
      </c>
      <c r="AG368" s="542" t="s">
        <v>82</v>
      </c>
      <c r="AH368" s="9"/>
      <c r="AI368" s="487">
        <v>365</v>
      </c>
      <c r="AJ368" s="497" t="s">
        <v>479</v>
      </c>
      <c r="AK368" s="378">
        <v>77</v>
      </c>
      <c r="AL368" s="378" t="str">
        <f t="shared" ca="1" si="169"/>
        <v>-</v>
      </c>
      <c r="AM368" s="378" t="str">
        <f t="array" aca="1" ref="AM368" ca="1">IFERROR(IF(AI368&lt;=$AB$2,"-",INDEX(Calculation_Tab,SMALL(ROW(Main_Dil)*(Main_Dil&lt;&gt;"-"),COUNTIF(Main_Dil,"-")+ROW()-3-$AB$2)-9,5)),"-")</f>
        <v>-</v>
      </c>
      <c r="AN368" s="378" t="str">
        <f t="array" aca="1" ref="AN368" ca="1">IFERROR(IF(AI368&lt;=$AB$2,"-",INDEX($A$3:$B$12,MATCH(INDEX(Calculation_Tab,SMALL(ROW(Main_Dil)*(Main_Dil&lt;&gt;"-"),COUNTIF(Main_Dil,"-")+ROW()-3-$AB$2)-9,5),$A$3:$A$12,0),2)),"-")</f>
        <v>-</v>
      </c>
      <c r="AO368" s="378" t="str">
        <f t="array" aca="1" ref="AO368" ca="1">IFERROR(IF(AI368&lt;=$AB$2,"-",INDEX(Coordinate,MATCH(INDEX(Calculation_Tab,SMALL(ROW(Main_Dil)*(Main_Dil&lt;&gt;"-"),COUNTIF(Main_Dil,"-")+ROW()-3-$AB$2)-9,6),$X$4:$X$99,0),2)),"-")</f>
        <v>-</v>
      </c>
      <c r="AP368" s="510" t="str">
        <f t="array" aca="1" ref="AP368" ca="1">IFERROR(IF(AI368&lt;=$AB$2,"-",INDEX(Calculation_Tab,SMALL(ROW(Main_Dil)*(Main_Dil&lt;&gt;"-"),COUNTIF(Main_Dil,"-")+ROW()-3-$AB$2)-9,21)),"-")</f>
        <v>-</v>
      </c>
      <c r="AQ368" s="511" t="str">
        <f t="array" aca="1" ref="AQ368" ca="1">IFERROR(IF(AI368&lt;=$AB$2,"-",INDEX(Calculation_Tab,SMALL(ROW(Main_Dil)*(Main_Dil&lt;&gt;"-"),COUNTIF(Main_Dil,"-")+ROW()-3-$AB$2)-9,22)),"-")</f>
        <v>-</v>
      </c>
      <c r="AR368" s="487" t="str">
        <f t="shared" ca="1" si="170"/>
        <v>-</v>
      </c>
      <c r="AS368" s="378">
        <v>365</v>
      </c>
      <c r="AT368" s="497" t="s">
        <v>479</v>
      </c>
      <c r="AU368" s="498">
        <v>77</v>
      </c>
      <c r="AV368" s="378" t="str">
        <f t="shared" ca="1" si="171"/>
        <v>-</v>
      </c>
      <c r="AW368" s="378" t="str">
        <f t="array" aca="1" ref="AW368" ca="1">IFERROR(IF(AS368&lt;=$AB$2+$AN$2,"-",INDEX(Calculation_Tab,SMALL(ROW(Direct_Denaturation)*(Direct_Denaturation&lt;&gt;"-"),COUNTIF(Direct_Denaturation,"-")+ROW()-3-$AB$2-$AN$2)-9,5)),"-")</f>
        <v>-</v>
      </c>
      <c r="AX368" s="378" t="str">
        <f t="array" aca="1" ref="AX368" ca="1">IFERROR(IF(AS368&lt;=$AB$2+$AN$2,"-",INDEX($A$3:$B$12,MATCH(INDEX(Calculation_Tab,SMALL(ROW(Direct_Denaturation)*(Direct_Denaturation&lt;&gt;"-"),COUNTIF(Direct_Denaturation,"-")+ROW()-3-$AB$2-$AN$2)-9,5),$A$3:$A$12,0),2)),"-")</f>
        <v>-</v>
      </c>
      <c r="AY368" s="378" t="str">
        <f t="array" aca="1" ref="AY368" ca="1">IFERROR(IF(AS368&lt;=$AB$2+$AN$2,"-",INDEX(Coordinate,MATCH(INDEX(Calculation_Tab,SMALL(ROW(Direct_Denaturation)*(Direct_Denaturation&lt;&gt;"-"),COUNTIF(Direct_Denaturation,"-")+ROW()-3-$AB$2-$AN$2)-9,6),$X$4:$X$99,0),2)),"-")</f>
        <v>-</v>
      </c>
      <c r="AZ368" s="510" t="str">
        <f t="array" aca="1" ref="AZ368" ca="1">IFERROR(IF(AS368&lt;=$AB$2+$AN$2,"-",INDEX(Calculation_Tab,SMALL(ROW(Direct_Denaturation)*(Direct_Denaturation&lt;&gt;"-"),COUNTIF(Direct_Denaturation,"-")+ROW()-3-$AB$2-$AN$2)-9,32)),"-")</f>
        <v>-</v>
      </c>
      <c r="BA368" s="510" t="str">
        <f t="array" aca="1" ref="BA368" ca="1">IFERROR(IF(AS368&lt;=$AB$2+$AN$2,"-",INDEX(Calculation_Tab,SMALL(ROW(Direct_Denaturation)*(Direct_Denaturation&lt;&gt;"-"),COUNTIF(Direct_Denaturation,"-")+ROW()-3-$AB$2-$AN$2)-9,34)),"-")</f>
        <v>-</v>
      </c>
      <c r="BB368" s="510" t="str">
        <f t="array" aca="1" ref="BB368" ca="1">IFERROR(IF(AS368&lt;=$AB$2+$AN$2,"-",INDEX(Calculation_Tab,SMALL(ROW(Direct_Denaturation)*(Direct_Denaturation&lt;&gt;"-"),COUNTIF(Direct_Denaturation,"-")+ROW()-3-$AB$2-$AN$2)-9,33)),"-")</f>
        <v>-</v>
      </c>
      <c r="BC368" s="510" t="str">
        <f t="array" aca="1" ref="BC368" ca="1">IFERROR(IF(AS368&lt;=$AB$2+$AN$2,"-",INDEX(Calculation_Tab,SMALL(ROW(Direct_Denaturation)*(Direct_Denaturation&lt;&gt;"-"),COUNTIF(Direct_Denaturation,"-")+ROW()-3-$AB$2-$AN$2)-9,35)),"-")</f>
        <v>-</v>
      </c>
      <c r="BD368" s="511" t="str">
        <f t="shared" ca="1" si="172"/>
        <v>-</v>
      </c>
      <c r="BK368" s="542" t="s">
        <v>82</v>
      </c>
      <c r="BL368" s="542" t="s">
        <v>82</v>
      </c>
      <c r="BM368" s="487" t="str">
        <f t="array" aca="1" ref="BM368" ca="1">IFERROR(INDEX(Calculation_Tab,SMALL(ROW(ToPool)*(ToPool&lt;&gt;"-"),COUNTIF(ToPool,"-")+ROW()-3)-9,3),"-")</f>
        <v>-</v>
      </c>
      <c r="BN368" s="378" t="str">
        <f t="shared" ca="1" si="173"/>
        <v>-</v>
      </c>
      <c r="BO368" s="378" t="str">
        <f t="shared" ca="1" si="174"/>
        <v>-</v>
      </c>
      <c r="BP368" s="523" t="str">
        <f t="shared" ca="1" si="175"/>
        <v>-</v>
      </c>
      <c r="BQ368" s="378" t="str">
        <f t="array" aca="1" ref="BQ368" ca="1">IFERROR(INDEX(BE:BG,MATCH(INDEX(Calculation_Tab,SMALL(ROW(ToPool)*(ToPool&lt;&gt;"-"),COUNTIF(ToPool,"-")+ROW()-3)-9,9),BG:BG,0),2),"-")</f>
        <v>-</v>
      </c>
      <c r="BR368" s="510" t="str">
        <f t="shared" ca="1" si="176"/>
        <v>-</v>
      </c>
      <c r="BS368" s="511" t="str">
        <f t="shared" ca="1" si="177"/>
        <v>-</v>
      </c>
      <c r="BT368" s="543" t="s">
        <v>82</v>
      </c>
      <c r="BU368" s="487" t="str">
        <f t="shared" ca="1" si="182"/>
        <v>-</v>
      </c>
      <c r="BV368" s="487" t="str">
        <f t="array" aca="1" ref="BV36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68" s="378" t="str">
        <f t="shared" ca="1" si="178"/>
        <v>-</v>
      </c>
      <c r="BX368" s="378" t="str">
        <f t="shared" ca="1" si="179"/>
        <v>-</v>
      </c>
      <c r="BY368" s="510" t="str">
        <f ca="1">IFERROR(ROUND(INDEX(Cluster,MATCH(IF(LEFT(BV368,4)="Pool",INDEX(Cluster,MATCH(INDEX(Calculation_Tab,MATCH(INDEX($BE$4:$BJ$99,MATCH(BV368,$BE$4:$BE$99,0),3),Flow_Cell_Lane,0),3),Cluster!$F$29:$F$412,0),6),BV368),Identifier_Cluster,0),19)*IF(LEFT(BV368,4)="pool",IF(LEN(INDEX($BE$4:$BJ$99,MATCH(BV368,$BE$4:$BE$99,0),3))=10,2,IF(LEN(INDEX($BE$4:$BJ$99,MATCH(BV368,$BE$4:$BE$99,0),3))&gt;10,LEN(INDEX($BE$4:$BJ$99,MATCH(BV368,$BE$4:$BE$99,0),3))-8,1)),1)*IF(LEFT(BV368,4)="pool",IF(INDEX($BE$4:$BJ$99,MATCH(BV368,$BE$4:$BE$99,0),6)&lt;1,1,INDEX($BE$4:$BJ$99,MATCH(BV368,$BE$4:$BE$99,0),6)),INDEX(Calculation_Tab,MATCH(BV368,Identifier,0),10)),1)*(1+Calculation!$Q$6),"-")</f>
        <v>-</v>
      </c>
      <c r="BZ368" s="378" t="str">
        <f ca="1">IFERROR((0.5/50)*CE368/Calculation!$AG$6*(IF(LEFT(BV368,4)="Pool",IF(LEN(INDEX($BE$4:$BJ$99,MATCH(BV368,$BE$4:$BE$99,0),3))=10,2,IF(LEN(INDEX($BE$4:$BJ$99,MATCH(BV368,$BE$4:$BE$99,0),3))&gt;10,LEN(INDEX($BE$4:$BJ$99,MATCH(BV368,$BE$4:$BE$99,0),3))-8,1)),IF(INDEX(Calculation_Tab,MATCH(BV368,Identifier,0),10)&gt;1,INDEX(Calculation_Tab,MATCH(BV368,Identifier,0),10),1)))*(1+Calculation!$Q$6),"-")</f>
        <v>-</v>
      </c>
      <c r="CA368" s="510" t="str">
        <f ca="1">IFERROR(IF((BZ368*Calculation!$AG$6/0.05)-SUM(BY368:BZ368,CC368)&gt;0,(BZ368*Calculation!$AG$6/0.05)-SUM(BY368:BZ368,CC368),0),"-")</f>
        <v>-</v>
      </c>
      <c r="CB368" s="510" t="str">
        <f ca="1">IFERROR(5/50*CE368*(IF(LEFT(BV368,4)="Pool",IF(LEN(INDEX($BE$4:$BJ$99,MATCH(BV368,$BE$4:$BE$99,0),3))=10,2,IF(LEN(INDEX($BE$4:$BJ$99,MATCH(BV368,$BE$4:$BE$99,0),3))&gt;10,LEN(INDEX($BE$4:$BJ$99,MATCH(BV368,$BE$4:$BE$99,0),3))-8,1)),IF(INDEX(Calculation_Tab,MATCH(BV368,Identifier,0),10)&gt;1,INDEX(Calculation_Tab,MATCH(BV368,Identifier,0),10),1)))*(1+Calculation!$Q$6),"-")</f>
        <v>-</v>
      </c>
      <c r="CC368" s="508" t="str">
        <f ca="1">IFERROR(ROUND(INDEX(Cluster,MATCH(IF(LEFT(BV368,4)="Pool",INDEX(Cluster,MATCH(INDEX(Calculation_Tab,MATCH(INDEX($BE$4:$BJ$99,MATCH(BV368,$BE$4:$BE$99,0),3),Flow_Cell_Lane,0),3),Cluster!$F$29:$F$412,0),6),BV368),Identifier_Cluster,0),20)*IF(LEFT(BV368,4)="pool",IF(LEN(INDEX($BE$4:$BJ$99,MATCH(BV368,$BE$4:$BE$99,0),3))=10,2,IF(LEN(INDEX($BE$4:$BJ$99,MATCH(BV368,$BE$4:$BE$99,0),3))&gt;10,LEN(INDEX($BE$4:$BJ$99,MATCH(BV368,$BE$4:$BE$99,0),3))-8,1)),1)*IF(LEFT(BV368,4)="pool",IF(INDEX($BE$4:$BJ$99,MATCH(BV368,$BE$4:$BE$99,0),6)&lt;1,1,INDEX($BE$4:$BJ$99,MATCH(BV368,$BE$4:$BE$99,0),6)),INDEX(Calculation_Tab,MATCH(BV368,Identifier,0),10)),1)*(1+Calculation!$Q$6),"-")</f>
        <v>-</v>
      </c>
      <c r="CD368" s="509" t="str">
        <f ca="1">IFERROR(INDEX(Cluster!AC:AD,MATCH(IF(LEFT(BV368,4)="Pool",INDEX(Cluster!$D$29:$AA$412,MATCH(INDEX(Calculation_Tab,MATCH(INDEX($BE$4:$BJ$99,MATCH(BV368,$BE$4:$BE$99,0),3),Flow_Cell_Lane,0),3),Cluster!$F$29:$F$412,0),24),INDEX(Cluster!$D$29:$AA$412,MATCH(BV368,Cluster!$F$29:$F$412,0),24)),Cluster!AC:AC,0),2),"-")</f>
        <v>-</v>
      </c>
      <c r="CE368" s="378" t="str">
        <f ca="1">IFERROR(IF(BV368&lt;&gt;"-",Calculation!$AK$6,"-"),"-")</f>
        <v>-</v>
      </c>
      <c r="CF368" s="378" t="str">
        <f ca="1">IF(OR(LEFT(ListAndConversion!BW368,3)="Dil",LEFT(ListAndConversion!BW368,3)="Poo"),ListAndConversion!$BT$4,IF(LEFT(ListAndConversion!BW368,3)="Sou",INDEX(ListAndConversion!$AT$3:$AV$387,MATCH(ListAndConversion!BV368,ListAndConversion!$AV$3:$AV$387,0),1),"-"))</f>
        <v>-</v>
      </c>
      <c r="CG368" s="498" t="str">
        <f ca="1">IF(OR(LEFT(ListAndConversion!BW368,3)="Dil",LEFT(ListAndConversion!BW368,3)="Poo"),ListAndConversion!BU368,IF(LEFT(ListAndConversion!BW368,3)="Sou",INDEX(ListAndConversion!$AT$4:$AV$387,MATCH(ListAndConversion!BV368,ListAndConversion!$AV$4:$AV$387,0),2),"-"))</f>
        <v>-</v>
      </c>
      <c r="CH368" s="378"/>
      <c r="CI368" s="487" t="str">
        <f t="shared" ca="1" si="180"/>
        <v>-</v>
      </c>
      <c r="CJ368" s="378" t="str">
        <f t="shared" ca="1" si="190"/>
        <v>-</v>
      </c>
      <c r="CK368" s="378" t="str">
        <f t="shared" ca="1" si="190"/>
        <v>-</v>
      </c>
      <c r="CL368" s="378" t="str">
        <f t="shared" ca="1" si="190"/>
        <v>-</v>
      </c>
      <c r="CM368" s="378" t="str">
        <f t="shared" ca="1" si="190"/>
        <v>-</v>
      </c>
      <c r="CN368" s="378" t="str">
        <f t="shared" ca="1" si="190"/>
        <v>-</v>
      </c>
      <c r="CO368" s="378" t="str">
        <f t="shared" ca="1" si="190"/>
        <v>-</v>
      </c>
      <c r="CP368" s="378" t="str">
        <f t="shared" ca="1" si="190"/>
        <v>-</v>
      </c>
      <c r="CQ368" s="378" t="str">
        <f t="shared" ca="1" si="190"/>
        <v>-</v>
      </c>
      <c r="CR368" s="510" t="str">
        <f ca="1">IFERROR(IF(LEFT(BW368,3)="Poo",INDEX($BE$4:$BJ$99,MATCH(CI368,$BG$4:$BG$99,0),6)*((15/50))*Calculation!$AK$6,INDEX(Calculation_Tab,MATCH(BV368,Identifier,0),10)/(IF(LEN(INDEX(Calculation_Tab,MATCH(BV368,Identifier,0),9))&gt;8,LEN(INDEX(Calculation_Tab,MATCH(BV368,Identifier,0),9))-8,1))*((15/50)*Calculation!$AK$6)),"-")</f>
        <v>-</v>
      </c>
      <c r="CS368" s="498" t="str">
        <f ca="1">IF(CI368="-","-",IF(COUNTIF($CI$3:CI368,CI368)&gt;1,0,IFERROR((35/50)*Calculation!$AK$6,"-")))</f>
        <v>-</v>
      </c>
    </row>
    <row r="369" spans="4:97" x14ac:dyDescent="0.5">
      <c r="D369" s="487" t="e">
        <f t="shared" si="165"/>
        <v>#DIV/0!</v>
      </c>
      <c r="E369" s="496" t="e">
        <f t="array" ref="E369">IF(IF((ROW(E369)-3)&lt;(ListAndConversion!$A$15),INDEX(Flow_Cell_Lane,MIN(IF(COUNTIF($E$2:E368,Flow_Cell_Lane)=0,ROW(Flow_Cell_Lane)-9))),"-")="","-",IF((ROW(E369)-3)&lt;(ListAndConversion!$A$15),INDEX(Flow_Cell_Lane,MIN(IF(COUNTIF($E$2:E368,Flow_Cell_Lane)=0,ROW(Flow_Cell_Lane)-9))),"-"))</f>
        <v>#DIV/0!</v>
      </c>
      <c r="F369" s="378" t="e">
        <f t="shared" si="166"/>
        <v>#DIV/0!</v>
      </c>
      <c r="G369" s="378" t="e">
        <f t="shared" si="189"/>
        <v>#DIV/0!</v>
      </c>
      <c r="H369" s="378" t="e">
        <f t="shared" si="189"/>
        <v>#DIV/0!</v>
      </c>
      <c r="I369" s="378" t="e">
        <f t="shared" si="189"/>
        <v>#DIV/0!</v>
      </c>
      <c r="J369" s="378" t="e">
        <f t="shared" si="189"/>
        <v>#DIV/0!</v>
      </c>
      <c r="K369" s="378" t="e">
        <f t="shared" si="189"/>
        <v>#DIV/0!</v>
      </c>
      <c r="L369" s="378" t="e">
        <f t="shared" si="189"/>
        <v>#DIV/0!</v>
      </c>
      <c r="M369" s="378" t="e">
        <f t="shared" si="189"/>
        <v>#DIV/0!</v>
      </c>
      <c r="N369" s="497" t="e">
        <f t="shared" si="168"/>
        <v>#DIV/0!</v>
      </c>
      <c r="O369" s="497" t="str">
        <f t="array" ref="O369">IFERROR(INDEX(Calculation!I:AN,MATCH(ListAndConversion!E369,Calculation!I:I,0),31),"-")</f>
        <v>-</v>
      </c>
      <c r="P369" s="498">
        <f>IF(COUNTIFS(Calculation!$I$10:$I$393,E369,Direct_Denaturation,"-")&lt;&gt;1,COUNTIFS(Calculation!$I$10:$I$393,E369,Direct_Denaturation,"-"),0)</f>
        <v>0</v>
      </c>
      <c r="V369" s="542" t="s">
        <v>82</v>
      </c>
      <c r="W369" s="542" t="s">
        <v>82</v>
      </c>
      <c r="X369" s="542" t="s">
        <v>82</v>
      </c>
      <c r="Y369" s="542" t="s">
        <v>82</v>
      </c>
      <c r="Z369" s="542" t="s">
        <v>82</v>
      </c>
      <c r="AA369" s="542" t="s">
        <v>82</v>
      </c>
      <c r="AB369" s="542" t="s">
        <v>82</v>
      </c>
      <c r="AC369" s="542" t="s">
        <v>82</v>
      </c>
      <c r="AD369" s="542" t="s">
        <v>82</v>
      </c>
      <c r="AE369" s="542" t="s">
        <v>82</v>
      </c>
      <c r="AF369" s="542" t="s">
        <v>82</v>
      </c>
      <c r="AG369" s="542" t="s">
        <v>82</v>
      </c>
      <c r="AH369" s="9"/>
      <c r="AI369" s="487">
        <v>366</v>
      </c>
      <c r="AJ369" s="497" t="s">
        <v>479</v>
      </c>
      <c r="AK369" s="378">
        <v>78</v>
      </c>
      <c r="AL369" s="378" t="str">
        <f t="shared" ca="1" si="169"/>
        <v>-</v>
      </c>
      <c r="AM369" s="378" t="str">
        <f t="array" aca="1" ref="AM369" ca="1">IFERROR(IF(AI369&lt;=$AB$2,"-",INDEX(Calculation_Tab,SMALL(ROW(Main_Dil)*(Main_Dil&lt;&gt;"-"),COUNTIF(Main_Dil,"-")+ROW()-3-$AB$2)-9,5)),"-")</f>
        <v>-</v>
      </c>
      <c r="AN369" s="378" t="str">
        <f t="array" aca="1" ref="AN369" ca="1">IFERROR(IF(AI369&lt;=$AB$2,"-",INDEX($A$3:$B$12,MATCH(INDEX(Calculation_Tab,SMALL(ROW(Main_Dil)*(Main_Dil&lt;&gt;"-"),COUNTIF(Main_Dil,"-")+ROW()-3-$AB$2)-9,5),$A$3:$A$12,0),2)),"-")</f>
        <v>-</v>
      </c>
      <c r="AO369" s="378" t="str">
        <f t="array" aca="1" ref="AO369" ca="1">IFERROR(IF(AI369&lt;=$AB$2,"-",INDEX(Coordinate,MATCH(INDEX(Calculation_Tab,SMALL(ROW(Main_Dil)*(Main_Dil&lt;&gt;"-"),COUNTIF(Main_Dil,"-")+ROW()-3-$AB$2)-9,6),$X$4:$X$99,0),2)),"-")</f>
        <v>-</v>
      </c>
      <c r="AP369" s="510" t="str">
        <f t="array" aca="1" ref="AP369" ca="1">IFERROR(IF(AI369&lt;=$AB$2,"-",INDEX(Calculation_Tab,SMALL(ROW(Main_Dil)*(Main_Dil&lt;&gt;"-"),COUNTIF(Main_Dil,"-")+ROW()-3-$AB$2)-9,21)),"-")</f>
        <v>-</v>
      </c>
      <c r="AQ369" s="511" t="str">
        <f t="array" aca="1" ref="AQ369" ca="1">IFERROR(IF(AI369&lt;=$AB$2,"-",INDEX(Calculation_Tab,SMALL(ROW(Main_Dil)*(Main_Dil&lt;&gt;"-"),COUNTIF(Main_Dil,"-")+ROW()-3-$AB$2)-9,22)),"-")</f>
        <v>-</v>
      </c>
      <c r="AR369" s="487" t="str">
        <f t="shared" ca="1" si="170"/>
        <v>-</v>
      </c>
      <c r="AS369" s="378">
        <v>366</v>
      </c>
      <c r="AT369" s="497" t="s">
        <v>479</v>
      </c>
      <c r="AU369" s="498">
        <v>78</v>
      </c>
      <c r="AV369" s="378" t="str">
        <f t="shared" ca="1" si="171"/>
        <v>-</v>
      </c>
      <c r="AW369" s="378" t="str">
        <f t="array" aca="1" ref="AW369" ca="1">IFERROR(IF(AS369&lt;=$AB$2+$AN$2,"-",INDEX(Calculation_Tab,SMALL(ROW(Direct_Denaturation)*(Direct_Denaturation&lt;&gt;"-"),COUNTIF(Direct_Denaturation,"-")+ROW()-3-$AB$2-$AN$2)-9,5)),"-")</f>
        <v>-</v>
      </c>
      <c r="AX369" s="378" t="str">
        <f t="array" aca="1" ref="AX369" ca="1">IFERROR(IF(AS369&lt;=$AB$2+$AN$2,"-",INDEX($A$3:$B$12,MATCH(INDEX(Calculation_Tab,SMALL(ROW(Direct_Denaturation)*(Direct_Denaturation&lt;&gt;"-"),COUNTIF(Direct_Denaturation,"-")+ROW()-3-$AB$2-$AN$2)-9,5),$A$3:$A$12,0),2)),"-")</f>
        <v>-</v>
      </c>
      <c r="AY369" s="378" t="str">
        <f t="array" aca="1" ref="AY369" ca="1">IFERROR(IF(AS369&lt;=$AB$2+$AN$2,"-",INDEX(Coordinate,MATCH(INDEX(Calculation_Tab,SMALL(ROW(Direct_Denaturation)*(Direct_Denaturation&lt;&gt;"-"),COUNTIF(Direct_Denaturation,"-")+ROW()-3-$AB$2-$AN$2)-9,6),$X$4:$X$99,0),2)),"-")</f>
        <v>-</v>
      </c>
      <c r="AZ369" s="510" t="str">
        <f t="array" aca="1" ref="AZ369" ca="1">IFERROR(IF(AS369&lt;=$AB$2+$AN$2,"-",INDEX(Calculation_Tab,SMALL(ROW(Direct_Denaturation)*(Direct_Denaturation&lt;&gt;"-"),COUNTIF(Direct_Denaturation,"-")+ROW()-3-$AB$2-$AN$2)-9,32)),"-")</f>
        <v>-</v>
      </c>
      <c r="BA369" s="510" t="str">
        <f t="array" aca="1" ref="BA369" ca="1">IFERROR(IF(AS369&lt;=$AB$2+$AN$2,"-",INDEX(Calculation_Tab,SMALL(ROW(Direct_Denaturation)*(Direct_Denaturation&lt;&gt;"-"),COUNTIF(Direct_Denaturation,"-")+ROW()-3-$AB$2-$AN$2)-9,34)),"-")</f>
        <v>-</v>
      </c>
      <c r="BB369" s="510" t="str">
        <f t="array" aca="1" ref="BB369" ca="1">IFERROR(IF(AS369&lt;=$AB$2+$AN$2,"-",INDEX(Calculation_Tab,SMALL(ROW(Direct_Denaturation)*(Direct_Denaturation&lt;&gt;"-"),COUNTIF(Direct_Denaturation,"-")+ROW()-3-$AB$2-$AN$2)-9,33)),"-")</f>
        <v>-</v>
      </c>
      <c r="BC369" s="510" t="str">
        <f t="array" aca="1" ref="BC369" ca="1">IFERROR(IF(AS369&lt;=$AB$2+$AN$2,"-",INDEX(Calculation_Tab,SMALL(ROW(Direct_Denaturation)*(Direct_Denaturation&lt;&gt;"-"),COUNTIF(Direct_Denaturation,"-")+ROW()-3-$AB$2-$AN$2)-9,35)),"-")</f>
        <v>-</v>
      </c>
      <c r="BD369" s="511" t="str">
        <f t="shared" ca="1" si="172"/>
        <v>-</v>
      </c>
      <c r="BK369" s="542" t="s">
        <v>82</v>
      </c>
      <c r="BL369" s="542" t="s">
        <v>82</v>
      </c>
      <c r="BM369" s="487" t="str">
        <f t="array" aca="1" ref="BM369" ca="1">IFERROR(INDEX(Calculation_Tab,SMALL(ROW(ToPool)*(ToPool&lt;&gt;"-"),COUNTIF(ToPool,"-")+ROW()-3)-9,3),"-")</f>
        <v>-</v>
      </c>
      <c r="BN369" s="378" t="str">
        <f t="shared" ca="1" si="173"/>
        <v>-</v>
      </c>
      <c r="BO369" s="378" t="str">
        <f t="shared" ca="1" si="174"/>
        <v>-</v>
      </c>
      <c r="BP369" s="523" t="str">
        <f t="shared" ca="1" si="175"/>
        <v>-</v>
      </c>
      <c r="BQ369" s="378" t="str">
        <f t="array" aca="1" ref="BQ369" ca="1">IFERROR(INDEX(BE:BG,MATCH(INDEX(Calculation_Tab,SMALL(ROW(ToPool)*(ToPool&lt;&gt;"-"),COUNTIF(ToPool,"-")+ROW()-3)-9,9),BG:BG,0),2),"-")</f>
        <v>-</v>
      </c>
      <c r="BR369" s="510" t="str">
        <f t="shared" ca="1" si="176"/>
        <v>-</v>
      </c>
      <c r="BS369" s="511" t="str">
        <f t="shared" ca="1" si="177"/>
        <v>-</v>
      </c>
      <c r="BT369" s="543" t="s">
        <v>82</v>
      </c>
      <c r="BU369" s="487" t="str">
        <f t="shared" ca="1" si="182"/>
        <v>-</v>
      </c>
      <c r="BV369" s="487" t="str">
        <f t="array" aca="1" ref="BV36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69" s="378" t="str">
        <f t="shared" ca="1" si="178"/>
        <v>-</v>
      </c>
      <c r="BX369" s="378" t="str">
        <f t="shared" ca="1" si="179"/>
        <v>-</v>
      </c>
      <c r="BY369" s="510" t="str">
        <f ca="1">IFERROR(ROUND(INDEX(Cluster,MATCH(IF(LEFT(BV369,4)="Pool",INDEX(Cluster,MATCH(INDEX(Calculation_Tab,MATCH(INDEX($BE$4:$BJ$99,MATCH(BV369,$BE$4:$BE$99,0),3),Flow_Cell_Lane,0),3),Cluster!$F$29:$F$412,0),6),BV369),Identifier_Cluster,0),19)*IF(LEFT(BV369,4)="pool",IF(LEN(INDEX($BE$4:$BJ$99,MATCH(BV369,$BE$4:$BE$99,0),3))=10,2,IF(LEN(INDEX($BE$4:$BJ$99,MATCH(BV369,$BE$4:$BE$99,0),3))&gt;10,LEN(INDEX($BE$4:$BJ$99,MATCH(BV369,$BE$4:$BE$99,0),3))-8,1)),1)*IF(LEFT(BV369,4)="pool",IF(INDEX($BE$4:$BJ$99,MATCH(BV369,$BE$4:$BE$99,0),6)&lt;1,1,INDEX($BE$4:$BJ$99,MATCH(BV369,$BE$4:$BE$99,0),6)),INDEX(Calculation_Tab,MATCH(BV369,Identifier,0),10)),1)*(1+Calculation!$Q$6),"-")</f>
        <v>-</v>
      </c>
      <c r="BZ369" s="378" t="str">
        <f ca="1">IFERROR((0.5/50)*CE369/Calculation!$AG$6*(IF(LEFT(BV369,4)="Pool",IF(LEN(INDEX($BE$4:$BJ$99,MATCH(BV369,$BE$4:$BE$99,0),3))=10,2,IF(LEN(INDEX($BE$4:$BJ$99,MATCH(BV369,$BE$4:$BE$99,0),3))&gt;10,LEN(INDEX($BE$4:$BJ$99,MATCH(BV369,$BE$4:$BE$99,0),3))-8,1)),IF(INDEX(Calculation_Tab,MATCH(BV369,Identifier,0),10)&gt;1,INDEX(Calculation_Tab,MATCH(BV369,Identifier,0),10),1)))*(1+Calculation!$Q$6),"-")</f>
        <v>-</v>
      </c>
      <c r="CA369" s="510" t="str">
        <f ca="1">IFERROR(IF((BZ369*Calculation!$AG$6/0.05)-SUM(BY369:BZ369,CC369)&gt;0,(BZ369*Calculation!$AG$6/0.05)-SUM(BY369:BZ369,CC369),0),"-")</f>
        <v>-</v>
      </c>
      <c r="CB369" s="510" t="str">
        <f ca="1">IFERROR(5/50*CE369*(IF(LEFT(BV369,4)="Pool",IF(LEN(INDEX($BE$4:$BJ$99,MATCH(BV369,$BE$4:$BE$99,0),3))=10,2,IF(LEN(INDEX($BE$4:$BJ$99,MATCH(BV369,$BE$4:$BE$99,0),3))&gt;10,LEN(INDEX($BE$4:$BJ$99,MATCH(BV369,$BE$4:$BE$99,0),3))-8,1)),IF(INDEX(Calculation_Tab,MATCH(BV369,Identifier,0),10)&gt;1,INDEX(Calculation_Tab,MATCH(BV369,Identifier,0),10),1)))*(1+Calculation!$Q$6),"-")</f>
        <v>-</v>
      </c>
      <c r="CC369" s="508" t="str">
        <f ca="1">IFERROR(ROUND(INDEX(Cluster,MATCH(IF(LEFT(BV369,4)="Pool",INDEX(Cluster,MATCH(INDEX(Calculation_Tab,MATCH(INDEX($BE$4:$BJ$99,MATCH(BV369,$BE$4:$BE$99,0),3),Flow_Cell_Lane,0),3),Cluster!$F$29:$F$412,0),6),BV369),Identifier_Cluster,0),20)*IF(LEFT(BV369,4)="pool",IF(LEN(INDEX($BE$4:$BJ$99,MATCH(BV369,$BE$4:$BE$99,0),3))=10,2,IF(LEN(INDEX($BE$4:$BJ$99,MATCH(BV369,$BE$4:$BE$99,0),3))&gt;10,LEN(INDEX($BE$4:$BJ$99,MATCH(BV369,$BE$4:$BE$99,0),3))-8,1)),1)*IF(LEFT(BV369,4)="pool",IF(INDEX($BE$4:$BJ$99,MATCH(BV369,$BE$4:$BE$99,0),6)&lt;1,1,INDEX($BE$4:$BJ$99,MATCH(BV369,$BE$4:$BE$99,0),6)),INDEX(Calculation_Tab,MATCH(BV369,Identifier,0),10)),1)*(1+Calculation!$Q$6),"-")</f>
        <v>-</v>
      </c>
      <c r="CD369" s="509" t="str">
        <f ca="1">IFERROR(INDEX(Cluster!AC:AD,MATCH(IF(LEFT(BV369,4)="Pool",INDEX(Cluster!$D$29:$AA$412,MATCH(INDEX(Calculation_Tab,MATCH(INDEX($BE$4:$BJ$99,MATCH(BV369,$BE$4:$BE$99,0),3),Flow_Cell_Lane,0),3),Cluster!$F$29:$F$412,0),24),INDEX(Cluster!$D$29:$AA$412,MATCH(BV369,Cluster!$F$29:$F$412,0),24)),Cluster!AC:AC,0),2),"-")</f>
        <v>-</v>
      </c>
      <c r="CE369" s="378" t="str">
        <f ca="1">IFERROR(IF(BV369&lt;&gt;"-",Calculation!$AK$6,"-"),"-")</f>
        <v>-</v>
      </c>
      <c r="CF369" s="378" t="str">
        <f ca="1">IF(OR(LEFT(ListAndConversion!BW369,3)="Dil",LEFT(ListAndConversion!BW369,3)="Poo"),ListAndConversion!$BT$4,IF(LEFT(ListAndConversion!BW369,3)="Sou",INDEX(ListAndConversion!$AT$3:$AV$387,MATCH(ListAndConversion!BV369,ListAndConversion!$AV$3:$AV$387,0),1),"-"))</f>
        <v>-</v>
      </c>
      <c r="CG369" s="498" t="str">
        <f ca="1">IF(OR(LEFT(ListAndConversion!BW369,3)="Dil",LEFT(ListAndConversion!BW369,3)="Poo"),ListAndConversion!BU369,IF(LEFT(ListAndConversion!BW369,3)="Sou",INDEX(ListAndConversion!$AT$4:$AV$387,MATCH(ListAndConversion!BV369,ListAndConversion!$AV$4:$AV$387,0),2),"-"))</f>
        <v>-</v>
      </c>
      <c r="CH369" s="378"/>
      <c r="CI369" s="487" t="str">
        <f t="shared" ca="1" si="180"/>
        <v>-</v>
      </c>
      <c r="CJ369" s="378" t="str">
        <f t="shared" ca="1" si="190"/>
        <v>-</v>
      </c>
      <c r="CK369" s="378" t="str">
        <f t="shared" ca="1" si="190"/>
        <v>-</v>
      </c>
      <c r="CL369" s="378" t="str">
        <f t="shared" ca="1" si="190"/>
        <v>-</v>
      </c>
      <c r="CM369" s="378" t="str">
        <f t="shared" ca="1" si="190"/>
        <v>-</v>
      </c>
      <c r="CN369" s="378" t="str">
        <f t="shared" ca="1" si="190"/>
        <v>-</v>
      </c>
      <c r="CO369" s="378" t="str">
        <f t="shared" ca="1" si="190"/>
        <v>-</v>
      </c>
      <c r="CP369" s="378" t="str">
        <f t="shared" ca="1" si="190"/>
        <v>-</v>
      </c>
      <c r="CQ369" s="378" t="str">
        <f t="shared" ca="1" si="190"/>
        <v>-</v>
      </c>
      <c r="CR369" s="510" t="str">
        <f ca="1">IFERROR(IF(LEFT(BW369,3)="Poo",INDEX($BE$4:$BJ$99,MATCH(CI369,$BG$4:$BG$99,0),6)*((15/50))*Calculation!$AK$6,INDEX(Calculation_Tab,MATCH(BV369,Identifier,0),10)/(IF(LEN(INDEX(Calculation_Tab,MATCH(BV369,Identifier,0),9))&gt;8,LEN(INDEX(Calculation_Tab,MATCH(BV369,Identifier,0),9))-8,1))*((15/50)*Calculation!$AK$6)),"-")</f>
        <v>-</v>
      </c>
      <c r="CS369" s="498" t="str">
        <f ca="1">IF(CI369="-","-",IF(COUNTIF($CI$3:CI369,CI369)&gt;1,0,IFERROR((35/50)*Calculation!$AK$6,"-")))</f>
        <v>-</v>
      </c>
    </row>
    <row r="370" spans="4:97" x14ac:dyDescent="0.5">
      <c r="D370" s="487" t="e">
        <f t="shared" si="165"/>
        <v>#DIV/0!</v>
      </c>
      <c r="E370" s="496" t="e">
        <f t="array" ref="E370">IF(IF((ROW(E370)-3)&lt;(ListAndConversion!$A$15),INDEX(Flow_Cell_Lane,MIN(IF(COUNTIF($E$2:E369,Flow_Cell_Lane)=0,ROW(Flow_Cell_Lane)-9))),"-")="","-",IF((ROW(E370)-3)&lt;(ListAndConversion!$A$15),INDEX(Flow_Cell_Lane,MIN(IF(COUNTIF($E$2:E369,Flow_Cell_Lane)=0,ROW(Flow_Cell_Lane)-9))),"-"))</f>
        <v>#DIV/0!</v>
      </c>
      <c r="F370" s="378" t="e">
        <f t="shared" si="166"/>
        <v>#DIV/0!</v>
      </c>
      <c r="G370" s="378" t="e">
        <f t="shared" si="189"/>
        <v>#DIV/0!</v>
      </c>
      <c r="H370" s="378" t="e">
        <f t="shared" si="189"/>
        <v>#DIV/0!</v>
      </c>
      <c r="I370" s="378" t="e">
        <f t="shared" si="189"/>
        <v>#DIV/0!</v>
      </c>
      <c r="J370" s="378" t="e">
        <f t="shared" si="189"/>
        <v>#DIV/0!</v>
      </c>
      <c r="K370" s="378" t="e">
        <f t="shared" si="189"/>
        <v>#DIV/0!</v>
      </c>
      <c r="L370" s="378" t="e">
        <f t="shared" si="189"/>
        <v>#DIV/0!</v>
      </c>
      <c r="M370" s="378" t="e">
        <f t="shared" si="189"/>
        <v>#DIV/0!</v>
      </c>
      <c r="N370" s="497" t="e">
        <f t="shared" si="168"/>
        <v>#DIV/0!</v>
      </c>
      <c r="O370" s="497" t="str">
        <f t="array" ref="O370">IFERROR(INDEX(Calculation!I:AN,MATCH(ListAndConversion!E370,Calculation!I:I,0),31),"-")</f>
        <v>-</v>
      </c>
      <c r="P370" s="498">
        <f>IF(COUNTIFS(Calculation!$I$10:$I$393,E370,Direct_Denaturation,"-")&lt;&gt;1,COUNTIFS(Calculation!$I$10:$I$393,E370,Direct_Denaturation,"-"),0)</f>
        <v>0</v>
      </c>
      <c r="V370" s="542" t="s">
        <v>82</v>
      </c>
      <c r="W370" s="542" t="s">
        <v>82</v>
      </c>
      <c r="X370" s="542" t="s">
        <v>82</v>
      </c>
      <c r="Y370" s="542" t="s">
        <v>82</v>
      </c>
      <c r="Z370" s="542" t="s">
        <v>82</v>
      </c>
      <c r="AA370" s="542" t="s">
        <v>82</v>
      </c>
      <c r="AB370" s="542" t="s">
        <v>82</v>
      </c>
      <c r="AC370" s="542" t="s">
        <v>82</v>
      </c>
      <c r="AD370" s="542" t="s">
        <v>82</v>
      </c>
      <c r="AE370" s="542" t="s">
        <v>82</v>
      </c>
      <c r="AF370" s="542" t="s">
        <v>82</v>
      </c>
      <c r="AG370" s="542" t="s">
        <v>82</v>
      </c>
      <c r="AH370" s="9"/>
      <c r="AI370" s="487">
        <v>367</v>
      </c>
      <c r="AJ370" s="497" t="s">
        <v>479</v>
      </c>
      <c r="AK370" s="378">
        <v>79</v>
      </c>
      <c r="AL370" s="378" t="str">
        <f t="shared" ca="1" si="169"/>
        <v>-</v>
      </c>
      <c r="AM370" s="378" t="str">
        <f t="array" aca="1" ref="AM370" ca="1">IFERROR(IF(AI370&lt;=$AB$2,"-",INDEX(Calculation_Tab,SMALL(ROW(Main_Dil)*(Main_Dil&lt;&gt;"-"),COUNTIF(Main_Dil,"-")+ROW()-3-$AB$2)-9,5)),"-")</f>
        <v>-</v>
      </c>
      <c r="AN370" s="378" t="str">
        <f t="array" aca="1" ref="AN370" ca="1">IFERROR(IF(AI370&lt;=$AB$2,"-",INDEX($A$3:$B$12,MATCH(INDEX(Calculation_Tab,SMALL(ROW(Main_Dil)*(Main_Dil&lt;&gt;"-"),COUNTIF(Main_Dil,"-")+ROW()-3-$AB$2)-9,5),$A$3:$A$12,0),2)),"-")</f>
        <v>-</v>
      </c>
      <c r="AO370" s="378" t="str">
        <f t="array" aca="1" ref="AO370" ca="1">IFERROR(IF(AI370&lt;=$AB$2,"-",INDEX(Coordinate,MATCH(INDEX(Calculation_Tab,SMALL(ROW(Main_Dil)*(Main_Dil&lt;&gt;"-"),COUNTIF(Main_Dil,"-")+ROW()-3-$AB$2)-9,6),$X$4:$X$99,0),2)),"-")</f>
        <v>-</v>
      </c>
      <c r="AP370" s="510" t="str">
        <f t="array" aca="1" ref="AP370" ca="1">IFERROR(IF(AI370&lt;=$AB$2,"-",INDEX(Calculation_Tab,SMALL(ROW(Main_Dil)*(Main_Dil&lt;&gt;"-"),COUNTIF(Main_Dil,"-")+ROW()-3-$AB$2)-9,21)),"-")</f>
        <v>-</v>
      </c>
      <c r="AQ370" s="511" t="str">
        <f t="array" aca="1" ref="AQ370" ca="1">IFERROR(IF(AI370&lt;=$AB$2,"-",INDEX(Calculation_Tab,SMALL(ROW(Main_Dil)*(Main_Dil&lt;&gt;"-"),COUNTIF(Main_Dil,"-")+ROW()-3-$AB$2)-9,22)),"-")</f>
        <v>-</v>
      </c>
      <c r="AR370" s="487" t="str">
        <f t="shared" ca="1" si="170"/>
        <v>-</v>
      </c>
      <c r="AS370" s="378">
        <v>367</v>
      </c>
      <c r="AT370" s="497" t="s">
        <v>479</v>
      </c>
      <c r="AU370" s="498">
        <v>79</v>
      </c>
      <c r="AV370" s="378" t="str">
        <f t="shared" ca="1" si="171"/>
        <v>-</v>
      </c>
      <c r="AW370" s="378" t="str">
        <f t="array" aca="1" ref="AW370" ca="1">IFERROR(IF(AS370&lt;=$AB$2+$AN$2,"-",INDEX(Calculation_Tab,SMALL(ROW(Direct_Denaturation)*(Direct_Denaturation&lt;&gt;"-"),COUNTIF(Direct_Denaturation,"-")+ROW()-3-$AB$2-$AN$2)-9,5)),"-")</f>
        <v>-</v>
      </c>
      <c r="AX370" s="378" t="str">
        <f t="array" aca="1" ref="AX370" ca="1">IFERROR(IF(AS370&lt;=$AB$2+$AN$2,"-",INDEX($A$3:$B$12,MATCH(INDEX(Calculation_Tab,SMALL(ROW(Direct_Denaturation)*(Direct_Denaturation&lt;&gt;"-"),COUNTIF(Direct_Denaturation,"-")+ROW()-3-$AB$2-$AN$2)-9,5),$A$3:$A$12,0),2)),"-")</f>
        <v>-</v>
      </c>
      <c r="AY370" s="378" t="str">
        <f t="array" aca="1" ref="AY370" ca="1">IFERROR(IF(AS370&lt;=$AB$2+$AN$2,"-",INDEX(Coordinate,MATCH(INDEX(Calculation_Tab,SMALL(ROW(Direct_Denaturation)*(Direct_Denaturation&lt;&gt;"-"),COUNTIF(Direct_Denaturation,"-")+ROW()-3-$AB$2-$AN$2)-9,6),$X$4:$X$99,0),2)),"-")</f>
        <v>-</v>
      </c>
      <c r="AZ370" s="510" t="str">
        <f t="array" aca="1" ref="AZ370" ca="1">IFERROR(IF(AS370&lt;=$AB$2+$AN$2,"-",INDEX(Calculation_Tab,SMALL(ROW(Direct_Denaturation)*(Direct_Denaturation&lt;&gt;"-"),COUNTIF(Direct_Denaturation,"-")+ROW()-3-$AB$2-$AN$2)-9,32)),"-")</f>
        <v>-</v>
      </c>
      <c r="BA370" s="510" t="str">
        <f t="array" aca="1" ref="BA370" ca="1">IFERROR(IF(AS370&lt;=$AB$2+$AN$2,"-",INDEX(Calculation_Tab,SMALL(ROW(Direct_Denaturation)*(Direct_Denaturation&lt;&gt;"-"),COUNTIF(Direct_Denaturation,"-")+ROW()-3-$AB$2-$AN$2)-9,34)),"-")</f>
        <v>-</v>
      </c>
      <c r="BB370" s="510" t="str">
        <f t="array" aca="1" ref="BB370" ca="1">IFERROR(IF(AS370&lt;=$AB$2+$AN$2,"-",INDEX(Calculation_Tab,SMALL(ROW(Direct_Denaturation)*(Direct_Denaturation&lt;&gt;"-"),COUNTIF(Direct_Denaturation,"-")+ROW()-3-$AB$2-$AN$2)-9,33)),"-")</f>
        <v>-</v>
      </c>
      <c r="BC370" s="510" t="str">
        <f t="array" aca="1" ref="BC370" ca="1">IFERROR(IF(AS370&lt;=$AB$2+$AN$2,"-",INDEX(Calculation_Tab,SMALL(ROW(Direct_Denaturation)*(Direct_Denaturation&lt;&gt;"-"),COUNTIF(Direct_Denaturation,"-")+ROW()-3-$AB$2-$AN$2)-9,35)),"-")</f>
        <v>-</v>
      </c>
      <c r="BD370" s="511" t="str">
        <f t="shared" ca="1" si="172"/>
        <v>-</v>
      </c>
      <c r="BK370" s="542" t="s">
        <v>82</v>
      </c>
      <c r="BL370" s="542" t="s">
        <v>82</v>
      </c>
      <c r="BM370" s="487" t="str">
        <f t="array" aca="1" ref="BM370" ca="1">IFERROR(INDEX(Calculation_Tab,SMALL(ROW(ToPool)*(ToPool&lt;&gt;"-"),COUNTIF(ToPool,"-")+ROW()-3)-9,3),"-")</f>
        <v>-</v>
      </c>
      <c r="BN370" s="378" t="str">
        <f t="shared" ca="1" si="173"/>
        <v>-</v>
      </c>
      <c r="BO370" s="378" t="str">
        <f t="shared" ca="1" si="174"/>
        <v>-</v>
      </c>
      <c r="BP370" s="523" t="str">
        <f t="shared" ca="1" si="175"/>
        <v>-</v>
      </c>
      <c r="BQ370" s="378" t="str">
        <f t="array" aca="1" ref="BQ370" ca="1">IFERROR(INDEX(BE:BG,MATCH(INDEX(Calculation_Tab,SMALL(ROW(ToPool)*(ToPool&lt;&gt;"-"),COUNTIF(ToPool,"-")+ROW()-3)-9,9),BG:BG,0),2),"-")</f>
        <v>-</v>
      </c>
      <c r="BR370" s="510" t="str">
        <f t="shared" ca="1" si="176"/>
        <v>-</v>
      </c>
      <c r="BS370" s="511" t="str">
        <f t="shared" ca="1" si="177"/>
        <v>-</v>
      </c>
      <c r="BT370" s="543" t="s">
        <v>82</v>
      </c>
      <c r="BU370" s="487" t="str">
        <f t="shared" ca="1" si="182"/>
        <v>-</v>
      </c>
      <c r="BV370" s="487" t="str">
        <f t="array" aca="1" ref="BV37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70" s="378" t="str">
        <f t="shared" ca="1" si="178"/>
        <v>-</v>
      </c>
      <c r="BX370" s="378" t="str">
        <f t="shared" ca="1" si="179"/>
        <v>-</v>
      </c>
      <c r="BY370" s="510" t="str">
        <f ca="1">IFERROR(ROUND(INDEX(Cluster,MATCH(IF(LEFT(BV370,4)="Pool",INDEX(Cluster,MATCH(INDEX(Calculation_Tab,MATCH(INDEX($BE$4:$BJ$99,MATCH(BV370,$BE$4:$BE$99,0),3),Flow_Cell_Lane,0),3),Cluster!$F$29:$F$412,0),6),BV370),Identifier_Cluster,0),19)*IF(LEFT(BV370,4)="pool",IF(LEN(INDEX($BE$4:$BJ$99,MATCH(BV370,$BE$4:$BE$99,0),3))=10,2,IF(LEN(INDEX($BE$4:$BJ$99,MATCH(BV370,$BE$4:$BE$99,0),3))&gt;10,LEN(INDEX($BE$4:$BJ$99,MATCH(BV370,$BE$4:$BE$99,0),3))-8,1)),1)*IF(LEFT(BV370,4)="pool",IF(INDEX($BE$4:$BJ$99,MATCH(BV370,$BE$4:$BE$99,0),6)&lt;1,1,INDEX($BE$4:$BJ$99,MATCH(BV370,$BE$4:$BE$99,0),6)),INDEX(Calculation_Tab,MATCH(BV370,Identifier,0),10)),1)*(1+Calculation!$Q$6),"-")</f>
        <v>-</v>
      </c>
      <c r="BZ370" s="378" t="str">
        <f ca="1">IFERROR((0.5/50)*CE370/Calculation!$AG$6*(IF(LEFT(BV370,4)="Pool",IF(LEN(INDEX($BE$4:$BJ$99,MATCH(BV370,$BE$4:$BE$99,0),3))=10,2,IF(LEN(INDEX($BE$4:$BJ$99,MATCH(BV370,$BE$4:$BE$99,0),3))&gt;10,LEN(INDEX($BE$4:$BJ$99,MATCH(BV370,$BE$4:$BE$99,0),3))-8,1)),IF(INDEX(Calculation_Tab,MATCH(BV370,Identifier,0),10)&gt;1,INDEX(Calculation_Tab,MATCH(BV370,Identifier,0),10),1)))*(1+Calculation!$Q$6),"-")</f>
        <v>-</v>
      </c>
      <c r="CA370" s="510" t="str">
        <f ca="1">IFERROR(IF((BZ370*Calculation!$AG$6/0.05)-SUM(BY370:BZ370,CC370)&gt;0,(BZ370*Calculation!$AG$6/0.05)-SUM(BY370:BZ370,CC370),0),"-")</f>
        <v>-</v>
      </c>
      <c r="CB370" s="510" t="str">
        <f ca="1">IFERROR(5/50*CE370*(IF(LEFT(BV370,4)="Pool",IF(LEN(INDEX($BE$4:$BJ$99,MATCH(BV370,$BE$4:$BE$99,0),3))=10,2,IF(LEN(INDEX($BE$4:$BJ$99,MATCH(BV370,$BE$4:$BE$99,0),3))&gt;10,LEN(INDEX($BE$4:$BJ$99,MATCH(BV370,$BE$4:$BE$99,0),3))-8,1)),IF(INDEX(Calculation_Tab,MATCH(BV370,Identifier,0),10)&gt;1,INDEX(Calculation_Tab,MATCH(BV370,Identifier,0),10),1)))*(1+Calculation!$Q$6),"-")</f>
        <v>-</v>
      </c>
      <c r="CC370" s="508" t="str">
        <f ca="1">IFERROR(ROUND(INDEX(Cluster,MATCH(IF(LEFT(BV370,4)="Pool",INDEX(Cluster,MATCH(INDEX(Calculation_Tab,MATCH(INDEX($BE$4:$BJ$99,MATCH(BV370,$BE$4:$BE$99,0),3),Flow_Cell_Lane,0),3),Cluster!$F$29:$F$412,0),6),BV370),Identifier_Cluster,0),20)*IF(LEFT(BV370,4)="pool",IF(LEN(INDEX($BE$4:$BJ$99,MATCH(BV370,$BE$4:$BE$99,0),3))=10,2,IF(LEN(INDEX($BE$4:$BJ$99,MATCH(BV370,$BE$4:$BE$99,0),3))&gt;10,LEN(INDEX($BE$4:$BJ$99,MATCH(BV370,$BE$4:$BE$99,0),3))-8,1)),1)*IF(LEFT(BV370,4)="pool",IF(INDEX($BE$4:$BJ$99,MATCH(BV370,$BE$4:$BE$99,0),6)&lt;1,1,INDEX($BE$4:$BJ$99,MATCH(BV370,$BE$4:$BE$99,0),6)),INDEX(Calculation_Tab,MATCH(BV370,Identifier,0),10)),1)*(1+Calculation!$Q$6),"-")</f>
        <v>-</v>
      </c>
      <c r="CD370" s="509" t="str">
        <f ca="1">IFERROR(INDEX(Cluster!AC:AD,MATCH(IF(LEFT(BV370,4)="Pool",INDEX(Cluster!$D$29:$AA$412,MATCH(INDEX(Calculation_Tab,MATCH(INDEX($BE$4:$BJ$99,MATCH(BV370,$BE$4:$BE$99,0),3),Flow_Cell_Lane,0),3),Cluster!$F$29:$F$412,0),24),INDEX(Cluster!$D$29:$AA$412,MATCH(BV370,Cluster!$F$29:$F$412,0),24)),Cluster!AC:AC,0),2),"-")</f>
        <v>-</v>
      </c>
      <c r="CE370" s="378" t="str">
        <f ca="1">IFERROR(IF(BV370&lt;&gt;"-",Calculation!$AK$6,"-"),"-")</f>
        <v>-</v>
      </c>
      <c r="CF370" s="378" t="str">
        <f ca="1">IF(OR(LEFT(ListAndConversion!BW370,3)="Dil",LEFT(ListAndConversion!BW370,3)="Poo"),ListAndConversion!$BT$4,IF(LEFT(ListAndConversion!BW370,3)="Sou",INDEX(ListAndConversion!$AT$3:$AV$387,MATCH(ListAndConversion!BV370,ListAndConversion!$AV$3:$AV$387,0),1),"-"))</f>
        <v>-</v>
      </c>
      <c r="CG370" s="498" t="str">
        <f ca="1">IF(OR(LEFT(ListAndConversion!BW370,3)="Dil",LEFT(ListAndConversion!BW370,3)="Poo"),ListAndConversion!BU370,IF(LEFT(ListAndConversion!BW370,3)="Sou",INDEX(ListAndConversion!$AT$4:$AV$387,MATCH(ListAndConversion!BV370,ListAndConversion!$AV$4:$AV$387,0),2),"-"))</f>
        <v>-</v>
      </c>
      <c r="CH370" s="378"/>
      <c r="CI370" s="487" t="str">
        <f t="shared" ca="1" si="180"/>
        <v>-</v>
      </c>
      <c r="CJ370" s="378" t="str">
        <f t="shared" ca="1" si="190"/>
        <v>-</v>
      </c>
      <c r="CK370" s="378" t="str">
        <f t="shared" ca="1" si="190"/>
        <v>-</v>
      </c>
      <c r="CL370" s="378" t="str">
        <f t="shared" ca="1" si="190"/>
        <v>-</v>
      </c>
      <c r="CM370" s="378" t="str">
        <f t="shared" ca="1" si="190"/>
        <v>-</v>
      </c>
      <c r="CN370" s="378" t="str">
        <f t="shared" ca="1" si="190"/>
        <v>-</v>
      </c>
      <c r="CO370" s="378" t="str">
        <f t="shared" ca="1" si="190"/>
        <v>-</v>
      </c>
      <c r="CP370" s="378" t="str">
        <f t="shared" ca="1" si="190"/>
        <v>-</v>
      </c>
      <c r="CQ370" s="378" t="str">
        <f t="shared" ca="1" si="190"/>
        <v>-</v>
      </c>
      <c r="CR370" s="510" t="str">
        <f ca="1">IFERROR(IF(LEFT(BW370,3)="Poo",INDEX($BE$4:$BJ$99,MATCH(CI370,$BG$4:$BG$99,0),6)*((15/50))*Calculation!$AK$6,INDEX(Calculation_Tab,MATCH(BV370,Identifier,0),10)/(IF(LEN(INDEX(Calculation_Tab,MATCH(BV370,Identifier,0),9))&gt;8,LEN(INDEX(Calculation_Tab,MATCH(BV370,Identifier,0),9))-8,1))*((15/50)*Calculation!$AK$6)),"-")</f>
        <v>-</v>
      </c>
      <c r="CS370" s="498" t="str">
        <f ca="1">IF(CI370="-","-",IF(COUNTIF($CI$3:CI370,CI370)&gt;1,0,IFERROR((35/50)*Calculation!$AK$6,"-")))</f>
        <v>-</v>
      </c>
    </row>
    <row r="371" spans="4:97" x14ac:dyDescent="0.5">
      <c r="D371" s="487" t="e">
        <f t="shared" si="165"/>
        <v>#DIV/0!</v>
      </c>
      <c r="E371" s="496" t="e">
        <f t="array" ref="E371">IF(IF((ROW(E371)-3)&lt;(ListAndConversion!$A$15),INDEX(Flow_Cell_Lane,MIN(IF(COUNTIF($E$2:E370,Flow_Cell_Lane)=0,ROW(Flow_Cell_Lane)-9))),"-")="","-",IF((ROW(E371)-3)&lt;(ListAndConversion!$A$15),INDEX(Flow_Cell_Lane,MIN(IF(COUNTIF($E$2:E370,Flow_Cell_Lane)=0,ROW(Flow_Cell_Lane)-9))),"-"))</f>
        <v>#DIV/0!</v>
      </c>
      <c r="F371" s="378" t="e">
        <f t="shared" si="166"/>
        <v>#DIV/0!</v>
      </c>
      <c r="G371" s="378" t="e">
        <f t="shared" si="189"/>
        <v>#DIV/0!</v>
      </c>
      <c r="H371" s="378" t="e">
        <f t="shared" si="189"/>
        <v>#DIV/0!</v>
      </c>
      <c r="I371" s="378" t="e">
        <f t="shared" si="189"/>
        <v>#DIV/0!</v>
      </c>
      <c r="J371" s="378" t="e">
        <f t="shared" si="189"/>
        <v>#DIV/0!</v>
      </c>
      <c r="K371" s="378" t="e">
        <f t="shared" si="189"/>
        <v>#DIV/0!</v>
      </c>
      <c r="L371" s="378" t="e">
        <f t="shared" si="189"/>
        <v>#DIV/0!</v>
      </c>
      <c r="M371" s="378" t="e">
        <f t="shared" si="189"/>
        <v>#DIV/0!</v>
      </c>
      <c r="N371" s="497" t="e">
        <f t="shared" si="168"/>
        <v>#DIV/0!</v>
      </c>
      <c r="O371" s="497" t="str">
        <f t="array" ref="O371">IFERROR(INDEX(Calculation!I:AN,MATCH(ListAndConversion!E371,Calculation!I:I,0),31),"-")</f>
        <v>-</v>
      </c>
      <c r="P371" s="498">
        <f>IF(COUNTIFS(Calculation!$I$10:$I$393,E371,Direct_Denaturation,"-")&lt;&gt;1,COUNTIFS(Calculation!$I$10:$I$393,E371,Direct_Denaturation,"-"),0)</f>
        <v>0</v>
      </c>
      <c r="V371" s="542" t="s">
        <v>82</v>
      </c>
      <c r="W371" s="542" t="s">
        <v>82</v>
      </c>
      <c r="X371" s="542" t="s">
        <v>82</v>
      </c>
      <c r="Y371" s="542" t="s">
        <v>82</v>
      </c>
      <c r="Z371" s="542" t="s">
        <v>82</v>
      </c>
      <c r="AA371" s="542" t="s">
        <v>82</v>
      </c>
      <c r="AB371" s="542" t="s">
        <v>82</v>
      </c>
      <c r="AC371" s="542" t="s">
        <v>82</v>
      </c>
      <c r="AD371" s="542" t="s">
        <v>82</v>
      </c>
      <c r="AE371" s="542" t="s">
        <v>82</v>
      </c>
      <c r="AF371" s="542" t="s">
        <v>82</v>
      </c>
      <c r="AG371" s="542" t="s">
        <v>82</v>
      </c>
      <c r="AH371" s="9"/>
      <c r="AI371" s="487">
        <v>368</v>
      </c>
      <c r="AJ371" s="497" t="s">
        <v>479</v>
      </c>
      <c r="AK371" s="378">
        <v>80</v>
      </c>
      <c r="AL371" s="378" t="str">
        <f t="shared" ca="1" si="169"/>
        <v>-</v>
      </c>
      <c r="AM371" s="378" t="str">
        <f t="array" aca="1" ref="AM371" ca="1">IFERROR(IF(AI371&lt;=$AB$2,"-",INDEX(Calculation_Tab,SMALL(ROW(Main_Dil)*(Main_Dil&lt;&gt;"-"),COUNTIF(Main_Dil,"-")+ROW()-3-$AB$2)-9,5)),"-")</f>
        <v>-</v>
      </c>
      <c r="AN371" s="378" t="str">
        <f t="array" aca="1" ref="AN371" ca="1">IFERROR(IF(AI371&lt;=$AB$2,"-",INDEX($A$3:$B$12,MATCH(INDEX(Calculation_Tab,SMALL(ROW(Main_Dil)*(Main_Dil&lt;&gt;"-"),COUNTIF(Main_Dil,"-")+ROW()-3-$AB$2)-9,5),$A$3:$A$12,0),2)),"-")</f>
        <v>-</v>
      </c>
      <c r="AO371" s="378" t="str">
        <f t="array" aca="1" ref="AO371" ca="1">IFERROR(IF(AI371&lt;=$AB$2,"-",INDEX(Coordinate,MATCH(INDEX(Calculation_Tab,SMALL(ROW(Main_Dil)*(Main_Dil&lt;&gt;"-"),COUNTIF(Main_Dil,"-")+ROW()-3-$AB$2)-9,6),$X$4:$X$99,0),2)),"-")</f>
        <v>-</v>
      </c>
      <c r="AP371" s="510" t="str">
        <f t="array" aca="1" ref="AP371" ca="1">IFERROR(IF(AI371&lt;=$AB$2,"-",INDEX(Calculation_Tab,SMALL(ROW(Main_Dil)*(Main_Dil&lt;&gt;"-"),COUNTIF(Main_Dil,"-")+ROW()-3-$AB$2)-9,21)),"-")</f>
        <v>-</v>
      </c>
      <c r="AQ371" s="511" t="str">
        <f t="array" aca="1" ref="AQ371" ca="1">IFERROR(IF(AI371&lt;=$AB$2,"-",INDEX(Calculation_Tab,SMALL(ROW(Main_Dil)*(Main_Dil&lt;&gt;"-"),COUNTIF(Main_Dil,"-")+ROW()-3-$AB$2)-9,22)),"-")</f>
        <v>-</v>
      </c>
      <c r="AR371" s="487" t="str">
        <f t="shared" ca="1" si="170"/>
        <v>-</v>
      </c>
      <c r="AS371" s="378">
        <v>368</v>
      </c>
      <c r="AT371" s="497" t="s">
        <v>479</v>
      </c>
      <c r="AU371" s="498">
        <v>80</v>
      </c>
      <c r="AV371" s="378" t="str">
        <f t="shared" ca="1" si="171"/>
        <v>-</v>
      </c>
      <c r="AW371" s="378" t="str">
        <f t="array" aca="1" ref="AW371" ca="1">IFERROR(IF(AS371&lt;=$AB$2+$AN$2,"-",INDEX(Calculation_Tab,SMALL(ROW(Direct_Denaturation)*(Direct_Denaturation&lt;&gt;"-"),COUNTIF(Direct_Denaturation,"-")+ROW()-3-$AB$2-$AN$2)-9,5)),"-")</f>
        <v>-</v>
      </c>
      <c r="AX371" s="378" t="str">
        <f t="array" aca="1" ref="AX371" ca="1">IFERROR(IF(AS371&lt;=$AB$2+$AN$2,"-",INDEX($A$3:$B$12,MATCH(INDEX(Calculation_Tab,SMALL(ROW(Direct_Denaturation)*(Direct_Denaturation&lt;&gt;"-"),COUNTIF(Direct_Denaturation,"-")+ROW()-3-$AB$2-$AN$2)-9,5),$A$3:$A$12,0),2)),"-")</f>
        <v>-</v>
      </c>
      <c r="AY371" s="378" t="str">
        <f t="array" aca="1" ref="AY371" ca="1">IFERROR(IF(AS371&lt;=$AB$2+$AN$2,"-",INDEX(Coordinate,MATCH(INDEX(Calculation_Tab,SMALL(ROW(Direct_Denaturation)*(Direct_Denaturation&lt;&gt;"-"),COUNTIF(Direct_Denaturation,"-")+ROW()-3-$AB$2-$AN$2)-9,6),$X$4:$X$99,0),2)),"-")</f>
        <v>-</v>
      </c>
      <c r="AZ371" s="510" t="str">
        <f t="array" aca="1" ref="AZ371" ca="1">IFERROR(IF(AS371&lt;=$AB$2+$AN$2,"-",INDEX(Calculation_Tab,SMALL(ROW(Direct_Denaturation)*(Direct_Denaturation&lt;&gt;"-"),COUNTIF(Direct_Denaturation,"-")+ROW()-3-$AB$2-$AN$2)-9,32)),"-")</f>
        <v>-</v>
      </c>
      <c r="BA371" s="510" t="str">
        <f t="array" aca="1" ref="BA371" ca="1">IFERROR(IF(AS371&lt;=$AB$2+$AN$2,"-",INDEX(Calculation_Tab,SMALL(ROW(Direct_Denaturation)*(Direct_Denaturation&lt;&gt;"-"),COUNTIF(Direct_Denaturation,"-")+ROW()-3-$AB$2-$AN$2)-9,34)),"-")</f>
        <v>-</v>
      </c>
      <c r="BB371" s="510" t="str">
        <f t="array" aca="1" ref="BB371" ca="1">IFERROR(IF(AS371&lt;=$AB$2+$AN$2,"-",INDEX(Calculation_Tab,SMALL(ROW(Direct_Denaturation)*(Direct_Denaturation&lt;&gt;"-"),COUNTIF(Direct_Denaturation,"-")+ROW()-3-$AB$2-$AN$2)-9,33)),"-")</f>
        <v>-</v>
      </c>
      <c r="BC371" s="510" t="str">
        <f t="array" aca="1" ref="BC371" ca="1">IFERROR(IF(AS371&lt;=$AB$2+$AN$2,"-",INDEX(Calculation_Tab,SMALL(ROW(Direct_Denaturation)*(Direct_Denaturation&lt;&gt;"-"),COUNTIF(Direct_Denaturation,"-")+ROW()-3-$AB$2-$AN$2)-9,35)),"-")</f>
        <v>-</v>
      </c>
      <c r="BD371" s="511" t="str">
        <f t="shared" ca="1" si="172"/>
        <v>-</v>
      </c>
      <c r="BK371" s="542" t="s">
        <v>82</v>
      </c>
      <c r="BL371" s="542" t="s">
        <v>82</v>
      </c>
      <c r="BM371" s="487" t="str">
        <f t="array" aca="1" ref="BM371" ca="1">IFERROR(INDEX(Calculation_Tab,SMALL(ROW(ToPool)*(ToPool&lt;&gt;"-"),COUNTIF(ToPool,"-")+ROW()-3)-9,3),"-")</f>
        <v>-</v>
      </c>
      <c r="BN371" s="378" t="str">
        <f t="shared" ca="1" si="173"/>
        <v>-</v>
      </c>
      <c r="BO371" s="378" t="str">
        <f t="shared" ca="1" si="174"/>
        <v>-</v>
      </c>
      <c r="BP371" s="523" t="str">
        <f t="shared" ca="1" si="175"/>
        <v>-</v>
      </c>
      <c r="BQ371" s="378" t="str">
        <f t="array" aca="1" ref="BQ371" ca="1">IFERROR(INDEX(BE:BG,MATCH(INDEX(Calculation_Tab,SMALL(ROW(ToPool)*(ToPool&lt;&gt;"-"),COUNTIF(ToPool,"-")+ROW()-3)-9,9),BG:BG,0),2),"-")</f>
        <v>-</v>
      </c>
      <c r="BR371" s="510" t="str">
        <f t="shared" ca="1" si="176"/>
        <v>-</v>
      </c>
      <c r="BS371" s="511" t="str">
        <f t="shared" ca="1" si="177"/>
        <v>-</v>
      </c>
      <c r="BT371" s="543" t="s">
        <v>82</v>
      </c>
      <c r="BU371" s="487" t="str">
        <f t="shared" ca="1" si="182"/>
        <v>-</v>
      </c>
      <c r="BV371" s="487" t="str">
        <f t="array" aca="1" ref="BV37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71" s="378" t="str">
        <f t="shared" ca="1" si="178"/>
        <v>-</v>
      </c>
      <c r="BX371" s="378" t="str">
        <f t="shared" ca="1" si="179"/>
        <v>-</v>
      </c>
      <c r="BY371" s="510" t="str">
        <f ca="1">IFERROR(ROUND(INDEX(Cluster,MATCH(IF(LEFT(BV371,4)="Pool",INDEX(Cluster,MATCH(INDEX(Calculation_Tab,MATCH(INDEX($BE$4:$BJ$99,MATCH(BV371,$BE$4:$BE$99,0),3),Flow_Cell_Lane,0),3),Cluster!$F$29:$F$412,0),6),BV371),Identifier_Cluster,0),19)*IF(LEFT(BV371,4)="pool",IF(LEN(INDEX($BE$4:$BJ$99,MATCH(BV371,$BE$4:$BE$99,0),3))=10,2,IF(LEN(INDEX($BE$4:$BJ$99,MATCH(BV371,$BE$4:$BE$99,0),3))&gt;10,LEN(INDEX($BE$4:$BJ$99,MATCH(BV371,$BE$4:$BE$99,0),3))-8,1)),1)*IF(LEFT(BV371,4)="pool",IF(INDEX($BE$4:$BJ$99,MATCH(BV371,$BE$4:$BE$99,0),6)&lt;1,1,INDEX($BE$4:$BJ$99,MATCH(BV371,$BE$4:$BE$99,0),6)),INDEX(Calculation_Tab,MATCH(BV371,Identifier,0),10)),1)*(1+Calculation!$Q$6),"-")</f>
        <v>-</v>
      </c>
      <c r="BZ371" s="378" t="str">
        <f ca="1">IFERROR((0.5/50)*CE371/Calculation!$AG$6*(IF(LEFT(BV371,4)="Pool",IF(LEN(INDEX($BE$4:$BJ$99,MATCH(BV371,$BE$4:$BE$99,0),3))=10,2,IF(LEN(INDEX($BE$4:$BJ$99,MATCH(BV371,$BE$4:$BE$99,0),3))&gt;10,LEN(INDEX($BE$4:$BJ$99,MATCH(BV371,$BE$4:$BE$99,0),3))-8,1)),IF(INDEX(Calculation_Tab,MATCH(BV371,Identifier,0),10)&gt;1,INDEX(Calculation_Tab,MATCH(BV371,Identifier,0),10),1)))*(1+Calculation!$Q$6),"-")</f>
        <v>-</v>
      </c>
      <c r="CA371" s="510" t="str">
        <f ca="1">IFERROR(IF((BZ371*Calculation!$AG$6/0.05)-SUM(BY371:BZ371,CC371)&gt;0,(BZ371*Calculation!$AG$6/0.05)-SUM(BY371:BZ371,CC371),0),"-")</f>
        <v>-</v>
      </c>
      <c r="CB371" s="510" t="str">
        <f ca="1">IFERROR(5/50*CE371*(IF(LEFT(BV371,4)="Pool",IF(LEN(INDEX($BE$4:$BJ$99,MATCH(BV371,$BE$4:$BE$99,0),3))=10,2,IF(LEN(INDEX($BE$4:$BJ$99,MATCH(BV371,$BE$4:$BE$99,0),3))&gt;10,LEN(INDEX($BE$4:$BJ$99,MATCH(BV371,$BE$4:$BE$99,0),3))-8,1)),IF(INDEX(Calculation_Tab,MATCH(BV371,Identifier,0),10)&gt;1,INDEX(Calculation_Tab,MATCH(BV371,Identifier,0),10),1)))*(1+Calculation!$Q$6),"-")</f>
        <v>-</v>
      </c>
      <c r="CC371" s="508" t="str">
        <f ca="1">IFERROR(ROUND(INDEX(Cluster,MATCH(IF(LEFT(BV371,4)="Pool",INDEX(Cluster,MATCH(INDEX(Calculation_Tab,MATCH(INDEX($BE$4:$BJ$99,MATCH(BV371,$BE$4:$BE$99,0),3),Flow_Cell_Lane,0),3),Cluster!$F$29:$F$412,0),6),BV371),Identifier_Cluster,0),20)*IF(LEFT(BV371,4)="pool",IF(LEN(INDEX($BE$4:$BJ$99,MATCH(BV371,$BE$4:$BE$99,0),3))=10,2,IF(LEN(INDEX($BE$4:$BJ$99,MATCH(BV371,$BE$4:$BE$99,0),3))&gt;10,LEN(INDEX($BE$4:$BJ$99,MATCH(BV371,$BE$4:$BE$99,0),3))-8,1)),1)*IF(LEFT(BV371,4)="pool",IF(INDEX($BE$4:$BJ$99,MATCH(BV371,$BE$4:$BE$99,0),6)&lt;1,1,INDEX($BE$4:$BJ$99,MATCH(BV371,$BE$4:$BE$99,0),6)),INDEX(Calculation_Tab,MATCH(BV371,Identifier,0),10)),1)*(1+Calculation!$Q$6),"-")</f>
        <v>-</v>
      </c>
      <c r="CD371" s="509" t="str">
        <f ca="1">IFERROR(INDEX(Cluster!AC:AD,MATCH(IF(LEFT(BV371,4)="Pool",INDEX(Cluster!$D$29:$AA$412,MATCH(INDEX(Calculation_Tab,MATCH(INDEX($BE$4:$BJ$99,MATCH(BV371,$BE$4:$BE$99,0),3),Flow_Cell_Lane,0),3),Cluster!$F$29:$F$412,0),24),INDEX(Cluster!$D$29:$AA$412,MATCH(BV371,Cluster!$F$29:$F$412,0),24)),Cluster!AC:AC,0),2),"-")</f>
        <v>-</v>
      </c>
      <c r="CE371" s="378" t="str">
        <f ca="1">IFERROR(IF(BV371&lt;&gt;"-",Calculation!$AK$6,"-"),"-")</f>
        <v>-</v>
      </c>
      <c r="CF371" s="378" t="str">
        <f ca="1">IF(OR(LEFT(ListAndConversion!BW371,3)="Dil",LEFT(ListAndConversion!BW371,3)="Poo"),ListAndConversion!$BT$4,IF(LEFT(ListAndConversion!BW371,3)="Sou",INDEX(ListAndConversion!$AT$3:$AV$387,MATCH(ListAndConversion!BV371,ListAndConversion!$AV$3:$AV$387,0),1),"-"))</f>
        <v>-</v>
      </c>
      <c r="CG371" s="498" t="str">
        <f ca="1">IF(OR(LEFT(ListAndConversion!BW371,3)="Dil",LEFT(ListAndConversion!BW371,3)="Poo"),ListAndConversion!BU371,IF(LEFT(ListAndConversion!BW371,3)="Sou",INDEX(ListAndConversion!$AT$4:$AV$387,MATCH(ListAndConversion!BV371,ListAndConversion!$AV$4:$AV$387,0),2),"-"))</f>
        <v>-</v>
      </c>
      <c r="CH371" s="378"/>
      <c r="CI371" s="487" t="str">
        <f t="shared" ca="1" si="180"/>
        <v>-</v>
      </c>
      <c r="CJ371" s="378" t="str">
        <f t="shared" ca="1" si="190"/>
        <v>-</v>
      </c>
      <c r="CK371" s="378" t="str">
        <f t="shared" ca="1" si="190"/>
        <v>-</v>
      </c>
      <c r="CL371" s="378" t="str">
        <f t="shared" ca="1" si="190"/>
        <v>-</v>
      </c>
      <c r="CM371" s="378" t="str">
        <f t="shared" ca="1" si="190"/>
        <v>-</v>
      </c>
      <c r="CN371" s="378" t="str">
        <f t="shared" ca="1" si="190"/>
        <v>-</v>
      </c>
      <c r="CO371" s="378" t="str">
        <f t="shared" ca="1" si="190"/>
        <v>-</v>
      </c>
      <c r="CP371" s="378" t="str">
        <f t="shared" ca="1" si="190"/>
        <v>-</v>
      </c>
      <c r="CQ371" s="378" t="str">
        <f t="shared" ca="1" si="190"/>
        <v>-</v>
      </c>
      <c r="CR371" s="510" t="str">
        <f ca="1">IFERROR(IF(LEFT(BW371,3)="Poo",INDEX($BE$4:$BJ$99,MATCH(CI371,$BG$4:$BG$99,0),6)*((15/50))*Calculation!$AK$6,INDEX(Calculation_Tab,MATCH(BV371,Identifier,0),10)/(IF(LEN(INDEX(Calculation_Tab,MATCH(BV371,Identifier,0),9))&gt;8,LEN(INDEX(Calculation_Tab,MATCH(BV371,Identifier,0),9))-8,1))*((15/50)*Calculation!$AK$6)),"-")</f>
        <v>-</v>
      </c>
      <c r="CS371" s="498" t="str">
        <f ca="1">IF(CI371="-","-",IF(COUNTIF($CI$3:CI371,CI371)&gt;1,0,IFERROR((35/50)*Calculation!$AK$6,"-")))</f>
        <v>-</v>
      </c>
    </row>
    <row r="372" spans="4:97" x14ac:dyDescent="0.5">
      <c r="D372" s="487" t="e">
        <f t="shared" si="165"/>
        <v>#DIV/0!</v>
      </c>
      <c r="E372" s="496" t="e">
        <f t="array" ref="E372">IF(IF((ROW(E372)-3)&lt;(ListAndConversion!$A$15),INDEX(Flow_Cell_Lane,MIN(IF(COUNTIF($E$2:E371,Flow_Cell_Lane)=0,ROW(Flow_Cell_Lane)-9))),"-")="","-",IF((ROW(E372)-3)&lt;(ListAndConversion!$A$15),INDEX(Flow_Cell_Lane,MIN(IF(COUNTIF($E$2:E371,Flow_Cell_Lane)=0,ROW(Flow_Cell_Lane)-9))),"-"))</f>
        <v>#DIV/0!</v>
      </c>
      <c r="F372" s="378" t="e">
        <f t="shared" si="166"/>
        <v>#DIV/0!</v>
      </c>
      <c r="G372" s="378" t="e">
        <f t="shared" si="189"/>
        <v>#DIV/0!</v>
      </c>
      <c r="H372" s="378" t="e">
        <f t="shared" si="189"/>
        <v>#DIV/0!</v>
      </c>
      <c r="I372" s="378" t="e">
        <f t="shared" si="189"/>
        <v>#DIV/0!</v>
      </c>
      <c r="J372" s="378" t="e">
        <f t="shared" si="189"/>
        <v>#DIV/0!</v>
      </c>
      <c r="K372" s="378" t="e">
        <f t="shared" si="189"/>
        <v>#DIV/0!</v>
      </c>
      <c r="L372" s="378" t="e">
        <f t="shared" si="189"/>
        <v>#DIV/0!</v>
      </c>
      <c r="M372" s="378" t="e">
        <f t="shared" si="189"/>
        <v>#DIV/0!</v>
      </c>
      <c r="N372" s="497" t="e">
        <f t="shared" si="168"/>
        <v>#DIV/0!</v>
      </c>
      <c r="O372" s="497" t="str">
        <f t="array" ref="O372">IFERROR(INDEX(Calculation!I:AN,MATCH(ListAndConversion!E372,Calculation!I:I,0),31),"-")</f>
        <v>-</v>
      </c>
      <c r="P372" s="498">
        <f>IF(COUNTIFS(Calculation!$I$10:$I$393,E372,Direct_Denaturation,"-")&lt;&gt;1,COUNTIFS(Calculation!$I$10:$I$393,E372,Direct_Denaturation,"-"),0)</f>
        <v>0</v>
      </c>
      <c r="V372" s="542" t="s">
        <v>82</v>
      </c>
      <c r="W372" s="542" t="s">
        <v>82</v>
      </c>
      <c r="X372" s="542" t="s">
        <v>82</v>
      </c>
      <c r="Y372" s="542" t="s">
        <v>82</v>
      </c>
      <c r="Z372" s="542" t="s">
        <v>82</v>
      </c>
      <c r="AA372" s="542" t="s">
        <v>82</v>
      </c>
      <c r="AB372" s="542" t="s">
        <v>82</v>
      </c>
      <c r="AC372" s="542" t="s">
        <v>82</v>
      </c>
      <c r="AD372" s="542" t="s">
        <v>82</v>
      </c>
      <c r="AE372" s="542" t="s">
        <v>82</v>
      </c>
      <c r="AF372" s="542" t="s">
        <v>82</v>
      </c>
      <c r="AG372" s="542" t="s">
        <v>82</v>
      </c>
      <c r="AH372" s="9"/>
      <c r="AI372" s="487">
        <v>369</v>
      </c>
      <c r="AJ372" s="497" t="s">
        <v>479</v>
      </c>
      <c r="AK372" s="378">
        <v>81</v>
      </c>
      <c r="AL372" s="378" t="str">
        <f t="shared" ca="1" si="169"/>
        <v>-</v>
      </c>
      <c r="AM372" s="378" t="str">
        <f t="array" aca="1" ref="AM372" ca="1">IFERROR(IF(AI372&lt;=$AB$2,"-",INDEX(Calculation_Tab,SMALL(ROW(Main_Dil)*(Main_Dil&lt;&gt;"-"),COUNTIF(Main_Dil,"-")+ROW()-3-$AB$2)-9,5)),"-")</f>
        <v>-</v>
      </c>
      <c r="AN372" s="378" t="str">
        <f t="array" aca="1" ref="AN372" ca="1">IFERROR(IF(AI372&lt;=$AB$2,"-",INDEX($A$3:$B$12,MATCH(INDEX(Calculation_Tab,SMALL(ROW(Main_Dil)*(Main_Dil&lt;&gt;"-"),COUNTIF(Main_Dil,"-")+ROW()-3-$AB$2)-9,5),$A$3:$A$12,0),2)),"-")</f>
        <v>-</v>
      </c>
      <c r="AO372" s="378" t="str">
        <f t="array" aca="1" ref="AO372" ca="1">IFERROR(IF(AI372&lt;=$AB$2,"-",INDEX(Coordinate,MATCH(INDEX(Calculation_Tab,SMALL(ROW(Main_Dil)*(Main_Dil&lt;&gt;"-"),COUNTIF(Main_Dil,"-")+ROW()-3-$AB$2)-9,6),$X$4:$X$99,0),2)),"-")</f>
        <v>-</v>
      </c>
      <c r="AP372" s="510" t="str">
        <f t="array" aca="1" ref="AP372" ca="1">IFERROR(IF(AI372&lt;=$AB$2,"-",INDEX(Calculation_Tab,SMALL(ROW(Main_Dil)*(Main_Dil&lt;&gt;"-"),COUNTIF(Main_Dil,"-")+ROW()-3-$AB$2)-9,21)),"-")</f>
        <v>-</v>
      </c>
      <c r="AQ372" s="511" t="str">
        <f t="array" aca="1" ref="AQ372" ca="1">IFERROR(IF(AI372&lt;=$AB$2,"-",INDEX(Calculation_Tab,SMALL(ROW(Main_Dil)*(Main_Dil&lt;&gt;"-"),COUNTIF(Main_Dil,"-")+ROW()-3-$AB$2)-9,22)),"-")</f>
        <v>-</v>
      </c>
      <c r="AR372" s="487" t="str">
        <f t="shared" ca="1" si="170"/>
        <v>-</v>
      </c>
      <c r="AS372" s="378">
        <v>369</v>
      </c>
      <c r="AT372" s="497" t="s">
        <v>479</v>
      </c>
      <c r="AU372" s="498">
        <v>81</v>
      </c>
      <c r="AV372" s="378" t="str">
        <f t="shared" ca="1" si="171"/>
        <v>-</v>
      </c>
      <c r="AW372" s="378" t="str">
        <f t="array" aca="1" ref="AW372" ca="1">IFERROR(IF(AS372&lt;=$AB$2+$AN$2,"-",INDEX(Calculation_Tab,SMALL(ROW(Direct_Denaturation)*(Direct_Denaturation&lt;&gt;"-"),COUNTIF(Direct_Denaturation,"-")+ROW()-3-$AB$2-$AN$2)-9,5)),"-")</f>
        <v>-</v>
      </c>
      <c r="AX372" s="378" t="str">
        <f t="array" aca="1" ref="AX372" ca="1">IFERROR(IF(AS372&lt;=$AB$2+$AN$2,"-",INDEX($A$3:$B$12,MATCH(INDEX(Calculation_Tab,SMALL(ROW(Direct_Denaturation)*(Direct_Denaturation&lt;&gt;"-"),COUNTIF(Direct_Denaturation,"-")+ROW()-3-$AB$2-$AN$2)-9,5),$A$3:$A$12,0),2)),"-")</f>
        <v>-</v>
      </c>
      <c r="AY372" s="378" t="str">
        <f t="array" aca="1" ref="AY372" ca="1">IFERROR(IF(AS372&lt;=$AB$2+$AN$2,"-",INDEX(Coordinate,MATCH(INDEX(Calculation_Tab,SMALL(ROW(Direct_Denaturation)*(Direct_Denaturation&lt;&gt;"-"),COUNTIF(Direct_Denaturation,"-")+ROW()-3-$AB$2-$AN$2)-9,6),$X$4:$X$99,0),2)),"-")</f>
        <v>-</v>
      </c>
      <c r="AZ372" s="510" t="str">
        <f t="array" aca="1" ref="AZ372" ca="1">IFERROR(IF(AS372&lt;=$AB$2+$AN$2,"-",INDEX(Calculation_Tab,SMALL(ROW(Direct_Denaturation)*(Direct_Denaturation&lt;&gt;"-"),COUNTIF(Direct_Denaturation,"-")+ROW()-3-$AB$2-$AN$2)-9,32)),"-")</f>
        <v>-</v>
      </c>
      <c r="BA372" s="510" t="str">
        <f t="array" aca="1" ref="BA372" ca="1">IFERROR(IF(AS372&lt;=$AB$2+$AN$2,"-",INDEX(Calculation_Tab,SMALL(ROW(Direct_Denaturation)*(Direct_Denaturation&lt;&gt;"-"),COUNTIF(Direct_Denaturation,"-")+ROW()-3-$AB$2-$AN$2)-9,34)),"-")</f>
        <v>-</v>
      </c>
      <c r="BB372" s="510" t="str">
        <f t="array" aca="1" ref="BB372" ca="1">IFERROR(IF(AS372&lt;=$AB$2+$AN$2,"-",INDEX(Calculation_Tab,SMALL(ROW(Direct_Denaturation)*(Direct_Denaturation&lt;&gt;"-"),COUNTIF(Direct_Denaturation,"-")+ROW()-3-$AB$2-$AN$2)-9,33)),"-")</f>
        <v>-</v>
      </c>
      <c r="BC372" s="510" t="str">
        <f t="array" aca="1" ref="BC372" ca="1">IFERROR(IF(AS372&lt;=$AB$2+$AN$2,"-",INDEX(Calculation_Tab,SMALL(ROW(Direct_Denaturation)*(Direct_Denaturation&lt;&gt;"-"),COUNTIF(Direct_Denaturation,"-")+ROW()-3-$AB$2-$AN$2)-9,35)),"-")</f>
        <v>-</v>
      </c>
      <c r="BD372" s="511" t="str">
        <f t="shared" ca="1" si="172"/>
        <v>-</v>
      </c>
      <c r="BK372" s="542" t="s">
        <v>82</v>
      </c>
      <c r="BL372" s="542" t="s">
        <v>82</v>
      </c>
      <c r="BM372" s="487" t="str">
        <f t="array" aca="1" ref="BM372" ca="1">IFERROR(INDEX(Calculation_Tab,SMALL(ROW(ToPool)*(ToPool&lt;&gt;"-"),COUNTIF(ToPool,"-")+ROW()-3)-9,3),"-")</f>
        <v>-</v>
      </c>
      <c r="BN372" s="378" t="str">
        <f t="shared" ca="1" si="173"/>
        <v>-</v>
      </c>
      <c r="BO372" s="378" t="str">
        <f t="shared" ca="1" si="174"/>
        <v>-</v>
      </c>
      <c r="BP372" s="523" t="str">
        <f t="shared" ca="1" si="175"/>
        <v>-</v>
      </c>
      <c r="BQ372" s="378" t="str">
        <f t="array" aca="1" ref="BQ372" ca="1">IFERROR(INDEX(BE:BG,MATCH(INDEX(Calculation_Tab,SMALL(ROW(ToPool)*(ToPool&lt;&gt;"-"),COUNTIF(ToPool,"-")+ROW()-3)-9,9),BG:BG,0),2),"-")</f>
        <v>-</v>
      </c>
      <c r="BR372" s="510" t="str">
        <f t="shared" ca="1" si="176"/>
        <v>-</v>
      </c>
      <c r="BS372" s="511" t="str">
        <f t="shared" ca="1" si="177"/>
        <v>-</v>
      </c>
      <c r="BT372" s="543" t="s">
        <v>82</v>
      </c>
      <c r="BU372" s="487" t="str">
        <f t="shared" ca="1" si="182"/>
        <v>-</v>
      </c>
      <c r="BV372" s="487" t="str">
        <f t="array" aca="1" ref="BV37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72" s="378" t="str">
        <f t="shared" ca="1" si="178"/>
        <v>-</v>
      </c>
      <c r="BX372" s="378" t="str">
        <f t="shared" ca="1" si="179"/>
        <v>-</v>
      </c>
      <c r="BY372" s="510" t="str">
        <f ca="1">IFERROR(ROUND(INDEX(Cluster,MATCH(IF(LEFT(BV372,4)="Pool",INDEX(Cluster,MATCH(INDEX(Calculation_Tab,MATCH(INDEX($BE$4:$BJ$99,MATCH(BV372,$BE$4:$BE$99,0),3),Flow_Cell_Lane,0),3),Cluster!$F$29:$F$412,0),6),BV372),Identifier_Cluster,0),19)*IF(LEFT(BV372,4)="pool",IF(LEN(INDEX($BE$4:$BJ$99,MATCH(BV372,$BE$4:$BE$99,0),3))=10,2,IF(LEN(INDEX($BE$4:$BJ$99,MATCH(BV372,$BE$4:$BE$99,0),3))&gt;10,LEN(INDEX($BE$4:$BJ$99,MATCH(BV372,$BE$4:$BE$99,0),3))-8,1)),1)*IF(LEFT(BV372,4)="pool",IF(INDEX($BE$4:$BJ$99,MATCH(BV372,$BE$4:$BE$99,0),6)&lt;1,1,INDEX($BE$4:$BJ$99,MATCH(BV372,$BE$4:$BE$99,0),6)),INDEX(Calculation_Tab,MATCH(BV372,Identifier,0),10)),1)*(1+Calculation!$Q$6),"-")</f>
        <v>-</v>
      </c>
      <c r="BZ372" s="378" t="str">
        <f ca="1">IFERROR((0.5/50)*CE372/Calculation!$AG$6*(IF(LEFT(BV372,4)="Pool",IF(LEN(INDEX($BE$4:$BJ$99,MATCH(BV372,$BE$4:$BE$99,0),3))=10,2,IF(LEN(INDEX($BE$4:$BJ$99,MATCH(BV372,$BE$4:$BE$99,0),3))&gt;10,LEN(INDEX($BE$4:$BJ$99,MATCH(BV372,$BE$4:$BE$99,0),3))-8,1)),IF(INDEX(Calculation_Tab,MATCH(BV372,Identifier,0),10)&gt;1,INDEX(Calculation_Tab,MATCH(BV372,Identifier,0),10),1)))*(1+Calculation!$Q$6),"-")</f>
        <v>-</v>
      </c>
      <c r="CA372" s="510" t="str">
        <f ca="1">IFERROR(IF((BZ372*Calculation!$AG$6/0.05)-SUM(BY372:BZ372,CC372)&gt;0,(BZ372*Calculation!$AG$6/0.05)-SUM(BY372:BZ372,CC372),0),"-")</f>
        <v>-</v>
      </c>
      <c r="CB372" s="510" t="str">
        <f ca="1">IFERROR(5/50*CE372*(IF(LEFT(BV372,4)="Pool",IF(LEN(INDEX($BE$4:$BJ$99,MATCH(BV372,$BE$4:$BE$99,0),3))=10,2,IF(LEN(INDEX($BE$4:$BJ$99,MATCH(BV372,$BE$4:$BE$99,0),3))&gt;10,LEN(INDEX($BE$4:$BJ$99,MATCH(BV372,$BE$4:$BE$99,0),3))-8,1)),IF(INDEX(Calculation_Tab,MATCH(BV372,Identifier,0),10)&gt;1,INDEX(Calculation_Tab,MATCH(BV372,Identifier,0),10),1)))*(1+Calculation!$Q$6),"-")</f>
        <v>-</v>
      </c>
      <c r="CC372" s="508" t="str">
        <f ca="1">IFERROR(ROUND(INDEX(Cluster,MATCH(IF(LEFT(BV372,4)="Pool",INDEX(Cluster,MATCH(INDEX(Calculation_Tab,MATCH(INDEX($BE$4:$BJ$99,MATCH(BV372,$BE$4:$BE$99,0),3),Flow_Cell_Lane,0),3),Cluster!$F$29:$F$412,0),6),BV372),Identifier_Cluster,0),20)*IF(LEFT(BV372,4)="pool",IF(LEN(INDEX($BE$4:$BJ$99,MATCH(BV372,$BE$4:$BE$99,0),3))=10,2,IF(LEN(INDEX($BE$4:$BJ$99,MATCH(BV372,$BE$4:$BE$99,0),3))&gt;10,LEN(INDEX($BE$4:$BJ$99,MATCH(BV372,$BE$4:$BE$99,0),3))-8,1)),1)*IF(LEFT(BV372,4)="pool",IF(INDEX($BE$4:$BJ$99,MATCH(BV372,$BE$4:$BE$99,0),6)&lt;1,1,INDEX($BE$4:$BJ$99,MATCH(BV372,$BE$4:$BE$99,0),6)),INDEX(Calculation_Tab,MATCH(BV372,Identifier,0),10)),1)*(1+Calculation!$Q$6),"-")</f>
        <v>-</v>
      </c>
      <c r="CD372" s="509" t="str">
        <f ca="1">IFERROR(INDEX(Cluster!AC:AD,MATCH(IF(LEFT(BV372,4)="Pool",INDEX(Cluster!$D$29:$AA$412,MATCH(INDEX(Calculation_Tab,MATCH(INDEX($BE$4:$BJ$99,MATCH(BV372,$BE$4:$BE$99,0),3),Flow_Cell_Lane,0),3),Cluster!$F$29:$F$412,0),24),INDEX(Cluster!$D$29:$AA$412,MATCH(BV372,Cluster!$F$29:$F$412,0),24)),Cluster!AC:AC,0),2),"-")</f>
        <v>-</v>
      </c>
      <c r="CE372" s="378" t="str">
        <f ca="1">IFERROR(IF(BV372&lt;&gt;"-",Calculation!$AK$6,"-"),"-")</f>
        <v>-</v>
      </c>
      <c r="CF372" s="378" t="str">
        <f ca="1">IF(OR(LEFT(ListAndConversion!BW372,3)="Dil",LEFT(ListAndConversion!BW372,3)="Poo"),ListAndConversion!$BT$4,IF(LEFT(ListAndConversion!BW372,3)="Sou",INDEX(ListAndConversion!$AT$3:$AV$387,MATCH(ListAndConversion!BV372,ListAndConversion!$AV$3:$AV$387,0),1),"-"))</f>
        <v>-</v>
      </c>
      <c r="CG372" s="498" t="str">
        <f ca="1">IF(OR(LEFT(ListAndConversion!BW372,3)="Dil",LEFT(ListAndConversion!BW372,3)="Poo"),ListAndConversion!BU372,IF(LEFT(ListAndConversion!BW372,3)="Sou",INDEX(ListAndConversion!$AT$4:$AV$387,MATCH(ListAndConversion!BV372,ListAndConversion!$AV$4:$AV$387,0),2),"-"))</f>
        <v>-</v>
      </c>
      <c r="CH372" s="378"/>
      <c r="CI372" s="487" t="str">
        <f t="shared" ca="1" si="180"/>
        <v>-</v>
      </c>
      <c r="CJ372" s="378" t="str">
        <f t="shared" ca="1" si="190"/>
        <v>-</v>
      </c>
      <c r="CK372" s="378" t="str">
        <f t="shared" ca="1" si="190"/>
        <v>-</v>
      </c>
      <c r="CL372" s="378" t="str">
        <f t="shared" ca="1" si="190"/>
        <v>-</v>
      </c>
      <c r="CM372" s="378" t="str">
        <f t="shared" ca="1" si="190"/>
        <v>-</v>
      </c>
      <c r="CN372" s="378" t="str">
        <f t="shared" ca="1" si="190"/>
        <v>-</v>
      </c>
      <c r="CO372" s="378" t="str">
        <f t="shared" ca="1" si="190"/>
        <v>-</v>
      </c>
      <c r="CP372" s="378" t="str">
        <f t="shared" ca="1" si="190"/>
        <v>-</v>
      </c>
      <c r="CQ372" s="378" t="str">
        <f t="shared" ca="1" si="190"/>
        <v>-</v>
      </c>
      <c r="CR372" s="510" t="str">
        <f ca="1">IFERROR(IF(LEFT(BW372,3)="Poo",INDEX($BE$4:$BJ$99,MATCH(CI372,$BG$4:$BG$99,0),6)*((15/50))*Calculation!$AK$6,INDEX(Calculation_Tab,MATCH(BV372,Identifier,0),10)/(IF(LEN(INDEX(Calculation_Tab,MATCH(BV372,Identifier,0),9))&gt;8,LEN(INDEX(Calculation_Tab,MATCH(BV372,Identifier,0),9))-8,1))*((15/50)*Calculation!$AK$6)),"-")</f>
        <v>-</v>
      </c>
      <c r="CS372" s="498" t="str">
        <f ca="1">IF(CI372="-","-",IF(COUNTIF($CI$3:CI372,CI372)&gt;1,0,IFERROR((35/50)*Calculation!$AK$6,"-")))</f>
        <v>-</v>
      </c>
    </row>
    <row r="373" spans="4:97" x14ac:dyDescent="0.5">
      <c r="D373" s="487" t="e">
        <f t="shared" si="165"/>
        <v>#DIV/0!</v>
      </c>
      <c r="E373" s="496" t="e">
        <f t="array" ref="E373">IF(IF((ROW(E373)-3)&lt;(ListAndConversion!$A$15),INDEX(Flow_Cell_Lane,MIN(IF(COUNTIF($E$2:E372,Flow_Cell_Lane)=0,ROW(Flow_Cell_Lane)-9))),"-")="","-",IF((ROW(E373)-3)&lt;(ListAndConversion!$A$15),INDEX(Flow_Cell_Lane,MIN(IF(COUNTIF($E$2:E372,Flow_Cell_Lane)=0,ROW(Flow_Cell_Lane)-9))),"-"))</f>
        <v>#DIV/0!</v>
      </c>
      <c r="F373" s="378" t="e">
        <f t="shared" si="166"/>
        <v>#DIV/0!</v>
      </c>
      <c r="G373" s="378" t="e">
        <f t="shared" ref="G373:M386" si="191">IF($D373&gt;8,IF($D373&gt;=(8+G$2),CONCATENATE(LEFT($E373,7),RIGHT(LEFT($E373,8+G$2),1)),""),"")</f>
        <v>#DIV/0!</v>
      </c>
      <c r="H373" s="378" t="e">
        <f t="shared" si="191"/>
        <v>#DIV/0!</v>
      </c>
      <c r="I373" s="378" t="e">
        <f t="shared" si="191"/>
        <v>#DIV/0!</v>
      </c>
      <c r="J373" s="378" t="e">
        <f t="shared" si="191"/>
        <v>#DIV/0!</v>
      </c>
      <c r="K373" s="378" t="e">
        <f t="shared" si="191"/>
        <v>#DIV/0!</v>
      </c>
      <c r="L373" s="378" t="e">
        <f t="shared" si="191"/>
        <v>#DIV/0!</v>
      </c>
      <c r="M373" s="378" t="e">
        <f t="shared" si="191"/>
        <v>#DIV/0!</v>
      </c>
      <c r="N373" s="497" t="e">
        <f t="shared" si="168"/>
        <v>#DIV/0!</v>
      </c>
      <c r="O373" s="497" t="str">
        <f t="array" ref="O373">IFERROR(INDEX(Calculation!I:AN,MATCH(ListAndConversion!E373,Calculation!I:I,0),31),"-")</f>
        <v>-</v>
      </c>
      <c r="P373" s="498">
        <f>IF(COUNTIFS(Calculation!$I$10:$I$393,E373,Direct_Denaturation,"-")&lt;&gt;1,COUNTIFS(Calculation!$I$10:$I$393,E373,Direct_Denaturation,"-"),0)</f>
        <v>0</v>
      </c>
      <c r="V373" s="542" t="s">
        <v>82</v>
      </c>
      <c r="W373" s="542" t="s">
        <v>82</v>
      </c>
      <c r="X373" s="542" t="s">
        <v>82</v>
      </c>
      <c r="Y373" s="542" t="s">
        <v>82</v>
      </c>
      <c r="Z373" s="542" t="s">
        <v>82</v>
      </c>
      <c r="AA373" s="542" t="s">
        <v>82</v>
      </c>
      <c r="AB373" s="542" t="s">
        <v>82</v>
      </c>
      <c r="AC373" s="542" t="s">
        <v>82</v>
      </c>
      <c r="AD373" s="542" t="s">
        <v>82</v>
      </c>
      <c r="AE373" s="542" t="s">
        <v>82</v>
      </c>
      <c r="AF373" s="542" t="s">
        <v>82</v>
      </c>
      <c r="AG373" s="542" t="s">
        <v>82</v>
      </c>
      <c r="AH373" s="9"/>
      <c r="AI373" s="487">
        <v>370</v>
      </c>
      <c r="AJ373" s="497" t="s">
        <v>479</v>
      </c>
      <c r="AK373" s="378">
        <v>82</v>
      </c>
      <c r="AL373" s="378" t="str">
        <f t="shared" ca="1" si="169"/>
        <v>-</v>
      </c>
      <c r="AM373" s="378" t="str">
        <f t="array" aca="1" ref="AM373" ca="1">IFERROR(IF(AI373&lt;=$AB$2,"-",INDEX(Calculation_Tab,SMALL(ROW(Main_Dil)*(Main_Dil&lt;&gt;"-"),COUNTIF(Main_Dil,"-")+ROW()-3-$AB$2)-9,5)),"-")</f>
        <v>-</v>
      </c>
      <c r="AN373" s="378" t="str">
        <f t="array" aca="1" ref="AN373" ca="1">IFERROR(IF(AI373&lt;=$AB$2,"-",INDEX($A$3:$B$12,MATCH(INDEX(Calculation_Tab,SMALL(ROW(Main_Dil)*(Main_Dil&lt;&gt;"-"),COUNTIF(Main_Dil,"-")+ROW()-3-$AB$2)-9,5),$A$3:$A$12,0),2)),"-")</f>
        <v>-</v>
      </c>
      <c r="AO373" s="378" t="str">
        <f t="array" aca="1" ref="AO373" ca="1">IFERROR(IF(AI373&lt;=$AB$2,"-",INDEX(Coordinate,MATCH(INDEX(Calculation_Tab,SMALL(ROW(Main_Dil)*(Main_Dil&lt;&gt;"-"),COUNTIF(Main_Dil,"-")+ROW()-3-$AB$2)-9,6),$X$4:$X$99,0),2)),"-")</f>
        <v>-</v>
      </c>
      <c r="AP373" s="510" t="str">
        <f t="array" aca="1" ref="AP373" ca="1">IFERROR(IF(AI373&lt;=$AB$2,"-",INDEX(Calculation_Tab,SMALL(ROW(Main_Dil)*(Main_Dil&lt;&gt;"-"),COUNTIF(Main_Dil,"-")+ROW()-3-$AB$2)-9,21)),"-")</f>
        <v>-</v>
      </c>
      <c r="AQ373" s="511" t="str">
        <f t="array" aca="1" ref="AQ373" ca="1">IFERROR(IF(AI373&lt;=$AB$2,"-",INDEX(Calculation_Tab,SMALL(ROW(Main_Dil)*(Main_Dil&lt;&gt;"-"),COUNTIF(Main_Dil,"-")+ROW()-3-$AB$2)-9,22)),"-")</f>
        <v>-</v>
      </c>
      <c r="AR373" s="487" t="str">
        <f t="shared" ca="1" si="170"/>
        <v>-</v>
      </c>
      <c r="AS373" s="378">
        <v>370</v>
      </c>
      <c r="AT373" s="497" t="s">
        <v>479</v>
      </c>
      <c r="AU373" s="498">
        <v>82</v>
      </c>
      <c r="AV373" s="378" t="str">
        <f t="shared" ca="1" si="171"/>
        <v>-</v>
      </c>
      <c r="AW373" s="378" t="str">
        <f t="array" aca="1" ref="AW373" ca="1">IFERROR(IF(AS373&lt;=$AB$2+$AN$2,"-",INDEX(Calculation_Tab,SMALL(ROW(Direct_Denaturation)*(Direct_Denaturation&lt;&gt;"-"),COUNTIF(Direct_Denaturation,"-")+ROW()-3-$AB$2-$AN$2)-9,5)),"-")</f>
        <v>-</v>
      </c>
      <c r="AX373" s="378" t="str">
        <f t="array" aca="1" ref="AX373" ca="1">IFERROR(IF(AS373&lt;=$AB$2+$AN$2,"-",INDEX($A$3:$B$12,MATCH(INDEX(Calculation_Tab,SMALL(ROW(Direct_Denaturation)*(Direct_Denaturation&lt;&gt;"-"),COUNTIF(Direct_Denaturation,"-")+ROW()-3-$AB$2-$AN$2)-9,5),$A$3:$A$12,0),2)),"-")</f>
        <v>-</v>
      </c>
      <c r="AY373" s="378" t="str">
        <f t="array" aca="1" ref="AY373" ca="1">IFERROR(IF(AS373&lt;=$AB$2+$AN$2,"-",INDEX(Coordinate,MATCH(INDEX(Calculation_Tab,SMALL(ROW(Direct_Denaturation)*(Direct_Denaturation&lt;&gt;"-"),COUNTIF(Direct_Denaturation,"-")+ROW()-3-$AB$2-$AN$2)-9,6),$X$4:$X$99,0),2)),"-")</f>
        <v>-</v>
      </c>
      <c r="AZ373" s="510" t="str">
        <f t="array" aca="1" ref="AZ373" ca="1">IFERROR(IF(AS373&lt;=$AB$2+$AN$2,"-",INDEX(Calculation_Tab,SMALL(ROW(Direct_Denaturation)*(Direct_Denaturation&lt;&gt;"-"),COUNTIF(Direct_Denaturation,"-")+ROW()-3-$AB$2-$AN$2)-9,32)),"-")</f>
        <v>-</v>
      </c>
      <c r="BA373" s="510" t="str">
        <f t="array" aca="1" ref="BA373" ca="1">IFERROR(IF(AS373&lt;=$AB$2+$AN$2,"-",INDEX(Calculation_Tab,SMALL(ROW(Direct_Denaturation)*(Direct_Denaturation&lt;&gt;"-"),COUNTIF(Direct_Denaturation,"-")+ROW()-3-$AB$2-$AN$2)-9,34)),"-")</f>
        <v>-</v>
      </c>
      <c r="BB373" s="510" t="str">
        <f t="array" aca="1" ref="BB373" ca="1">IFERROR(IF(AS373&lt;=$AB$2+$AN$2,"-",INDEX(Calculation_Tab,SMALL(ROW(Direct_Denaturation)*(Direct_Denaturation&lt;&gt;"-"),COUNTIF(Direct_Denaturation,"-")+ROW()-3-$AB$2-$AN$2)-9,33)),"-")</f>
        <v>-</v>
      </c>
      <c r="BC373" s="510" t="str">
        <f t="array" aca="1" ref="BC373" ca="1">IFERROR(IF(AS373&lt;=$AB$2+$AN$2,"-",INDEX(Calculation_Tab,SMALL(ROW(Direct_Denaturation)*(Direct_Denaturation&lt;&gt;"-"),COUNTIF(Direct_Denaturation,"-")+ROW()-3-$AB$2-$AN$2)-9,35)),"-")</f>
        <v>-</v>
      </c>
      <c r="BD373" s="511" t="str">
        <f t="shared" ca="1" si="172"/>
        <v>-</v>
      </c>
      <c r="BK373" s="542" t="s">
        <v>82</v>
      </c>
      <c r="BL373" s="542" t="s">
        <v>82</v>
      </c>
      <c r="BM373" s="487" t="str">
        <f t="array" aca="1" ref="BM373" ca="1">IFERROR(INDEX(Calculation_Tab,SMALL(ROW(ToPool)*(ToPool&lt;&gt;"-"),COUNTIF(ToPool,"-")+ROW()-3)-9,3),"-")</f>
        <v>-</v>
      </c>
      <c r="BN373" s="378" t="str">
        <f t="shared" ca="1" si="173"/>
        <v>-</v>
      </c>
      <c r="BO373" s="378" t="str">
        <f t="shared" ca="1" si="174"/>
        <v>-</v>
      </c>
      <c r="BP373" s="523" t="str">
        <f t="shared" ca="1" si="175"/>
        <v>-</v>
      </c>
      <c r="BQ373" s="378" t="str">
        <f t="array" aca="1" ref="BQ373" ca="1">IFERROR(INDEX(BE:BG,MATCH(INDEX(Calculation_Tab,SMALL(ROW(ToPool)*(ToPool&lt;&gt;"-"),COUNTIF(ToPool,"-")+ROW()-3)-9,9),BG:BG,0),2),"-")</f>
        <v>-</v>
      </c>
      <c r="BR373" s="510" t="str">
        <f t="shared" ca="1" si="176"/>
        <v>-</v>
      </c>
      <c r="BS373" s="511" t="str">
        <f t="shared" ca="1" si="177"/>
        <v>-</v>
      </c>
      <c r="BT373" s="543" t="s">
        <v>82</v>
      </c>
      <c r="BU373" s="487" t="str">
        <f t="shared" ca="1" si="182"/>
        <v>-</v>
      </c>
      <c r="BV373" s="487" t="str">
        <f t="array" aca="1" ref="BV37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73" s="378" t="str">
        <f t="shared" ca="1" si="178"/>
        <v>-</v>
      </c>
      <c r="BX373" s="378" t="str">
        <f t="shared" ca="1" si="179"/>
        <v>-</v>
      </c>
      <c r="BY373" s="510" t="str">
        <f ca="1">IFERROR(ROUND(INDEX(Cluster,MATCH(IF(LEFT(BV373,4)="Pool",INDEX(Cluster,MATCH(INDEX(Calculation_Tab,MATCH(INDEX($BE$4:$BJ$99,MATCH(BV373,$BE$4:$BE$99,0),3),Flow_Cell_Lane,0),3),Cluster!$F$29:$F$412,0),6),BV373),Identifier_Cluster,0),19)*IF(LEFT(BV373,4)="pool",IF(LEN(INDEX($BE$4:$BJ$99,MATCH(BV373,$BE$4:$BE$99,0),3))=10,2,IF(LEN(INDEX($BE$4:$BJ$99,MATCH(BV373,$BE$4:$BE$99,0),3))&gt;10,LEN(INDEX($BE$4:$BJ$99,MATCH(BV373,$BE$4:$BE$99,0),3))-8,1)),1)*IF(LEFT(BV373,4)="pool",IF(INDEX($BE$4:$BJ$99,MATCH(BV373,$BE$4:$BE$99,0),6)&lt;1,1,INDEX($BE$4:$BJ$99,MATCH(BV373,$BE$4:$BE$99,0),6)),INDEX(Calculation_Tab,MATCH(BV373,Identifier,0),10)),1)*(1+Calculation!$Q$6),"-")</f>
        <v>-</v>
      </c>
      <c r="BZ373" s="378" t="str">
        <f ca="1">IFERROR((0.5/50)*CE373/Calculation!$AG$6*(IF(LEFT(BV373,4)="Pool",IF(LEN(INDEX($BE$4:$BJ$99,MATCH(BV373,$BE$4:$BE$99,0),3))=10,2,IF(LEN(INDEX($BE$4:$BJ$99,MATCH(BV373,$BE$4:$BE$99,0),3))&gt;10,LEN(INDEX($BE$4:$BJ$99,MATCH(BV373,$BE$4:$BE$99,0),3))-8,1)),IF(INDEX(Calculation_Tab,MATCH(BV373,Identifier,0),10)&gt;1,INDEX(Calculation_Tab,MATCH(BV373,Identifier,0),10),1)))*(1+Calculation!$Q$6),"-")</f>
        <v>-</v>
      </c>
      <c r="CA373" s="510" t="str">
        <f ca="1">IFERROR(IF((BZ373*Calculation!$AG$6/0.05)-SUM(BY373:BZ373,CC373)&gt;0,(BZ373*Calculation!$AG$6/0.05)-SUM(BY373:BZ373,CC373),0),"-")</f>
        <v>-</v>
      </c>
      <c r="CB373" s="510" t="str">
        <f ca="1">IFERROR(5/50*CE373*(IF(LEFT(BV373,4)="Pool",IF(LEN(INDEX($BE$4:$BJ$99,MATCH(BV373,$BE$4:$BE$99,0),3))=10,2,IF(LEN(INDEX($BE$4:$BJ$99,MATCH(BV373,$BE$4:$BE$99,0),3))&gt;10,LEN(INDEX($BE$4:$BJ$99,MATCH(BV373,$BE$4:$BE$99,0),3))-8,1)),IF(INDEX(Calculation_Tab,MATCH(BV373,Identifier,0),10)&gt;1,INDEX(Calculation_Tab,MATCH(BV373,Identifier,0),10),1)))*(1+Calculation!$Q$6),"-")</f>
        <v>-</v>
      </c>
      <c r="CC373" s="508" t="str">
        <f ca="1">IFERROR(ROUND(INDEX(Cluster,MATCH(IF(LEFT(BV373,4)="Pool",INDEX(Cluster,MATCH(INDEX(Calculation_Tab,MATCH(INDEX($BE$4:$BJ$99,MATCH(BV373,$BE$4:$BE$99,0),3),Flow_Cell_Lane,0),3),Cluster!$F$29:$F$412,0),6),BV373),Identifier_Cluster,0),20)*IF(LEFT(BV373,4)="pool",IF(LEN(INDEX($BE$4:$BJ$99,MATCH(BV373,$BE$4:$BE$99,0),3))=10,2,IF(LEN(INDEX($BE$4:$BJ$99,MATCH(BV373,$BE$4:$BE$99,0),3))&gt;10,LEN(INDEX($BE$4:$BJ$99,MATCH(BV373,$BE$4:$BE$99,0),3))-8,1)),1)*IF(LEFT(BV373,4)="pool",IF(INDEX($BE$4:$BJ$99,MATCH(BV373,$BE$4:$BE$99,0),6)&lt;1,1,INDEX($BE$4:$BJ$99,MATCH(BV373,$BE$4:$BE$99,0),6)),INDEX(Calculation_Tab,MATCH(BV373,Identifier,0),10)),1)*(1+Calculation!$Q$6),"-")</f>
        <v>-</v>
      </c>
      <c r="CD373" s="509" t="str">
        <f ca="1">IFERROR(INDEX(Cluster!AC:AD,MATCH(IF(LEFT(BV373,4)="Pool",INDEX(Cluster!$D$29:$AA$412,MATCH(INDEX(Calculation_Tab,MATCH(INDEX($BE$4:$BJ$99,MATCH(BV373,$BE$4:$BE$99,0),3),Flow_Cell_Lane,0),3),Cluster!$F$29:$F$412,0),24),INDEX(Cluster!$D$29:$AA$412,MATCH(BV373,Cluster!$F$29:$F$412,0),24)),Cluster!AC:AC,0),2),"-")</f>
        <v>-</v>
      </c>
      <c r="CE373" s="378" t="str">
        <f ca="1">IFERROR(IF(BV373&lt;&gt;"-",Calculation!$AK$6,"-"),"-")</f>
        <v>-</v>
      </c>
      <c r="CF373" s="378" t="str">
        <f ca="1">IF(OR(LEFT(ListAndConversion!BW373,3)="Dil",LEFT(ListAndConversion!BW373,3)="Poo"),ListAndConversion!$BT$4,IF(LEFT(ListAndConversion!BW373,3)="Sou",INDEX(ListAndConversion!$AT$3:$AV$387,MATCH(ListAndConversion!BV373,ListAndConversion!$AV$3:$AV$387,0),1),"-"))</f>
        <v>-</v>
      </c>
      <c r="CG373" s="498" t="str">
        <f ca="1">IF(OR(LEFT(ListAndConversion!BW373,3)="Dil",LEFT(ListAndConversion!BW373,3)="Poo"),ListAndConversion!BU373,IF(LEFT(ListAndConversion!BW373,3)="Sou",INDEX(ListAndConversion!$AT$4:$AV$387,MATCH(ListAndConversion!BV373,ListAndConversion!$AV$4:$AV$387,0),2),"-"))</f>
        <v>-</v>
      </c>
      <c r="CH373" s="378"/>
      <c r="CI373" s="487" t="str">
        <f t="shared" ca="1" si="180"/>
        <v>-</v>
      </c>
      <c r="CJ373" s="378" t="str">
        <f t="shared" ca="1" si="190"/>
        <v>-</v>
      </c>
      <c r="CK373" s="378" t="str">
        <f t="shared" ca="1" si="190"/>
        <v>-</v>
      </c>
      <c r="CL373" s="378" t="str">
        <f t="shared" ca="1" si="190"/>
        <v>-</v>
      </c>
      <c r="CM373" s="378" t="str">
        <f t="shared" ca="1" si="190"/>
        <v>-</v>
      </c>
      <c r="CN373" s="378" t="str">
        <f t="shared" ca="1" si="190"/>
        <v>-</v>
      </c>
      <c r="CO373" s="378" t="str">
        <f t="shared" ca="1" si="190"/>
        <v>-</v>
      </c>
      <c r="CP373" s="378" t="str">
        <f t="shared" ca="1" si="190"/>
        <v>-</v>
      </c>
      <c r="CQ373" s="378" t="str">
        <f t="shared" ca="1" si="190"/>
        <v>-</v>
      </c>
      <c r="CR373" s="510" t="str">
        <f ca="1">IFERROR(IF(LEFT(BW373,3)="Poo",INDEX($BE$4:$BJ$99,MATCH(CI373,$BG$4:$BG$99,0),6)*((15/50))*Calculation!$AK$6,INDEX(Calculation_Tab,MATCH(BV373,Identifier,0),10)/(IF(LEN(INDEX(Calculation_Tab,MATCH(BV373,Identifier,0),9))&gt;8,LEN(INDEX(Calculation_Tab,MATCH(BV373,Identifier,0),9))-8,1))*((15/50)*Calculation!$AK$6)),"-")</f>
        <v>-</v>
      </c>
      <c r="CS373" s="498" t="str">
        <f ca="1">IF(CI373="-","-",IF(COUNTIF($CI$3:CI373,CI373)&gt;1,0,IFERROR((35/50)*Calculation!$AK$6,"-")))</f>
        <v>-</v>
      </c>
    </row>
    <row r="374" spans="4:97" x14ac:dyDescent="0.5">
      <c r="D374" s="487" t="e">
        <f t="shared" si="165"/>
        <v>#DIV/0!</v>
      </c>
      <c r="E374" s="496" t="e">
        <f t="array" ref="E374">IF(IF((ROW(E374)-3)&lt;(ListAndConversion!$A$15),INDEX(Flow_Cell_Lane,MIN(IF(COUNTIF($E$2:E373,Flow_Cell_Lane)=0,ROW(Flow_Cell_Lane)-9))),"-")="","-",IF((ROW(E374)-3)&lt;(ListAndConversion!$A$15),INDEX(Flow_Cell_Lane,MIN(IF(COUNTIF($E$2:E373,Flow_Cell_Lane)=0,ROW(Flow_Cell_Lane)-9))),"-"))</f>
        <v>#DIV/0!</v>
      </c>
      <c r="F374" s="378" t="e">
        <f t="shared" si="166"/>
        <v>#DIV/0!</v>
      </c>
      <c r="G374" s="378" t="e">
        <f t="shared" si="191"/>
        <v>#DIV/0!</v>
      </c>
      <c r="H374" s="378" t="e">
        <f t="shared" si="191"/>
        <v>#DIV/0!</v>
      </c>
      <c r="I374" s="378" t="e">
        <f t="shared" si="191"/>
        <v>#DIV/0!</v>
      </c>
      <c r="J374" s="378" t="e">
        <f t="shared" si="191"/>
        <v>#DIV/0!</v>
      </c>
      <c r="K374" s="378" t="e">
        <f t="shared" si="191"/>
        <v>#DIV/0!</v>
      </c>
      <c r="L374" s="378" t="e">
        <f t="shared" si="191"/>
        <v>#DIV/0!</v>
      </c>
      <c r="M374" s="378" t="e">
        <f t="shared" si="191"/>
        <v>#DIV/0!</v>
      </c>
      <c r="N374" s="497" t="e">
        <f t="shared" si="168"/>
        <v>#DIV/0!</v>
      </c>
      <c r="O374" s="497" t="str">
        <f t="array" ref="O374">IFERROR(INDEX(Calculation!I:AN,MATCH(ListAndConversion!E374,Calculation!I:I,0),31),"-")</f>
        <v>-</v>
      </c>
      <c r="P374" s="498">
        <f>IF(COUNTIFS(Calculation!$I$10:$I$393,E374,Direct_Denaturation,"-")&lt;&gt;1,COUNTIFS(Calculation!$I$10:$I$393,E374,Direct_Denaturation,"-"),0)</f>
        <v>0</v>
      </c>
      <c r="V374" s="542" t="s">
        <v>82</v>
      </c>
      <c r="W374" s="542" t="s">
        <v>82</v>
      </c>
      <c r="X374" s="542" t="s">
        <v>82</v>
      </c>
      <c r="Y374" s="542" t="s">
        <v>82</v>
      </c>
      <c r="Z374" s="542" t="s">
        <v>82</v>
      </c>
      <c r="AA374" s="542" t="s">
        <v>82</v>
      </c>
      <c r="AB374" s="542" t="s">
        <v>82</v>
      </c>
      <c r="AC374" s="542" t="s">
        <v>82</v>
      </c>
      <c r="AD374" s="542" t="s">
        <v>82</v>
      </c>
      <c r="AE374" s="542" t="s">
        <v>82</v>
      </c>
      <c r="AF374" s="542" t="s">
        <v>82</v>
      </c>
      <c r="AG374" s="542" t="s">
        <v>82</v>
      </c>
      <c r="AH374" s="9"/>
      <c r="AI374" s="487">
        <v>371</v>
      </c>
      <c r="AJ374" s="497" t="s">
        <v>479</v>
      </c>
      <c r="AK374" s="378">
        <v>83</v>
      </c>
      <c r="AL374" s="378" t="str">
        <f t="shared" ca="1" si="169"/>
        <v>-</v>
      </c>
      <c r="AM374" s="378" t="str">
        <f t="array" aca="1" ref="AM374" ca="1">IFERROR(IF(AI374&lt;=$AB$2,"-",INDEX(Calculation_Tab,SMALL(ROW(Main_Dil)*(Main_Dil&lt;&gt;"-"),COUNTIF(Main_Dil,"-")+ROW()-3-$AB$2)-9,5)),"-")</f>
        <v>-</v>
      </c>
      <c r="AN374" s="378" t="str">
        <f t="array" aca="1" ref="AN374" ca="1">IFERROR(IF(AI374&lt;=$AB$2,"-",INDEX($A$3:$B$12,MATCH(INDEX(Calculation_Tab,SMALL(ROW(Main_Dil)*(Main_Dil&lt;&gt;"-"),COUNTIF(Main_Dil,"-")+ROW()-3-$AB$2)-9,5),$A$3:$A$12,0),2)),"-")</f>
        <v>-</v>
      </c>
      <c r="AO374" s="378" t="str">
        <f t="array" aca="1" ref="AO374" ca="1">IFERROR(IF(AI374&lt;=$AB$2,"-",INDEX(Coordinate,MATCH(INDEX(Calculation_Tab,SMALL(ROW(Main_Dil)*(Main_Dil&lt;&gt;"-"),COUNTIF(Main_Dil,"-")+ROW()-3-$AB$2)-9,6),$X$4:$X$99,0),2)),"-")</f>
        <v>-</v>
      </c>
      <c r="AP374" s="510" t="str">
        <f t="array" aca="1" ref="AP374" ca="1">IFERROR(IF(AI374&lt;=$AB$2,"-",INDEX(Calculation_Tab,SMALL(ROW(Main_Dil)*(Main_Dil&lt;&gt;"-"),COUNTIF(Main_Dil,"-")+ROW()-3-$AB$2)-9,21)),"-")</f>
        <v>-</v>
      </c>
      <c r="AQ374" s="511" t="str">
        <f t="array" aca="1" ref="AQ374" ca="1">IFERROR(IF(AI374&lt;=$AB$2,"-",INDEX(Calculation_Tab,SMALL(ROW(Main_Dil)*(Main_Dil&lt;&gt;"-"),COUNTIF(Main_Dil,"-")+ROW()-3-$AB$2)-9,22)),"-")</f>
        <v>-</v>
      </c>
      <c r="AR374" s="487" t="str">
        <f t="shared" ca="1" si="170"/>
        <v>-</v>
      </c>
      <c r="AS374" s="378">
        <v>371</v>
      </c>
      <c r="AT374" s="497" t="s">
        <v>479</v>
      </c>
      <c r="AU374" s="498">
        <v>83</v>
      </c>
      <c r="AV374" s="378" t="str">
        <f t="shared" ca="1" si="171"/>
        <v>-</v>
      </c>
      <c r="AW374" s="378" t="str">
        <f t="array" aca="1" ref="AW374" ca="1">IFERROR(IF(AS374&lt;=$AB$2+$AN$2,"-",INDEX(Calculation_Tab,SMALL(ROW(Direct_Denaturation)*(Direct_Denaturation&lt;&gt;"-"),COUNTIF(Direct_Denaturation,"-")+ROW()-3-$AB$2-$AN$2)-9,5)),"-")</f>
        <v>-</v>
      </c>
      <c r="AX374" s="378" t="str">
        <f t="array" aca="1" ref="AX374" ca="1">IFERROR(IF(AS374&lt;=$AB$2+$AN$2,"-",INDEX($A$3:$B$12,MATCH(INDEX(Calculation_Tab,SMALL(ROW(Direct_Denaturation)*(Direct_Denaturation&lt;&gt;"-"),COUNTIF(Direct_Denaturation,"-")+ROW()-3-$AB$2-$AN$2)-9,5),$A$3:$A$12,0),2)),"-")</f>
        <v>-</v>
      </c>
      <c r="AY374" s="378" t="str">
        <f t="array" aca="1" ref="AY374" ca="1">IFERROR(IF(AS374&lt;=$AB$2+$AN$2,"-",INDEX(Coordinate,MATCH(INDEX(Calculation_Tab,SMALL(ROW(Direct_Denaturation)*(Direct_Denaturation&lt;&gt;"-"),COUNTIF(Direct_Denaturation,"-")+ROW()-3-$AB$2-$AN$2)-9,6),$X$4:$X$99,0),2)),"-")</f>
        <v>-</v>
      </c>
      <c r="AZ374" s="510" t="str">
        <f t="array" aca="1" ref="AZ374" ca="1">IFERROR(IF(AS374&lt;=$AB$2+$AN$2,"-",INDEX(Calculation_Tab,SMALL(ROW(Direct_Denaturation)*(Direct_Denaturation&lt;&gt;"-"),COUNTIF(Direct_Denaturation,"-")+ROW()-3-$AB$2-$AN$2)-9,32)),"-")</f>
        <v>-</v>
      </c>
      <c r="BA374" s="510" t="str">
        <f t="array" aca="1" ref="BA374" ca="1">IFERROR(IF(AS374&lt;=$AB$2+$AN$2,"-",INDEX(Calculation_Tab,SMALL(ROW(Direct_Denaturation)*(Direct_Denaturation&lt;&gt;"-"),COUNTIF(Direct_Denaturation,"-")+ROW()-3-$AB$2-$AN$2)-9,34)),"-")</f>
        <v>-</v>
      </c>
      <c r="BB374" s="510" t="str">
        <f t="array" aca="1" ref="BB374" ca="1">IFERROR(IF(AS374&lt;=$AB$2+$AN$2,"-",INDEX(Calculation_Tab,SMALL(ROW(Direct_Denaturation)*(Direct_Denaturation&lt;&gt;"-"),COUNTIF(Direct_Denaturation,"-")+ROW()-3-$AB$2-$AN$2)-9,33)),"-")</f>
        <v>-</v>
      </c>
      <c r="BC374" s="510" t="str">
        <f t="array" aca="1" ref="BC374" ca="1">IFERROR(IF(AS374&lt;=$AB$2+$AN$2,"-",INDEX(Calculation_Tab,SMALL(ROW(Direct_Denaturation)*(Direct_Denaturation&lt;&gt;"-"),COUNTIF(Direct_Denaturation,"-")+ROW()-3-$AB$2-$AN$2)-9,35)),"-")</f>
        <v>-</v>
      </c>
      <c r="BD374" s="511" t="str">
        <f t="shared" ca="1" si="172"/>
        <v>-</v>
      </c>
      <c r="BK374" s="542" t="s">
        <v>82</v>
      </c>
      <c r="BL374" s="542" t="s">
        <v>82</v>
      </c>
      <c r="BM374" s="487" t="str">
        <f t="array" aca="1" ref="BM374" ca="1">IFERROR(INDEX(Calculation_Tab,SMALL(ROW(ToPool)*(ToPool&lt;&gt;"-"),COUNTIF(ToPool,"-")+ROW()-3)-9,3),"-")</f>
        <v>-</v>
      </c>
      <c r="BN374" s="378" t="str">
        <f t="shared" ca="1" si="173"/>
        <v>-</v>
      </c>
      <c r="BO374" s="378" t="str">
        <f t="shared" ca="1" si="174"/>
        <v>-</v>
      </c>
      <c r="BP374" s="523" t="str">
        <f t="shared" ca="1" si="175"/>
        <v>-</v>
      </c>
      <c r="BQ374" s="378" t="str">
        <f t="array" aca="1" ref="BQ374" ca="1">IFERROR(INDEX(BE:BG,MATCH(INDEX(Calculation_Tab,SMALL(ROW(ToPool)*(ToPool&lt;&gt;"-"),COUNTIF(ToPool,"-")+ROW()-3)-9,9),BG:BG,0),2),"-")</f>
        <v>-</v>
      </c>
      <c r="BR374" s="510" t="str">
        <f t="shared" ca="1" si="176"/>
        <v>-</v>
      </c>
      <c r="BS374" s="511" t="str">
        <f t="shared" ca="1" si="177"/>
        <v>-</v>
      </c>
      <c r="BT374" s="543" t="s">
        <v>82</v>
      </c>
      <c r="BU374" s="487" t="str">
        <f t="shared" ca="1" si="182"/>
        <v>-</v>
      </c>
      <c r="BV374" s="487" t="str">
        <f t="array" aca="1" ref="BV37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74" s="378" t="str">
        <f t="shared" ca="1" si="178"/>
        <v>-</v>
      </c>
      <c r="BX374" s="378" t="str">
        <f t="shared" ca="1" si="179"/>
        <v>-</v>
      </c>
      <c r="BY374" s="510" t="str">
        <f ca="1">IFERROR(ROUND(INDEX(Cluster,MATCH(IF(LEFT(BV374,4)="Pool",INDEX(Cluster,MATCH(INDEX(Calculation_Tab,MATCH(INDEX($BE$4:$BJ$99,MATCH(BV374,$BE$4:$BE$99,0),3),Flow_Cell_Lane,0),3),Cluster!$F$29:$F$412,0),6),BV374),Identifier_Cluster,0),19)*IF(LEFT(BV374,4)="pool",IF(LEN(INDEX($BE$4:$BJ$99,MATCH(BV374,$BE$4:$BE$99,0),3))=10,2,IF(LEN(INDEX($BE$4:$BJ$99,MATCH(BV374,$BE$4:$BE$99,0),3))&gt;10,LEN(INDEX($BE$4:$BJ$99,MATCH(BV374,$BE$4:$BE$99,0),3))-8,1)),1)*IF(LEFT(BV374,4)="pool",IF(INDEX($BE$4:$BJ$99,MATCH(BV374,$BE$4:$BE$99,0),6)&lt;1,1,INDEX($BE$4:$BJ$99,MATCH(BV374,$BE$4:$BE$99,0),6)),INDEX(Calculation_Tab,MATCH(BV374,Identifier,0),10)),1)*(1+Calculation!$Q$6),"-")</f>
        <v>-</v>
      </c>
      <c r="BZ374" s="378" t="str">
        <f ca="1">IFERROR((0.5/50)*CE374/Calculation!$AG$6*(IF(LEFT(BV374,4)="Pool",IF(LEN(INDEX($BE$4:$BJ$99,MATCH(BV374,$BE$4:$BE$99,0),3))=10,2,IF(LEN(INDEX($BE$4:$BJ$99,MATCH(BV374,$BE$4:$BE$99,0),3))&gt;10,LEN(INDEX($BE$4:$BJ$99,MATCH(BV374,$BE$4:$BE$99,0),3))-8,1)),IF(INDEX(Calculation_Tab,MATCH(BV374,Identifier,0),10)&gt;1,INDEX(Calculation_Tab,MATCH(BV374,Identifier,0),10),1)))*(1+Calculation!$Q$6),"-")</f>
        <v>-</v>
      </c>
      <c r="CA374" s="510" t="str">
        <f ca="1">IFERROR(IF((BZ374*Calculation!$AG$6/0.05)-SUM(BY374:BZ374,CC374)&gt;0,(BZ374*Calculation!$AG$6/0.05)-SUM(BY374:BZ374,CC374),0),"-")</f>
        <v>-</v>
      </c>
      <c r="CB374" s="510" t="str">
        <f ca="1">IFERROR(5/50*CE374*(IF(LEFT(BV374,4)="Pool",IF(LEN(INDEX($BE$4:$BJ$99,MATCH(BV374,$BE$4:$BE$99,0),3))=10,2,IF(LEN(INDEX($BE$4:$BJ$99,MATCH(BV374,$BE$4:$BE$99,0),3))&gt;10,LEN(INDEX($BE$4:$BJ$99,MATCH(BV374,$BE$4:$BE$99,0),3))-8,1)),IF(INDEX(Calculation_Tab,MATCH(BV374,Identifier,0),10)&gt;1,INDEX(Calculation_Tab,MATCH(BV374,Identifier,0),10),1)))*(1+Calculation!$Q$6),"-")</f>
        <v>-</v>
      </c>
      <c r="CC374" s="508" t="str">
        <f ca="1">IFERROR(ROUND(INDEX(Cluster,MATCH(IF(LEFT(BV374,4)="Pool",INDEX(Cluster,MATCH(INDEX(Calculation_Tab,MATCH(INDEX($BE$4:$BJ$99,MATCH(BV374,$BE$4:$BE$99,0),3),Flow_Cell_Lane,0),3),Cluster!$F$29:$F$412,0),6),BV374),Identifier_Cluster,0),20)*IF(LEFT(BV374,4)="pool",IF(LEN(INDEX($BE$4:$BJ$99,MATCH(BV374,$BE$4:$BE$99,0),3))=10,2,IF(LEN(INDEX($BE$4:$BJ$99,MATCH(BV374,$BE$4:$BE$99,0),3))&gt;10,LEN(INDEX($BE$4:$BJ$99,MATCH(BV374,$BE$4:$BE$99,0),3))-8,1)),1)*IF(LEFT(BV374,4)="pool",IF(INDEX($BE$4:$BJ$99,MATCH(BV374,$BE$4:$BE$99,0),6)&lt;1,1,INDEX($BE$4:$BJ$99,MATCH(BV374,$BE$4:$BE$99,0),6)),INDEX(Calculation_Tab,MATCH(BV374,Identifier,0),10)),1)*(1+Calculation!$Q$6),"-")</f>
        <v>-</v>
      </c>
      <c r="CD374" s="509" t="str">
        <f ca="1">IFERROR(INDEX(Cluster!AC:AD,MATCH(IF(LEFT(BV374,4)="Pool",INDEX(Cluster!$D$29:$AA$412,MATCH(INDEX(Calculation_Tab,MATCH(INDEX($BE$4:$BJ$99,MATCH(BV374,$BE$4:$BE$99,0),3),Flow_Cell_Lane,0),3),Cluster!$F$29:$F$412,0),24),INDEX(Cluster!$D$29:$AA$412,MATCH(BV374,Cluster!$F$29:$F$412,0),24)),Cluster!AC:AC,0),2),"-")</f>
        <v>-</v>
      </c>
      <c r="CE374" s="378" t="str">
        <f ca="1">IFERROR(IF(BV374&lt;&gt;"-",Calculation!$AK$6,"-"),"-")</f>
        <v>-</v>
      </c>
      <c r="CF374" s="378" t="str">
        <f ca="1">IF(OR(LEFT(ListAndConversion!BW374,3)="Dil",LEFT(ListAndConversion!BW374,3)="Poo"),ListAndConversion!$BT$4,IF(LEFT(ListAndConversion!BW374,3)="Sou",INDEX(ListAndConversion!$AT$3:$AV$387,MATCH(ListAndConversion!BV374,ListAndConversion!$AV$3:$AV$387,0),1),"-"))</f>
        <v>-</v>
      </c>
      <c r="CG374" s="498" t="str">
        <f ca="1">IF(OR(LEFT(ListAndConversion!BW374,3)="Dil",LEFT(ListAndConversion!BW374,3)="Poo"),ListAndConversion!BU374,IF(LEFT(ListAndConversion!BW374,3)="Sou",INDEX(ListAndConversion!$AT$4:$AV$387,MATCH(ListAndConversion!BV374,ListAndConversion!$AV$4:$AV$387,0),2),"-"))</f>
        <v>-</v>
      </c>
      <c r="CH374" s="378"/>
      <c r="CI374" s="487" t="str">
        <f t="shared" ca="1" si="180"/>
        <v>-</v>
      </c>
      <c r="CJ374" s="378" t="str">
        <f t="shared" ref="CJ374:CQ387" ca="1" si="192">IFERROR(INDEX($R$3:$U$98,MATCH(INDEX($F$3:$M$387,MATCH($CI374,$E$3:$E$386,0),CJ$3),$S$3:$S$98,0),4),"-")</f>
        <v>-</v>
      </c>
      <c r="CK374" s="378" t="str">
        <f t="shared" ca="1" si="192"/>
        <v>-</v>
      </c>
      <c r="CL374" s="378" t="str">
        <f t="shared" ca="1" si="192"/>
        <v>-</v>
      </c>
      <c r="CM374" s="378" t="str">
        <f t="shared" ca="1" si="192"/>
        <v>-</v>
      </c>
      <c r="CN374" s="378" t="str">
        <f t="shared" ca="1" si="192"/>
        <v>-</v>
      </c>
      <c r="CO374" s="378" t="str">
        <f t="shared" ca="1" si="192"/>
        <v>-</v>
      </c>
      <c r="CP374" s="378" t="str">
        <f t="shared" ca="1" si="192"/>
        <v>-</v>
      </c>
      <c r="CQ374" s="378" t="str">
        <f t="shared" ca="1" si="192"/>
        <v>-</v>
      </c>
      <c r="CR374" s="510" t="str">
        <f ca="1">IFERROR(IF(LEFT(BW374,3)="Poo",INDEX($BE$4:$BJ$99,MATCH(CI374,$BG$4:$BG$99,0),6)*((15/50))*Calculation!$AK$6,INDEX(Calculation_Tab,MATCH(BV374,Identifier,0),10)/(IF(LEN(INDEX(Calculation_Tab,MATCH(BV374,Identifier,0),9))&gt;8,LEN(INDEX(Calculation_Tab,MATCH(BV374,Identifier,0),9))-8,1))*((15/50)*Calculation!$AK$6)),"-")</f>
        <v>-</v>
      </c>
      <c r="CS374" s="498" t="str">
        <f ca="1">IF(CI374="-","-",IF(COUNTIF($CI$3:CI374,CI374)&gt;1,0,IFERROR((35/50)*Calculation!$AK$6,"-")))</f>
        <v>-</v>
      </c>
    </row>
    <row r="375" spans="4:97" x14ac:dyDescent="0.5">
      <c r="D375" s="487" t="e">
        <f t="shared" si="165"/>
        <v>#DIV/0!</v>
      </c>
      <c r="E375" s="496" t="e">
        <f t="array" ref="E375">IF(IF((ROW(E375)-3)&lt;(ListAndConversion!$A$15),INDEX(Flow_Cell_Lane,MIN(IF(COUNTIF($E$2:E374,Flow_Cell_Lane)=0,ROW(Flow_Cell_Lane)-9))),"-")="","-",IF((ROW(E375)-3)&lt;(ListAndConversion!$A$15),INDEX(Flow_Cell_Lane,MIN(IF(COUNTIF($E$2:E374,Flow_Cell_Lane)=0,ROW(Flow_Cell_Lane)-9))),"-"))</f>
        <v>#DIV/0!</v>
      </c>
      <c r="F375" s="378" t="e">
        <f t="shared" si="166"/>
        <v>#DIV/0!</v>
      </c>
      <c r="G375" s="378" t="e">
        <f t="shared" si="191"/>
        <v>#DIV/0!</v>
      </c>
      <c r="H375" s="378" t="e">
        <f t="shared" si="191"/>
        <v>#DIV/0!</v>
      </c>
      <c r="I375" s="378" t="e">
        <f t="shared" si="191"/>
        <v>#DIV/0!</v>
      </c>
      <c r="J375" s="378" t="e">
        <f t="shared" si="191"/>
        <v>#DIV/0!</v>
      </c>
      <c r="K375" s="378" t="e">
        <f t="shared" si="191"/>
        <v>#DIV/0!</v>
      </c>
      <c r="L375" s="378" t="e">
        <f t="shared" si="191"/>
        <v>#DIV/0!</v>
      </c>
      <c r="M375" s="378" t="e">
        <f t="shared" si="191"/>
        <v>#DIV/0!</v>
      </c>
      <c r="N375" s="497" t="e">
        <f t="shared" si="168"/>
        <v>#DIV/0!</v>
      </c>
      <c r="O375" s="497" t="str">
        <f t="array" ref="O375">IFERROR(INDEX(Calculation!I:AN,MATCH(ListAndConversion!E375,Calculation!I:I,0),31),"-")</f>
        <v>-</v>
      </c>
      <c r="P375" s="498">
        <f>IF(COUNTIFS(Calculation!$I$10:$I$393,E375,Direct_Denaturation,"-")&lt;&gt;1,COUNTIFS(Calculation!$I$10:$I$393,E375,Direct_Denaturation,"-"),0)</f>
        <v>0</v>
      </c>
      <c r="V375" s="542" t="s">
        <v>82</v>
      </c>
      <c r="W375" s="542" t="s">
        <v>82</v>
      </c>
      <c r="X375" s="542" t="s">
        <v>82</v>
      </c>
      <c r="Y375" s="542" t="s">
        <v>82</v>
      </c>
      <c r="Z375" s="542" t="s">
        <v>82</v>
      </c>
      <c r="AA375" s="542" t="s">
        <v>82</v>
      </c>
      <c r="AB375" s="542" t="s">
        <v>82</v>
      </c>
      <c r="AC375" s="542" t="s">
        <v>82</v>
      </c>
      <c r="AD375" s="542" t="s">
        <v>82</v>
      </c>
      <c r="AE375" s="542" t="s">
        <v>82</v>
      </c>
      <c r="AF375" s="542" t="s">
        <v>82</v>
      </c>
      <c r="AG375" s="542" t="s">
        <v>82</v>
      </c>
      <c r="AH375" s="9"/>
      <c r="AI375" s="487">
        <v>372</v>
      </c>
      <c r="AJ375" s="497" t="s">
        <v>479</v>
      </c>
      <c r="AK375" s="378">
        <v>84</v>
      </c>
      <c r="AL375" s="378" t="str">
        <f t="shared" ca="1" si="169"/>
        <v>-</v>
      </c>
      <c r="AM375" s="378" t="str">
        <f t="array" aca="1" ref="AM375" ca="1">IFERROR(IF(AI375&lt;=$AB$2,"-",INDEX(Calculation_Tab,SMALL(ROW(Main_Dil)*(Main_Dil&lt;&gt;"-"),COUNTIF(Main_Dil,"-")+ROW()-3-$AB$2)-9,5)),"-")</f>
        <v>-</v>
      </c>
      <c r="AN375" s="378" t="str">
        <f t="array" aca="1" ref="AN375" ca="1">IFERROR(IF(AI375&lt;=$AB$2,"-",INDEX($A$3:$B$12,MATCH(INDEX(Calculation_Tab,SMALL(ROW(Main_Dil)*(Main_Dil&lt;&gt;"-"),COUNTIF(Main_Dil,"-")+ROW()-3-$AB$2)-9,5),$A$3:$A$12,0),2)),"-")</f>
        <v>-</v>
      </c>
      <c r="AO375" s="378" t="str">
        <f t="array" aca="1" ref="AO375" ca="1">IFERROR(IF(AI375&lt;=$AB$2,"-",INDEX(Coordinate,MATCH(INDEX(Calculation_Tab,SMALL(ROW(Main_Dil)*(Main_Dil&lt;&gt;"-"),COUNTIF(Main_Dil,"-")+ROW()-3-$AB$2)-9,6),$X$4:$X$99,0),2)),"-")</f>
        <v>-</v>
      </c>
      <c r="AP375" s="510" t="str">
        <f t="array" aca="1" ref="AP375" ca="1">IFERROR(IF(AI375&lt;=$AB$2,"-",INDEX(Calculation_Tab,SMALL(ROW(Main_Dil)*(Main_Dil&lt;&gt;"-"),COUNTIF(Main_Dil,"-")+ROW()-3-$AB$2)-9,21)),"-")</f>
        <v>-</v>
      </c>
      <c r="AQ375" s="511" t="str">
        <f t="array" aca="1" ref="AQ375" ca="1">IFERROR(IF(AI375&lt;=$AB$2,"-",INDEX(Calculation_Tab,SMALL(ROW(Main_Dil)*(Main_Dil&lt;&gt;"-"),COUNTIF(Main_Dil,"-")+ROW()-3-$AB$2)-9,22)),"-")</f>
        <v>-</v>
      </c>
      <c r="AR375" s="487" t="str">
        <f t="shared" ca="1" si="170"/>
        <v>-</v>
      </c>
      <c r="AS375" s="378">
        <v>372</v>
      </c>
      <c r="AT375" s="497" t="s">
        <v>479</v>
      </c>
      <c r="AU375" s="498">
        <v>84</v>
      </c>
      <c r="AV375" s="378" t="str">
        <f t="shared" ca="1" si="171"/>
        <v>-</v>
      </c>
      <c r="AW375" s="378" t="str">
        <f t="array" aca="1" ref="AW375" ca="1">IFERROR(IF(AS375&lt;=$AB$2+$AN$2,"-",INDEX(Calculation_Tab,SMALL(ROW(Direct_Denaturation)*(Direct_Denaturation&lt;&gt;"-"),COUNTIF(Direct_Denaturation,"-")+ROW()-3-$AB$2-$AN$2)-9,5)),"-")</f>
        <v>-</v>
      </c>
      <c r="AX375" s="378" t="str">
        <f t="array" aca="1" ref="AX375" ca="1">IFERROR(IF(AS375&lt;=$AB$2+$AN$2,"-",INDEX($A$3:$B$12,MATCH(INDEX(Calculation_Tab,SMALL(ROW(Direct_Denaturation)*(Direct_Denaturation&lt;&gt;"-"),COUNTIF(Direct_Denaturation,"-")+ROW()-3-$AB$2-$AN$2)-9,5),$A$3:$A$12,0),2)),"-")</f>
        <v>-</v>
      </c>
      <c r="AY375" s="378" t="str">
        <f t="array" aca="1" ref="AY375" ca="1">IFERROR(IF(AS375&lt;=$AB$2+$AN$2,"-",INDEX(Coordinate,MATCH(INDEX(Calculation_Tab,SMALL(ROW(Direct_Denaturation)*(Direct_Denaturation&lt;&gt;"-"),COUNTIF(Direct_Denaturation,"-")+ROW()-3-$AB$2-$AN$2)-9,6),$X$4:$X$99,0),2)),"-")</f>
        <v>-</v>
      </c>
      <c r="AZ375" s="510" t="str">
        <f t="array" aca="1" ref="AZ375" ca="1">IFERROR(IF(AS375&lt;=$AB$2+$AN$2,"-",INDEX(Calculation_Tab,SMALL(ROW(Direct_Denaturation)*(Direct_Denaturation&lt;&gt;"-"),COUNTIF(Direct_Denaturation,"-")+ROW()-3-$AB$2-$AN$2)-9,32)),"-")</f>
        <v>-</v>
      </c>
      <c r="BA375" s="510" t="str">
        <f t="array" aca="1" ref="BA375" ca="1">IFERROR(IF(AS375&lt;=$AB$2+$AN$2,"-",INDEX(Calculation_Tab,SMALL(ROW(Direct_Denaturation)*(Direct_Denaturation&lt;&gt;"-"),COUNTIF(Direct_Denaturation,"-")+ROW()-3-$AB$2-$AN$2)-9,34)),"-")</f>
        <v>-</v>
      </c>
      <c r="BB375" s="510" t="str">
        <f t="array" aca="1" ref="BB375" ca="1">IFERROR(IF(AS375&lt;=$AB$2+$AN$2,"-",INDEX(Calculation_Tab,SMALL(ROW(Direct_Denaturation)*(Direct_Denaturation&lt;&gt;"-"),COUNTIF(Direct_Denaturation,"-")+ROW()-3-$AB$2-$AN$2)-9,33)),"-")</f>
        <v>-</v>
      </c>
      <c r="BC375" s="510" t="str">
        <f t="array" aca="1" ref="BC375" ca="1">IFERROR(IF(AS375&lt;=$AB$2+$AN$2,"-",INDEX(Calculation_Tab,SMALL(ROW(Direct_Denaturation)*(Direct_Denaturation&lt;&gt;"-"),COUNTIF(Direct_Denaturation,"-")+ROW()-3-$AB$2-$AN$2)-9,35)),"-")</f>
        <v>-</v>
      </c>
      <c r="BD375" s="511" t="str">
        <f t="shared" ca="1" si="172"/>
        <v>-</v>
      </c>
      <c r="BK375" s="542" t="s">
        <v>82</v>
      </c>
      <c r="BL375" s="542" t="s">
        <v>82</v>
      </c>
      <c r="BM375" s="487" t="str">
        <f t="array" aca="1" ref="BM375" ca="1">IFERROR(INDEX(Calculation_Tab,SMALL(ROW(ToPool)*(ToPool&lt;&gt;"-"),COUNTIF(ToPool,"-")+ROW()-3)-9,3),"-")</f>
        <v>-</v>
      </c>
      <c r="BN375" s="378" t="str">
        <f t="shared" ca="1" si="173"/>
        <v>-</v>
      </c>
      <c r="BO375" s="378" t="str">
        <f t="shared" ca="1" si="174"/>
        <v>-</v>
      </c>
      <c r="BP375" s="523" t="str">
        <f t="shared" ca="1" si="175"/>
        <v>-</v>
      </c>
      <c r="BQ375" s="378" t="str">
        <f t="array" aca="1" ref="BQ375" ca="1">IFERROR(INDEX(BE:BG,MATCH(INDEX(Calculation_Tab,SMALL(ROW(ToPool)*(ToPool&lt;&gt;"-"),COUNTIF(ToPool,"-")+ROW()-3)-9,9),BG:BG,0),2),"-")</f>
        <v>-</v>
      </c>
      <c r="BR375" s="510" t="str">
        <f t="shared" ca="1" si="176"/>
        <v>-</v>
      </c>
      <c r="BS375" s="511" t="str">
        <f t="shared" ca="1" si="177"/>
        <v>-</v>
      </c>
      <c r="BT375" s="543" t="s">
        <v>82</v>
      </c>
      <c r="BU375" s="487" t="str">
        <f t="shared" ca="1" si="182"/>
        <v>-</v>
      </c>
      <c r="BV375" s="487" t="str">
        <f t="array" aca="1" ref="BV37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75" s="378" t="str">
        <f t="shared" ca="1" si="178"/>
        <v>-</v>
      </c>
      <c r="BX375" s="378" t="str">
        <f t="shared" ca="1" si="179"/>
        <v>-</v>
      </c>
      <c r="BY375" s="510" t="str">
        <f ca="1">IFERROR(ROUND(INDEX(Cluster,MATCH(IF(LEFT(BV375,4)="Pool",INDEX(Cluster,MATCH(INDEX(Calculation_Tab,MATCH(INDEX($BE$4:$BJ$99,MATCH(BV375,$BE$4:$BE$99,0),3),Flow_Cell_Lane,0),3),Cluster!$F$29:$F$412,0),6),BV375),Identifier_Cluster,0),19)*IF(LEFT(BV375,4)="pool",IF(LEN(INDEX($BE$4:$BJ$99,MATCH(BV375,$BE$4:$BE$99,0),3))=10,2,IF(LEN(INDEX($BE$4:$BJ$99,MATCH(BV375,$BE$4:$BE$99,0),3))&gt;10,LEN(INDEX($BE$4:$BJ$99,MATCH(BV375,$BE$4:$BE$99,0),3))-8,1)),1)*IF(LEFT(BV375,4)="pool",IF(INDEX($BE$4:$BJ$99,MATCH(BV375,$BE$4:$BE$99,0),6)&lt;1,1,INDEX($BE$4:$BJ$99,MATCH(BV375,$BE$4:$BE$99,0),6)),INDEX(Calculation_Tab,MATCH(BV375,Identifier,0),10)),1)*(1+Calculation!$Q$6),"-")</f>
        <v>-</v>
      </c>
      <c r="BZ375" s="378" t="str">
        <f ca="1">IFERROR((0.5/50)*CE375/Calculation!$AG$6*(IF(LEFT(BV375,4)="Pool",IF(LEN(INDEX($BE$4:$BJ$99,MATCH(BV375,$BE$4:$BE$99,0),3))=10,2,IF(LEN(INDEX($BE$4:$BJ$99,MATCH(BV375,$BE$4:$BE$99,0),3))&gt;10,LEN(INDEX($BE$4:$BJ$99,MATCH(BV375,$BE$4:$BE$99,0),3))-8,1)),IF(INDEX(Calculation_Tab,MATCH(BV375,Identifier,0),10)&gt;1,INDEX(Calculation_Tab,MATCH(BV375,Identifier,0),10),1)))*(1+Calculation!$Q$6),"-")</f>
        <v>-</v>
      </c>
      <c r="CA375" s="510" t="str">
        <f ca="1">IFERROR(IF((BZ375*Calculation!$AG$6/0.05)-SUM(BY375:BZ375,CC375)&gt;0,(BZ375*Calculation!$AG$6/0.05)-SUM(BY375:BZ375,CC375),0),"-")</f>
        <v>-</v>
      </c>
      <c r="CB375" s="510" t="str">
        <f ca="1">IFERROR(5/50*CE375*(IF(LEFT(BV375,4)="Pool",IF(LEN(INDEX($BE$4:$BJ$99,MATCH(BV375,$BE$4:$BE$99,0),3))=10,2,IF(LEN(INDEX($BE$4:$BJ$99,MATCH(BV375,$BE$4:$BE$99,0),3))&gt;10,LEN(INDEX($BE$4:$BJ$99,MATCH(BV375,$BE$4:$BE$99,0),3))-8,1)),IF(INDEX(Calculation_Tab,MATCH(BV375,Identifier,0),10)&gt;1,INDEX(Calculation_Tab,MATCH(BV375,Identifier,0),10),1)))*(1+Calculation!$Q$6),"-")</f>
        <v>-</v>
      </c>
      <c r="CC375" s="508" t="str">
        <f ca="1">IFERROR(ROUND(INDEX(Cluster,MATCH(IF(LEFT(BV375,4)="Pool",INDEX(Cluster,MATCH(INDEX(Calculation_Tab,MATCH(INDEX($BE$4:$BJ$99,MATCH(BV375,$BE$4:$BE$99,0),3),Flow_Cell_Lane,0),3),Cluster!$F$29:$F$412,0),6),BV375),Identifier_Cluster,0),20)*IF(LEFT(BV375,4)="pool",IF(LEN(INDEX($BE$4:$BJ$99,MATCH(BV375,$BE$4:$BE$99,0),3))=10,2,IF(LEN(INDEX($BE$4:$BJ$99,MATCH(BV375,$BE$4:$BE$99,0),3))&gt;10,LEN(INDEX($BE$4:$BJ$99,MATCH(BV375,$BE$4:$BE$99,0),3))-8,1)),1)*IF(LEFT(BV375,4)="pool",IF(INDEX($BE$4:$BJ$99,MATCH(BV375,$BE$4:$BE$99,0),6)&lt;1,1,INDEX($BE$4:$BJ$99,MATCH(BV375,$BE$4:$BE$99,0),6)),INDEX(Calculation_Tab,MATCH(BV375,Identifier,0),10)),1)*(1+Calculation!$Q$6),"-")</f>
        <v>-</v>
      </c>
      <c r="CD375" s="509" t="str">
        <f ca="1">IFERROR(INDEX(Cluster!AC:AD,MATCH(IF(LEFT(BV375,4)="Pool",INDEX(Cluster!$D$29:$AA$412,MATCH(INDEX(Calculation_Tab,MATCH(INDEX($BE$4:$BJ$99,MATCH(BV375,$BE$4:$BE$99,0),3),Flow_Cell_Lane,0),3),Cluster!$F$29:$F$412,0),24),INDEX(Cluster!$D$29:$AA$412,MATCH(BV375,Cluster!$F$29:$F$412,0),24)),Cluster!AC:AC,0),2),"-")</f>
        <v>-</v>
      </c>
      <c r="CE375" s="378" t="str">
        <f ca="1">IFERROR(IF(BV375&lt;&gt;"-",Calculation!$AK$6,"-"),"-")</f>
        <v>-</v>
      </c>
      <c r="CF375" s="378" t="str">
        <f ca="1">IF(OR(LEFT(ListAndConversion!BW375,3)="Dil",LEFT(ListAndConversion!BW375,3)="Poo"),ListAndConversion!$BT$4,IF(LEFT(ListAndConversion!BW375,3)="Sou",INDEX(ListAndConversion!$AT$3:$AV$387,MATCH(ListAndConversion!BV375,ListAndConversion!$AV$3:$AV$387,0),1),"-"))</f>
        <v>-</v>
      </c>
      <c r="CG375" s="498" t="str">
        <f ca="1">IF(OR(LEFT(ListAndConversion!BW375,3)="Dil",LEFT(ListAndConversion!BW375,3)="Poo"),ListAndConversion!BU375,IF(LEFT(ListAndConversion!BW375,3)="Sou",INDEX(ListAndConversion!$AT$4:$AV$387,MATCH(ListAndConversion!BV375,ListAndConversion!$AV$4:$AV$387,0),2),"-"))</f>
        <v>-</v>
      </c>
      <c r="CH375" s="378"/>
      <c r="CI375" s="487" t="str">
        <f t="shared" ca="1" si="180"/>
        <v>-</v>
      </c>
      <c r="CJ375" s="378" t="str">
        <f t="shared" ca="1" si="192"/>
        <v>-</v>
      </c>
      <c r="CK375" s="378" t="str">
        <f t="shared" ca="1" si="192"/>
        <v>-</v>
      </c>
      <c r="CL375" s="378" t="str">
        <f t="shared" ca="1" si="192"/>
        <v>-</v>
      </c>
      <c r="CM375" s="378" t="str">
        <f t="shared" ca="1" si="192"/>
        <v>-</v>
      </c>
      <c r="CN375" s="378" t="str">
        <f t="shared" ca="1" si="192"/>
        <v>-</v>
      </c>
      <c r="CO375" s="378" t="str">
        <f t="shared" ca="1" si="192"/>
        <v>-</v>
      </c>
      <c r="CP375" s="378" t="str">
        <f t="shared" ca="1" si="192"/>
        <v>-</v>
      </c>
      <c r="CQ375" s="378" t="str">
        <f t="shared" ca="1" si="192"/>
        <v>-</v>
      </c>
      <c r="CR375" s="510" t="str">
        <f ca="1">IFERROR(IF(LEFT(BW375,3)="Poo",INDEX($BE$4:$BJ$99,MATCH(CI375,$BG$4:$BG$99,0),6)*((15/50))*Calculation!$AK$6,INDEX(Calculation_Tab,MATCH(BV375,Identifier,0),10)/(IF(LEN(INDEX(Calculation_Tab,MATCH(BV375,Identifier,0),9))&gt;8,LEN(INDEX(Calculation_Tab,MATCH(BV375,Identifier,0),9))-8,1))*((15/50)*Calculation!$AK$6)),"-")</f>
        <v>-</v>
      </c>
      <c r="CS375" s="498" t="str">
        <f ca="1">IF(CI375="-","-",IF(COUNTIF($CI$3:CI375,CI375)&gt;1,0,IFERROR((35/50)*Calculation!$AK$6,"-")))</f>
        <v>-</v>
      </c>
    </row>
    <row r="376" spans="4:97" x14ac:dyDescent="0.5">
      <c r="D376" s="487" t="e">
        <f t="shared" si="165"/>
        <v>#DIV/0!</v>
      </c>
      <c r="E376" s="496" t="e">
        <f t="array" ref="E376">IF(IF((ROW(E376)-3)&lt;(ListAndConversion!$A$15),INDEX(Flow_Cell_Lane,MIN(IF(COUNTIF($E$2:E375,Flow_Cell_Lane)=0,ROW(Flow_Cell_Lane)-9))),"-")="","-",IF((ROW(E376)-3)&lt;(ListAndConversion!$A$15),INDEX(Flow_Cell_Lane,MIN(IF(COUNTIF($E$2:E375,Flow_Cell_Lane)=0,ROW(Flow_Cell_Lane)-9))),"-"))</f>
        <v>#DIV/0!</v>
      </c>
      <c r="F376" s="378" t="e">
        <f t="shared" si="166"/>
        <v>#DIV/0!</v>
      </c>
      <c r="G376" s="378" t="e">
        <f t="shared" si="191"/>
        <v>#DIV/0!</v>
      </c>
      <c r="H376" s="378" t="e">
        <f t="shared" si="191"/>
        <v>#DIV/0!</v>
      </c>
      <c r="I376" s="378" t="e">
        <f t="shared" si="191"/>
        <v>#DIV/0!</v>
      </c>
      <c r="J376" s="378" t="e">
        <f t="shared" si="191"/>
        <v>#DIV/0!</v>
      </c>
      <c r="K376" s="378" t="e">
        <f t="shared" si="191"/>
        <v>#DIV/0!</v>
      </c>
      <c r="L376" s="378" t="e">
        <f t="shared" si="191"/>
        <v>#DIV/0!</v>
      </c>
      <c r="M376" s="378" t="e">
        <f t="shared" si="191"/>
        <v>#DIV/0!</v>
      </c>
      <c r="N376" s="497" t="e">
        <f t="shared" si="168"/>
        <v>#DIV/0!</v>
      </c>
      <c r="O376" s="497" t="str">
        <f t="array" ref="O376">IFERROR(INDEX(Calculation!I:AN,MATCH(ListAndConversion!E376,Calculation!I:I,0),31),"-")</f>
        <v>-</v>
      </c>
      <c r="P376" s="498">
        <f>IF(COUNTIFS(Calculation!$I$10:$I$393,E376,Direct_Denaturation,"-")&lt;&gt;1,COUNTIFS(Calculation!$I$10:$I$393,E376,Direct_Denaturation,"-"),0)</f>
        <v>0</v>
      </c>
      <c r="V376" s="542" t="s">
        <v>82</v>
      </c>
      <c r="W376" s="542" t="s">
        <v>82</v>
      </c>
      <c r="X376" s="542" t="s">
        <v>82</v>
      </c>
      <c r="Y376" s="542" t="s">
        <v>82</v>
      </c>
      <c r="Z376" s="542" t="s">
        <v>82</v>
      </c>
      <c r="AA376" s="542" t="s">
        <v>82</v>
      </c>
      <c r="AB376" s="542" t="s">
        <v>82</v>
      </c>
      <c r="AC376" s="542" t="s">
        <v>82</v>
      </c>
      <c r="AD376" s="542" t="s">
        <v>82</v>
      </c>
      <c r="AE376" s="542" t="s">
        <v>82</v>
      </c>
      <c r="AF376" s="542" t="s">
        <v>82</v>
      </c>
      <c r="AG376" s="542" t="s">
        <v>82</v>
      </c>
      <c r="AH376" s="9"/>
      <c r="AI376" s="487">
        <v>373</v>
      </c>
      <c r="AJ376" s="497" t="s">
        <v>479</v>
      </c>
      <c r="AK376" s="378">
        <v>85</v>
      </c>
      <c r="AL376" s="378" t="str">
        <f t="shared" ca="1" si="169"/>
        <v>-</v>
      </c>
      <c r="AM376" s="378" t="str">
        <f t="array" aca="1" ref="AM376" ca="1">IFERROR(IF(AI376&lt;=$AB$2,"-",INDEX(Calculation_Tab,SMALL(ROW(Main_Dil)*(Main_Dil&lt;&gt;"-"),COUNTIF(Main_Dil,"-")+ROW()-3-$AB$2)-9,5)),"-")</f>
        <v>-</v>
      </c>
      <c r="AN376" s="378" t="str">
        <f t="array" aca="1" ref="AN376" ca="1">IFERROR(IF(AI376&lt;=$AB$2,"-",INDEX($A$3:$B$12,MATCH(INDEX(Calculation_Tab,SMALL(ROW(Main_Dil)*(Main_Dil&lt;&gt;"-"),COUNTIF(Main_Dil,"-")+ROW()-3-$AB$2)-9,5),$A$3:$A$12,0),2)),"-")</f>
        <v>-</v>
      </c>
      <c r="AO376" s="378" t="str">
        <f t="array" aca="1" ref="AO376" ca="1">IFERROR(IF(AI376&lt;=$AB$2,"-",INDEX(Coordinate,MATCH(INDEX(Calculation_Tab,SMALL(ROW(Main_Dil)*(Main_Dil&lt;&gt;"-"),COUNTIF(Main_Dil,"-")+ROW()-3-$AB$2)-9,6),$X$4:$X$99,0),2)),"-")</f>
        <v>-</v>
      </c>
      <c r="AP376" s="510" t="str">
        <f t="array" aca="1" ref="AP376" ca="1">IFERROR(IF(AI376&lt;=$AB$2,"-",INDEX(Calculation_Tab,SMALL(ROW(Main_Dil)*(Main_Dil&lt;&gt;"-"),COUNTIF(Main_Dil,"-")+ROW()-3-$AB$2)-9,21)),"-")</f>
        <v>-</v>
      </c>
      <c r="AQ376" s="511" t="str">
        <f t="array" aca="1" ref="AQ376" ca="1">IFERROR(IF(AI376&lt;=$AB$2,"-",INDEX(Calculation_Tab,SMALL(ROW(Main_Dil)*(Main_Dil&lt;&gt;"-"),COUNTIF(Main_Dil,"-")+ROW()-3-$AB$2)-9,22)),"-")</f>
        <v>-</v>
      </c>
      <c r="AR376" s="487" t="str">
        <f t="shared" ca="1" si="170"/>
        <v>-</v>
      </c>
      <c r="AS376" s="378">
        <v>373</v>
      </c>
      <c r="AT376" s="497" t="s">
        <v>479</v>
      </c>
      <c r="AU376" s="498">
        <v>85</v>
      </c>
      <c r="AV376" s="378" t="str">
        <f t="shared" ca="1" si="171"/>
        <v>-</v>
      </c>
      <c r="AW376" s="378" t="str">
        <f t="array" aca="1" ref="AW376" ca="1">IFERROR(IF(AS376&lt;=$AB$2+$AN$2,"-",INDEX(Calculation_Tab,SMALL(ROW(Direct_Denaturation)*(Direct_Denaturation&lt;&gt;"-"),COUNTIF(Direct_Denaturation,"-")+ROW()-3-$AB$2-$AN$2)-9,5)),"-")</f>
        <v>-</v>
      </c>
      <c r="AX376" s="378" t="str">
        <f t="array" aca="1" ref="AX376" ca="1">IFERROR(IF(AS376&lt;=$AB$2+$AN$2,"-",INDEX($A$3:$B$12,MATCH(INDEX(Calculation_Tab,SMALL(ROW(Direct_Denaturation)*(Direct_Denaturation&lt;&gt;"-"),COUNTIF(Direct_Denaturation,"-")+ROW()-3-$AB$2-$AN$2)-9,5),$A$3:$A$12,0),2)),"-")</f>
        <v>-</v>
      </c>
      <c r="AY376" s="378" t="str">
        <f t="array" aca="1" ref="AY376" ca="1">IFERROR(IF(AS376&lt;=$AB$2+$AN$2,"-",INDEX(Coordinate,MATCH(INDEX(Calculation_Tab,SMALL(ROW(Direct_Denaturation)*(Direct_Denaturation&lt;&gt;"-"),COUNTIF(Direct_Denaturation,"-")+ROW()-3-$AB$2-$AN$2)-9,6),$X$4:$X$99,0),2)),"-")</f>
        <v>-</v>
      </c>
      <c r="AZ376" s="510" t="str">
        <f t="array" aca="1" ref="AZ376" ca="1">IFERROR(IF(AS376&lt;=$AB$2+$AN$2,"-",INDEX(Calculation_Tab,SMALL(ROW(Direct_Denaturation)*(Direct_Denaturation&lt;&gt;"-"),COUNTIF(Direct_Denaturation,"-")+ROW()-3-$AB$2-$AN$2)-9,32)),"-")</f>
        <v>-</v>
      </c>
      <c r="BA376" s="510" t="str">
        <f t="array" aca="1" ref="BA376" ca="1">IFERROR(IF(AS376&lt;=$AB$2+$AN$2,"-",INDEX(Calculation_Tab,SMALL(ROW(Direct_Denaturation)*(Direct_Denaturation&lt;&gt;"-"),COUNTIF(Direct_Denaturation,"-")+ROW()-3-$AB$2-$AN$2)-9,34)),"-")</f>
        <v>-</v>
      </c>
      <c r="BB376" s="510" t="str">
        <f t="array" aca="1" ref="BB376" ca="1">IFERROR(IF(AS376&lt;=$AB$2+$AN$2,"-",INDEX(Calculation_Tab,SMALL(ROW(Direct_Denaturation)*(Direct_Denaturation&lt;&gt;"-"),COUNTIF(Direct_Denaturation,"-")+ROW()-3-$AB$2-$AN$2)-9,33)),"-")</f>
        <v>-</v>
      </c>
      <c r="BC376" s="510" t="str">
        <f t="array" aca="1" ref="BC376" ca="1">IFERROR(IF(AS376&lt;=$AB$2+$AN$2,"-",INDEX(Calculation_Tab,SMALL(ROW(Direct_Denaturation)*(Direct_Denaturation&lt;&gt;"-"),COUNTIF(Direct_Denaturation,"-")+ROW()-3-$AB$2-$AN$2)-9,35)),"-")</f>
        <v>-</v>
      </c>
      <c r="BD376" s="511" t="str">
        <f t="shared" ca="1" si="172"/>
        <v>-</v>
      </c>
      <c r="BK376" s="542" t="s">
        <v>82</v>
      </c>
      <c r="BL376" s="542" t="s">
        <v>82</v>
      </c>
      <c r="BM376" s="487" t="str">
        <f t="array" aca="1" ref="BM376" ca="1">IFERROR(INDEX(Calculation_Tab,SMALL(ROW(ToPool)*(ToPool&lt;&gt;"-"),COUNTIF(ToPool,"-")+ROW()-3)-9,3),"-")</f>
        <v>-</v>
      </c>
      <c r="BN376" s="378" t="str">
        <f t="shared" ca="1" si="173"/>
        <v>-</v>
      </c>
      <c r="BO376" s="378" t="str">
        <f t="shared" ca="1" si="174"/>
        <v>-</v>
      </c>
      <c r="BP376" s="523" t="str">
        <f t="shared" ca="1" si="175"/>
        <v>-</v>
      </c>
      <c r="BQ376" s="378" t="str">
        <f t="array" aca="1" ref="BQ376" ca="1">IFERROR(INDEX(BE:BG,MATCH(INDEX(Calculation_Tab,SMALL(ROW(ToPool)*(ToPool&lt;&gt;"-"),COUNTIF(ToPool,"-")+ROW()-3)-9,9),BG:BG,0),2),"-")</f>
        <v>-</v>
      </c>
      <c r="BR376" s="510" t="str">
        <f t="shared" ca="1" si="176"/>
        <v>-</v>
      </c>
      <c r="BS376" s="511" t="str">
        <f t="shared" ca="1" si="177"/>
        <v>-</v>
      </c>
      <c r="BT376" s="543" t="s">
        <v>82</v>
      </c>
      <c r="BU376" s="487" t="str">
        <f t="shared" ca="1" si="182"/>
        <v>-</v>
      </c>
      <c r="BV376" s="487" t="str">
        <f t="array" aca="1" ref="BV37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76" s="378" t="str">
        <f t="shared" ca="1" si="178"/>
        <v>-</v>
      </c>
      <c r="BX376" s="378" t="str">
        <f t="shared" ca="1" si="179"/>
        <v>-</v>
      </c>
      <c r="BY376" s="510" t="str">
        <f ca="1">IFERROR(ROUND(INDEX(Cluster,MATCH(IF(LEFT(BV376,4)="Pool",INDEX(Cluster,MATCH(INDEX(Calculation_Tab,MATCH(INDEX($BE$4:$BJ$99,MATCH(BV376,$BE$4:$BE$99,0),3),Flow_Cell_Lane,0),3),Cluster!$F$29:$F$412,0),6),BV376),Identifier_Cluster,0),19)*IF(LEFT(BV376,4)="pool",IF(LEN(INDEX($BE$4:$BJ$99,MATCH(BV376,$BE$4:$BE$99,0),3))=10,2,IF(LEN(INDEX($BE$4:$BJ$99,MATCH(BV376,$BE$4:$BE$99,0),3))&gt;10,LEN(INDEX($BE$4:$BJ$99,MATCH(BV376,$BE$4:$BE$99,0),3))-8,1)),1)*IF(LEFT(BV376,4)="pool",IF(INDEX($BE$4:$BJ$99,MATCH(BV376,$BE$4:$BE$99,0),6)&lt;1,1,INDEX($BE$4:$BJ$99,MATCH(BV376,$BE$4:$BE$99,0),6)),INDEX(Calculation_Tab,MATCH(BV376,Identifier,0),10)),1)*(1+Calculation!$Q$6),"-")</f>
        <v>-</v>
      </c>
      <c r="BZ376" s="378" t="str">
        <f ca="1">IFERROR((0.5/50)*CE376/Calculation!$AG$6*(IF(LEFT(BV376,4)="Pool",IF(LEN(INDEX($BE$4:$BJ$99,MATCH(BV376,$BE$4:$BE$99,0),3))=10,2,IF(LEN(INDEX($BE$4:$BJ$99,MATCH(BV376,$BE$4:$BE$99,0),3))&gt;10,LEN(INDEX($BE$4:$BJ$99,MATCH(BV376,$BE$4:$BE$99,0),3))-8,1)),IF(INDEX(Calculation_Tab,MATCH(BV376,Identifier,0),10)&gt;1,INDEX(Calculation_Tab,MATCH(BV376,Identifier,0),10),1)))*(1+Calculation!$Q$6),"-")</f>
        <v>-</v>
      </c>
      <c r="CA376" s="510" t="str">
        <f ca="1">IFERROR(IF((BZ376*Calculation!$AG$6/0.05)-SUM(BY376:BZ376,CC376)&gt;0,(BZ376*Calculation!$AG$6/0.05)-SUM(BY376:BZ376,CC376),0),"-")</f>
        <v>-</v>
      </c>
      <c r="CB376" s="510" t="str">
        <f ca="1">IFERROR(5/50*CE376*(IF(LEFT(BV376,4)="Pool",IF(LEN(INDEX($BE$4:$BJ$99,MATCH(BV376,$BE$4:$BE$99,0),3))=10,2,IF(LEN(INDEX($BE$4:$BJ$99,MATCH(BV376,$BE$4:$BE$99,0),3))&gt;10,LEN(INDEX($BE$4:$BJ$99,MATCH(BV376,$BE$4:$BE$99,0),3))-8,1)),IF(INDEX(Calculation_Tab,MATCH(BV376,Identifier,0),10)&gt;1,INDEX(Calculation_Tab,MATCH(BV376,Identifier,0),10),1)))*(1+Calculation!$Q$6),"-")</f>
        <v>-</v>
      </c>
      <c r="CC376" s="508" t="str">
        <f ca="1">IFERROR(ROUND(INDEX(Cluster,MATCH(IF(LEFT(BV376,4)="Pool",INDEX(Cluster,MATCH(INDEX(Calculation_Tab,MATCH(INDEX($BE$4:$BJ$99,MATCH(BV376,$BE$4:$BE$99,0),3),Flow_Cell_Lane,0),3),Cluster!$F$29:$F$412,0),6),BV376),Identifier_Cluster,0),20)*IF(LEFT(BV376,4)="pool",IF(LEN(INDEX($BE$4:$BJ$99,MATCH(BV376,$BE$4:$BE$99,0),3))=10,2,IF(LEN(INDEX($BE$4:$BJ$99,MATCH(BV376,$BE$4:$BE$99,0),3))&gt;10,LEN(INDEX($BE$4:$BJ$99,MATCH(BV376,$BE$4:$BE$99,0),3))-8,1)),1)*IF(LEFT(BV376,4)="pool",IF(INDEX($BE$4:$BJ$99,MATCH(BV376,$BE$4:$BE$99,0),6)&lt;1,1,INDEX($BE$4:$BJ$99,MATCH(BV376,$BE$4:$BE$99,0),6)),INDEX(Calculation_Tab,MATCH(BV376,Identifier,0),10)),1)*(1+Calculation!$Q$6),"-")</f>
        <v>-</v>
      </c>
      <c r="CD376" s="509" t="str">
        <f ca="1">IFERROR(INDEX(Cluster!AC:AD,MATCH(IF(LEFT(BV376,4)="Pool",INDEX(Cluster!$D$29:$AA$412,MATCH(INDEX(Calculation_Tab,MATCH(INDEX($BE$4:$BJ$99,MATCH(BV376,$BE$4:$BE$99,0),3),Flow_Cell_Lane,0),3),Cluster!$F$29:$F$412,0),24),INDEX(Cluster!$D$29:$AA$412,MATCH(BV376,Cluster!$F$29:$F$412,0),24)),Cluster!AC:AC,0),2),"-")</f>
        <v>-</v>
      </c>
      <c r="CE376" s="378" t="str">
        <f ca="1">IFERROR(IF(BV376&lt;&gt;"-",Calculation!$AK$6,"-"),"-")</f>
        <v>-</v>
      </c>
      <c r="CF376" s="378" t="str">
        <f ca="1">IF(OR(LEFT(ListAndConversion!BW376,3)="Dil",LEFT(ListAndConversion!BW376,3)="Poo"),ListAndConversion!$BT$4,IF(LEFT(ListAndConversion!BW376,3)="Sou",INDEX(ListAndConversion!$AT$3:$AV$387,MATCH(ListAndConversion!BV376,ListAndConversion!$AV$3:$AV$387,0),1),"-"))</f>
        <v>-</v>
      </c>
      <c r="CG376" s="498" t="str">
        <f ca="1">IF(OR(LEFT(ListAndConversion!BW376,3)="Dil",LEFT(ListAndConversion!BW376,3)="Poo"),ListAndConversion!BU376,IF(LEFT(ListAndConversion!BW376,3)="Sou",INDEX(ListAndConversion!$AT$4:$AV$387,MATCH(ListAndConversion!BV376,ListAndConversion!$AV$4:$AV$387,0),2),"-"))</f>
        <v>-</v>
      </c>
      <c r="CH376" s="378"/>
      <c r="CI376" s="487" t="str">
        <f t="shared" ca="1" si="180"/>
        <v>-</v>
      </c>
      <c r="CJ376" s="378" t="str">
        <f t="shared" ca="1" si="192"/>
        <v>-</v>
      </c>
      <c r="CK376" s="378" t="str">
        <f t="shared" ca="1" si="192"/>
        <v>-</v>
      </c>
      <c r="CL376" s="378" t="str">
        <f t="shared" ca="1" si="192"/>
        <v>-</v>
      </c>
      <c r="CM376" s="378" t="str">
        <f t="shared" ca="1" si="192"/>
        <v>-</v>
      </c>
      <c r="CN376" s="378" t="str">
        <f t="shared" ca="1" si="192"/>
        <v>-</v>
      </c>
      <c r="CO376" s="378" t="str">
        <f t="shared" ca="1" si="192"/>
        <v>-</v>
      </c>
      <c r="CP376" s="378" t="str">
        <f t="shared" ca="1" si="192"/>
        <v>-</v>
      </c>
      <c r="CQ376" s="378" t="str">
        <f t="shared" ca="1" si="192"/>
        <v>-</v>
      </c>
      <c r="CR376" s="510" t="str">
        <f ca="1">IFERROR(IF(LEFT(BW376,3)="Poo",INDEX($BE$4:$BJ$99,MATCH(CI376,$BG$4:$BG$99,0),6)*((15/50))*Calculation!$AK$6,INDEX(Calculation_Tab,MATCH(BV376,Identifier,0),10)/(IF(LEN(INDEX(Calculation_Tab,MATCH(BV376,Identifier,0),9))&gt;8,LEN(INDEX(Calculation_Tab,MATCH(BV376,Identifier,0),9))-8,1))*((15/50)*Calculation!$AK$6)),"-")</f>
        <v>-</v>
      </c>
      <c r="CS376" s="498" t="str">
        <f ca="1">IF(CI376="-","-",IF(COUNTIF($CI$3:CI376,CI376)&gt;1,0,IFERROR((35/50)*Calculation!$AK$6,"-")))</f>
        <v>-</v>
      </c>
    </row>
    <row r="377" spans="4:97" x14ac:dyDescent="0.5">
      <c r="D377" s="487" t="e">
        <f t="shared" si="165"/>
        <v>#DIV/0!</v>
      </c>
      <c r="E377" s="496" t="e">
        <f t="array" ref="E377">IF(IF((ROW(E377)-3)&lt;(ListAndConversion!$A$15),INDEX(Flow_Cell_Lane,MIN(IF(COUNTIF($E$2:E376,Flow_Cell_Lane)=0,ROW(Flow_Cell_Lane)-9))),"-")="","-",IF((ROW(E377)-3)&lt;(ListAndConversion!$A$15),INDEX(Flow_Cell_Lane,MIN(IF(COUNTIF($E$2:E376,Flow_Cell_Lane)=0,ROW(Flow_Cell_Lane)-9))),"-"))</f>
        <v>#DIV/0!</v>
      </c>
      <c r="F377" s="378" t="e">
        <f t="shared" si="166"/>
        <v>#DIV/0!</v>
      </c>
      <c r="G377" s="378" t="e">
        <f t="shared" si="191"/>
        <v>#DIV/0!</v>
      </c>
      <c r="H377" s="378" t="e">
        <f t="shared" si="191"/>
        <v>#DIV/0!</v>
      </c>
      <c r="I377" s="378" t="e">
        <f t="shared" si="191"/>
        <v>#DIV/0!</v>
      </c>
      <c r="J377" s="378" t="e">
        <f t="shared" si="191"/>
        <v>#DIV/0!</v>
      </c>
      <c r="K377" s="378" t="e">
        <f t="shared" si="191"/>
        <v>#DIV/0!</v>
      </c>
      <c r="L377" s="378" t="e">
        <f t="shared" si="191"/>
        <v>#DIV/0!</v>
      </c>
      <c r="M377" s="378" t="e">
        <f t="shared" si="191"/>
        <v>#DIV/0!</v>
      </c>
      <c r="N377" s="497" t="e">
        <f t="shared" si="168"/>
        <v>#DIV/0!</v>
      </c>
      <c r="O377" s="497" t="str">
        <f t="array" ref="O377">IFERROR(INDEX(Calculation!I:AN,MATCH(ListAndConversion!E377,Calculation!I:I,0),31),"-")</f>
        <v>-</v>
      </c>
      <c r="P377" s="498">
        <f>IF(COUNTIFS(Calculation!$I$10:$I$393,E377,Direct_Denaturation,"-")&lt;&gt;1,COUNTIFS(Calculation!$I$10:$I$393,E377,Direct_Denaturation,"-"),0)</f>
        <v>0</v>
      </c>
      <c r="V377" s="542" t="s">
        <v>82</v>
      </c>
      <c r="W377" s="542" t="s">
        <v>82</v>
      </c>
      <c r="X377" s="542" t="s">
        <v>82</v>
      </c>
      <c r="Y377" s="542" t="s">
        <v>82</v>
      </c>
      <c r="Z377" s="542" t="s">
        <v>82</v>
      </c>
      <c r="AA377" s="542" t="s">
        <v>82</v>
      </c>
      <c r="AB377" s="542" t="s">
        <v>82</v>
      </c>
      <c r="AC377" s="542" t="s">
        <v>82</v>
      </c>
      <c r="AD377" s="542" t="s">
        <v>82</v>
      </c>
      <c r="AE377" s="542" t="s">
        <v>82</v>
      </c>
      <c r="AF377" s="542" t="s">
        <v>82</v>
      </c>
      <c r="AG377" s="542" t="s">
        <v>82</v>
      </c>
      <c r="AH377" s="9"/>
      <c r="AI377" s="487">
        <v>374</v>
      </c>
      <c r="AJ377" s="497" t="s">
        <v>479</v>
      </c>
      <c r="AK377" s="378">
        <v>86</v>
      </c>
      <c r="AL377" s="378" t="str">
        <f t="shared" ca="1" si="169"/>
        <v>-</v>
      </c>
      <c r="AM377" s="378" t="str">
        <f t="array" aca="1" ref="AM377" ca="1">IFERROR(IF(AI377&lt;=$AB$2,"-",INDEX(Calculation_Tab,SMALL(ROW(Main_Dil)*(Main_Dil&lt;&gt;"-"),COUNTIF(Main_Dil,"-")+ROW()-3-$AB$2)-9,5)),"-")</f>
        <v>-</v>
      </c>
      <c r="AN377" s="378" t="str">
        <f t="array" aca="1" ref="AN377" ca="1">IFERROR(IF(AI377&lt;=$AB$2,"-",INDEX($A$3:$B$12,MATCH(INDEX(Calculation_Tab,SMALL(ROW(Main_Dil)*(Main_Dil&lt;&gt;"-"),COUNTIF(Main_Dil,"-")+ROW()-3-$AB$2)-9,5),$A$3:$A$12,0),2)),"-")</f>
        <v>-</v>
      </c>
      <c r="AO377" s="378" t="str">
        <f t="array" aca="1" ref="AO377" ca="1">IFERROR(IF(AI377&lt;=$AB$2,"-",INDEX(Coordinate,MATCH(INDEX(Calculation_Tab,SMALL(ROW(Main_Dil)*(Main_Dil&lt;&gt;"-"),COUNTIF(Main_Dil,"-")+ROW()-3-$AB$2)-9,6),$X$4:$X$99,0),2)),"-")</f>
        <v>-</v>
      </c>
      <c r="AP377" s="510" t="str">
        <f t="array" aca="1" ref="AP377" ca="1">IFERROR(IF(AI377&lt;=$AB$2,"-",INDEX(Calculation_Tab,SMALL(ROW(Main_Dil)*(Main_Dil&lt;&gt;"-"),COUNTIF(Main_Dil,"-")+ROW()-3-$AB$2)-9,21)),"-")</f>
        <v>-</v>
      </c>
      <c r="AQ377" s="511" t="str">
        <f t="array" aca="1" ref="AQ377" ca="1">IFERROR(IF(AI377&lt;=$AB$2,"-",INDEX(Calculation_Tab,SMALL(ROW(Main_Dil)*(Main_Dil&lt;&gt;"-"),COUNTIF(Main_Dil,"-")+ROW()-3-$AB$2)-9,22)),"-")</f>
        <v>-</v>
      </c>
      <c r="AR377" s="487" t="str">
        <f t="shared" ca="1" si="170"/>
        <v>-</v>
      </c>
      <c r="AS377" s="378">
        <v>374</v>
      </c>
      <c r="AT377" s="497" t="s">
        <v>479</v>
      </c>
      <c r="AU377" s="498">
        <v>86</v>
      </c>
      <c r="AV377" s="378" t="str">
        <f t="shared" ca="1" si="171"/>
        <v>-</v>
      </c>
      <c r="AW377" s="378" t="str">
        <f t="array" aca="1" ref="AW377" ca="1">IFERROR(IF(AS377&lt;=$AB$2+$AN$2,"-",INDEX(Calculation_Tab,SMALL(ROW(Direct_Denaturation)*(Direct_Denaturation&lt;&gt;"-"),COUNTIF(Direct_Denaturation,"-")+ROW()-3-$AB$2-$AN$2)-9,5)),"-")</f>
        <v>-</v>
      </c>
      <c r="AX377" s="378" t="str">
        <f t="array" aca="1" ref="AX377" ca="1">IFERROR(IF(AS377&lt;=$AB$2+$AN$2,"-",INDEX($A$3:$B$12,MATCH(INDEX(Calculation_Tab,SMALL(ROW(Direct_Denaturation)*(Direct_Denaturation&lt;&gt;"-"),COUNTIF(Direct_Denaturation,"-")+ROW()-3-$AB$2-$AN$2)-9,5),$A$3:$A$12,0),2)),"-")</f>
        <v>-</v>
      </c>
      <c r="AY377" s="378" t="str">
        <f t="array" aca="1" ref="AY377" ca="1">IFERROR(IF(AS377&lt;=$AB$2+$AN$2,"-",INDEX(Coordinate,MATCH(INDEX(Calculation_Tab,SMALL(ROW(Direct_Denaturation)*(Direct_Denaturation&lt;&gt;"-"),COUNTIF(Direct_Denaturation,"-")+ROW()-3-$AB$2-$AN$2)-9,6),$X$4:$X$99,0),2)),"-")</f>
        <v>-</v>
      </c>
      <c r="AZ377" s="510" t="str">
        <f t="array" aca="1" ref="AZ377" ca="1">IFERROR(IF(AS377&lt;=$AB$2+$AN$2,"-",INDEX(Calculation_Tab,SMALL(ROW(Direct_Denaturation)*(Direct_Denaturation&lt;&gt;"-"),COUNTIF(Direct_Denaturation,"-")+ROW()-3-$AB$2-$AN$2)-9,32)),"-")</f>
        <v>-</v>
      </c>
      <c r="BA377" s="510" t="str">
        <f t="array" aca="1" ref="BA377" ca="1">IFERROR(IF(AS377&lt;=$AB$2+$AN$2,"-",INDEX(Calculation_Tab,SMALL(ROW(Direct_Denaturation)*(Direct_Denaturation&lt;&gt;"-"),COUNTIF(Direct_Denaturation,"-")+ROW()-3-$AB$2-$AN$2)-9,34)),"-")</f>
        <v>-</v>
      </c>
      <c r="BB377" s="510" t="str">
        <f t="array" aca="1" ref="BB377" ca="1">IFERROR(IF(AS377&lt;=$AB$2+$AN$2,"-",INDEX(Calculation_Tab,SMALL(ROW(Direct_Denaturation)*(Direct_Denaturation&lt;&gt;"-"),COUNTIF(Direct_Denaturation,"-")+ROW()-3-$AB$2-$AN$2)-9,33)),"-")</f>
        <v>-</v>
      </c>
      <c r="BC377" s="510" t="str">
        <f t="array" aca="1" ref="BC377" ca="1">IFERROR(IF(AS377&lt;=$AB$2+$AN$2,"-",INDEX(Calculation_Tab,SMALL(ROW(Direct_Denaturation)*(Direct_Denaturation&lt;&gt;"-"),COUNTIF(Direct_Denaturation,"-")+ROW()-3-$AB$2-$AN$2)-9,35)),"-")</f>
        <v>-</v>
      </c>
      <c r="BD377" s="511" t="str">
        <f t="shared" ca="1" si="172"/>
        <v>-</v>
      </c>
      <c r="BK377" s="542" t="s">
        <v>82</v>
      </c>
      <c r="BL377" s="542" t="s">
        <v>82</v>
      </c>
      <c r="BM377" s="487" t="str">
        <f t="array" aca="1" ref="BM377" ca="1">IFERROR(INDEX(Calculation_Tab,SMALL(ROW(ToPool)*(ToPool&lt;&gt;"-"),COUNTIF(ToPool,"-")+ROW()-3)-9,3),"-")</f>
        <v>-</v>
      </c>
      <c r="BN377" s="378" t="str">
        <f t="shared" ca="1" si="173"/>
        <v>-</v>
      </c>
      <c r="BO377" s="378" t="str">
        <f t="shared" ca="1" si="174"/>
        <v>-</v>
      </c>
      <c r="BP377" s="523" t="str">
        <f t="shared" ca="1" si="175"/>
        <v>-</v>
      </c>
      <c r="BQ377" s="378" t="str">
        <f t="array" aca="1" ref="BQ377" ca="1">IFERROR(INDEX(BE:BG,MATCH(INDEX(Calculation_Tab,SMALL(ROW(ToPool)*(ToPool&lt;&gt;"-"),COUNTIF(ToPool,"-")+ROW()-3)-9,9),BG:BG,0),2),"-")</f>
        <v>-</v>
      </c>
      <c r="BR377" s="510" t="str">
        <f t="shared" ca="1" si="176"/>
        <v>-</v>
      </c>
      <c r="BS377" s="511" t="str">
        <f t="shared" ca="1" si="177"/>
        <v>-</v>
      </c>
      <c r="BT377" s="543" t="s">
        <v>82</v>
      </c>
      <c r="BU377" s="487" t="str">
        <f t="shared" ca="1" si="182"/>
        <v>-</v>
      </c>
      <c r="BV377" s="487" t="str">
        <f t="array" aca="1" ref="BV37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77" s="378" t="str">
        <f t="shared" ca="1" si="178"/>
        <v>-</v>
      </c>
      <c r="BX377" s="378" t="str">
        <f t="shared" ca="1" si="179"/>
        <v>-</v>
      </c>
      <c r="BY377" s="510" t="str">
        <f ca="1">IFERROR(ROUND(INDEX(Cluster,MATCH(IF(LEFT(BV377,4)="Pool",INDEX(Cluster,MATCH(INDEX(Calculation_Tab,MATCH(INDEX($BE$4:$BJ$99,MATCH(BV377,$BE$4:$BE$99,0),3),Flow_Cell_Lane,0),3),Cluster!$F$29:$F$412,0),6),BV377),Identifier_Cluster,0),19)*IF(LEFT(BV377,4)="pool",IF(LEN(INDEX($BE$4:$BJ$99,MATCH(BV377,$BE$4:$BE$99,0),3))=10,2,IF(LEN(INDEX($BE$4:$BJ$99,MATCH(BV377,$BE$4:$BE$99,0),3))&gt;10,LEN(INDEX($BE$4:$BJ$99,MATCH(BV377,$BE$4:$BE$99,0),3))-8,1)),1)*IF(LEFT(BV377,4)="pool",IF(INDEX($BE$4:$BJ$99,MATCH(BV377,$BE$4:$BE$99,0),6)&lt;1,1,INDEX($BE$4:$BJ$99,MATCH(BV377,$BE$4:$BE$99,0),6)),INDEX(Calculation_Tab,MATCH(BV377,Identifier,0),10)),1)*(1+Calculation!$Q$6),"-")</f>
        <v>-</v>
      </c>
      <c r="BZ377" s="378" t="str">
        <f ca="1">IFERROR((0.5/50)*CE377/Calculation!$AG$6*(IF(LEFT(BV377,4)="Pool",IF(LEN(INDEX($BE$4:$BJ$99,MATCH(BV377,$BE$4:$BE$99,0),3))=10,2,IF(LEN(INDEX($BE$4:$BJ$99,MATCH(BV377,$BE$4:$BE$99,0),3))&gt;10,LEN(INDEX($BE$4:$BJ$99,MATCH(BV377,$BE$4:$BE$99,0),3))-8,1)),IF(INDEX(Calculation_Tab,MATCH(BV377,Identifier,0),10)&gt;1,INDEX(Calculation_Tab,MATCH(BV377,Identifier,0),10),1)))*(1+Calculation!$Q$6),"-")</f>
        <v>-</v>
      </c>
      <c r="CA377" s="510" t="str">
        <f ca="1">IFERROR(IF((BZ377*Calculation!$AG$6/0.05)-SUM(BY377:BZ377,CC377)&gt;0,(BZ377*Calculation!$AG$6/0.05)-SUM(BY377:BZ377,CC377),0),"-")</f>
        <v>-</v>
      </c>
      <c r="CB377" s="510" t="str">
        <f ca="1">IFERROR(5/50*CE377*(IF(LEFT(BV377,4)="Pool",IF(LEN(INDEX($BE$4:$BJ$99,MATCH(BV377,$BE$4:$BE$99,0),3))=10,2,IF(LEN(INDEX($BE$4:$BJ$99,MATCH(BV377,$BE$4:$BE$99,0),3))&gt;10,LEN(INDEX($BE$4:$BJ$99,MATCH(BV377,$BE$4:$BE$99,0),3))-8,1)),IF(INDEX(Calculation_Tab,MATCH(BV377,Identifier,0),10)&gt;1,INDEX(Calculation_Tab,MATCH(BV377,Identifier,0),10),1)))*(1+Calculation!$Q$6),"-")</f>
        <v>-</v>
      </c>
      <c r="CC377" s="508" t="str">
        <f ca="1">IFERROR(ROUND(INDEX(Cluster,MATCH(IF(LEFT(BV377,4)="Pool",INDEX(Cluster,MATCH(INDEX(Calculation_Tab,MATCH(INDEX($BE$4:$BJ$99,MATCH(BV377,$BE$4:$BE$99,0),3),Flow_Cell_Lane,0),3),Cluster!$F$29:$F$412,0),6),BV377),Identifier_Cluster,0),20)*IF(LEFT(BV377,4)="pool",IF(LEN(INDEX($BE$4:$BJ$99,MATCH(BV377,$BE$4:$BE$99,0),3))=10,2,IF(LEN(INDEX($BE$4:$BJ$99,MATCH(BV377,$BE$4:$BE$99,0),3))&gt;10,LEN(INDEX($BE$4:$BJ$99,MATCH(BV377,$BE$4:$BE$99,0),3))-8,1)),1)*IF(LEFT(BV377,4)="pool",IF(INDEX($BE$4:$BJ$99,MATCH(BV377,$BE$4:$BE$99,0),6)&lt;1,1,INDEX($BE$4:$BJ$99,MATCH(BV377,$BE$4:$BE$99,0),6)),INDEX(Calculation_Tab,MATCH(BV377,Identifier,0),10)),1)*(1+Calculation!$Q$6),"-")</f>
        <v>-</v>
      </c>
      <c r="CD377" s="509" t="str">
        <f ca="1">IFERROR(INDEX(Cluster!AC:AD,MATCH(IF(LEFT(BV377,4)="Pool",INDEX(Cluster!$D$29:$AA$412,MATCH(INDEX(Calculation_Tab,MATCH(INDEX($BE$4:$BJ$99,MATCH(BV377,$BE$4:$BE$99,0),3),Flow_Cell_Lane,0),3),Cluster!$F$29:$F$412,0),24),INDEX(Cluster!$D$29:$AA$412,MATCH(BV377,Cluster!$F$29:$F$412,0),24)),Cluster!AC:AC,0),2),"-")</f>
        <v>-</v>
      </c>
      <c r="CE377" s="378" t="str">
        <f ca="1">IFERROR(IF(BV377&lt;&gt;"-",Calculation!$AK$6,"-"),"-")</f>
        <v>-</v>
      </c>
      <c r="CF377" s="378" t="str">
        <f ca="1">IF(OR(LEFT(ListAndConversion!BW377,3)="Dil",LEFT(ListAndConversion!BW377,3)="Poo"),ListAndConversion!$BT$4,IF(LEFT(ListAndConversion!BW377,3)="Sou",INDEX(ListAndConversion!$AT$3:$AV$387,MATCH(ListAndConversion!BV377,ListAndConversion!$AV$3:$AV$387,0),1),"-"))</f>
        <v>-</v>
      </c>
      <c r="CG377" s="498" t="str">
        <f ca="1">IF(OR(LEFT(ListAndConversion!BW377,3)="Dil",LEFT(ListAndConversion!BW377,3)="Poo"),ListAndConversion!BU377,IF(LEFT(ListAndConversion!BW377,3)="Sou",INDEX(ListAndConversion!$AT$4:$AV$387,MATCH(ListAndConversion!BV377,ListAndConversion!$AV$4:$AV$387,0),2),"-"))</f>
        <v>-</v>
      </c>
      <c r="CH377" s="378"/>
      <c r="CI377" s="487" t="str">
        <f t="shared" ca="1" si="180"/>
        <v>-</v>
      </c>
      <c r="CJ377" s="378" t="str">
        <f t="shared" ca="1" si="192"/>
        <v>-</v>
      </c>
      <c r="CK377" s="378" t="str">
        <f t="shared" ca="1" si="192"/>
        <v>-</v>
      </c>
      <c r="CL377" s="378" t="str">
        <f t="shared" ca="1" si="192"/>
        <v>-</v>
      </c>
      <c r="CM377" s="378" t="str">
        <f t="shared" ca="1" si="192"/>
        <v>-</v>
      </c>
      <c r="CN377" s="378" t="str">
        <f t="shared" ca="1" si="192"/>
        <v>-</v>
      </c>
      <c r="CO377" s="378" t="str">
        <f t="shared" ca="1" si="192"/>
        <v>-</v>
      </c>
      <c r="CP377" s="378" t="str">
        <f t="shared" ca="1" si="192"/>
        <v>-</v>
      </c>
      <c r="CQ377" s="378" t="str">
        <f t="shared" ca="1" si="192"/>
        <v>-</v>
      </c>
      <c r="CR377" s="510" t="str">
        <f ca="1">IFERROR(IF(LEFT(BW377,3)="Poo",INDEX($BE$4:$BJ$99,MATCH(CI377,$BG$4:$BG$99,0),6)*((15/50))*Calculation!$AK$6,INDEX(Calculation_Tab,MATCH(BV377,Identifier,0),10)/(IF(LEN(INDEX(Calculation_Tab,MATCH(BV377,Identifier,0),9))&gt;8,LEN(INDEX(Calculation_Tab,MATCH(BV377,Identifier,0),9))-8,1))*((15/50)*Calculation!$AK$6)),"-")</f>
        <v>-</v>
      </c>
      <c r="CS377" s="498" t="str">
        <f ca="1">IF(CI377="-","-",IF(COUNTIF($CI$3:CI377,CI377)&gt;1,0,IFERROR((35/50)*Calculation!$AK$6,"-")))</f>
        <v>-</v>
      </c>
    </row>
    <row r="378" spans="4:97" x14ac:dyDescent="0.5">
      <c r="D378" s="487" t="e">
        <f t="shared" si="165"/>
        <v>#DIV/0!</v>
      </c>
      <c r="E378" s="496" t="e">
        <f t="array" ref="E378">IF(IF((ROW(E378)-3)&lt;(ListAndConversion!$A$15),INDEX(Flow_Cell_Lane,MIN(IF(COUNTIF($E$2:E377,Flow_Cell_Lane)=0,ROW(Flow_Cell_Lane)-9))),"-")="","-",IF((ROW(E378)-3)&lt;(ListAndConversion!$A$15),INDEX(Flow_Cell_Lane,MIN(IF(COUNTIF($E$2:E377,Flow_Cell_Lane)=0,ROW(Flow_Cell_Lane)-9))),"-"))</f>
        <v>#DIV/0!</v>
      </c>
      <c r="F378" s="378" t="e">
        <f t="shared" si="166"/>
        <v>#DIV/0!</v>
      </c>
      <c r="G378" s="378" t="e">
        <f t="shared" si="191"/>
        <v>#DIV/0!</v>
      </c>
      <c r="H378" s="378" t="e">
        <f t="shared" si="191"/>
        <v>#DIV/0!</v>
      </c>
      <c r="I378" s="378" t="e">
        <f t="shared" si="191"/>
        <v>#DIV/0!</v>
      </c>
      <c r="J378" s="378" t="e">
        <f t="shared" si="191"/>
        <v>#DIV/0!</v>
      </c>
      <c r="K378" s="378" t="e">
        <f t="shared" si="191"/>
        <v>#DIV/0!</v>
      </c>
      <c r="L378" s="378" t="e">
        <f t="shared" si="191"/>
        <v>#DIV/0!</v>
      </c>
      <c r="M378" s="378" t="e">
        <f t="shared" si="191"/>
        <v>#DIV/0!</v>
      </c>
      <c r="N378" s="497" t="e">
        <f t="shared" si="168"/>
        <v>#DIV/0!</v>
      </c>
      <c r="O378" s="497" t="str">
        <f t="array" ref="O378">IFERROR(INDEX(Calculation!I:AN,MATCH(ListAndConversion!E378,Calculation!I:I,0),31),"-")</f>
        <v>-</v>
      </c>
      <c r="P378" s="498">
        <f>IF(COUNTIFS(Calculation!$I$10:$I$393,E378,Direct_Denaturation,"-")&lt;&gt;1,COUNTIFS(Calculation!$I$10:$I$393,E378,Direct_Denaturation,"-"),0)</f>
        <v>0</v>
      </c>
      <c r="V378" s="542" t="s">
        <v>82</v>
      </c>
      <c r="W378" s="542" t="s">
        <v>82</v>
      </c>
      <c r="X378" s="542" t="s">
        <v>82</v>
      </c>
      <c r="Y378" s="542" t="s">
        <v>82</v>
      </c>
      <c r="Z378" s="542" t="s">
        <v>82</v>
      </c>
      <c r="AA378" s="542" t="s">
        <v>82</v>
      </c>
      <c r="AB378" s="542" t="s">
        <v>82</v>
      </c>
      <c r="AC378" s="542" t="s">
        <v>82</v>
      </c>
      <c r="AD378" s="542" t="s">
        <v>82</v>
      </c>
      <c r="AE378" s="542" t="s">
        <v>82</v>
      </c>
      <c r="AF378" s="542" t="s">
        <v>82</v>
      </c>
      <c r="AG378" s="542" t="s">
        <v>82</v>
      </c>
      <c r="AH378" s="9"/>
      <c r="AI378" s="487">
        <v>375</v>
      </c>
      <c r="AJ378" s="497" t="s">
        <v>479</v>
      </c>
      <c r="AK378" s="378">
        <v>87</v>
      </c>
      <c r="AL378" s="378" t="str">
        <f t="shared" ca="1" si="169"/>
        <v>-</v>
      </c>
      <c r="AM378" s="378" t="str">
        <f t="array" aca="1" ref="AM378" ca="1">IFERROR(IF(AI378&lt;=$AB$2,"-",INDEX(Calculation_Tab,SMALL(ROW(Main_Dil)*(Main_Dil&lt;&gt;"-"),COUNTIF(Main_Dil,"-")+ROW()-3-$AB$2)-9,5)),"-")</f>
        <v>-</v>
      </c>
      <c r="AN378" s="378" t="str">
        <f t="array" aca="1" ref="AN378" ca="1">IFERROR(IF(AI378&lt;=$AB$2,"-",INDEX($A$3:$B$12,MATCH(INDEX(Calculation_Tab,SMALL(ROW(Main_Dil)*(Main_Dil&lt;&gt;"-"),COUNTIF(Main_Dil,"-")+ROW()-3-$AB$2)-9,5),$A$3:$A$12,0),2)),"-")</f>
        <v>-</v>
      </c>
      <c r="AO378" s="378" t="str">
        <f t="array" aca="1" ref="AO378" ca="1">IFERROR(IF(AI378&lt;=$AB$2,"-",INDEX(Coordinate,MATCH(INDEX(Calculation_Tab,SMALL(ROW(Main_Dil)*(Main_Dil&lt;&gt;"-"),COUNTIF(Main_Dil,"-")+ROW()-3-$AB$2)-9,6),$X$4:$X$99,0),2)),"-")</f>
        <v>-</v>
      </c>
      <c r="AP378" s="510" t="str">
        <f t="array" aca="1" ref="AP378" ca="1">IFERROR(IF(AI378&lt;=$AB$2,"-",INDEX(Calculation_Tab,SMALL(ROW(Main_Dil)*(Main_Dil&lt;&gt;"-"),COUNTIF(Main_Dil,"-")+ROW()-3-$AB$2)-9,21)),"-")</f>
        <v>-</v>
      </c>
      <c r="AQ378" s="511" t="str">
        <f t="array" aca="1" ref="AQ378" ca="1">IFERROR(IF(AI378&lt;=$AB$2,"-",INDEX(Calculation_Tab,SMALL(ROW(Main_Dil)*(Main_Dil&lt;&gt;"-"),COUNTIF(Main_Dil,"-")+ROW()-3-$AB$2)-9,22)),"-")</f>
        <v>-</v>
      </c>
      <c r="AR378" s="487" t="str">
        <f t="shared" ca="1" si="170"/>
        <v>-</v>
      </c>
      <c r="AS378" s="378">
        <v>375</v>
      </c>
      <c r="AT378" s="497" t="s">
        <v>479</v>
      </c>
      <c r="AU378" s="498">
        <v>87</v>
      </c>
      <c r="AV378" s="378" t="str">
        <f t="shared" ca="1" si="171"/>
        <v>-</v>
      </c>
      <c r="AW378" s="378" t="str">
        <f t="array" aca="1" ref="AW378" ca="1">IFERROR(IF(AS378&lt;=$AB$2+$AN$2,"-",INDEX(Calculation_Tab,SMALL(ROW(Direct_Denaturation)*(Direct_Denaturation&lt;&gt;"-"),COUNTIF(Direct_Denaturation,"-")+ROW()-3-$AB$2-$AN$2)-9,5)),"-")</f>
        <v>-</v>
      </c>
      <c r="AX378" s="378" t="str">
        <f t="array" aca="1" ref="AX378" ca="1">IFERROR(IF(AS378&lt;=$AB$2+$AN$2,"-",INDEX($A$3:$B$12,MATCH(INDEX(Calculation_Tab,SMALL(ROW(Direct_Denaturation)*(Direct_Denaturation&lt;&gt;"-"),COUNTIF(Direct_Denaturation,"-")+ROW()-3-$AB$2-$AN$2)-9,5),$A$3:$A$12,0),2)),"-")</f>
        <v>-</v>
      </c>
      <c r="AY378" s="378" t="str">
        <f t="array" aca="1" ref="AY378" ca="1">IFERROR(IF(AS378&lt;=$AB$2+$AN$2,"-",INDEX(Coordinate,MATCH(INDEX(Calculation_Tab,SMALL(ROW(Direct_Denaturation)*(Direct_Denaturation&lt;&gt;"-"),COUNTIF(Direct_Denaturation,"-")+ROW()-3-$AB$2-$AN$2)-9,6),$X$4:$X$99,0),2)),"-")</f>
        <v>-</v>
      </c>
      <c r="AZ378" s="510" t="str">
        <f t="array" aca="1" ref="AZ378" ca="1">IFERROR(IF(AS378&lt;=$AB$2+$AN$2,"-",INDEX(Calculation_Tab,SMALL(ROW(Direct_Denaturation)*(Direct_Denaturation&lt;&gt;"-"),COUNTIF(Direct_Denaturation,"-")+ROW()-3-$AB$2-$AN$2)-9,32)),"-")</f>
        <v>-</v>
      </c>
      <c r="BA378" s="510" t="str">
        <f t="array" aca="1" ref="BA378" ca="1">IFERROR(IF(AS378&lt;=$AB$2+$AN$2,"-",INDEX(Calculation_Tab,SMALL(ROW(Direct_Denaturation)*(Direct_Denaturation&lt;&gt;"-"),COUNTIF(Direct_Denaturation,"-")+ROW()-3-$AB$2-$AN$2)-9,34)),"-")</f>
        <v>-</v>
      </c>
      <c r="BB378" s="510" t="str">
        <f t="array" aca="1" ref="BB378" ca="1">IFERROR(IF(AS378&lt;=$AB$2+$AN$2,"-",INDEX(Calculation_Tab,SMALL(ROW(Direct_Denaturation)*(Direct_Denaturation&lt;&gt;"-"),COUNTIF(Direct_Denaturation,"-")+ROW()-3-$AB$2-$AN$2)-9,33)),"-")</f>
        <v>-</v>
      </c>
      <c r="BC378" s="510" t="str">
        <f t="array" aca="1" ref="BC378" ca="1">IFERROR(IF(AS378&lt;=$AB$2+$AN$2,"-",INDEX(Calculation_Tab,SMALL(ROW(Direct_Denaturation)*(Direct_Denaturation&lt;&gt;"-"),COUNTIF(Direct_Denaturation,"-")+ROW()-3-$AB$2-$AN$2)-9,35)),"-")</f>
        <v>-</v>
      </c>
      <c r="BD378" s="511" t="str">
        <f t="shared" ca="1" si="172"/>
        <v>-</v>
      </c>
      <c r="BK378" s="542" t="s">
        <v>82</v>
      </c>
      <c r="BL378" s="542" t="s">
        <v>82</v>
      </c>
      <c r="BM378" s="487" t="str">
        <f t="array" aca="1" ref="BM378" ca="1">IFERROR(INDEX(Calculation_Tab,SMALL(ROW(ToPool)*(ToPool&lt;&gt;"-"),COUNTIF(ToPool,"-")+ROW()-3)-9,3),"-")</f>
        <v>-</v>
      </c>
      <c r="BN378" s="378" t="str">
        <f t="shared" ca="1" si="173"/>
        <v>-</v>
      </c>
      <c r="BO378" s="378" t="str">
        <f t="shared" ca="1" si="174"/>
        <v>-</v>
      </c>
      <c r="BP378" s="523" t="str">
        <f t="shared" ca="1" si="175"/>
        <v>-</v>
      </c>
      <c r="BQ378" s="378" t="str">
        <f t="array" aca="1" ref="BQ378" ca="1">IFERROR(INDEX(BE:BG,MATCH(INDEX(Calculation_Tab,SMALL(ROW(ToPool)*(ToPool&lt;&gt;"-"),COUNTIF(ToPool,"-")+ROW()-3)-9,9),BG:BG,0),2),"-")</f>
        <v>-</v>
      </c>
      <c r="BR378" s="510" t="str">
        <f t="shared" ca="1" si="176"/>
        <v>-</v>
      </c>
      <c r="BS378" s="511" t="str">
        <f t="shared" ca="1" si="177"/>
        <v>-</v>
      </c>
      <c r="BT378" s="543" t="s">
        <v>82</v>
      </c>
      <c r="BU378" s="487" t="str">
        <f t="shared" ca="1" si="182"/>
        <v>-</v>
      </c>
      <c r="BV378" s="487" t="str">
        <f t="array" aca="1" ref="BV378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78" s="378" t="str">
        <f t="shared" ca="1" si="178"/>
        <v>-</v>
      </c>
      <c r="BX378" s="378" t="str">
        <f t="shared" ca="1" si="179"/>
        <v>-</v>
      </c>
      <c r="BY378" s="510" t="str">
        <f ca="1">IFERROR(ROUND(INDEX(Cluster,MATCH(IF(LEFT(BV378,4)="Pool",INDEX(Cluster,MATCH(INDEX(Calculation_Tab,MATCH(INDEX($BE$4:$BJ$99,MATCH(BV378,$BE$4:$BE$99,0),3),Flow_Cell_Lane,0),3),Cluster!$F$29:$F$412,0),6),BV378),Identifier_Cluster,0),19)*IF(LEFT(BV378,4)="pool",IF(LEN(INDEX($BE$4:$BJ$99,MATCH(BV378,$BE$4:$BE$99,0),3))=10,2,IF(LEN(INDEX($BE$4:$BJ$99,MATCH(BV378,$BE$4:$BE$99,0),3))&gt;10,LEN(INDEX($BE$4:$BJ$99,MATCH(BV378,$BE$4:$BE$99,0),3))-8,1)),1)*IF(LEFT(BV378,4)="pool",IF(INDEX($BE$4:$BJ$99,MATCH(BV378,$BE$4:$BE$99,0),6)&lt;1,1,INDEX($BE$4:$BJ$99,MATCH(BV378,$BE$4:$BE$99,0),6)),INDEX(Calculation_Tab,MATCH(BV378,Identifier,0),10)),1)*(1+Calculation!$Q$6),"-")</f>
        <v>-</v>
      </c>
      <c r="BZ378" s="378" t="str">
        <f ca="1">IFERROR((0.5/50)*CE378/Calculation!$AG$6*(IF(LEFT(BV378,4)="Pool",IF(LEN(INDEX($BE$4:$BJ$99,MATCH(BV378,$BE$4:$BE$99,0),3))=10,2,IF(LEN(INDEX($BE$4:$BJ$99,MATCH(BV378,$BE$4:$BE$99,0),3))&gt;10,LEN(INDEX($BE$4:$BJ$99,MATCH(BV378,$BE$4:$BE$99,0),3))-8,1)),IF(INDEX(Calculation_Tab,MATCH(BV378,Identifier,0),10)&gt;1,INDEX(Calculation_Tab,MATCH(BV378,Identifier,0),10),1)))*(1+Calculation!$Q$6),"-")</f>
        <v>-</v>
      </c>
      <c r="CA378" s="510" t="str">
        <f ca="1">IFERROR(IF((BZ378*Calculation!$AG$6/0.05)-SUM(BY378:BZ378,CC378)&gt;0,(BZ378*Calculation!$AG$6/0.05)-SUM(BY378:BZ378,CC378),0),"-")</f>
        <v>-</v>
      </c>
      <c r="CB378" s="510" t="str">
        <f ca="1">IFERROR(5/50*CE378*(IF(LEFT(BV378,4)="Pool",IF(LEN(INDEX($BE$4:$BJ$99,MATCH(BV378,$BE$4:$BE$99,0),3))=10,2,IF(LEN(INDEX($BE$4:$BJ$99,MATCH(BV378,$BE$4:$BE$99,0),3))&gt;10,LEN(INDEX($BE$4:$BJ$99,MATCH(BV378,$BE$4:$BE$99,0),3))-8,1)),IF(INDEX(Calculation_Tab,MATCH(BV378,Identifier,0),10)&gt;1,INDEX(Calculation_Tab,MATCH(BV378,Identifier,0),10),1)))*(1+Calculation!$Q$6),"-")</f>
        <v>-</v>
      </c>
      <c r="CC378" s="508" t="str">
        <f ca="1">IFERROR(ROUND(INDEX(Cluster,MATCH(IF(LEFT(BV378,4)="Pool",INDEX(Cluster,MATCH(INDEX(Calculation_Tab,MATCH(INDEX($BE$4:$BJ$99,MATCH(BV378,$BE$4:$BE$99,0),3),Flow_Cell_Lane,0),3),Cluster!$F$29:$F$412,0),6),BV378),Identifier_Cluster,0),20)*IF(LEFT(BV378,4)="pool",IF(LEN(INDEX($BE$4:$BJ$99,MATCH(BV378,$BE$4:$BE$99,0),3))=10,2,IF(LEN(INDEX($BE$4:$BJ$99,MATCH(BV378,$BE$4:$BE$99,0),3))&gt;10,LEN(INDEX($BE$4:$BJ$99,MATCH(BV378,$BE$4:$BE$99,0),3))-8,1)),1)*IF(LEFT(BV378,4)="pool",IF(INDEX($BE$4:$BJ$99,MATCH(BV378,$BE$4:$BE$99,0),6)&lt;1,1,INDEX($BE$4:$BJ$99,MATCH(BV378,$BE$4:$BE$99,0),6)),INDEX(Calculation_Tab,MATCH(BV378,Identifier,0),10)),1)*(1+Calculation!$Q$6),"-")</f>
        <v>-</v>
      </c>
      <c r="CD378" s="509" t="str">
        <f ca="1">IFERROR(INDEX(Cluster!AC:AD,MATCH(IF(LEFT(BV378,4)="Pool",INDEX(Cluster!$D$29:$AA$412,MATCH(INDEX(Calculation_Tab,MATCH(INDEX($BE$4:$BJ$99,MATCH(BV378,$BE$4:$BE$99,0),3),Flow_Cell_Lane,0),3),Cluster!$F$29:$F$412,0),24),INDEX(Cluster!$D$29:$AA$412,MATCH(BV378,Cluster!$F$29:$F$412,0),24)),Cluster!AC:AC,0),2),"-")</f>
        <v>-</v>
      </c>
      <c r="CE378" s="378" t="str">
        <f ca="1">IFERROR(IF(BV378&lt;&gt;"-",Calculation!$AK$6,"-"),"-")</f>
        <v>-</v>
      </c>
      <c r="CF378" s="378" t="str">
        <f ca="1">IF(OR(LEFT(ListAndConversion!BW378,3)="Dil",LEFT(ListAndConversion!BW378,3)="Poo"),ListAndConversion!$BT$4,IF(LEFT(ListAndConversion!BW378,3)="Sou",INDEX(ListAndConversion!$AT$3:$AV$387,MATCH(ListAndConversion!BV378,ListAndConversion!$AV$3:$AV$387,0),1),"-"))</f>
        <v>-</v>
      </c>
      <c r="CG378" s="498" t="str">
        <f ca="1">IF(OR(LEFT(ListAndConversion!BW378,3)="Dil",LEFT(ListAndConversion!BW378,3)="Poo"),ListAndConversion!BU378,IF(LEFT(ListAndConversion!BW378,3)="Sou",INDEX(ListAndConversion!$AT$4:$AV$387,MATCH(ListAndConversion!BV378,ListAndConversion!$AV$4:$AV$387,0),2),"-"))</f>
        <v>-</v>
      </c>
      <c r="CH378" s="378"/>
      <c r="CI378" s="487" t="str">
        <f t="shared" ca="1" si="180"/>
        <v>-</v>
      </c>
      <c r="CJ378" s="378" t="str">
        <f t="shared" ca="1" si="192"/>
        <v>-</v>
      </c>
      <c r="CK378" s="378" t="str">
        <f t="shared" ca="1" si="192"/>
        <v>-</v>
      </c>
      <c r="CL378" s="378" t="str">
        <f t="shared" ca="1" si="192"/>
        <v>-</v>
      </c>
      <c r="CM378" s="378" t="str">
        <f t="shared" ca="1" si="192"/>
        <v>-</v>
      </c>
      <c r="CN378" s="378" t="str">
        <f t="shared" ca="1" si="192"/>
        <v>-</v>
      </c>
      <c r="CO378" s="378" t="str">
        <f t="shared" ca="1" si="192"/>
        <v>-</v>
      </c>
      <c r="CP378" s="378" t="str">
        <f t="shared" ca="1" si="192"/>
        <v>-</v>
      </c>
      <c r="CQ378" s="378" t="str">
        <f t="shared" ca="1" si="192"/>
        <v>-</v>
      </c>
      <c r="CR378" s="510" t="str">
        <f ca="1">IFERROR(IF(LEFT(BW378,3)="Poo",INDEX($BE$4:$BJ$99,MATCH(CI378,$BG$4:$BG$99,0),6)*((15/50))*Calculation!$AK$6,INDEX(Calculation_Tab,MATCH(BV378,Identifier,0),10)/(IF(LEN(INDEX(Calculation_Tab,MATCH(BV378,Identifier,0),9))&gt;8,LEN(INDEX(Calculation_Tab,MATCH(BV378,Identifier,0),9))-8,1))*((15/50)*Calculation!$AK$6)),"-")</f>
        <v>-</v>
      </c>
      <c r="CS378" s="498" t="str">
        <f ca="1">IF(CI378="-","-",IF(COUNTIF($CI$3:CI378,CI378)&gt;1,0,IFERROR((35/50)*Calculation!$AK$6,"-")))</f>
        <v>-</v>
      </c>
    </row>
    <row r="379" spans="4:97" x14ac:dyDescent="0.5">
      <c r="D379" s="487" t="e">
        <f t="shared" si="165"/>
        <v>#DIV/0!</v>
      </c>
      <c r="E379" s="496" t="e">
        <f t="array" ref="E379">IF(IF((ROW(E379)-3)&lt;(ListAndConversion!$A$15),INDEX(Flow_Cell_Lane,MIN(IF(COUNTIF($E$2:E378,Flow_Cell_Lane)=0,ROW(Flow_Cell_Lane)-9))),"-")="","-",IF((ROW(E379)-3)&lt;(ListAndConversion!$A$15),INDEX(Flow_Cell_Lane,MIN(IF(COUNTIF($E$2:E378,Flow_Cell_Lane)=0,ROW(Flow_Cell_Lane)-9))),"-"))</f>
        <v>#DIV/0!</v>
      </c>
      <c r="F379" s="378" t="e">
        <f t="shared" si="166"/>
        <v>#DIV/0!</v>
      </c>
      <c r="G379" s="378" t="e">
        <f t="shared" si="191"/>
        <v>#DIV/0!</v>
      </c>
      <c r="H379" s="378" t="e">
        <f t="shared" si="191"/>
        <v>#DIV/0!</v>
      </c>
      <c r="I379" s="378" t="e">
        <f t="shared" si="191"/>
        <v>#DIV/0!</v>
      </c>
      <c r="J379" s="378" t="e">
        <f t="shared" si="191"/>
        <v>#DIV/0!</v>
      </c>
      <c r="K379" s="378" t="e">
        <f t="shared" si="191"/>
        <v>#DIV/0!</v>
      </c>
      <c r="L379" s="378" t="e">
        <f t="shared" si="191"/>
        <v>#DIV/0!</v>
      </c>
      <c r="M379" s="378" t="e">
        <f t="shared" si="191"/>
        <v>#DIV/0!</v>
      </c>
      <c r="N379" s="497" t="e">
        <f t="shared" si="168"/>
        <v>#DIV/0!</v>
      </c>
      <c r="O379" s="497" t="str">
        <f t="array" ref="O379">IFERROR(INDEX(Calculation!I:AN,MATCH(ListAndConversion!E379,Calculation!I:I,0),31),"-")</f>
        <v>-</v>
      </c>
      <c r="P379" s="498">
        <f>IF(COUNTIFS(Calculation!$I$10:$I$393,E379,Direct_Denaturation,"-")&lt;&gt;1,COUNTIFS(Calculation!$I$10:$I$393,E379,Direct_Denaturation,"-"),0)</f>
        <v>0</v>
      </c>
      <c r="V379" s="542" t="s">
        <v>82</v>
      </c>
      <c r="W379" s="542" t="s">
        <v>82</v>
      </c>
      <c r="X379" s="542" t="s">
        <v>82</v>
      </c>
      <c r="Y379" s="542" t="s">
        <v>82</v>
      </c>
      <c r="Z379" s="542" t="s">
        <v>82</v>
      </c>
      <c r="AA379" s="542" t="s">
        <v>82</v>
      </c>
      <c r="AB379" s="542" t="s">
        <v>82</v>
      </c>
      <c r="AC379" s="542" t="s">
        <v>82</v>
      </c>
      <c r="AD379" s="542" t="s">
        <v>82</v>
      </c>
      <c r="AE379" s="542" t="s">
        <v>82</v>
      </c>
      <c r="AF379" s="542" t="s">
        <v>82</v>
      </c>
      <c r="AG379" s="542" t="s">
        <v>82</v>
      </c>
      <c r="AH379" s="9"/>
      <c r="AI379" s="487">
        <v>376</v>
      </c>
      <c r="AJ379" s="497" t="s">
        <v>479</v>
      </c>
      <c r="AK379" s="378">
        <v>88</v>
      </c>
      <c r="AL379" s="378" t="str">
        <f t="shared" ca="1" si="169"/>
        <v>-</v>
      </c>
      <c r="AM379" s="378" t="str">
        <f t="array" aca="1" ref="AM379" ca="1">IFERROR(IF(AI379&lt;=$AB$2,"-",INDEX(Calculation_Tab,SMALL(ROW(Main_Dil)*(Main_Dil&lt;&gt;"-"),COUNTIF(Main_Dil,"-")+ROW()-3-$AB$2)-9,5)),"-")</f>
        <v>-</v>
      </c>
      <c r="AN379" s="378" t="str">
        <f t="array" aca="1" ref="AN379" ca="1">IFERROR(IF(AI379&lt;=$AB$2,"-",INDEX($A$3:$B$12,MATCH(INDEX(Calculation_Tab,SMALL(ROW(Main_Dil)*(Main_Dil&lt;&gt;"-"),COUNTIF(Main_Dil,"-")+ROW()-3-$AB$2)-9,5),$A$3:$A$12,0),2)),"-")</f>
        <v>-</v>
      </c>
      <c r="AO379" s="378" t="str">
        <f t="array" aca="1" ref="AO379" ca="1">IFERROR(IF(AI379&lt;=$AB$2,"-",INDEX(Coordinate,MATCH(INDEX(Calculation_Tab,SMALL(ROW(Main_Dil)*(Main_Dil&lt;&gt;"-"),COUNTIF(Main_Dil,"-")+ROW()-3-$AB$2)-9,6),$X$4:$X$99,0),2)),"-")</f>
        <v>-</v>
      </c>
      <c r="AP379" s="510" t="str">
        <f t="array" aca="1" ref="AP379" ca="1">IFERROR(IF(AI379&lt;=$AB$2,"-",INDEX(Calculation_Tab,SMALL(ROW(Main_Dil)*(Main_Dil&lt;&gt;"-"),COUNTIF(Main_Dil,"-")+ROW()-3-$AB$2)-9,21)),"-")</f>
        <v>-</v>
      </c>
      <c r="AQ379" s="511" t="str">
        <f t="array" aca="1" ref="AQ379" ca="1">IFERROR(IF(AI379&lt;=$AB$2,"-",INDEX(Calculation_Tab,SMALL(ROW(Main_Dil)*(Main_Dil&lt;&gt;"-"),COUNTIF(Main_Dil,"-")+ROW()-3-$AB$2)-9,22)),"-")</f>
        <v>-</v>
      </c>
      <c r="AR379" s="487" t="str">
        <f t="shared" ca="1" si="170"/>
        <v>-</v>
      </c>
      <c r="AS379" s="378">
        <v>376</v>
      </c>
      <c r="AT379" s="497" t="s">
        <v>479</v>
      </c>
      <c r="AU379" s="498">
        <v>88</v>
      </c>
      <c r="AV379" s="378" t="str">
        <f t="shared" ca="1" si="171"/>
        <v>-</v>
      </c>
      <c r="AW379" s="378" t="str">
        <f t="array" aca="1" ref="AW379" ca="1">IFERROR(IF(AS379&lt;=$AB$2+$AN$2,"-",INDEX(Calculation_Tab,SMALL(ROW(Direct_Denaturation)*(Direct_Denaturation&lt;&gt;"-"),COUNTIF(Direct_Denaturation,"-")+ROW()-3-$AB$2-$AN$2)-9,5)),"-")</f>
        <v>-</v>
      </c>
      <c r="AX379" s="378" t="str">
        <f t="array" aca="1" ref="AX379" ca="1">IFERROR(IF(AS379&lt;=$AB$2+$AN$2,"-",INDEX($A$3:$B$12,MATCH(INDEX(Calculation_Tab,SMALL(ROW(Direct_Denaturation)*(Direct_Denaturation&lt;&gt;"-"),COUNTIF(Direct_Denaturation,"-")+ROW()-3-$AB$2-$AN$2)-9,5),$A$3:$A$12,0),2)),"-")</f>
        <v>-</v>
      </c>
      <c r="AY379" s="378" t="str">
        <f t="array" aca="1" ref="AY379" ca="1">IFERROR(IF(AS379&lt;=$AB$2+$AN$2,"-",INDEX(Coordinate,MATCH(INDEX(Calculation_Tab,SMALL(ROW(Direct_Denaturation)*(Direct_Denaturation&lt;&gt;"-"),COUNTIF(Direct_Denaturation,"-")+ROW()-3-$AB$2-$AN$2)-9,6),$X$4:$X$99,0),2)),"-")</f>
        <v>-</v>
      </c>
      <c r="AZ379" s="510" t="str">
        <f t="array" aca="1" ref="AZ379" ca="1">IFERROR(IF(AS379&lt;=$AB$2+$AN$2,"-",INDEX(Calculation_Tab,SMALL(ROW(Direct_Denaturation)*(Direct_Denaturation&lt;&gt;"-"),COUNTIF(Direct_Denaturation,"-")+ROW()-3-$AB$2-$AN$2)-9,32)),"-")</f>
        <v>-</v>
      </c>
      <c r="BA379" s="510" t="str">
        <f t="array" aca="1" ref="BA379" ca="1">IFERROR(IF(AS379&lt;=$AB$2+$AN$2,"-",INDEX(Calculation_Tab,SMALL(ROW(Direct_Denaturation)*(Direct_Denaturation&lt;&gt;"-"),COUNTIF(Direct_Denaturation,"-")+ROW()-3-$AB$2-$AN$2)-9,34)),"-")</f>
        <v>-</v>
      </c>
      <c r="BB379" s="510" t="str">
        <f t="array" aca="1" ref="BB379" ca="1">IFERROR(IF(AS379&lt;=$AB$2+$AN$2,"-",INDEX(Calculation_Tab,SMALL(ROW(Direct_Denaturation)*(Direct_Denaturation&lt;&gt;"-"),COUNTIF(Direct_Denaturation,"-")+ROW()-3-$AB$2-$AN$2)-9,33)),"-")</f>
        <v>-</v>
      </c>
      <c r="BC379" s="510" t="str">
        <f t="array" aca="1" ref="BC379" ca="1">IFERROR(IF(AS379&lt;=$AB$2+$AN$2,"-",INDEX(Calculation_Tab,SMALL(ROW(Direct_Denaturation)*(Direct_Denaturation&lt;&gt;"-"),COUNTIF(Direct_Denaturation,"-")+ROW()-3-$AB$2-$AN$2)-9,35)),"-")</f>
        <v>-</v>
      </c>
      <c r="BD379" s="511" t="str">
        <f t="shared" ca="1" si="172"/>
        <v>-</v>
      </c>
      <c r="BK379" s="542" t="s">
        <v>82</v>
      </c>
      <c r="BL379" s="542" t="s">
        <v>82</v>
      </c>
      <c r="BM379" s="487" t="str">
        <f t="array" aca="1" ref="BM379" ca="1">IFERROR(INDEX(Calculation_Tab,SMALL(ROW(ToPool)*(ToPool&lt;&gt;"-"),COUNTIF(ToPool,"-")+ROW()-3)-9,3),"-")</f>
        <v>-</v>
      </c>
      <c r="BN379" s="378" t="str">
        <f t="shared" ca="1" si="173"/>
        <v>-</v>
      </c>
      <c r="BO379" s="378" t="str">
        <f t="shared" ca="1" si="174"/>
        <v>-</v>
      </c>
      <c r="BP379" s="523" t="str">
        <f t="shared" ca="1" si="175"/>
        <v>-</v>
      </c>
      <c r="BQ379" s="378" t="str">
        <f t="array" aca="1" ref="BQ379" ca="1">IFERROR(INDEX(BE:BG,MATCH(INDEX(Calculation_Tab,SMALL(ROW(ToPool)*(ToPool&lt;&gt;"-"),COUNTIF(ToPool,"-")+ROW()-3)-9,9),BG:BG,0),2),"-")</f>
        <v>-</v>
      </c>
      <c r="BR379" s="510" t="str">
        <f t="shared" ca="1" si="176"/>
        <v>-</v>
      </c>
      <c r="BS379" s="511" t="str">
        <f t="shared" ca="1" si="177"/>
        <v>-</v>
      </c>
      <c r="BT379" s="543" t="s">
        <v>82</v>
      </c>
      <c r="BU379" s="487" t="str">
        <f t="shared" ca="1" si="182"/>
        <v>-</v>
      </c>
      <c r="BV379" s="487" t="str">
        <f t="array" aca="1" ref="BV379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79" s="378" t="str">
        <f t="shared" ca="1" si="178"/>
        <v>-</v>
      </c>
      <c r="BX379" s="378" t="str">
        <f t="shared" ca="1" si="179"/>
        <v>-</v>
      </c>
      <c r="BY379" s="510" t="str">
        <f ca="1">IFERROR(ROUND(INDEX(Cluster,MATCH(IF(LEFT(BV379,4)="Pool",INDEX(Cluster,MATCH(INDEX(Calculation_Tab,MATCH(INDEX($BE$4:$BJ$99,MATCH(BV379,$BE$4:$BE$99,0),3),Flow_Cell_Lane,0),3),Cluster!$F$29:$F$412,0),6),BV379),Identifier_Cluster,0),19)*IF(LEFT(BV379,4)="pool",IF(LEN(INDEX($BE$4:$BJ$99,MATCH(BV379,$BE$4:$BE$99,0),3))=10,2,IF(LEN(INDEX($BE$4:$BJ$99,MATCH(BV379,$BE$4:$BE$99,0),3))&gt;10,LEN(INDEX($BE$4:$BJ$99,MATCH(BV379,$BE$4:$BE$99,0),3))-8,1)),1)*IF(LEFT(BV379,4)="pool",IF(INDEX($BE$4:$BJ$99,MATCH(BV379,$BE$4:$BE$99,0),6)&lt;1,1,INDEX($BE$4:$BJ$99,MATCH(BV379,$BE$4:$BE$99,0),6)),INDEX(Calculation_Tab,MATCH(BV379,Identifier,0),10)),1)*(1+Calculation!$Q$6),"-")</f>
        <v>-</v>
      </c>
      <c r="BZ379" s="378" t="str">
        <f ca="1">IFERROR((0.5/50)*CE379/Calculation!$AG$6*(IF(LEFT(BV379,4)="Pool",IF(LEN(INDEX($BE$4:$BJ$99,MATCH(BV379,$BE$4:$BE$99,0),3))=10,2,IF(LEN(INDEX($BE$4:$BJ$99,MATCH(BV379,$BE$4:$BE$99,0),3))&gt;10,LEN(INDEX($BE$4:$BJ$99,MATCH(BV379,$BE$4:$BE$99,0),3))-8,1)),IF(INDEX(Calculation_Tab,MATCH(BV379,Identifier,0),10)&gt;1,INDEX(Calculation_Tab,MATCH(BV379,Identifier,0),10),1)))*(1+Calculation!$Q$6),"-")</f>
        <v>-</v>
      </c>
      <c r="CA379" s="510" t="str">
        <f ca="1">IFERROR(IF((BZ379*Calculation!$AG$6/0.05)-SUM(BY379:BZ379,CC379)&gt;0,(BZ379*Calculation!$AG$6/0.05)-SUM(BY379:BZ379,CC379),0),"-")</f>
        <v>-</v>
      </c>
      <c r="CB379" s="510" t="str">
        <f ca="1">IFERROR(5/50*CE379*(IF(LEFT(BV379,4)="Pool",IF(LEN(INDEX($BE$4:$BJ$99,MATCH(BV379,$BE$4:$BE$99,0),3))=10,2,IF(LEN(INDEX($BE$4:$BJ$99,MATCH(BV379,$BE$4:$BE$99,0),3))&gt;10,LEN(INDEX($BE$4:$BJ$99,MATCH(BV379,$BE$4:$BE$99,0),3))-8,1)),IF(INDEX(Calculation_Tab,MATCH(BV379,Identifier,0),10)&gt;1,INDEX(Calculation_Tab,MATCH(BV379,Identifier,0),10),1)))*(1+Calculation!$Q$6),"-")</f>
        <v>-</v>
      </c>
      <c r="CC379" s="508" t="str">
        <f ca="1">IFERROR(ROUND(INDEX(Cluster,MATCH(IF(LEFT(BV379,4)="Pool",INDEX(Cluster,MATCH(INDEX(Calculation_Tab,MATCH(INDEX($BE$4:$BJ$99,MATCH(BV379,$BE$4:$BE$99,0),3),Flow_Cell_Lane,0),3),Cluster!$F$29:$F$412,0),6),BV379),Identifier_Cluster,0),20)*IF(LEFT(BV379,4)="pool",IF(LEN(INDEX($BE$4:$BJ$99,MATCH(BV379,$BE$4:$BE$99,0),3))=10,2,IF(LEN(INDEX($BE$4:$BJ$99,MATCH(BV379,$BE$4:$BE$99,0),3))&gt;10,LEN(INDEX($BE$4:$BJ$99,MATCH(BV379,$BE$4:$BE$99,0),3))-8,1)),1)*IF(LEFT(BV379,4)="pool",IF(INDEX($BE$4:$BJ$99,MATCH(BV379,$BE$4:$BE$99,0),6)&lt;1,1,INDEX($BE$4:$BJ$99,MATCH(BV379,$BE$4:$BE$99,0),6)),INDEX(Calculation_Tab,MATCH(BV379,Identifier,0),10)),1)*(1+Calculation!$Q$6),"-")</f>
        <v>-</v>
      </c>
      <c r="CD379" s="509" t="str">
        <f ca="1">IFERROR(INDEX(Cluster!AC:AD,MATCH(IF(LEFT(BV379,4)="Pool",INDEX(Cluster!$D$29:$AA$412,MATCH(INDEX(Calculation_Tab,MATCH(INDEX($BE$4:$BJ$99,MATCH(BV379,$BE$4:$BE$99,0),3),Flow_Cell_Lane,0),3),Cluster!$F$29:$F$412,0),24),INDEX(Cluster!$D$29:$AA$412,MATCH(BV379,Cluster!$F$29:$F$412,0),24)),Cluster!AC:AC,0),2),"-")</f>
        <v>-</v>
      </c>
      <c r="CE379" s="378" t="str">
        <f ca="1">IFERROR(IF(BV379&lt;&gt;"-",Calculation!$AK$6,"-"),"-")</f>
        <v>-</v>
      </c>
      <c r="CF379" s="378" t="str">
        <f ca="1">IF(OR(LEFT(ListAndConversion!BW379,3)="Dil",LEFT(ListAndConversion!BW379,3)="Poo"),ListAndConversion!$BT$4,IF(LEFT(ListAndConversion!BW379,3)="Sou",INDEX(ListAndConversion!$AT$3:$AV$387,MATCH(ListAndConversion!BV379,ListAndConversion!$AV$3:$AV$387,0),1),"-"))</f>
        <v>-</v>
      </c>
      <c r="CG379" s="498" t="str">
        <f ca="1">IF(OR(LEFT(ListAndConversion!BW379,3)="Dil",LEFT(ListAndConversion!BW379,3)="Poo"),ListAndConversion!BU379,IF(LEFT(ListAndConversion!BW379,3)="Sou",INDEX(ListAndConversion!$AT$4:$AV$387,MATCH(ListAndConversion!BV379,ListAndConversion!$AV$4:$AV$387,0),2),"-"))</f>
        <v>-</v>
      </c>
      <c r="CH379" s="378"/>
      <c r="CI379" s="487" t="str">
        <f t="shared" ca="1" si="180"/>
        <v>-</v>
      </c>
      <c r="CJ379" s="378" t="str">
        <f t="shared" ca="1" si="192"/>
        <v>-</v>
      </c>
      <c r="CK379" s="378" t="str">
        <f t="shared" ca="1" si="192"/>
        <v>-</v>
      </c>
      <c r="CL379" s="378" t="str">
        <f t="shared" ca="1" si="192"/>
        <v>-</v>
      </c>
      <c r="CM379" s="378" t="str">
        <f t="shared" ca="1" si="192"/>
        <v>-</v>
      </c>
      <c r="CN379" s="378" t="str">
        <f t="shared" ca="1" si="192"/>
        <v>-</v>
      </c>
      <c r="CO379" s="378" t="str">
        <f t="shared" ca="1" si="192"/>
        <v>-</v>
      </c>
      <c r="CP379" s="378" t="str">
        <f t="shared" ca="1" si="192"/>
        <v>-</v>
      </c>
      <c r="CQ379" s="378" t="str">
        <f t="shared" ca="1" si="192"/>
        <v>-</v>
      </c>
      <c r="CR379" s="510" t="str">
        <f ca="1">IFERROR(IF(LEFT(BW379,3)="Poo",INDEX($BE$4:$BJ$99,MATCH(CI379,$BG$4:$BG$99,0),6)*((15/50))*Calculation!$AK$6,INDEX(Calculation_Tab,MATCH(BV379,Identifier,0),10)/(IF(LEN(INDEX(Calculation_Tab,MATCH(BV379,Identifier,0),9))&gt;8,LEN(INDEX(Calculation_Tab,MATCH(BV379,Identifier,0),9))-8,1))*((15/50)*Calculation!$AK$6)),"-")</f>
        <v>-</v>
      </c>
      <c r="CS379" s="498" t="str">
        <f ca="1">IF(CI379="-","-",IF(COUNTIF($CI$3:CI379,CI379)&gt;1,0,IFERROR((35/50)*Calculation!$AK$6,"-")))</f>
        <v>-</v>
      </c>
    </row>
    <row r="380" spans="4:97" x14ac:dyDescent="0.5">
      <c r="D380" s="487" t="e">
        <f t="shared" si="165"/>
        <v>#DIV/0!</v>
      </c>
      <c r="E380" s="496" t="e">
        <f t="array" ref="E380">IF(IF((ROW(E380)-3)&lt;(ListAndConversion!$A$15),INDEX(Flow_Cell_Lane,MIN(IF(COUNTIF($E$2:E379,Flow_Cell_Lane)=0,ROW(Flow_Cell_Lane)-9))),"-")="","-",IF((ROW(E380)-3)&lt;(ListAndConversion!$A$15),INDEX(Flow_Cell_Lane,MIN(IF(COUNTIF($E$2:E379,Flow_Cell_Lane)=0,ROW(Flow_Cell_Lane)-9))),"-"))</f>
        <v>#DIV/0!</v>
      </c>
      <c r="F380" s="378" t="e">
        <f t="shared" si="166"/>
        <v>#DIV/0!</v>
      </c>
      <c r="G380" s="378" t="e">
        <f t="shared" si="191"/>
        <v>#DIV/0!</v>
      </c>
      <c r="H380" s="378" t="e">
        <f t="shared" si="191"/>
        <v>#DIV/0!</v>
      </c>
      <c r="I380" s="378" t="e">
        <f t="shared" si="191"/>
        <v>#DIV/0!</v>
      </c>
      <c r="J380" s="378" t="e">
        <f t="shared" si="191"/>
        <v>#DIV/0!</v>
      </c>
      <c r="K380" s="378" t="e">
        <f t="shared" si="191"/>
        <v>#DIV/0!</v>
      </c>
      <c r="L380" s="378" t="e">
        <f t="shared" si="191"/>
        <v>#DIV/0!</v>
      </c>
      <c r="M380" s="378" t="e">
        <f t="shared" si="191"/>
        <v>#DIV/0!</v>
      </c>
      <c r="N380" s="497" t="e">
        <f t="shared" si="168"/>
        <v>#DIV/0!</v>
      </c>
      <c r="O380" s="497" t="str">
        <f t="array" ref="O380">IFERROR(INDEX(Calculation!I:AN,MATCH(ListAndConversion!E380,Calculation!I:I,0),31),"-")</f>
        <v>-</v>
      </c>
      <c r="P380" s="498">
        <f>IF(COUNTIFS(Calculation!$I$10:$I$393,E380,Direct_Denaturation,"-")&lt;&gt;1,COUNTIFS(Calculation!$I$10:$I$393,E380,Direct_Denaturation,"-"),0)</f>
        <v>0</v>
      </c>
      <c r="V380" s="542" t="s">
        <v>82</v>
      </c>
      <c r="W380" s="542" t="s">
        <v>82</v>
      </c>
      <c r="X380" s="542" t="s">
        <v>82</v>
      </c>
      <c r="Y380" s="542" t="s">
        <v>82</v>
      </c>
      <c r="Z380" s="542" t="s">
        <v>82</v>
      </c>
      <c r="AA380" s="542" t="s">
        <v>82</v>
      </c>
      <c r="AB380" s="542" t="s">
        <v>82</v>
      </c>
      <c r="AC380" s="542" t="s">
        <v>82</v>
      </c>
      <c r="AD380" s="542" t="s">
        <v>82</v>
      </c>
      <c r="AE380" s="542" t="s">
        <v>82</v>
      </c>
      <c r="AF380" s="542" t="s">
        <v>82</v>
      </c>
      <c r="AG380" s="542" t="s">
        <v>82</v>
      </c>
      <c r="AH380" s="9"/>
      <c r="AI380" s="487">
        <v>377</v>
      </c>
      <c r="AJ380" s="497" t="s">
        <v>479</v>
      </c>
      <c r="AK380" s="378">
        <v>89</v>
      </c>
      <c r="AL380" s="378" t="str">
        <f t="shared" ca="1" si="169"/>
        <v>-</v>
      </c>
      <c r="AM380" s="378" t="str">
        <f t="array" aca="1" ref="AM380" ca="1">IFERROR(IF(AI380&lt;=$AB$2,"-",INDEX(Calculation_Tab,SMALL(ROW(Main_Dil)*(Main_Dil&lt;&gt;"-"),COUNTIF(Main_Dil,"-")+ROW()-3-$AB$2)-9,5)),"-")</f>
        <v>-</v>
      </c>
      <c r="AN380" s="378" t="str">
        <f t="array" aca="1" ref="AN380" ca="1">IFERROR(IF(AI380&lt;=$AB$2,"-",INDEX($A$3:$B$12,MATCH(INDEX(Calculation_Tab,SMALL(ROW(Main_Dil)*(Main_Dil&lt;&gt;"-"),COUNTIF(Main_Dil,"-")+ROW()-3-$AB$2)-9,5),$A$3:$A$12,0),2)),"-")</f>
        <v>-</v>
      </c>
      <c r="AO380" s="378" t="str">
        <f t="array" aca="1" ref="AO380" ca="1">IFERROR(IF(AI380&lt;=$AB$2,"-",INDEX(Coordinate,MATCH(INDEX(Calculation_Tab,SMALL(ROW(Main_Dil)*(Main_Dil&lt;&gt;"-"),COUNTIF(Main_Dil,"-")+ROW()-3-$AB$2)-9,6),$X$4:$X$99,0),2)),"-")</f>
        <v>-</v>
      </c>
      <c r="AP380" s="510" t="str">
        <f t="array" aca="1" ref="AP380" ca="1">IFERROR(IF(AI380&lt;=$AB$2,"-",INDEX(Calculation_Tab,SMALL(ROW(Main_Dil)*(Main_Dil&lt;&gt;"-"),COUNTIF(Main_Dil,"-")+ROW()-3-$AB$2)-9,21)),"-")</f>
        <v>-</v>
      </c>
      <c r="AQ380" s="511" t="str">
        <f t="array" aca="1" ref="AQ380" ca="1">IFERROR(IF(AI380&lt;=$AB$2,"-",INDEX(Calculation_Tab,SMALL(ROW(Main_Dil)*(Main_Dil&lt;&gt;"-"),COUNTIF(Main_Dil,"-")+ROW()-3-$AB$2)-9,22)),"-")</f>
        <v>-</v>
      </c>
      <c r="AR380" s="487" t="str">
        <f t="shared" ca="1" si="170"/>
        <v>-</v>
      </c>
      <c r="AS380" s="378">
        <v>377</v>
      </c>
      <c r="AT380" s="497" t="s">
        <v>479</v>
      </c>
      <c r="AU380" s="498">
        <v>89</v>
      </c>
      <c r="AV380" s="378" t="str">
        <f t="shared" ca="1" si="171"/>
        <v>-</v>
      </c>
      <c r="AW380" s="378" t="str">
        <f t="array" aca="1" ref="AW380" ca="1">IFERROR(IF(AS380&lt;=$AB$2+$AN$2,"-",INDEX(Calculation_Tab,SMALL(ROW(Direct_Denaturation)*(Direct_Denaturation&lt;&gt;"-"),COUNTIF(Direct_Denaturation,"-")+ROW()-3-$AB$2-$AN$2)-9,5)),"-")</f>
        <v>-</v>
      </c>
      <c r="AX380" s="378" t="str">
        <f t="array" aca="1" ref="AX380" ca="1">IFERROR(IF(AS380&lt;=$AB$2+$AN$2,"-",INDEX($A$3:$B$12,MATCH(INDEX(Calculation_Tab,SMALL(ROW(Direct_Denaturation)*(Direct_Denaturation&lt;&gt;"-"),COUNTIF(Direct_Denaturation,"-")+ROW()-3-$AB$2-$AN$2)-9,5),$A$3:$A$12,0),2)),"-")</f>
        <v>-</v>
      </c>
      <c r="AY380" s="378" t="str">
        <f t="array" aca="1" ref="AY380" ca="1">IFERROR(IF(AS380&lt;=$AB$2+$AN$2,"-",INDEX(Coordinate,MATCH(INDEX(Calculation_Tab,SMALL(ROW(Direct_Denaturation)*(Direct_Denaturation&lt;&gt;"-"),COUNTIF(Direct_Denaturation,"-")+ROW()-3-$AB$2-$AN$2)-9,6),$X$4:$X$99,0),2)),"-")</f>
        <v>-</v>
      </c>
      <c r="AZ380" s="510" t="str">
        <f t="array" aca="1" ref="AZ380" ca="1">IFERROR(IF(AS380&lt;=$AB$2+$AN$2,"-",INDEX(Calculation_Tab,SMALL(ROW(Direct_Denaturation)*(Direct_Denaturation&lt;&gt;"-"),COUNTIF(Direct_Denaturation,"-")+ROW()-3-$AB$2-$AN$2)-9,32)),"-")</f>
        <v>-</v>
      </c>
      <c r="BA380" s="510" t="str">
        <f t="array" aca="1" ref="BA380" ca="1">IFERROR(IF(AS380&lt;=$AB$2+$AN$2,"-",INDEX(Calculation_Tab,SMALL(ROW(Direct_Denaturation)*(Direct_Denaturation&lt;&gt;"-"),COUNTIF(Direct_Denaturation,"-")+ROW()-3-$AB$2-$AN$2)-9,34)),"-")</f>
        <v>-</v>
      </c>
      <c r="BB380" s="510" t="str">
        <f t="array" aca="1" ref="BB380" ca="1">IFERROR(IF(AS380&lt;=$AB$2+$AN$2,"-",INDEX(Calculation_Tab,SMALL(ROW(Direct_Denaturation)*(Direct_Denaturation&lt;&gt;"-"),COUNTIF(Direct_Denaturation,"-")+ROW()-3-$AB$2-$AN$2)-9,33)),"-")</f>
        <v>-</v>
      </c>
      <c r="BC380" s="510" t="str">
        <f t="array" aca="1" ref="BC380" ca="1">IFERROR(IF(AS380&lt;=$AB$2+$AN$2,"-",INDEX(Calculation_Tab,SMALL(ROW(Direct_Denaturation)*(Direct_Denaturation&lt;&gt;"-"),COUNTIF(Direct_Denaturation,"-")+ROW()-3-$AB$2-$AN$2)-9,35)),"-")</f>
        <v>-</v>
      </c>
      <c r="BD380" s="511" t="str">
        <f t="shared" ca="1" si="172"/>
        <v>-</v>
      </c>
      <c r="BK380" s="542" t="s">
        <v>82</v>
      </c>
      <c r="BL380" s="542" t="s">
        <v>82</v>
      </c>
      <c r="BM380" s="487" t="str">
        <f t="array" aca="1" ref="BM380" ca="1">IFERROR(INDEX(Calculation_Tab,SMALL(ROW(ToPool)*(ToPool&lt;&gt;"-"),COUNTIF(ToPool,"-")+ROW()-3)-9,3),"-")</f>
        <v>-</v>
      </c>
      <c r="BN380" s="378" t="str">
        <f t="shared" ca="1" si="173"/>
        <v>-</v>
      </c>
      <c r="BO380" s="378" t="str">
        <f t="shared" ca="1" si="174"/>
        <v>-</v>
      </c>
      <c r="BP380" s="523" t="str">
        <f t="shared" ca="1" si="175"/>
        <v>-</v>
      </c>
      <c r="BQ380" s="378" t="str">
        <f t="array" aca="1" ref="BQ380" ca="1">IFERROR(INDEX(BE:BG,MATCH(INDEX(Calculation_Tab,SMALL(ROW(ToPool)*(ToPool&lt;&gt;"-"),COUNTIF(ToPool,"-")+ROW()-3)-9,9),BG:BG,0),2),"-")</f>
        <v>-</v>
      </c>
      <c r="BR380" s="510" t="str">
        <f t="shared" ca="1" si="176"/>
        <v>-</v>
      </c>
      <c r="BS380" s="511" t="str">
        <f t="shared" ca="1" si="177"/>
        <v>-</v>
      </c>
      <c r="BT380" s="543" t="s">
        <v>82</v>
      </c>
      <c r="BU380" s="487" t="str">
        <f t="shared" ca="1" si="182"/>
        <v>-</v>
      </c>
      <c r="BV380" s="487" t="str">
        <f t="array" aca="1" ref="BV380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80" s="378" t="str">
        <f t="shared" ca="1" si="178"/>
        <v>-</v>
      </c>
      <c r="BX380" s="378" t="str">
        <f t="shared" ca="1" si="179"/>
        <v>-</v>
      </c>
      <c r="BY380" s="510" t="str">
        <f ca="1">IFERROR(ROUND(INDEX(Cluster,MATCH(IF(LEFT(BV380,4)="Pool",INDEX(Cluster,MATCH(INDEX(Calculation_Tab,MATCH(INDEX($BE$4:$BJ$99,MATCH(BV380,$BE$4:$BE$99,0),3),Flow_Cell_Lane,0),3),Cluster!$F$29:$F$412,0),6),BV380),Identifier_Cluster,0),19)*IF(LEFT(BV380,4)="pool",IF(LEN(INDEX($BE$4:$BJ$99,MATCH(BV380,$BE$4:$BE$99,0),3))=10,2,IF(LEN(INDEX($BE$4:$BJ$99,MATCH(BV380,$BE$4:$BE$99,0),3))&gt;10,LEN(INDEX($BE$4:$BJ$99,MATCH(BV380,$BE$4:$BE$99,0),3))-8,1)),1)*IF(LEFT(BV380,4)="pool",IF(INDEX($BE$4:$BJ$99,MATCH(BV380,$BE$4:$BE$99,0),6)&lt;1,1,INDEX($BE$4:$BJ$99,MATCH(BV380,$BE$4:$BE$99,0),6)),INDEX(Calculation_Tab,MATCH(BV380,Identifier,0),10)),1)*(1+Calculation!$Q$6),"-")</f>
        <v>-</v>
      </c>
      <c r="BZ380" s="378" t="str">
        <f ca="1">IFERROR((0.5/50)*CE380/Calculation!$AG$6*(IF(LEFT(BV380,4)="Pool",IF(LEN(INDEX($BE$4:$BJ$99,MATCH(BV380,$BE$4:$BE$99,0),3))=10,2,IF(LEN(INDEX($BE$4:$BJ$99,MATCH(BV380,$BE$4:$BE$99,0),3))&gt;10,LEN(INDEX($BE$4:$BJ$99,MATCH(BV380,$BE$4:$BE$99,0),3))-8,1)),IF(INDEX(Calculation_Tab,MATCH(BV380,Identifier,0),10)&gt;1,INDEX(Calculation_Tab,MATCH(BV380,Identifier,0),10),1)))*(1+Calculation!$Q$6),"-")</f>
        <v>-</v>
      </c>
      <c r="CA380" s="510" t="str">
        <f ca="1">IFERROR(IF((BZ380*Calculation!$AG$6/0.05)-SUM(BY380:BZ380,CC380)&gt;0,(BZ380*Calculation!$AG$6/0.05)-SUM(BY380:BZ380,CC380),0),"-")</f>
        <v>-</v>
      </c>
      <c r="CB380" s="510" t="str">
        <f ca="1">IFERROR(5/50*CE380*(IF(LEFT(BV380,4)="Pool",IF(LEN(INDEX($BE$4:$BJ$99,MATCH(BV380,$BE$4:$BE$99,0),3))=10,2,IF(LEN(INDEX($BE$4:$BJ$99,MATCH(BV380,$BE$4:$BE$99,0),3))&gt;10,LEN(INDEX($BE$4:$BJ$99,MATCH(BV380,$BE$4:$BE$99,0),3))-8,1)),IF(INDEX(Calculation_Tab,MATCH(BV380,Identifier,0),10)&gt;1,INDEX(Calculation_Tab,MATCH(BV380,Identifier,0),10),1)))*(1+Calculation!$Q$6),"-")</f>
        <v>-</v>
      </c>
      <c r="CC380" s="508" t="str">
        <f ca="1">IFERROR(ROUND(INDEX(Cluster,MATCH(IF(LEFT(BV380,4)="Pool",INDEX(Cluster,MATCH(INDEX(Calculation_Tab,MATCH(INDEX($BE$4:$BJ$99,MATCH(BV380,$BE$4:$BE$99,0),3),Flow_Cell_Lane,0),3),Cluster!$F$29:$F$412,0),6),BV380),Identifier_Cluster,0),20)*IF(LEFT(BV380,4)="pool",IF(LEN(INDEX($BE$4:$BJ$99,MATCH(BV380,$BE$4:$BE$99,0),3))=10,2,IF(LEN(INDEX($BE$4:$BJ$99,MATCH(BV380,$BE$4:$BE$99,0),3))&gt;10,LEN(INDEX($BE$4:$BJ$99,MATCH(BV380,$BE$4:$BE$99,0),3))-8,1)),1)*IF(LEFT(BV380,4)="pool",IF(INDEX($BE$4:$BJ$99,MATCH(BV380,$BE$4:$BE$99,0),6)&lt;1,1,INDEX($BE$4:$BJ$99,MATCH(BV380,$BE$4:$BE$99,0),6)),INDEX(Calculation_Tab,MATCH(BV380,Identifier,0),10)),1)*(1+Calculation!$Q$6),"-")</f>
        <v>-</v>
      </c>
      <c r="CD380" s="509" t="str">
        <f ca="1">IFERROR(INDEX(Cluster!AC:AD,MATCH(IF(LEFT(BV380,4)="Pool",INDEX(Cluster!$D$29:$AA$412,MATCH(INDEX(Calculation_Tab,MATCH(INDEX($BE$4:$BJ$99,MATCH(BV380,$BE$4:$BE$99,0),3),Flow_Cell_Lane,0),3),Cluster!$F$29:$F$412,0),24),INDEX(Cluster!$D$29:$AA$412,MATCH(BV380,Cluster!$F$29:$F$412,0),24)),Cluster!AC:AC,0),2),"-")</f>
        <v>-</v>
      </c>
      <c r="CE380" s="378" t="str">
        <f ca="1">IFERROR(IF(BV380&lt;&gt;"-",Calculation!$AK$6,"-"),"-")</f>
        <v>-</v>
      </c>
      <c r="CF380" s="378" t="str">
        <f ca="1">IF(OR(LEFT(ListAndConversion!BW380,3)="Dil",LEFT(ListAndConversion!BW380,3)="Poo"),ListAndConversion!$BT$4,IF(LEFT(ListAndConversion!BW380,3)="Sou",INDEX(ListAndConversion!$AT$3:$AV$387,MATCH(ListAndConversion!BV380,ListAndConversion!$AV$3:$AV$387,0),1),"-"))</f>
        <v>-</v>
      </c>
      <c r="CG380" s="498" t="str">
        <f ca="1">IF(OR(LEFT(ListAndConversion!BW380,3)="Dil",LEFT(ListAndConversion!BW380,3)="Poo"),ListAndConversion!BU380,IF(LEFT(ListAndConversion!BW380,3)="Sou",INDEX(ListAndConversion!$AT$4:$AV$387,MATCH(ListAndConversion!BV380,ListAndConversion!$AV$4:$AV$387,0),2),"-"))</f>
        <v>-</v>
      </c>
      <c r="CH380" s="378"/>
      <c r="CI380" s="487" t="str">
        <f t="shared" ca="1" si="180"/>
        <v>-</v>
      </c>
      <c r="CJ380" s="378" t="str">
        <f t="shared" ca="1" si="192"/>
        <v>-</v>
      </c>
      <c r="CK380" s="378" t="str">
        <f t="shared" ca="1" si="192"/>
        <v>-</v>
      </c>
      <c r="CL380" s="378" t="str">
        <f t="shared" ca="1" si="192"/>
        <v>-</v>
      </c>
      <c r="CM380" s="378" t="str">
        <f t="shared" ca="1" si="192"/>
        <v>-</v>
      </c>
      <c r="CN380" s="378" t="str">
        <f t="shared" ca="1" si="192"/>
        <v>-</v>
      </c>
      <c r="CO380" s="378" t="str">
        <f t="shared" ca="1" si="192"/>
        <v>-</v>
      </c>
      <c r="CP380" s="378" t="str">
        <f t="shared" ca="1" si="192"/>
        <v>-</v>
      </c>
      <c r="CQ380" s="378" t="str">
        <f t="shared" ca="1" si="192"/>
        <v>-</v>
      </c>
      <c r="CR380" s="510" t="str">
        <f ca="1">IFERROR(IF(LEFT(BW380,3)="Poo",INDEX($BE$4:$BJ$99,MATCH(CI380,$BG$4:$BG$99,0),6)*((15/50))*Calculation!$AK$6,INDEX(Calculation_Tab,MATCH(BV380,Identifier,0),10)/(IF(LEN(INDEX(Calculation_Tab,MATCH(BV380,Identifier,0),9))&gt;8,LEN(INDEX(Calculation_Tab,MATCH(BV380,Identifier,0),9))-8,1))*((15/50)*Calculation!$AK$6)),"-")</f>
        <v>-</v>
      </c>
      <c r="CS380" s="498" t="str">
        <f ca="1">IF(CI380="-","-",IF(COUNTIF($CI$3:CI380,CI380)&gt;1,0,IFERROR((35/50)*Calculation!$AK$6,"-")))</f>
        <v>-</v>
      </c>
    </row>
    <row r="381" spans="4:97" x14ac:dyDescent="0.5">
      <c r="D381" s="487" t="e">
        <f t="shared" si="165"/>
        <v>#DIV/0!</v>
      </c>
      <c r="E381" s="496" t="e">
        <f t="array" ref="E381">IF(IF((ROW(E381)-3)&lt;(ListAndConversion!$A$15),INDEX(Flow_Cell_Lane,MIN(IF(COUNTIF($E$2:E380,Flow_Cell_Lane)=0,ROW(Flow_Cell_Lane)-9))),"-")="","-",IF((ROW(E381)-3)&lt;(ListAndConversion!$A$15),INDEX(Flow_Cell_Lane,MIN(IF(COUNTIF($E$2:E380,Flow_Cell_Lane)=0,ROW(Flow_Cell_Lane)-9))),"-"))</f>
        <v>#DIV/0!</v>
      </c>
      <c r="F381" s="378" t="e">
        <f t="shared" si="166"/>
        <v>#DIV/0!</v>
      </c>
      <c r="G381" s="378" t="e">
        <f t="shared" si="191"/>
        <v>#DIV/0!</v>
      </c>
      <c r="H381" s="378" t="e">
        <f t="shared" si="191"/>
        <v>#DIV/0!</v>
      </c>
      <c r="I381" s="378" t="e">
        <f t="shared" si="191"/>
        <v>#DIV/0!</v>
      </c>
      <c r="J381" s="378" t="e">
        <f t="shared" si="191"/>
        <v>#DIV/0!</v>
      </c>
      <c r="K381" s="378" t="e">
        <f t="shared" si="191"/>
        <v>#DIV/0!</v>
      </c>
      <c r="L381" s="378" t="e">
        <f t="shared" si="191"/>
        <v>#DIV/0!</v>
      </c>
      <c r="M381" s="378" t="e">
        <f t="shared" si="191"/>
        <v>#DIV/0!</v>
      </c>
      <c r="N381" s="497" t="e">
        <f t="shared" si="168"/>
        <v>#DIV/0!</v>
      </c>
      <c r="O381" s="497" t="str">
        <f t="array" ref="O381">IFERROR(INDEX(Calculation!I:AN,MATCH(ListAndConversion!E381,Calculation!I:I,0),31),"-")</f>
        <v>-</v>
      </c>
      <c r="P381" s="498">
        <f>IF(COUNTIFS(Calculation!$I$10:$I$393,E381,Direct_Denaturation,"-")&lt;&gt;1,COUNTIFS(Calculation!$I$10:$I$393,E381,Direct_Denaturation,"-"),0)</f>
        <v>0</v>
      </c>
      <c r="V381" s="542" t="s">
        <v>82</v>
      </c>
      <c r="W381" s="542" t="s">
        <v>82</v>
      </c>
      <c r="X381" s="542" t="s">
        <v>82</v>
      </c>
      <c r="Y381" s="542" t="s">
        <v>82</v>
      </c>
      <c r="Z381" s="542" t="s">
        <v>82</v>
      </c>
      <c r="AA381" s="542" t="s">
        <v>82</v>
      </c>
      <c r="AB381" s="542" t="s">
        <v>82</v>
      </c>
      <c r="AC381" s="542" t="s">
        <v>82</v>
      </c>
      <c r="AD381" s="542" t="s">
        <v>82</v>
      </c>
      <c r="AE381" s="542" t="s">
        <v>82</v>
      </c>
      <c r="AF381" s="542" t="s">
        <v>82</v>
      </c>
      <c r="AG381" s="542" t="s">
        <v>82</v>
      </c>
      <c r="AH381" s="9"/>
      <c r="AI381" s="487">
        <v>378</v>
      </c>
      <c r="AJ381" s="497" t="s">
        <v>479</v>
      </c>
      <c r="AK381" s="378">
        <v>90</v>
      </c>
      <c r="AL381" s="378" t="str">
        <f t="shared" ca="1" si="169"/>
        <v>-</v>
      </c>
      <c r="AM381" s="378" t="str">
        <f t="array" aca="1" ref="AM381" ca="1">IFERROR(IF(AI381&lt;=$AB$2,"-",INDEX(Calculation_Tab,SMALL(ROW(Main_Dil)*(Main_Dil&lt;&gt;"-"),COUNTIF(Main_Dil,"-")+ROW()-3-$AB$2)-9,5)),"-")</f>
        <v>-</v>
      </c>
      <c r="AN381" s="378" t="str">
        <f t="array" aca="1" ref="AN381" ca="1">IFERROR(IF(AI381&lt;=$AB$2,"-",INDEX($A$3:$B$12,MATCH(INDEX(Calculation_Tab,SMALL(ROW(Main_Dil)*(Main_Dil&lt;&gt;"-"),COUNTIF(Main_Dil,"-")+ROW()-3-$AB$2)-9,5),$A$3:$A$12,0),2)),"-")</f>
        <v>-</v>
      </c>
      <c r="AO381" s="378" t="str">
        <f t="array" aca="1" ref="AO381" ca="1">IFERROR(IF(AI381&lt;=$AB$2,"-",INDEX(Coordinate,MATCH(INDEX(Calculation_Tab,SMALL(ROW(Main_Dil)*(Main_Dil&lt;&gt;"-"),COUNTIF(Main_Dil,"-")+ROW()-3-$AB$2)-9,6),$X$4:$X$99,0),2)),"-")</f>
        <v>-</v>
      </c>
      <c r="AP381" s="510" t="str">
        <f t="array" aca="1" ref="AP381" ca="1">IFERROR(IF(AI381&lt;=$AB$2,"-",INDEX(Calculation_Tab,SMALL(ROW(Main_Dil)*(Main_Dil&lt;&gt;"-"),COUNTIF(Main_Dil,"-")+ROW()-3-$AB$2)-9,21)),"-")</f>
        <v>-</v>
      </c>
      <c r="AQ381" s="511" t="str">
        <f t="array" aca="1" ref="AQ381" ca="1">IFERROR(IF(AI381&lt;=$AB$2,"-",INDEX(Calculation_Tab,SMALL(ROW(Main_Dil)*(Main_Dil&lt;&gt;"-"),COUNTIF(Main_Dil,"-")+ROW()-3-$AB$2)-9,22)),"-")</f>
        <v>-</v>
      </c>
      <c r="AR381" s="487" t="str">
        <f t="shared" ca="1" si="170"/>
        <v>-</v>
      </c>
      <c r="AS381" s="378">
        <v>378</v>
      </c>
      <c r="AT381" s="497" t="s">
        <v>479</v>
      </c>
      <c r="AU381" s="498">
        <v>90</v>
      </c>
      <c r="AV381" s="378" t="str">
        <f t="shared" ca="1" si="171"/>
        <v>-</v>
      </c>
      <c r="AW381" s="378" t="str">
        <f t="array" aca="1" ref="AW381" ca="1">IFERROR(IF(AS381&lt;=$AB$2+$AN$2,"-",INDEX(Calculation_Tab,SMALL(ROW(Direct_Denaturation)*(Direct_Denaturation&lt;&gt;"-"),COUNTIF(Direct_Denaturation,"-")+ROW()-3-$AB$2-$AN$2)-9,5)),"-")</f>
        <v>-</v>
      </c>
      <c r="AX381" s="378" t="str">
        <f t="array" aca="1" ref="AX381" ca="1">IFERROR(IF(AS381&lt;=$AB$2+$AN$2,"-",INDEX($A$3:$B$12,MATCH(INDEX(Calculation_Tab,SMALL(ROW(Direct_Denaturation)*(Direct_Denaturation&lt;&gt;"-"),COUNTIF(Direct_Denaturation,"-")+ROW()-3-$AB$2-$AN$2)-9,5),$A$3:$A$12,0),2)),"-")</f>
        <v>-</v>
      </c>
      <c r="AY381" s="378" t="str">
        <f t="array" aca="1" ref="AY381" ca="1">IFERROR(IF(AS381&lt;=$AB$2+$AN$2,"-",INDEX(Coordinate,MATCH(INDEX(Calculation_Tab,SMALL(ROW(Direct_Denaturation)*(Direct_Denaturation&lt;&gt;"-"),COUNTIF(Direct_Denaturation,"-")+ROW()-3-$AB$2-$AN$2)-9,6),$X$4:$X$99,0),2)),"-")</f>
        <v>-</v>
      </c>
      <c r="AZ381" s="510" t="str">
        <f t="array" aca="1" ref="AZ381" ca="1">IFERROR(IF(AS381&lt;=$AB$2+$AN$2,"-",INDEX(Calculation_Tab,SMALL(ROW(Direct_Denaturation)*(Direct_Denaturation&lt;&gt;"-"),COUNTIF(Direct_Denaturation,"-")+ROW()-3-$AB$2-$AN$2)-9,32)),"-")</f>
        <v>-</v>
      </c>
      <c r="BA381" s="510" t="str">
        <f t="array" aca="1" ref="BA381" ca="1">IFERROR(IF(AS381&lt;=$AB$2+$AN$2,"-",INDEX(Calculation_Tab,SMALL(ROW(Direct_Denaturation)*(Direct_Denaturation&lt;&gt;"-"),COUNTIF(Direct_Denaturation,"-")+ROW()-3-$AB$2-$AN$2)-9,34)),"-")</f>
        <v>-</v>
      </c>
      <c r="BB381" s="510" t="str">
        <f t="array" aca="1" ref="BB381" ca="1">IFERROR(IF(AS381&lt;=$AB$2+$AN$2,"-",INDEX(Calculation_Tab,SMALL(ROW(Direct_Denaturation)*(Direct_Denaturation&lt;&gt;"-"),COUNTIF(Direct_Denaturation,"-")+ROW()-3-$AB$2-$AN$2)-9,33)),"-")</f>
        <v>-</v>
      </c>
      <c r="BC381" s="510" t="str">
        <f t="array" aca="1" ref="BC381" ca="1">IFERROR(IF(AS381&lt;=$AB$2+$AN$2,"-",INDEX(Calculation_Tab,SMALL(ROW(Direct_Denaturation)*(Direct_Denaturation&lt;&gt;"-"),COUNTIF(Direct_Denaturation,"-")+ROW()-3-$AB$2-$AN$2)-9,35)),"-")</f>
        <v>-</v>
      </c>
      <c r="BD381" s="511" t="str">
        <f t="shared" ca="1" si="172"/>
        <v>-</v>
      </c>
      <c r="BK381" s="542" t="s">
        <v>82</v>
      </c>
      <c r="BL381" s="542" t="s">
        <v>82</v>
      </c>
      <c r="BM381" s="487" t="str">
        <f t="array" aca="1" ref="BM381" ca="1">IFERROR(INDEX(Calculation_Tab,SMALL(ROW(ToPool)*(ToPool&lt;&gt;"-"),COUNTIF(ToPool,"-")+ROW()-3)-9,3),"-")</f>
        <v>-</v>
      </c>
      <c r="BN381" s="378" t="str">
        <f t="shared" ca="1" si="173"/>
        <v>-</v>
      </c>
      <c r="BO381" s="378" t="str">
        <f t="shared" ca="1" si="174"/>
        <v>-</v>
      </c>
      <c r="BP381" s="523" t="str">
        <f t="shared" ca="1" si="175"/>
        <v>-</v>
      </c>
      <c r="BQ381" s="378" t="str">
        <f t="array" aca="1" ref="BQ381" ca="1">IFERROR(INDEX(BE:BG,MATCH(INDEX(Calculation_Tab,SMALL(ROW(ToPool)*(ToPool&lt;&gt;"-"),COUNTIF(ToPool,"-")+ROW()-3)-9,9),BG:BG,0),2),"-")</f>
        <v>-</v>
      </c>
      <c r="BR381" s="510" t="str">
        <f t="shared" ca="1" si="176"/>
        <v>-</v>
      </c>
      <c r="BS381" s="511" t="str">
        <f t="shared" ca="1" si="177"/>
        <v>-</v>
      </c>
      <c r="BT381" s="543" t="s">
        <v>82</v>
      </c>
      <c r="BU381" s="487" t="str">
        <f t="shared" ca="1" si="182"/>
        <v>-</v>
      </c>
      <c r="BV381" s="487" t="str">
        <f t="array" aca="1" ref="BV381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81" s="378" t="str">
        <f t="shared" ca="1" si="178"/>
        <v>-</v>
      </c>
      <c r="BX381" s="378" t="str">
        <f t="shared" ca="1" si="179"/>
        <v>-</v>
      </c>
      <c r="BY381" s="510" t="str">
        <f ca="1">IFERROR(ROUND(INDEX(Cluster,MATCH(IF(LEFT(BV381,4)="Pool",INDEX(Cluster,MATCH(INDEX(Calculation_Tab,MATCH(INDEX($BE$4:$BJ$99,MATCH(BV381,$BE$4:$BE$99,0),3),Flow_Cell_Lane,0),3),Cluster!$F$29:$F$412,0),6),BV381),Identifier_Cluster,0),19)*IF(LEFT(BV381,4)="pool",IF(LEN(INDEX($BE$4:$BJ$99,MATCH(BV381,$BE$4:$BE$99,0),3))=10,2,IF(LEN(INDEX($BE$4:$BJ$99,MATCH(BV381,$BE$4:$BE$99,0),3))&gt;10,LEN(INDEX($BE$4:$BJ$99,MATCH(BV381,$BE$4:$BE$99,0),3))-8,1)),1)*IF(LEFT(BV381,4)="pool",IF(INDEX($BE$4:$BJ$99,MATCH(BV381,$BE$4:$BE$99,0),6)&lt;1,1,INDEX($BE$4:$BJ$99,MATCH(BV381,$BE$4:$BE$99,0),6)),INDEX(Calculation_Tab,MATCH(BV381,Identifier,0),10)),1)*(1+Calculation!$Q$6),"-")</f>
        <v>-</v>
      </c>
      <c r="BZ381" s="378" t="str">
        <f ca="1">IFERROR((0.5/50)*CE381/Calculation!$AG$6*(IF(LEFT(BV381,4)="Pool",IF(LEN(INDEX($BE$4:$BJ$99,MATCH(BV381,$BE$4:$BE$99,0),3))=10,2,IF(LEN(INDEX($BE$4:$BJ$99,MATCH(BV381,$BE$4:$BE$99,0),3))&gt;10,LEN(INDEX($BE$4:$BJ$99,MATCH(BV381,$BE$4:$BE$99,0),3))-8,1)),IF(INDEX(Calculation_Tab,MATCH(BV381,Identifier,0),10)&gt;1,INDEX(Calculation_Tab,MATCH(BV381,Identifier,0),10),1)))*(1+Calculation!$Q$6),"-")</f>
        <v>-</v>
      </c>
      <c r="CA381" s="510" t="str">
        <f ca="1">IFERROR(IF((BZ381*Calculation!$AG$6/0.05)-SUM(BY381:BZ381,CC381)&gt;0,(BZ381*Calculation!$AG$6/0.05)-SUM(BY381:BZ381,CC381),0),"-")</f>
        <v>-</v>
      </c>
      <c r="CB381" s="510" t="str">
        <f ca="1">IFERROR(5/50*CE381*(IF(LEFT(BV381,4)="Pool",IF(LEN(INDEX($BE$4:$BJ$99,MATCH(BV381,$BE$4:$BE$99,0),3))=10,2,IF(LEN(INDEX($BE$4:$BJ$99,MATCH(BV381,$BE$4:$BE$99,0),3))&gt;10,LEN(INDEX($BE$4:$BJ$99,MATCH(BV381,$BE$4:$BE$99,0),3))-8,1)),IF(INDEX(Calculation_Tab,MATCH(BV381,Identifier,0),10)&gt;1,INDEX(Calculation_Tab,MATCH(BV381,Identifier,0),10),1)))*(1+Calculation!$Q$6),"-")</f>
        <v>-</v>
      </c>
      <c r="CC381" s="508" t="str">
        <f ca="1">IFERROR(ROUND(INDEX(Cluster,MATCH(IF(LEFT(BV381,4)="Pool",INDEX(Cluster,MATCH(INDEX(Calculation_Tab,MATCH(INDEX($BE$4:$BJ$99,MATCH(BV381,$BE$4:$BE$99,0),3),Flow_Cell_Lane,0),3),Cluster!$F$29:$F$412,0),6),BV381),Identifier_Cluster,0),20)*IF(LEFT(BV381,4)="pool",IF(LEN(INDEX($BE$4:$BJ$99,MATCH(BV381,$BE$4:$BE$99,0),3))=10,2,IF(LEN(INDEX($BE$4:$BJ$99,MATCH(BV381,$BE$4:$BE$99,0),3))&gt;10,LEN(INDEX($BE$4:$BJ$99,MATCH(BV381,$BE$4:$BE$99,0),3))-8,1)),1)*IF(LEFT(BV381,4)="pool",IF(INDEX($BE$4:$BJ$99,MATCH(BV381,$BE$4:$BE$99,0),6)&lt;1,1,INDEX($BE$4:$BJ$99,MATCH(BV381,$BE$4:$BE$99,0),6)),INDEX(Calculation_Tab,MATCH(BV381,Identifier,0),10)),1)*(1+Calculation!$Q$6),"-")</f>
        <v>-</v>
      </c>
      <c r="CD381" s="509" t="str">
        <f ca="1">IFERROR(INDEX(Cluster!AC:AD,MATCH(IF(LEFT(BV381,4)="Pool",INDEX(Cluster!$D$29:$AA$412,MATCH(INDEX(Calculation_Tab,MATCH(INDEX($BE$4:$BJ$99,MATCH(BV381,$BE$4:$BE$99,0),3),Flow_Cell_Lane,0),3),Cluster!$F$29:$F$412,0),24),INDEX(Cluster!$D$29:$AA$412,MATCH(BV381,Cluster!$F$29:$F$412,0),24)),Cluster!AC:AC,0),2),"-")</f>
        <v>-</v>
      </c>
      <c r="CE381" s="378" t="str">
        <f ca="1">IFERROR(IF(BV381&lt;&gt;"-",Calculation!$AK$6,"-"),"-")</f>
        <v>-</v>
      </c>
      <c r="CF381" s="378" t="str">
        <f ca="1">IF(OR(LEFT(ListAndConversion!BW381,3)="Dil",LEFT(ListAndConversion!BW381,3)="Poo"),ListAndConversion!$BT$4,IF(LEFT(ListAndConversion!BW381,3)="Sou",INDEX(ListAndConversion!$AT$3:$AV$387,MATCH(ListAndConversion!BV381,ListAndConversion!$AV$3:$AV$387,0),1),"-"))</f>
        <v>-</v>
      </c>
      <c r="CG381" s="498" t="str">
        <f ca="1">IF(OR(LEFT(ListAndConversion!BW381,3)="Dil",LEFT(ListAndConversion!BW381,3)="Poo"),ListAndConversion!BU381,IF(LEFT(ListAndConversion!BW381,3)="Sou",INDEX(ListAndConversion!$AT$4:$AV$387,MATCH(ListAndConversion!BV381,ListAndConversion!$AV$4:$AV$387,0),2),"-"))</f>
        <v>-</v>
      </c>
      <c r="CH381" s="378"/>
      <c r="CI381" s="487" t="str">
        <f t="shared" ca="1" si="180"/>
        <v>-</v>
      </c>
      <c r="CJ381" s="378" t="str">
        <f t="shared" ca="1" si="192"/>
        <v>-</v>
      </c>
      <c r="CK381" s="378" t="str">
        <f t="shared" ca="1" si="192"/>
        <v>-</v>
      </c>
      <c r="CL381" s="378" t="str">
        <f t="shared" ca="1" si="192"/>
        <v>-</v>
      </c>
      <c r="CM381" s="378" t="str">
        <f t="shared" ca="1" si="192"/>
        <v>-</v>
      </c>
      <c r="CN381" s="378" t="str">
        <f t="shared" ca="1" si="192"/>
        <v>-</v>
      </c>
      <c r="CO381" s="378" t="str">
        <f t="shared" ca="1" si="192"/>
        <v>-</v>
      </c>
      <c r="CP381" s="378" t="str">
        <f t="shared" ca="1" si="192"/>
        <v>-</v>
      </c>
      <c r="CQ381" s="378" t="str">
        <f t="shared" ca="1" si="192"/>
        <v>-</v>
      </c>
      <c r="CR381" s="510" t="str">
        <f ca="1">IFERROR(IF(LEFT(BW381,3)="Poo",INDEX($BE$4:$BJ$99,MATCH(CI381,$BG$4:$BG$99,0),6)*((15/50))*Calculation!$AK$6,INDEX(Calculation_Tab,MATCH(BV381,Identifier,0),10)/(IF(LEN(INDEX(Calculation_Tab,MATCH(BV381,Identifier,0),9))&gt;8,LEN(INDEX(Calculation_Tab,MATCH(BV381,Identifier,0),9))-8,1))*((15/50)*Calculation!$AK$6)),"-")</f>
        <v>-</v>
      </c>
      <c r="CS381" s="498" t="str">
        <f ca="1">IF(CI381="-","-",IF(COUNTIF($CI$3:CI381,CI381)&gt;1,0,IFERROR((35/50)*Calculation!$AK$6,"-")))</f>
        <v>-</v>
      </c>
    </row>
    <row r="382" spans="4:97" x14ac:dyDescent="0.5">
      <c r="D382" s="487" t="e">
        <f t="shared" si="165"/>
        <v>#DIV/0!</v>
      </c>
      <c r="E382" s="496" t="e">
        <f t="array" ref="E382">IF(IF((ROW(E382)-3)&lt;(ListAndConversion!$A$15),INDEX(Flow_Cell_Lane,MIN(IF(COUNTIF($E$2:E381,Flow_Cell_Lane)=0,ROW(Flow_Cell_Lane)-9))),"-")="","-",IF((ROW(E382)-3)&lt;(ListAndConversion!$A$15),INDEX(Flow_Cell_Lane,MIN(IF(COUNTIF($E$2:E381,Flow_Cell_Lane)=0,ROW(Flow_Cell_Lane)-9))),"-"))</f>
        <v>#DIV/0!</v>
      </c>
      <c r="F382" s="378" t="e">
        <f t="shared" si="166"/>
        <v>#DIV/0!</v>
      </c>
      <c r="G382" s="378" t="e">
        <f t="shared" si="191"/>
        <v>#DIV/0!</v>
      </c>
      <c r="H382" s="378" t="e">
        <f t="shared" si="191"/>
        <v>#DIV/0!</v>
      </c>
      <c r="I382" s="378" t="e">
        <f t="shared" si="191"/>
        <v>#DIV/0!</v>
      </c>
      <c r="J382" s="378" t="e">
        <f t="shared" si="191"/>
        <v>#DIV/0!</v>
      </c>
      <c r="K382" s="378" t="e">
        <f t="shared" si="191"/>
        <v>#DIV/0!</v>
      </c>
      <c r="L382" s="378" t="e">
        <f t="shared" si="191"/>
        <v>#DIV/0!</v>
      </c>
      <c r="M382" s="378" t="e">
        <f t="shared" si="191"/>
        <v>#DIV/0!</v>
      </c>
      <c r="N382" s="497" t="e">
        <f t="shared" si="168"/>
        <v>#DIV/0!</v>
      </c>
      <c r="O382" s="497" t="str">
        <f t="array" ref="O382">IFERROR(INDEX(Calculation!I:AN,MATCH(ListAndConversion!E382,Calculation!I:I,0),31),"-")</f>
        <v>-</v>
      </c>
      <c r="P382" s="498">
        <f>IF(COUNTIFS(Calculation!$I$10:$I$393,E382,Direct_Denaturation,"-")&lt;&gt;1,COUNTIFS(Calculation!$I$10:$I$393,E382,Direct_Denaturation,"-"),0)</f>
        <v>0</v>
      </c>
      <c r="V382" s="542" t="s">
        <v>82</v>
      </c>
      <c r="W382" s="542" t="s">
        <v>82</v>
      </c>
      <c r="X382" s="542" t="s">
        <v>82</v>
      </c>
      <c r="Y382" s="542" t="s">
        <v>82</v>
      </c>
      <c r="Z382" s="542" t="s">
        <v>82</v>
      </c>
      <c r="AA382" s="542" t="s">
        <v>82</v>
      </c>
      <c r="AB382" s="542" t="s">
        <v>82</v>
      </c>
      <c r="AC382" s="542" t="s">
        <v>82</v>
      </c>
      <c r="AD382" s="542" t="s">
        <v>82</v>
      </c>
      <c r="AE382" s="542" t="s">
        <v>82</v>
      </c>
      <c r="AF382" s="542" t="s">
        <v>82</v>
      </c>
      <c r="AG382" s="542" t="s">
        <v>82</v>
      </c>
      <c r="AH382" s="9"/>
      <c r="AI382" s="487">
        <v>379</v>
      </c>
      <c r="AJ382" s="497" t="s">
        <v>479</v>
      </c>
      <c r="AK382" s="378">
        <v>91</v>
      </c>
      <c r="AL382" s="378" t="str">
        <f t="shared" ca="1" si="169"/>
        <v>-</v>
      </c>
      <c r="AM382" s="378" t="str">
        <f t="array" aca="1" ref="AM382" ca="1">IFERROR(IF(AI382&lt;=$AB$2,"-",INDEX(Calculation_Tab,SMALL(ROW(Main_Dil)*(Main_Dil&lt;&gt;"-"),COUNTIF(Main_Dil,"-")+ROW()-3-$AB$2)-9,5)),"-")</f>
        <v>-</v>
      </c>
      <c r="AN382" s="378" t="str">
        <f t="array" aca="1" ref="AN382" ca="1">IFERROR(IF(AI382&lt;=$AB$2,"-",INDEX($A$3:$B$12,MATCH(INDEX(Calculation_Tab,SMALL(ROW(Main_Dil)*(Main_Dil&lt;&gt;"-"),COUNTIF(Main_Dil,"-")+ROW()-3-$AB$2)-9,5),$A$3:$A$12,0),2)),"-")</f>
        <v>-</v>
      </c>
      <c r="AO382" s="378" t="str">
        <f t="array" aca="1" ref="AO382" ca="1">IFERROR(IF(AI382&lt;=$AB$2,"-",INDEX(Coordinate,MATCH(INDEX(Calculation_Tab,SMALL(ROW(Main_Dil)*(Main_Dil&lt;&gt;"-"),COUNTIF(Main_Dil,"-")+ROW()-3-$AB$2)-9,6),$X$4:$X$99,0),2)),"-")</f>
        <v>-</v>
      </c>
      <c r="AP382" s="510" t="str">
        <f t="array" aca="1" ref="AP382" ca="1">IFERROR(IF(AI382&lt;=$AB$2,"-",INDEX(Calculation_Tab,SMALL(ROW(Main_Dil)*(Main_Dil&lt;&gt;"-"),COUNTIF(Main_Dil,"-")+ROW()-3-$AB$2)-9,21)),"-")</f>
        <v>-</v>
      </c>
      <c r="AQ382" s="511" t="str">
        <f t="array" aca="1" ref="AQ382" ca="1">IFERROR(IF(AI382&lt;=$AB$2,"-",INDEX(Calculation_Tab,SMALL(ROW(Main_Dil)*(Main_Dil&lt;&gt;"-"),COUNTIF(Main_Dil,"-")+ROW()-3-$AB$2)-9,22)),"-")</f>
        <v>-</v>
      </c>
      <c r="AR382" s="487" t="str">
        <f t="shared" ca="1" si="170"/>
        <v>-</v>
      </c>
      <c r="AS382" s="378">
        <v>379</v>
      </c>
      <c r="AT382" s="497" t="s">
        <v>479</v>
      </c>
      <c r="AU382" s="498">
        <v>91</v>
      </c>
      <c r="AV382" s="378" t="str">
        <f t="shared" ca="1" si="171"/>
        <v>-</v>
      </c>
      <c r="AW382" s="378" t="str">
        <f t="array" aca="1" ref="AW382" ca="1">IFERROR(IF(AS382&lt;=$AB$2+$AN$2,"-",INDEX(Calculation_Tab,SMALL(ROW(Direct_Denaturation)*(Direct_Denaturation&lt;&gt;"-"),COUNTIF(Direct_Denaturation,"-")+ROW()-3-$AB$2-$AN$2)-9,5)),"-")</f>
        <v>-</v>
      </c>
      <c r="AX382" s="378" t="str">
        <f t="array" aca="1" ref="AX382" ca="1">IFERROR(IF(AS382&lt;=$AB$2+$AN$2,"-",INDEX($A$3:$B$12,MATCH(INDEX(Calculation_Tab,SMALL(ROW(Direct_Denaturation)*(Direct_Denaturation&lt;&gt;"-"),COUNTIF(Direct_Denaturation,"-")+ROW()-3-$AB$2-$AN$2)-9,5),$A$3:$A$12,0),2)),"-")</f>
        <v>-</v>
      </c>
      <c r="AY382" s="378" t="str">
        <f t="array" aca="1" ref="AY382" ca="1">IFERROR(IF(AS382&lt;=$AB$2+$AN$2,"-",INDEX(Coordinate,MATCH(INDEX(Calculation_Tab,SMALL(ROW(Direct_Denaturation)*(Direct_Denaturation&lt;&gt;"-"),COUNTIF(Direct_Denaturation,"-")+ROW()-3-$AB$2-$AN$2)-9,6),$X$4:$X$99,0),2)),"-")</f>
        <v>-</v>
      </c>
      <c r="AZ382" s="510" t="str">
        <f t="array" aca="1" ref="AZ382" ca="1">IFERROR(IF(AS382&lt;=$AB$2+$AN$2,"-",INDEX(Calculation_Tab,SMALL(ROW(Direct_Denaturation)*(Direct_Denaturation&lt;&gt;"-"),COUNTIF(Direct_Denaturation,"-")+ROW()-3-$AB$2-$AN$2)-9,32)),"-")</f>
        <v>-</v>
      </c>
      <c r="BA382" s="510" t="str">
        <f t="array" aca="1" ref="BA382" ca="1">IFERROR(IF(AS382&lt;=$AB$2+$AN$2,"-",INDEX(Calculation_Tab,SMALL(ROW(Direct_Denaturation)*(Direct_Denaturation&lt;&gt;"-"),COUNTIF(Direct_Denaturation,"-")+ROW()-3-$AB$2-$AN$2)-9,34)),"-")</f>
        <v>-</v>
      </c>
      <c r="BB382" s="510" t="str">
        <f t="array" aca="1" ref="BB382" ca="1">IFERROR(IF(AS382&lt;=$AB$2+$AN$2,"-",INDEX(Calculation_Tab,SMALL(ROW(Direct_Denaturation)*(Direct_Denaturation&lt;&gt;"-"),COUNTIF(Direct_Denaturation,"-")+ROW()-3-$AB$2-$AN$2)-9,33)),"-")</f>
        <v>-</v>
      </c>
      <c r="BC382" s="510" t="str">
        <f t="array" aca="1" ref="BC382" ca="1">IFERROR(IF(AS382&lt;=$AB$2+$AN$2,"-",INDEX(Calculation_Tab,SMALL(ROW(Direct_Denaturation)*(Direct_Denaturation&lt;&gt;"-"),COUNTIF(Direct_Denaturation,"-")+ROW()-3-$AB$2-$AN$2)-9,35)),"-")</f>
        <v>-</v>
      </c>
      <c r="BD382" s="511" t="str">
        <f t="shared" ca="1" si="172"/>
        <v>-</v>
      </c>
      <c r="BK382" s="542" t="s">
        <v>82</v>
      </c>
      <c r="BL382" s="542" t="s">
        <v>82</v>
      </c>
      <c r="BM382" s="487" t="str">
        <f t="array" aca="1" ref="BM382" ca="1">IFERROR(INDEX(Calculation_Tab,SMALL(ROW(ToPool)*(ToPool&lt;&gt;"-"),COUNTIF(ToPool,"-")+ROW()-3)-9,3),"-")</f>
        <v>-</v>
      </c>
      <c r="BN382" s="378" t="str">
        <f t="shared" ca="1" si="173"/>
        <v>-</v>
      </c>
      <c r="BO382" s="378" t="str">
        <f t="shared" ca="1" si="174"/>
        <v>-</v>
      </c>
      <c r="BP382" s="523" t="str">
        <f t="shared" ca="1" si="175"/>
        <v>-</v>
      </c>
      <c r="BQ382" s="378" t="str">
        <f t="array" aca="1" ref="BQ382" ca="1">IFERROR(INDEX(BE:BG,MATCH(INDEX(Calculation_Tab,SMALL(ROW(ToPool)*(ToPool&lt;&gt;"-"),COUNTIF(ToPool,"-")+ROW()-3)-9,9),BG:BG,0),2),"-")</f>
        <v>-</v>
      </c>
      <c r="BR382" s="510" t="str">
        <f t="shared" ca="1" si="176"/>
        <v>-</v>
      </c>
      <c r="BS382" s="511" t="str">
        <f t="shared" ca="1" si="177"/>
        <v>-</v>
      </c>
      <c r="BT382" s="543" t="s">
        <v>82</v>
      </c>
      <c r="BU382" s="487" t="str">
        <f t="shared" ca="1" si="182"/>
        <v>-</v>
      </c>
      <c r="BV382" s="487" t="str">
        <f t="array" aca="1" ref="BV382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82" s="378" t="str">
        <f t="shared" ca="1" si="178"/>
        <v>-</v>
      </c>
      <c r="BX382" s="378" t="str">
        <f t="shared" ca="1" si="179"/>
        <v>-</v>
      </c>
      <c r="BY382" s="510" t="str">
        <f ca="1">IFERROR(ROUND(INDEX(Cluster,MATCH(IF(LEFT(BV382,4)="Pool",INDEX(Cluster,MATCH(INDEX(Calculation_Tab,MATCH(INDEX($BE$4:$BJ$99,MATCH(BV382,$BE$4:$BE$99,0),3),Flow_Cell_Lane,0),3),Cluster!$F$29:$F$412,0),6),BV382),Identifier_Cluster,0),19)*IF(LEFT(BV382,4)="pool",IF(LEN(INDEX($BE$4:$BJ$99,MATCH(BV382,$BE$4:$BE$99,0),3))=10,2,IF(LEN(INDEX($BE$4:$BJ$99,MATCH(BV382,$BE$4:$BE$99,0),3))&gt;10,LEN(INDEX($BE$4:$BJ$99,MATCH(BV382,$BE$4:$BE$99,0),3))-8,1)),1)*IF(LEFT(BV382,4)="pool",IF(INDEX($BE$4:$BJ$99,MATCH(BV382,$BE$4:$BE$99,0),6)&lt;1,1,INDEX($BE$4:$BJ$99,MATCH(BV382,$BE$4:$BE$99,0),6)),INDEX(Calculation_Tab,MATCH(BV382,Identifier,0),10)),1)*(1+Calculation!$Q$6),"-")</f>
        <v>-</v>
      </c>
      <c r="BZ382" s="378" t="str">
        <f ca="1">IFERROR((0.5/50)*CE382/Calculation!$AG$6*(IF(LEFT(BV382,4)="Pool",IF(LEN(INDEX($BE$4:$BJ$99,MATCH(BV382,$BE$4:$BE$99,0),3))=10,2,IF(LEN(INDEX($BE$4:$BJ$99,MATCH(BV382,$BE$4:$BE$99,0),3))&gt;10,LEN(INDEX($BE$4:$BJ$99,MATCH(BV382,$BE$4:$BE$99,0),3))-8,1)),IF(INDEX(Calculation_Tab,MATCH(BV382,Identifier,0),10)&gt;1,INDEX(Calculation_Tab,MATCH(BV382,Identifier,0),10),1)))*(1+Calculation!$Q$6),"-")</f>
        <v>-</v>
      </c>
      <c r="CA382" s="510" t="str">
        <f ca="1">IFERROR(IF((BZ382*Calculation!$AG$6/0.05)-SUM(BY382:BZ382,CC382)&gt;0,(BZ382*Calculation!$AG$6/0.05)-SUM(BY382:BZ382,CC382),0),"-")</f>
        <v>-</v>
      </c>
      <c r="CB382" s="510" t="str">
        <f ca="1">IFERROR(5/50*CE382*(IF(LEFT(BV382,4)="Pool",IF(LEN(INDEX($BE$4:$BJ$99,MATCH(BV382,$BE$4:$BE$99,0),3))=10,2,IF(LEN(INDEX($BE$4:$BJ$99,MATCH(BV382,$BE$4:$BE$99,0),3))&gt;10,LEN(INDEX($BE$4:$BJ$99,MATCH(BV382,$BE$4:$BE$99,0),3))-8,1)),IF(INDEX(Calculation_Tab,MATCH(BV382,Identifier,0),10)&gt;1,INDEX(Calculation_Tab,MATCH(BV382,Identifier,0),10),1)))*(1+Calculation!$Q$6),"-")</f>
        <v>-</v>
      </c>
      <c r="CC382" s="508" t="str">
        <f ca="1">IFERROR(ROUND(INDEX(Cluster,MATCH(IF(LEFT(BV382,4)="Pool",INDEX(Cluster,MATCH(INDEX(Calculation_Tab,MATCH(INDEX($BE$4:$BJ$99,MATCH(BV382,$BE$4:$BE$99,0),3),Flow_Cell_Lane,0),3),Cluster!$F$29:$F$412,0),6),BV382),Identifier_Cluster,0),20)*IF(LEFT(BV382,4)="pool",IF(LEN(INDEX($BE$4:$BJ$99,MATCH(BV382,$BE$4:$BE$99,0),3))=10,2,IF(LEN(INDEX($BE$4:$BJ$99,MATCH(BV382,$BE$4:$BE$99,0),3))&gt;10,LEN(INDEX($BE$4:$BJ$99,MATCH(BV382,$BE$4:$BE$99,0),3))-8,1)),1)*IF(LEFT(BV382,4)="pool",IF(INDEX($BE$4:$BJ$99,MATCH(BV382,$BE$4:$BE$99,0),6)&lt;1,1,INDEX($BE$4:$BJ$99,MATCH(BV382,$BE$4:$BE$99,0),6)),INDEX(Calculation_Tab,MATCH(BV382,Identifier,0),10)),1)*(1+Calculation!$Q$6),"-")</f>
        <v>-</v>
      </c>
      <c r="CD382" s="509" t="str">
        <f ca="1">IFERROR(INDEX(Cluster!AC:AD,MATCH(IF(LEFT(BV382,4)="Pool",INDEX(Cluster!$D$29:$AA$412,MATCH(INDEX(Calculation_Tab,MATCH(INDEX($BE$4:$BJ$99,MATCH(BV382,$BE$4:$BE$99,0),3),Flow_Cell_Lane,0),3),Cluster!$F$29:$F$412,0),24),INDEX(Cluster!$D$29:$AA$412,MATCH(BV382,Cluster!$F$29:$F$412,0),24)),Cluster!AC:AC,0),2),"-")</f>
        <v>-</v>
      </c>
      <c r="CE382" s="378" t="str">
        <f ca="1">IFERROR(IF(BV382&lt;&gt;"-",Calculation!$AK$6,"-"),"-")</f>
        <v>-</v>
      </c>
      <c r="CF382" s="378" t="str">
        <f ca="1">IF(OR(LEFT(ListAndConversion!BW382,3)="Dil",LEFT(ListAndConversion!BW382,3)="Poo"),ListAndConversion!$BT$4,IF(LEFT(ListAndConversion!BW382,3)="Sou",INDEX(ListAndConversion!$AT$3:$AV$387,MATCH(ListAndConversion!BV382,ListAndConversion!$AV$3:$AV$387,0),1),"-"))</f>
        <v>-</v>
      </c>
      <c r="CG382" s="498" t="str">
        <f ca="1">IF(OR(LEFT(ListAndConversion!BW382,3)="Dil",LEFT(ListAndConversion!BW382,3)="Poo"),ListAndConversion!BU382,IF(LEFT(ListAndConversion!BW382,3)="Sou",INDEX(ListAndConversion!$AT$4:$AV$387,MATCH(ListAndConversion!BV382,ListAndConversion!$AV$4:$AV$387,0),2),"-"))</f>
        <v>-</v>
      </c>
      <c r="CH382" s="378"/>
      <c r="CI382" s="487" t="str">
        <f t="shared" ca="1" si="180"/>
        <v>-</v>
      </c>
      <c r="CJ382" s="378" t="str">
        <f t="shared" ca="1" si="192"/>
        <v>-</v>
      </c>
      <c r="CK382" s="378" t="str">
        <f t="shared" ca="1" si="192"/>
        <v>-</v>
      </c>
      <c r="CL382" s="378" t="str">
        <f t="shared" ca="1" si="192"/>
        <v>-</v>
      </c>
      <c r="CM382" s="378" t="str">
        <f t="shared" ca="1" si="192"/>
        <v>-</v>
      </c>
      <c r="CN382" s="378" t="str">
        <f t="shared" ca="1" si="192"/>
        <v>-</v>
      </c>
      <c r="CO382" s="378" t="str">
        <f t="shared" ca="1" si="192"/>
        <v>-</v>
      </c>
      <c r="CP382" s="378" t="str">
        <f t="shared" ca="1" si="192"/>
        <v>-</v>
      </c>
      <c r="CQ382" s="378" t="str">
        <f t="shared" ca="1" si="192"/>
        <v>-</v>
      </c>
      <c r="CR382" s="510" t="str">
        <f ca="1">IFERROR(IF(LEFT(BW382,3)="Poo",INDEX($BE$4:$BJ$99,MATCH(CI382,$BG$4:$BG$99,0),6)*((15/50))*Calculation!$AK$6,INDEX(Calculation_Tab,MATCH(BV382,Identifier,0),10)/(IF(LEN(INDEX(Calculation_Tab,MATCH(BV382,Identifier,0),9))&gt;8,LEN(INDEX(Calculation_Tab,MATCH(BV382,Identifier,0),9))-8,1))*((15/50)*Calculation!$AK$6)),"-")</f>
        <v>-</v>
      </c>
      <c r="CS382" s="498" t="str">
        <f ca="1">IF(CI382="-","-",IF(COUNTIF($CI$3:CI382,CI382)&gt;1,0,IFERROR((35/50)*Calculation!$AK$6,"-")))</f>
        <v>-</v>
      </c>
    </row>
    <row r="383" spans="4:97" x14ac:dyDescent="0.5">
      <c r="D383" s="487" t="e">
        <f t="shared" si="165"/>
        <v>#DIV/0!</v>
      </c>
      <c r="E383" s="496" t="e">
        <f t="array" ref="E383">IF(IF((ROW(E383)-3)&lt;(ListAndConversion!$A$15),INDEX(Flow_Cell_Lane,MIN(IF(COUNTIF($E$2:E382,Flow_Cell_Lane)=0,ROW(Flow_Cell_Lane)-9))),"-")="","-",IF((ROW(E383)-3)&lt;(ListAndConversion!$A$15),INDEX(Flow_Cell_Lane,MIN(IF(COUNTIF($E$2:E382,Flow_Cell_Lane)=0,ROW(Flow_Cell_Lane)-9))),"-"))</f>
        <v>#DIV/0!</v>
      </c>
      <c r="F383" s="378" t="e">
        <f t="shared" si="166"/>
        <v>#DIV/0!</v>
      </c>
      <c r="G383" s="378" t="e">
        <f t="shared" si="191"/>
        <v>#DIV/0!</v>
      </c>
      <c r="H383" s="378" t="e">
        <f t="shared" si="191"/>
        <v>#DIV/0!</v>
      </c>
      <c r="I383" s="378" t="e">
        <f t="shared" si="191"/>
        <v>#DIV/0!</v>
      </c>
      <c r="J383" s="378" t="e">
        <f t="shared" si="191"/>
        <v>#DIV/0!</v>
      </c>
      <c r="K383" s="378" t="e">
        <f t="shared" si="191"/>
        <v>#DIV/0!</v>
      </c>
      <c r="L383" s="378" t="e">
        <f t="shared" si="191"/>
        <v>#DIV/0!</v>
      </c>
      <c r="M383" s="378" t="e">
        <f t="shared" si="191"/>
        <v>#DIV/0!</v>
      </c>
      <c r="N383" s="497" t="e">
        <f t="shared" si="168"/>
        <v>#DIV/0!</v>
      </c>
      <c r="O383" s="497" t="str">
        <f t="array" ref="O383">IFERROR(INDEX(Calculation!I:AN,MATCH(ListAndConversion!E383,Calculation!I:I,0),31),"-")</f>
        <v>-</v>
      </c>
      <c r="P383" s="498">
        <f>IF(COUNTIFS(Calculation!$I$10:$I$393,E383,Direct_Denaturation,"-")&lt;&gt;1,COUNTIFS(Calculation!$I$10:$I$393,E383,Direct_Denaturation,"-"),0)</f>
        <v>0</v>
      </c>
      <c r="V383" s="542" t="s">
        <v>82</v>
      </c>
      <c r="W383" s="542" t="s">
        <v>82</v>
      </c>
      <c r="X383" s="542" t="s">
        <v>82</v>
      </c>
      <c r="Y383" s="542" t="s">
        <v>82</v>
      </c>
      <c r="Z383" s="542" t="s">
        <v>82</v>
      </c>
      <c r="AA383" s="542" t="s">
        <v>82</v>
      </c>
      <c r="AB383" s="542" t="s">
        <v>82</v>
      </c>
      <c r="AC383" s="542" t="s">
        <v>82</v>
      </c>
      <c r="AD383" s="542" t="s">
        <v>82</v>
      </c>
      <c r="AE383" s="542" t="s">
        <v>82</v>
      </c>
      <c r="AF383" s="542" t="s">
        <v>82</v>
      </c>
      <c r="AG383" s="542" t="s">
        <v>82</v>
      </c>
      <c r="AH383" s="9"/>
      <c r="AI383" s="487">
        <v>380</v>
      </c>
      <c r="AJ383" s="497" t="s">
        <v>479</v>
      </c>
      <c r="AK383" s="378">
        <v>92</v>
      </c>
      <c r="AL383" s="378" t="str">
        <f t="shared" ca="1" si="169"/>
        <v>-</v>
      </c>
      <c r="AM383" s="378" t="str">
        <f t="array" aca="1" ref="AM383" ca="1">IFERROR(IF(AI383&lt;=$AB$2,"-",INDEX(Calculation_Tab,SMALL(ROW(Main_Dil)*(Main_Dil&lt;&gt;"-"),COUNTIF(Main_Dil,"-")+ROW()-3-$AB$2)-9,5)),"-")</f>
        <v>-</v>
      </c>
      <c r="AN383" s="378" t="str">
        <f t="array" aca="1" ref="AN383" ca="1">IFERROR(IF(AI383&lt;=$AB$2,"-",INDEX($A$3:$B$12,MATCH(INDEX(Calculation_Tab,SMALL(ROW(Main_Dil)*(Main_Dil&lt;&gt;"-"),COUNTIF(Main_Dil,"-")+ROW()-3-$AB$2)-9,5),$A$3:$A$12,0),2)),"-")</f>
        <v>-</v>
      </c>
      <c r="AO383" s="378" t="str">
        <f t="array" aca="1" ref="AO383" ca="1">IFERROR(IF(AI383&lt;=$AB$2,"-",INDEX(Coordinate,MATCH(INDEX(Calculation_Tab,SMALL(ROW(Main_Dil)*(Main_Dil&lt;&gt;"-"),COUNTIF(Main_Dil,"-")+ROW()-3-$AB$2)-9,6),$X$4:$X$99,0),2)),"-")</f>
        <v>-</v>
      </c>
      <c r="AP383" s="510" t="str">
        <f t="array" aca="1" ref="AP383" ca="1">IFERROR(IF(AI383&lt;=$AB$2,"-",INDEX(Calculation_Tab,SMALL(ROW(Main_Dil)*(Main_Dil&lt;&gt;"-"),COUNTIF(Main_Dil,"-")+ROW()-3-$AB$2)-9,21)),"-")</f>
        <v>-</v>
      </c>
      <c r="AQ383" s="511" t="str">
        <f t="array" aca="1" ref="AQ383" ca="1">IFERROR(IF(AI383&lt;=$AB$2,"-",INDEX(Calculation_Tab,SMALL(ROW(Main_Dil)*(Main_Dil&lt;&gt;"-"),COUNTIF(Main_Dil,"-")+ROW()-3-$AB$2)-9,22)),"-")</f>
        <v>-</v>
      </c>
      <c r="AR383" s="487" t="str">
        <f t="shared" ca="1" si="170"/>
        <v>-</v>
      </c>
      <c r="AS383" s="378">
        <v>380</v>
      </c>
      <c r="AT383" s="497" t="s">
        <v>479</v>
      </c>
      <c r="AU383" s="498">
        <v>92</v>
      </c>
      <c r="AV383" s="378" t="str">
        <f t="shared" ca="1" si="171"/>
        <v>-</v>
      </c>
      <c r="AW383" s="378" t="str">
        <f t="array" aca="1" ref="AW383" ca="1">IFERROR(IF(AS383&lt;=$AB$2+$AN$2,"-",INDEX(Calculation_Tab,SMALL(ROW(Direct_Denaturation)*(Direct_Denaturation&lt;&gt;"-"),COUNTIF(Direct_Denaturation,"-")+ROW()-3-$AB$2-$AN$2)-9,5)),"-")</f>
        <v>-</v>
      </c>
      <c r="AX383" s="378" t="str">
        <f t="array" aca="1" ref="AX383" ca="1">IFERROR(IF(AS383&lt;=$AB$2+$AN$2,"-",INDEX($A$3:$B$12,MATCH(INDEX(Calculation_Tab,SMALL(ROW(Direct_Denaturation)*(Direct_Denaturation&lt;&gt;"-"),COUNTIF(Direct_Denaturation,"-")+ROW()-3-$AB$2-$AN$2)-9,5),$A$3:$A$12,0),2)),"-")</f>
        <v>-</v>
      </c>
      <c r="AY383" s="378" t="str">
        <f t="array" aca="1" ref="AY383" ca="1">IFERROR(IF(AS383&lt;=$AB$2+$AN$2,"-",INDEX(Coordinate,MATCH(INDEX(Calculation_Tab,SMALL(ROW(Direct_Denaturation)*(Direct_Denaturation&lt;&gt;"-"),COUNTIF(Direct_Denaturation,"-")+ROW()-3-$AB$2-$AN$2)-9,6),$X$4:$X$99,0),2)),"-")</f>
        <v>-</v>
      </c>
      <c r="AZ383" s="510" t="str">
        <f t="array" aca="1" ref="AZ383" ca="1">IFERROR(IF(AS383&lt;=$AB$2+$AN$2,"-",INDEX(Calculation_Tab,SMALL(ROW(Direct_Denaturation)*(Direct_Denaturation&lt;&gt;"-"),COUNTIF(Direct_Denaturation,"-")+ROW()-3-$AB$2-$AN$2)-9,32)),"-")</f>
        <v>-</v>
      </c>
      <c r="BA383" s="510" t="str">
        <f t="array" aca="1" ref="BA383" ca="1">IFERROR(IF(AS383&lt;=$AB$2+$AN$2,"-",INDEX(Calculation_Tab,SMALL(ROW(Direct_Denaturation)*(Direct_Denaturation&lt;&gt;"-"),COUNTIF(Direct_Denaturation,"-")+ROW()-3-$AB$2-$AN$2)-9,34)),"-")</f>
        <v>-</v>
      </c>
      <c r="BB383" s="510" t="str">
        <f t="array" aca="1" ref="BB383" ca="1">IFERROR(IF(AS383&lt;=$AB$2+$AN$2,"-",INDEX(Calculation_Tab,SMALL(ROW(Direct_Denaturation)*(Direct_Denaturation&lt;&gt;"-"),COUNTIF(Direct_Denaturation,"-")+ROW()-3-$AB$2-$AN$2)-9,33)),"-")</f>
        <v>-</v>
      </c>
      <c r="BC383" s="510" t="str">
        <f t="array" aca="1" ref="BC383" ca="1">IFERROR(IF(AS383&lt;=$AB$2+$AN$2,"-",INDEX(Calculation_Tab,SMALL(ROW(Direct_Denaturation)*(Direct_Denaturation&lt;&gt;"-"),COUNTIF(Direct_Denaturation,"-")+ROW()-3-$AB$2-$AN$2)-9,35)),"-")</f>
        <v>-</v>
      </c>
      <c r="BD383" s="511" t="str">
        <f t="shared" ca="1" si="172"/>
        <v>-</v>
      </c>
      <c r="BK383" s="542" t="s">
        <v>82</v>
      </c>
      <c r="BL383" s="542" t="s">
        <v>82</v>
      </c>
      <c r="BM383" s="487" t="str">
        <f t="array" aca="1" ref="BM383" ca="1">IFERROR(INDEX(Calculation_Tab,SMALL(ROW(ToPool)*(ToPool&lt;&gt;"-"),COUNTIF(ToPool,"-")+ROW()-3)-9,3),"-")</f>
        <v>-</v>
      </c>
      <c r="BN383" s="378" t="str">
        <f t="shared" ca="1" si="173"/>
        <v>-</v>
      </c>
      <c r="BO383" s="378" t="str">
        <f t="shared" ca="1" si="174"/>
        <v>-</v>
      </c>
      <c r="BP383" s="523" t="str">
        <f t="shared" ca="1" si="175"/>
        <v>-</v>
      </c>
      <c r="BQ383" s="378" t="str">
        <f t="array" aca="1" ref="BQ383" ca="1">IFERROR(INDEX(BE:BG,MATCH(INDEX(Calculation_Tab,SMALL(ROW(ToPool)*(ToPool&lt;&gt;"-"),COUNTIF(ToPool,"-")+ROW()-3)-9,9),BG:BG,0),2),"-")</f>
        <v>-</v>
      </c>
      <c r="BR383" s="510" t="str">
        <f t="shared" ca="1" si="176"/>
        <v>-</v>
      </c>
      <c r="BS383" s="511" t="str">
        <f t="shared" ca="1" si="177"/>
        <v>-</v>
      </c>
      <c r="BT383" s="543" t="s">
        <v>82</v>
      </c>
      <c r="BU383" s="487" t="str">
        <f t="shared" ca="1" si="182"/>
        <v>-</v>
      </c>
      <c r="BV383" s="487" t="str">
        <f t="array" aca="1" ref="BV383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83" s="378" t="str">
        <f t="shared" ca="1" si="178"/>
        <v>-</v>
      </c>
      <c r="BX383" s="378" t="str">
        <f t="shared" ca="1" si="179"/>
        <v>-</v>
      </c>
      <c r="BY383" s="510" t="str">
        <f ca="1">IFERROR(ROUND(INDEX(Cluster,MATCH(IF(LEFT(BV383,4)="Pool",INDEX(Cluster,MATCH(INDEX(Calculation_Tab,MATCH(INDEX($BE$4:$BJ$99,MATCH(BV383,$BE$4:$BE$99,0),3),Flow_Cell_Lane,0),3),Cluster!$F$29:$F$412,0),6),BV383),Identifier_Cluster,0),19)*IF(LEFT(BV383,4)="pool",IF(LEN(INDEX($BE$4:$BJ$99,MATCH(BV383,$BE$4:$BE$99,0),3))=10,2,IF(LEN(INDEX($BE$4:$BJ$99,MATCH(BV383,$BE$4:$BE$99,0),3))&gt;10,LEN(INDEX($BE$4:$BJ$99,MATCH(BV383,$BE$4:$BE$99,0),3))-8,1)),1)*IF(LEFT(BV383,4)="pool",IF(INDEX($BE$4:$BJ$99,MATCH(BV383,$BE$4:$BE$99,0),6)&lt;1,1,INDEX($BE$4:$BJ$99,MATCH(BV383,$BE$4:$BE$99,0),6)),INDEX(Calculation_Tab,MATCH(BV383,Identifier,0),10)),1)*(1+Calculation!$Q$6),"-")</f>
        <v>-</v>
      </c>
      <c r="BZ383" s="378" t="str">
        <f ca="1">IFERROR((0.5/50)*CE383/Calculation!$AG$6*(IF(LEFT(BV383,4)="Pool",IF(LEN(INDEX($BE$4:$BJ$99,MATCH(BV383,$BE$4:$BE$99,0),3))=10,2,IF(LEN(INDEX($BE$4:$BJ$99,MATCH(BV383,$BE$4:$BE$99,0),3))&gt;10,LEN(INDEX($BE$4:$BJ$99,MATCH(BV383,$BE$4:$BE$99,0),3))-8,1)),IF(INDEX(Calculation_Tab,MATCH(BV383,Identifier,0),10)&gt;1,INDEX(Calculation_Tab,MATCH(BV383,Identifier,0),10),1)))*(1+Calculation!$Q$6),"-")</f>
        <v>-</v>
      </c>
      <c r="CA383" s="510" t="str">
        <f ca="1">IFERROR(IF((BZ383*Calculation!$AG$6/0.05)-SUM(BY383:BZ383,CC383)&gt;0,(BZ383*Calculation!$AG$6/0.05)-SUM(BY383:BZ383,CC383),0),"-")</f>
        <v>-</v>
      </c>
      <c r="CB383" s="510" t="str">
        <f ca="1">IFERROR(5/50*CE383*(IF(LEFT(BV383,4)="Pool",IF(LEN(INDEX($BE$4:$BJ$99,MATCH(BV383,$BE$4:$BE$99,0),3))=10,2,IF(LEN(INDEX($BE$4:$BJ$99,MATCH(BV383,$BE$4:$BE$99,0),3))&gt;10,LEN(INDEX($BE$4:$BJ$99,MATCH(BV383,$BE$4:$BE$99,0),3))-8,1)),IF(INDEX(Calculation_Tab,MATCH(BV383,Identifier,0),10)&gt;1,INDEX(Calculation_Tab,MATCH(BV383,Identifier,0),10),1)))*(1+Calculation!$Q$6),"-")</f>
        <v>-</v>
      </c>
      <c r="CC383" s="508" t="str">
        <f ca="1">IFERROR(ROUND(INDEX(Cluster,MATCH(IF(LEFT(BV383,4)="Pool",INDEX(Cluster,MATCH(INDEX(Calculation_Tab,MATCH(INDEX($BE$4:$BJ$99,MATCH(BV383,$BE$4:$BE$99,0),3),Flow_Cell_Lane,0),3),Cluster!$F$29:$F$412,0),6),BV383),Identifier_Cluster,0),20)*IF(LEFT(BV383,4)="pool",IF(LEN(INDEX($BE$4:$BJ$99,MATCH(BV383,$BE$4:$BE$99,0),3))=10,2,IF(LEN(INDEX($BE$4:$BJ$99,MATCH(BV383,$BE$4:$BE$99,0),3))&gt;10,LEN(INDEX($BE$4:$BJ$99,MATCH(BV383,$BE$4:$BE$99,0),3))-8,1)),1)*IF(LEFT(BV383,4)="pool",IF(INDEX($BE$4:$BJ$99,MATCH(BV383,$BE$4:$BE$99,0),6)&lt;1,1,INDEX($BE$4:$BJ$99,MATCH(BV383,$BE$4:$BE$99,0),6)),INDEX(Calculation_Tab,MATCH(BV383,Identifier,0),10)),1)*(1+Calculation!$Q$6),"-")</f>
        <v>-</v>
      </c>
      <c r="CD383" s="509" t="str">
        <f ca="1">IFERROR(INDEX(Cluster!AC:AD,MATCH(IF(LEFT(BV383,4)="Pool",INDEX(Cluster!$D$29:$AA$412,MATCH(INDEX(Calculation_Tab,MATCH(INDEX($BE$4:$BJ$99,MATCH(BV383,$BE$4:$BE$99,0),3),Flow_Cell_Lane,0),3),Cluster!$F$29:$F$412,0),24),INDEX(Cluster!$D$29:$AA$412,MATCH(BV383,Cluster!$F$29:$F$412,0),24)),Cluster!AC:AC,0),2),"-")</f>
        <v>-</v>
      </c>
      <c r="CE383" s="378" t="str">
        <f ca="1">IFERROR(IF(BV383&lt;&gt;"-",Calculation!$AK$6,"-"),"-")</f>
        <v>-</v>
      </c>
      <c r="CF383" s="378" t="str">
        <f ca="1">IF(OR(LEFT(ListAndConversion!BW383,3)="Dil",LEFT(ListAndConversion!BW383,3)="Poo"),ListAndConversion!$BT$4,IF(LEFT(ListAndConversion!BW383,3)="Sou",INDEX(ListAndConversion!$AT$3:$AV$387,MATCH(ListAndConversion!BV383,ListAndConversion!$AV$3:$AV$387,0),1),"-"))</f>
        <v>-</v>
      </c>
      <c r="CG383" s="498" t="str">
        <f ca="1">IF(OR(LEFT(ListAndConversion!BW383,3)="Dil",LEFT(ListAndConversion!BW383,3)="Poo"),ListAndConversion!BU383,IF(LEFT(ListAndConversion!BW383,3)="Sou",INDEX(ListAndConversion!$AT$4:$AV$387,MATCH(ListAndConversion!BV383,ListAndConversion!$AV$4:$AV$387,0),2),"-"))</f>
        <v>-</v>
      </c>
      <c r="CH383" s="378"/>
      <c r="CI383" s="487" t="str">
        <f t="shared" ca="1" si="180"/>
        <v>-</v>
      </c>
      <c r="CJ383" s="378" t="str">
        <f t="shared" ca="1" si="192"/>
        <v>-</v>
      </c>
      <c r="CK383" s="378" t="str">
        <f t="shared" ca="1" si="192"/>
        <v>-</v>
      </c>
      <c r="CL383" s="378" t="str">
        <f t="shared" ca="1" si="192"/>
        <v>-</v>
      </c>
      <c r="CM383" s="378" t="str">
        <f t="shared" ca="1" si="192"/>
        <v>-</v>
      </c>
      <c r="CN383" s="378" t="str">
        <f t="shared" ca="1" si="192"/>
        <v>-</v>
      </c>
      <c r="CO383" s="378" t="str">
        <f t="shared" ca="1" si="192"/>
        <v>-</v>
      </c>
      <c r="CP383" s="378" t="str">
        <f t="shared" ca="1" si="192"/>
        <v>-</v>
      </c>
      <c r="CQ383" s="378" t="str">
        <f t="shared" ca="1" si="192"/>
        <v>-</v>
      </c>
      <c r="CR383" s="510" t="str">
        <f ca="1">IFERROR(IF(LEFT(BW383,3)="Poo",INDEX($BE$4:$BJ$99,MATCH(CI383,$BG$4:$BG$99,0),6)*((15/50))*Calculation!$AK$6,INDEX(Calculation_Tab,MATCH(BV383,Identifier,0),10)/(IF(LEN(INDEX(Calculation_Tab,MATCH(BV383,Identifier,0),9))&gt;8,LEN(INDEX(Calculation_Tab,MATCH(BV383,Identifier,0),9))-8,1))*((15/50)*Calculation!$AK$6)),"-")</f>
        <v>-</v>
      </c>
      <c r="CS383" s="498" t="str">
        <f ca="1">IF(CI383="-","-",IF(COUNTIF($CI$3:CI383,CI383)&gt;1,0,IFERROR((35/50)*Calculation!$AK$6,"-")))</f>
        <v>-</v>
      </c>
    </row>
    <row r="384" spans="4:97" x14ac:dyDescent="0.5">
      <c r="D384" s="487" t="e">
        <f t="shared" si="165"/>
        <v>#DIV/0!</v>
      </c>
      <c r="E384" s="496" t="e">
        <f t="array" ref="E384">IF(IF((ROW(E384)-3)&lt;(ListAndConversion!$A$15),INDEX(Flow_Cell_Lane,MIN(IF(COUNTIF($E$2:E383,Flow_Cell_Lane)=0,ROW(Flow_Cell_Lane)-9))),"-")="","-",IF((ROW(E384)-3)&lt;(ListAndConversion!$A$15),INDEX(Flow_Cell_Lane,MIN(IF(COUNTIF($E$2:E383,Flow_Cell_Lane)=0,ROW(Flow_Cell_Lane)-9))),"-"))</f>
        <v>#DIV/0!</v>
      </c>
      <c r="F384" s="378" t="e">
        <f t="shared" si="166"/>
        <v>#DIV/0!</v>
      </c>
      <c r="G384" s="378" t="e">
        <f t="shared" si="191"/>
        <v>#DIV/0!</v>
      </c>
      <c r="H384" s="378" t="e">
        <f t="shared" si="191"/>
        <v>#DIV/0!</v>
      </c>
      <c r="I384" s="378" t="e">
        <f t="shared" si="191"/>
        <v>#DIV/0!</v>
      </c>
      <c r="J384" s="378" t="e">
        <f t="shared" si="191"/>
        <v>#DIV/0!</v>
      </c>
      <c r="K384" s="378" t="e">
        <f t="shared" si="191"/>
        <v>#DIV/0!</v>
      </c>
      <c r="L384" s="378" t="e">
        <f t="shared" si="191"/>
        <v>#DIV/0!</v>
      </c>
      <c r="M384" s="378" t="e">
        <f t="shared" si="191"/>
        <v>#DIV/0!</v>
      </c>
      <c r="N384" s="497" t="e">
        <f t="shared" si="168"/>
        <v>#DIV/0!</v>
      </c>
      <c r="O384" s="497" t="str">
        <f t="array" ref="O384">IFERROR(INDEX(Calculation!I:AN,MATCH(ListAndConversion!E384,Calculation!I:I,0),31),"-")</f>
        <v>-</v>
      </c>
      <c r="P384" s="498">
        <f>IF(COUNTIFS(Calculation!$I$10:$I$393,E384,Direct_Denaturation,"-")&lt;&gt;1,COUNTIFS(Calculation!$I$10:$I$393,E384,Direct_Denaturation,"-"),0)</f>
        <v>0</v>
      </c>
      <c r="V384" s="542" t="s">
        <v>82</v>
      </c>
      <c r="W384" s="542" t="s">
        <v>82</v>
      </c>
      <c r="X384" s="542" t="s">
        <v>82</v>
      </c>
      <c r="Y384" s="542" t="s">
        <v>82</v>
      </c>
      <c r="Z384" s="542" t="s">
        <v>82</v>
      </c>
      <c r="AA384" s="542" t="s">
        <v>82</v>
      </c>
      <c r="AB384" s="542" t="s">
        <v>82</v>
      </c>
      <c r="AC384" s="542" t="s">
        <v>82</v>
      </c>
      <c r="AD384" s="542" t="s">
        <v>82</v>
      </c>
      <c r="AE384" s="542" t="s">
        <v>82</v>
      </c>
      <c r="AF384" s="542" t="s">
        <v>82</v>
      </c>
      <c r="AG384" s="542" t="s">
        <v>82</v>
      </c>
      <c r="AH384" s="9"/>
      <c r="AI384" s="487">
        <v>381</v>
      </c>
      <c r="AJ384" s="497" t="s">
        <v>479</v>
      </c>
      <c r="AK384" s="378">
        <v>93</v>
      </c>
      <c r="AL384" s="378" t="str">
        <f t="shared" ca="1" si="169"/>
        <v>-</v>
      </c>
      <c r="AM384" s="378" t="str">
        <f t="array" aca="1" ref="AM384" ca="1">IFERROR(IF(AI384&lt;=$AB$2,"-",INDEX(Calculation_Tab,SMALL(ROW(Main_Dil)*(Main_Dil&lt;&gt;"-"),COUNTIF(Main_Dil,"-")+ROW()-3-$AB$2)-9,5)),"-")</f>
        <v>-</v>
      </c>
      <c r="AN384" s="378" t="str">
        <f t="array" aca="1" ref="AN384" ca="1">IFERROR(IF(AI384&lt;=$AB$2,"-",INDEX($A$3:$B$12,MATCH(INDEX(Calculation_Tab,SMALL(ROW(Main_Dil)*(Main_Dil&lt;&gt;"-"),COUNTIF(Main_Dil,"-")+ROW()-3-$AB$2)-9,5),$A$3:$A$12,0),2)),"-")</f>
        <v>-</v>
      </c>
      <c r="AO384" s="378" t="str">
        <f t="array" aca="1" ref="AO384" ca="1">IFERROR(IF(AI384&lt;=$AB$2,"-",INDEX(Coordinate,MATCH(INDEX(Calculation_Tab,SMALL(ROW(Main_Dil)*(Main_Dil&lt;&gt;"-"),COUNTIF(Main_Dil,"-")+ROW()-3-$AB$2)-9,6),$X$4:$X$99,0),2)),"-")</f>
        <v>-</v>
      </c>
      <c r="AP384" s="510" t="str">
        <f t="array" aca="1" ref="AP384" ca="1">IFERROR(IF(AI384&lt;=$AB$2,"-",INDEX(Calculation_Tab,SMALL(ROW(Main_Dil)*(Main_Dil&lt;&gt;"-"),COUNTIF(Main_Dil,"-")+ROW()-3-$AB$2)-9,21)),"-")</f>
        <v>-</v>
      </c>
      <c r="AQ384" s="511" t="str">
        <f t="array" aca="1" ref="AQ384" ca="1">IFERROR(IF(AI384&lt;=$AB$2,"-",INDEX(Calculation_Tab,SMALL(ROW(Main_Dil)*(Main_Dil&lt;&gt;"-"),COUNTIF(Main_Dil,"-")+ROW()-3-$AB$2)-9,22)),"-")</f>
        <v>-</v>
      </c>
      <c r="AR384" s="487" t="str">
        <f t="shared" ca="1" si="170"/>
        <v>-</v>
      </c>
      <c r="AS384" s="378">
        <v>381</v>
      </c>
      <c r="AT384" s="497" t="s">
        <v>479</v>
      </c>
      <c r="AU384" s="498">
        <v>93</v>
      </c>
      <c r="AV384" s="378" t="str">
        <f t="shared" ca="1" si="171"/>
        <v>-</v>
      </c>
      <c r="AW384" s="378" t="str">
        <f t="array" aca="1" ref="AW384" ca="1">IFERROR(IF(AS384&lt;=$AB$2+$AN$2,"-",INDEX(Calculation_Tab,SMALL(ROW(Direct_Denaturation)*(Direct_Denaturation&lt;&gt;"-"),COUNTIF(Direct_Denaturation,"-")+ROW()-3-$AB$2-$AN$2)-9,5)),"-")</f>
        <v>-</v>
      </c>
      <c r="AX384" s="378" t="str">
        <f t="array" aca="1" ref="AX384" ca="1">IFERROR(IF(AS384&lt;=$AB$2+$AN$2,"-",INDEX($A$3:$B$12,MATCH(INDEX(Calculation_Tab,SMALL(ROW(Direct_Denaturation)*(Direct_Denaturation&lt;&gt;"-"),COUNTIF(Direct_Denaturation,"-")+ROW()-3-$AB$2-$AN$2)-9,5),$A$3:$A$12,0),2)),"-")</f>
        <v>-</v>
      </c>
      <c r="AY384" s="378" t="str">
        <f t="array" aca="1" ref="AY384" ca="1">IFERROR(IF(AS384&lt;=$AB$2+$AN$2,"-",INDEX(Coordinate,MATCH(INDEX(Calculation_Tab,SMALL(ROW(Direct_Denaturation)*(Direct_Denaturation&lt;&gt;"-"),COUNTIF(Direct_Denaturation,"-")+ROW()-3-$AB$2-$AN$2)-9,6),$X$4:$X$99,0),2)),"-")</f>
        <v>-</v>
      </c>
      <c r="AZ384" s="510" t="str">
        <f t="array" aca="1" ref="AZ384" ca="1">IFERROR(IF(AS384&lt;=$AB$2+$AN$2,"-",INDEX(Calculation_Tab,SMALL(ROW(Direct_Denaturation)*(Direct_Denaturation&lt;&gt;"-"),COUNTIF(Direct_Denaturation,"-")+ROW()-3-$AB$2-$AN$2)-9,32)),"-")</f>
        <v>-</v>
      </c>
      <c r="BA384" s="510" t="str">
        <f t="array" aca="1" ref="BA384" ca="1">IFERROR(IF(AS384&lt;=$AB$2+$AN$2,"-",INDEX(Calculation_Tab,SMALL(ROW(Direct_Denaturation)*(Direct_Denaturation&lt;&gt;"-"),COUNTIF(Direct_Denaturation,"-")+ROW()-3-$AB$2-$AN$2)-9,34)),"-")</f>
        <v>-</v>
      </c>
      <c r="BB384" s="510" t="str">
        <f t="array" aca="1" ref="BB384" ca="1">IFERROR(IF(AS384&lt;=$AB$2+$AN$2,"-",INDEX(Calculation_Tab,SMALL(ROW(Direct_Denaturation)*(Direct_Denaturation&lt;&gt;"-"),COUNTIF(Direct_Denaturation,"-")+ROW()-3-$AB$2-$AN$2)-9,33)),"-")</f>
        <v>-</v>
      </c>
      <c r="BC384" s="510" t="str">
        <f t="array" aca="1" ref="BC384" ca="1">IFERROR(IF(AS384&lt;=$AB$2+$AN$2,"-",INDEX(Calculation_Tab,SMALL(ROW(Direct_Denaturation)*(Direct_Denaturation&lt;&gt;"-"),COUNTIF(Direct_Denaturation,"-")+ROW()-3-$AB$2-$AN$2)-9,35)),"-")</f>
        <v>-</v>
      </c>
      <c r="BD384" s="511" t="str">
        <f t="shared" ca="1" si="172"/>
        <v>-</v>
      </c>
      <c r="BK384" s="542" t="s">
        <v>82</v>
      </c>
      <c r="BL384" s="542" t="s">
        <v>82</v>
      </c>
      <c r="BM384" s="487" t="str">
        <f t="array" aca="1" ref="BM384" ca="1">IFERROR(INDEX(Calculation_Tab,SMALL(ROW(ToPool)*(ToPool&lt;&gt;"-"),COUNTIF(ToPool,"-")+ROW()-3)-9,3),"-")</f>
        <v>-</v>
      </c>
      <c r="BN384" s="378" t="str">
        <f t="shared" ca="1" si="173"/>
        <v>-</v>
      </c>
      <c r="BO384" s="378" t="str">
        <f t="shared" ca="1" si="174"/>
        <v>-</v>
      </c>
      <c r="BP384" s="523" t="str">
        <f t="shared" ca="1" si="175"/>
        <v>-</v>
      </c>
      <c r="BQ384" s="378" t="str">
        <f t="array" aca="1" ref="BQ384" ca="1">IFERROR(INDEX(BE:BG,MATCH(INDEX(Calculation_Tab,SMALL(ROW(ToPool)*(ToPool&lt;&gt;"-"),COUNTIF(ToPool,"-")+ROW()-3)-9,9),BG:BG,0),2),"-")</f>
        <v>-</v>
      </c>
      <c r="BR384" s="510" t="str">
        <f t="shared" ca="1" si="176"/>
        <v>-</v>
      </c>
      <c r="BS384" s="511" t="str">
        <f t="shared" ca="1" si="177"/>
        <v>-</v>
      </c>
      <c r="BT384" s="543" t="s">
        <v>82</v>
      </c>
      <c r="BU384" s="487" t="str">
        <f t="shared" ca="1" si="182"/>
        <v>-</v>
      </c>
      <c r="BV384" s="487" t="str">
        <f t="array" aca="1" ref="BV384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84" s="378" t="str">
        <f t="shared" ca="1" si="178"/>
        <v>-</v>
      </c>
      <c r="BX384" s="378" t="str">
        <f t="shared" ca="1" si="179"/>
        <v>-</v>
      </c>
      <c r="BY384" s="510" t="str">
        <f ca="1">IFERROR(ROUND(INDEX(Cluster,MATCH(IF(LEFT(BV384,4)="Pool",INDEX(Cluster,MATCH(INDEX(Calculation_Tab,MATCH(INDEX($BE$4:$BJ$99,MATCH(BV384,$BE$4:$BE$99,0),3),Flow_Cell_Lane,0),3),Cluster!$F$29:$F$412,0),6),BV384),Identifier_Cluster,0),19)*IF(LEFT(BV384,4)="pool",IF(LEN(INDEX($BE$4:$BJ$99,MATCH(BV384,$BE$4:$BE$99,0),3))=10,2,IF(LEN(INDEX($BE$4:$BJ$99,MATCH(BV384,$BE$4:$BE$99,0),3))&gt;10,LEN(INDEX($BE$4:$BJ$99,MATCH(BV384,$BE$4:$BE$99,0),3))-8,1)),1)*IF(LEFT(BV384,4)="pool",IF(INDEX($BE$4:$BJ$99,MATCH(BV384,$BE$4:$BE$99,0),6)&lt;1,1,INDEX($BE$4:$BJ$99,MATCH(BV384,$BE$4:$BE$99,0),6)),INDEX(Calculation_Tab,MATCH(BV384,Identifier,0),10)),1)*(1+Calculation!$Q$6),"-")</f>
        <v>-</v>
      </c>
      <c r="BZ384" s="378" t="str">
        <f ca="1">IFERROR((0.5/50)*CE384/Calculation!$AG$6*(IF(LEFT(BV384,4)="Pool",IF(LEN(INDEX($BE$4:$BJ$99,MATCH(BV384,$BE$4:$BE$99,0),3))=10,2,IF(LEN(INDEX($BE$4:$BJ$99,MATCH(BV384,$BE$4:$BE$99,0),3))&gt;10,LEN(INDEX($BE$4:$BJ$99,MATCH(BV384,$BE$4:$BE$99,0),3))-8,1)),IF(INDEX(Calculation_Tab,MATCH(BV384,Identifier,0),10)&gt;1,INDEX(Calculation_Tab,MATCH(BV384,Identifier,0),10),1)))*(1+Calculation!$Q$6),"-")</f>
        <v>-</v>
      </c>
      <c r="CA384" s="510" t="str">
        <f ca="1">IFERROR(IF((BZ384*Calculation!$AG$6/0.05)-SUM(BY384:BZ384,CC384)&gt;0,(BZ384*Calculation!$AG$6/0.05)-SUM(BY384:BZ384,CC384),0),"-")</f>
        <v>-</v>
      </c>
      <c r="CB384" s="510" t="str">
        <f ca="1">IFERROR(5/50*CE384*(IF(LEFT(BV384,4)="Pool",IF(LEN(INDEX($BE$4:$BJ$99,MATCH(BV384,$BE$4:$BE$99,0),3))=10,2,IF(LEN(INDEX($BE$4:$BJ$99,MATCH(BV384,$BE$4:$BE$99,0),3))&gt;10,LEN(INDEX($BE$4:$BJ$99,MATCH(BV384,$BE$4:$BE$99,0),3))-8,1)),IF(INDEX(Calculation_Tab,MATCH(BV384,Identifier,0),10)&gt;1,INDEX(Calculation_Tab,MATCH(BV384,Identifier,0),10),1)))*(1+Calculation!$Q$6),"-")</f>
        <v>-</v>
      </c>
      <c r="CC384" s="508" t="str">
        <f ca="1">IFERROR(ROUND(INDEX(Cluster,MATCH(IF(LEFT(BV384,4)="Pool",INDEX(Cluster,MATCH(INDEX(Calculation_Tab,MATCH(INDEX($BE$4:$BJ$99,MATCH(BV384,$BE$4:$BE$99,0),3),Flow_Cell_Lane,0),3),Cluster!$F$29:$F$412,0),6),BV384),Identifier_Cluster,0),20)*IF(LEFT(BV384,4)="pool",IF(LEN(INDEX($BE$4:$BJ$99,MATCH(BV384,$BE$4:$BE$99,0),3))=10,2,IF(LEN(INDEX($BE$4:$BJ$99,MATCH(BV384,$BE$4:$BE$99,0),3))&gt;10,LEN(INDEX($BE$4:$BJ$99,MATCH(BV384,$BE$4:$BE$99,0),3))-8,1)),1)*IF(LEFT(BV384,4)="pool",IF(INDEX($BE$4:$BJ$99,MATCH(BV384,$BE$4:$BE$99,0),6)&lt;1,1,INDEX($BE$4:$BJ$99,MATCH(BV384,$BE$4:$BE$99,0),6)),INDEX(Calculation_Tab,MATCH(BV384,Identifier,0),10)),1)*(1+Calculation!$Q$6),"-")</f>
        <v>-</v>
      </c>
      <c r="CD384" s="509" t="str">
        <f ca="1">IFERROR(INDEX(Cluster!AC:AD,MATCH(IF(LEFT(BV384,4)="Pool",INDEX(Cluster!$D$29:$AA$412,MATCH(INDEX(Calculation_Tab,MATCH(INDEX($BE$4:$BJ$99,MATCH(BV384,$BE$4:$BE$99,0),3),Flow_Cell_Lane,0),3),Cluster!$F$29:$F$412,0),24),INDEX(Cluster!$D$29:$AA$412,MATCH(BV384,Cluster!$F$29:$F$412,0),24)),Cluster!AC:AC,0),2),"-")</f>
        <v>-</v>
      </c>
      <c r="CE384" s="378" t="str">
        <f ca="1">IFERROR(IF(BV384&lt;&gt;"-",Calculation!$AK$6,"-"),"-")</f>
        <v>-</v>
      </c>
      <c r="CF384" s="378" t="str">
        <f ca="1">IF(OR(LEFT(ListAndConversion!BW384,3)="Dil",LEFT(ListAndConversion!BW384,3)="Poo"),ListAndConversion!$BT$4,IF(LEFT(ListAndConversion!BW384,3)="Sou",INDEX(ListAndConversion!$AT$3:$AV$387,MATCH(ListAndConversion!BV384,ListAndConversion!$AV$3:$AV$387,0),1),"-"))</f>
        <v>-</v>
      </c>
      <c r="CG384" s="498" t="str">
        <f ca="1">IF(OR(LEFT(ListAndConversion!BW384,3)="Dil",LEFT(ListAndConversion!BW384,3)="Poo"),ListAndConversion!BU384,IF(LEFT(ListAndConversion!BW384,3)="Sou",INDEX(ListAndConversion!$AT$4:$AV$387,MATCH(ListAndConversion!BV384,ListAndConversion!$AV$4:$AV$387,0),2),"-"))</f>
        <v>-</v>
      </c>
      <c r="CH384" s="378"/>
      <c r="CI384" s="487" t="str">
        <f t="shared" ca="1" si="180"/>
        <v>-</v>
      </c>
      <c r="CJ384" s="378" t="str">
        <f t="shared" ca="1" si="192"/>
        <v>-</v>
      </c>
      <c r="CK384" s="378" t="str">
        <f t="shared" ca="1" si="192"/>
        <v>-</v>
      </c>
      <c r="CL384" s="378" t="str">
        <f t="shared" ca="1" si="192"/>
        <v>-</v>
      </c>
      <c r="CM384" s="378" t="str">
        <f t="shared" ca="1" si="192"/>
        <v>-</v>
      </c>
      <c r="CN384" s="378" t="str">
        <f t="shared" ca="1" si="192"/>
        <v>-</v>
      </c>
      <c r="CO384" s="378" t="str">
        <f t="shared" ca="1" si="192"/>
        <v>-</v>
      </c>
      <c r="CP384" s="378" t="str">
        <f t="shared" ca="1" si="192"/>
        <v>-</v>
      </c>
      <c r="CQ384" s="378" t="str">
        <f t="shared" ca="1" si="192"/>
        <v>-</v>
      </c>
      <c r="CR384" s="510" t="str">
        <f ca="1">IFERROR(IF(LEFT(BW384,3)="Poo",INDEX($BE$4:$BJ$99,MATCH(CI384,$BG$4:$BG$99,0),6)*((15/50))*Calculation!$AK$6,INDEX(Calculation_Tab,MATCH(BV384,Identifier,0),10)/(IF(LEN(INDEX(Calculation_Tab,MATCH(BV384,Identifier,0),9))&gt;8,LEN(INDEX(Calculation_Tab,MATCH(BV384,Identifier,0),9))-8,1))*((15/50)*Calculation!$AK$6)),"-")</f>
        <v>-</v>
      </c>
      <c r="CS384" s="498" t="str">
        <f ca="1">IF(CI384="-","-",IF(COUNTIF($CI$3:CI384,CI384)&gt;1,0,IFERROR((35/50)*Calculation!$AK$6,"-")))</f>
        <v>-</v>
      </c>
    </row>
    <row r="385" spans="4:97" x14ac:dyDescent="0.5">
      <c r="D385" s="487" t="e">
        <f t="shared" si="165"/>
        <v>#DIV/0!</v>
      </c>
      <c r="E385" s="496" t="e">
        <f t="array" ref="E385">IF(IF((ROW(E385)-3)&lt;(ListAndConversion!$A$15),INDEX(Flow_Cell_Lane,MIN(IF(COUNTIF($E$2:E384,Flow_Cell_Lane)=0,ROW(Flow_Cell_Lane)-9))),"-")="","-",IF((ROW(E385)-3)&lt;(ListAndConversion!$A$15),INDEX(Flow_Cell_Lane,MIN(IF(COUNTIF($E$2:E384,Flow_Cell_Lane)=0,ROW(Flow_Cell_Lane)-9))),"-"))</f>
        <v>#DIV/0!</v>
      </c>
      <c r="F385" s="378" t="e">
        <f t="shared" si="166"/>
        <v>#DIV/0!</v>
      </c>
      <c r="G385" s="378" t="e">
        <f t="shared" si="191"/>
        <v>#DIV/0!</v>
      </c>
      <c r="H385" s="378" t="e">
        <f t="shared" si="191"/>
        <v>#DIV/0!</v>
      </c>
      <c r="I385" s="378" t="e">
        <f t="shared" si="191"/>
        <v>#DIV/0!</v>
      </c>
      <c r="J385" s="378" t="e">
        <f t="shared" si="191"/>
        <v>#DIV/0!</v>
      </c>
      <c r="K385" s="378" t="e">
        <f t="shared" si="191"/>
        <v>#DIV/0!</v>
      </c>
      <c r="L385" s="378" t="e">
        <f t="shared" si="191"/>
        <v>#DIV/0!</v>
      </c>
      <c r="M385" s="378" t="e">
        <f t="shared" si="191"/>
        <v>#DIV/0!</v>
      </c>
      <c r="N385" s="497" t="e">
        <f t="shared" si="168"/>
        <v>#DIV/0!</v>
      </c>
      <c r="O385" s="497" t="str">
        <f t="array" ref="O385">IFERROR(INDEX(Calculation!I:AN,MATCH(ListAndConversion!E385,Calculation!I:I,0),31),"-")</f>
        <v>-</v>
      </c>
      <c r="P385" s="498">
        <f>IF(COUNTIFS(Calculation!$I$10:$I$393,E385,Direct_Denaturation,"-")&lt;&gt;1,COUNTIFS(Calculation!$I$10:$I$393,E385,Direct_Denaturation,"-"),0)</f>
        <v>0</v>
      </c>
      <c r="V385" s="542" t="s">
        <v>82</v>
      </c>
      <c r="W385" s="542" t="s">
        <v>82</v>
      </c>
      <c r="X385" s="542" t="s">
        <v>82</v>
      </c>
      <c r="Y385" s="542" t="s">
        <v>82</v>
      </c>
      <c r="Z385" s="542" t="s">
        <v>82</v>
      </c>
      <c r="AA385" s="542" t="s">
        <v>82</v>
      </c>
      <c r="AB385" s="542" t="s">
        <v>82</v>
      </c>
      <c r="AC385" s="542" t="s">
        <v>82</v>
      </c>
      <c r="AD385" s="542" t="s">
        <v>82</v>
      </c>
      <c r="AE385" s="542" t="s">
        <v>82</v>
      </c>
      <c r="AF385" s="542" t="s">
        <v>82</v>
      </c>
      <c r="AG385" s="542" t="s">
        <v>82</v>
      </c>
      <c r="AH385" s="9"/>
      <c r="AI385" s="487">
        <v>382</v>
      </c>
      <c r="AJ385" s="497" t="s">
        <v>479</v>
      </c>
      <c r="AK385" s="378">
        <v>94</v>
      </c>
      <c r="AL385" s="378" t="str">
        <f t="shared" ca="1" si="169"/>
        <v>-</v>
      </c>
      <c r="AM385" s="378" t="str">
        <f t="array" aca="1" ref="AM385" ca="1">IFERROR(IF(AI385&lt;=$AB$2,"-",INDEX(Calculation_Tab,SMALL(ROW(Main_Dil)*(Main_Dil&lt;&gt;"-"),COUNTIF(Main_Dil,"-")+ROW()-3-$AB$2)-9,5)),"-")</f>
        <v>-</v>
      </c>
      <c r="AN385" s="378" t="str">
        <f t="array" aca="1" ref="AN385" ca="1">IFERROR(IF(AI385&lt;=$AB$2,"-",INDEX($A$3:$B$12,MATCH(INDEX(Calculation_Tab,SMALL(ROW(Main_Dil)*(Main_Dil&lt;&gt;"-"),COUNTIF(Main_Dil,"-")+ROW()-3-$AB$2)-9,5),$A$3:$A$12,0),2)),"-")</f>
        <v>-</v>
      </c>
      <c r="AO385" s="378" t="str">
        <f t="array" aca="1" ref="AO385" ca="1">IFERROR(IF(AI385&lt;=$AB$2,"-",INDEX(Coordinate,MATCH(INDEX(Calculation_Tab,SMALL(ROW(Main_Dil)*(Main_Dil&lt;&gt;"-"),COUNTIF(Main_Dil,"-")+ROW()-3-$AB$2)-9,6),$X$4:$X$99,0),2)),"-")</f>
        <v>-</v>
      </c>
      <c r="AP385" s="510" t="str">
        <f t="array" aca="1" ref="AP385" ca="1">IFERROR(IF(AI385&lt;=$AB$2,"-",INDEX(Calculation_Tab,SMALL(ROW(Main_Dil)*(Main_Dil&lt;&gt;"-"),COUNTIF(Main_Dil,"-")+ROW()-3-$AB$2)-9,21)),"-")</f>
        <v>-</v>
      </c>
      <c r="AQ385" s="511" t="str">
        <f t="array" aca="1" ref="AQ385" ca="1">IFERROR(IF(AI385&lt;=$AB$2,"-",INDEX(Calculation_Tab,SMALL(ROW(Main_Dil)*(Main_Dil&lt;&gt;"-"),COUNTIF(Main_Dil,"-")+ROW()-3-$AB$2)-9,22)),"-")</f>
        <v>-</v>
      </c>
      <c r="AR385" s="487" t="str">
        <f t="shared" ca="1" si="170"/>
        <v>-</v>
      </c>
      <c r="AS385" s="378">
        <v>382</v>
      </c>
      <c r="AT385" s="497" t="s">
        <v>479</v>
      </c>
      <c r="AU385" s="498">
        <v>94</v>
      </c>
      <c r="AV385" s="378" t="str">
        <f t="shared" ca="1" si="171"/>
        <v>-</v>
      </c>
      <c r="AW385" s="378" t="str">
        <f t="array" aca="1" ref="AW385" ca="1">IFERROR(IF(AS385&lt;=$AB$2+$AN$2,"-",INDEX(Calculation_Tab,SMALL(ROW(Direct_Denaturation)*(Direct_Denaturation&lt;&gt;"-"),COUNTIF(Direct_Denaturation,"-")+ROW()-3-$AB$2-$AN$2)-9,5)),"-")</f>
        <v>-</v>
      </c>
      <c r="AX385" s="378" t="str">
        <f t="array" aca="1" ref="AX385" ca="1">IFERROR(IF(AS385&lt;=$AB$2+$AN$2,"-",INDEX($A$3:$B$12,MATCH(INDEX(Calculation_Tab,SMALL(ROW(Direct_Denaturation)*(Direct_Denaturation&lt;&gt;"-"),COUNTIF(Direct_Denaturation,"-")+ROW()-3-$AB$2-$AN$2)-9,5),$A$3:$A$12,0),2)),"-")</f>
        <v>-</v>
      </c>
      <c r="AY385" s="378" t="str">
        <f t="array" aca="1" ref="AY385" ca="1">IFERROR(IF(AS385&lt;=$AB$2+$AN$2,"-",INDEX(Coordinate,MATCH(INDEX(Calculation_Tab,SMALL(ROW(Direct_Denaturation)*(Direct_Denaturation&lt;&gt;"-"),COUNTIF(Direct_Denaturation,"-")+ROW()-3-$AB$2-$AN$2)-9,6),$X$4:$X$99,0),2)),"-")</f>
        <v>-</v>
      </c>
      <c r="AZ385" s="510" t="str">
        <f t="array" aca="1" ref="AZ385" ca="1">IFERROR(IF(AS385&lt;=$AB$2+$AN$2,"-",INDEX(Calculation_Tab,SMALL(ROW(Direct_Denaturation)*(Direct_Denaturation&lt;&gt;"-"),COUNTIF(Direct_Denaturation,"-")+ROW()-3-$AB$2-$AN$2)-9,32)),"-")</f>
        <v>-</v>
      </c>
      <c r="BA385" s="510" t="str">
        <f t="array" aca="1" ref="BA385" ca="1">IFERROR(IF(AS385&lt;=$AB$2+$AN$2,"-",INDEX(Calculation_Tab,SMALL(ROW(Direct_Denaturation)*(Direct_Denaturation&lt;&gt;"-"),COUNTIF(Direct_Denaturation,"-")+ROW()-3-$AB$2-$AN$2)-9,34)),"-")</f>
        <v>-</v>
      </c>
      <c r="BB385" s="510" t="str">
        <f t="array" aca="1" ref="BB385" ca="1">IFERROR(IF(AS385&lt;=$AB$2+$AN$2,"-",INDEX(Calculation_Tab,SMALL(ROW(Direct_Denaturation)*(Direct_Denaturation&lt;&gt;"-"),COUNTIF(Direct_Denaturation,"-")+ROW()-3-$AB$2-$AN$2)-9,33)),"-")</f>
        <v>-</v>
      </c>
      <c r="BC385" s="510" t="str">
        <f t="array" aca="1" ref="BC385" ca="1">IFERROR(IF(AS385&lt;=$AB$2+$AN$2,"-",INDEX(Calculation_Tab,SMALL(ROW(Direct_Denaturation)*(Direct_Denaturation&lt;&gt;"-"),COUNTIF(Direct_Denaturation,"-")+ROW()-3-$AB$2-$AN$2)-9,35)),"-")</f>
        <v>-</v>
      </c>
      <c r="BD385" s="511" t="str">
        <f t="shared" ca="1" si="172"/>
        <v>-</v>
      </c>
      <c r="BK385" s="542" t="s">
        <v>82</v>
      </c>
      <c r="BL385" s="542" t="s">
        <v>82</v>
      </c>
      <c r="BM385" s="487" t="str">
        <f t="array" aca="1" ref="BM385" ca="1">IFERROR(INDEX(Calculation_Tab,SMALL(ROW(ToPool)*(ToPool&lt;&gt;"-"),COUNTIF(ToPool,"-")+ROW()-3)-9,3),"-")</f>
        <v>-</v>
      </c>
      <c r="BN385" s="378" t="str">
        <f t="shared" ca="1" si="173"/>
        <v>-</v>
      </c>
      <c r="BO385" s="378" t="str">
        <f t="shared" ca="1" si="174"/>
        <v>-</v>
      </c>
      <c r="BP385" s="523" t="str">
        <f t="shared" ca="1" si="175"/>
        <v>-</v>
      </c>
      <c r="BQ385" s="378" t="str">
        <f t="array" aca="1" ref="BQ385" ca="1">IFERROR(INDEX(BE:BG,MATCH(INDEX(Calculation_Tab,SMALL(ROW(ToPool)*(ToPool&lt;&gt;"-"),COUNTIF(ToPool,"-")+ROW()-3)-9,9),BG:BG,0),2),"-")</f>
        <v>-</v>
      </c>
      <c r="BR385" s="510" t="str">
        <f t="shared" ca="1" si="176"/>
        <v>-</v>
      </c>
      <c r="BS385" s="511" t="str">
        <f t="shared" ca="1" si="177"/>
        <v>-</v>
      </c>
      <c r="BT385" s="543" t="s">
        <v>82</v>
      </c>
      <c r="BU385" s="487" t="str">
        <f t="shared" ca="1" si="182"/>
        <v>-</v>
      </c>
      <c r="BV385" s="487" t="str">
        <f t="array" aca="1" ref="BV385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85" s="378" t="str">
        <f t="shared" ca="1" si="178"/>
        <v>-</v>
      </c>
      <c r="BX385" s="378" t="str">
        <f t="shared" ca="1" si="179"/>
        <v>-</v>
      </c>
      <c r="BY385" s="510" t="str">
        <f ca="1">IFERROR(ROUND(INDEX(Cluster,MATCH(IF(LEFT(BV385,4)="Pool",INDEX(Cluster,MATCH(INDEX(Calculation_Tab,MATCH(INDEX($BE$4:$BJ$99,MATCH(BV385,$BE$4:$BE$99,0),3),Flow_Cell_Lane,0),3),Cluster!$F$29:$F$412,0),6),BV385),Identifier_Cluster,0),19)*IF(LEFT(BV385,4)="pool",IF(LEN(INDEX($BE$4:$BJ$99,MATCH(BV385,$BE$4:$BE$99,0),3))=10,2,IF(LEN(INDEX($BE$4:$BJ$99,MATCH(BV385,$BE$4:$BE$99,0),3))&gt;10,LEN(INDEX($BE$4:$BJ$99,MATCH(BV385,$BE$4:$BE$99,0),3))-8,1)),1)*IF(LEFT(BV385,4)="pool",IF(INDEX($BE$4:$BJ$99,MATCH(BV385,$BE$4:$BE$99,0),6)&lt;1,1,INDEX($BE$4:$BJ$99,MATCH(BV385,$BE$4:$BE$99,0),6)),INDEX(Calculation_Tab,MATCH(BV385,Identifier,0),10)),1)*(1+Calculation!$Q$6),"-")</f>
        <v>-</v>
      </c>
      <c r="BZ385" s="378" t="str">
        <f ca="1">IFERROR((0.5/50)*CE385/Calculation!$AG$6*(IF(LEFT(BV385,4)="Pool",IF(LEN(INDEX($BE$4:$BJ$99,MATCH(BV385,$BE$4:$BE$99,0),3))=10,2,IF(LEN(INDEX($BE$4:$BJ$99,MATCH(BV385,$BE$4:$BE$99,0),3))&gt;10,LEN(INDEX($BE$4:$BJ$99,MATCH(BV385,$BE$4:$BE$99,0),3))-8,1)),IF(INDEX(Calculation_Tab,MATCH(BV385,Identifier,0),10)&gt;1,INDEX(Calculation_Tab,MATCH(BV385,Identifier,0),10),1)))*(1+Calculation!$Q$6),"-")</f>
        <v>-</v>
      </c>
      <c r="CA385" s="510" t="str">
        <f ca="1">IFERROR(IF((BZ385*Calculation!$AG$6/0.05)-SUM(BY385:BZ385,CC385)&gt;0,(BZ385*Calculation!$AG$6/0.05)-SUM(BY385:BZ385,CC385),0),"-")</f>
        <v>-</v>
      </c>
      <c r="CB385" s="510" t="str">
        <f ca="1">IFERROR(5/50*CE385*(IF(LEFT(BV385,4)="Pool",IF(LEN(INDEX($BE$4:$BJ$99,MATCH(BV385,$BE$4:$BE$99,0),3))=10,2,IF(LEN(INDEX($BE$4:$BJ$99,MATCH(BV385,$BE$4:$BE$99,0),3))&gt;10,LEN(INDEX($BE$4:$BJ$99,MATCH(BV385,$BE$4:$BE$99,0),3))-8,1)),IF(INDEX(Calculation_Tab,MATCH(BV385,Identifier,0),10)&gt;1,INDEX(Calculation_Tab,MATCH(BV385,Identifier,0),10),1)))*(1+Calculation!$Q$6),"-")</f>
        <v>-</v>
      </c>
      <c r="CC385" s="508" t="str">
        <f ca="1">IFERROR(ROUND(INDEX(Cluster,MATCH(IF(LEFT(BV385,4)="Pool",INDEX(Cluster,MATCH(INDEX(Calculation_Tab,MATCH(INDEX($BE$4:$BJ$99,MATCH(BV385,$BE$4:$BE$99,0),3),Flow_Cell_Lane,0),3),Cluster!$F$29:$F$412,0),6),BV385),Identifier_Cluster,0),20)*IF(LEFT(BV385,4)="pool",IF(LEN(INDEX($BE$4:$BJ$99,MATCH(BV385,$BE$4:$BE$99,0),3))=10,2,IF(LEN(INDEX($BE$4:$BJ$99,MATCH(BV385,$BE$4:$BE$99,0),3))&gt;10,LEN(INDEX($BE$4:$BJ$99,MATCH(BV385,$BE$4:$BE$99,0),3))-8,1)),1)*IF(LEFT(BV385,4)="pool",IF(INDEX($BE$4:$BJ$99,MATCH(BV385,$BE$4:$BE$99,0),6)&lt;1,1,INDEX($BE$4:$BJ$99,MATCH(BV385,$BE$4:$BE$99,0),6)),INDEX(Calculation_Tab,MATCH(BV385,Identifier,0),10)),1)*(1+Calculation!$Q$6),"-")</f>
        <v>-</v>
      </c>
      <c r="CD385" s="509" t="str">
        <f ca="1">IFERROR(INDEX(Cluster!AC:AD,MATCH(IF(LEFT(BV385,4)="Pool",INDEX(Cluster!$D$29:$AA$412,MATCH(INDEX(Calculation_Tab,MATCH(INDEX($BE$4:$BJ$99,MATCH(BV385,$BE$4:$BE$99,0),3),Flow_Cell_Lane,0),3),Cluster!$F$29:$F$412,0),24),INDEX(Cluster!$D$29:$AA$412,MATCH(BV385,Cluster!$F$29:$F$412,0),24)),Cluster!AC:AC,0),2),"-")</f>
        <v>-</v>
      </c>
      <c r="CE385" s="378" t="str">
        <f ca="1">IFERROR(IF(BV385&lt;&gt;"-",Calculation!$AK$6,"-"),"-")</f>
        <v>-</v>
      </c>
      <c r="CF385" s="378" t="str">
        <f ca="1">IF(OR(LEFT(ListAndConversion!BW385,3)="Dil",LEFT(ListAndConversion!BW385,3)="Poo"),ListAndConversion!$BT$4,IF(LEFT(ListAndConversion!BW385,3)="Sou",INDEX(ListAndConversion!$AT$3:$AV$387,MATCH(ListAndConversion!BV385,ListAndConversion!$AV$3:$AV$387,0),1),"-"))</f>
        <v>-</v>
      </c>
      <c r="CG385" s="498" t="str">
        <f ca="1">IF(OR(LEFT(ListAndConversion!BW385,3)="Dil",LEFT(ListAndConversion!BW385,3)="Poo"),ListAndConversion!BU385,IF(LEFT(ListAndConversion!BW385,3)="Sou",INDEX(ListAndConversion!$AT$4:$AV$387,MATCH(ListAndConversion!BV385,ListAndConversion!$AV$4:$AV$387,0),2),"-"))</f>
        <v>-</v>
      </c>
      <c r="CH385" s="378"/>
      <c r="CI385" s="487" t="str">
        <f t="shared" ca="1" si="180"/>
        <v>-</v>
      </c>
      <c r="CJ385" s="378" t="str">
        <f t="shared" ca="1" si="192"/>
        <v>-</v>
      </c>
      <c r="CK385" s="378" t="str">
        <f t="shared" ca="1" si="192"/>
        <v>-</v>
      </c>
      <c r="CL385" s="378" t="str">
        <f t="shared" ca="1" si="192"/>
        <v>-</v>
      </c>
      <c r="CM385" s="378" t="str">
        <f t="shared" ca="1" si="192"/>
        <v>-</v>
      </c>
      <c r="CN385" s="378" t="str">
        <f t="shared" ca="1" si="192"/>
        <v>-</v>
      </c>
      <c r="CO385" s="378" t="str">
        <f t="shared" ca="1" si="192"/>
        <v>-</v>
      </c>
      <c r="CP385" s="378" t="str">
        <f t="shared" ca="1" si="192"/>
        <v>-</v>
      </c>
      <c r="CQ385" s="378" t="str">
        <f t="shared" ca="1" si="192"/>
        <v>-</v>
      </c>
      <c r="CR385" s="510" t="str">
        <f ca="1">IFERROR(IF(LEFT(BW385,3)="Poo",INDEX($BE$4:$BJ$99,MATCH(CI385,$BG$4:$BG$99,0),6)*((15/50))*Calculation!$AK$6,INDEX(Calculation_Tab,MATCH(BV385,Identifier,0),10)/(IF(LEN(INDEX(Calculation_Tab,MATCH(BV385,Identifier,0),9))&gt;8,LEN(INDEX(Calculation_Tab,MATCH(BV385,Identifier,0),9))-8,1))*((15/50)*Calculation!$AK$6)),"-")</f>
        <v>-</v>
      </c>
      <c r="CS385" s="498" t="str">
        <f ca="1">IF(CI385="-","-",IF(COUNTIF($CI$3:CI385,CI385)&gt;1,0,IFERROR((35/50)*Calculation!$AK$6,"-")))</f>
        <v>-</v>
      </c>
    </row>
    <row r="386" spans="4:97" x14ac:dyDescent="0.5">
      <c r="D386" s="487" t="e">
        <f t="shared" si="165"/>
        <v>#DIV/0!</v>
      </c>
      <c r="E386" s="496" t="e">
        <f t="array" ref="E386">IF(IF((ROW(E386)-3)&lt;(ListAndConversion!$A$15),INDEX(Flow_Cell_Lane,MIN(IF(COUNTIF($E$2:E385,Flow_Cell_Lane)=0,ROW(Flow_Cell_Lane)-9))),"-")="","-",IF((ROW(E386)-3)&lt;(ListAndConversion!$A$15),INDEX(Flow_Cell_Lane,MIN(IF(COUNTIF($E$2:E385,Flow_Cell_Lane)=0,ROW(Flow_Cell_Lane)-9))),"-"))</f>
        <v>#DIV/0!</v>
      </c>
      <c r="F386" s="378" t="e">
        <f t="shared" si="166"/>
        <v>#DIV/0!</v>
      </c>
      <c r="G386" s="378" t="e">
        <f t="shared" si="191"/>
        <v>#DIV/0!</v>
      </c>
      <c r="H386" s="378" t="e">
        <f t="shared" si="191"/>
        <v>#DIV/0!</v>
      </c>
      <c r="I386" s="378" t="e">
        <f t="shared" si="191"/>
        <v>#DIV/0!</v>
      </c>
      <c r="J386" s="378" t="e">
        <f t="shared" si="191"/>
        <v>#DIV/0!</v>
      </c>
      <c r="K386" s="378" t="e">
        <f t="shared" si="191"/>
        <v>#DIV/0!</v>
      </c>
      <c r="L386" s="378" t="e">
        <f t="shared" si="191"/>
        <v>#DIV/0!</v>
      </c>
      <c r="M386" s="378" t="e">
        <f t="shared" si="191"/>
        <v>#DIV/0!</v>
      </c>
      <c r="N386" s="497" t="e">
        <f t="shared" si="168"/>
        <v>#DIV/0!</v>
      </c>
      <c r="O386" s="497" t="str">
        <f t="array" ref="O386">IFERROR(INDEX(Calculation!I:AN,MATCH(ListAndConversion!E386,Calculation!I:I,0),31),"-")</f>
        <v>-</v>
      </c>
      <c r="P386" s="498">
        <f>IF(COUNTIFS(Calculation!$I$10:$I$393,E386,Direct_Denaturation,"-")&lt;&gt;1,COUNTIFS(Calculation!$I$10:$I$393,E386,Direct_Denaturation,"-"),0)</f>
        <v>0</v>
      </c>
      <c r="V386" s="542" t="s">
        <v>82</v>
      </c>
      <c r="W386" s="542" t="s">
        <v>82</v>
      </c>
      <c r="X386" s="542" t="s">
        <v>82</v>
      </c>
      <c r="Y386" s="542" t="s">
        <v>82</v>
      </c>
      <c r="Z386" s="542" t="s">
        <v>82</v>
      </c>
      <c r="AA386" s="542" t="s">
        <v>82</v>
      </c>
      <c r="AB386" s="542" t="s">
        <v>82</v>
      </c>
      <c r="AC386" s="542" t="s">
        <v>82</v>
      </c>
      <c r="AD386" s="542" t="s">
        <v>82</v>
      </c>
      <c r="AE386" s="542" t="s">
        <v>82</v>
      </c>
      <c r="AF386" s="542" t="s">
        <v>82</v>
      </c>
      <c r="AG386" s="542" t="s">
        <v>82</v>
      </c>
      <c r="AH386" s="9"/>
      <c r="AI386" s="487">
        <v>383</v>
      </c>
      <c r="AJ386" s="497" t="s">
        <v>479</v>
      </c>
      <c r="AK386" s="378">
        <v>95</v>
      </c>
      <c r="AL386" s="378" t="str">
        <f t="shared" ca="1" si="169"/>
        <v>-</v>
      </c>
      <c r="AM386" s="378" t="str">
        <f t="array" aca="1" ref="AM386" ca="1">IFERROR(IF(AI386&lt;=$AB$2,"-",INDEX(Calculation_Tab,SMALL(ROW(Main_Dil)*(Main_Dil&lt;&gt;"-"),COUNTIF(Main_Dil,"-")+ROW()-3-$AB$2)-9,5)),"-")</f>
        <v>-</v>
      </c>
      <c r="AN386" s="378" t="str">
        <f t="array" aca="1" ref="AN386" ca="1">IFERROR(IF(AI386&lt;=$AB$2,"-",INDEX($A$3:$B$12,MATCH(INDEX(Calculation_Tab,SMALL(ROW(Main_Dil)*(Main_Dil&lt;&gt;"-"),COUNTIF(Main_Dil,"-")+ROW()-3-$AB$2)-9,5),$A$3:$A$12,0),2)),"-")</f>
        <v>-</v>
      </c>
      <c r="AO386" s="378" t="str">
        <f t="array" aca="1" ref="AO386" ca="1">IFERROR(IF(AI386&lt;=$AB$2,"-",INDEX(Coordinate,MATCH(INDEX(Calculation_Tab,SMALL(ROW(Main_Dil)*(Main_Dil&lt;&gt;"-"),COUNTIF(Main_Dil,"-")+ROW()-3-$AB$2)-9,6),$X$4:$X$99,0),2)),"-")</f>
        <v>-</v>
      </c>
      <c r="AP386" s="510" t="str">
        <f t="array" aca="1" ref="AP386" ca="1">IFERROR(IF(AI386&lt;=$AB$2,"-",INDEX(Calculation_Tab,SMALL(ROW(Main_Dil)*(Main_Dil&lt;&gt;"-"),COUNTIF(Main_Dil,"-")+ROW()-3-$AB$2)-9,21)),"-")</f>
        <v>-</v>
      </c>
      <c r="AQ386" s="511" t="str">
        <f t="array" aca="1" ref="AQ386" ca="1">IFERROR(IF(AI386&lt;=$AB$2,"-",INDEX(Calculation_Tab,SMALL(ROW(Main_Dil)*(Main_Dil&lt;&gt;"-"),COUNTIF(Main_Dil,"-")+ROW()-3-$AB$2)-9,22)),"-")</f>
        <v>-</v>
      </c>
      <c r="AR386" s="487" t="str">
        <f t="shared" ca="1" si="170"/>
        <v>-</v>
      </c>
      <c r="AS386" s="378">
        <v>383</v>
      </c>
      <c r="AT386" s="497" t="s">
        <v>479</v>
      </c>
      <c r="AU386" s="498">
        <v>95</v>
      </c>
      <c r="AV386" s="378" t="str">
        <f t="shared" ca="1" si="171"/>
        <v>-</v>
      </c>
      <c r="AW386" s="378" t="str">
        <f t="array" aca="1" ref="AW386" ca="1">IFERROR(IF(AS386&lt;=$AB$2+$AN$2,"-",INDEX(Calculation_Tab,SMALL(ROW(Direct_Denaturation)*(Direct_Denaturation&lt;&gt;"-"),COUNTIF(Direct_Denaturation,"-")+ROW()-3-$AB$2-$AN$2)-9,5)),"-")</f>
        <v>-</v>
      </c>
      <c r="AX386" s="378" t="str">
        <f t="array" aca="1" ref="AX386" ca="1">IFERROR(IF(AS386&lt;=$AB$2+$AN$2,"-",INDEX($A$3:$B$12,MATCH(INDEX(Calculation_Tab,SMALL(ROW(Direct_Denaturation)*(Direct_Denaturation&lt;&gt;"-"),COUNTIF(Direct_Denaturation,"-")+ROW()-3-$AB$2-$AN$2)-9,5),$A$3:$A$12,0),2)),"-")</f>
        <v>-</v>
      </c>
      <c r="AY386" s="378" t="str">
        <f t="array" aca="1" ref="AY386" ca="1">IFERROR(IF(AS386&lt;=$AB$2+$AN$2,"-",INDEX(Coordinate,MATCH(INDEX(Calculation_Tab,SMALL(ROW(Direct_Denaturation)*(Direct_Denaturation&lt;&gt;"-"),COUNTIF(Direct_Denaturation,"-")+ROW()-3-$AB$2-$AN$2)-9,6),$X$4:$X$99,0),2)),"-")</f>
        <v>-</v>
      </c>
      <c r="AZ386" s="510" t="str">
        <f t="array" aca="1" ref="AZ386" ca="1">IFERROR(IF(AS386&lt;=$AB$2+$AN$2,"-",INDEX(Calculation_Tab,SMALL(ROW(Direct_Denaturation)*(Direct_Denaturation&lt;&gt;"-"),COUNTIF(Direct_Denaturation,"-")+ROW()-3-$AB$2-$AN$2)-9,32)),"-")</f>
        <v>-</v>
      </c>
      <c r="BA386" s="510" t="str">
        <f t="array" aca="1" ref="BA386" ca="1">IFERROR(IF(AS386&lt;=$AB$2+$AN$2,"-",INDEX(Calculation_Tab,SMALL(ROW(Direct_Denaturation)*(Direct_Denaturation&lt;&gt;"-"),COUNTIF(Direct_Denaturation,"-")+ROW()-3-$AB$2-$AN$2)-9,34)),"-")</f>
        <v>-</v>
      </c>
      <c r="BB386" s="510" t="str">
        <f t="array" aca="1" ref="BB386" ca="1">IFERROR(IF(AS386&lt;=$AB$2+$AN$2,"-",INDEX(Calculation_Tab,SMALL(ROW(Direct_Denaturation)*(Direct_Denaturation&lt;&gt;"-"),COUNTIF(Direct_Denaturation,"-")+ROW()-3-$AB$2-$AN$2)-9,33)),"-")</f>
        <v>-</v>
      </c>
      <c r="BC386" s="510" t="str">
        <f t="array" aca="1" ref="BC386" ca="1">IFERROR(IF(AS386&lt;=$AB$2+$AN$2,"-",INDEX(Calculation_Tab,SMALL(ROW(Direct_Denaturation)*(Direct_Denaturation&lt;&gt;"-"),COUNTIF(Direct_Denaturation,"-")+ROW()-3-$AB$2-$AN$2)-9,35)),"-")</f>
        <v>-</v>
      </c>
      <c r="BD386" s="511" t="str">
        <f t="shared" ca="1" si="172"/>
        <v>-</v>
      </c>
      <c r="BK386" s="542" t="s">
        <v>82</v>
      </c>
      <c r="BL386" s="542" t="s">
        <v>82</v>
      </c>
      <c r="BM386" s="487" t="str">
        <f t="array" aca="1" ref="BM386" ca="1">IFERROR(INDEX(Calculation_Tab,SMALL(ROW(ToPool)*(ToPool&lt;&gt;"-"),COUNTIF(ToPool,"-")+ROW()-3)-9,3),"-")</f>
        <v>-</v>
      </c>
      <c r="BN386" s="378" t="str">
        <f t="shared" ca="1" si="173"/>
        <v>-</v>
      </c>
      <c r="BO386" s="378" t="str">
        <f t="shared" ca="1" si="174"/>
        <v>-</v>
      </c>
      <c r="BP386" s="523" t="str">
        <f t="shared" ca="1" si="175"/>
        <v>-</v>
      </c>
      <c r="BQ386" s="378" t="str">
        <f t="array" aca="1" ref="BQ386" ca="1">IFERROR(INDEX(BE:BG,MATCH(INDEX(Calculation_Tab,SMALL(ROW(ToPool)*(ToPool&lt;&gt;"-"),COUNTIF(ToPool,"-")+ROW()-3)-9,9),BG:BG,0),2),"-")</f>
        <v>-</v>
      </c>
      <c r="BR386" s="510" t="str">
        <f t="shared" ca="1" si="176"/>
        <v>-</v>
      </c>
      <c r="BS386" s="511" t="str">
        <f t="shared" ca="1" si="177"/>
        <v>-</v>
      </c>
      <c r="BT386" s="543" t="s">
        <v>82</v>
      </c>
      <c r="BU386" s="487" t="str">
        <f t="shared" ca="1" si="182"/>
        <v>-</v>
      </c>
      <c r="BV386" s="487" t="str">
        <f t="array" aca="1" ref="BV386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86" s="378" t="str">
        <f t="shared" ca="1" si="178"/>
        <v>-</v>
      </c>
      <c r="BX386" s="378" t="str">
        <f t="shared" ca="1" si="179"/>
        <v>-</v>
      </c>
      <c r="BY386" s="510" t="str">
        <f ca="1">IFERROR(ROUND(INDEX(Cluster,MATCH(IF(LEFT(BV386,4)="Pool",INDEX(Cluster,MATCH(INDEX(Calculation_Tab,MATCH(INDEX($BE$4:$BJ$99,MATCH(BV386,$BE$4:$BE$99,0),3),Flow_Cell_Lane,0),3),Cluster!$F$29:$F$412,0),6),BV386),Identifier_Cluster,0),19)*IF(LEFT(BV386,4)="pool",IF(LEN(INDEX($BE$4:$BJ$99,MATCH(BV386,$BE$4:$BE$99,0),3))=10,2,IF(LEN(INDEX($BE$4:$BJ$99,MATCH(BV386,$BE$4:$BE$99,0),3))&gt;10,LEN(INDEX($BE$4:$BJ$99,MATCH(BV386,$BE$4:$BE$99,0),3))-8,1)),1)*IF(LEFT(BV386,4)="pool",IF(INDEX($BE$4:$BJ$99,MATCH(BV386,$BE$4:$BE$99,0),6)&lt;1,1,INDEX($BE$4:$BJ$99,MATCH(BV386,$BE$4:$BE$99,0),6)),INDEX(Calculation_Tab,MATCH(BV386,Identifier,0),10)),1)*(1+Calculation!$Q$6),"-")</f>
        <v>-</v>
      </c>
      <c r="BZ386" s="378" t="str">
        <f ca="1">IFERROR((0.5/50)*CE386/Calculation!$AG$6*(IF(LEFT(BV386,4)="Pool",IF(LEN(INDEX($BE$4:$BJ$99,MATCH(BV386,$BE$4:$BE$99,0),3))=10,2,IF(LEN(INDEX($BE$4:$BJ$99,MATCH(BV386,$BE$4:$BE$99,0),3))&gt;10,LEN(INDEX($BE$4:$BJ$99,MATCH(BV386,$BE$4:$BE$99,0),3))-8,1)),IF(INDEX(Calculation_Tab,MATCH(BV386,Identifier,0),10)&gt;1,INDEX(Calculation_Tab,MATCH(BV386,Identifier,0),10),1)))*(1+Calculation!$Q$6),"-")</f>
        <v>-</v>
      </c>
      <c r="CA386" s="510" t="str">
        <f ca="1">IFERROR(IF((BZ386*Calculation!$AG$6/0.05)-SUM(BY386:BZ386,CC386)&gt;0,(BZ386*Calculation!$AG$6/0.05)-SUM(BY386:BZ386,CC386),0),"-")</f>
        <v>-</v>
      </c>
      <c r="CB386" s="510" t="str">
        <f ca="1">IFERROR(5/50*CE386*(IF(LEFT(BV386,4)="Pool",IF(LEN(INDEX($BE$4:$BJ$99,MATCH(BV386,$BE$4:$BE$99,0),3))=10,2,IF(LEN(INDEX($BE$4:$BJ$99,MATCH(BV386,$BE$4:$BE$99,0),3))&gt;10,LEN(INDEX($BE$4:$BJ$99,MATCH(BV386,$BE$4:$BE$99,0),3))-8,1)),IF(INDEX(Calculation_Tab,MATCH(BV386,Identifier,0),10)&gt;1,INDEX(Calculation_Tab,MATCH(BV386,Identifier,0),10),1)))*(1+Calculation!$Q$6),"-")</f>
        <v>-</v>
      </c>
      <c r="CC386" s="508" t="str">
        <f ca="1">IFERROR(ROUND(INDEX(Cluster,MATCH(IF(LEFT(BV386,4)="Pool",INDEX(Cluster,MATCH(INDEX(Calculation_Tab,MATCH(INDEX($BE$4:$BJ$99,MATCH(BV386,$BE$4:$BE$99,0),3),Flow_Cell_Lane,0),3),Cluster!$F$29:$F$412,0),6),BV386),Identifier_Cluster,0),20)*IF(LEFT(BV386,4)="pool",IF(LEN(INDEX($BE$4:$BJ$99,MATCH(BV386,$BE$4:$BE$99,0),3))=10,2,IF(LEN(INDEX($BE$4:$BJ$99,MATCH(BV386,$BE$4:$BE$99,0),3))&gt;10,LEN(INDEX($BE$4:$BJ$99,MATCH(BV386,$BE$4:$BE$99,0),3))-8,1)),1)*IF(LEFT(BV386,4)="pool",IF(INDEX($BE$4:$BJ$99,MATCH(BV386,$BE$4:$BE$99,0),6)&lt;1,1,INDEX($BE$4:$BJ$99,MATCH(BV386,$BE$4:$BE$99,0),6)),INDEX(Calculation_Tab,MATCH(BV386,Identifier,0),10)),1)*(1+Calculation!$Q$6),"-")</f>
        <v>-</v>
      </c>
      <c r="CD386" s="509" t="str">
        <f ca="1">IFERROR(INDEX(Cluster!AC:AD,MATCH(IF(LEFT(BV386,4)="Pool",INDEX(Cluster!$D$29:$AA$412,MATCH(INDEX(Calculation_Tab,MATCH(INDEX($BE$4:$BJ$99,MATCH(BV386,$BE$4:$BE$99,0),3),Flow_Cell_Lane,0),3),Cluster!$F$29:$F$412,0),24),INDEX(Cluster!$D$29:$AA$412,MATCH(BV386,Cluster!$F$29:$F$412,0),24)),Cluster!AC:AC,0),2),"-")</f>
        <v>-</v>
      </c>
      <c r="CE386" s="378" t="str">
        <f ca="1">IFERROR(IF(BV386&lt;&gt;"-",Calculation!$AK$6,"-"),"-")</f>
        <v>-</v>
      </c>
      <c r="CF386" s="378" t="str">
        <f ca="1">IF(OR(LEFT(ListAndConversion!BW386,3)="Dil",LEFT(ListAndConversion!BW386,3)="Poo"),ListAndConversion!$BT$4,IF(LEFT(ListAndConversion!BW386,3)="Sou",INDEX(ListAndConversion!$AT$3:$AV$387,MATCH(ListAndConversion!BV386,ListAndConversion!$AV$3:$AV$387,0),1),"-"))</f>
        <v>-</v>
      </c>
      <c r="CG386" s="498" t="str">
        <f ca="1">IF(OR(LEFT(ListAndConversion!BW386,3)="Dil",LEFT(ListAndConversion!BW386,3)="Poo"),ListAndConversion!BU386,IF(LEFT(ListAndConversion!BW386,3)="Sou",INDEX(ListAndConversion!$AT$4:$AV$387,MATCH(ListAndConversion!BV386,ListAndConversion!$AV$4:$AV$387,0),2),"-"))</f>
        <v>-</v>
      </c>
      <c r="CH386" s="378"/>
      <c r="CI386" s="487" t="str">
        <f t="shared" ca="1" si="180"/>
        <v>-</v>
      </c>
      <c r="CJ386" s="378" t="str">
        <f t="shared" ca="1" si="192"/>
        <v>-</v>
      </c>
      <c r="CK386" s="378" t="str">
        <f t="shared" ca="1" si="192"/>
        <v>-</v>
      </c>
      <c r="CL386" s="378" t="str">
        <f t="shared" ca="1" si="192"/>
        <v>-</v>
      </c>
      <c r="CM386" s="378" t="str">
        <f t="shared" ca="1" si="192"/>
        <v>-</v>
      </c>
      <c r="CN386" s="378" t="str">
        <f t="shared" ca="1" si="192"/>
        <v>-</v>
      </c>
      <c r="CO386" s="378" t="str">
        <f t="shared" ca="1" si="192"/>
        <v>-</v>
      </c>
      <c r="CP386" s="378" t="str">
        <f t="shared" ca="1" si="192"/>
        <v>-</v>
      </c>
      <c r="CQ386" s="378" t="str">
        <f t="shared" ca="1" si="192"/>
        <v>-</v>
      </c>
      <c r="CR386" s="510" t="str">
        <f ca="1">IFERROR(IF(LEFT(BW386,3)="Poo",INDEX($BE$4:$BJ$99,MATCH(CI386,$BG$4:$BG$99,0),6)*((15/50))*Calculation!$AK$6,INDEX(Calculation_Tab,MATCH(BV386,Identifier,0),10)/(IF(LEN(INDEX(Calculation_Tab,MATCH(BV386,Identifier,0),9))&gt;8,LEN(INDEX(Calculation_Tab,MATCH(BV386,Identifier,0),9))-8,1))*((15/50)*Calculation!$AK$6)),"-")</f>
        <v>-</v>
      </c>
      <c r="CS386" s="498" t="str">
        <f ca="1">IF(CI386="-","-",IF(COUNTIF($CI$3:CI386,CI386)&gt;1,0,IFERROR((35/50)*Calculation!$AK$6,"-")))</f>
        <v>-</v>
      </c>
    </row>
    <row r="387" spans="4:97" x14ac:dyDescent="0.5">
      <c r="D387" s="383"/>
      <c r="E387" s="544" t="e">
        <f t="array" ref="E387">IF(IF((ROW(E387)-3)&lt;(ListAndConversion!$A$15),INDEX(Flow_Cell_Lane,MIN(IF(COUNTIF($E$2:E386,Flow_Cell_Lane)=0,ROW(Flow_Cell_Lane)-9))),"-")="","-",IF((ROW(E387)-3)&lt;(ListAndConversion!$A$15),INDEX(Flow_Cell_Lane,MIN(IF(COUNTIF($E$2:E386,Flow_Cell_Lane)=0,ROW(Flow_Cell_Lane)-9))),"-"))</f>
        <v>#DIV/0!</v>
      </c>
      <c r="F387" s="544"/>
      <c r="G387" s="544"/>
      <c r="H387" s="544"/>
      <c r="I387" s="544"/>
      <c r="J387" s="544"/>
      <c r="K387" s="544"/>
      <c r="L387" s="544"/>
      <c r="M387" s="544"/>
      <c r="N387" s="534" t="e">
        <f t="shared" si="168"/>
        <v>#DIV/0!</v>
      </c>
      <c r="O387" s="534" t="str">
        <f t="array" ref="O387">IFERROR(INDEX(Calculation!I:AN,MATCH(ListAndConversion!E387,Calculation!I:I,0),31),"-")</f>
        <v>-</v>
      </c>
      <c r="P387" s="479">
        <f>IF(COUNTIFS(Calculation!$I$10:$I$393,E387,Direct_Denaturation,"-")&lt;&gt;1,COUNTIFS(Calculation!$I$10:$I$393,E387,Direct_Denaturation,"-"),0)</f>
        <v>0</v>
      </c>
      <c r="V387" s="542" t="s">
        <v>82</v>
      </c>
      <c r="W387" s="542" t="s">
        <v>82</v>
      </c>
      <c r="X387" s="542" t="s">
        <v>82</v>
      </c>
      <c r="Y387" s="542" t="s">
        <v>82</v>
      </c>
      <c r="Z387" s="542" t="s">
        <v>82</v>
      </c>
      <c r="AA387" s="542" t="s">
        <v>82</v>
      </c>
      <c r="AB387" s="542" t="s">
        <v>82</v>
      </c>
      <c r="AC387" s="542" t="s">
        <v>82</v>
      </c>
      <c r="AD387" s="542" t="s">
        <v>82</v>
      </c>
      <c r="AE387" s="542" t="s">
        <v>82</v>
      </c>
      <c r="AF387" s="542" t="s">
        <v>82</v>
      </c>
      <c r="AG387" s="542" t="s">
        <v>82</v>
      </c>
      <c r="AH387" s="9"/>
      <c r="AI387" s="532">
        <v>384</v>
      </c>
      <c r="AJ387" s="534" t="s">
        <v>479</v>
      </c>
      <c r="AK387" s="533">
        <v>96</v>
      </c>
      <c r="AL387" s="533" t="str">
        <f t="shared" ca="1" si="169"/>
        <v>-</v>
      </c>
      <c r="AM387" s="533" t="str">
        <f t="array" aca="1" ref="AM387" ca="1">IFERROR(IF(AI387&lt;=$AB$2,"-",INDEX(Calculation_Tab,SMALL(ROW(Main_Dil)*(Main_Dil&lt;&gt;"-"),COUNTIF(Main_Dil,"-")+ROW()-3-$AB$2)-9,5)),"-")</f>
        <v>-</v>
      </c>
      <c r="AN387" s="533" t="str">
        <f t="array" aca="1" ref="AN387" ca="1">IFERROR(IF(AI387&lt;=$AB$2,"-",INDEX($A$3:$B$12,MATCH(INDEX(Calculation_Tab,SMALL(ROW(Main_Dil)*(Main_Dil&lt;&gt;"-"),COUNTIF(Main_Dil,"-")+ROW()-3-$AB$2)-9,5),$A$3:$A$12,0),2)),"-")</f>
        <v>-</v>
      </c>
      <c r="AO387" s="533" t="str">
        <f t="array" aca="1" ref="AO387" ca="1">IFERROR(IF(AI387&lt;=$AB$2,"-",INDEX(Coordinate,MATCH(INDEX(Calculation_Tab,SMALL(ROW(Main_Dil)*(Main_Dil&lt;&gt;"-"),COUNTIF(Main_Dil,"-")+ROW()-3-$AB$2)-9,6),$X$4:$X$99,0),2)),"-")</f>
        <v>-</v>
      </c>
      <c r="AP387" s="537" t="str">
        <f t="array" aca="1" ref="AP387" ca="1">IFERROR(IF(AI387&lt;=$AB$2,"-",INDEX(Calculation_Tab,SMALL(ROW(Main_Dil)*(Main_Dil&lt;&gt;"-"),COUNTIF(Main_Dil,"-")+ROW()-3-$AB$2)-9,21)),"-")</f>
        <v>-</v>
      </c>
      <c r="AQ387" s="538" t="str">
        <f t="array" aca="1" ref="AQ387" ca="1">IFERROR(IF(AI387&lt;=$AB$2,"-",INDEX(Calculation_Tab,SMALL(ROW(Main_Dil)*(Main_Dil&lt;&gt;"-"),COUNTIF(Main_Dil,"-")+ROW()-3-$AB$2)-9,22)),"-")</f>
        <v>-</v>
      </c>
      <c r="AR387" s="532" t="str">
        <f t="shared" ca="1" si="170"/>
        <v>-</v>
      </c>
      <c r="AS387" s="533">
        <v>384</v>
      </c>
      <c r="AT387" s="534" t="s">
        <v>479</v>
      </c>
      <c r="AU387" s="479">
        <v>96</v>
      </c>
      <c r="AV387" s="533" t="str">
        <f t="shared" ca="1" si="171"/>
        <v>-</v>
      </c>
      <c r="AW387" s="533" t="str">
        <f t="array" aca="1" ref="AW387" ca="1">IFERROR(IF(AS387&lt;=$AB$2+$AN$2,"-",INDEX(Calculation_Tab,SMALL(ROW(Direct_Denaturation)*(Direct_Denaturation&lt;&gt;"-"),COUNTIF(Direct_Denaturation,"-")+ROW()-3-$AB$2-$AN$2)-9,5)),"-")</f>
        <v>-</v>
      </c>
      <c r="AX387" s="533" t="str">
        <f t="array" aca="1" ref="AX387" ca="1">IFERROR(IF(AS387&lt;=$AB$2+$AN$2,"-",INDEX($A$3:$B$12,MATCH(INDEX(Calculation_Tab,SMALL(ROW(Direct_Denaturation)*(Direct_Denaturation&lt;&gt;"-"),COUNTIF(Direct_Denaturation,"-")+ROW()-3-$AB$2-$AN$2)-9,5),$A$3:$A$12,0),2)),"-")</f>
        <v>-</v>
      </c>
      <c r="AY387" s="533" t="str">
        <f t="array" aca="1" ref="AY387" ca="1">IFERROR(IF(AS387&lt;=$AB$2+$AN$2,"-",INDEX(Coordinate,MATCH(INDEX(Calculation_Tab,SMALL(ROW(Direct_Denaturation)*(Direct_Denaturation&lt;&gt;"-"),COUNTIF(Direct_Denaturation,"-")+ROW()-3-$AB$2-$AN$2)-9,6),$X$4:$X$99,0),2)),"-")</f>
        <v>-</v>
      </c>
      <c r="AZ387" s="537" t="str">
        <f t="array" aca="1" ref="AZ387" ca="1">IFERROR(IF(AS387&lt;=$AB$2+$AN$2,"-",INDEX(Calculation_Tab,SMALL(ROW(Direct_Denaturation)*(Direct_Denaturation&lt;&gt;"-"),COUNTIF(Direct_Denaturation,"-")+ROW()-3-$AB$2-$AN$2)-9,32)),"-")</f>
        <v>-</v>
      </c>
      <c r="BA387" s="537" t="str">
        <f t="array" aca="1" ref="BA387" ca="1">IFERROR(IF(AS387&lt;=$AB$2+$AN$2,"-",INDEX(Calculation_Tab,SMALL(ROW(Direct_Denaturation)*(Direct_Denaturation&lt;&gt;"-"),COUNTIF(Direct_Denaturation,"-")+ROW()-3-$AB$2-$AN$2)-9,34)),"-")</f>
        <v>-</v>
      </c>
      <c r="BB387" s="537" t="str">
        <f t="array" aca="1" ref="BB387" ca="1">IFERROR(IF(AS387&lt;=$AB$2+$AN$2,"-",INDEX(Calculation_Tab,SMALL(ROW(Direct_Denaturation)*(Direct_Denaturation&lt;&gt;"-"),COUNTIF(Direct_Denaturation,"-")+ROW()-3-$AB$2-$AN$2)-9,33)),"-")</f>
        <v>-</v>
      </c>
      <c r="BC387" s="537" t="str">
        <f t="array" aca="1" ref="BC387" ca="1">IFERROR(IF(AS387&lt;=$AB$2+$AN$2,"-",INDEX(Calculation_Tab,SMALL(ROW(Direct_Denaturation)*(Direct_Denaturation&lt;&gt;"-"),COUNTIF(Direct_Denaturation,"-")+ROW()-3-$AB$2-$AN$2)-9,35)),"-")</f>
        <v>-</v>
      </c>
      <c r="BD387" s="538" t="str">
        <f t="shared" ca="1" si="172"/>
        <v>-</v>
      </c>
      <c r="BK387" s="542" t="s">
        <v>82</v>
      </c>
      <c r="BL387" s="542" t="s">
        <v>82</v>
      </c>
      <c r="BM387" s="532" t="str">
        <f t="array" aca="1" ref="BM387" ca="1">IFERROR(INDEX(Calculation_Tab,SMALL(ROW(ToPool)*(ToPool&lt;&gt;"-"),COUNTIF(ToPool,"-")+ROW()-3)-9,3),"-")</f>
        <v>-</v>
      </c>
      <c r="BN387" s="533" t="str">
        <f t="shared" ca="1" si="173"/>
        <v>-</v>
      </c>
      <c r="BO387" s="533" t="str">
        <f t="shared" ca="1" si="174"/>
        <v>-</v>
      </c>
      <c r="BP387" s="523" t="str">
        <f t="shared" ca="1" si="175"/>
        <v>-</v>
      </c>
      <c r="BQ387" s="533" t="str">
        <f t="array" aca="1" ref="BQ387" ca="1">IFERROR(INDEX(BE:BG,MATCH(INDEX(Calculation_Tab,SMALL(ROW(ToPool)*(ToPool&lt;&gt;"-"),COUNTIF(ToPool,"-")+ROW()-3)-9,9),BG:BG,0),2),"-")</f>
        <v>-</v>
      </c>
      <c r="BR387" s="537" t="str">
        <f t="shared" ca="1" si="176"/>
        <v>-</v>
      </c>
      <c r="BS387" s="538" t="str">
        <f t="shared" ca="1" si="177"/>
        <v>-</v>
      </c>
      <c r="BT387" s="545" t="s">
        <v>82</v>
      </c>
      <c r="BU387" s="532" t="str">
        <f t="shared" ca="1" si="182"/>
        <v>-</v>
      </c>
      <c r="BV387" s="532" t="str">
        <f t="array" aca="1" ref="BV387" ca="1">IF(IFERROR(INDEX(Calculation_Tab,SMALL(ROW(ToPool)*(ToPool="-"),COUNTIF(ToPool,"&lt;&gt;-")+ROW()-3)-9,3),"")&lt;&gt;"",IFERROR(INDEX(Calculation_Tab,SMALL(ROW(ToPool)*(ToPool="-"),COUNTIF(ToPool,"&lt;&gt;-")+ROW()-3)-9,3),""),IFERROR(INDEX($BE$4:$BI$99,SMALL(ROW($BG$4:$BG$99)*($BG$4:$BG$99&lt;&gt;"-"),COUNTIF($BG$4:$BG$99,"-")+ROW()-$BX$2-3)-3,1),"-"))</f>
        <v>-</v>
      </c>
      <c r="BW387" s="533" t="str">
        <f t="shared" ca="1" si="178"/>
        <v>-</v>
      </c>
      <c r="BX387" s="533" t="str">
        <f t="shared" ca="1" si="179"/>
        <v>-</v>
      </c>
      <c r="BY387" s="537" t="str">
        <f ca="1">IFERROR(ROUND(INDEX(Cluster,MATCH(IF(LEFT(BV387,4)="Pool",INDEX(Cluster,MATCH(INDEX(Calculation_Tab,MATCH(INDEX($BE$4:$BJ$99,MATCH(BV387,$BE$4:$BE$99,0),3),Flow_Cell_Lane,0),3),Cluster!$F$29:$F$412,0),6),BV387),Identifier_Cluster,0),19)*IF(LEFT(BV387,4)="pool",IF(LEN(INDEX($BE$4:$BJ$99,MATCH(BV387,$BE$4:$BE$99,0),3))=10,2,IF(LEN(INDEX($BE$4:$BJ$99,MATCH(BV387,$BE$4:$BE$99,0),3))&gt;10,LEN(INDEX($BE$4:$BJ$99,MATCH(BV387,$BE$4:$BE$99,0),3))-8,1)),1)*IF(LEFT(BV387,4)="pool",IF(INDEX($BE$4:$BJ$99,MATCH(BV387,$BE$4:$BE$99,0),6)&lt;1,1,INDEX($BE$4:$BJ$99,MATCH(BV387,$BE$4:$BE$99,0),6)),INDEX(Calculation_Tab,MATCH(BV387,Identifier,0),10)),1)*(1+Calculation!$Q$6),"-")</f>
        <v>-</v>
      </c>
      <c r="BZ387" s="533" t="str">
        <f ca="1">IFERROR((0.5/50)*CE387/Calculation!$AG$6*(IF(LEFT(BV387,4)="Pool",IF(LEN(INDEX($BE$4:$BJ$99,MATCH(BV387,$BE$4:$BE$99,0),3))=10,2,IF(LEN(INDEX($BE$4:$BJ$99,MATCH(BV387,$BE$4:$BE$99,0),3))&gt;10,LEN(INDEX($BE$4:$BJ$99,MATCH(BV387,$BE$4:$BE$99,0),3))-8,1)),IF(INDEX(Calculation_Tab,MATCH(BV387,Identifier,0),10)&gt;1,INDEX(Calculation_Tab,MATCH(BV387,Identifier,0),10),1)))*(1+Calculation!$Q$6),"-")</f>
        <v>-</v>
      </c>
      <c r="CA387" s="537" t="str">
        <f ca="1">IFERROR(IF((BZ387*Calculation!$AG$6/0.05)-SUM(BY387:BZ387,CC387)&gt;0,(BZ387*Calculation!$AG$6/0.05)-SUM(BY387:BZ387,CC387),0),"-")</f>
        <v>-</v>
      </c>
      <c r="CB387" s="537" t="str">
        <f ca="1">IFERROR(5/50*CE387*(IF(LEFT(BV387,4)="Pool",IF(LEN(INDEX($BE$4:$BJ$99,MATCH(BV387,$BE$4:$BE$99,0),3))=10,2,IF(LEN(INDEX($BE$4:$BJ$99,MATCH(BV387,$BE$4:$BE$99,0),3))&gt;10,LEN(INDEX($BE$4:$BJ$99,MATCH(BV387,$BE$4:$BE$99,0),3))-8,1)),IF(INDEX(Calculation_Tab,MATCH(BV387,Identifier,0),10)&gt;1,INDEX(Calculation_Tab,MATCH(BV387,Identifier,0),10),1)))*(1+Calculation!$Q$6),"-")</f>
        <v>-</v>
      </c>
      <c r="CC387" s="535" t="str">
        <f ca="1">IFERROR(ROUND(INDEX(Cluster,MATCH(IF(LEFT(BV387,4)="Pool",INDEX(Cluster,MATCH(INDEX(Calculation_Tab,MATCH(INDEX($BE$4:$BJ$99,MATCH(BV387,$BE$4:$BE$99,0),3),Flow_Cell_Lane,0),3),Cluster!$F$29:$F$412,0),6),BV387),Identifier_Cluster,0),20)*IF(LEFT(BV387,4)="pool",IF(LEN(INDEX($BE$4:$BJ$99,MATCH(BV387,$BE$4:$BE$99,0),3))=10,2,IF(LEN(INDEX($BE$4:$BJ$99,MATCH(BV387,$BE$4:$BE$99,0),3))&gt;10,LEN(INDEX($BE$4:$BJ$99,MATCH(BV387,$BE$4:$BE$99,0),3))-8,1)),1)*IF(LEFT(BV387,4)="pool",IF(INDEX($BE$4:$BJ$99,MATCH(BV387,$BE$4:$BE$99,0),6)&lt;1,1,INDEX($BE$4:$BJ$99,MATCH(BV387,$BE$4:$BE$99,0),6)),INDEX(Calculation_Tab,MATCH(BV387,Identifier,0),10)),1)*(1+Calculation!$Q$6),"-")</f>
        <v>-</v>
      </c>
      <c r="CD387" s="536" t="str">
        <f ca="1">IFERROR(INDEX(Cluster!AC:AD,MATCH(IF(LEFT(BV387,4)="Pool",INDEX(Cluster!$D$29:$AA$412,MATCH(INDEX(Calculation_Tab,MATCH(INDEX($BE$4:$BJ$99,MATCH(BV387,$BE$4:$BE$99,0),3),Flow_Cell_Lane,0),3),Cluster!$F$29:$F$412,0),24),INDEX(Cluster!$D$29:$AA$412,MATCH(BV387,Cluster!$F$29:$F$412,0),24)),Cluster!AC:AC,0),2),"-")</f>
        <v>-</v>
      </c>
      <c r="CE387" s="533" t="str">
        <f ca="1">IFERROR(IF(BV387&lt;&gt;"-",Calculation!$AK$6,"-"),"-")</f>
        <v>-</v>
      </c>
      <c r="CF387" s="533" t="str">
        <f ca="1">IF(OR(LEFT(ListAndConversion!BW387,3)="Dil",LEFT(ListAndConversion!BW387,3)="Poo"),ListAndConversion!$BT$4,IF(LEFT(ListAndConversion!BW387,3)="Sou",INDEX(ListAndConversion!$AT$3:$AV$387,MATCH(ListAndConversion!BV387,ListAndConversion!$AV$3:$AV$387,0),1),"-"))</f>
        <v>-</v>
      </c>
      <c r="CG387" s="479" t="str">
        <f ca="1">IF(OR(LEFT(ListAndConversion!BW387,3)="Dil",LEFT(ListAndConversion!BW387,3)="Poo"),ListAndConversion!BU387,IF(LEFT(ListAndConversion!BW387,3)="Sou",INDEX(ListAndConversion!$AT$4:$AV$387,MATCH(ListAndConversion!BV387,ListAndConversion!$AV$4:$AV$387,0),2),"-"))</f>
        <v>-</v>
      </c>
      <c r="CH387" s="378"/>
      <c r="CI387" s="532" t="str">
        <f t="shared" ca="1" si="180"/>
        <v>-</v>
      </c>
      <c r="CJ387" s="533" t="str">
        <f t="shared" ca="1" si="192"/>
        <v>-</v>
      </c>
      <c r="CK387" s="533" t="str">
        <f t="shared" ca="1" si="192"/>
        <v>-</v>
      </c>
      <c r="CL387" s="533" t="str">
        <f t="shared" ca="1" si="192"/>
        <v>-</v>
      </c>
      <c r="CM387" s="533" t="str">
        <f t="shared" ca="1" si="192"/>
        <v>-</v>
      </c>
      <c r="CN387" s="533" t="str">
        <f t="shared" ca="1" si="192"/>
        <v>-</v>
      </c>
      <c r="CO387" s="533" t="str">
        <f t="shared" ca="1" si="192"/>
        <v>-</v>
      </c>
      <c r="CP387" s="533" t="str">
        <f t="shared" ca="1" si="192"/>
        <v>-</v>
      </c>
      <c r="CQ387" s="533" t="str">
        <f t="shared" ca="1" si="192"/>
        <v>-</v>
      </c>
      <c r="CR387" s="510" t="str">
        <f ca="1">IFERROR(IF(LEFT(BW387,3)="Poo",INDEX($BE$4:$BJ$99,MATCH(CI387,$BG$4:$BG$99,0),6)*((15/50))*Calculation!$AK$6,INDEX(Calculation_Tab,MATCH(BV387,Identifier,0),10)/(IF(LEN(INDEX(Calculation_Tab,MATCH(BV387,Identifier,0),9))&gt;8,LEN(INDEX(Calculation_Tab,MATCH(BV387,Identifier,0),9))-8,1))*((15/50)*Calculation!$AK$6)),"-")</f>
        <v>-</v>
      </c>
      <c r="CS387" s="498" t="str">
        <f ca="1">IF(CI387="-","-",IF(COUNTIF($CI$3:CI387,CI387)&gt;1,0,IFERROR((35/50)*Calculation!$AK$6,"-")))</f>
        <v>-</v>
      </c>
    </row>
    <row r="388" spans="4:97" x14ac:dyDescent="0.5">
      <c r="BM388" s="532"/>
      <c r="BN388" s="533"/>
      <c r="BO388" s="533"/>
      <c r="BP388" s="533"/>
      <c r="BQ388" s="533"/>
      <c r="BR388" s="479"/>
    </row>
  </sheetData>
  <mergeCells count="17">
    <mergeCell ref="A1:B1"/>
    <mergeCell ref="D1:P1"/>
    <mergeCell ref="R1:U1"/>
    <mergeCell ref="V1:AG1"/>
    <mergeCell ref="AI1:AQ1"/>
    <mergeCell ref="AR1:BD1"/>
    <mergeCell ref="BE1:BJ1"/>
    <mergeCell ref="BK1:BR1"/>
    <mergeCell ref="BT1:CG1"/>
    <mergeCell ref="CI1:CS1"/>
    <mergeCell ref="CJ2:CQ2"/>
    <mergeCell ref="X3:Y3"/>
    <mergeCell ref="W2:Y2"/>
    <mergeCell ref="AJ2:AK2"/>
    <mergeCell ref="AR2:AU2"/>
    <mergeCell ref="BK2:BL2"/>
    <mergeCell ref="BT2:BU2"/>
  </mergeCells>
  <conditionalFormatting sqref="A15">
    <cfRule type="cellIs" dxfId="4" priority="2" operator="greaterThan">
      <formula>96</formula>
    </cfRule>
  </conditionalFormatting>
  <conditionalFormatting sqref="BU5:BU387">
    <cfRule type="cellIs" dxfId="3" priority="3" operator="equal">
      <formula>BU4</formula>
    </cfRule>
  </conditionalFormatting>
  <conditionalFormatting sqref="BU4">
    <cfRule type="cellIs" dxfId="2" priority="4" operator="equal">
      <formula>BU3</formula>
    </cfRule>
  </conditionalFormatting>
  <conditionalFormatting sqref="BU4:BU387">
    <cfRule type="cellIs" dxfId="1" priority="5" operator="equal">
      <formula>"-"</formula>
    </cfRule>
    <cfRule type="cellIs" dxfId="0" priority="6" operator="equal">
      <formula>0</formula>
    </cfRule>
  </conditionalFormatting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81"/>
  <sheetViews>
    <sheetView zoomScaleNormal="100" workbookViewId="0"/>
  </sheetViews>
  <sheetFormatPr defaultRowHeight="14.25" x14ac:dyDescent="0.65"/>
  <cols>
    <col min="1" max="1" width="18.5" style="546"/>
    <col min="2" max="2" width="17.26953125" style="546"/>
    <col min="3" max="3" width="10.40625" style="546"/>
    <col min="4" max="1025" width="11.1796875" style="547"/>
  </cols>
  <sheetData>
    <row r="1" spans="1:1024" x14ac:dyDescent="0.65">
      <c r="A1" s="548" t="s">
        <v>480</v>
      </c>
      <c r="B1" s="549" t="s">
        <v>481</v>
      </c>
      <c r="C1" s="550" t="s">
        <v>482</v>
      </c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s="546" customFormat="1" x14ac:dyDescent="0.65">
      <c r="A2" s="551" t="str">
        <f ca="1">IF(A1="","",IF(ListAndConversion!AB4&lt;&gt;"-",ListAndConversion!W4,IF(ListAndConversion!AN4&lt;&gt;"-",ListAndConversion!AJ4,IF(INDIRECT("ListAndConversion!AF"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" s="552" t="str">
        <f ca="1">IF(B1="","",IF(ListAndConversion!AB4&lt;&gt;"-",ListAndConversion!Y4,IF(ListAndConversion!AN4&lt;&gt;"-",ListAndConversion!AK4,IF(INDIRECT("ListAndConversion!AF"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" s="553" t="str">
        <f ca="1">IF(C1="","",IF(ListAndConversion!AB4&lt;&gt;"-",ListAndConversion!AE4,IF(ListAndConversion!AN4&lt;&gt;"-",ListAndConversion!AQ4,IF(INDIRECT("ListAndConversion!AF"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" spans="1:1024" x14ac:dyDescent="0.65">
      <c r="A3" s="554" t="str">
        <f ca="1">IF(A2="","",IF(ListAndConversion!AB5&lt;&gt;"-",ListAndConversion!W5,IF(ListAndConversion!AN5&lt;&gt;"-",ListAndConversion!AJ5,IF(INDIRECT("ListAndConversion!AF"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" s="555" t="str">
        <f ca="1">IF(B2="","",IF(ListAndConversion!AB5&lt;&gt;"-",ListAndConversion!Y5,IF(ListAndConversion!AN5&lt;&gt;"-",ListAndConversion!AK5,IF(INDIRECT("ListAndConversion!AF"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" s="556" t="str">
        <f ca="1">IF(C2="","",IF(ListAndConversion!AB5&lt;&gt;"-",ListAndConversion!AE5,IF(ListAndConversion!AN5&lt;&gt;"-",ListAndConversion!AQ5,IF(INDIRECT("ListAndConversion!AF"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  <c r="F3"/>
    </row>
    <row r="4" spans="1:1024" x14ac:dyDescent="0.65">
      <c r="A4" s="554" t="str">
        <f ca="1">IF(A3="","",IF(ListAndConversion!AB6&lt;&gt;"-",ListAndConversion!W6,IF(ListAndConversion!AN6&lt;&gt;"-",ListAndConversion!AJ6,IF(INDIRECT("ListAndConversion!AF"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" s="555" t="str">
        <f ca="1">IF(B3="","",IF(ListAndConversion!AB6&lt;&gt;"-",ListAndConversion!Y6,IF(ListAndConversion!AN6&lt;&gt;"-",ListAndConversion!AK6,IF(INDIRECT("ListAndConversion!AF"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" s="556" t="str">
        <f ca="1">IF(C3="","",IF(ListAndConversion!AB6&lt;&gt;"-",ListAndConversion!AE6,IF(ListAndConversion!AN6&lt;&gt;"-",ListAndConversion!AQ6,IF(INDIRECT("ListAndConversion!AF"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  <c r="F4"/>
    </row>
    <row r="5" spans="1:1024" x14ac:dyDescent="0.65">
      <c r="A5" s="554" t="str">
        <f ca="1">IF(A4="","",IF(ListAndConversion!AB7&lt;&gt;"-",ListAndConversion!W7,IF(ListAndConversion!AN7&lt;&gt;"-",ListAndConversion!AJ7,IF(INDIRECT("ListAndConversion!AF"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5" s="555" t="str">
        <f ca="1">IF(B4="","",IF(ListAndConversion!AB7&lt;&gt;"-",ListAndConversion!Y7,IF(ListAndConversion!AN7&lt;&gt;"-",ListAndConversion!AK7,IF(INDIRECT("ListAndConversion!AF"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5" s="556" t="str">
        <f ca="1">IF(C4="","",IF(ListAndConversion!AB7&lt;&gt;"-",ListAndConversion!AE7,IF(ListAndConversion!AN7&lt;&gt;"-",ListAndConversion!AQ7,IF(INDIRECT("ListAndConversion!AF"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  <c r="F5" s="557"/>
    </row>
    <row r="6" spans="1:1024" x14ac:dyDescent="0.65">
      <c r="A6" s="554" t="str">
        <f ca="1">IF(A5="","",IF(ListAndConversion!AB8&lt;&gt;"-",ListAndConversion!W8,IF(ListAndConversion!AN8&lt;&gt;"-",ListAndConversion!AJ8,IF(INDIRECT("ListAndConversion!AF"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6" s="555" t="str">
        <f ca="1">IF(B5="","",IF(ListAndConversion!AB8&lt;&gt;"-",ListAndConversion!Y8,IF(ListAndConversion!AN8&lt;&gt;"-",ListAndConversion!AK8,IF(INDIRECT("ListAndConversion!AF"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6" s="556" t="str">
        <f ca="1">IF(C5="","",IF(ListAndConversion!AB8&lt;&gt;"-",ListAndConversion!AE8,IF(ListAndConversion!AN8&lt;&gt;"-",ListAndConversion!AQ8,IF(INDIRECT("ListAndConversion!AF"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7" spans="1:1024" x14ac:dyDescent="0.65">
      <c r="A7" s="554" t="str">
        <f ca="1">IF(A6="","",IF(ListAndConversion!AB9&lt;&gt;"-",ListAndConversion!W9,IF(ListAndConversion!AN9&lt;&gt;"-",ListAndConversion!AJ9,IF(INDIRECT("ListAndConversion!AF"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7" s="555" t="str">
        <f ca="1">IF(B6="","",IF(ListAndConversion!AB9&lt;&gt;"-",ListAndConversion!Y9,IF(ListAndConversion!AN9&lt;&gt;"-",ListAndConversion!AK9,IF(INDIRECT("ListAndConversion!AF"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7" s="556" t="str">
        <f ca="1">IF(C6="","",IF(ListAndConversion!AB9&lt;&gt;"-",ListAndConversion!AE9,IF(ListAndConversion!AN9&lt;&gt;"-",ListAndConversion!AQ9,IF(INDIRECT("ListAndConversion!AF"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8" spans="1:1024" x14ac:dyDescent="0.65">
      <c r="A8" s="554" t="str">
        <f ca="1">IF(A7="","",IF(ListAndConversion!AB10&lt;&gt;"-",ListAndConversion!W10,IF(ListAndConversion!AN10&lt;&gt;"-",ListAndConversion!AJ10,IF(INDIRECT("ListAndConversion!AF"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8" s="555" t="str">
        <f ca="1">IF(B7="","",IF(ListAndConversion!AB10&lt;&gt;"-",ListAndConversion!Y10,IF(ListAndConversion!AN10&lt;&gt;"-",ListAndConversion!AK10,IF(INDIRECT("ListAndConversion!AF"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8" s="556" t="str">
        <f ca="1">IF(C7="","",IF(ListAndConversion!AB10&lt;&gt;"-",ListAndConversion!AE10,IF(ListAndConversion!AN10&lt;&gt;"-",ListAndConversion!AQ10,IF(INDIRECT("ListAndConversion!AF"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9" spans="1:1024" x14ac:dyDescent="0.65">
      <c r="A9" s="554" t="str">
        <f ca="1">IF(A8="","",IF(ListAndConversion!AB11&lt;&gt;"-",ListAndConversion!W11,IF(ListAndConversion!AN11&lt;&gt;"-",ListAndConversion!AJ11,IF(INDIRECT("ListAndConversion!AF"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9" s="555" t="str">
        <f ca="1">IF(B8="","",IF(ListAndConversion!AB11&lt;&gt;"-",ListAndConversion!Y11,IF(ListAndConversion!AN11&lt;&gt;"-",ListAndConversion!AK11,IF(INDIRECT("ListAndConversion!AF"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9" s="556" t="str">
        <f ca="1">IF(C8="","",IF(ListAndConversion!AB11&lt;&gt;"-",ListAndConversion!AE11,IF(ListAndConversion!AN11&lt;&gt;"-",ListAndConversion!AQ11,IF(INDIRECT("ListAndConversion!AF"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0" spans="1:1024" x14ac:dyDescent="0.65">
      <c r="A10" s="554" t="str">
        <f ca="1">IF(A9="","",IF(ListAndConversion!AB12&lt;&gt;"-",ListAndConversion!W12,IF(ListAndConversion!AN12&lt;&gt;"-",ListAndConversion!AJ12,IF(INDIRECT("ListAndConversion!AF"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0" s="555" t="str">
        <f ca="1">IF(B9="","",IF(ListAndConversion!AB12&lt;&gt;"-",ListAndConversion!Y12,IF(ListAndConversion!AN12&lt;&gt;"-",ListAndConversion!AK12,IF(INDIRECT("ListAndConversion!AF"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0" s="556" t="str">
        <f ca="1">IF(C9="","",IF(ListAndConversion!AB12&lt;&gt;"-",ListAndConversion!AE12,IF(ListAndConversion!AN12&lt;&gt;"-",ListAndConversion!AQ12,IF(INDIRECT("ListAndConversion!AF"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1" spans="1:1024" x14ac:dyDescent="0.65">
      <c r="A11" s="554" t="str">
        <f ca="1">IF(A10="","",IF(ListAndConversion!AB13&lt;&gt;"-",ListAndConversion!W13,IF(ListAndConversion!AN13&lt;&gt;"-",ListAndConversion!AJ13,IF(INDIRECT("ListAndConversion!AF"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1" s="555" t="str">
        <f ca="1">IF(B10="","",IF(ListAndConversion!AB13&lt;&gt;"-",ListAndConversion!Y13,IF(ListAndConversion!AN13&lt;&gt;"-",ListAndConversion!AK13,IF(INDIRECT("ListAndConversion!AF"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1" s="556" t="str">
        <f ca="1">IF(C10="","",IF(ListAndConversion!AB13&lt;&gt;"-",ListAndConversion!AE13,IF(ListAndConversion!AN13&lt;&gt;"-",ListAndConversion!AQ13,IF(INDIRECT("ListAndConversion!AF"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2" spans="1:1024" x14ac:dyDescent="0.65">
      <c r="A12" s="554" t="str">
        <f ca="1">IF(A11="","",IF(ListAndConversion!AB14&lt;&gt;"-",ListAndConversion!W14,IF(ListAndConversion!AN14&lt;&gt;"-",ListAndConversion!AJ14,IF(INDIRECT("ListAndConversion!AF"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2" s="555" t="str">
        <f ca="1">IF(B11="","",IF(ListAndConversion!AB14&lt;&gt;"-",ListAndConversion!Y14,IF(ListAndConversion!AN14&lt;&gt;"-",ListAndConversion!AK14,IF(INDIRECT("ListAndConversion!AF"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2" s="556" t="str">
        <f ca="1">IF(C11="","",IF(ListAndConversion!AB14&lt;&gt;"-",ListAndConversion!AE14,IF(ListAndConversion!AN14&lt;&gt;"-",ListAndConversion!AQ14,IF(INDIRECT("ListAndConversion!AF"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3" spans="1:1024" x14ac:dyDescent="0.65">
      <c r="A13" s="554" t="str">
        <f ca="1">IF(A12="","",IF(ListAndConversion!AB15&lt;&gt;"-",ListAndConversion!W15,IF(ListAndConversion!AN15&lt;&gt;"-",ListAndConversion!AJ15,IF(INDIRECT("ListAndConversion!AF"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3" s="555" t="str">
        <f ca="1">IF(B12="","",IF(ListAndConversion!AB15&lt;&gt;"-",ListAndConversion!Y15,IF(ListAndConversion!AN15&lt;&gt;"-",ListAndConversion!AK15,IF(INDIRECT("ListAndConversion!AF"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3" s="556" t="str">
        <f ca="1">IF(C12="","",IF(ListAndConversion!AB15&lt;&gt;"-",ListAndConversion!AE15,IF(ListAndConversion!AN15&lt;&gt;"-",ListAndConversion!AQ15,IF(INDIRECT("ListAndConversion!AF"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4" spans="1:1024" x14ac:dyDescent="0.65">
      <c r="A14" s="554" t="str">
        <f ca="1">IF(A13="","",IF(ListAndConversion!AB16&lt;&gt;"-",ListAndConversion!W16,IF(ListAndConversion!AN16&lt;&gt;"-",ListAndConversion!AJ16,IF(INDIRECT("ListAndConversion!AF"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4" s="555" t="str">
        <f ca="1">IF(B13="","",IF(ListAndConversion!AB16&lt;&gt;"-",ListAndConversion!Y16,IF(ListAndConversion!AN16&lt;&gt;"-",ListAndConversion!AK16,IF(INDIRECT("ListAndConversion!AF"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4" s="556" t="str">
        <f ca="1">IF(C13="","",IF(ListAndConversion!AB16&lt;&gt;"-",ListAndConversion!AE16,IF(ListAndConversion!AN16&lt;&gt;"-",ListAndConversion!AQ16,IF(INDIRECT("ListAndConversion!AF"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5" spans="1:1024" x14ac:dyDescent="0.65">
      <c r="A15" s="554" t="str">
        <f ca="1">IF(A14="","",IF(ListAndConversion!AB17&lt;&gt;"-",ListAndConversion!W17,IF(ListAndConversion!AN17&lt;&gt;"-",ListAndConversion!AJ17,IF(INDIRECT("ListAndConversion!AF"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5" s="555" t="str">
        <f ca="1">IF(B14="","",IF(ListAndConversion!AB17&lt;&gt;"-",ListAndConversion!Y17,IF(ListAndConversion!AN17&lt;&gt;"-",ListAndConversion!AK17,IF(INDIRECT("ListAndConversion!AF"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5" s="556" t="str">
        <f ca="1">IF(C14="","",IF(ListAndConversion!AB17&lt;&gt;"-",ListAndConversion!AE17,IF(ListAndConversion!AN17&lt;&gt;"-",ListAndConversion!AQ17,IF(INDIRECT("ListAndConversion!AF"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6" spans="1:1024" x14ac:dyDescent="0.65">
      <c r="A16" s="554" t="str">
        <f ca="1">IF(A15="","",IF(ListAndConversion!AB18&lt;&gt;"-",ListAndConversion!W18,IF(ListAndConversion!AN18&lt;&gt;"-",ListAndConversion!AJ18,IF(INDIRECT("ListAndConversion!AF"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6" s="555" t="str">
        <f ca="1">IF(B15="","",IF(ListAndConversion!AB18&lt;&gt;"-",ListAndConversion!Y18,IF(ListAndConversion!AN18&lt;&gt;"-",ListAndConversion!AK18,IF(INDIRECT("ListAndConversion!AF"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6" s="556" t="str">
        <f ca="1">IF(C15="","",IF(ListAndConversion!AB18&lt;&gt;"-",ListAndConversion!AE18,IF(ListAndConversion!AN18&lt;&gt;"-",ListAndConversion!AQ18,IF(INDIRECT("ListAndConversion!AF"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7" spans="1:3" x14ac:dyDescent="0.65">
      <c r="A17" s="554" t="str">
        <f ca="1">IF(A16="","",IF(ListAndConversion!AB19&lt;&gt;"-",ListAndConversion!W19,IF(ListAndConversion!AN19&lt;&gt;"-",ListAndConversion!AJ19,IF(INDIRECT("ListAndConversion!AF"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7" s="555" t="str">
        <f ca="1">IF(B16="","",IF(ListAndConversion!AB19&lt;&gt;"-",ListAndConversion!Y19,IF(ListAndConversion!AN19&lt;&gt;"-",ListAndConversion!AK19,IF(INDIRECT("ListAndConversion!AF"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7" s="556" t="str">
        <f ca="1">IF(C16="","",IF(ListAndConversion!AB19&lt;&gt;"-",ListAndConversion!AE19,IF(ListAndConversion!AN19&lt;&gt;"-",ListAndConversion!AQ19,IF(INDIRECT("ListAndConversion!AF"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8" spans="1:3" x14ac:dyDescent="0.65">
      <c r="A18" s="554" t="str">
        <f ca="1">IF(A17="","",IF(ListAndConversion!AB20&lt;&gt;"-",ListAndConversion!W20,IF(ListAndConversion!AN20&lt;&gt;"-",ListAndConversion!AJ20,IF(INDIRECT("ListAndConversion!AF"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8" s="555" t="str">
        <f ca="1">IF(B17="","",IF(ListAndConversion!AB20&lt;&gt;"-",ListAndConversion!Y20,IF(ListAndConversion!AN20&lt;&gt;"-",ListAndConversion!AK20,IF(INDIRECT("ListAndConversion!AF"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8" s="556" t="str">
        <f ca="1">IF(C17="","",IF(ListAndConversion!AB20&lt;&gt;"-",ListAndConversion!AE20,IF(ListAndConversion!AN20&lt;&gt;"-",ListAndConversion!AQ20,IF(INDIRECT("ListAndConversion!AF"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9" spans="1:3" x14ac:dyDescent="0.65">
      <c r="A19" s="554" t="str">
        <f ca="1">IF(A18="","",IF(ListAndConversion!AB21&lt;&gt;"-",ListAndConversion!W21,IF(ListAndConversion!AN21&lt;&gt;"-",ListAndConversion!AJ21,IF(INDIRECT("ListAndConversion!AF"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9" s="555" t="str">
        <f ca="1">IF(B18="","",IF(ListAndConversion!AB21&lt;&gt;"-",ListAndConversion!Y21,IF(ListAndConversion!AN21&lt;&gt;"-",ListAndConversion!AK21,IF(INDIRECT("ListAndConversion!AF"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9" s="556" t="str">
        <f ca="1">IF(C18="","",IF(ListAndConversion!AB21&lt;&gt;"-",ListAndConversion!AE21,IF(ListAndConversion!AN21&lt;&gt;"-",ListAndConversion!AQ21,IF(INDIRECT("ListAndConversion!AF"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0" spans="1:3" x14ac:dyDescent="0.65">
      <c r="A20" s="554" t="str">
        <f ca="1">IF(A19="","",IF(ListAndConversion!AB22&lt;&gt;"-",ListAndConversion!W22,IF(ListAndConversion!AN22&lt;&gt;"-",ListAndConversion!AJ22,IF(INDIRECT("ListAndConversion!AF"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0" s="555" t="str">
        <f ca="1">IF(B19="","",IF(ListAndConversion!AB22&lt;&gt;"-",ListAndConversion!Y22,IF(ListAndConversion!AN22&lt;&gt;"-",ListAndConversion!AK22,IF(INDIRECT("ListAndConversion!AF"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0" s="556" t="str">
        <f ca="1">IF(C19="","",IF(ListAndConversion!AB22&lt;&gt;"-",ListAndConversion!AE22,IF(ListAndConversion!AN22&lt;&gt;"-",ListAndConversion!AQ22,IF(INDIRECT("ListAndConversion!AF"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1" spans="1:3" x14ac:dyDescent="0.65">
      <c r="A21" s="554" t="str">
        <f ca="1">IF(A20="","",IF(ListAndConversion!AB23&lt;&gt;"-",ListAndConversion!W23,IF(ListAndConversion!AN23&lt;&gt;"-",ListAndConversion!AJ23,IF(INDIRECT("ListAndConversion!AF"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1" s="555" t="str">
        <f ca="1">IF(B20="","",IF(ListAndConversion!AB23&lt;&gt;"-",ListAndConversion!Y23,IF(ListAndConversion!AN23&lt;&gt;"-",ListAndConversion!AK23,IF(INDIRECT("ListAndConversion!AF"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1" s="556" t="str">
        <f ca="1">IF(C20="","",IF(ListAndConversion!AB23&lt;&gt;"-",ListAndConversion!AE23,IF(ListAndConversion!AN23&lt;&gt;"-",ListAndConversion!AQ23,IF(INDIRECT("ListAndConversion!AF"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2" spans="1:3" x14ac:dyDescent="0.65">
      <c r="A22" s="554" t="str">
        <f ca="1">IF(A21="","",IF(ListAndConversion!AB24&lt;&gt;"-",ListAndConversion!W24,IF(ListAndConversion!AN24&lt;&gt;"-",ListAndConversion!AJ24,IF(INDIRECT("ListAndConversion!AF"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2" s="555" t="str">
        <f ca="1">IF(B21="","",IF(ListAndConversion!AB24&lt;&gt;"-",ListAndConversion!Y24,IF(ListAndConversion!AN24&lt;&gt;"-",ListAndConversion!AK24,IF(INDIRECT("ListAndConversion!AF"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2" s="556" t="str">
        <f ca="1">IF(C21="","",IF(ListAndConversion!AB24&lt;&gt;"-",ListAndConversion!AE24,IF(ListAndConversion!AN24&lt;&gt;"-",ListAndConversion!AQ24,IF(INDIRECT("ListAndConversion!AF"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3" spans="1:3" x14ac:dyDescent="0.65">
      <c r="A23" s="554" t="str">
        <f ca="1">IF(A22="","",IF(ListAndConversion!AB25&lt;&gt;"-",ListAndConversion!W25,IF(ListAndConversion!AN25&lt;&gt;"-",ListAndConversion!AJ25,IF(INDIRECT("ListAndConversion!AF"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3" s="555" t="str">
        <f ca="1">IF(B22="","",IF(ListAndConversion!AB25&lt;&gt;"-",ListAndConversion!Y25,IF(ListAndConversion!AN25&lt;&gt;"-",ListAndConversion!AK25,IF(INDIRECT("ListAndConversion!AF"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3" s="556" t="str">
        <f ca="1">IF(C22="","",IF(ListAndConversion!AB25&lt;&gt;"-",ListAndConversion!AE25,IF(ListAndConversion!AN25&lt;&gt;"-",ListAndConversion!AQ25,IF(INDIRECT("ListAndConversion!AF"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4" spans="1:3" x14ac:dyDescent="0.65">
      <c r="A24" s="554" t="str">
        <f ca="1">IF(A23="","",IF(ListAndConversion!AB26&lt;&gt;"-",ListAndConversion!W26,IF(ListAndConversion!AN26&lt;&gt;"-",ListAndConversion!AJ26,IF(INDIRECT("ListAndConversion!AF"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4" s="555" t="str">
        <f ca="1">IF(B23="","",IF(ListAndConversion!AB26&lt;&gt;"-",ListAndConversion!Y26,IF(ListAndConversion!AN26&lt;&gt;"-",ListAndConversion!AK26,IF(INDIRECT("ListAndConversion!AF"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4" s="556" t="str">
        <f ca="1">IF(C23="","",IF(ListAndConversion!AB26&lt;&gt;"-",ListAndConversion!AE26,IF(ListAndConversion!AN26&lt;&gt;"-",ListAndConversion!AQ26,IF(INDIRECT("ListAndConversion!AF"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5" spans="1:3" x14ac:dyDescent="0.65">
      <c r="A25" s="554" t="str">
        <f ca="1">IF(A24="","",IF(ListAndConversion!AB27&lt;&gt;"-",ListAndConversion!W27,IF(ListAndConversion!AN27&lt;&gt;"-",ListAndConversion!AJ27,IF(INDIRECT("ListAndConversion!AF"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5" s="555" t="str">
        <f ca="1">IF(B24="","",IF(ListAndConversion!AB27&lt;&gt;"-",ListAndConversion!Y27,IF(ListAndConversion!AN27&lt;&gt;"-",ListAndConversion!AK27,IF(INDIRECT("ListAndConversion!AF"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5" s="556" t="str">
        <f ca="1">IF(C24="","",IF(ListAndConversion!AB27&lt;&gt;"-",ListAndConversion!AE27,IF(ListAndConversion!AN27&lt;&gt;"-",ListAndConversion!AQ27,IF(INDIRECT("ListAndConversion!AF"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6" spans="1:3" x14ac:dyDescent="0.65">
      <c r="A26" s="554" t="str">
        <f ca="1">IF(A25="","",IF(ListAndConversion!AB28&lt;&gt;"-",ListAndConversion!W28,IF(ListAndConversion!AN28&lt;&gt;"-",ListAndConversion!AJ28,IF(INDIRECT("ListAndConversion!AF"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6" s="555" t="str">
        <f ca="1">IF(B25="","",IF(ListAndConversion!AB28&lt;&gt;"-",ListAndConversion!Y28,IF(ListAndConversion!AN28&lt;&gt;"-",ListAndConversion!AK28,IF(INDIRECT("ListAndConversion!AF"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6" s="556" t="str">
        <f ca="1">IF(C25="","",IF(ListAndConversion!AB28&lt;&gt;"-",ListAndConversion!AE28,IF(ListAndConversion!AN28&lt;&gt;"-",ListAndConversion!AQ28,IF(INDIRECT("ListAndConversion!AF"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7" spans="1:3" x14ac:dyDescent="0.65">
      <c r="A27" s="554" t="str">
        <f ca="1">IF(A26="","",IF(ListAndConversion!AB29&lt;&gt;"-",ListAndConversion!W29,IF(ListAndConversion!AN29&lt;&gt;"-",ListAndConversion!AJ29,IF(INDIRECT("ListAndConversion!AF"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7" s="555" t="str">
        <f ca="1">IF(B26="","",IF(ListAndConversion!AB29&lt;&gt;"-",ListAndConversion!Y29,IF(ListAndConversion!AN29&lt;&gt;"-",ListAndConversion!AK29,IF(INDIRECT("ListAndConversion!AF"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7" s="556" t="str">
        <f ca="1">IF(C26="","",IF(ListAndConversion!AB29&lt;&gt;"-",ListAndConversion!AE29,IF(ListAndConversion!AN29&lt;&gt;"-",ListAndConversion!AQ29,IF(INDIRECT("ListAndConversion!AF"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8" spans="1:3" x14ac:dyDescent="0.65">
      <c r="A28" s="554" t="str">
        <f ca="1">IF(A27="","",IF(ListAndConversion!AB30&lt;&gt;"-",ListAndConversion!W30,IF(ListAndConversion!AN30&lt;&gt;"-",ListAndConversion!AJ30,IF(INDIRECT("ListAndConversion!AF"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8" s="555" t="str">
        <f ca="1">IF(B27="","",IF(ListAndConversion!AB30&lt;&gt;"-",ListAndConversion!Y30,IF(ListAndConversion!AN30&lt;&gt;"-",ListAndConversion!AK30,IF(INDIRECT("ListAndConversion!AF"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8" s="556" t="str">
        <f ca="1">IF(C27="","",IF(ListAndConversion!AB30&lt;&gt;"-",ListAndConversion!AE30,IF(ListAndConversion!AN30&lt;&gt;"-",ListAndConversion!AQ30,IF(INDIRECT("ListAndConversion!AF"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9" spans="1:3" x14ac:dyDescent="0.65">
      <c r="A29" s="554" t="str">
        <f ca="1">IF(A28="","",IF(ListAndConversion!AB31&lt;&gt;"-",ListAndConversion!W31,IF(ListAndConversion!AN31&lt;&gt;"-",ListAndConversion!AJ31,IF(INDIRECT("ListAndConversion!AF"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9" s="555" t="str">
        <f ca="1">IF(B28="","",IF(ListAndConversion!AB31&lt;&gt;"-",ListAndConversion!Y31,IF(ListAndConversion!AN31&lt;&gt;"-",ListAndConversion!AK31,IF(INDIRECT("ListAndConversion!AF"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9" s="556" t="str">
        <f ca="1">IF(C28="","",IF(ListAndConversion!AB31&lt;&gt;"-",ListAndConversion!AE31,IF(ListAndConversion!AN31&lt;&gt;"-",ListAndConversion!AQ31,IF(INDIRECT("ListAndConversion!AF"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0" spans="1:3" x14ac:dyDescent="0.65">
      <c r="A30" s="554" t="str">
        <f ca="1">IF(A29="","",IF(ListAndConversion!AB32&lt;&gt;"-",ListAndConversion!W32,IF(ListAndConversion!AN32&lt;&gt;"-",ListAndConversion!AJ32,IF(INDIRECT("ListAndConversion!AF"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0" s="555" t="str">
        <f ca="1">IF(B29="","",IF(ListAndConversion!AB32&lt;&gt;"-",ListAndConversion!Y32,IF(ListAndConversion!AN32&lt;&gt;"-",ListAndConversion!AK32,IF(INDIRECT("ListAndConversion!AF"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0" s="556" t="str">
        <f ca="1">IF(C29="","",IF(ListAndConversion!AB32&lt;&gt;"-",ListAndConversion!AE32,IF(ListAndConversion!AN32&lt;&gt;"-",ListAndConversion!AQ32,IF(INDIRECT("ListAndConversion!AF"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1" spans="1:3" x14ac:dyDescent="0.65">
      <c r="A31" s="554" t="str">
        <f ca="1">IF(A30="","",IF(ListAndConversion!AB33&lt;&gt;"-",ListAndConversion!W33,IF(ListAndConversion!AN33&lt;&gt;"-",ListAndConversion!AJ33,IF(INDIRECT("ListAndConversion!AF"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1" s="555" t="str">
        <f ca="1">IF(B30="","",IF(ListAndConversion!AB33&lt;&gt;"-",ListAndConversion!Y33,IF(ListAndConversion!AN33&lt;&gt;"-",ListAndConversion!AK33,IF(INDIRECT("ListAndConversion!AF"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1" s="556" t="str">
        <f ca="1">IF(C30="","",IF(ListAndConversion!AB33&lt;&gt;"-",ListAndConversion!AE33,IF(ListAndConversion!AN33&lt;&gt;"-",ListAndConversion!AQ33,IF(INDIRECT("ListAndConversion!AF"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2" spans="1:3" x14ac:dyDescent="0.65">
      <c r="A32" s="554" t="str">
        <f ca="1">IF(A31="","",IF(ListAndConversion!AB34&lt;&gt;"-",ListAndConversion!W34,IF(ListAndConversion!AN34&lt;&gt;"-",ListAndConversion!AJ34,IF(INDIRECT("ListAndConversion!AF"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2" s="555" t="str">
        <f ca="1">IF(B31="","",IF(ListAndConversion!AB34&lt;&gt;"-",ListAndConversion!Y34,IF(ListAndConversion!AN34&lt;&gt;"-",ListAndConversion!AK34,IF(INDIRECT("ListAndConversion!AF"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2" s="556" t="str">
        <f ca="1">IF(C31="","",IF(ListAndConversion!AB34&lt;&gt;"-",ListAndConversion!AE34,IF(ListAndConversion!AN34&lt;&gt;"-",ListAndConversion!AQ34,IF(INDIRECT("ListAndConversion!AF"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3" spans="1:3" x14ac:dyDescent="0.65">
      <c r="A33" s="554" t="str">
        <f ca="1">IF(A32="","",IF(ListAndConversion!AB35&lt;&gt;"-",ListAndConversion!W35,IF(ListAndConversion!AN35&lt;&gt;"-",ListAndConversion!AJ35,IF(INDIRECT("ListAndConversion!AF"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3" s="555" t="str">
        <f ca="1">IF(B32="","",IF(ListAndConversion!AB35&lt;&gt;"-",ListAndConversion!Y35,IF(ListAndConversion!AN35&lt;&gt;"-",ListAndConversion!AK35,IF(INDIRECT("ListAndConversion!AF"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3" s="556" t="str">
        <f ca="1">IF(C32="","",IF(ListAndConversion!AB35&lt;&gt;"-",ListAndConversion!AE35,IF(ListAndConversion!AN35&lt;&gt;"-",ListAndConversion!AQ35,IF(INDIRECT("ListAndConversion!AF"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4" spans="1:3" x14ac:dyDescent="0.65">
      <c r="A34" s="554" t="str">
        <f ca="1">IF(A33="","",IF(ListAndConversion!AB36&lt;&gt;"-",ListAndConversion!W36,IF(ListAndConversion!AN36&lt;&gt;"-",ListAndConversion!AJ36,IF(INDIRECT("ListAndConversion!AF"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4" s="555" t="str">
        <f ca="1">IF(B33="","",IF(ListAndConversion!AB36&lt;&gt;"-",ListAndConversion!Y36,IF(ListAndConversion!AN36&lt;&gt;"-",ListAndConversion!AK36,IF(INDIRECT("ListAndConversion!AF"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4" s="556" t="str">
        <f ca="1">IF(C33="","",IF(ListAndConversion!AB36&lt;&gt;"-",ListAndConversion!AE36,IF(ListAndConversion!AN36&lt;&gt;"-",ListAndConversion!AQ36,IF(INDIRECT("ListAndConversion!AF"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5" spans="1:3" x14ac:dyDescent="0.65">
      <c r="A35" s="554" t="str">
        <f ca="1">IF(A34="","",IF(ListAndConversion!AB37&lt;&gt;"-",ListAndConversion!W37,IF(ListAndConversion!AN37&lt;&gt;"-",ListAndConversion!AJ37,IF(INDIRECT("ListAndConversion!AF"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5" s="555" t="str">
        <f ca="1">IF(B34="","",IF(ListAndConversion!AB37&lt;&gt;"-",ListAndConversion!Y37,IF(ListAndConversion!AN37&lt;&gt;"-",ListAndConversion!AK37,IF(INDIRECT("ListAndConversion!AF"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5" s="556" t="str">
        <f ca="1">IF(C34="","",IF(ListAndConversion!AB37&lt;&gt;"-",ListAndConversion!AE37,IF(ListAndConversion!AN37&lt;&gt;"-",ListAndConversion!AQ37,IF(INDIRECT("ListAndConversion!AF"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6" spans="1:3" x14ac:dyDescent="0.65">
      <c r="A36" s="554" t="str">
        <f ca="1">IF(A35="","",IF(ListAndConversion!AB38&lt;&gt;"-",ListAndConversion!W38,IF(ListAndConversion!AN38&lt;&gt;"-",ListAndConversion!AJ38,IF(INDIRECT("ListAndConversion!AF"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6" s="555" t="str">
        <f ca="1">IF(B35="","",IF(ListAndConversion!AB38&lt;&gt;"-",ListAndConversion!Y38,IF(ListAndConversion!AN38&lt;&gt;"-",ListAndConversion!AK38,IF(INDIRECT("ListAndConversion!AF"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6" s="556" t="str">
        <f ca="1">IF(C35="","",IF(ListAndConversion!AB38&lt;&gt;"-",ListAndConversion!AE38,IF(ListAndConversion!AN38&lt;&gt;"-",ListAndConversion!AQ38,IF(INDIRECT("ListAndConversion!AF"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7" spans="1:3" x14ac:dyDescent="0.65">
      <c r="A37" s="554" t="str">
        <f ca="1">IF(A36="","",IF(ListAndConversion!AB39&lt;&gt;"-",ListAndConversion!W39,IF(ListAndConversion!AN39&lt;&gt;"-",ListAndConversion!AJ39,IF(INDIRECT("ListAndConversion!AF"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7" s="555" t="str">
        <f ca="1">IF(B36="","",IF(ListAndConversion!AB39&lt;&gt;"-",ListAndConversion!Y39,IF(ListAndConversion!AN39&lt;&gt;"-",ListAndConversion!AK39,IF(INDIRECT("ListAndConversion!AF"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7" s="556" t="str">
        <f ca="1">IF(C36="","",IF(ListAndConversion!AB39&lt;&gt;"-",ListAndConversion!AE39,IF(ListAndConversion!AN39&lt;&gt;"-",ListAndConversion!AQ39,IF(INDIRECT("ListAndConversion!AF"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8" spans="1:3" x14ac:dyDescent="0.65">
      <c r="A38" s="554" t="str">
        <f ca="1">IF(A37="","",IF(ListAndConversion!AB40&lt;&gt;"-",ListAndConversion!W40,IF(ListAndConversion!AN40&lt;&gt;"-",ListAndConversion!AJ40,IF(INDIRECT("ListAndConversion!AF"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8" s="555" t="str">
        <f ca="1">IF(B37="","",IF(ListAndConversion!AB40&lt;&gt;"-",ListAndConversion!Y40,IF(ListAndConversion!AN40&lt;&gt;"-",ListAndConversion!AK40,IF(INDIRECT("ListAndConversion!AF"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8" s="556" t="str">
        <f ca="1">IF(C37="","",IF(ListAndConversion!AB40&lt;&gt;"-",ListAndConversion!AE40,IF(ListAndConversion!AN40&lt;&gt;"-",ListAndConversion!AQ40,IF(INDIRECT("ListAndConversion!AF"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9" spans="1:3" x14ac:dyDescent="0.65">
      <c r="A39" s="554" t="str">
        <f ca="1">IF(A38="","",IF(ListAndConversion!AB41&lt;&gt;"-",ListAndConversion!W41,IF(ListAndConversion!AN41&lt;&gt;"-",ListAndConversion!AJ41,IF(INDIRECT("ListAndConversion!AF"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9" s="555" t="str">
        <f ca="1">IF(B38="","",IF(ListAndConversion!AB41&lt;&gt;"-",ListAndConversion!Y41,IF(ListAndConversion!AN41&lt;&gt;"-",ListAndConversion!AK41,IF(INDIRECT("ListAndConversion!AF"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9" s="556" t="str">
        <f ca="1">IF(C38="","",IF(ListAndConversion!AB41&lt;&gt;"-",ListAndConversion!AE41,IF(ListAndConversion!AN41&lt;&gt;"-",ListAndConversion!AQ41,IF(INDIRECT("ListAndConversion!AF"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0" spans="1:3" x14ac:dyDescent="0.65">
      <c r="A40" s="554" t="str">
        <f ca="1">IF(A39="","",IF(ListAndConversion!AB42&lt;&gt;"-",ListAndConversion!W42,IF(ListAndConversion!AN42&lt;&gt;"-",ListAndConversion!AJ42,IF(INDIRECT("ListAndConversion!AF"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0" s="555" t="str">
        <f ca="1">IF(B39="","",IF(ListAndConversion!AB42&lt;&gt;"-",ListAndConversion!Y42,IF(ListAndConversion!AN42&lt;&gt;"-",ListAndConversion!AK42,IF(INDIRECT("ListAndConversion!AF"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0" s="556" t="str">
        <f ca="1">IF(C39="","",IF(ListAndConversion!AB42&lt;&gt;"-",ListAndConversion!AE42,IF(ListAndConversion!AN42&lt;&gt;"-",ListAndConversion!AQ42,IF(INDIRECT("ListAndConversion!AF"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1" spans="1:3" x14ac:dyDescent="0.65">
      <c r="A41" s="554" t="str">
        <f ca="1">IF(A40="","",IF(ListAndConversion!AB43&lt;&gt;"-",ListAndConversion!W43,IF(ListAndConversion!AN43&lt;&gt;"-",ListAndConversion!AJ43,IF(INDIRECT("ListAndConversion!AF"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1" s="555" t="str">
        <f ca="1">IF(B40="","",IF(ListAndConversion!AB43&lt;&gt;"-",ListAndConversion!Y43,IF(ListAndConversion!AN43&lt;&gt;"-",ListAndConversion!AK43,IF(INDIRECT("ListAndConversion!AF"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1" s="556" t="str">
        <f ca="1">IF(C40="","",IF(ListAndConversion!AB43&lt;&gt;"-",ListAndConversion!AE43,IF(ListAndConversion!AN43&lt;&gt;"-",ListAndConversion!AQ43,IF(INDIRECT("ListAndConversion!AF"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2" spans="1:3" x14ac:dyDescent="0.65">
      <c r="A42" s="554" t="str">
        <f ca="1">IF(A41="","",IF(ListAndConversion!AB44&lt;&gt;"-",ListAndConversion!W44,IF(ListAndConversion!AN44&lt;&gt;"-",ListAndConversion!AJ44,IF(INDIRECT("ListAndConversion!AF"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2" s="555" t="str">
        <f ca="1">IF(B41="","",IF(ListAndConversion!AB44&lt;&gt;"-",ListAndConversion!Y44,IF(ListAndConversion!AN44&lt;&gt;"-",ListAndConversion!AK44,IF(INDIRECT("ListAndConversion!AF"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2" s="556" t="str">
        <f ca="1">IF(C41="","",IF(ListAndConversion!AB44&lt;&gt;"-",ListAndConversion!AE44,IF(ListAndConversion!AN44&lt;&gt;"-",ListAndConversion!AQ44,IF(INDIRECT("ListAndConversion!AF"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3" spans="1:3" x14ac:dyDescent="0.65">
      <c r="A43" s="554" t="str">
        <f ca="1">IF(A42="","",IF(ListAndConversion!AB45&lt;&gt;"-",ListAndConversion!W45,IF(ListAndConversion!AN45&lt;&gt;"-",ListAndConversion!AJ45,IF(INDIRECT("ListAndConversion!AF"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3" s="555" t="str">
        <f ca="1">IF(B42="","",IF(ListAndConversion!AB45&lt;&gt;"-",ListAndConversion!Y45,IF(ListAndConversion!AN45&lt;&gt;"-",ListAndConversion!AK45,IF(INDIRECT("ListAndConversion!AF"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3" s="556" t="str">
        <f ca="1">IF(C42="","",IF(ListAndConversion!AB45&lt;&gt;"-",ListAndConversion!AE45,IF(ListAndConversion!AN45&lt;&gt;"-",ListAndConversion!AQ45,IF(INDIRECT("ListAndConversion!AF"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4" spans="1:3" x14ac:dyDescent="0.65">
      <c r="A44" s="554" t="str">
        <f ca="1">IF(A43="","",IF(ListAndConversion!AB46&lt;&gt;"-",ListAndConversion!W46,IF(ListAndConversion!AN46&lt;&gt;"-",ListAndConversion!AJ46,IF(INDIRECT("ListAndConversion!AF"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4" s="555" t="str">
        <f ca="1">IF(B43="","",IF(ListAndConversion!AB46&lt;&gt;"-",ListAndConversion!Y46,IF(ListAndConversion!AN46&lt;&gt;"-",ListAndConversion!AK46,IF(INDIRECT("ListAndConversion!AF"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4" s="556" t="str">
        <f ca="1">IF(C43="","",IF(ListAndConversion!AB46&lt;&gt;"-",ListAndConversion!AE46,IF(ListAndConversion!AN46&lt;&gt;"-",ListAndConversion!AQ46,IF(INDIRECT("ListAndConversion!AF"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5" spans="1:3" x14ac:dyDescent="0.65">
      <c r="A45" s="554" t="str">
        <f ca="1">IF(A44="","",IF(ListAndConversion!AB47&lt;&gt;"-",ListAndConversion!W47,IF(ListAndConversion!AN47&lt;&gt;"-",ListAndConversion!AJ47,IF(INDIRECT("ListAndConversion!AF"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5" s="555" t="str">
        <f ca="1">IF(B44="","",IF(ListAndConversion!AB47&lt;&gt;"-",ListAndConversion!Y47,IF(ListAndConversion!AN47&lt;&gt;"-",ListAndConversion!AK47,IF(INDIRECT("ListAndConversion!AF"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5" s="556" t="str">
        <f ca="1">IF(C44="","",IF(ListAndConversion!AB47&lt;&gt;"-",ListAndConversion!AE47,IF(ListAndConversion!AN47&lt;&gt;"-",ListAndConversion!AQ47,IF(INDIRECT("ListAndConversion!AF"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6" spans="1:3" x14ac:dyDescent="0.65">
      <c r="A46" s="554" t="str">
        <f ca="1">IF(A45="","",IF(ListAndConversion!AB48&lt;&gt;"-",ListAndConversion!W48,IF(ListAndConversion!AN48&lt;&gt;"-",ListAndConversion!AJ48,IF(INDIRECT("ListAndConversion!AF"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6" s="555" t="str">
        <f ca="1">IF(B45="","",IF(ListAndConversion!AB48&lt;&gt;"-",ListAndConversion!Y48,IF(ListAndConversion!AN48&lt;&gt;"-",ListAndConversion!AK48,IF(INDIRECT("ListAndConversion!AF"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6" s="556" t="str">
        <f ca="1">IF(C45="","",IF(ListAndConversion!AB48&lt;&gt;"-",ListAndConversion!AE48,IF(ListAndConversion!AN48&lt;&gt;"-",ListAndConversion!AQ48,IF(INDIRECT("ListAndConversion!AF"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7" spans="1:3" x14ac:dyDescent="0.65">
      <c r="A47" s="554" t="str">
        <f ca="1">IF(A46="","",IF(ListAndConversion!AB49&lt;&gt;"-",ListAndConversion!W49,IF(ListAndConversion!AN49&lt;&gt;"-",ListAndConversion!AJ49,IF(INDIRECT("ListAndConversion!AF"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7" s="555" t="str">
        <f ca="1">IF(B46="","",IF(ListAndConversion!AB49&lt;&gt;"-",ListAndConversion!Y49,IF(ListAndConversion!AN49&lt;&gt;"-",ListAndConversion!AK49,IF(INDIRECT("ListAndConversion!AF"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7" s="556" t="str">
        <f ca="1">IF(C46="","",IF(ListAndConversion!AB49&lt;&gt;"-",ListAndConversion!AE49,IF(ListAndConversion!AN49&lt;&gt;"-",ListAndConversion!AQ49,IF(INDIRECT("ListAndConversion!AF"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8" spans="1:3" x14ac:dyDescent="0.65">
      <c r="A48" s="554" t="str">
        <f ca="1">IF(A47="","",IF(ListAndConversion!AB50&lt;&gt;"-",ListAndConversion!W50,IF(ListAndConversion!AN50&lt;&gt;"-",ListAndConversion!AJ50,IF(INDIRECT("ListAndConversion!AF"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8" s="555" t="str">
        <f ca="1">IF(B47="","",IF(ListAndConversion!AB50&lt;&gt;"-",ListAndConversion!Y50,IF(ListAndConversion!AN50&lt;&gt;"-",ListAndConversion!AK50,IF(INDIRECT("ListAndConversion!AF"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8" s="556" t="str">
        <f ca="1">IF(C47="","",IF(ListAndConversion!AB50&lt;&gt;"-",ListAndConversion!AE50,IF(ListAndConversion!AN50&lt;&gt;"-",ListAndConversion!AQ50,IF(INDIRECT("ListAndConversion!AF"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9" spans="1:3" x14ac:dyDescent="0.65">
      <c r="A49" s="554" t="str">
        <f ca="1">IF(A48="","",IF(ListAndConversion!AB51&lt;&gt;"-",ListAndConversion!W51,IF(ListAndConversion!AN51&lt;&gt;"-",ListAndConversion!AJ51,IF(INDIRECT("ListAndConversion!AF"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9" s="555" t="str">
        <f ca="1">IF(B48="","",IF(ListAndConversion!AB51&lt;&gt;"-",ListAndConversion!Y51,IF(ListAndConversion!AN51&lt;&gt;"-",ListAndConversion!AK51,IF(INDIRECT("ListAndConversion!AF"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9" s="556" t="str">
        <f ca="1">IF(C48="","",IF(ListAndConversion!AB51&lt;&gt;"-",ListAndConversion!AE51,IF(ListAndConversion!AN51&lt;&gt;"-",ListAndConversion!AQ51,IF(INDIRECT("ListAndConversion!AF"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50" spans="1:3" x14ac:dyDescent="0.65">
      <c r="A50" s="554" t="str">
        <f ca="1">IF(A49="","",IF(ListAndConversion!AB52&lt;&gt;"-",ListAndConversion!W52,IF(ListAndConversion!AN52&lt;&gt;"-",ListAndConversion!AJ52,IF(INDIRECT("ListAndConversion!AF"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50" s="555" t="str">
        <f ca="1">IF(B49="","",IF(ListAndConversion!AB52&lt;&gt;"-",ListAndConversion!Y52,IF(ListAndConversion!AN52&lt;&gt;"-",ListAndConversion!AK52,IF(INDIRECT("ListAndConversion!AF"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50" s="556" t="str">
        <f ca="1">IF(C49="","",IF(ListAndConversion!AB52&lt;&gt;"-",ListAndConversion!AE52,IF(ListAndConversion!AN52&lt;&gt;"-",ListAndConversion!AQ52,IF(INDIRECT("ListAndConversion!AF"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51" spans="1:3" x14ac:dyDescent="0.65">
      <c r="A51" s="554" t="str">
        <f ca="1">IF(A50="","",IF(ListAndConversion!AB53&lt;&gt;"-",ListAndConversion!W53,IF(ListAndConversion!AN53&lt;&gt;"-",ListAndConversion!AJ53,IF(INDIRECT("ListAndConversion!AF"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51" s="555" t="str">
        <f ca="1">IF(B50="","",IF(ListAndConversion!AB53&lt;&gt;"-",ListAndConversion!Y53,IF(ListAndConversion!AN53&lt;&gt;"-",ListAndConversion!AK53,IF(INDIRECT("ListAndConversion!AF"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51" s="556" t="str">
        <f ca="1">IF(C50="","",IF(ListAndConversion!AB53&lt;&gt;"-",ListAndConversion!AE53,IF(ListAndConversion!AN53&lt;&gt;"-",ListAndConversion!AQ53,IF(INDIRECT("ListAndConversion!AF"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52" spans="1:3" x14ac:dyDescent="0.65">
      <c r="A52" s="554" t="str">
        <f ca="1">IF(A51="","",IF(ListAndConversion!AB54&lt;&gt;"-",ListAndConversion!W54,IF(ListAndConversion!AN54&lt;&gt;"-",ListAndConversion!AJ54,IF(INDIRECT("ListAndConversion!AF"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52" s="555" t="str">
        <f ca="1">IF(B51="","",IF(ListAndConversion!AB54&lt;&gt;"-",ListAndConversion!Y54,IF(ListAndConversion!AN54&lt;&gt;"-",ListAndConversion!AK54,IF(INDIRECT("ListAndConversion!AF"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52" s="556" t="str">
        <f ca="1">IF(C51="","",IF(ListAndConversion!AB54&lt;&gt;"-",ListAndConversion!AE54,IF(ListAndConversion!AN54&lt;&gt;"-",ListAndConversion!AQ54,IF(INDIRECT("ListAndConversion!AF"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53" spans="1:3" x14ac:dyDescent="0.65">
      <c r="A53" s="554" t="str">
        <f ca="1">IF(A52="","",IF(ListAndConversion!AB55&lt;&gt;"-",ListAndConversion!W55,IF(ListAndConversion!AN55&lt;&gt;"-",ListAndConversion!AJ55,IF(INDIRECT("ListAndConversion!AF"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53" s="555" t="str">
        <f ca="1">IF(B52="","",IF(ListAndConversion!AB55&lt;&gt;"-",ListAndConversion!Y55,IF(ListAndConversion!AN55&lt;&gt;"-",ListAndConversion!AK55,IF(INDIRECT("ListAndConversion!AF"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53" s="556" t="str">
        <f ca="1">IF(C52="","",IF(ListAndConversion!AB55&lt;&gt;"-",ListAndConversion!AE55,IF(ListAndConversion!AN55&lt;&gt;"-",ListAndConversion!AQ55,IF(INDIRECT("ListAndConversion!AF"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54" spans="1:3" x14ac:dyDescent="0.65">
      <c r="A54" s="554" t="str">
        <f ca="1">IF(A53="","",IF(ListAndConversion!AB56&lt;&gt;"-",ListAndConversion!W56,IF(ListAndConversion!AN56&lt;&gt;"-",ListAndConversion!AJ56,IF(INDIRECT("ListAndConversion!AF"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54" s="555" t="str">
        <f ca="1">IF(B53="","",IF(ListAndConversion!AB56&lt;&gt;"-",ListAndConversion!Y56,IF(ListAndConversion!AN56&lt;&gt;"-",ListAndConversion!AK56,IF(INDIRECT("ListAndConversion!AF"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54" s="556" t="str">
        <f ca="1">IF(C53="","",IF(ListAndConversion!AB56&lt;&gt;"-",ListAndConversion!AE56,IF(ListAndConversion!AN56&lt;&gt;"-",ListAndConversion!AQ56,IF(INDIRECT("ListAndConversion!AF"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55" spans="1:3" x14ac:dyDescent="0.65">
      <c r="A55" s="554" t="str">
        <f ca="1">IF(A54="","",IF(ListAndConversion!AB57&lt;&gt;"-",ListAndConversion!W57,IF(ListAndConversion!AN57&lt;&gt;"-",ListAndConversion!AJ57,IF(INDIRECT("ListAndConversion!AF"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55" s="555" t="str">
        <f ca="1">IF(B54="","",IF(ListAndConversion!AB57&lt;&gt;"-",ListAndConversion!Y57,IF(ListAndConversion!AN57&lt;&gt;"-",ListAndConversion!AK57,IF(INDIRECT("ListAndConversion!AF"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55" s="556" t="str">
        <f ca="1">IF(C54="","",IF(ListAndConversion!AB57&lt;&gt;"-",ListAndConversion!AE57,IF(ListAndConversion!AN57&lt;&gt;"-",ListAndConversion!AQ57,IF(INDIRECT("ListAndConversion!AF"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56" spans="1:3" x14ac:dyDescent="0.65">
      <c r="A56" s="554" t="str">
        <f ca="1">IF(A55="","",IF(ListAndConversion!AB58&lt;&gt;"-",ListAndConversion!W58,IF(ListAndConversion!AN58&lt;&gt;"-",ListAndConversion!AJ58,IF(INDIRECT("ListAndConversion!AF"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56" s="555" t="str">
        <f ca="1">IF(B55="","",IF(ListAndConversion!AB58&lt;&gt;"-",ListAndConversion!Y58,IF(ListAndConversion!AN58&lt;&gt;"-",ListAndConversion!AK58,IF(INDIRECT("ListAndConversion!AF"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56" s="556" t="str">
        <f ca="1">IF(C55="","",IF(ListAndConversion!AB58&lt;&gt;"-",ListAndConversion!AE58,IF(ListAndConversion!AN58&lt;&gt;"-",ListAndConversion!AQ58,IF(INDIRECT("ListAndConversion!AF"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57" spans="1:3" x14ac:dyDescent="0.65">
      <c r="A57" s="554" t="str">
        <f ca="1">IF(A56="","",IF(ListAndConversion!AB59&lt;&gt;"-",ListAndConversion!W59,IF(ListAndConversion!AN59&lt;&gt;"-",ListAndConversion!AJ59,IF(INDIRECT("ListAndConversion!AF"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57" s="555" t="str">
        <f ca="1">IF(B56="","",IF(ListAndConversion!AB59&lt;&gt;"-",ListAndConversion!Y59,IF(ListAndConversion!AN59&lt;&gt;"-",ListAndConversion!AK59,IF(INDIRECT("ListAndConversion!AF"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57" s="556" t="str">
        <f ca="1">IF(C56="","",IF(ListAndConversion!AB59&lt;&gt;"-",ListAndConversion!AE59,IF(ListAndConversion!AN59&lt;&gt;"-",ListAndConversion!AQ59,IF(INDIRECT("ListAndConversion!AF"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58" spans="1:3" x14ac:dyDescent="0.65">
      <c r="A58" s="554" t="str">
        <f ca="1">IF(A57="","",IF(ListAndConversion!AB60&lt;&gt;"-",ListAndConversion!W60,IF(ListAndConversion!AN60&lt;&gt;"-",ListAndConversion!AJ60,IF(INDIRECT("ListAndConversion!AF"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58" s="555" t="str">
        <f ca="1">IF(B57="","",IF(ListAndConversion!AB60&lt;&gt;"-",ListAndConversion!Y60,IF(ListAndConversion!AN60&lt;&gt;"-",ListAndConversion!AK60,IF(INDIRECT("ListAndConversion!AF"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58" s="556" t="str">
        <f ca="1">IF(C57="","",IF(ListAndConversion!AB60&lt;&gt;"-",ListAndConversion!AE60,IF(ListAndConversion!AN60&lt;&gt;"-",ListAndConversion!AQ60,IF(INDIRECT("ListAndConversion!AF"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59" spans="1:3" x14ac:dyDescent="0.65">
      <c r="A59" s="554" t="str">
        <f ca="1">IF(A58="","",IF(ListAndConversion!AB61&lt;&gt;"-",ListAndConversion!W61,IF(ListAndConversion!AN61&lt;&gt;"-",ListAndConversion!AJ61,IF(INDIRECT("ListAndConversion!AF"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59" s="555" t="str">
        <f ca="1">IF(B58="","",IF(ListAndConversion!AB61&lt;&gt;"-",ListAndConversion!Y61,IF(ListAndConversion!AN61&lt;&gt;"-",ListAndConversion!AK61,IF(INDIRECT("ListAndConversion!AF"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59" s="556" t="str">
        <f ca="1">IF(C58="","",IF(ListAndConversion!AB61&lt;&gt;"-",ListAndConversion!AE61,IF(ListAndConversion!AN61&lt;&gt;"-",ListAndConversion!AQ61,IF(INDIRECT("ListAndConversion!AF"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60" spans="1:3" x14ac:dyDescent="0.65">
      <c r="A60" s="554" t="str">
        <f ca="1">IF(A59="","",IF(ListAndConversion!AB62&lt;&gt;"-",ListAndConversion!W62,IF(ListAndConversion!AN62&lt;&gt;"-",ListAndConversion!AJ62,IF(INDIRECT("ListAndConversion!AF"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60" s="555" t="str">
        <f ca="1">IF(B59="","",IF(ListAndConversion!AB62&lt;&gt;"-",ListAndConversion!Y62,IF(ListAndConversion!AN62&lt;&gt;"-",ListAndConversion!AK62,IF(INDIRECT("ListAndConversion!AF"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60" s="556" t="str">
        <f ca="1">IF(C59="","",IF(ListAndConversion!AB62&lt;&gt;"-",ListAndConversion!AE62,IF(ListAndConversion!AN62&lt;&gt;"-",ListAndConversion!AQ62,IF(INDIRECT("ListAndConversion!AF"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61" spans="1:3" x14ac:dyDescent="0.65">
      <c r="A61" s="554" t="str">
        <f ca="1">IF(A60="","",IF(ListAndConversion!AB63&lt;&gt;"-",ListAndConversion!W63,IF(ListAndConversion!AN63&lt;&gt;"-",ListAndConversion!AJ63,IF(INDIRECT("ListAndConversion!AF"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61" s="555" t="str">
        <f ca="1">IF(B60="","",IF(ListAndConversion!AB63&lt;&gt;"-",ListAndConversion!Y63,IF(ListAndConversion!AN63&lt;&gt;"-",ListAndConversion!AK63,IF(INDIRECT("ListAndConversion!AF"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61" s="556" t="str">
        <f ca="1">IF(C60="","",IF(ListAndConversion!AB63&lt;&gt;"-",ListAndConversion!AE63,IF(ListAndConversion!AN63&lt;&gt;"-",ListAndConversion!AQ63,IF(INDIRECT("ListAndConversion!AF"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62" spans="1:3" x14ac:dyDescent="0.65">
      <c r="A62" s="554" t="str">
        <f ca="1">IF(A61="","",IF(ListAndConversion!AB64&lt;&gt;"-",ListAndConversion!W64,IF(ListAndConversion!AN64&lt;&gt;"-",ListAndConversion!AJ64,IF(INDIRECT("ListAndConversion!AF"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62" s="555" t="str">
        <f ca="1">IF(B61="","",IF(ListAndConversion!AB64&lt;&gt;"-",ListAndConversion!Y64,IF(ListAndConversion!AN64&lt;&gt;"-",ListAndConversion!AK64,IF(INDIRECT("ListAndConversion!AF"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62" s="556" t="str">
        <f ca="1">IF(C61="","",IF(ListAndConversion!AB64&lt;&gt;"-",ListAndConversion!AE64,IF(ListAndConversion!AN64&lt;&gt;"-",ListAndConversion!AQ64,IF(INDIRECT("ListAndConversion!AF"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63" spans="1:3" x14ac:dyDescent="0.65">
      <c r="A63" s="554" t="str">
        <f ca="1">IF(A62="","",IF(ListAndConversion!AB65&lt;&gt;"-",ListAndConversion!W65,IF(ListAndConversion!AN65&lt;&gt;"-",ListAndConversion!AJ65,IF(INDIRECT("ListAndConversion!AF"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63" s="555" t="str">
        <f ca="1">IF(B62="","",IF(ListAndConversion!AB65&lt;&gt;"-",ListAndConversion!Y65,IF(ListAndConversion!AN65&lt;&gt;"-",ListAndConversion!AK65,IF(INDIRECT("ListAndConversion!AF"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63" s="556" t="str">
        <f ca="1">IF(C62="","",IF(ListAndConversion!AB65&lt;&gt;"-",ListAndConversion!AE65,IF(ListAndConversion!AN65&lt;&gt;"-",ListAndConversion!AQ65,IF(INDIRECT("ListAndConversion!AF"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64" spans="1:3" x14ac:dyDescent="0.65">
      <c r="A64" s="554" t="str">
        <f ca="1">IF(A63="","",IF(ListAndConversion!AB66&lt;&gt;"-",ListAndConversion!W66,IF(ListAndConversion!AN66&lt;&gt;"-",ListAndConversion!AJ66,IF(INDIRECT("ListAndConversion!AF"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64" s="555" t="str">
        <f ca="1">IF(B63="","",IF(ListAndConversion!AB66&lt;&gt;"-",ListAndConversion!Y66,IF(ListAndConversion!AN66&lt;&gt;"-",ListAndConversion!AK66,IF(INDIRECT("ListAndConversion!AF"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64" s="556" t="str">
        <f ca="1">IF(C63="","",IF(ListAndConversion!AB66&lt;&gt;"-",ListAndConversion!AE66,IF(ListAndConversion!AN66&lt;&gt;"-",ListAndConversion!AQ66,IF(INDIRECT("ListAndConversion!AF"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65" spans="1:3" x14ac:dyDescent="0.65">
      <c r="A65" s="554" t="str">
        <f ca="1">IF(A64="","",IF(ListAndConversion!AB67&lt;&gt;"-",ListAndConversion!W67,IF(ListAndConversion!AN67&lt;&gt;"-",ListAndConversion!AJ67,IF(INDIRECT("ListAndConversion!AF"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65" s="555" t="str">
        <f ca="1">IF(B64="","",IF(ListAndConversion!AB67&lt;&gt;"-",ListAndConversion!Y67,IF(ListAndConversion!AN67&lt;&gt;"-",ListAndConversion!AK67,IF(INDIRECT("ListAndConversion!AF"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65" s="556" t="str">
        <f ca="1">IF(C64="","",IF(ListAndConversion!AB67&lt;&gt;"-",ListAndConversion!AE67,IF(ListAndConversion!AN67&lt;&gt;"-",ListAndConversion!AQ67,IF(INDIRECT("ListAndConversion!AF"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66" spans="1:3" x14ac:dyDescent="0.65">
      <c r="A66" s="554" t="str">
        <f ca="1">IF(A65="","",IF(ListAndConversion!AB68&lt;&gt;"-",ListAndConversion!W68,IF(ListAndConversion!AN68&lt;&gt;"-",ListAndConversion!AJ68,IF(INDIRECT("ListAndConversion!AF"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66" s="555" t="str">
        <f ca="1">IF(B65="","",IF(ListAndConversion!AB68&lt;&gt;"-",ListAndConversion!Y68,IF(ListAndConversion!AN68&lt;&gt;"-",ListAndConversion!AK68,IF(INDIRECT("ListAndConversion!AF"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66" s="556" t="str">
        <f ca="1">IF(C65="","",IF(ListAndConversion!AB68&lt;&gt;"-",ListAndConversion!AE68,IF(ListAndConversion!AN68&lt;&gt;"-",ListAndConversion!AQ68,IF(INDIRECT("ListAndConversion!AF"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67" spans="1:3" x14ac:dyDescent="0.65">
      <c r="A67" s="554" t="str">
        <f ca="1">IF(A66="","",IF(ListAndConversion!AB69&lt;&gt;"-",ListAndConversion!W69,IF(ListAndConversion!AN69&lt;&gt;"-",ListAndConversion!AJ69,IF(INDIRECT("ListAndConversion!AF"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67" s="555" t="str">
        <f ca="1">IF(B66="","",IF(ListAndConversion!AB69&lt;&gt;"-",ListAndConversion!Y69,IF(ListAndConversion!AN69&lt;&gt;"-",ListAndConversion!AK69,IF(INDIRECT("ListAndConversion!AF"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67" s="556" t="str">
        <f ca="1">IF(C66="","",IF(ListAndConversion!AB69&lt;&gt;"-",ListAndConversion!AE69,IF(ListAndConversion!AN69&lt;&gt;"-",ListAndConversion!AQ69,IF(INDIRECT("ListAndConversion!AF"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68" spans="1:3" x14ac:dyDescent="0.65">
      <c r="A68" s="554" t="str">
        <f ca="1">IF(A67="","",IF(ListAndConversion!AB70&lt;&gt;"-",ListAndConversion!W70,IF(ListAndConversion!AN70&lt;&gt;"-",ListAndConversion!AJ70,IF(INDIRECT("ListAndConversion!AF"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68" s="555" t="str">
        <f ca="1">IF(B67="","",IF(ListAndConversion!AB70&lt;&gt;"-",ListAndConversion!Y70,IF(ListAndConversion!AN70&lt;&gt;"-",ListAndConversion!AK70,IF(INDIRECT("ListAndConversion!AF"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68" s="556" t="str">
        <f ca="1">IF(C67="","",IF(ListAndConversion!AB70&lt;&gt;"-",ListAndConversion!AE70,IF(ListAndConversion!AN70&lt;&gt;"-",ListAndConversion!AQ70,IF(INDIRECT("ListAndConversion!AF"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69" spans="1:3" x14ac:dyDescent="0.65">
      <c r="A69" s="554" t="str">
        <f ca="1">IF(A68="","",IF(ListAndConversion!AB71&lt;&gt;"-",ListAndConversion!W71,IF(ListAndConversion!AN71&lt;&gt;"-",ListAndConversion!AJ71,IF(INDIRECT("ListAndConversion!AF"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69" s="555" t="str">
        <f ca="1">IF(B68="","",IF(ListAndConversion!AB71&lt;&gt;"-",ListAndConversion!Y71,IF(ListAndConversion!AN71&lt;&gt;"-",ListAndConversion!AK71,IF(INDIRECT("ListAndConversion!AF"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69" s="556" t="str">
        <f ca="1">IF(C68="","",IF(ListAndConversion!AB71&lt;&gt;"-",ListAndConversion!AE71,IF(ListAndConversion!AN71&lt;&gt;"-",ListAndConversion!AQ71,IF(INDIRECT("ListAndConversion!AF"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70" spans="1:3" x14ac:dyDescent="0.65">
      <c r="A70" s="554" t="str">
        <f ca="1">IF(A69="","",IF(ListAndConversion!AB72&lt;&gt;"-",ListAndConversion!W72,IF(ListAndConversion!AN72&lt;&gt;"-",ListAndConversion!AJ72,IF(INDIRECT("ListAndConversion!AF"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70" s="555" t="str">
        <f ca="1">IF(B69="","",IF(ListAndConversion!AB72&lt;&gt;"-",ListAndConversion!Y72,IF(ListAndConversion!AN72&lt;&gt;"-",ListAndConversion!AK72,IF(INDIRECT("ListAndConversion!AF"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70" s="556" t="str">
        <f ca="1">IF(C69="","",IF(ListAndConversion!AB72&lt;&gt;"-",ListAndConversion!AE72,IF(ListAndConversion!AN72&lt;&gt;"-",ListAndConversion!AQ72,IF(INDIRECT("ListAndConversion!AF"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71" spans="1:3" x14ac:dyDescent="0.65">
      <c r="A71" s="554" t="str">
        <f ca="1">IF(A70="","",IF(ListAndConversion!AB73&lt;&gt;"-",ListAndConversion!W73,IF(ListAndConversion!AN73&lt;&gt;"-",ListAndConversion!AJ73,IF(INDIRECT("ListAndConversion!AF"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71" s="555" t="str">
        <f ca="1">IF(B70="","",IF(ListAndConversion!AB73&lt;&gt;"-",ListAndConversion!Y73,IF(ListAndConversion!AN73&lt;&gt;"-",ListAndConversion!AK73,IF(INDIRECT("ListAndConversion!AF"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71" s="556" t="str">
        <f ca="1">IF(C70="","",IF(ListAndConversion!AB73&lt;&gt;"-",ListAndConversion!AE73,IF(ListAndConversion!AN73&lt;&gt;"-",ListAndConversion!AQ73,IF(INDIRECT("ListAndConversion!AF"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72" spans="1:3" x14ac:dyDescent="0.65">
      <c r="A72" s="554" t="str">
        <f ca="1">IF(A71="","",IF(ListAndConversion!AB74&lt;&gt;"-",ListAndConversion!W74,IF(ListAndConversion!AN74&lt;&gt;"-",ListAndConversion!AJ74,IF(INDIRECT("ListAndConversion!AF"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72" s="555" t="str">
        <f ca="1">IF(B71="","",IF(ListAndConversion!AB74&lt;&gt;"-",ListAndConversion!Y74,IF(ListAndConversion!AN74&lt;&gt;"-",ListAndConversion!AK74,IF(INDIRECT("ListAndConversion!AF"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72" s="556" t="str">
        <f ca="1">IF(C71="","",IF(ListAndConversion!AB74&lt;&gt;"-",ListAndConversion!AE74,IF(ListAndConversion!AN74&lt;&gt;"-",ListAndConversion!AQ74,IF(INDIRECT("ListAndConversion!AF"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73" spans="1:3" x14ac:dyDescent="0.65">
      <c r="A73" s="554" t="str">
        <f ca="1">IF(A72="","",IF(ListAndConversion!AB75&lt;&gt;"-",ListAndConversion!W75,IF(ListAndConversion!AN75&lt;&gt;"-",ListAndConversion!AJ75,IF(INDIRECT("ListAndConversion!AF"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73" s="555" t="str">
        <f ca="1">IF(B72="","",IF(ListAndConversion!AB75&lt;&gt;"-",ListAndConversion!Y75,IF(ListAndConversion!AN75&lt;&gt;"-",ListAndConversion!AK75,IF(INDIRECT("ListAndConversion!AF"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73" s="556" t="str">
        <f ca="1">IF(C72="","",IF(ListAndConversion!AB75&lt;&gt;"-",ListAndConversion!AE75,IF(ListAndConversion!AN75&lt;&gt;"-",ListAndConversion!AQ75,IF(INDIRECT("ListAndConversion!AF"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74" spans="1:3" x14ac:dyDescent="0.65">
      <c r="A74" s="554" t="str">
        <f ca="1">IF(A73="","",IF(ListAndConversion!AB76&lt;&gt;"-",ListAndConversion!W76,IF(ListAndConversion!AN76&lt;&gt;"-",ListAndConversion!AJ76,IF(INDIRECT("ListAndConversion!AF"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74" s="555" t="str">
        <f ca="1">IF(B73="","",IF(ListAndConversion!AB76&lt;&gt;"-",ListAndConversion!Y76,IF(ListAndConversion!AN76&lt;&gt;"-",ListAndConversion!AK76,IF(INDIRECT("ListAndConversion!AF"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74" s="556" t="str">
        <f ca="1">IF(C73="","",IF(ListAndConversion!AB76&lt;&gt;"-",ListAndConversion!AE76,IF(ListAndConversion!AN76&lt;&gt;"-",ListAndConversion!AQ76,IF(INDIRECT("ListAndConversion!AF"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75" spans="1:3" x14ac:dyDescent="0.65">
      <c r="A75" s="554" t="str">
        <f ca="1">IF(A74="","",IF(ListAndConversion!AB77&lt;&gt;"-",ListAndConversion!W77,IF(ListAndConversion!AN77&lt;&gt;"-",ListAndConversion!AJ77,IF(INDIRECT("ListAndConversion!AF"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75" s="555" t="str">
        <f ca="1">IF(B74="","",IF(ListAndConversion!AB77&lt;&gt;"-",ListAndConversion!Y77,IF(ListAndConversion!AN77&lt;&gt;"-",ListAndConversion!AK77,IF(INDIRECT("ListAndConversion!AF"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75" s="556" t="str">
        <f ca="1">IF(C74="","",IF(ListAndConversion!AB77&lt;&gt;"-",ListAndConversion!AE77,IF(ListAndConversion!AN77&lt;&gt;"-",ListAndConversion!AQ77,IF(INDIRECT("ListAndConversion!AF"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76" spans="1:3" x14ac:dyDescent="0.65">
      <c r="A76" s="554" t="str">
        <f ca="1">IF(A75="","",IF(ListAndConversion!AB78&lt;&gt;"-",ListAndConversion!W78,IF(ListAndConversion!AN78&lt;&gt;"-",ListAndConversion!AJ78,IF(INDIRECT("ListAndConversion!AF"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76" s="555" t="str">
        <f ca="1">IF(B75="","",IF(ListAndConversion!AB78&lt;&gt;"-",ListAndConversion!Y78,IF(ListAndConversion!AN78&lt;&gt;"-",ListAndConversion!AK78,IF(INDIRECT("ListAndConversion!AF"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76" s="556" t="str">
        <f ca="1">IF(C75="","",IF(ListAndConversion!AB78&lt;&gt;"-",ListAndConversion!AE78,IF(ListAndConversion!AN78&lt;&gt;"-",ListAndConversion!AQ78,IF(INDIRECT("ListAndConversion!AF"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77" spans="1:3" x14ac:dyDescent="0.65">
      <c r="A77" s="554" t="str">
        <f ca="1">IF(A76="","",IF(ListAndConversion!AB79&lt;&gt;"-",ListAndConversion!W79,IF(ListAndConversion!AN79&lt;&gt;"-",ListAndConversion!AJ79,IF(INDIRECT("ListAndConversion!AF"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77" s="555" t="str">
        <f ca="1">IF(B76="","",IF(ListAndConversion!AB79&lt;&gt;"-",ListAndConversion!Y79,IF(ListAndConversion!AN79&lt;&gt;"-",ListAndConversion!AK79,IF(INDIRECT("ListAndConversion!AF"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77" s="556" t="str">
        <f ca="1">IF(C76="","",IF(ListAndConversion!AB79&lt;&gt;"-",ListAndConversion!AE79,IF(ListAndConversion!AN79&lt;&gt;"-",ListAndConversion!AQ79,IF(INDIRECT("ListAndConversion!AF"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78" spans="1:3" x14ac:dyDescent="0.65">
      <c r="A78" s="554" t="str">
        <f ca="1">IF(A77="","",IF(ListAndConversion!AB80&lt;&gt;"-",ListAndConversion!W80,IF(ListAndConversion!AN80&lt;&gt;"-",ListAndConversion!AJ80,IF(INDIRECT("ListAndConversion!AF"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78" s="555" t="str">
        <f ca="1">IF(B77="","",IF(ListAndConversion!AB80&lt;&gt;"-",ListAndConversion!Y80,IF(ListAndConversion!AN80&lt;&gt;"-",ListAndConversion!AK80,IF(INDIRECT("ListAndConversion!AF"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78" s="556" t="str">
        <f ca="1">IF(C77="","",IF(ListAndConversion!AB80&lt;&gt;"-",ListAndConversion!AE80,IF(ListAndConversion!AN80&lt;&gt;"-",ListAndConversion!AQ80,IF(INDIRECT("ListAndConversion!AF"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79" spans="1:3" x14ac:dyDescent="0.65">
      <c r="A79" s="554" t="str">
        <f ca="1">IF(A78="","",IF(ListAndConversion!AB81&lt;&gt;"-",ListAndConversion!W81,IF(ListAndConversion!AN81&lt;&gt;"-",ListAndConversion!AJ81,IF(INDIRECT("ListAndConversion!AF"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79" s="555" t="str">
        <f ca="1">IF(B78="","",IF(ListAndConversion!AB81&lt;&gt;"-",ListAndConversion!Y81,IF(ListAndConversion!AN81&lt;&gt;"-",ListAndConversion!AK81,IF(INDIRECT("ListAndConversion!AF"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79" s="556" t="str">
        <f ca="1">IF(C78="","",IF(ListAndConversion!AB81&lt;&gt;"-",ListAndConversion!AE81,IF(ListAndConversion!AN81&lt;&gt;"-",ListAndConversion!AQ81,IF(INDIRECT("ListAndConversion!AF"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80" spans="1:3" x14ac:dyDescent="0.65">
      <c r="A80" s="554" t="str">
        <f ca="1">IF(A79="","",IF(ListAndConversion!AB82&lt;&gt;"-",ListAndConversion!W82,IF(ListAndConversion!AN82&lt;&gt;"-",ListAndConversion!AJ82,IF(INDIRECT("ListAndConversion!AF"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80" s="555" t="str">
        <f ca="1">IF(B79="","",IF(ListAndConversion!AB82&lt;&gt;"-",ListAndConversion!Y82,IF(ListAndConversion!AN82&lt;&gt;"-",ListAndConversion!AK82,IF(INDIRECT("ListAndConversion!AF"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80" s="556" t="str">
        <f ca="1">IF(C79="","",IF(ListAndConversion!AB82&lt;&gt;"-",ListAndConversion!AE82,IF(ListAndConversion!AN82&lt;&gt;"-",ListAndConversion!AQ82,IF(INDIRECT("ListAndConversion!AF"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81" spans="1:3" x14ac:dyDescent="0.65">
      <c r="A81" s="554" t="str">
        <f ca="1">IF(A80="","",IF(ListAndConversion!AB83&lt;&gt;"-",ListAndConversion!W83,IF(ListAndConversion!AN83&lt;&gt;"-",ListAndConversion!AJ83,IF(INDIRECT("ListAndConversion!AF"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81" s="555" t="str">
        <f ca="1">IF(B80="","",IF(ListAndConversion!AB83&lt;&gt;"-",ListAndConversion!Y83,IF(ListAndConversion!AN83&lt;&gt;"-",ListAndConversion!AK83,IF(INDIRECT("ListAndConversion!AF"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81" s="556" t="str">
        <f ca="1">IF(C80="","",IF(ListAndConversion!AB83&lt;&gt;"-",ListAndConversion!AE83,IF(ListAndConversion!AN83&lt;&gt;"-",ListAndConversion!AQ83,IF(INDIRECT("ListAndConversion!AF"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82" spans="1:3" x14ac:dyDescent="0.65">
      <c r="A82" s="554" t="str">
        <f ca="1">IF(A81="","",IF(ListAndConversion!AB84&lt;&gt;"-",ListAndConversion!W84,IF(ListAndConversion!AN84&lt;&gt;"-",ListAndConversion!AJ84,IF(INDIRECT("ListAndConversion!AF"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82" s="555" t="str">
        <f ca="1">IF(B81="","",IF(ListAndConversion!AB84&lt;&gt;"-",ListAndConversion!Y84,IF(ListAndConversion!AN84&lt;&gt;"-",ListAndConversion!AK84,IF(INDIRECT("ListAndConversion!AF"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82" s="556" t="str">
        <f ca="1">IF(C81="","",IF(ListAndConversion!AB84&lt;&gt;"-",ListAndConversion!AE84,IF(ListAndConversion!AN84&lt;&gt;"-",ListAndConversion!AQ84,IF(INDIRECT("ListAndConversion!AF"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83" spans="1:3" x14ac:dyDescent="0.65">
      <c r="A83" s="554" t="str">
        <f ca="1">IF(A82="","",IF(ListAndConversion!AB85&lt;&gt;"-",ListAndConversion!W85,IF(ListAndConversion!AN85&lt;&gt;"-",ListAndConversion!AJ85,IF(INDIRECT("ListAndConversion!AF"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83" s="555" t="str">
        <f ca="1">IF(B82="","",IF(ListAndConversion!AB85&lt;&gt;"-",ListAndConversion!Y85,IF(ListAndConversion!AN85&lt;&gt;"-",ListAndConversion!AK85,IF(INDIRECT("ListAndConversion!AF"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83" s="556" t="str">
        <f ca="1">IF(C82="","",IF(ListAndConversion!AB85&lt;&gt;"-",ListAndConversion!AE85,IF(ListAndConversion!AN85&lt;&gt;"-",ListAndConversion!AQ85,IF(INDIRECT("ListAndConversion!AF"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84" spans="1:3" x14ac:dyDescent="0.65">
      <c r="A84" s="554" t="str">
        <f ca="1">IF(A83="","",IF(ListAndConversion!AB86&lt;&gt;"-",ListAndConversion!W86,IF(ListAndConversion!AN86&lt;&gt;"-",ListAndConversion!AJ86,IF(INDIRECT("ListAndConversion!AF"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84" s="555" t="str">
        <f ca="1">IF(B83="","",IF(ListAndConversion!AB86&lt;&gt;"-",ListAndConversion!Y86,IF(ListAndConversion!AN86&lt;&gt;"-",ListAndConversion!AK86,IF(INDIRECT("ListAndConversion!AF"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84" s="556" t="str">
        <f ca="1">IF(C83="","",IF(ListAndConversion!AB86&lt;&gt;"-",ListAndConversion!AE86,IF(ListAndConversion!AN86&lt;&gt;"-",ListAndConversion!AQ86,IF(INDIRECT("ListAndConversion!AF"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85" spans="1:3" x14ac:dyDescent="0.65">
      <c r="A85" s="554" t="str">
        <f ca="1">IF(A84="","",IF(ListAndConversion!AB87&lt;&gt;"-",ListAndConversion!W87,IF(ListAndConversion!AN87&lt;&gt;"-",ListAndConversion!AJ87,IF(INDIRECT("ListAndConversion!AF"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85" s="555" t="str">
        <f ca="1">IF(B84="","",IF(ListAndConversion!AB87&lt;&gt;"-",ListAndConversion!Y87,IF(ListAndConversion!AN87&lt;&gt;"-",ListAndConversion!AK87,IF(INDIRECT("ListAndConversion!AF"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85" s="556" t="str">
        <f ca="1">IF(C84="","",IF(ListAndConversion!AB87&lt;&gt;"-",ListAndConversion!AE87,IF(ListAndConversion!AN87&lt;&gt;"-",ListAndConversion!AQ87,IF(INDIRECT("ListAndConversion!AF"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86" spans="1:3" x14ac:dyDescent="0.65">
      <c r="A86" s="554" t="str">
        <f ca="1">IF(A85="","",IF(ListAndConversion!AB88&lt;&gt;"-",ListAndConversion!W88,IF(ListAndConversion!AN88&lt;&gt;"-",ListAndConversion!AJ88,IF(INDIRECT("ListAndConversion!AF"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86" s="555" t="str">
        <f ca="1">IF(B85="","",IF(ListAndConversion!AB88&lt;&gt;"-",ListAndConversion!Y88,IF(ListAndConversion!AN88&lt;&gt;"-",ListAndConversion!AK88,IF(INDIRECT("ListAndConversion!AF"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86" s="556" t="str">
        <f ca="1">IF(C85="","",IF(ListAndConversion!AB88&lt;&gt;"-",ListAndConversion!AE88,IF(ListAndConversion!AN88&lt;&gt;"-",ListAndConversion!AQ88,IF(INDIRECT("ListAndConversion!AF"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87" spans="1:3" x14ac:dyDescent="0.65">
      <c r="A87" s="554" t="str">
        <f ca="1">IF(A86="","",IF(ListAndConversion!AB89&lt;&gt;"-",ListAndConversion!W89,IF(ListAndConversion!AN89&lt;&gt;"-",ListAndConversion!AJ89,IF(INDIRECT("ListAndConversion!AF"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87" s="555" t="str">
        <f ca="1">IF(B86="","",IF(ListAndConversion!AB89&lt;&gt;"-",ListAndConversion!Y89,IF(ListAndConversion!AN89&lt;&gt;"-",ListAndConversion!AK89,IF(INDIRECT("ListAndConversion!AF"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87" s="556" t="str">
        <f ca="1">IF(C86="","",IF(ListAndConversion!AB89&lt;&gt;"-",ListAndConversion!AE89,IF(ListAndConversion!AN89&lt;&gt;"-",ListAndConversion!AQ89,IF(INDIRECT("ListAndConversion!AF"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88" spans="1:3" x14ac:dyDescent="0.65">
      <c r="A88" s="554" t="str">
        <f ca="1">IF(A87="","",IF(ListAndConversion!AB90&lt;&gt;"-",ListAndConversion!W90,IF(ListAndConversion!AN90&lt;&gt;"-",ListAndConversion!AJ90,IF(INDIRECT("ListAndConversion!AF"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88" s="555" t="str">
        <f ca="1">IF(B87="","",IF(ListAndConversion!AB90&lt;&gt;"-",ListAndConversion!Y90,IF(ListAndConversion!AN90&lt;&gt;"-",ListAndConversion!AK90,IF(INDIRECT("ListAndConversion!AF"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88" s="556" t="str">
        <f ca="1">IF(C87="","",IF(ListAndConversion!AB90&lt;&gt;"-",ListAndConversion!AE90,IF(ListAndConversion!AN90&lt;&gt;"-",ListAndConversion!AQ90,IF(INDIRECT("ListAndConversion!AF"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89" spans="1:3" x14ac:dyDescent="0.65">
      <c r="A89" s="554" t="str">
        <f ca="1">IF(A88="","",IF(ListAndConversion!AB91&lt;&gt;"-",ListAndConversion!W91,IF(ListAndConversion!AN91&lt;&gt;"-",ListAndConversion!AJ91,IF(INDIRECT("ListAndConversion!AF"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89" s="555" t="str">
        <f ca="1">IF(B88="","",IF(ListAndConversion!AB91&lt;&gt;"-",ListAndConversion!Y91,IF(ListAndConversion!AN91&lt;&gt;"-",ListAndConversion!AK91,IF(INDIRECT("ListAndConversion!AF"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89" s="556" t="str">
        <f ca="1">IF(C88="","",IF(ListAndConversion!AB91&lt;&gt;"-",ListAndConversion!AE91,IF(ListAndConversion!AN91&lt;&gt;"-",ListAndConversion!AQ91,IF(INDIRECT("ListAndConversion!AF"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90" spans="1:3" x14ac:dyDescent="0.65">
      <c r="A90" s="554" t="str">
        <f ca="1">IF(A89="","",IF(ListAndConversion!AB92&lt;&gt;"-",ListAndConversion!W92,IF(ListAndConversion!AN92&lt;&gt;"-",ListAndConversion!AJ92,IF(INDIRECT("ListAndConversion!AF"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90" s="555" t="str">
        <f ca="1">IF(B89="","",IF(ListAndConversion!AB92&lt;&gt;"-",ListAndConversion!Y92,IF(ListAndConversion!AN92&lt;&gt;"-",ListAndConversion!AK92,IF(INDIRECT("ListAndConversion!AF"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90" s="556" t="str">
        <f ca="1">IF(C89="","",IF(ListAndConversion!AB92&lt;&gt;"-",ListAndConversion!AE92,IF(ListAndConversion!AN92&lt;&gt;"-",ListAndConversion!AQ92,IF(INDIRECT("ListAndConversion!AF"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91" spans="1:3" x14ac:dyDescent="0.65">
      <c r="A91" s="554" t="str">
        <f ca="1">IF(A90="","",IF(ListAndConversion!AB93&lt;&gt;"-",ListAndConversion!W93,IF(ListAndConversion!AN93&lt;&gt;"-",ListAndConversion!AJ93,IF(INDIRECT("ListAndConversion!AF"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91" s="555" t="str">
        <f ca="1">IF(B90="","",IF(ListAndConversion!AB93&lt;&gt;"-",ListAndConversion!Y93,IF(ListAndConversion!AN93&lt;&gt;"-",ListAndConversion!AK93,IF(INDIRECT("ListAndConversion!AF"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91" s="556" t="str">
        <f ca="1">IF(C90="","",IF(ListAndConversion!AB93&lt;&gt;"-",ListAndConversion!AE93,IF(ListAndConversion!AN93&lt;&gt;"-",ListAndConversion!AQ93,IF(INDIRECT("ListAndConversion!AF"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92" spans="1:3" x14ac:dyDescent="0.65">
      <c r="A92" s="554" t="str">
        <f ca="1">IF(A91="","",IF(ListAndConversion!AB94&lt;&gt;"-",ListAndConversion!W94,IF(ListAndConversion!AN94&lt;&gt;"-",ListAndConversion!AJ94,IF(INDIRECT("ListAndConversion!AF"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92" s="555" t="str">
        <f ca="1">IF(B91="","",IF(ListAndConversion!AB94&lt;&gt;"-",ListAndConversion!Y94,IF(ListAndConversion!AN94&lt;&gt;"-",ListAndConversion!AK94,IF(INDIRECT("ListAndConversion!AF"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92" s="556" t="str">
        <f ca="1">IF(C91="","",IF(ListAndConversion!AB94&lt;&gt;"-",ListAndConversion!AE94,IF(ListAndConversion!AN94&lt;&gt;"-",ListAndConversion!AQ94,IF(INDIRECT("ListAndConversion!AF"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93" spans="1:3" x14ac:dyDescent="0.65">
      <c r="A93" s="554" t="str">
        <f ca="1">IF(A92="","",IF(ListAndConversion!AB95&lt;&gt;"-",ListAndConversion!W95,IF(ListAndConversion!AN95&lt;&gt;"-",ListAndConversion!AJ95,IF(INDIRECT("ListAndConversion!AF"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93" s="555" t="str">
        <f ca="1">IF(B92="","",IF(ListAndConversion!AB95&lt;&gt;"-",ListAndConversion!Y95,IF(ListAndConversion!AN95&lt;&gt;"-",ListAndConversion!AK95,IF(INDIRECT("ListAndConversion!AF"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93" s="556" t="str">
        <f ca="1">IF(C92="","",IF(ListAndConversion!AB95&lt;&gt;"-",ListAndConversion!AE95,IF(ListAndConversion!AN95&lt;&gt;"-",ListAndConversion!AQ95,IF(INDIRECT("ListAndConversion!AF"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94" spans="1:3" x14ac:dyDescent="0.65">
      <c r="A94" s="554" t="str">
        <f ca="1">IF(A93="","",IF(ListAndConversion!AB96&lt;&gt;"-",ListAndConversion!W96,IF(ListAndConversion!AN96&lt;&gt;"-",ListAndConversion!AJ96,IF(INDIRECT("ListAndConversion!AF"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94" s="555" t="str">
        <f ca="1">IF(B93="","",IF(ListAndConversion!AB96&lt;&gt;"-",ListAndConversion!Y96,IF(ListAndConversion!AN96&lt;&gt;"-",ListAndConversion!AK96,IF(INDIRECT("ListAndConversion!AF"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94" s="556" t="str">
        <f ca="1">IF(C93="","",IF(ListAndConversion!AB96&lt;&gt;"-",ListAndConversion!AE96,IF(ListAndConversion!AN96&lt;&gt;"-",ListAndConversion!AQ96,IF(INDIRECT("ListAndConversion!AF"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95" spans="1:3" x14ac:dyDescent="0.65">
      <c r="A95" s="554" t="str">
        <f ca="1">IF(A94="","",IF(ListAndConversion!AB97&lt;&gt;"-",ListAndConversion!W97,IF(ListAndConversion!AN97&lt;&gt;"-",ListAndConversion!AJ97,IF(INDIRECT("ListAndConversion!AF"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95" s="555" t="str">
        <f ca="1">IF(B94="","",IF(ListAndConversion!AB97&lt;&gt;"-",ListAndConversion!Y97,IF(ListAndConversion!AN97&lt;&gt;"-",ListAndConversion!AK97,IF(INDIRECT("ListAndConversion!AF"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95" s="556" t="str">
        <f ca="1">IF(C94="","",IF(ListAndConversion!AB97&lt;&gt;"-",ListAndConversion!AE97,IF(ListAndConversion!AN97&lt;&gt;"-",ListAndConversion!AQ97,IF(INDIRECT("ListAndConversion!AF"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96" spans="1:3" x14ac:dyDescent="0.65">
      <c r="A96" s="554" t="str">
        <f ca="1">IF(A95="","",IF(ListAndConversion!AB98&lt;&gt;"-",ListAndConversion!W98,IF(ListAndConversion!AN98&lt;&gt;"-",ListAndConversion!AJ98,IF(INDIRECT("ListAndConversion!AF"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96" s="555" t="str">
        <f ca="1">IF(B95="","",IF(ListAndConversion!AB98&lt;&gt;"-",ListAndConversion!Y98,IF(ListAndConversion!AN98&lt;&gt;"-",ListAndConversion!AK98,IF(INDIRECT("ListAndConversion!AF"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96" s="556" t="str">
        <f ca="1">IF(C95="","",IF(ListAndConversion!AB98&lt;&gt;"-",ListAndConversion!AE98,IF(ListAndConversion!AN98&lt;&gt;"-",ListAndConversion!AQ98,IF(INDIRECT("ListAndConversion!AF"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97" spans="1:3" x14ac:dyDescent="0.65">
      <c r="A97" s="554" t="str">
        <f ca="1">IF(A96="","",IF(ListAndConversion!AB99&lt;&gt;"-",ListAndConversion!W99,IF(ListAndConversion!AN99&lt;&gt;"-",ListAndConversion!AJ99,IF(INDIRECT("ListAndConversion!AF"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97" s="555" t="str">
        <f ca="1">IF(B96="","",IF(ListAndConversion!AB99&lt;&gt;"-",ListAndConversion!Y99,IF(ListAndConversion!AN99&lt;&gt;"-",ListAndConversion!AK99,IF(INDIRECT("ListAndConversion!AF"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97" s="556" t="str">
        <f ca="1">IF(C96="","",IF(ListAndConversion!AB99&lt;&gt;"-",ListAndConversion!AE99,IF(ListAndConversion!AN99&lt;&gt;"-",ListAndConversion!AQ99,IF(INDIRECT("ListAndConversion!AF"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98" spans="1:3" x14ac:dyDescent="0.65">
      <c r="A98" s="554" t="str">
        <f ca="1">IF(A97="","",IF(ListAndConversion!AB100&lt;&gt;"-",ListAndConversion!W100,IF(ListAndConversion!AN100&lt;&gt;"-",ListAndConversion!AJ100,IF(INDIRECT("ListAndConversion!AF"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98" s="555" t="str">
        <f ca="1">IF(B97="","",IF(ListAndConversion!AB100&lt;&gt;"-",ListAndConversion!Y100,IF(ListAndConversion!AN100&lt;&gt;"-",ListAndConversion!AK100,IF(INDIRECT("ListAndConversion!AF"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98" s="556" t="str">
        <f ca="1">IF(C97="","",IF(ListAndConversion!AB100&lt;&gt;"-",ListAndConversion!AE100,IF(ListAndConversion!AN100&lt;&gt;"-",ListAndConversion!AQ100,IF(INDIRECT("ListAndConversion!AF"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99" spans="1:3" x14ac:dyDescent="0.65">
      <c r="A99" s="554" t="str">
        <f ca="1">IF(A98="","",IF(ListAndConversion!AB101&lt;&gt;"-",ListAndConversion!W101,IF(ListAndConversion!AN101&lt;&gt;"-",ListAndConversion!AJ101,IF(INDIRECT("ListAndConversion!AF"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99" s="555" t="str">
        <f ca="1">IF(B98="","",IF(ListAndConversion!AB101&lt;&gt;"-",ListAndConversion!Y101,IF(ListAndConversion!AN101&lt;&gt;"-",ListAndConversion!AK101,IF(INDIRECT("ListAndConversion!AF"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99" s="556" t="str">
        <f ca="1">IF(C98="","",IF(ListAndConversion!AB101&lt;&gt;"-",ListAndConversion!AE101,IF(ListAndConversion!AN101&lt;&gt;"-",ListAndConversion!AQ101,IF(INDIRECT("ListAndConversion!AF"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00" spans="1:3" x14ac:dyDescent="0.65">
      <c r="A100" s="554" t="str">
        <f ca="1">IF(A99="","",IF(ListAndConversion!AB102&lt;&gt;"-",ListAndConversion!W102,IF(ListAndConversion!AN102&lt;&gt;"-",ListAndConversion!AJ102,IF(INDIRECT("ListAndConversion!AF"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00" s="555" t="str">
        <f ca="1">IF(B99="","",IF(ListAndConversion!AB102&lt;&gt;"-",ListAndConversion!Y102,IF(ListAndConversion!AN102&lt;&gt;"-",ListAndConversion!AK102,IF(INDIRECT("ListAndConversion!AF"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00" s="556" t="str">
        <f ca="1">IF(C99="","",IF(ListAndConversion!AB102&lt;&gt;"-",ListAndConversion!AE102,IF(ListAndConversion!AN102&lt;&gt;"-",ListAndConversion!AQ102,IF(INDIRECT("ListAndConversion!AF"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01" spans="1:3" x14ac:dyDescent="0.65">
      <c r="A101" s="554" t="str">
        <f ca="1">IF(A100="","",IF(ListAndConversion!AB103&lt;&gt;"-",ListAndConversion!W103,IF(ListAndConversion!AN103&lt;&gt;"-",ListAndConversion!AJ103,IF(INDIRECT("ListAndConversion!AF"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01" s="555" t="str">
        <f ca="1">IF(B100="","",IF(ListAndConversion!AB103&lt;&gt;"-",ListAndConversion!Y103,IF(ListAndConversion!AN103&lt;&gt;"-",ListAndConversion!AK103,IF(INDIRECT("ListAndConversion!AF"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01" s="556" t="str">
        <f ca="1">IF(C100="","",IF(ListAndConversion!AB103&lt;&gt;"-",ListAndConversion!AE103,IF(ListAndConversion!AN103&lt;&gt;"-",ListAndConversion!AQ103,IF(INDIRECT("ListAndConversion!AF"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02" spans="1:3" x14ac:dyDescent="0.65">
      <c r="A102" s="554" t="str">
        <f ca="1">IF(A101="","",IF(ListAndConversion!AB104&lt;&gt;"-",ListAndConversion!W104,IF(ListAndConversion!AN104&lt;&gt;"-",ListAndConversion!AJ104,IF(INDIRECT("ListAndConversion!AF"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02" s="555" t="str">
        <f ca="1">IF(B101="","",IF(ListAndConversion!AB104&lt;&gt;"-",ListAndConversion!Y104,IF(ListAndConversion!AN104&lt;&gt;"-",ListAndConversion!AK104,IF(INDIRECT("ListAndConversion!AF"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02" s="556" t="str">
        <f ca="1">IF(C101="","",IF(ListAndConversion!AB104&lt;&gt;"-",ListAndConversion!AE104,IF(ListAndConversion!AN104&lt;&gt;"-",ListAndConversion!AQ104,IF(INDIRECT("ListAndConversion!AF"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03" spans="1:3" x14ac:dyDescent="0.65">
      <c r="A103" s="554" t="str">
        <f ca="1">IF(A102="","",IF(ListAndConversion!AB105&lt;&gt;"-",ListAndConversion!W105,IF(ListAndConversion!AN105&lt;&gt;"-",ListAndConversion!AJ105,IF(INDIRECT("ListAndConversion!AF"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03" s="555" t="str">
        <f ca="1">IF(B102="","",IF(ListAndConversion!AB105&lt;&gt;"-",ListAndConversion!Y105,IF(ListAndConversion!AN105&lt;&gt;"-",ListAndConversion!AK105,IF(INDIRECT("ListAndConversion!AF"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03" s="556" t="str">
        <f ca="1">IF(C102="","",IF(ListAndConversion!AB105&lt;&gt;"-",ListAndConversion!AE105,IF(ListAndConversion!AN105&lt;&gt;"-",ListAndConversion!AQ105,IF(INDIRECT("ListAndConversion!AF"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04" spans="1:3" x14ac:dyDescent="0.65">
      <c r="A104" s="554" t="str">
        <f ca="1">IF(A103="","",IF(ListAndConversion!AB106&lt;&gt;"-",ListAndConversion!W106,IF(ListAndConversion!AN106&lt;&gt;"-",ListAndConversion!AJ106,IF(INDIRECT("ListAndConversion!AF"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04" s="555" t="str">
        <f ca="1">IF(B103="","",IF(ListAndConversion!AB106&lt;&gt;"-",ListAndConversion!Y106,IF(ListAndConversion!AN106&lt;&gt;"-",ListAndConversion!AK106,IF(INDIRECT("ListAndConversion!AF"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04" s="556" t="str">
        <f ca="1">IF(C103="","",IF(ListAndConversion!AB106&lt;&gt;"-",ListAndConversion!AE106,IF(ListAndConversion!AN106&lt;&gt;"-",ListAndConversion!AQ106,IF(INDIRECT("ListAndConversion!AF"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05" spans="1:3" x14ac:dyDescent="0.65">
      <c r="A105" s="554" t="str">
        <f ca="1">IF(A104="","",IF(ListAndConversion!AB107&lt;&gt;"-",ListAndConversion!W107,IF(ListAndConversion!AN107&lt;&gt;"-",ListAndConversion!AJ107,IF(INDIRECT("ListAndConversion!AF"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05" s="555" t="str">
        <f ca="1">IF(B104="","",IF(ListAndConversion!AB107&lt;&gt;"-",ListAndConversion!Y107,IF(ListAndConversion!AN107&lt;&gt;"-",ListAndConversion!AK107,IF(INDIRECT("ListAndConversion!AF"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05" s="556" t="str">
        <f ca="1">IF(C104="","",IF(ListAndConversion!AB107&lt;&gt;"-",ListAndConversion!AE107,IF(ListAndConversion!AN107&lt;&gt;"-",ListAndConversion!AQ107,IF(INDIRECT("ListAndConversion!AF"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06" spans="1:3" x14ac:dyDescent="0.65">
      <c r="A106" s="554" t="str">
        <f ca="1">IF(A105="","",IF(ListAndConversion!AB108&lt;&gt;"-",ListAndConversion!W108,IF(ListAndConversion!AN108&lt;&gt;"-",ListAndConversion!AJ108,IF(INDIRECT("ListAndConversion!AF"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06" s="555" t="str">
        <f ca="1">IF(B105="","",IF(ListAndConversion!AB108&lt;&gt;"-",ListAndConversion!Y108,IF(ListAndConversion!AN108&lt;&gt;"-",ListAndConversion!AK108,IF(INDIRECT("ListAndConversion!AF"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06" s="556" t="str">
        <f ca="1">IF(C105="","",IF(ListAndConversion!AB108&lt;&gt;"-",ListAndConversion!AE108,IF(ListAndConversion!AN108&lt;&gt;"-",ListAndConversion!AQ108,IF(INDIRECT("ListAndConversion!AF"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07" spans="1:3" x14ac:dyDescent="0.65">
      <c r="A107" s="554" t="str">
        <f ca="1">IF(A106="","",IF(ListAndConversion!AB109&lt;&gt;"-",ListAndConversion!W109,IF(ListAndConversion!AN109&lt;&gt;"-",ListAndConversion!AJ109,IF(INDIRECT("ListAndConversion!AF"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07" s="555" t="str">
        <f ca="1">IF(B106="","",IF(ListAndConversion!AB109&lt;&gt;"-",ListAndConversion!Y109,IF(ListAndConversion!AN109&lt;&gt;"-",ListAndConversion!AK109,IF(INDIRECT("ListAndConversion!AF"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07" s="556" t="str">
        <f ca="1">IF(C106="","",IF(ListAndConversion!AB109&lt;&gt;"-",ListAndConversion!AE109,IF(ListAndConversion!AN109&lt;&gt;"-",ListAndConversion!AQ109,IF(INDIRECT("ListAndConversion!AF"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08" spans="1:3" x14ac:dyDescent="0.65">
      <c r="A108" s="554" t="str">
        <f ca="1">IF(A107="","",IF(ListAndConversion!AB110&lt;&gt;"-",ListAndConversion!W110,IF(ListAndConversion!AN110&lt;&gt;"-",ListAndConversion!AJ110,IF(INDIRECT("ListAndConversion!AF"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08" s="555" t="str">
        <f ca="1">IF(B107="","",IF(ListAndConversion!AB110&lt;&gt;"-",ListAndConversion!Y110,IF(ListAndConversion!AN110&lt;&gt;"-",ListAndConversion!AK110,IF(INDIRECT("ListAndConversion!AF"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08" s="556" t="str">
        <f ca="1">IF(C107="","",IF(ListAndConversion!AB110&lt;&gt;"-",ListAndConversion!AE110,IF(ListAndConversion!AN110&lt;&gt;"-",ListAndConversion!AQ110,IF(INDIRECT("ListAndConversion!AF"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09" spans="1:3" x14ac:dyDescent="0.65">
      <c r="A109" s="554" t="str">
        <f ca="1">IF(A108="","",IF(ListAndConversion!AB111&lt;&gt;"-",ListAndConversion!W111,IF(ListAndConversion!AN111&lt;&gt;"-",ListAndConversion!AJ111,IF(INDIRECT("ListAndConversion!AF"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09" s="555" t="str">
        <f ca="1">IF(B108="","",IF(ListAndConversion!AB111&lt;&gt;"-",ListAndConversion!Y111,IF(ListAndConversion!AN111&lt;&gt;"-",ListAndConversion!AK111,IF(INDIRECT("ListAndConversion!AF"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09" s="556" t="str">
        <f ca="1">IF(C108="","",IF(ListAndConversion!AB111&lt;&gt;"-",ListAndConversion!AE111,IF(ListAndConversion!AN111&lt;&gt;"-",ListAndConversion!AQ111,IF(INDIRECT("ListAndConversion!AF"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10" spans="1:3" x14ac:dyDescent="0.65">
      <c r="A110" s="554" t="str">
        <f ca="1">IF(A109="","",IF(ListAndConversion!AB112&lt;&gt;"-",ListAndConversion!W112,IF(ListAndConversion!AN112&lt;&gt;"-",ListAndConversion!AJ112,IF(INDIRECT("ListAndConversion!AF"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10" s="555" t="str">
        <f ca="1">IF(B109="","",IF(ListAndConversion!AB112&lt;&gt;"-",ListAndConversion!Y112,IF(ListAndConversion!AN112&lt;&gt;"-",ListAndConversion!AK112,IF(INDIRECT("ListAndConversion!AF"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10" s="556" t="str">
        <f ca="1">IF(C109="","",IF(ListAndConversion!AB112&lt;&gt;"-",ListAndConversion!AE112,IF(ListAndConversion!AN112&lt;&gt;"-",ListAndConversion!AQ112,IF(INDIRECT("ListAndConversion!AF"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11" spans="1:3" x14ac:dyDescent="0.65">
      <c r="A111" s="554" t="str">
        <f ca="1">IF(A110="","",IF(ListAndConversion!AB113&lt;&gt;"-",ListAndConversion!W113,IF(ListAndConversion!AN113&lt;&gt;"-",ListAndConversion!AJ113,IF(INDIRECT("ListAndConversion!AF"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11" s="555" t="str">
        <f ca="1">IF(B110="","",IF(ListAndConversion!AB113&lt;&gt;"-",ListAndConversion!Y113,IF(ListAndConversion!AN113&lt;&gt;"-",ListAndConversion!AK113,IF(INDIRECT("ListAndConversion!AF"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11" s="556" t="str">
        <f ca="1">IF(C110="","",IF(ListAndConversion!AB113&lt;&gt;"-",ListAndConversion!AE113,IF(ListAndConversion!AN113&lt;&gt;"-",ListAndConversion!AQ113,IF(INDIRECT("ListAndConversion!AF"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12" spans="1:3" x14ac:dyDescent="0.65">
      <c r="A112" s="554" t="str">
        <f ca="1">IF(A111="","",IF(ListAndConversion!AB114&lt;&gt;"-",ListAndConversion!W114,IF(ListAndConversion!AN114&lt;&gt;"-",ListAndConversion!AJ114,IF(INDIRECT("ListAndConversion!AF"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12" s="555" t="str">
        <f ca="1">IF(B111="","",IF(ListAndConversion!AB114&lt;&gt;"-",ListAndConversion!Y114,IF(ListAndConversion!AN114&lt;&gt;"-",ListAndConversion!AK114,IF(INDIRECT("ListAndConversion!AF"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12" s="556" t="str">
        <f ca="1">IF(C111="","",IF(ListAndConversion!AB114&lt;&gt;"-",ListAndConversion!AE114,IF(ListAndConversion!AN114&lt;&gt;"-",ListAndConversion!AQ114,IF(INDIRECT("ListAndConversion!AF"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13" spans="1:3" x14ac:dyDescent="0.65">
      <c r="A113" s="554" t="str">
        <f ca="1">IF(A112="","",IF(ListAndConversion!AB115&lt;&gt;"-",ListAndConversion!W115,IF(ListAndConversion!AN115&lt;&gt;"-",ListAndConversion!AJ115,IF(INDIRECT("ListAndConversion!AF"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13" s="555" t="str">
        <f ca="1">IF(B112="","",IF(ListAndConversion!AB115&lt;&gt;"-",ListAndConversion!Y115,IF(ListAndConversion!AN115&lt;&gt;"-",ListAndConversion!AK115,IF(INDIRECT("ListAndConversion!AF"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13" s="556" t="str">
        <f ca="1">IF(C112="","",IF(ListAndConversion!AB115&lt;&gt;"-",ListAndConversion!AE115,IF(ListAndConversion!AN115&lt;&gt;"-",ListAndConversion!AQ115,IF(INDIRECT("ListAndConversion!AF"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14" spans="1:3" x14ac:dyDescent="0.65">
      <c r="A114" s="554" t="str">
        <f ca="1">IF(A113="","",IF(ListAndConversion!AB116&lt;&gt;"-",ListAndConversion!W116,IF(ListAndConversion!AN116&lt;&gt;"-",ListAndConversion!AJ116,IF(INDIRECT("ListAndConversion!AF"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14" s="555" t="str">
        <f ca="1">IF(B113="","",IF(ListAndConversion!AB116&lt;&gt;"-",ListAndConversion!Y116,IF(ListAndConversion!AN116&lt;&gt;"-",ListAndConversion!AK116,IF(INDIRECT("ListAndConversion!AF"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14" s="556" t="str">
        <f ca="1">IF(C113="","",IF(ListAndConversion!AB116&lt;&gt;"-",ListAndConversion!AE116,IF(ListAndConversion!AN116&lt;&gt;"-",ListAndConversion!AQ116,IF(INDIRECT("ListAndConversion!AF"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15" spans="1:3" x14ac:dyDescent="0.65">
      <c r="A115" s="554" t="str">
        <f ca="1">IF(A114="","",IF(ListAndConversion!AB117&lt;&gt;"-",ListAndConversion!W117,IF(ListAndConversion!AN117&lt;&gt;"-",ListAndConversion!AJ117,IF(INDIRECT("ListAndConversion!AF"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15" s="555" t="str">
        <f ca="1">IF(B114="","",IF(ListAndConversion!AB117&lt;&gt;"-",ListAndConversion!Y117,IF(ListAndConversion!AN117&lt;&gt;"-",ListAndConversion!AK117,IF(INDIRECT("ListAndConversion!AF"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15" s="556" t="str">
        <f ca="1">IF(C114="","",IF(ListAndConversion!AB117&lt;&gt;"-",ListAndConversion!AE117,IF(ListAndConversion!AN117&lt;&gt;"-",ListAndConversion!AQ117,IF(INDIRECT("ListAndConversion!AF"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16" spans="1:3" x14ac:dyDescent="0.65">
      <c r="A116" s="554" t="str">
        <f ca="1">IF(A115="","",IF(ListAndConversion!AB118&lt;&gt;"-",ListAndConversion!W118,IF(ListAndConversion!AN118&lt;&gt;"-",ListAndConversion!AJ118,IF(INDIRECT("ListAndConversion!AF"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16" s="555" t="str">
        <f ca="1">IF(B115="","",IF(ListAndConversion!AB118&lt;&gt;"-",ListAndConversion!Y118,IF(ListAndConversion!AN118&lt;&gt;"-",ListAndConversion!AK118,IF(INDIRECT("ListAndConversion!AF"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16" s="556" t="str">
        <f ca="1">IF(C115="","",IF(ListAndConversion!AB118&lt;&gt;"-",ListAndConversion!AE118,IF(ListAndConversion!AN118&lt;&gt;"-",ListAndConversion!AQ118,IF(INDIRECT("ListAndConversion!AF"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17" spans="1:3" x14ac:dyDescent="0.65">
      <c r="A117" s="554" t="str">
        <f ca="1">IF(A116="","",IF(ListAndConversion!AB119&lt;&gt;"-",ListAndConversion!W119,IF(ListAndConversion!AN119&lt;&gt;"-",ListAndConversion!AJ119,IF(INDIRECT("ListAndConversion!AF"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17" s="555" t="str">
        <f ca="1">IF(B116="","",IF(ListAndConversion!AB119&lt;&gt;"-",ListAndConversion!Y119,IF(ListAndConversion!AN119&lt;&gt;"-",ListAndConversion!AK119,IF(INDIRECT("ListAndConversion!AF"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17" s="556" t="str">
        <f ca="1">IF(C116="","",IF(ListAndConversion!AB119&lt;&gt;"-",ListAndConversion!AE119,IF(ListAndConversion!AN119&lt;&gt;"-",ListAndConversion!AQ119,IF(INDIRECT("ListAndConversion!AF"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18" spans="1:3" x14ac:dyDescent="0.65">
      <c r="A118" s="554" t="str">
        <f ca="1">IF(A117="","",IF(ListAndConversion!AB120&lt;&gt;"-",ListAndConversion!W120,IF(ListAndConversion!AN120&lt;&gt;"-",ListAndConversion!AJ120,IF(INDIRECT("ListAndConversion!AF"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18" s="555" t="str">
        <f ca="1">IF(B117="","",IF(ListAndConversion!AB120&lt;&gt;"-",ListAndConversion!Y120,IF(ListAndConversion!AN120&lt;&gt;"-",ListAndConversion!AK120,IF(INDIRECT("ListAndConversion!AF"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18" s="556" t="str">
        <f ca="1">IF(C117="","",IF(ListAndConversion!AB120&lt;&gt;"-",ListAndConversion!AE120,IF(ListAndConversion!AN120&lt;&gt;"-",ListAndConversion!AQ120,IF(INDIRECT("ListAndConversion!AF"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19" spans="1:3" x14ac:dyDescent="0.65">
      <c r="A119" s="554" t="str">
        <f ca="1">IF(A118="","",IF(ListAndConversion!AB121&lt;&gt;"-",ListAndConversion!W121,IF(ListAndConversion!AN121&lt;&gt;"-",ListAndConversion!AJ121,IF(INDIRECT("ListAndConversion!AF"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19" s="555" t="str">
        <f ca="1">IF(B118="","",IF(ListAndConversion!AB121&lt;&gt;"-",ListAndConversion!Y121,IF(ListAndConversion!AN121&lt;&gt;"-",ListAndConversion!AK121,IF(INDIRECT("ListAndConversion!AF"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19" s="556" t="str">
        <f ca="1">IF(C118="","",IF(ListAndConversion!AB121&lt;&gt;"-",ListAndConversion!AE121,IF(ListAndConversion!AN121&lt;&gt;"-",ListAndConversion!AQ121,IF(INDIRECT("ListAndConversion!AF"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20" spans="1:3" x14ac:dyDescent="0.65">
      <c r="A120" s="554" t="str">
        <f ca="1">IF(A119="","",IF(ListAndConversion!AB122&lt;&gt;"-",ListAndConversion!W122,IF(ListAndConversion!AN122&lt;&gt;"-",ListAndConversion!AJ122,IF(INDIRECT("ListAndConversion!AF"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20" s="555" t="str">
        <f ca="1">IF(B119="","",IF(ListAndConversion!AB122&lt;&gt;"-",ListAndConversion!Y122,IF(ListAndConversion!AN122&lt;&gt;"-",ListAndConversion!AK122,IF(INDIRECT("ListAndConversion!AF"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20" s="556" t="str">
        <f ca="1">IF(C119="","",IF(ListAndConversion!AB122&lt;&gt;"-",ListAndConversion!AE122,IF(ListAndConversion!AN122&lt;&gt;"-",ListAndConversion!AQ122,IF(INDIRECT("ListAndConversion!AF"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21" spans="1:3" x14ac:dyDescent="0.65">
      <c r="A121" s="554" t="str">
        <f ca="1">IF(A120="","",IF(ListAndConversion!AB123&lt;&gt;"-",ListAndConversion!W123,IF(ListAndConversion!AN123&lt;&gt;"-",ListAndConversion!AJ123,IF(INDIRECT("ListAndConversion!AF"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21" s="555" t="str">
        <f ca="1">IF(B120="","",IF(ListAndConversion!AB123&lt;&gt;"-",ListAndConversion!Y123,IF(ListAndConversion!AN123&lt;&gt;"-",ListAndConversion!AK123,IF(INDIRECT("ListAndConversion!AF"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21" s="556" t="str">
        <f ca="1">IF(C120="","",IF(ListAndConversion!AB123&lt;&gt;"-",ListAndConversion!AE123,IF(ListAndConversion!AN123&lt;&gt;"-",ListAndConversion!AQ123,IF(INDIRECT("ListAndConversion!AF"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22" spans="1:3" x14ac:dyDescent="0.65">
      <c r="A122" s="554" t="str">
        <f ca="1">IF(A121="","",IF(ListAndConversion!AB124&lt;&gt;"-",ListAndConversion!W124,IF(ListAndConversion!AN124&lt;&gt;"-",ListAndConversion!AJ124,IF(INDIRECT("ListAndConversion!AF"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22" s="555" t="str">
        <f ca="1">IF(B121="","",IF(ListAndConversion!AB124&lt;&gt;"-",ListAndConversion!Y124,IF(ListAndConversion!AN124&lt;&gt;"-",ListAndConversion!AK124,IF(INDIRECT("ListAndConversion!AF"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22" s="556" t="str">
        <f ca="1">IF(C121="","",IF(ListAndConversion!AB124&lt;&gt;"-",ListAndConversion!AE124,IF(ListAndConversion!AN124&lt;&gt;"-",ListAndConversion!AQ124,IF(INDIRECT("ListAndConversion!AF"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23" spans="1:3" x14ac:dyDescent="0.65">
      <c r="A123" s="554" t="str">
        <f ca="1">IF(A122="","",IF(ListAndConversion!AB125&lt;&gt;"-",ListAndConversion!W125,IF(ListAndConversion!AN125&lt;&gt;"-",ListAndConversion!AJ125,IF(INDIRECT("ListAndConversion!AF"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23" s="555" t="str">
        <f ca="1">IF(B122="","",IF(ListAndConversion!AB125&lt;&gt;"-",ListAndConversion!Y125,IF(ListAndConversion!AN125&lt;&gt;"-",ListAndConversion!AK125,IF(INDIRECT("ListAndConversion!AF"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23" s="556" t="str">
        <f ca="1">IF(C122="","",IF(ListAndConversion!AB125&lt;&gt;"-",ListAndConversion!AE125,IF(ListAndConversion!AN125&lt;&gt;"-",ListAndConversion!AQ125,IF(INDIRECT("ListAndConversion!AF"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24" spans="1:3" x14ac:dyDescent="0.65">
      <c r="A124" s="554" t="str">
        <f ca="1">IF(A123="","",IF(ListAndConversion!AB126&lt;&gt;"-",ListAndConversion!W126,IF(ListAndConversion!AN126&lt;&gt;"-",ListAndConversion!AJ126,IF(INDIRECT("ListAndConversion!AF"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24" s="555" t="str">
        <f ca="1">IF(B123="","",IF(ListAndConversion!AB126&lt;&gt;"-",ListAndConversion!Y126,IF(ListAndConversion!AN126&lt;&gt;"-",ListAndConversion!AK126,IF(INDIRECT("ListAndConversion!AF"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24" s="556" t="str">
        <f ca="1">IF(C123="","",IF(ListAndConversion!AB126&lt;&gt;"-",ListAndConversion!AE126,IF(ListAndConversion!AN126&lt;&gt;"-",ListAndConversion!AQ126,IF(INDIRECT("ListAndConversion!AF"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25" spans="1:3" x14ac:dyDescent="0.65">
      <c r="A125" s="554" t="str">
        <f ca="1">IF(A124="","",IF(ListAndConversion!AB127&lt;&gt;"-",ListAndConversion!W127,IF(ListAndConversion!AN127&lt;&gt;"-",ListAndConversion!AJ127,IF(INDIRECT("ListAndConversion!AF"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25" s="555" t="str">
        <f ca="1">IF(B124="","",IF(ListAndConversion!AB127&lt;&gt;"-",ListAndConversion!Y127,IF(ListAndConversion!AN127&lt;&gt;"-",ListAndConversion!AK127,IF(INDIRECT("ListAndConversion!AF"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25" s="556" t="str">
        <f ca="1">IF(C124="","",IF(ListAndConversion!AB127&lt;&gt;"-",ListAndConversion!AE127,IF(ListAndConversion!AN127&lt;&gt;"-",ListAndConversion!AQ127,IF(INDIRECT("ListAndConversion!AF"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26" spans="1:3" x14ac:dyDescent="0.65">
      <c r="A126" s="554" t="str">
        <f ca="1">IF(A125="","",IF(ListAndConversion!AB128&lt;&gt;"-",ListAndConversion!W128,IF(ListAndConversion!AN128&lt;&gt;"-",ListAndConversion!AJ128,IF(INDIRECT("ListAndConversion!AF"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26" s="555" t="str">
        <f ca="1">IF(B125="","",IF(ListAndConversion!AB128&lt;&gt;"-",ListAndConversion!Y128,IF(ListAndConversion!AN128&lt;&gt;"-",ListAndConversion!AK128,IF(INDIRECT("ListAndConversion!AF"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26" s="556" t="str">
        <f ca="1">IF(C125="","",IF(ListAndConversion!AB128&lt;&gt;"-",ListAndConversion!AE128,IF(ListAndConversion!AN128&lt;&gt;"-",ListAndConversion!AQ128,IF(INDIRECT("ListAndConversion!AF"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27" spans="1:3" x14ac:dyDescent="0.65">
      <c r="A127" s="554" t="str">
        <f ca="1">IF(A126="","",IF(ListAndConversion!AB129&lt;&gt;"-",ListAndConversion!W129,IF(ListAndConversion!AN129&lt;&gt;"-",ListAndConversion!AJ129,IF(INDIRECT("ListAndConversion!AF"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27" s="555" t="str">
        <f ca="1">IF(B126="","",IF(ListAndConversion!AB129&lt;&gt;"-",ListAndConversion!Y129,IF(ListAndConversion!AN129&lt;&gt;"-",ListAndConversion!AK129,IF(INDIRECT("ListAndConversion!AF"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27" s="556" t="str">
        <f ca="1">IF(C126="","",IF(ListAndConversion!AB129&lt;&gt;"-",ListAndConversion!AE129,IF(ListAndConversion!AN129&lt;&gt;"-",ListAndConversion!AQ129,IF(INDIRECT("ListAndConversion!AF"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28" spans="1:3" x14ac:dyDescent="0.65">
      <c r="A128" s="554" t="str">
        <f ca="1">IF(A127="","",IF(ListAndConversion!AB130&lt;&gt;"-",ListAndConversion!W130,IF(ListAndConversion!AN130&lt;&gt;"-",ListAndConversion!AJ130,IF(INDIRECT("ListAndConversion!AF"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28" s="555" t="str">
        <f ca="1">IF(B127="","",IF(ListAndConversion!AB130&lt;&gt;"-",ListAndConversion!Y130,IF(ListAndConversion!AN130&lt;&gt;"-",ListAndConversion!AK130,IF(INDIRECT("ListAndConversion!AF"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28" s="556" t="str">
        <f ca="1">IF(C127="","",IF(ListAndConversion!AB130&lt;&gt;"-",ListAndConversion!AE130,IF(ListAndConversion!AN130&lt;&gt;"-",ListAndConversion!AQ130,IF(INDIRECT("ListAndConversion!AF"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29" spans="1:3" x14ac:dyDescent="0.65">
      <c r="A129" s="554" t="str">
        <f ca="1">IF(A128="","",IF(ListAndConversion!AB131&lt;&gt;"-",ListAndConversion!W131,IF(ListAndConversion!AN131&lt;&gt;"-",ListAndConversion!AJ131,IF(INDIRECT("ListAndConversion!AF"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29" s="555" t="str">
        <f ca="1">IF(B128="","",IF(ListAndConversion!AB131&lt;&gt;"-",ListAndConversion!Y131,IF(ListAndConversion!AN131&lt;&gt;"-",ListAndConversion!AK131,IF(INDIRECT("ListAndConversion!AF"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29" s="556" t="str">
        <f ca="1">IF(C128="","",IF(ListAndConversion!AB131&lt;&gt;"-",ListAndConversion!AE131,IF(ListAndConversion!AN131&lt;&gt;"-",ListAndConversion!AQ131,IF(INDIRECT("ListAndConversion!AF"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30" spans="1:3" x14ac:dyDescent="0.65">
      <c r="A130" s="554" t="str">
        <f ca="1">IF(A129="","",IF(ListAndConversion!AB132&lt;&gt;"-",ListAndConversion!W132,IF(ListAndConversion!AN132&lt;&gt;"-",ListAndConversion!AJ132,IF(INDIRECT("ListAndConversion!AF"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30" s="555" t="str">
        <f ca="1">IF(B129="","",IF(ListAndConversion!AB132&lt;&gt;"-",ListAndConversion!Y132,IF(ListAndConversion!AN132&lt;&gt;"-",ListAndConversion!AK132,IF(INDIRECT("ListAndConversion!AF"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30" s="556" t="str">
        <f ca="1">IF(C129="","",IF(ListAndConversion!AB132&lt;&gt;"-",ListAndConversion!AE132,IF(ListAndConversion!AN132&lt;&gt;"-",ListAndConversion!AQ132,IF(INDIRECT("ListAndConversion!AF"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31" spans="1:3" x14ac:dyDescent="0.65">
      <c r="A131" s="554" t="str">
        <f ca="1">IF(A130="","",IF(ListAndConversion!AB133&lt;&gt;"-",ListAndConversion!W133,IF(ListAndConversion!AN133&lt;&gt;"-",ListAndConversion!AJ133,IF(INDIRECT("ListAndConversion!AF"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31" s="555" t="str">
        <f ca="1">IF(B130="","",IF(ListAndConversion!AB133&lt;&gt;"-",ListAndConversion!Y133,IF(ListAndConversion!AN133&lt;&gt;"-",ListAndConversion!AK133,IF(INDIRECT("ListAndConversion!AF"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31" s="556" t="str">
        <f ca="1">IF(C130="","",IF(ListAndConversion!AB133&lt;&gt;"-",ListAndConversion!AE133,IF(ListAndConversion!AN133&lt;&gt;"-",ListAndConversion!AQ133,IF(INDIRECT("ListAndConversion!AF"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32" spans="1:3" x14ac:dyDescent="0.65">
      <c r="A132" s="554" t="str">
        <f ca="1">IF(A131="","",IF(ListAndConversion!AB134&lt;&gt;"-",ListAndConversion!W134,IF(ListAndConversion!AN134&lt;&gt;"-",ListAndConversion!AJ134,IF(INDIRECT("ListAndConversion!AF"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32" s="555" t="str">
        <f ca="1">IF(B131="","",IF(ListAndConversion!AB134&lt;&gt;"-",ListAndConversion!Y134,IF(ListAndConversion!AN134&lt;&gt;"-",ListAndConversion!AK134,IF(INDIRECT("ListAndConversion!AF"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32" s="556" t="str">
        <f ca="1">IF(C131="","",IF(ListAndConversion!AB134&lt;&gt;"-",ListAndConversion!AE134,IF(ListAndConversion!AN134&lt;&gt;"-",ListAndConversion!AQ134,IF(INDIRECT("ListAndConversion!AF"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33" spans="1:3" x14ac:dyDescent="0.65">
      <c r="A133" s="554" t="str">
        <f ca="1">IF(A132="","",IF(ListAndConversion!AB135&lt;&gt;"-",ListAndConversion!W135,IF(ListAndConversion!AN135&lt;&gt;"-",ListAndConversion!AJ135,IF(INDIRECT("ListAndConversion!AF"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33" s="555" t="str">
        <f ca="1">IF(B132="","",IF(ListAndConversion!AB135&lt;&gt;"-",ListAndConversion!Y135,IF(ListAndConversion!AN135&lt;&gt;"-",ListAndConversion!AK135,IF(INDIRECT("ListAndConversion!AF"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33" s="556" t="str">
        <f ca="1">IF(C132="","",IF(ListAndConversion!AB135&lt;&gt;"-",ListAndConversion!AE135,IF(ListAndConversion!AN135&lt;&gt;"-",ListAndConversion!AQ135,IF(INDIRECT("ListAndConversion!AF"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34" spans="1:3" x14ac:dyDescent="0.65">
      <c r="A134" s="554" t="str">
        <f ca="1">IF(A133="","",IF(ListAndConversion!AB136&lt;&gt;"-",ListAndConversion!W136,IF(ListAndConversion!AN136&lt;&gt;"-",ListAndConversion!AJ136,IF(INDIRECT("ListAndConversion!AF"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34" s="555" t="str">
        <f ca="1">IF(B133="","",IF(ListAndConversion!AB136&lt;&gt;"-",ListAndConversion!Y136,IF(ListAndConversion!AN136&lt;&gt;"-",ListAndConversion!AK136,IF(INDIRECT("ListAndConversion!AF"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34" s="556" t="str">
        <f ca="1">IF(C133="","",IF(ListAndConversion!AB136&lt;&gt;"-",ListAndConversion!AE136,IF(ListAndConversion!AN136&lt;&gt;"-",ListAndConversion!AQ136,IF(INDIRECT("ListAndConversion!AF"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35" spans="1:3" x14ac:dyDescent="0.65">
      <c r="A135" s="554" t="str">
        <f ca="1">IF(A134="","",IF(ListAndConversion!AB137&lt;&gt;"-",ListAndConversion!W137,IF(ListAndConversion!AN137&lt;&gt;"-",ListAndConversion!AJ137,IF(INDIRECT("ListAndConversion!AF"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35" s="555" t="str">
        <f ca="1">IF(B134="","",IF(ListAndConversion!AB137&lt;&gt;"-",ListAndConversion!Y137,IF(ListAndConversion!AN137&lt;&gt;"-",ListAndConversion!AK137,IF(INDIRECT("ListAndConversion!AF"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35" s="556" t="str">
        <f ca="1">IF(C134="","",IF(ListAndConversion!AB137&lt;&gt;"-",ListAndConversion!AE137,IF(ListAndConversion!AN137&lt;&gt;"-",ListAndConversion!AQ137,IF(INDIRECT("ListAndConversion!AF"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36" spans="1:3" x14ac:dyDescent="0.65">
      <c r="A136" s="554" t="str">
        <f ca="1">IF(A135="","",IF(ListAndConversion!AB138&lt;&gt;"-",ListAndConversion!W138,IF(ListAndConversion!AN138&lt;&gt;"-",ListAndConversion!AJ138,IF(INDIRECT("ListAndConversion!AF"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36" s="555" t="str">
        <f ca="1">IF(B135="","",IF(ListAndConversion!AB138&lt;&gt;"-",ListAndConversion!Y138,IF(ListAndConversion!AN138&lt;&gt;"-",ListAndConversion!AK138,IF(INDIRECT("ListAndConversion!AF"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36" s="556" t="str">
        <f ca="1">IF(C135="","",IF(ListAndConversion!AB138&lt;&gt;"-",ListAndConversion!AE138,IF(ListAndConversion!AN138&lt;&gt;"-",ListAndConversion!AQ138,IF(INDIRECT("ListAndConversion!AF"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37" spans="1:3" x14ac:dyDescent="0.65">
      <c r="A137" s="554" t="str">
        <f ca="1">IF(A136="","",IF(ListAndConversion!AB139&lt;&gt;"-",ListAndConversion!W139,IF(ListAndConversion!AN139&lt;&gt;"-",ListAndConversion!AJ139,IF(INDIRECT("ListAndConversion!AF"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37" s="555" t="str">
        <f ca="1">IF(B136="","",IF(ListAndConversion!AB139&lt;&gt;"-",ListAndConversion!Y139,IF(ListAndConversion!AN139&lt;&gt;"-",ListAndConversion!AK139,IF(INDIRECT("ListAndConversion!AF"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37" s="556" t="str">
        <f ca="1">IF(C136="","",IF(ListAndConversion!AB139&lt;&gt;"-",ListAndConversion!AE139,IF(ListAndConversion!AN139&lt;&gt;"-",ListAndConversion!AQ139,IF(INDIRECT("ListAndConversion!AF"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38" spans="1:3" x14ac:dyDescent="0.65">
      <c r="A138" s="554" t="str">
        <f ca="1">IF(A137="","",IF(ListAndConversion!AB140&lt;&gt;"-",ListAndConversion!W140,IF(ListAndConversion!AN140&lt;&gt;"-",ListAndConversion!AJ140,IF(INDIRECT("ListAndConversion!AF"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38" s="555" t="str">
        <f ca="1">IF(B137="","",IF(ListAndConversion!AB140&lt;&gt;"-",ListAndConversion!Y140,IF(ListAndConversion!AN140&lt;&gt;"-",ListAndConversion!AK140,IF(INDIRECT("ListAndConversion!AF"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38" s="556" t="str">
        <f ca="1">IF(C137="","",IF(ListAndConversion!AB140&lt;&gt;"-",ListAndConversion!AE140,IF(ListAndConversion!AN140&lt;&gt;"-",ListAndConversion!AQ140,IF(INDIRECT("ListAndConversion!AF"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39" spans="1:3" x14ac:dyDescent="0.65">
      <c r="A139" s="554" t="str">
        <f ca="1">IF(A138="","",IF(ListAndConversion!AB141&lt;&gt;"-",ListAndConversion!W141,IF(ListAndConversion!AN141&lt;&gt;"-",ListAndConversion!AJ141,IF(INDIRECT("ListAndConversion!AF"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39" s="555" t="str">
        <f ca="1">IF(B138="","",IF(ListAndConversion!AB141&lt;&gt;"-",ListAndConversion!Y141,IF(ListAndConversion!AN141&lt;&gt;"-",ListAndConversion!AK141,IF(INDIRECT("ListAndConversion!AF"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39" s="556" t="str">
        <f ca="1">IF(C138="","",IF(ListAndConversion!AB141&lt;&gt;"-",ListAndConversion!AE141,IF(ListAndConversion!AN141&lt;&gt;"-",ListAndConversion!AQ141,IF(INDIRECT("ListAndConversion!AF"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40" spans="1:3" x14ac:dyDescent="0.65">
      <c r="A140" s="554" t="str">
        <f ca="1">IF(A139="","",IF(ListAndConversion!AB142&lt;&gt;"-",ListAndConversion!W142,IF(ListAndConversion!AN142&lt;&gt;"-",ListAndConversion!AJ142,IF(INDIRECT("ListAndConversion!AF"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40" s="555" t="str">
        <f ca="1">IF(B139="","",IF(ListAndConversion!AB142&lt;&gt;"-",ListAndConversion!Y142,IF(ListAndConversion!AN142&lt;&gt;"-",ListAndConversion!AK142,IF(INDIRECT("ListAndConversion!AF"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40" s="556" t="str">
        <f ca="1">IF(C139="","",IF(ListAndConversion!AB142&lt;&gt;"-",ListAndConversion!AE142,IF(ListAndConversion!AN142&lt;&gt;"-",ListAndConversion!AQ142,IF(INDIRECT("ListAndConversion!AF"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41" spans="1:3" x14ac:dyDescent="0.65">
      <c r="A141" s="554" t="str">
        <f ca="1">IF(A140="","",IF(ListAndConversion!AB143&lt;&gt;"-",ListAndConversion!W143,IF(ListAndConversion!AN143&lt;&gt;"-",ListAndConversion!AJ143,IF(INDIRECT("ListAndConversion!AF"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41" s="555" t="str">
        <f ca="1">IF(B140="","",IF(ListAndConversion!AB143&lt;&gt;"-",ListAndConversion!Y143,IF(ListAndConversion!AN143&lt;&gt;"-",ListAndConversion!AK143,IF(INDIRECT("ListAndConversion!AF"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41" s="556" t="str">
        <f ca="1">IF(C140="","",IF(ListAndConversion!AB143&lt;&gt;"-",ListAndConversion!AE143,IF(ListAndConversion!AN143&lt;&gt;"-",ListAndConversion!AQ143,IF(INDIRECT("ListAndConversion!AF"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42" spans="1:3" x14ac:dyDescent="0.65">
      <c r="A142" s="554" t="str">
        <f ca="1">IF(A141="","",IF(ListAndConversion!AB144&lt;&gt;"-",ListAndConversion!W144,IF(ListAndConversion!AN144&lt;&gt;"-",ListAndConversion!AJ144,IF(INDIRECT("ListAndConversion!AF"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42" s="555" t="str">
        <f ca="1">IF(B141="","",IF(ListAndConversion!AB144&lt;&gt;"-",ListAndConversion!Y144,IF(ListAndConversion!AN144&lt;&gt;"-",ListAndConversion!AK144,IF(INDIRECT("ListAndConversion!AF"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42" s="556" t="str">
        <f ca="1">IF(C141="","",IF(ListAndConversion!AB144&lt;&gt;"-",ListAndConversion!AE144,IF(ListAndConversion!AN144&lt;&gt;"-",ListAndConversion!AQ144,IF(INDIRECT("ListAndConversion!AF"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43" spans="1:3" x14ac:dyDescent="0.65">
      <c r="A143" s="554" t="str">
        <f ca="1">IF(A142="","",IF(ListAndConversion!AB145&lt;&gt;"-",ListAndConversion!W145,IF(ListAndConversion!AN145&lt;&gt;"-",ListAndConversion!AJ145,IF(INDIRECT("ListAndConversion!AF"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43" s="555" t="str">
        <f ca="1">IF(B142="","",IF(ListAndConversion!AB145&lt;&gt;"-",ListAndConversion!Y145,IF(ListAndConversion!AN145&lt;&gt;"-",ListAndConversion!AK145,IF(INDIRECT("ListAndConversion!AF"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43" s="556" t="str">
        <f ca="1">IF(C142="","",IF(ListAndConversion!AB145&lt;&gt;"-",ListAndConversion!AE145,IF(ListAndConversion!AN145&lt;&gt;"-",ListAndConversion!AQ145,IF(INDIRECT("ListAndConversion!AF"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44" spans="1:3" x14ac:dyDescent="0.65">
      <c r="A144" s="554" t="str">
        <f ca="1">IF(A143="","",IF(ListAndConversion!AB146&lt;&gt;"-",ListAndConversion!W146,IF(ListAndConversion!AN146&lt;&gt;"-",ListAndConversion!AJ146,IF(INDIRECT("ListAndConversion!AF"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44" s="555" t="str">
        <f ca="1">IF(B143="","",IF(ListAndConversion!AB146&lt;&gt;"-",ListAndConversion!Y146,IF(ListAndConversion!AN146&lt;&gt;"-",ListAndConversion!AK146,IF(INDIRECT("ListAndConversion!AF"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44" s="556" t="str">
        <f ca="1">IF(C143="","",IF(ListAndConversion!AB146&lt;&gt;"-",ListAndConversion!AE146,IF(ListAndConversion!AN146&lt;&gt;"-",ListAndConversion!AQ146,IF(INDIRECT("ListAndConversion!AF"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45" spans="1:3" x14ac:dyDescent="0.65">
      <c r="A145" s="554" t="str">
        <f ca="1">IF(A144="","",IF(ListAndConversion!AB147&lt;&gt;"-",ListAndConversion!W147,IF(ListAndConversion!AN147&lt;&gt;"-",ListAndConversion!AJ147,IF(INDIRECT("ListAndConversion!AF"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45" s="555" t="str">
        <f ca="1">IF(B144="","",IF(ListAndConversion!AB147&lt;&gt;"-",ListAndConversion!Y147,IF(ListAndConversion!AN147&lt;&gt;"-",ListAndConversion!AK147,IF(INDIRECT("ListAndConversion!AF"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45" s="556" t="str">
        <f ca="1">IF(C144="","",IF(ListAndConversion!AB147&lt;&gt;"-",ListAndConversion!AE147,IF(ListAndConversion!AN147&lt;&gt;"-",ListAndConversion!AQ147,IF(INDIRECT("ListAndConversion!AF"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46" spans="1:3" x14ac:dyDescent="0.65">
      <c r="A146" s="554" t="str">
        <f ca="1">IF(A145="","",IF(ListAndConversion!AB148&lt;&gt;"-",ListAndConversion!W148,IF(ListAndConversion!AN148&lt;&gt;"-",ListAndConversion!AJ148,IF(INDIRECT("ListAndConversion!AF"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46" s="555" t="str">
        <f ca="1">IF(B145="","",IF(ListAndConversion!AB148&lt;&gt;"-",ListAndConversion!Y148,IF(ListAndConversion!AN148&lt;&gt;"-",ListAndConversion!AK148,IF(INDIRECT("ListAndConversion!AF"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46" s="556" t="str">
        <f ca="1">IF(C145="","",IF(ListAndConversion!AB148&lt;&gt;"-",ListAndConversion!AE148,IF(ListAndConversion!AN148&lt;&gt;"-",ListAndConversion!AQ148,IF(INDIRECT("ListAndConversion!AF"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47" spans="1:3" x14ac:dyDescent="0.65">
      <c r="A147" s="554" t="str">
        <f ca="1">IF(A146="","",IF(ListAndConversion!AB149&lt;&gt;"-",ListAndConversion!W149,IF(ListAndConversion!AN149&lt;&gt;"-",ListAndConversion!AJ149,IF(INDIRECT("ListAndConversion!AF"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47" s="555" t="str">
        <f ca="1">IF(B146="","",IF(ListAndConversion!AB149&lt;&gt;"-",ListAndConversion!Y149,IF(ListAndConversion!AN149&lt;&gt;"-",ListAndConversion!AK149,IF(INDIRECT("ListAndConversion!AF"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47" s="556" t="str">
        <f ca="1">IF(C146="","",IF(ListAndConversion!AB149&lt;&gt;"-",ListAndConversion!AE149,IF(ListAndConversion!AN149&lt;&gt;"-",ListAndConversion!AQ149,IF(INDIRECT("ListAndConversion!AF"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48" spans="1:3" x14ac:dyDescent="0.65">
      <c r="A148" s="554" t="str">
        <f ca="1">IF(A147="","",IF(ListAndConversion!AB150&lt;&gt;"-",ListAndConversion!W150,IF(ListAndConversion!AN150&lt;&gt;"-",ListAndConversion!AJ150,IF(INDIRECT("ListAndConversion!AF"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48" s="555" t="str">
        <f ca="1">IF(B147="","",IF(ListAndConversion!AB150&lt;&gt;"-",ListAndConversion!Y150,IF(ListAndConversion!AN150&lt;&gt;"-",ListAndConversion!AK150,IF(INDIRECT("ListAndConversion!AF"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48" s="556" t="str">
        <f ca="1">IF(C147="","",IF(ListAndConversion!AB150&lt;&gt;"-",ListAndConversion!AE150,IF(ListAndConversion!AN150&lt;&gt;"-",ListAndConversion!AQ150,IF(INDIRECT("ListAndConversion!AF"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49" spans="1:3" x14ac:dyDescent="0.65">
      <c r="A149" s="554" t="str">
        <f ca="1">IF(A148="","",IF(ListAndConversion!AB151&lt;&gt;"-",ListAndConversion!W151,IF(ListAndConversion!AN151&lt;&gt;"-",ListAndConversion!AJ151,IF(INDIRECT("ListAndConversion!AF"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49" s="555" t="str">
        <f ca="1">IF(B148="","",IF(ListAndConversion!AB151&lt;&gt;"-",ListAndConversion!Y151,IF(ListAndConversion!AN151&lt;&gt;"-",ListAndConversion!AK151,IF(INDIRECT("ListAndConversion!AF"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49" s="556" t="str">
        <f ca="1">IF(C148="","",IF(ListAndConversion!AB151&lt;&gt;"-",ListAndConversion!AE151,IF(ListAndConversion!AN151&lt;&gt;"-",ListAndConversion!AQ151,IF(INDIRECT("ListAndConversion!AF"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50" spans="1:3" x14ac:dyDescent="0.65">
      <c r="A150" s="554" t="str">
        <f ca="1">IF(A149="","",IF(ListAndConversion!AB152&lt;&gt;"-",ListAndConversion!W152,IF(ListAndConversion!AN152&lt;&gt;"-",ListAndConversion!AJ152,IF(INDIRECT("ListAndConversion!AF"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50" s="555" t="str">
        <f ca="1">IF(B149="","",IF(ListAndConversion!AB152&lt;&gt;"-",ListAndConversion!Y152,IF(ListAndConversion!AN152&lt;&gt;"-",ListAndConversion!AK152,IF(INDIRECT("ListAndConversion!AF"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50" s="556" t="str">
        <f ca="1">IF(C149="","",IF(ListAndConversion!AB152&lt;&gt;"-",ListAndConversion!AE152,IF(ListAndConversion!AN152&lt;&gt;"-",ListAndConversion!AQ152,IF(INDIRECT("ListAndConversion!AF"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51" spans="1:3" x14ac:dyDescent="0.65">
      <c r="A151" s="554" t="str">
        <f ca="1">IF(A150="","",IF(ListAndConversion!AB153&lt;&gt;"-",ListAndConversion!W153,IF(ListAndConversion!AN153&lt;&gt;"-",ListAndConversion!AJ153,IF(INDIRECT("ListAndConversion!AF"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51" s="555" t="str">
        <f ca="1">IF(B150="","",IF(ListAndConversion!AB153&lt;&gt;"-",ListAndConversion!Y153,IF(ListAndConversion!AN153&lt;&gt;"-",ListAndConversion!AK153,IF(INDIRECT("ListAndConversion!AF"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51" s="556" t="str">
        <f ca="1">IF(C150="","",IF(ListAndConversion!AB153&lt;&gt;"-",ListAndConversion!AE153,IF(ListAndConversion!AN153&lt;&gt;"-",ListAndConversion!AQ153,IF(INDIRECT("ListAndConversion!AF"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52" spans="1:3" x14ac:dyDescent="0.65">
      <c r="A152" s="554" t="str">
        <f ca="1">IF(A151="","",IF(ListAndConversion!AB154&lt;&gt;"-",ListAndConversion!W154,IF(ListAndConversion!AN154&lt;&gt;"-",ListAndConversion!AJ154,IF(INDIRECT("ListAndConversion!AF"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52" s="555" t="str">
        <f ca="1">IF(B151="","",IF(ListAndConversion!AB154&lt;&gt;"-",ListAndConversion!Y154,IF(ListAndConversion!AN154&lt;&gt;"-",ListAndConversion!AK154,IF(INDIRECT("ListAndConversion!AF"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52" s="556" t="str">
        <f ca="1">IF(C151="","",IF(ListAndConversion!AB154&lt;&gt;"-",ListAndConversion!AE154,IF(ListAndConversion!AN154&lt;&gt;"-",ListAndConversion!AQ154,IF(INDIRECT("ListAndConversion!AF"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53" spans="1:3" x14ac:dyDescent="0.65">
      <c r="A153" s="554" t="str">
        <f ca="1">IF(A152="","",IF(ListAndConversion!AB155&lt;&gt;"-",ListAndConversion!W155,IF(ListAndConversion!AN155&lt;&gt;"-",ListAndConversion!AJ155,IF(INDIRECT("ListAndConversion!AF"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53" s="555" t="str">
        <f ca="1">IF(B152="","",IF(ListAndConversion!AB155&lt;&gt;"-",ListAndConversion!Y155,IF(ListAndConversion!AN155&lt;&gt;"-",ListAndConversion!AK155,IF(INDIRECT("ListAndConversion!AF"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53" s="556" t="str">
        <f ca="1">IF(C152="","",IF(ListAndConversion!AB155&lt;&gt;"-",ListAndConversion!AE155,IF(ListAndConversion!AN155&lt;&gt;"-",ListAndConversion!AQ155,IF(INDIRECT("ListAndConversion!AF"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54" spans="1:3" x14ac:dyDescent="0.65">
      <c r="A154" s="554" t="str">
        <f ca="1">IF(A153="","",IF(ListAndConversion!AB156&lt;&gt;"-",ListAndConversion!W156,IF(ListAndConversion!AN156&lt;&gt;"-",ListAndConversion!AJ156,IF(INDIRECT("ListAndConversion!AF"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54" s="555" t="str">
        <f ca="1">IF(B153="","",IF(ListAndConversion!AB156&lt;&gt;"-",ListAndConversion!Y156,IF(ListAndConversion!AN156&lt;&gt;"-",ListAndConversion!AK156,IF(INDIRECT("ListAndConversion!AF"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54" s="556" t="str">
        <f ca="1">IF(C153="","",IF(ListAndConversion!AB156&lt;&gt;"-",ListAndConversion!AE156,IF(ListAndConversion!AN156&lt;&gt;"-",ListAndConversion!AQ156,IF(INDIRECT("ListAndConversion!AF"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55" spans="1:3" x14ac:dyDescent="0.65">
      <c r="A155" s="554" t="str">
        <f ca="1">IF(A154="","",IF(ListAndConversion!AB157&lt;&gt;"-",ListAndConversion!W157,IF(ListAndConversion!AN157&lt;&gt;"-",ListAndConversion!AJ157,IF(INDIRECT("ListAndConversion!AF"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55" s="555" t="str">
        <f ca="1">IF(B154="","",IF(ListAndConversion!AB157&lt;&gt;"-",ListAndConversion!Y157,IF(ListAndConversion!AN157&lt;&gt;"-",ListAndConversion!AK157,IF(INDIRECT("ListAndConversion!AF"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55" s="556" t="str">
        <f ca="1">IF(C154="","",IF(ListAndConversion!AB157&lt;&gt;"-",ListAndConversion!AE157,IF(ListAndConversion!AN157&lt;&gt;"-",ListAndConversion!AQ157,IF(INDIRECT("ListAndConversion!AF"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56" spans="1:3" x14ac:dyDescent="0.65">
      <c r="A156" s="554" t="str">
        <f ca="1">IF(A155="","",IF(ListAndConversion!AB158&lt;&gt;"-",ListAndConversion!W158,IF(ListAndConversion!AN158&lt;&gt;"-",ListAndConversion!AJ158,IF(INDIRECT("ListAndConversion!AF"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56" s="555" t="str">
        <f ca="1">IF(B155="","",IF(ListAndConversion!AB158&lt;&gt;"-",ListAndConversion!Y158,IF(ListAndConversion!AN158&lt;&gt;"-",ListAndConversion!AK158,IF(INDIRECT("ListAndConversion!AF"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56" s="556" t="str">
        <f ca="1">IF(C155="","",IF(ListAndConversion!AB158&lt;&gt;"-",ListAndConversion!AE158,IF(ListAndConversion!AN158&lt;&gt;"-",ListAndConversion!AQ158,IF(INDIRECT("ListAndConversion!AF"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57" spans="1:3" x14ac:dyDescent="0.65">
      <c r="A157" s="554" t="str">
        <f ca="1">IF(A156="","",IF(ListAndConversion!AB159&lt;&gt;"-",ListAndConversion!W159,IF(ListAndConversion!AN159&lt;&gt;"-",ListAndConversion!AJ159,IF(INDIRECT("ListAndConversion!AF"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57" s="555" t="str">
        <f ca="1">IF(B156="","",IF(ListAndConversion!AB159&lt;&gt;"-",ListAndConversion!Y159,IF(ListAndConversion!AN159&lt;&gt;"-",ListAndConversion!AK159,IF(INDIRECT("ListAndConversion!AF"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57" s="556" t="str">
        <f ca="1">IF(C156="","",IF(ListAndConversion!AB159&lt;&gt;"-",ListAndConversion!AE159,IF(ListAndConversion!AN159&lt;&gt;"-",ListAndConversion!AQ159,IF(INDIRECT("ListAndConversion!AF"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58" spans="1:3" x14ac:dyDescent="0.65">
      <c r="A158" s="554" t="str">
        <f ca="1">IF(A157="","",IF(ListAndConversion!AB160&lt;&gt;"-",ListAndConversion!W160,IF(ListAndConversion!AN160&lt;&gt;"-",ListAndConversion!AJ160,IF(INDIRECT("ListAndConversion!AF"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58" s="555" t="str">
        <f ca="1">IF(B157="","",IF(ListAndConversion!AB160&lt;&gt;"-",ListAndConversion!Y160,IF(ListAndConversion!AN160&lt;&gt;"-",ListAndConversion!AK160,IF(INDIRECT("ListAndConversion!AF"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58" s="556" t="str">
        <f ca="1">IF(C157="","",IF(ListAndConversion!AB160&lt;&gt;"-",ListAndConversion!AE160,IF(ListAndConversion!AN160&lt;&gt;"-",ListAndConversion!AQ160,IF(INDIRECT("ListAndConversion!AF"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59" spans="1:3" x14ac:dyDescent="0.65">
      <c r="A159" s="554" t="str">
        <f ca="1">IF(A158="","",IF(ListAndConversion!AB161&lt;&gt;"-",ListAndConversion!W161,IF(ListAndConversion!AN161&lt;&gt;"-",ListAndConversion!AJ161,IF(INDIRECT("ListAndConversion!AF"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59" s="555" t="str">
        <f ca="1">IF(B158="","",IF(ListAndConversion!AB161&lt;&gt;"-",ListAndConversion!Y161,IF(ListAndConversion!AN161&lt;&gt;"-",ListAndConversion!AK161,IF(INDIRECT("ListAndConversion!AF"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59" s="556" t="str">
        <f ca="1">IF(C158="","",IF(ListAndConversion!AB161&lt;&gt;"-",ListAndConversion!AE161,IF(ListAndConversion!AN161&lt;&gt;"-",ListAndConversion!AQ161,IF(INDIRECT("ListAndConversion!AF"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60" spans="1:3" x14ac:dyDescent="0.65">
      <c r="A160" s="554" t="str">
        <f ca="1">IF(A159="","",IF(ListAndConversion!AB162&lt;&gt;"-",ListAndConversion!W162,IF(ListAndConversion!AN162&lt;&gt;"-",ListAndConversion!AJ162,IF(INDIRECT("ListAndConversion!AF"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60" s="555" t="str">
        <f ca="1">IF(B159="","",IF(ListAndConversion!AB162&lt;&gt;"-",ListAndConversion!Y162,IF(ListAndConversion!AN162&lt;&gt;"-",ListAndConversion!AK162,IF(INDIRECT("ListAndConversion!AF"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60" s="556" t="str">
        <f ca="1">IF(C159="","",IF(ListAndConversion!AB162&lt;&gt;"-",ListAndConversion!AE162,IF(ListAndConversion!AN162&lt;&gt;"-",ListAndConversion!AQ162,IF(INDIRECT("ListAndConversion!AF"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61" spans="1:3" x14ac:dyDescent="0.65">
      <c r="A161" s="554" t="str">
        <f ca="1">IF(A160="","",IF(ListAndConversion!AB163&lt;&gt;"-",ListAndConversion!W163,IF(ListAndConversion!AN163&lt;&gt;"-",ListAndConversion!AJ163,IF(INDIRECT("ListAndConversion!AF"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61" s="555" t="str">
        <f ca="1">IF(B160="","",IF(ListAndConversion!AB163&lt;&gt;"-",ListAndConversion!Y163,IF(ListAndConversion!AN163&lt;&gt;"-",ListAndConversion!AK163,IF(INDIRECT("ListAndConversion!AF"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61" s="556" t="str">
        <f ca="1">IF(C160="","",IF(ListAndConversion!AB163&lt;&gt;"-",ListAndConversion!AE163,IF(ListAndConversion!AN163&lt;&gt;"-",ListAndConversion!AQ163,IF(INDIRECT("ListAndConversion!AF"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62" spans="1:3" x14ac:dyDescent="0.65">
      <c r="A162" s="554" t="str">
        <f ca="1">IF(A161="","",IF(ListAndConversion!AB164&lt;&gt;"-",ListAndConversion!W164,IF(ListAndConversion!AN164&lt;&gt;"-",ListAndConversion!AJ164,IF(INDIRECT("ListAndConversion!AF"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62" s="555" t="str">
        <f ca="1">IF(B161="","",IF(ListAndConversion!AB164&lt;&gt;"-",ListAndConversion!Y164,IF(ListAndConversion!AN164&lt;&gt;"-",ListAndConversion!AK164,IF(INDIRECT("ListAndConversion!AF"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62" s="556" t="str">
        <f ca="1">IF(C161="","",IF(ListAndConversion!AB164&lt;&gt;"-",ListAndConversion!AE164,IF(ListAndConversion!AN164&lt;&gt;"-",ListAndConversion!AQ164,IF(INDIRECT("ListAndConversion!AF"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63" spans="1:3" x14ac:dyDescent="0.65">
      <c r="A163" s="554" t="str">
        <f ca="1">IF(A162="","",IF(ListAndConversion!AB165&lt;&gt;"-",ListAndConversion!W165,IF(ListAndConversion!AN165&lt;&gt;"-",ListAndConversion!AJ165,IF(INDIRECT("ListAndConversion!AF"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63" s="555" t="str">
        <f ca="1">IF(B162="","",IF(ListAndConversion!AB165&lt;&gt;"-",ListAndConversion!Y165,IF(ListAndConversion!AN165&lt;&gt;"-",ListAndConversion!AK165,IF(INDIRECT("ListAndConversion!AF"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63" s="556" t="str">
        <f ca="1">IF(C162="","",IF(ListAndConversion!AB165&lt;&gt;"-",ListAndConversion!AE165,IF(ListAndConversion!AN165&lt;&gt;"-",ListAndConversion!AQ165,IF(INDIRECT("ListAndConversion!AF"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64" spans="1:3" x14ac:dyDescent="0.65">
      <c r="A164" s="554" t="str">
        <f ca="1">IF(A163="","",IF(ListAndConversion!AB166&lt;&gt;"-",ListAndConversion!W166,IF(ListAndConversion!AN166&lt;&gt;"-",ListAndConversion!AJ166,IF(INDIRECT("ListAndConversion!AF"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64" s="555" t="str">
        <f ca="1">IF(B163="","",IF(ListAndConversion!AB166&lt;&gt;"-",ListAndConversion!Y166,IF(ListAndConversion!AN166&lt;&gt;"-",ListAndConversion!AK166,IF(INDIRECT("ListAndConversion!AF"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64" s="556" t="str">
        <f ca="1">IF(C163="","",IF(ListAndConversion!AB166&lt;&gt;"-",ListAndConversion!AE166,IF(ListAndConversion!AN166&lt;&gt;"-",ListAndConversion!AQ166,IF(INDIRECT("ListAndConversion!AF"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65" spans="1:3" x14ac:dyDescent="0.65">
      <c r="A165" s="554" t="str">
        <f ca="1">IF(A164="","",IF(ListAndConversion!AB167&lt;&gt;"-",ListAndConversion!W167,IF(ListAndConversion!AN167&lt;&gt;"-",ListAndConversion!AJ167,IF(INDIRECT("ListAndConversion!AF"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65" s="555" t="str">
        <f ca="1">IF(B164="","",IF(ListAndConversion!AB167&lt;&gt;"-",ListAndConversion!Y167,IF(ListAndConversion!AN167&lt;&gt;"-",ListAndConversion!AK167,IF(INDIRECT("ListAndConversion!AF"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65" s="556" t="str">
        <f ca="1">IF(C164="","",IF(ListAndConversion!AB167&lt;&gt;"-",ListAndConversion!AE167,IF(ListAndConversion!AN167&lt;&gt;"-",ListAndConversion!AQ167,IF(INDIRECT("ListAndConversion!AF"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66" spans="1:3" x14ac:dyDescent="0.65">
      <c r="A166" s="554" t="str">
        <f ca="1">IF(A165="","",IF(ListAndConversion!AB168&lt;&gt;"-",ListAndConversion!W168,IF(ListAndConversion!AN168&lt;&gt;"-",ListAndConversion!AJ168,IF(INDIRECT("ListAndConversion!AF"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66" s="555" t="str">
        <f ca="1">IF(B165="","",IF(ListAndConversion!AB168&lt;&gt;"-",ListAndConversion!Y168,IF(ListAndConversion!AN168&lt;&gt;"-",ListAndConversion!AK168,IF(INDIRECT("ListAndConversion!AF"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66" s="556" t="str">
        <f ca="1">IF(C165="","",IF(ListAndConversion!AB168&lt;&gt;"-",ListAndConversion!AE168,IF(ListAndConversion!AN168&lt;&gt;"-",ListAndConversion!AQ168,IF(INDIRECT("ListAndConversion!AF"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67" spans="1:3" x14ac:dyDescent="0.65">
      <c r="A167" s="554" t="str">
        <f ca="1">IF(A166="","",IF(ListAndConversion!AB169&lt;&gt;"-",ListAndConversion!W169,IF(ListAndConversion!AN169&lt;&gt;"-",ListAndConversion!AJ169,IF(INDIRECT("ListAndConversion!AF"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67" s="555" t="str">
        <f ca="1">IF(B166="","",IF(ListAndConversion!AB169&lt;&gt;"-",ListAndConversion!Y169,IF(ListAndConversion!AN169&lt;&gt;"-",ListAndConversion!AK169,IF(INDIRECT("ListAndConversion!AF"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67" s="556" t="str">
        <f ca="1">IF(C166="","",IF(ListAndConversion!AB169&lt;&gt;"-",ListAndConversion!AE169,IF(ListAndConversion!AN169&lt;&gt;"-",ListAndConversion!AQ169,IF(INDIRECT("ListAndConversion!AF"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68" spans="1:3" x14ac:dyDescent="0.65">
      <c r="A168" s="554" t="str">
        <f ca="1">IF(A167="","",IF(ListAndConversion!AB170&lt;&gt;"-",ListAndConversion!W170,IF(ListAndConversion!AN170&lt;&gt;"-",ListAndConversion!AJ170,IF(INDIRECT("ListAndConversion!AF"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68" s="555" t="str">
        <f ca="1">IF(B167="","",IF(ListAndConversion!AB170&lt;&gt;"-",ListAndConversion!Y170,IF(ListAndConversion!AN170&lt;&gt;"-",ListAndConversion!AK170,IF(INDIRECT("ListAndConversion!AF"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68" s="556" t="str">
        <f ca="1">IF(C167="","",IF(ListAndConversion!AB170&lt;&gt;"-",ListAndConversion!AE170,IF(ListAndConversion!AN170&lt;&gt;"-",ListAndConversion!AQ170,IF(INDIRECT("ListAndConversion!AF"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69" spans="1:3" x14ac:dyDescent="0.65">
      <c r="A169" s="554" t="str">
        <f ca="1">IF(A168="","",IF(ListAndConversion!AB171&lt;&gt;"-",ListAndConversion!W171,IF(ListAndConversion!AN171&lt;&gt;"-",ListAndConversion!AJ171,IF(INDIRECT("ListAndConversion!AF"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69" s="555" t="str">
        <f ca="1">IF(B168="","",IF(ListAndConversion!AB171&lt;&gt;"-",ListAndConversion!Y171,IF(ListAndConversion!AN171&lt;&gt;"-",ListAndConversion!AK171,IF(INDIRECT("ListAndConversion!AF"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69" s="556" t="str">
        <f ca="1">IF(C168="","",IF(ListAndConversion!AB171&lt;&gt;"-",ListAndConversion!AE171,IF(ListAndConversion!AN171&lt;&gt;"-",ListAndConversion!AQ171,IF(INDIRECT("ListAndConversion!AF"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70" spans="1:3" x14ac:dyDescent="0.65">
      <c r="A170" s="554" t="str">
        <f ca="1">IF(A169="","",IF(ListAndConversion!AB172&lt;&gt;"-",ListAndConversion!W172,IF(ListAndConversion!AN172&lt;&gt;"-",ListAndConversion!AJ172,IF(INDIRECT("ListAndConversion!AF"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70" s="555" t="str">
        <f ca="1">IF(B169="","",IF(ListAndConversion!AB172&lt;&gt;"-",ListAndConversion!Y172,IF(ListAndConversion!AN172&lt;&gt;"-",ListAndConversion!AK172,IF(INDIRECT("ListAndConversion!AF"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70" s="556" t="str">
        <f ca="1">IF(C169="","",IF(ListAndConversion!AB172&lt;&gt;"-",ListAndConversion!AE172,IF(ListAndConversion!AN172&lt;&gt;"-",ListAndConversion!AQ172,IF(INDIRECT("ListAndConversion!AF"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71" spans="1:3" x14ac:dyDescent="0.65">
      <c r="A171" s="554" t="str">
        <f ca="1">IF(A170="","",IF(ListAndConversion!AB173&lt;&gt;"-",ListAndConversion!W173,IF(ListAndConversion!AN173&lt;&gt;"-",ListAndConversion!AJ173,IF(INDIRECT("ListAndConversion!AF"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71" s="555" t="str">
        <f ca="1">IF(B170="","",IF(ListAndConversion!AB173&lt;&gt;"-",ListAndConversion!Y173,IF(ListAndConversion!AN173&lt;&gt;"-",ListAndConversion!AK173,IF(INDIRECT("ListAndConversion!AF"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71" s="556" t="str">
        <f ca="1">IF(C170="","",IF(ListAndConversion!AB173&lt;&gt;"-",ListAndConversion!AE173,IF(ListAndConversion!AN173&lt;&gt;"-",ListAndConversion!AQ173,IF(INDIRECT("ListAndConversion!AF"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72" spans="1:3" x14ac:dyDescent="0.65">
      <c r="A172" s="554" t="str">
        <f ca="1">IF(A171="","",IF(ListAndConversion!AB174&lt;&gt;"-",ListAndConversion!W174,IF(ListAndConversion!AN174&lt;&gt;"-",ListAndConversion!AJ174,IF(INDIRECT("ListAndConversion!AF"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72" s="555" t="str">
        <f ca="1">IF(B171="","",IF(ListAndConversion!AB174&lt;&gt;"-",ListAndConversion!Y174,IF(ListAndConversion!AN174&lt;&gt;"-",ListAndConversion!AK174,IF(INDIRECT("ListAndConversion!AF"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72" s="556" t="str">
        <f ca="1">IF(C171="","",IF(ListAndConversion!AB174&lt;&gt;"-",ListAndConversion!AE174,IF(ListAndConversion!AN174&lt;&gt;"-",ListAndConversion!AQ174,IF(INDIRECT("ListAndConversion!AF"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73" spans="1:3" x14ac:dyDescent="0.65">
      <c r="A173" s="554" t="str">
        <f ca="1">IF(A172="","",IF(ListAndConversion!AB175&lt;&gt;"-",ListAndConversion!W175,IF(ListAndConversion!AN175&lt;&gt;"-",ListAndConversion!AJ175,IF(INDIRECT("ListAndConversion!AF"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73" s="555" t="str">
        <f ca="1">IF(B172="","",IF(ListAndConversion!AB175&lt;&gt;"-",ListAndConversion!Y175,IF(ListAndConversion!AN175&lt;&gt;"-",ListAndConversion!AK175,IF(INDIRECT("ListAndConversion!AF"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73" s="556" t="str">
        <f ca="1">IF(C172="","",IF(ListAndConversion!AB175&lt;&gt;"-",ListAndConversion!AE175,IF(ListAndConversion!AN175&lt;&gt;"-",ListAndConversion!AQ175,IF(INDIRECT("ListAndConversion!AF"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74" spans="1:3" x14ac:dyDescent="0.65">
      <c r="A174" s="554" t="str">
        <f ca="1">IF(A173="","",IF(ListAndConversion!AB176&lt;&gt;"-",ListAndConversion!W176,IF(ListAndConversion!AN176&lt;&gt;"-",ListAndConversion!AJ176,IF(INDIRECT("ListAndConversion!AF"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74" s="555" t="str">
        <f ca="1">IF(B173="","",IF(ListAndConversion!AB176&lt;&gt;"-",ListAndConversion!Y176,IF(ListAndConversion!AN176&lt;&gt;"-",ListAndConversion!AK176,IF(INDIRECT("ListAndConversion!AF"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74" s="556" t="str">
        <f ca="1">IF(C173="","",IF(ListAndConversion!AB176&lt;&gt;"-",ListAndConversion!AE176,IF(ListAndConversion!AN176&lt;&gt;"-",ListAndConversion!AQ176,IF(INDIRECT("ListAndConversion!AF"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75" spans="1:3" x14ac:dyDescent="0.65">
      <c r="A175" s="554" t="str">
        <f ca="1">IF(A174="","",IF(ListAndConversion!AB177&lt;&gt;"-",ListAndConversion!W177,IF(ListAndConversion!AN177&lt;&gt;"-",ListAndConversion!AJ177,IF(INDIRECT("ListAndConversion!AF"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75" s="555" t="str">
        <f ca="1">IF(B174="","",IF(ListAndConversion!AB177&lt;&gt;"-",ListAndConversion!Y177,IF(ListAndConversion!AN177&lt;&gt;"-",ListAndConversion!AK177,IF(INDIRECT("ListAndConversion!AF"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75" s="556" t="str">
        <f ca="1">IF(C174="","",IF(ListAndConversion!AB177&lt;&gt;"-",ListAndConversion!AE177,IF(ListAndConversion!AN177&lt;&gt;"-",ListAndConversion!AQ177,IF(INDIRECT("ListAndConversion!AF"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76" spans="1:3" x14ac:dyDescent="0.65">
      <c r="A176" s="554" t="str">
        <f ca="1">IF(A175="","",IF(ListAndConversion!AB178&lt;&gt;"-",ListAndConversion!W178,IF(ListAndConversion!AN178&lt;&gt;"-",ListAndConversion!AJ178,IF(INDIRECT("ListAndConversion!AF"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76" s="555" t="str">
        <f ca="1">IF(B175="","",IF(ListAndConversion!AB178&lt;&gt;"-",ListAndConversion!Y178,IF(ListAndConversion!AN178&lt;&gt;"-",ListAndConversion!AK178,IF(INDIRECT("ListAndConversion!AF"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76" s="556" t="str">
        <f ca="1">IF(C175="","",IF(ListAndConversion!AB178&lt;&gt;"-",ListAndConversion!AE178,IF(ListAndConversion!AN178&lt;&gt;"-",ListAndConversion!AQ178,IF(INDIRECT("ListAndConversion!AF"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77" spans="1:3" x14ac:dyDescent="0.65">
      <c r="A177" s="554" t="str">
        <f ca="1">IF(A176="","",IF(ListAndConversion!AB179&lt;&gt;"-",ListAndConversion!W179,IF(ListAndConversion!AN179&lt;&gt;"-",ListAndConversion!AJ179,IF(INDIRECT("ListAndConversion!AF"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77" s="555" t="str">
        <f ca="1">IF(B176="","",IF(ListAndConversion!AB179&lt;&gt;"-",ListAndConversion!Y179,IF(ListAndConversion!AN179&lt;&gt;"-",ListAndConversion!AK179,IF(INDIRECT("ListAndConversion!AF"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77" s="556" t="str">
        <f ca="1">IF(C176="","",IF(ListAndConversion!AB179&lt;&gt;"-",ListAndConversion!AE179,IF(ListAndConversion!AN179&lt;&gt;"-",ListAndConversion!AQ179,IF(INDIRECT("ListAndConversion!AF"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78" spans="1:3" x14ac:dyDescent="0.65">
      <c r="A178" s="554" t="str">
        <f ca="1">IF(A177="","",IF(ListAndConversion!AB180&lt;&gt;"-",ListAndConversion!W180,IF(ListAndConversion!AN180&lt;&gt;"-",ListAndConversion!AJ180,IF(INDIRECT("ListAndConversion!AF"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78" s="555" t="str">
        <f ca="1">IF(B177="","",IF(ListAndConversion!AB180&lt;&gt;"-",ListAndConversion!Y180,IF(ListAndConversion!AN180&lt;&gt;"-",ListAndConversion!AK180,IF(INDIRECT("ListAndConversion!AF"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78" s="556" t="str">
        <f ca="1">IF(C177="","",IF(ListAndConversion!AB180&lt;&gt;"-",ListAndConversion!AE180,IF(ListAndConversion!AN180&lt;&gt;"-",ListAndConversion!AQ180,IF(INDIRECT("ListAndConversion!AF"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79" spans="1:3" x14ac:dyDescent="0.65">
      <c r="A179" s="554" t="str">
        <f ca="1">IF(A178="","",IF(ListAndConversion!AB181&lt;&gt;"-",ListAndConversion!W181,IF(ListAndConversion!AN181&lt;&gt;"-",ListAndConversion!AJ181,IF(INDIRECT("ListAndConversion!AF"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79" s="555" t="str">
        <f ca="1">IF(B178="","",IF(ListAndConversion!AB181&lt;&gt;"-",ListAndConversion!Y181,IF(ListAndConversion!AN181&lt;&gt;"-",ListAndConversion!AK181,IF(INDIRECT("ListAndConversion!AF"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79" s="556" t="str">
        <f ca="1">IF(C178="","",IF(ListAndConversion!AB181&lt;&gt;"-",ListAndConversion!AE181,IF(ListAndConversion!AN181&lt;&gt;"-",ListAndConversion!AQ181,IF(INDIRECT("ListAndConversion!AF"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80" spans="1:3" x14ac:dyDescent="0.65">
      <c r="A180" s="554" t="str">
        <f ca="1">IF(A179="","",IF(ListAndConversion!AB182&lt;&gt;"-",ListAndConversion!W182,IF(ListAndConversion!AN182&lt;&gt;"-",ListAndConversion!AJ182,IF(INDIRECT("ListAndConversion!AF"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80" s="555" t="str">
        <f ca="1">IF(B179="","",IF(ListAndConversion!AB182&lt;&gt;"-",ListAndConversion!Y182,IF(ListAndConversion!AN182&lt;&gt;"-",ListAndConversion!AK182,IF(INDIRECT("ListAndConversion!AF"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80" s="556" t="str">
        <f ca="1">IF(C179="","",IF(ListAndConversion!AB182&lt;&gt;"-",ListAndConversion!AE182,IF(ListAndConversion!AN182&lt;&gt;"-",ListAndConversion!AQ182,IF(INDIRECT("ListAndConversion!AF"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81" spans="1:3" x14ac:dyDescent="0.65">
      <c r="A181" s="554" t="str">
        <f ca="1">IF(A180="","",IF(ListAndConversion!AB183&lt;&gt;"-",ListAndConversion!W183,IF(ListAndConversion!AN183&lt;&gt;"-",ListAndConversion!AJ183,IF(INDIRECT("ListAndConversion!AF"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81" s="555" t="str">
        <f ca="1">IF(B180="","",IF(ListAndConversion!AB183&lt;&gt;"-",ListAndConversion!Y183,IF(ListAndConversion!AN183&lt;&gt;"-",ListAndConversion!AK183,IF(INDIRECT("ListAndConversion!AF"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81" s="556" t="str">
        <f ca="1">IF(C180="","",IF(ListAndConversion!AB183&lt;&gt;"-",ListAndConversion!AE183,IF(ListAndConversion!AN183&lt;&gt;"-",ListAndConversion!AQ183,IF(INDIRECT("ListAndConversion!AF"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82" spans="1:3" x14ac:dyDescent="0.65">
      <c r="A182" s="554" t="str">
        <f ca="1">IF(A181="","",IF(ListAndConversion!AB184&lt;&gt;"-",ListAndConversion!W184,IF(ListAndConversion!AN184&lt;&gt;"-",ListAndConversion!AJ184,IF(INDIRECT("ListAndConversion!AF"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82" s="555" t="str">
        <f ca="1">IF(B181="","",IF(ListAndConversion!AB184&lt;&gt;"-",ListAndConversion!Y184,IF(ListAndConversion!AN184&lt;&gt;"-",ListAndConversion!AK184,IF(INDIRECT("ListAndConversion!AF"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82" s="556" t="str">
        <f ca="1">IF(C181="","",IF(ListAndConversion!AB184&lt;&gt;"-",ListAndConversion!AE184,IF(ListAndConversion!AN184&lt;&gt;"-",ListAndConversion!AQ184,IF(INDIRECT("ListAndConversion!AF"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83" spans="1:3" x14ac:dyDescent="0.65">
      <c r="A183" s="554" t="str">
        <f ca="1">IF(A182="","",IF(ListAndConversion!AB185&lt;&gt;"-",ListAndConversion!W185,IF(ListAndConversion!AN185&lt;&gt;"-",ListAndConversion!AJ185,IF(INDIRECT("ListAndConversion!AF"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83" s="555" t="str">
        <f ca="1">IF(B182="","",IF(ListAndConversion!AB185&lt;&gt;"-",ListAndConversion!Y185,IF(ListAndConversion!AN185&lt;&gt;"-",ListAndConversion!AK185,IF(INDIRECT("ListAndConversion!AF"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83" s="556" t="str">
        <f ca="1">IF(C182="","",IF(ListAndConversion!AB185&lt;&gt;"-",ListAndConversion!AE185,IF(ListAndConversion!AN185&lt;&gt;"-",ListAndConversion!AQ185,IF(INDIRECT("ListAndConversion!AF"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84" spans="1:3" x14ac:dyDescent="0.65">
      <c r="A184" s="554" t="str">
        <f ca="1">IF(A183="","",IF(ListAndConversion!AB186&lt;&gt;"-",ListAndConversion!W186,IF(ListAndConversion!AN186&lt;&gt;"-",ListAndConversion!AJ186,IF(INDIRECT("ListAndConversion!AF"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84" s="555" t="str">
        <f ca="1">IF(B183="","",IF(ListAndConversion!AB186&lt;&gt;"-",ListAndConversion!Y186,IF(ListAndConversion!AN186&lt;&gt;"-",ListAndConversion!AK186,IF(INDIRECT("ListAndConversion!AF"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84" s="556" t="str">
        <f ca="1">IF(C183="","",IF(ListAndConversion!AB186&lt;&gt;"-",ListAndConversion!AE186,IF(ListAndConversion!AN186&lt;&gt;"-",ListAndConversion!AQ186,IF(INDIRECT("ListAndConversion!AF"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85" spans="1:3" x14ac:dyDescent="0.65">
      <c r="A185" s="554" t="str">
        <f ca="1">IF(A184="","",IF(ListAndConversion!AB187&lt;&gt;"-",ListAndConversion!W187,IF(ListAndConversion!AN187&lt;&gt;"-",ListAndConversion!AJ187,IF(INDIRECT("ListAndConversion!AF"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85" s="555" t="str">
        <f ca="1">IF(B184="","",IF(ListAndConversion!AB187&lt;&gt;"-",ListAndConversion!Y187,IF(ListAndConversion!AN187&lt;&gt;"-",ListAndConversion!AK187,IF(INDIRECT("ListAndConversion!AF"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85" s="556" t="str">
        <f ca="1">IF(C184="","",IF(ListAndConversion!AB187&lt;&gt;"-",ListAndConversion!AE187,IF(ListAndConversion!AN187&lt;&gt;"-",ListAndConversion!AQ187,IF(INDIRECT("ListAndConversion!AF"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86" spans="1:3" x14ac:dyDescent="0.65">
      <c r="A186" s="554" t="str">
        <f ca="1">IF(A185="","",IF(ListAndConversion!AB188&lt;&gt;"-",ListAndConversion!W188,IF(ListAndConversion!AN188&lt;&gt;"-",ListAndConversion!AJ188,IF(INDIRECT("ListAndConversion!AF"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86" s="555" t="str">
        <f ca="1">IF(B185="","",IF(ListAndConversion!AB188&lt;&gt;"-",ListAndConversion!Y188,IF(ListAndConversion!AN188&lt;&gt;"-",ListAndConversion!AK188,IF(INDIRECT("ListAndConversion!AF"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86" s="556" t="str">
        <f ca="1">IF(C185="","",IF(ListAndConversion!AB188&lt;&gt;"-",ListAndConversion!AE188,IF(ListAndConversion!AN188&lt;&gt;"-",ListAndConversion!AQ188,IF(INDIRECT("ListAndConversion!AF"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87" spans="1:3" x14ac:dyDescent="0.65">
      <c r="A187" s="554" t="str">
        <f ca="1">IF(A186="","",IF(ListAndConversion!AB189&lt;&gt;"-",ListAndConversion!W189,IF(ListAndConversion!AN189&lt;&gt;"-",ListAndConversion!AJ189,IF(INDIRECT("ListAndConversion!AF"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87" s="555" t="str">
        <f ca="1">IF(B186="","",IF(ListAndConversion!AB189&lt;&gt;"-",ListAndConversion!Y189,IF(ListAndConversion!AN189&lt;&gt;"-",ListAndConversion!AK189,IF(INDIRECT("ListAndConversion!AF"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87" s="556" t="str">
        <f ca="1">IF(C186="","",IF(ListAndConversion!AB189&lt;&gt;"-",ListAndConversion!AE189,IF(ListAndConversion!AN189&lt;&gt;"-",ListAndConversion!AQ189,IF(INDIRECT("ListAndConversion!AF"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88" spans="1:3" x14ac:dyDescent="0.65">
      <c r="A188" s="554" t="str">
        <f ca="1">IF(A187="","",IF(ListAndConversion!AB190&lt;&gt;"-",ListAndConversion!W190,IF(ListAndConversion!AN190&lt;&gt;"-",ListAndConversion!AJ190,IF(INDIRECT("ListAndConversion!AF"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88" s="555" t="str">
        <f ca="1">IF(B187="","",IF(ListAndConversion!AB190&lt;&gt;"-",ListAndConversion!Y190,IF(ListAndConversion!AN190&lt;&gt;"-",ListAndConversion!AK190,IF(INDIRECT("ListAndConversion!AF"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88" s="556" t="str">
        <f ca="1">IF(C187="","",IF(ListAndConversion!AB190&lt;&gt;"-",ListAndConversion!AE190,IF(ListAndConversion!AN190&lt;&gt;"-",ListAndConversion!AQ190,IF(INDIRECT("ListAndConversion!AF"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89" spans="1:3" x14ac:dyDescent="0.65">
      <c r="A189" s="554" t="str">
        <f ca="1">IF(A188="","",IF(ListAndConversion!AB191&lt;&gt;"-",ListAndConversion!W191,IF(ListAndConversion!AN191&lt;&gt;"-",ListAndConversion!AJ191,IF(INDIRECT("ListAndConversion!AF"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89" s="555" t="str">
        <f ca="1">IF(B188="","",IF(ListAndConversion!AB191&lt;&gt;"-",ListAndConversion!Y191,IF(ListAndConversion!AN191&lt;&gt;"-",ListAndConversion!AK191,IF(INDIRECT("ListAndConversion!AF"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89" s="556" t="str">
        <f ca="1">IF(C188="","",IF(ListAndConversion!AB191&lt;&gt;"-",ListAndConversion!AE191,IF(ListAndConversion!AN191&lt;&gt;"-",ListAndConversion!AQ191,IF(INDIRECT("ListAndConversion!AF"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90" spans="1:3" x14ac:dyDescent="0.65">
      <c r="A190" s="554" t="str">
        <f ca="1">IF(A189="","",IF(ListAndConversion!AB192&lt;&gt;"-",ListAndConversion!W192,IF(ListAndConversion!AN192&lt;&gt;"-",ListAndConversion!AJ192,IF(INDIRECT("ListAndConversion!AF"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90" s="555" t="str">
        <f ca="1">IF(B189="","",IF(ListAndConversion!AB192&lt;&gt;"-",ListAndConversion!Y192,IF(ListAndConversion!AN192&lt;&gt;"-",ListAndConversion!AK192,IF(INDIRECT("ListAndConversion!AF"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90" s="556" t="str">
        <f ca="1">IF(C189="","",IF(ListAndConversion!AB192&lt;&gt;"-",ListAndConversion!AE192,IF(ListAndConversion!AN192&lt;&gt;"-",ListAndConversion!AQ192,IF(INDIRECT("ListAndConversion!AF"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91" spans="1:3" x14ac:dyDescent="0.65">
      <c r="A191" s="554" t="str">
        <f ca="1">IF(A190="","",IF(ListAndConversion!AB193&lt;&gt;"-",ListAndConversion!W193,IF(ListAndConversion!AN193&lt;&gt;"-",ListAndConversion!AJ193,IF(INDIRECT("ListAndConversion!AF"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91" s="555" t="str">
        <f ca="1">IF(B190="","",IF(ListAndConversion!AB193&lt;&gt;"-",ListAndConversion!Y193,IF(ListAndConversion!AN193&lt;&gt;"-",ListAndConversion!AK193,IF(INDIRECT("ListAndConversion!AF"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91" s="556" t="str">
        <f ca="1">IF(C190="","",IF(ListAndConversion!AB193&lt;&gt;"-",ListAndConversion!AE193,IF(ListAndConversion!AN193&lt;&gt;"-",ListAndConversion!AQ193,IF(INDIRECT("ListAndConversion!AF"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92" spans="1:3" x14ac:dyDescent="0.65">
      <c r="A192" s="554" t="str">
        <f ca="1">IF(A191="","",IF(ListAndConversion!AB194&lt;&gt;"-",ListAndConversion!W194,IF(ListAndConversion!AN194&lt;&gt;"-",ListAndConversion!AJ194,IF(INDIRECT("ListAndConversion!AF"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92" s="555" t="str">
        <f ca="1">IF(B191="","",IF(ListAndConversion!AB194&lt;&gt;"-",ListAndConversion!Y194,IF(ListAndConversion!AN194&lt;&gt;"-",ListAndConversion!AK194,IF(INDIRECT("ListAndConversion!AF"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92" s="556" t="str">
        <f ca="1">IF(C191="","",IF(ListAndConversion!AB194&lt;&gt;"-",ListAndConversion!AE194,IF(ListAndConversion!AN194&lt;&gt;"-",ListAndConversion!AQ194,IF(INDIRECT("ListAndConversion!AF"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93" spans="1:3" x14ac:dyDescent="0.65">
      <c r="A193" s="554" t="str">
        <f ca="1">IF(A192="","",IF(ListAndConversion!AB195&lt;&gt;"-",ListAndConversion!W195,IF(ListAndConversion!AN195&lt;&gt;"-",ListAndConversion!AJ195,IF(INDIRECT("ListAndConversion!AF"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93" s="555" t="str">
        <f ca="1">IF(B192="","",IF(ListAndConversion!AB195&lt;&gt;"-",ListAndConversion!Y195,IF(ListAndConversion!AN195&lt;&gt;"-",ListAndConversion!AK195,IF(INDIRECT("ListAndConversion!AF"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93" s="556" t="str">
        <f ca="1">IF(C192="","",IF(ListAndConversion!AB195&lt;&gt;"-",ListAndConversion!AE195,IF(ListAndConversion!AN195&lt;&gt;"-",ListAndConversion!AQ195,IF(INDIRECT("ListAndConversion!AF"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94" spans="1:3" x14ac:dyDescent="0.65">
      <c r="A194" s="554" t="str">
        <f ca="1">IF(A193="","",IF(ListAndConversion!AB196&lt;&gt;"-",ListAndConversion!W196,IF(ListAndConversion!AN196&lt;&gt;"-",ListAndConversion!AJ196,IF(INDIRECT("ListAndConversion!AF"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94" s="555" t="str">
        <f ca="1">IF(B193="","",IF(ListAndConversion!AB196&lt;&gt;"-",ListAndConversion!Y196,IF(ListAndConversion!AN196&lt;&gt;"-",ListAndConversion!AK196,IF(INDIRECT("ListAndConversion!AF"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94" s="556" t="str">
        <f ca="1">IF(C193="","",IF(ListAndConversion!AB196&lt;&gt;"-",ListAndConversion!AE196,IF(ListAndConversion!AN196&lt;&gt;"-",ListAndConversion!AQ196,IF(INDIRECT("ListAndConversion!AF"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95" spans="1:3" x14ac:dyDescent="0.65">
      <c r="A195" s="554" t="str">
        <f ca="1">IF(A194="","",IF(ListAndConversion!AB197&lt;&gt;"-",ListAndConversion!W197,IF(ListAndConversion!AN197&lt;&gt;"-",ListAndConversion!AJ197,IF(INDIRECT("ListAndConversion!AF"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95" s="555" t="str">
        <f ca="1">IF(B194="","",IF(ListAndConversion!AB197&lt;&gt;"-",ListAndConversion!Y197,IF(ListAndConversion!AN197&lt;&gt;"-",ListAndConversion!AK197,IF(INDIRECT("ListAndConversion!AF"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95" s="556" t="str">
        <f ca="1">IF(C194="","",IF(ListAndConversion!AB197&lt;&gt;"-",ListAndConversion!AE197,IF(ListAndConversion!AN197&lt;&gt;"-",ListAndConversion!AQ197,IF(INDIRECT("ListAndConversion!AF"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96" spans="1:3" x14ac:dyDescent="0.65">
      <c r="A196" s="554" t="str">
        <f ca="1">IF(A195="","",IF(ListAndConversion!AB198&lt;&gt;"-",ListAndConversion!W198,IF(ListAndConversion!AN198&lt;&gt;"-",ListAndConversion!AJ198,IF(INDIRECT("ListAndConversion!AF"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96" s="555" t="str">
        <f ca="1">IF(B195="","",IF(ListAndConversion!AB198&lt;&gt;"-",ListAndConversion!Y198,IF(ListAndConversion!AN198&lt;&gt;"-",ListAndConversion!AK198,IF(INDIRECT("ListAndConversion!AF"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96" s="556" t="str">
        <f ca="1">IF(C195="","",IF(ListAndConversion!AB198&lt;&gt;"-",ListAndConversion!AE198,IF(ListAndConversion!AN198&lt;&gt;"-",ListAndConversion!AQ198,IF(INDIRECT("ListAndConversion!AF"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97" spans="1:3" x14ac:dyDescent="0.65">
      <c r="A197" s="554" t="str">
        <f ca="1">IF(A196="","",IF(ListAndConversion!AB199&lt;&gt;"-",ListAndConversion!W199,IF(ListAndConversion!AN199&lt;&gt;"-",ListAndConversion!AJ199,IF(INDIRECT("ListAndConversion!AF"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97" s="555" t="str">
        <f ca="1">IF(B196="","",IF(ListAndConversion!AB199&lt;&gt;"-",ListAndConversion!Y199,IF(ListAndConversion!AN199&lt;&gt;"-",ListAndConversion!AK199,IF(INDIRECT("ListAndConversion!AF"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97" s="556" t="str">
        <f ca="1">IF(C196="","",IF(ListAndConversion!AB199&lt;&gt;"-",ListAndConversion!AE199,IF(ListAndConversion!AN199&lt;&gt;"-",ListAndConversion!AQ199,IF(INDIRECT("ListAndConversion!AF"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98" spans="1:3" x14ac:dyDescent="0.65">
      <c r="A198" s="554" t="str">
        <f ca="1">IF(A197="","",IF(ListAndConversion!AB200&lt;&gt;"-",ListAndConversion!W200,IF(ListAndConversion!AN200&lt;&gt;"-",ListAndConversion!AJ200,IF(INDIRECT("ListAndConversion!AF"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98" s="555" t="str">
        <f ca="1">IF(B197="","",IF(ListAndConversion!AB200&lt;&gt;"-",ListAndConversion!Y200,IF(ListAndConversion!AN200&lt;&gt;"-",ListAndConversion!AK200,IF(INDIRECT("ListAndConversion!AF"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98" s="556" t="str">
        <f ca="1">IF(C197="","",IF(ListAndConversion!AB200&lt;&gt;"-",ListAndConversion!AE200,IF(ListAndConversion!AN200&lt;&gt;"-",ListAndConversion!AQ200,IF(INDIRECT("ListAndConversion!AF"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199" spans="1:3" x14ac:dyDescent="0.65">
      <c r="A199" s="554" t="str">
        <f ca="1">IF(A198="","",IF(ListAndConversion!AB201&lt;&gt;"-",ListAndConversion!W201,IF(ListAndConversion!AN201&lt;&gt;"-",ListAndConversion!AJ201,IF(INDIRECT("ListAndConversion!AF"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199" s="555" t="str">
        <f ca="1">IF(B198="","",IF(ListAndConversion!AB201&lt;&gt;"-",ListAndConversion!Y201,IF(ListAndConversion!AN201&lt;&gt;"-",ListAndConversion!AK201,IF(INDIRECT("ListAndConversion!AF"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199" s="556" t="str">
        <f ca="1">IF(C198="","",IF(ListAndConversion!AB201&lt;&gt;"-",ListAndConversion!AE201,IF(ListAndConversion!AN201&lt;&gt;"-",ListAndConversion!AQ201,IF(INDIRECT("ListAndConversion!AF"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00" spans="1:3" x14ac:dyDescent="0.65">
      <c r="A200" s="554" t="str">
        <f ca="1">IF(A199="","",IF(ListAndConversion!AB202&lt;&gt;"-",ListAndConversion!W202,IF(ListAndConversion!AN202&lt;&gt;"-",ListAndConversion!AJ202,IF(INDIRECT("ListAndConversion!AF"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00" s="555" t="str">
        <f ca="1">IF(B199="","",IF(ListAndConversion!AB202&lt;&gt;"-",ListAndConversion!Y202,IF(ListAndConversion!AN202&lt;&gt;"-",ListAndConversion!AK202,IF(INDIRECT("ListAndConversion!AF"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00" s="556" t="str">
        <f ca="1">IF(C199="","",IF(ListAndConversion!AB202&lt;&gt;"-",ListAndConversion!AE202,IF(ListAndConversion!AN202&lt;&gt;"-",ListAndConversion!AQ202,IF(INDIRECT("ListAndConversion!AF"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01" spans="1:3" x14ac:dyDescent="0.65">
      <c r="A201" s="554" t="str">
        <f ca="1">IF(A200="","",IF(ListAndConversion!AB203&lt;&gt;"-",ListAndConversion!W203,IF(ListAndConversion!AN203&lt;&gt;"-",ListAndConversion!AJ203,IF(INDIRECT("ListAndConversion!AF"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01" s="555" t="str">
        <f ca="1">IF(B200="","",IF(ListAndConversion!AB203&lt;&gt;"-",ListAndConversion!Y203,IF(ListAndConversion!AN203&lt;&gt;"-",ListAndConversion!AK203,IF(INDIRECT("ListAndConversion!AF"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01" s="556" t="str">
        <f ca="1">IF(C200="","",IF(ListAndConversion!AB203&lt;&gt;"-",ListAndConversion!AE203,IF(ListAndConversion!AN203&lt;&gt;"-",ListAndConversion!AQ203,IF(INDIRECT("ListAndConversion!AF"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02" spans="1:3" x14ac:dyDescent="0.65">
      <c r="A202" s="554" t="str">
        <f ca="1">IF(A201="","",IF(ListAndConversion!AB204&lt;&gt;"-",ListAndConversion!W204,IF(ListAndConversion!AN204&lt;&gt;"-",ListAndConversion!AJ204,IF(INDIRECT("ListAndConversion!AF"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02" s="555" t="str">
        <f ca="1">IF(B201="","",IF(ListAndConversion!AB204&lt;&gt;"-",ListAndConversion!Y204,IF(ListAndConversion!AN204&lt;&gt;"-",ListAndConversion!AK204,IF(INDIRECT("ListAndConversion!AF"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02" s="556" t="str">
        <f ca="1">IF(C201="","",IF(ListAndConversion!AB204&lt;&gt;"-",ListAndConversion!AE204,IF(ListAndConversion!AN204&lt;&gt;"-",ListAndConversion!AQ204,IF(INDIRECT("ListAndConversion!AF"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03" spans="1:3" x14ac:dyDescent="0.65">
      <c r="A203" s="554" t="str">
        <f ca="1">IF(A202="","",IF(ListAndConversion!AB205&lt;&gt;"-",ListAndConversion!W205,IF(ListAndConversion!AN205&lt;&gt;"-",ListAndConversion!AJ205,IF(INDIRECT("ListAndConversion!AF"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03" s="555" t="str">
        <f ca="1">IF(B202="","",IF(ListAndConversion!AB205&lt;&gt;"-",ListAndConversion!Y205,IF(ListAndConversion!AN205&lt;&gt;"-",ListAndConversion!AK205,IF(INDIRECT("ListAndConversion!AF"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03" s="556" t="str">
        <f ca="1">IF(C202="","",IF(ListAndConversion!AB205&lt;&gt;"-",ListAndConversion!AE205,IF(ListAndConversion!AN205&lt;&gt;"-",ListAndConversion!AQ205,IF(INDIRECT("ListAndConversion!AF"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04" spans="1:3" x14ac:dyDescent="0.65">
      <c r="A204" s="554" t="str">
        <f ca="1">IF(A203="","",IF(ListAndConversion!AB206&lt;&gt;"-",ListAndConversion!W206,IF(ListAndConversion!AN206&lt;&gt;"-",ListAndConversion!AJ206,IF(INDIRECT("ListAndConversion!AF"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04" s="555" t="str">
        <f ca="1">IF(B203="","",IF(ListAndConversion!AB206&lt;&gt;"-",ListAndConversion!Y206,IF(ListAndConversion!AN206&lt;&gt;"-",ListAndConversion!AK206,IF(INDIRECT("ListAndConversion!AF"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04" s="556" t="str">
        <f ca="1">IF(C203="","",IF(ListAndConversion!AB206&lt;&gt;"-",ListAndConversion!AE206,IF(ListAndConversion!AN206&lt;&gt;"-",ListAndConversion!AQ206,IF(INDIRECT("ListAndConversion!AF"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05" spans="1:3" x14ac:dyDescent="0.65">
      <c r="A205" s="554" t="str">
        <f ca="1">IF(A204="","",IF(ListAndConversion!AB207&lt;&gt;"-",ListAndConversion!W207,IF(ListAndConversion!AN207&lt;&gt;"-",ListAndConversion!AJ207,IF(INDIRECT("ListAndConversion!AF"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05" s="555" t="str">
        <f ca="1">IF(B204="","",IF(ListAndConversion!AB207&lt;&gt;"-",ListAndConversion!Y207,IF(ListAndConversion!AN207&lt;&gt;"-",ListAndConversion!AK207,IF(INDIRECT("ListAndConversion!AF"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05" s="556" t="str">
        <f ca="1">IF(C204="","",IF(ListAndConversion!AB207&lt;&gt;"-",ListAndConversion!AE207,IF(ListAndConversion!AN207&lt;&gt;"-",ListAndConversion!AQ207,IF(INDIRECT("ListAndConversion!AF"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06" spans="1:3" x14ac:dyDescent="0.65">
      <c r="A206" s="554" t="str">
        <f ca="1">IF(A205="","",IF(ListAndConversion!AB208&lt;&gt;"-",ListAndConversion!W208,IF(ListAndConversion!AN208&lt;&gt;"-",ListAndConversion!AJ208,IF(INDIRECT("ListAndConversion!AF"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06" s="555" t="str">
        <f ca="1">IF(B205="","",IF(ListAndConversion!AB208&lt;&gt;"-",ListAndConversion!Y208,IF(ListAndConversion!AN208&lt;&gt;"-",ListAndConversion!AK208,IF(INDIRECT("ListAndConversion!AF"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06" s="556" t="str">
        <f ca="1">IF(C205="","",IF(ListAndConversion!AB208&lt;&gt;"-",ListAndConversion!AE208,IF(ListAndConversion!AN208&lt;&gt;"-",ListAndConversion!AQ208,IF(INDIRECT("ListAndConversion!AF"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07" spans="1:3" x14ac:dyDescent="0.65">
      <c r="A207" s="554" t="str">
        <f ca="1">IF(A206="","",IF(ListAndConversion!AB209&lt;&gt;"-",ListAndConversion!W209,IF(ListAndConversion!AN209&lt;&gt;"-",ListAndConversion!AJ209,IF(INDIRECT("ListAndConversion!AF"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07" s="555" t="str">
        <f ca="1">IF(B206="","",IF(ListAndConversion!AB209&lt;&gt;"-",ListAndConversion!Y209,IF(ListAndConversion!AN209&lt;&gt;"-",ListAndConversion!AK209,IF(INDIRECT("ListAndConversion!AF"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07" s="556" t="str">
        <f ca="1">IF(C206="","",IF(ListAndConversion!AB209&lt;&gt;"-",ListAndConversion!AE209,IF(ListAndConversion!AN209&lt;&gt;"-",ListAndConversion!AQ209,IF(INDIRECT("ListAndConversion!AF"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08" spans="1:3" x14ac:dyDescent="0.65">
      <c r="A208" s="554" t="str">
        <f ca="1">IF(A207="","",IF(ListAndConversion!AB210&lt;&gt;"-",ListAndConversion!W210,IF(ListAndConversion!AN210&lt;&gt;"-",ListAndConversion!AJ210,IF(INDIRECT("ListAndConversion!AF"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08" s="555" t="str">
        <f ca="1">IF(B207="","",IF(ListAndConversion!AB210&lt;&gt;"-",ListAndConversion!Y210,IF(ListAndConversion!AN210&lt;&gt;"-",ListAndConversion!AK210,IF(INDIRECT("ListAndConversion!AF"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08" s="556" t="str">
        <f ca="1">IF(C207="","",IF(ListAndConversion!AB210&lt;&gt;"-",ListAndConversion!AE210,IF(ListAndConversion!AN210&lt;&gt;"-",ListAndConversion!AQ210,IF(INDIRECT("ListAndConversion!AF"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09" spans="1:3" x14ac:dyDescent="0.65">
      <c r="A209" s="554" t="str">
        <f ca="1">IF(A208="","",IF(ListAndConversion!AB211&lt;&gt;"-",ListAndConversion!W211,IF(ListAndConversion!AN211&lt;&gt;"-",ListAndConversion!AJ211,IF(INDIRECT("ListAndConversion!AF"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09" s="555" t="str">
        <f ca="1">IF(B208="","",IF(ListAndConversion!AB211&lt;&gt;"-",ListAndConversion!Y211,IF(ListAndConversion!AN211&lt;&gt;"-",ListAndConversion!AK211,IF(INDIRECT("ListAndConversion!AF"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09" s="556" t="str">
        <f ca="1">IF(C208="","",IF(ListAndConversion!AB211&lt;&gt;"-",ListAndConversion!AE211,IF(ListAndConversion!AN211&lt;&gt;"-",ListAndConversion!AQ211,IF(INDIRECT("ListAndConversion!AF"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10" spans="1:3" x14ac:dyDescent="0.65">
      <c r="A210" s="554" t="str">
        <f ca="1">IF(A209="","",IF(ListAndConversion!AB212&lt;&gt;"-",ListAndConversion!W212,IF(ListAndConversion!AN212&lt;&gt;"-",ListAndConversion!AJ212,IF(INDIRECT("ListAndConversion!AF"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10" s="555" t="str">
        <f ca="1">IF(B209="","",IF(ListAndConversion!AB212&lt;&gt;"-",ListAndConversion!Y212,IF(ListAndConversion!AN212&lt;&gt;"-",ListAndConversion!AK212,IF(INDIRECT("ListAndConversion!AF"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10" s="556" t="str">
        <f ca="1">IF(C209="","",IF(ListAndConversion!AB212&lt;&gt;"-",ListAndConversion!AE212,IF(ListAndConversion!AN212&lt;&gt;"-",ListAndConversion!AQ212,IF(INDIRECT("ListAndConversion!AF"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11" spans="1:3" x14ac:dyDescent="0.65">
      <c r="A211" s="554" t="str">
        <f ca="1">IF(A210="","",IF(ListAndConversion!AB213&lt;&gt;"-",ListAndConversion!W213,IF(ListAndConversion!AN213&lt;&gt;"-",ListAndConversion!AJ213,IF(INDIRECT("ListAndConversion!AF"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11" s="555" t="str">
        <f ca="1">IF(B210="","",IF(ListAndConversion!AB213&lt;&gt;"-",ListAndConversion!Y213,IF(ListAndConversion!AN213&lt;&gt;"-",ListAndConversion!AK213,IF(INDIRECT("ListAndConversion!AF"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11" s="556" t="str">
        <f ca="1">IF(C210="","",IF(ListAndConversion!AB213&lt;&gt;"-",ListAndConversion!AE213,IF(ListAndConversion!AN213&lt;&gt;"-",ListAndConversion!AQ213,IF(INDIRECT("ListAndConversion!AF"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12" spans="1:3" x14ac:dyDescent="0.65">
      <c r="A212" s="554" t="str">
        <f ca="1">IF(A211="","",IF(ListAndConversion!AB214&lt;&gt;"-",ListAndConversion!W214,IF(ListAndConversion!AN214&lt;&gt;"-",ListAndConversion!AJ214,IF(INDIRECT("ListAndConversion!AF"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12" s="555" t="str">
        <f ca="1">IF(B211="","",IF(ListAndConversion!AB214&lt;&gt;"-",ListAndConversion!Y214,IF(ListAndConversion!AN214&lt;&gt;"-",ListAndConversion!AK214,IF(INDIRECT("ListAndConversion!AF"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12" s="556" t="str">
        <f ca="1">IF(C211="","",IF(ListAndConversion!AB214&lt;&gt;"-",ListAndConversion!AE214,IF(ListAndConversion!AN214&lt;&gt;"-",ListAndConversion!AQ214,IF(INDIRECT("ListAndConversion!AF"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13" spans="1:3" x14ac:dyDescent="0.65">
      <c r="A213" s="554" t="str">
        <f ca="1">IF(A212="","",IF(ListAndConversion!AB215&lt;&gt;"-",ListAndConversion!W215,IF(ListAndConversion!AN215&lt;&gt;"-",ListAndConversion!AJ215,IF(INDIRECT("ListAndConversion!AF"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13" s="555" t="str">
        <f ca="1">IF(B212="","",IF(ListAndConversion!AB215&lt;&gt;"-",ListAndConversion!Y215,IF(ListAndConversion!AN215&lt;&gt;"-",ListAndConversion!AK215,IF(INDIRECT("ListAndConversion!AF"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13" s="556" t="str">
        <f ca="1">IF(C212="","",IF(ListAndConversion!AB215&lt;&gt;"-",ListAndConversion!AE215,IF(ListAndConversion!AN215&lt;&gt;"-",ListAndConversion!AQ215,IF(INDIRECT("ListAndConversion!AF"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14" spans="1:3" x14ac:dyDescent="0.65">
      <c r="A214" s="554" t="str">
        <f ca="1">IF(A213="","",IF(ListAndConversion!AB216&lt;&gt;"-",ListAndConversion!W216,IF(ListAndConversion!AN216&lt;&gt;"-",ListAndConversion!AJ216,IF(INDIRECT("ListAndConversion!AF"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14" s="555" t="str">
        <f ca="1">IF(B213="","",IF(ListAndConversion!AB216&lt;&gt;"-",ListAndConversion!Y216,IF(ListAndConversion!AN216&lt;&gt;"-",ListAndConversion!AK216,IF(INDIRECT("ListAndConversion!AF"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14" s="556" t="str">
        <f ca="1">IF(C213="","",IF(ListAndConversion!AB216&lt;&gt;"-",ListAndConversion!AE216,IF(ListAndConversion!AN216&lt;&gt;"-",ListAndConversion!AQ216,IF(INDIRECT("ListAndConversion!AF"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15" spans="1:3" x14ac:dyDescent="0.65">
      <c r="A215" s="554" t="str">
        <f ca="1">IF(A214="","",IF(ListAndConversion!AB217&lt;&gt;"-",ListAndConversion!W217,IF(ListAndConversion!AN217&lt;&gt;"-",ListAndConversion!AJ217,IF(INDIRECT("ListAndConversion!AF"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15" s="555" t="str">
        <f ca="1">IF(B214="","",IF(ListAndConversion!AB217&lt;&gt;"-",ListAndConversion!Y217,IF(ListAndConversion!AN217&lt;&gt;"-",ListAndConversion!AK217,IF(INDIRECT("ListAndConversion!AF"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15" s="556" t="str">
        <f ca="1">IF(C214="","",IF(ListAndConversion!AB217&lt;&gt;"-",ListAndConversion!AE217,IF(ListAndConversion!AN217&lt;&gt;"-",ListAndConversion!AQ217,IF(INDIRECT("ListAndConversion!AF"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16" spans="1:3" x14ac:dyDescent="0.65">
      <c r="A216" s="554" t="str">
        <f ca="1">IF(A215="","",IF(ListAndConversion!AB218&lt;&gt;"-",ListAndConversion!W218,IF(ListAndConversion!AN218&lt;&gt;"-",ListAndConversion!AJ218,IF(INDIRECT("ListAndConversion!AF"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16" s="555" t="str">
        <f ca="1">IF(B215="","",IF(ListAndConversion!AB218&lt;&gt;"-",ListAndConversion!Y218,IF(ListAndConversion!AN218&lt;&gt;"-",ListAndConversion!AK218,IF(INDIRECT("ListAndConversion!AF"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16" s="556" t="str">
        <f ca="1">IF(C215="","",IF(ListAndConversion!AB218&lt;&gt;"-",ListAndConversion!AE218,IF(ListAndConversion!AN218&lt;&gt;"-",ListAndConversion!AQ218,IF(INDIRECT("ListAndConversion!AF"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17" spans="1:3" x14ac:dyDescent="0.65">
      <c r="A217" s="554" t="str">
        <f ca="1">IF(A216="","",IF(ListAndConversion!AB219&lt;&gt;"-",ListAndConversion!W219,IF(ListAndConversion!AN219&lt;&gt;"-",ListAndConversion!AJ219,IF(INDIRECT("ListAndConversion!AF"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17" s="555" t="str">
        <f ca="1">IF(B216="","",IF(ListAndConversion!AB219&lt;&gt;"-",ListAndConversion!Y219,IF(ListAndConversion!AN219&lt;&gt;"-",ListAndConversion!AK219,IF(INDIRECT("ListAndConversion!AF"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17" s="556" t="str">
        <f ca="1">IF(C216="","",IF(ListAndConversion!AB219&lt;&gt;"-",ListAndConversion!AE219,IF(ListAndConversion!AN219&lt;&gt;"-",ListAndConversion!AQ219,IF(INDIRECT("ListAndConversion!AF"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18" spans="1:3" x14ac:dyDescent="0.65">
      <c r="A218" s="554" t="str">
        <f ca="1">IF(A217="","",IF(ListAndConversion!AB220&lt;&gt;"-",ListAndConversion!W220,IF(ListAndConversion!AN220&lt;&gt;"-",ListAndConversion!AJ220,IF(INDIRECT("ListAndConversion!AF"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18" s="555" t="str">
        <f ca="1">IF(B217="","",IF(ListAndConversion!AB220&lt;&gt;"-",ListAndConversion!Y220,IF(ListAndConversion!AN220&lt;&gt;"-",ListAndConversion!AK220,IF(INDIRECT("ListAndConversion!AF"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18" s="556" t="str">
        <f ca="1">IF(C217="","",IF(ListAndConversion!AB220&lt;&gt;"-",ListAndConversion!AE220,IF(ListAndConversion!AN220&lt;&gt;"-",ListAndConversion!AQ220,IF(INDIRECT("ListAndConversion!AF"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19" spans="1:3" x14ac:dyDescent="0.65">
      <c r="A219" s="554" t="str">
        <f ca="1">IF(A218="","",IF(ListAndConversion!AB221&lt;&gt;"-",ListAndConversion!W221,IF(ListAndConversion!AN221&lt;&gt;"-",ListAndConversion!AJ221,IF(INDIRECT("ListAndConversion!AF"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19" s="555" t="str">
        <f ca="1">IF(B218="","",IF(ListAndConversion!AB221&lt;&gt;"-",ListAndConversion!Y221,IF(ListAndConversion!AN221&lt;&gt;"-",ListAndConversion!AK221,IF(INDIRECT("ListAndConversion!AF"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19" s="556" t="str">
        <f ca="1">IF(C218="","",IF(ListAndConversion!AB221&lt;&gt;"-",ListAndConversion!AE221,IF(ListAndConversion!AN221&lt;&gt;"-",ListAndConversion!AQ221,IF(INDIRECT("ListAndConversion!AF"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20" spans="1:3" x14ac:dyDescent="0.65">
      <c r="A220" s="554" t="str">
        <f ca="1">IF(A219="","",IF(ListAndConversion!AB222&lt;&gt;"-",ListAndConversion!W222,IF(ListAndConversion!AN222&lt;&gt;"-",ListAndConversion!AJ222,IF(INDIRECT("ListAndConversion!AF"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20" s="555" t="str">
        <f ca="1">IF(B219="","",IF(ListAndConversion!AB222&lt;&gt;"-",ListAndConversion!Y222,IF(ListAndConversion!AN222&lt;&gt;"-",ListAndConversion!AK222,IF(INDIRECT("ListAndConversion!AF"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20" s="556" t="str">
        <f ca="1">IF(C219="","",IF(ListAndConversion!AB222&lt;&gt;"-",ListAndConversion!AE222,IF(ListAndConversion!AN222&lt;&gt;"-",ListAndConversion!AQ222,IF(INDIRECT("ListAndConversion!AF"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21" spans="1:3" x14ac:dyDescent="0.65">
      <c r="A221" s="554" t="str">
        <f ca="1">IF(A220="","",IF(ListAndConversion!AB223&lt;&gt;"-",ListAndConversion!W223,IF(ListAndConversion!AN223&lt;&gt;"-",ListAndConversion!AJ223,IF(INDIRECT("ListAndConversion!AF"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21" s="555" t="str">
        <f ca="1">IF(B220="","",IF(ListAndConversion!AB223&lt;&gt;"-",ListAndConversion!Y223,IF(ListAndConversion!AN223&lt;&gt;"-",ListAndConversion!AK223,IF(INDIRECT("ListAndConversion!AF"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21" s="556" t="str">
        <f ca="1">IF(C220="","",IF(ListAndConversion!AB223&lt;&gt;"-",ListAndConversion!AE223,IF(ListAndConversion!AN223&lt;&gt;"-",ListAndConversion!AQ223,IF(INDIRECT("ListAndConversion!AF"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22" spans="1:3" x14ac:dyDescent="0.65">
      <c r="A222" s="554" t="str">
        <f ca="1">IF(A221="","",IF(ListAndConversion!AB224&lt;&gt;"-",ListAndConversion!W224,IF(ListAndConversion!AN224&lt;&gt;"-",ListAndConversion!AJ224,IF(INDIRECT("ListAndConversion!AF"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22" s="555" t="str">
        <f ca="1">IF(B221="","",IF(ListAndConversion!AB224&lt;&gt;"-",ListAndConversion!Y224,IF(ListAndConversion!AN224&lt;&gt;"-",ListAndConversion!AK224,IF(INDIRECT("ListAndConversion!AF"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22" s="556" t="str">
        <f ca="1">IF(C221="","",IF(ListAndConversion!AB224&lt;&gt;"-",ListAndConversion!AE224,IF(ListAndConversion!AN224&lt;&gt;"-",ListAndConversion!AQ224,IF(INDIRECT("ListAndConversion!AF"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23" spans="1:3" x14ac:dyDescent="0.65">
      <c r="A223" s="554" t="str">
        <f ca="1">IF(A222="","",IF(ListAndConversion!AB225&lt;&gt;"-",ListAndConversion!W225,IF(ListAndConversion!AN225&lt;&gt;"-",ListAndConversion!AJ225,IF(INDIRECT("ListAndConversion!AF"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23" s="555" t="str">
        <f ca="1">IF(B222="","",IF(ListAndConversion!AB225&lt;&gt;"-",ListAndConversion!Y225,IF(ListAndConversion!AN225&lt;&gt;"-",ListAndConversion!AK225,IF(INDIRECT("ListAndConversion!AF"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23" s="556" t="str">
        <f ca="1">IF(C222="","",IF(ListAndConversion!AB225&lt;&gt;"-",ListAndConversion!AE225,IF(ListAndConversion!AN225&lt;&gt;"-",ListAndConversion!AQ225,IF(INDIRECT("ListAndConversion!AF"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24" spans="1:3" x14ac:dyDescent="0.65">
      <c r="A224" s="554" t="str">
        <f ca="1">IF(A223="","",IF(ListAndConversion!AB226&lt;&gt;"-",ListAndConversion!W226,IF(ListAndConversion!AN226&lt;&gt;"-",ListAndConversion!AJ226,IF(INDIRECT("ListAndConversion!AF"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24" s="555" t="str">
        <f ca="1">IF(B223="","",IF(ListAndConversion!AB226&lt;&gt;"-",ListAndConversion!Y226,IF(ListAndConversion!AN226&lt;&gt;"-",ListAndConversion!AK226,IF(INDIRECT("ListAndConversion!AF"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24" s="556" t="str">
        <f ca="1">IF(C223="","",IF(ListAndConversion!AB226&lt;&gt;"-",ListAndConversion!AE226,IF(ListAndConversion!AN226&lt;&gt;"-",ListAndConversion!AQ226,IF(INDIRECT("ListAndConversion!AF"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25" spans="1:3" x14ac:dyDescent="0.65">
      <c r="A225" s="554" t="str">
        <f ca="1">IF(A224="","",IF(ListAndConversion!AB227&lt;&gt;"-",ListAndConversion!W227,IF(ListAndConversion!AN227&lt;&gt;"-",ListAndConversion!AJ227,IF(INDIRECT("ListAndConversion!AF"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25" s="555" t="str">
        <f ca="1">IF(B224="","",IF(ListAndConversion!AB227&lt;&gt;"-",ListAndConversion!Y227,IF(ListAndConversion!AN227&lt;&gt;"-",ListAndConversion!AK227,IF(INDIRECT("ListAndConversion!AF"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25" s="556" t="str">
        <f ca="1">IF(C224="","",IF(ListAndConversion!AB227&lt;&gt;"-",ListAndConversion!AE227,IF(ListAndConversion!AN227&lt;&gt;"-",ListAndConversion!AQ227,IF(INDIRECT("ListAndConversion!AF"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26" spans="1:3" x14ac:dyDescent="0.65">
      <c r="A226" s="554" t="str">
        <f ca="1">IF(A225="","",IF(ListAndConversion!AB228&lt;&gt;"-",ListAndConversion!W228,IF(ListAndConversion!AN228&lt;&gt;"-",ListAndConversion!AJ228,IF(INDIRECT("ListAndConversion!AF"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26" s="555" t="str">
        <f ca="1">IF(B225="","",IF(ListAndConversion!AB228&lt;&gt;"-",ListAndConversion!Y228,IF(ListAndConversion!AN228&lt;&gt;"-",ListAndConversion!AK228,IF(INDIRECT("ListAndConversion!AF"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26" s="556" t="str">
        <f ca="1">IF(C225="","",IF(ListAndConversion!AB228&lt;&gt;"-",ListAndConversion!AE228,IF(ListAndConversion!AN228&lt;&gt;"-",ListAndConversion!AQ228,IF(INDIRECT("ListAndConversion!AF"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27" spans="1:3" x14ac:dyDescent="0.65">
      <c r="A227" s="554" t="str">
        <f ca="1">IF(A226="","",IF(ListAndConversion!AB229&lt;&gt;"-",ListAndConversion!W229,IF(ListAndConversion!AN229&lt;&gt;"-",ListAndConversion!AJ229,IF(INDIRECT("ListAndConversion!AF"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27" s="555" t="str">
        <f ca="1">IF(B226="","",IF(ListAndConversion!AB229&lt;&gt;"-",ListAndConversion!Y229,IF(ListAndConversion!AN229&lt;&gt;"-",ListAndConversion!AK229,IF(INDIRECT("ListAndConversion!AF"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27" s="556" t="str">
        <f ca="1">IF(C226="","",IF(ListAndConversion!AB229&lt;&gt;"-",ListAndConversion!AE229,IF(ListAndConversion!AN229&lt;&gt;"-",ListAndConversion!AQ229,IF(INDIRECT("ListAndConversion!AF"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28" spans="1:3" x14ac:dyDescent="0.65">
      <c r="A228" s="554" t="str">
        <f ca="1">IF(A227="","",IF(ListAndConversion!AB230&lt;&gt;"-",ListAndConversion!W230,IF(ListAndConversion!AN230&lt;&gt;"-",ListAndConversion!AJ230,IF(INDIRECT("ListAndConversion!AF"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28" s="555" t="str">
        <f ca="1">IF(B227="","",IF(ListAndConversion!AB230&lt;&gt;"-",ListAndConversion!Y230,IF(ListAndConversion!AN230&lt;&gt;"-",ListAndConversion!AK230,IF(INDIRECT("ListAndConversion!AF"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28" s="556" t="str">
        <f ca="1">IF(C227="","",IF(ListAndConversion!AB230&lt;&gt;"-",ListAndConversion!AE230,IF(ListAndConversion!AN230&lt;&gt;"-",ListAndConversion!AQ230,IF(INDIRECT("ListAndConversion!AF"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29" spans="1:3" x14ac:dyDescent="0.65">
      <c r="A229" s="554" t="str">
        <f ca="1">IF(A228="","",IF(ListAndConversion!AB231&lt;&gt;"-",ListAndConversion!W231,IF(ListAndConversion!AN231&lt;&gt;"-",ListAndConversion!AJ231,IF(INDIRECT("ListAndConversion!AF"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29" s="555" t="str">
        <f ca="1">IF(B228="","",IF(ListAndConversion!AB231&lt;&gt;"-",ListAndConversion!Y231,IF(ListAndConversion!AN231&lt;&gt;"-",ListAndConversion!AK231,IF(INDIRECT("ListAndConversion!AF"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29" s="556" t="str">
        <f ca="1">IF(C228="","",IF(ListAndConversion!AB231&lt;&gt;"-",ListAndConversion!AE231,IF(ListAndConversion!AN231&lt;&gt;"-",ListAndConversion!AQ231,IF(INDIRECT("ListAndConversion!AF"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30" spans="1:3" x14ac:dyDescent="0.65">
      <c r="A230" s="554" t="str">
        <f ca="1">IF(A229="","",IF(ListAndConversion!AB232&lt;&gt;"-",ListAndConversion!W232,IF(ListAndConversion!AN232&lt;&gt;"-",ListAndConversion!AJ232,IF(INDIRECT("ListAndConversion!AF"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30" s="555" t="str">
        <f ca="1">IF(B229="","",IF(ListAndConversion!AB232&lt;&gt;"-",ListAndConversion!Y232,IF(ListAndConversion!AN232&lt;&gt;"-",ListAndConversion!AK232,IF(INDIRECT("ListAndConversion!AF"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30" s="556" t="str">
        <f ca="1">IF(C229="","",IF(ListAndConversion!AB232&lt;&gt;"-",ListAndConversion!AE232,IF(ListAndConversion!AN232&lt;&gt;"-",ListAndConversion!AQ232,IF(INDIRECT("ListAndConversion!AF"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31" spans="1:3" x14ac:dyDescent="0.65">
      <c r="A231" s="554" t="str">
        <f ca="1">IF(A230="","",IF(ListAndConversion!AB233&lt;&gt;"-",ListAndConversion!W233,IF(ListAndConversion!AN233&lt;&gt;"-",ListAndConversion!AJ233,IF(INDIRECT("ListAndConversion!AF"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31" s="555" t="str">
        <f ca="1">IF(B230="","",IF(ListAndConversion!AB233&lt;&gt;"-",ListAndConversion!Y233,IF(ListAndConversion!AN233&lt;&gt;"-",ListAndConversion!AK233,IF(INDIRECT("ListAndConversion!AF"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31" s="556" t="str">
        <f ca="1">IF(C230="","",IF(ListAndConversion!AB233&lt;&gt;"-",ListAndConversion!AE233,IF(ListAndConversion!AN233&lt;&gt;"-",ListAndConversion!AQ233,IF(INDIRECT("ListAndConversion!AF"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32" spans="1:3" x14ac:dyDescent="0.65">
      <c r="A232" s="554" t="str">
        <f ca="1">IF(A231="","",IF(ListAndConversion!AB234&lt;&gt;"-",ListAndConversion!W234,IF(ListAndConversion!AN234&lt;&gt;"-",ListAndConversion!AJ234,IF(INDIRECT("ListAndConversion!AF"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32" s="555" t="str">
        <f ca="1">IF(B231="","",IF(ListAndConversion!AB234&lt;&gt;"-",ListAndConversion!Y234,IF(ListAndConversion!AN234&lt;&gt;"-",ListAndConversion!AK234,IF(INDIRECT("ListAndConversion!AF"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32" s="556" t="str">
        <f ca="1">IF(C231="","",IF(ListAndConversion!AB234&lt;&gt;"-",ListAndConversion!AE234,IF(ListAndConversion!AN234&lt;&gt;"-",ListAndConversion!AQ234,IF(INDIRECT("ListAndConversion!AF"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33" spans="1:3" x14ac:dyDescent="0.65">
      <c r="A233" s="554" t="str">
        <f ca="1">IF(A232="","",IF(ListAndConversion!AB235&lt;&gt;"-",ListAndConversion!W235,IF(ListAndConversion!AN235&lt;&gt;"-",ListAndConversion!AJ235,IF(INDIRECT("ListAndConversion!AF"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33" s="555" t="str">
        <f ca="1">IF(B232="","",IF(ListAndConversion!AB235&lt;&gt;"-",ListAndConversion!Y235,IF(ListAndConversion!AN235&lt;&gt;"-",ListAndConversion!AK235,IF(INDIRECT("ListAndConversion!AF"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33" s="556" t="str">
        <f ca="1">IF(C232="","",IF(ListAndConversion!AB235&lt;&gt;"-",ListAndConversion!AE235,IF(ListAndConversion!AN235&lt;&gt;"-",ListAndConversion!AQ235,IF(INDIRECT("ListAndConversion!AF"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34" spans="1:3" x14ac:dyDescent="0.65">
      <c r="A234" s="554" t="str">
        <f ca="1">IF(A233="","",IF(ListAndConversion!AB236&lt;&gt;"-",ListAndConversion!W236,IF(ListAndConversion!AN236&lt;&gt;"-",ListAndConversion!AJ236,IF(INDIRECT("ListAndConversion!AF"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34" s="555" t="str">
        <f ca="1">IF(B233="","",IF(ListAndConversion!AB236&lt;&gt;"-",ListAndConversion!Y236,IF(ListAndConversion!AN236&lt;&gt;"-",ListAndConversion!AK236,IF(INDIRECT("ListAndConversion!AF"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34" s="556" t="str">
        <f ca="1">IF(C233="","",IF(ListAndConversion!AB236&lt;&gt;"-",ListAndConversion!AE236,IF(ListAndConversion!AN236&lt;&gt;"-",ListAndConversion!AQ236,IF(INDIRECT("ListAndConversion!AF"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35" spans="1:3" x14ac:dyDescent="0.65">
      <c r="A235" s="554" t="str">
        <f ca="1">IF(A234="","",IF(ListAndConversion!AB237&lt;&gt;"-",ListAndConversion!W237,IF(ListAndConversion!AN237&lt;&gt;"-",ListAndConversion!AJ237,IF(INDIRECT("ListAndConversion!AF"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35" s="555" t="str">
        <f ca="1">IF(B234="","",IF(ListAndConversion!AB237&lt;&gt;"-",ListAndConversion!Y237,IF(ListAndConversion!AN237&lt;&gt;"-",ListAndConversion!AK237,IF(INDIRECT("ListAndConversion!AF"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35" s="556" t="str">
        <f ca="1">IF(C234="","",IF(ListAndConversion!AB237&lt;&gt;"-",ListAndConversion!AE237,IF(ListAndConversion!AN237&lt;&gt;"-",ListAndConversion!AQ237,IF(INDIRECT("ListAndConversion!AF"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36" spans="1:3" x14ac:dyDescent="0.65">
      <c r="A236" s="554" t="str">
        <f ca="1">IF(A235="","",IF(ListAndConversion!AB238&lt;&gt;"-",ListAndConversion!W238,IF(ListAndConversion!AN238&lt;&gt;"-",ListAndConversion!AJ238,IF(INDIRECT("ListAndConversion!AF"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36" s="555" t="str">
        <f ca="1">IF(B235="","",IF(ListAndConversion!AB238&lt;&gt;"-",ListAndConversion!Y238,IF(ListAndConversion!AN238&lt;&gt;"-",ListAndConversion!AK238,IF(INDIRECT("ListAndConversion!AF"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36" s="556" t="str">
        <f ca="1">IF(C235="","",IF(ListAndConversion!AB238&lt;&gt;"-",ListAndConversion!AE238,IF(ListAndConversion!AN238&lt;&gt;"-",ListAndConversion!AQ238,IF(INDIRECT("ListAndConversion!AF"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37" spans="1:3" x14ac:dyDescent="0.65">
      <c r="A237" s="554" t="str">
        <f ca="1">IF(A236="","",IF(ListAndConversion!AB239&lt;&gt;"-",ListAndConversion!W239,IF(ListAndConversion!AN239&lt;&gt;"-",ListAndConversion!AJ239,IF(INDIRECT("ListAndConversion!AF"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37" s="555" t="str">
        <f ca="1">IF(B236="","",IF(ListAndConversion!AB239&lt;&gt;"-",ListAndConversion!Y239,IF(ListAndConversion!AN239&lt;&gt;"-",ListAndConversion!AK239,IF(INDIRECT("ListAndConversion!AF"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37" s="556" t="str">
        <f ca="1">IF(C236="","",IF(ListAndConversion!AB239&lt;&gt;"-",ListAndConversion!AE239,IF(ListAndConversion!AN239&lt;&gt;"-",ListAndConversion!AQ239,IF(INDIRECT("ListAndConversion!AF"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38" spans="1:3" x14ac:dyDescent="0.65">
      <c r="A238" s="554" t="str">
        <f ca="1">IF(A237="","",IF(ListAndConversion!AB240&lt;&gt;"-",ListAndConversion!W240,IF(ListAndConversion!AN240&lt;&gt;"-",ListAndConversion!AJ240,IF(INDIRECT("ListAndConversion!AF"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38" s="555" t="str">
        <f ca="1">IF(B237="","",IF(ListAndConversion!AB240&lt;&gt;"-",ListAndConversion!Y240,IF(ListAndConversion!AN240&lt;&gt;"-",ListAndConversion!AK240,IF(INDIRECT("ListAndConversion!AF"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38" s="556" t="str">
        <f ca="1">IF(C237="","",IF(ListAndConversion!AB240&lt;&gt;"-",ListAndConversion!AE240,IF(ListAndConversion!AN240&lt;&gt;"-",ListAndConversion!AQ240,IF(INDIRECT("ListAndConversion!AF"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39" spans="1:3" x14ac:dyDescent="0.65">
      <c r="A239" s="554" t="str">
        <f ca="1">IF(A238="","",IF(ListAndConversion!AB241&lt;&gt;"-",ListAndConversion!W241,IF(ListAndConversion!AN241&lt;&gt;"-",ListAndConversion!AJ241,IF(INDIRECT("ListAndConversion!AF"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39" s="555" t="str">
        <f ca="1">IF(B238="","",IF(ListAndConversion!AB241&lt;&gt;"-",ListAndConversion!Y241,IF(ListAndConversion!AN241&lt;&gt;"-",ListAndConversion!AK241,IF(INDIRECT("ListAndConversion!AF"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39" s="556" t="str">
        <f ca="1">IF(C238="","",IF(ListAndConversion!AB241&lt;&gt;"-",ListAndConversion!AE241,IF(ListAndConversion!AN241&lt;&gt;"-",ListAndConversion!AQ241,IF(INDIRECT("ListAndConversion!AF"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40" spans="1:3" x14ac:dyDescent="0.65">
      <c r="A240" s="554" t="str">
        <f ca="1">IF(A239="","",IF(ListAndConversion!AB242&lt;&gt;"-",ListAndConversion!W242,IF(ListAndConversion!AN242&lt;&gt;"-",ListAndConversion!AJ242,IF(INDIRECT("ListAndConversion!AF"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40" s="555" t="str">
        <f ca="1">IF(B239="","",IF(ListAndConversion!AB242&lt;&gt;"-",ListAndConversion!Y242,IF(ListAndConversion!AN242&lt;&gt;"-",ListAndConversion!AK242,IF(INDIRECT("ListAndConversion!AF"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40" s="556" t="str">
        <f ca="1">IF(C239="","",IF(ListAndConversion!AB242&lt;&gt;"-",ListAndConversion!AE242,IF(ListAndConversion!AN242&lt;&gt;"-",ListAndConversion!AQ242,IF(INDIRECT("ListAndConversion!AF"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41" spans="1:3" x14ac:dyDescent="0.65">
      <c r="A241" s="554" t="str">
        <f ca="1">IF(A240="","",IF(ListAndConversion!AB243&lt;&gt;"-",ListAndConversion!W243,IF(ListAndConversion!AN243&lt;&gt;"-",ListAndConversion!AJ243,IF(INDIRECT("ListAndConversion!AF"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41" s="555" t="str">
        <f ca="1">IF(B240="","",IF(ListAndConversion!AB243&lt;&gt;"-",ListAndConversion!Y243,IF(ListAndConversion!AN243&lt;&gt;"-",ListAndConversion!AK243,IF(INDIRECT("ListAndConversion!AF"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41" s="556" t="str">
        <f ca="1">IF(C240="","",IF(ListAndConversion!AB243&lt;&gt;"-",ListAndConversion!AE243,IF(ListAndConversion!AN243&lt;&gt;"-",ListAndConversion!AQ243,IF(INDIRECT("ListAndConversion!AF"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42" spans="1:3" x14ac:dyDescent="0.65">
      <c r="A242" s="554" t="str">
        <f ca="1">IF(A241="","",IF(ListAndConversion!AB244&lt;&gt;"-",ListAndConversion!W244,IF(ListAndConversion!AN244&lt;&gt;"-",ListAndConversion!AJ244,IF(INDIRECT("ListAndConversion!AF"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42" s="555" t="str">
        <f ca="1">IF(B241="","",IF(ListAndConversion!AB244&lt;&gt;"-",ListAndConversion!Y244,IF(ListAndConversion!AN244&lt;&gt;"-",ListAndConversion!AK244,IF(INDIRECT("ListAndConversion!AF"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42" s="556" t="str">
        <f ca="1">IF(C241="","",IF(ListAndConversion!AB244&lt;&gt;"-",ListAndConversion!AE244,IF(ListAndConversion!AN244&lt;&gt;"-",ListAndConversion!AQ244,IF(INDIRECT("ListAndConversion!AF"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43" spans="1:3" x14ac:dyDescent="0.65">
      <c r="A243" s="554" t="str">
        <f ca="1">IF(A242="","",IF(ListAndConversion!AB245&lt;&gt;"-",ListAndConversion!W245,IF(ListAndConversion!AN245&lt;&gt;"-",ListAndConversion!AJ245,IF(INDIRECT("ListAndConversion!AF"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43" s="555" t="str">
        <f ca="1">IF(B242="","",IF(ListAndConversion!AB245&lt;&gt;"-",ListAndConversion!Y245,IF(ListAndConversion!AN245&lt;&gt;"-",ListAndConversion!AK245,IF(INDIRECT("ListAndConversion!AF"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43" s="556" t="str">
        <f ca="1">IF(C242="","",IF(ListAndConversion!AB245&lt;&gt;"-",ListAndConversion!AE245,IF(ListAndConversion!AN245&lt;&gt;"-",ListAndConversion!AQ245,IF(INDIRECT("ListAndConversion!AF"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44" spans="1:3" x14ac:dyDescent="0.65">
      <c r="A244" s="554" t="str">
        <f ca="1">IF(A243="","",IF(ListAndConversion!AB246&lt;&gt;"-",ListAndConversion!W246,IF(ListAndConversion!AN246&lt;&gt;"-",ListAndConversion!AJ246,IF(INDIRECT("ListAndConversion!AF"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44" s="555" t="str">
        <f ca="1">IF(B243="","",IF(ListAndConversion!AB246&lt;&gt;"-",ListAndConversion!Y246,IF(ListAndConversion!AN246&lt;&gt;"-",ListAndConversion!AK246,IF(INDIRECT("ListAndConversion!AF"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44" s="556" t="str">
        <f ca="1">IF(C243="","",IF(ListAndConversion!AB246&lt;&gt;"-",ListAndConversion!AE246,IF(ListAndConversion!AN246&lt;&gt;"-",ListAndConversion!AQ246,IF(INDIRECT("ListAndConversion!AF"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45" spans="1:3" x14ac:dyDescent="0.65">
      <c r="A245" s="554" t="str">
        <f ca="1">IF(A244="","",IF(ListAndConversion!AB247&lt;&gt;"-",ListAndConversion!W247,IF(ListAndConversion!AN247&lt;&gt;"-",ListAndConversion!AJ247,IF(INDIRECT("ListAndConversion!AF"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45" s="555" t="str">
        <f ca="1">IF(B244="","",IF(ListAndConversion!AB247&lt;&gt;"-",ListAndConversion!Y247,IF(ListAndConversion!AN247&lt;&gt;"-",ListAndConversion!AK247,IF(INDIRECT("ListAndConversion!AF"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45" s="556" t="str">
        <f ca="1">IF(C244="","",IF(ListAndConversion!AB247&lt;&gt;"-",ListAndConversion!AE247,IF(ListAndConversion!AN247&lt;&gt;"-",ListAndConversion!AQ247,IF(INDIRECT("ListAndConversion!AF"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46" spans="1:3" x14ac:dyDescent="0.65">
      <c r="A246" s="554" t="str">
        <f ca="1">IF(A245="","",IF(ListAndConversion!AB248&lt;&gt;"-",ListAndConversion!W248,IF(ListAndConversion!AN248&lt;&gt;"-",ListAndConversion!AJ248,IF(INDIRECT("ListAndConversion!AF"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46" s="555" t="str">
        <f ca="1">IF(B245="","",IF(ListAndConversion!AB248&lt;&gt;"-",ListAndConversion!Y248,IF(ListAndConversion!AN248&lt;&gt;"-",ListAndConversion!AK248,IF(INDIRECT("ListAndConversion!AF"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46" s="556" t="str">
        <f ca="1">IF(C245="","",IF(ListAndConversion!AB248&lt;&gt;"-",ListAndConversion!AE248,IF(ListAndConversion!AN248&lt;&gt;"-",ListAndConversion!AQ248,IF(INDIRECT("ListAndConversion!AF"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47" spans="1:3" x14ac:dyDescent="0.65">
      <c r="A247" s="554" t="str">
        <f ca="1">IF(A246="","",IF(ListAndConversion!AB249&lt;&gt;"-",ListAndConversion!W249,IF(ListAndConversion!AN249&lt;&gt;"-",ListAndConversion!AJ249,IF(INDIRECT("ListAndConversion!AF"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47" s="555" t="str">
        <f ca="1">IF(B246="","",IF(ListAndConversion!AB249&lt;&gt;"-",ListAndConversion!Y249,IF(ListAndConversion!AN249&lt;&gt;"-",ListAndConversion!AK249,IF(INDIRECT("ListAndConversion!AF"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47" s="556" t="str">
        <f ca="1">IF(C246="","",IF(ListAndConversion!AB249&lt;&gt;"-",ListAndConversion!AE249,IF(ListAndConversion!AN249&lt;&gt;"-",ListAndConversion!AQ249,IF(INDIRECT("ListAndConversion!AF"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48" spans="1:3" x14ac:dyDescent="0.65">
      <c r="A248" s="554" t="str">
        <f ca="1">IF(A247="","",IF(ListAndConversion!AB250&lt;&gt;"-",ListAndConversion!W250,IF(ListAndConversion!AN250&lt;&gt;"-",ListAndConversion!AJ250,IF(INDIRECT("ListAndConversion!AF"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48" s="555" t="str">
        <f ca="1">IF(B247="","",IF(ListAndConversion!AB250&lt;&gt;"-",ListAndConversion!Y250,IF(ListAndConversion!AN250&lt;&gt;"-",ListAndConversion!AK250,IF(INDIRECT("ListAndConversion!AF"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48" s="556" t="str">
        <f ca="1">IF(C247="","",IF(ListAndConversion!AB250&lt;&gt;"-",ListAndConversion!AE250,IF(ListAndConversion!AN250&lt;&gt;"-",ListAndConversion!AQ250,IF(INDIRECT("ListAndConversion!AF"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49" spans="1:3" x14ac:dyDescent="0.65">
      <c r="A249" s="554" t="str">
        <f ca="1">IF(A248="","",IF(ListAndConversion!AB251&lt;&gt;"-",ListAndConversion!W251,IF(ListAndConversion!AN251&lt;&gt;"-",ListAndConversion!AJ251,IF(INDIRECT("ListAndConversion!AF"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49" s="555" t="str">
        <f ca="1">IF(B248="","",IF(ListAndConversion!AB251&lt;&gt;"-",ListAndConversion!Y251,IF(ListAndConversion!AN251&lt;&gt;"-",ListAndConversion!AK251,IF(INDIRECT("ListAndConversion!AF"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49" s="556" t="str">
        <f ca="1">IF(C248="","",IF(ListAndConversion!AB251&lt;&gt;"-",ListAndConversion!AE251,IF(ListAndConversion!AN251&lt;&gt;"-",ListAndConversion!AQ251,IF(INDIRECT("ListAndConversion!AF"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50" spans="1:3" x14ac:dyDescent="0.65">
      <c r="A250" s="554" t="str">
        <f ca="1">IF(A249="","",IF(ListAndConversion!AB252&lt;&gt;"-",ListAndConversion!W252,IF(ListAndConversion!AN252&lt;&gt;"-",ListAndConversion!AJ252,IF(INDIRECT("ListAndConversion!AF"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50" s="555" t="str">
        <f ca="1">IF(B249="","",IF(ListAndConversion!AB252&lt;&gt;"-",ListAndConversion!Y252,IF(ListAndConversion!AN252&lt;&gt;"-",ListAndConversion!AK252,IF(INDIRECT("ListAndConversion!AF"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50" s="556" t="str">
        <f ca="1">IF(C249="","",IF(ListAndConversion!AB252&lt;&gt;"-",ListAndConversion!AE252,IF(ListAndConversion!AN252&lt;&gt;"-",ListAndConversion!AQ252,IF(INDIRECT("ListAndConversion!AF"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51" spans="1:3" x14ac:dyDescent="0.65">
      <c r="A251" s="554" t="str">
        <f ca="1">IF(A250="","",IF(ListAndConversion!AB253&lt;&gt;"-",ListAndConversion!W253,IF(ListAndConversion!AN253&lt;&gt;"-",ListAndConversion!AJ253,IF(INDIRECT("ListAndConversion!AF"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51" s="555" t="str">
        <f ca="1">IF(B250="","",IF(ListAndConversion!AB253&lt;&gt;"-",ListAndConversion!Y253,IF(ListAndConversion!AN253&lt;&gt;"-",ListAndConversion!AK253,IF(INDIRECT("ListAndConversion!AF"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51" s="556" t="str">
        <f ca="1">IF(C250="","",IF(ListAndConversion!AB253&lt;&gt;"-",ListAndConversion!AE253,IF(ListAndConversion!AN253&lt;&gt;"-",ListAndConversion!AQ253,IF(INDIRECT("ListAndConversion!AF"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52" spans="1:3" x14ac:dyDescent="0.65">
      <c r="A252" s="554" t="str">
        <f ca="1">IF(A251="","",IF(ListAndConversion!AB254&lt;&gt;"-",ListAndConversion!W254,IF(ListAndConversion!AN254&lt;&gt;"-",ListAndConversion!AJ254,IF(INDIRECT("ListAndConversion!AF"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52" s="555" t="str">
        <f ca="1">IF(B251="","",IF(ListAndConversion!AB254&lt;&gt;"-",ListAndConversion!Y254,IF(ListAndConversion!AN254&lt;&gt;"-",ListAndConversion!AK254,IF(INDIRECT("ListAndConversion!AF"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52" s="556" t="str">
        <f ca="1">IF(C251="","",IF(ListAndConversion!AB254&lt;&gt;"-",ListAndConversion!AE254,IF(ListAndConversion!AN254&lt;&gt;"-",ListAndConversion!AQ254,IF(INDIRECT("ListAndConversion!AF"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53" spans="1:3" x14ac:dyDescent="0.65">
      <c r="A253" s="554" t="str">
        <f ca="1">IF(A252="","",IF(ListAndConversion!AB255&lt;&gt;"-",ListAndConversion!W255,IF(ListAndConversion!AN255&lt;&gt;"-",ListAndConversion!AJ255,IF(INDIRECT("ListAndConversion!AF"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53" s="555" t="str">
        <f ca="1">IF(B252="","",IF(ListAndConversion!AB255&lt;&gt;"-",ListAndConversion!Y255,IF(ListAndConversion!AN255&lt;&gt;"-",ListAndConversion!AK255,IF(INDIRECT("ListAndConversion!AF"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53" s="556" t="str">
        <f ca="1">IF(C252="","",IF(ListAndConversion!AB255&lt;&gt;"-",ListAndConversion!AE255,IF(ListAndConversion!AN255&lt;&gt;"-",ListAndConversion!AQ255,IF(INDIRECT("ListAndConversion!AF"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54" spans="1:3" x14ac:dyDescent="0.65">
      <c r="A254" s="554" t="str">
        <f ca="1">IF(A253="","",IF(ListAndConversion!AB256&lt;&gt;"-",ListAndConversion!W256,IF(ListAndConversion!AN256&lt;&gt;"-",ListAndConversion!AJ256,IF(INDIRECT("ListAndConversion!AF"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54" s="555" t="str">
        <f ca="1">IF(B253="","",IF(ListAndConversion!AB256&lt;&gt;"-",ListAndConversion!Y256,IF(ListAndConversion!AN256&lt;&gt;"-",ListAndConversion!AK256,IF(INDIRECT("ListAndConversion!AF"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54" s="556" t="str">
        <f ca="1">IF(C253="","",IF(ListAndConversion!AB256&lt;&gt;"-",ListAndConversion!AE256,IF(ListAndConversion!AN256&lt;&gt;"-",ListAndConversion!AQ256,IF(INDIRECT("ListAndConversion!AF"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55" spans="1:3" x14ac:dyDescent="0.65">
      <c r="A255" s="554" t="str">
        <f ca="1">IF(A254="","",IF(ListAndConversion!AB257&lt;&gt;"-",ListAndConversion!W257,IF(ListAndConversion!AN257&lt;&gt;"-",ListAndConversion!AJ257,IF(INDIRECT("ListAndConversion!AF"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55" s="555" t="str">
        <f ca="1">IF(B254="","",IF(ListAndConversion!AB257&lt;&gt;"-",ListAndConversion!Y257,IF(ListAndConversion!AN257&lt;&gt;"-",ListAndConversion!AK257,IF(INDIRECT("ListAndConversion!AF"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55" s="556" t="str">
        <f ca="1">IF(C254="","",IF(ListAndConversion!AB257&lt;&gt;"-",ListAndConversion!AE257,IF(ListAndConversion!AN257&lt;&gt;"-",ListAndConversion!AQ257,IF(INDIRECT("ListAndConversion!AF"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56" spans="1:3" x14ac:dyDescent="0.65">
      <c r="A256" s="554" t="str">
        <f ca="1">IF(A255="","",IF(ListAndConversion!AB258&lt;&gt;"-",ListAndConversion!W258,IF(ListAndConversion!AN258&lt;&gt;"-",ListAndConversion!AJ258,IF(INDIRECT("ListAndConversion!AF"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56" s="555" t="str">
        <f ca="1">IF(B255="","",IF(ListAndConversion!AB258&lt;&gt;"-",ListAndConversion!Y258,IF(ListAndConversion!AN258&lt;&gt;"-",ListAndConversion!AK258,IF(INDIRECT("ListAndConversion!AF"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56" s="556" t="str">
        <f ca="1">IF(C255="","",IF(ListAndConversion!AB258&lt;&gt;"-",ListAndConversion!AE258,IF(ListAndConversion!AN258&lt;&gt;"-",ListAndConversion!AQ258,IF(INDIRECT("ListAndConversion!AF"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57" spans="1:3" x14ac:dyDescent="0.65">
      <c r="A257" s="554" t="str">
        <f ca="1">IF(A256="","",IF(ListAndConversion!AB259&lt;&gt;"-",ListAndConversion!W259,IF(ListAndConversion!AN259&lt;&gt;"-",ListAndConversion!AJ259,IF(INDIRECT("ListAndConversion!AF"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57" s="555" t="str">
        <f ca="1">IF(B256="","",IF(ListAndConversion!AB259&lt;&gt;"-",ListAndConversion!Y259,IF(ListAndConversion!AN259&lt;&gt;"-",ListAndConversion!AK259,IF(INDIRECT("ListAndConversion!AF"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57" s="556" t="str">
        <f ca="1">IF(C256="","",IF(ListAndConversion!AB259&lt;&gt;"-",ListAndConversion!AE259,IF(ListAndConversion!AN259&lt;&gt;"-",ListAndConversion!AQ259,IF(INDIRECT("ListAndConversion!AF"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58" spans="1:3" x14ac:dyDescent="0.65">
      <c r="A258" s="554" t="str">
        <f ca="1">IF(A257="","",IF(ListAndConversion!AB260&lt;&gt;"-",ListAndConversion!W260,IF(ListAndConversion!AN260&lt;&gt;"-",ListAndConversion!AJ260,IF(INDIRECT("ListAndConversion!AF"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58" s="555" t="str">
        <f ca="1">IF(B257="","",IF(ListAndConversion!AB260&lt;&gt;"-",ListAndConversion!Y260,IF(ListAndConversion!AN260&lt;&gt;"-",ListAndConversion!AK260,IF(INDIRECT("ListAndConversion!AF"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58" s="556" t="str">
        <f ca="1">IF(C257="","",IF(ListAndConversion!AB260&lt;&gt;"-",ListAndConversion!AE260,IF(ListAndConversion!AN260&lt;&gt;"-",ListAndConversion!AQ260,IF(INDIRECT("ListAndConversion!AF"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59" spans="1:3" x14ac:dyDescent="0.65">
      <c r="A259" s="554" t="str">
        <f ca="1">IF(A258="","",IF(ListAndConversion!AB261&lt;&gt;"-",ListAndConversion!W261,IF(ListAndConversion!AN261&lt;&gt;"-",ListAndConversion!AJ261,IF(INDIRECT("ListAndConversion!AF"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59" s="555" t="str">
        <f ca="1">IF(B258="","",IF(ListAndConversion!AB261&lt;&gt;"-",ListAndConversion!Y261,IF(ListAndConversion!AN261&lt;&gt;"-",ListAndConversion!AK261,IF(INDIRECT("ListAndConversion!AF"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59" s="556" t="str">
        <f ca="1">IF(C258="","",IF(ListAndConversion!AB261&lt;&gt;"-",ListAndConversion!AE261,IF(ListAndConversion!AN261&lt;&gt;"-",ListAndConversion!AQ261,IF(INDIRECT("ListAndConversion!AF"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60" spans="1:3" x14ac:dyDescent="0.65">
      <c r="A260" s="554" t="str">
        <f ca="1">IF(A259="","",IF(ListAndConversion!AB262&lt;&gt;"-",ListAndConversion!W262,IF(ListAndConversion!AN262&lt;&gt;"-",ListAndConversion!AJ262,IF(INDIRECT("ListAndConversion!AF"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60" s="555" t="str">
        <f ca="1">IF(B259="","",IF(ListAndConversion!AB262&lt;&gt;"-",ListAndConversion!Y262,IF(ListAndConversion!AN262&lt;&gt;"-",ListAndConversion!AK262,IF(INDIRECT("ListAndConversion!AF"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60" s="556" t="str">
        <f ca="1">IF(C259="","",IF(ListAndConversion!AB262&lt;&gt;"-",ListAndConversion!AE262,IF(ListAndConversion!AN262&lt;&gt;"-",ListAndConversion!AQ262,IF(INDIRECT("ListAndConversion!AF"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61" spans="1:3" x14ac:dyDescent="0.65">
      <c r="A261" s="554" t="str">
        <f ca="1">IF(A260="","",IF(ListAndConversion!AB263&lt;&gt;"-",ListAndConversion!W263,IF(ListAndConversion!AN263&lt;&gt;"-",ListAndConversion!AJ263,IF(INDIRECT("ListAndConversion!AF"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61" s="555" t="str">
        <f ca="1">IF(B260="","",IF(ListAndConversion!AB263&lt;&gt;"-",ListAndConversion!Y263,IF(ListAndConversion!AN263&lt;&gt;"-",ListAndConversion!AK263,IF(INDIRECT("ListAndConversion!AF"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61" s="556" t="str">
        <f ca="1">IF(C260="","",IF(ListAndConversion!AB263&lt;&gt;"-",ListAndConversion!AE263,IF(ListAndConversion!AN263&lt;&gt;"-",ListAndConversion!AQ263,IF(INDIRECT("ListAndConversion!AF"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62" spans="1:3" x14ac:dyDescent="0.65">
      <c r="A262" s="554" t="str">
        <f ca="1">IF(A261="","",IF(ListAndConversion!AB264&lt;&gt;"-",ListAndConversion!W264,IF(ListAndConversion!AN264&lt;&gt;"-",ListAndConversion!AJ264,IF(INDIRECT("ListAndConversion!AF"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62" s="555" t="str">
        <f ca="1">IF(B261="","",IF(ListAndConversion!AB264&lt;&gt;"-",ListAndConversion!Y264,IF(ListAndConversion!AN264&lt;&gt;"-",ListAndConversion!AK264,IF(INDIRECT("ListAndConversion!AF"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62" s="556" t="str">
        <f ca="1">IF(C261="","",IF(ListAndConversion!AB264&lt;&gt;"-",ListAndConversion!AE264,IF(ListAndConversion!AN264&lt;&gt;"-",ListAndConversion!AQ264,IF(INDIRECT("ListAndConversion!AF"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63" spans="1:3" x14ac:dyDescent="0.65">
      <c r="A263" s="554" t="str">
        <f ca="1">IF(A262="","",IF(ListAndConversion!AB265&lt;&gt;"-",ListAndConversion!W265,IF(ListAndConversion!AN265&lt;&gt;"-",ListAndConversion!AJ265,IF(INDIRECT("ListAndConversion!AF"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63" s="555" t="str">
        <f ca="1">IF(B262="","",IF(ListAndConversion!AB265&lt;&gt;"-",ListAndConversion!Y265,IF(ListAndConversion!AN265&lt;&gt;"-",ListAndConversion!AK265,IF(INDIRECT("ListAndConversion!AF"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63" s="556" t="str">
        <f ca="1">IF(C262="","",IF(ListAndConversion!AB265&lt;&gt;"-",ListAndConversion!AE265,IF(ListAndConversion!AN265&lt;&gt;"-",ListAndConversion!AQ265,IF(INDIRECT("ListAndConversion!AF"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64" spans="1:3" x14ac:dyDescent="0.65">
      <c r="A264" s="554" t="str">
        <f ca="1">IF(A263="","",IF(ListAndConversion!AB266&lt;&gt;"-",ListAndConversion!W266,IF(ListAndConversion!AN266&lt;&gt;"-",ListAndConversion!AJ266,IF(INDIRECT("ListAndConversion!AF"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64" s="555" t="str">
        <f ca="1">IF(B263="","",IF(ListAndConversion!AB266&lt;&gt;"-",ListAndConversion!Y266,IF(ListAndConversion!AN266&lt;&gt;"-",ListAndConversion!AK266,IF(INDIRECT("ListAndConversion!AF"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64" s="556" t="str">
        <f ca="1">IF(C263="","",IF(ListAndConversion!AB266&lt;&gt;"-",ListAndConversion!AE266,IF(ListAndConversion!AN266&lt;&gt;"-",ListAndConversion!AQ266,IF(INDIRECT("ListAndConversion!AF"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65" spans="1:3" x14ac:dyDescent="0.65">
      <c r="A265" s="554" t="str">
        <f ca="1">IF(A264="","",IF(ListAndConversion!AB267&lt;&gt;"-",ListAndConversion!W267,IF(ListAndConversion!AN267&lt;&gt;"-",ListAndConversion!AJ267,IF(INDIRECT("ListAndConversion!AF"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65" s="555" t="str">
        <f ca="1">IF(B264="","",IF(ListAndConversion!AB267&lt;&gt;"-",ListAndConversion!Y267,IF(ListAndConversion!AN267&lt;&gt;"-",ListAndConversion!AK267,IF(INDIRECT("ListAndConversion!AF"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65" s="556" t="str">
        <f ca="1">IF(C264="","",IF(ListAndConversion!AB267&lt;&gt;"-",ListAndConversion!AE267,IF(ListAndConversion!AN267&lt;&gt;"-",ListAndConversion!AQ267,IF(INDIRECT("ListAndConversion!AF"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66" spans="1:3" x14ac:dyDescent="0.65">
      <c r="A266" s="554" t="str">
        <f ca="1">IF(A265="","",IF(ListAndConversion!AB268&lt;&gt;"-",ListAndConversion!W268,IF(ListAndConversion!AN268&lt;&gt;"-",ListAndConversion!AJ268,IF(INDIRECT("ListAndConversion!AF"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66" s="555" t="str">
        <f ca="1">IF(B265="","",IF(ListAndConversion!AB268&lt;&gt;"-",ListAndConversion!Y268,IF(ListAndConversion!AN268&lt;&gt;"-",ListAndConversion!AK268,IF(INDIRECT("ListAndConversion!AF"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66" s="556" t="str">
        <f ca="1">IF(C265="","",IF(ListAndConversion!AB268&lt;&gt;"-",ListAndConversion!AE268,IF(ListAndConversion!AN268&lt;&gt;"-",ListAndConversion!AQ268,IF(INDIRECT("ListAndConversion!AF"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67" spans="1:3" x14ac:dyDescent="0.65">
      <c r="A267" s="554" t="str">
        <f ca="1">IF(A266="","",IF(ListAndConversion!AB269&lt;&gt;"-",ListAndConversion!W269,IF(ListAndConversion!AN269&lt;&gt;"-",ListAndConversion!AJ269,IF(INDIRECT("ListAndConversion!AF"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67" s="555" t="str">
        <f ca="1">IF(B266="","",IF(ListAndConversion!AB269&lt;&gt;"-",ListAndConversion!Y269,IF(ListAndConversion!AN269&lt;&gt;"-",ListAndConversion!AK269,IF(INDIRECT("ListAndConversion!AF"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67" s="556" t="str">
        <f ca="1">IF(C266="","",IF(ListAndConversion!AB269&lt;&gt;"-",ListAndConversion!AE269,IF(ListAndConversion!AN269&lt;&gt;"-",ListAndConversion!AQ269,IF(INDIRECT("ListAndConversion!AF"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68" spans="1:3" x14ac:dyDescent="0.65">
      <c r="A268" s="554" t="str">
        <f ca="1">IF(A267="","",IF(ListAndConversion!AB270&lt;&gt;"-",ListAndConversion!W270,IF(ListAndConversion!AN270&lt;&gt;"-",ListAndConversion!AJ270,IF(INDIRECT("ListAndConversion!AF"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68" s="555" t="str">
        <f ca="1">IF(B267="","",IF(ListAndConversion!AB270&lt;&gt;"-",ListAndConversion!Y270,IF(ListAndConversion!AN270&lt;&gt;"-",ListAndConversion!AK270,IF(INDIRECT("ListAndConversion!AF"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68" s="556" t="str">
        <f ca="1">IF(C267="","",IF(ListAndConversion!AB270&lt;&gt;"-",ListAndConversion!AE270,IF(ListAndConversion!AN270&lt;&gt;"-",ListAndConversion!AQ270,IF(INDIRECT("ListAndConversion!AF"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69" spans="1:3" x14ac:dyDescent="0.65">
      <c r="A269" s="554" t="str">
        <f ca="1">IF(A268="","",IF(ListAndConversion!AB271&lt;&gt;"-",ListAndConversion!W271,IF(ListAndConversion!AN271&lt;&gt;"-",ListAndConversion!AJ271,IF(INDIRECT("ListAndConversion!AF"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69" s="555" t="str">
        <f ca="1">IF(B268="","",IF(ListAndConversion!AB271&lt;&gt;"-",ListAndConversion!Y271,IF(ListAndConversion!AN271&lt;&gt;"-",ListAndConversion!AK271,IF(INDIRECT("ListAndConversion!AF"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69" s="556" t="str">
        <f ca="1">IF(C268="","",IF(ListAndConversion!AB271&lt;&gt;"-",ListAndConversion!AE271,IF(ListAndConversion!AN271&lt;&gt;"-",ListAndConversion!AQ271,IF(INDIRECT("ListAndConversion!AF"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70" spans="1:3" x14ac:dyDescent="0.65">
      <c r="A270" s="554" t="str">
        <f ca="1">IF(A269="","",IF(ListAndConversion!AB272&lt;&gt;"-",ListAndConversion!W272,IF(ListAndConversion!AN272&lt;&gt;"-",ListAndConversion!AJ272,IF(INDIRECT("ListAndConversion!AF"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70" s="555" t="str">
        <f ca="1">IF(B269="","",IF(ListAndConversion!AB272&lt;&gt;"-",ListAndConversion!Y272,IF(ListAndConversion!AN272&lt;&gt;"-",ListAndConversion!AK272,IF(INDIRECT("ListAndConversion!AF"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70" s="556" t="str">
        <f ca="1">IF(C269="","",IF(ListAndConversion!AB272&lt;&gt;"-",ListAndConversion!AE272,IF(ListAndConversion!AN272&lt;&gt;"-",ListAndConversion!AQ272,IF(INDIRECT("ListAndConversion!AF"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71" spans="1:3" x14ac:dyDescent="0.65">
      <c r="A271" s="554" t="str">
        <f ca="1">IF(A270="","",IF(ListAndConversion!AB273&lt;&gt;"-",ListAndConversion!W273,IF(ListAndConversion!AN273&lt;&gt;"-",ListAndConversion!AJ273,IF(INDIRECT("ListAndConversion!AF"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71" s="555" t="str">
        <f ca="1">IF(B270="","",IF(ListAndConversion!AB273&lt;&gt;"-",ListAndConversion!Y273,IF(ListAndConversion!AN273&lt;&gt;"-",ListAndConversion!AK273,IF(INDIRECT("ListAndConversion!AF"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71" s="556" t="str">
        <f ca="1">IF(C270="","",IF(ListAndConversion!AB273&lt;&gt;"-",ListAndConversion!AE273,IF(ListAndConversion!AN273&lt;&gt;"-",ListAndConversion!AQ273,IF(INDIRECT("ListAndConversion!AF"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72" spans="1:3" x14ac:dyDescent="0.65">
      <c r="A272" s="554" t="str">
        <f ca="1">IF(A271="","",IF(ListAndConversion!AB274&lt;&gt;"-",ListAndConversion!W274,IF(ListAndConversion!AN274&lt;&gt;"-",ListAndConversion!AJ274,IF(INDIRECT("ListAndConversion!AF"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72" s="555" t="str">
        <f ca="1">IF(B271="","",IF(ListAndConversion!AB274&lt;&gt;"-",ListAndConversion!Y274,IF(ListAndConversion!AN274&lt;&gt;"-",ListAndConversion!AK274,IF(INDIRECT("ListAndConversion!AF"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72" s="556" t="str">
        <f ca="1">IF(C271="","",IF(ListAndConversion!AB274&lt;&gt;"-",ListAndConversion!AE274,IF(ListAndConversion!AN274&lt;&gt;"-",ListAndConversion!AQ274,IF(INDIRECT("ListAndConversion!AF"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73" spans="1:3" x14ac:dyDescent="0.65">
      <c r="A273" s="554" t="str">
        <f ca="1">IF(A272="","",IF(ListAndConversion!AB275&lt;&gt;"-",ListAndConversion!W275,IF(ListAndConversion!AN275&lt;&gt;"-",ListAndConversion!AJ275,IF(INDIRECT("ListAndConversion!AF"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73" s="555" t="str">
        <f ca="1">IF(B272="","",IF(ListAndConversion!AB275&lt;&gt;"-",ListAndConversion!Y275,IF(ListAndConversion!AN275&lt;&gt;"-",ListAndConversion!AK275,IF(INDIRECT("ListAndConversion!AF"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73" s="556" t="str">
        <f ca="1">IF(C272="","",IF(ListAndConversion!AB275&lt;&gt;"-",ListAndConversion!AE275,IF(ListAndConversion!AN275&lt;&gt;"-",ListAndConversion!AQ275,IF(INDIRECT("ListAndConversion!AF"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74" spans="1:3" x14ac:dyDescent="0.65">
      <c r="A274" s="554" t="str">
        <f ca="1">IF(A273="","",IF(ListAndConversion!AB276&lt;&gt;"-",ListAndConversion!W276,IF(ListAndConversion!AN276&lt;&gt;"-",ListAndConversion!AJ276,IF(INDIRECT("ListAndConversion!AF"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74" s="555" t="str">
        <f ca="1">IF(B273="","",IF(ListAndConversion!AB276&lt;&gt;"-",ListAndConversion!Y276,IF(ListAndConversion!AN276&lt;&gt;"-",ListAndConversion!AK276,IF(INDIRECT("ListAndConversion!AF"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74" s="556" t="str">
        <f ca="1">IF(C273="","",IF(ListAndConversion!AB276&lt;&gt;"-",ListAndConversion!AE276,IF(ListAndConversion!AN276&lt;&gt;"-",ListAndConversion!AQ276,IF(INDIRECT("ListAndConversion!AF"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75" spans="1:3" x14ac:dyDescent="0.65">
      <c r="A275" s="554" t="str">
        <f ca="1">IF(A274="","",IF(ListAndConversion!AB277&lt;&gt;"-",ListAndConversion!W277,IF(ListAndConversion!AN277&lt;&gt;"-",ListAndConversion!AJ277,IF(INDIRECT("ListAndConversion!AF"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75" s="555" t="str">
        <f ca="1">IF(B274="","",IF(ListAndConversion!AB277&lt;&gt;"-",ListAndConversion!Y277,IF(ListAndConversion!AN277&lt;&gt;"-",ListAndConversion!AK277,IF(INDIRECT("ListAndConversion!AF"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75" s="556" t="str">
        <f ca="1">IF(C274="","",IF(ListAndConversion!AB277&lt;&gt;"-",ListAndConversion!AE277,IF(ListAndConversion!AN277&lt;&gt;"-",ListAndConversion!AQ277,IF(INDIRECT("ListAndConversion!AF"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76" spans="1:3" x14ac:dyDescent="0.65">
      <c r="A276" s="554" t="str">
        <f ca="1">IF(A275="","",IF(ListAndConversion!AB278&lt;&gt;"-",ListAndConversion!W278,IF(ListAndConversion!AN278&lt;&gt;"-",ListAndConversion!AJ278,IF(INDIRECT("ListAndConversion!AF"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76" s="555" t="str">
        <f ca="1">IF(B275="","",IF(ListAndConversion!AB278&lt;&gt;"-",ListAndConversion!Y278,IF(ListAndConversion!AN278&lt;&gt;"-",ListAndConversion!AK278,IF(INDIRECT("ListAndConversion!AF"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76" s="556" t="str">
        <f ca="1">IF(C275="","",IF(ListAndConversion!AB278&lt;&gt;"-",ListAndConversion!AE278,IF(ListAndConversion!AN278&lt;&gt;"-",ListAndConversion!AQ278,IF(INDIRECT("ListAndConversion!AF"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77" spans="1:3" x14ac:dyDescent="0.65">
      <c r="A277" s="554" t="str">
        <f ca="1">IF(A276="","",IF(ListAndConversion!AB279&lt;&gt;"-",ListAndConversion!W279,IF(ListAndConversion!AN279&lt;&gt;"-",ListAndConversion!AJ279,IF(INDIRECT("ListAndConversion!AF"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77" s="555" t="str">
        <f ca="1">IF(B276="","",IF(ListAndConversion!AB279&lt;&gt;"-",ListAndConversion!Y279,IF(ListAndConversion!AN279&lt;&gt;"-",ListAndConversion!AK279,IF(INDIRECT("ListAndConversion!AF"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77" s="556" t="str">
        <f ca="1">IF(C276="","",IF(ListAndConversion!AB279&lt;&gt;"-",ListAndConversion!AE279,IF(ListAndConversion!AN279&lt;&gt;"-",ListAndConversion!AQ279,IF(INDIRECT("ListAndConversion!AF"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78" spans="1:3" x14ac:dyDescent="0.65">
      <c r="A278" s="554" t="str">
        <f ca="1">IF(A277="","",IF(ListAndConversion!AB280&lt;&gt;"-",ListAndConversion!W280,IF(ListAndConversion!AN280&lt;&gt;"-",ListAndConversion!AJ280,IF(INDIRECT("ListAndConversion!AF"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78" s="555" t="str">
        <f ca="1">IF(B277="","",IF(ListAndConversion!AB280&lt;&gt;"-",ListAndConversion!Y280,IF(ListAndConversion!AN280&lt;&gt;"-",ListAndConversion!AK280,IF(INDIRECT("ListAndConversion!AF"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78" s="556" t="str">
        <f ca="1">IF(C277="","",IF(ListAndConversion!AB280&lt;&gt;"-",ListAndConversion!AE280,IF(ListAndConversion!AN280&lt;&gt;"-",ListAndConversion!AQ280,IF(INDIRECT("ListAndConversion!AF"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79" spans="1:3" x14ac:dyDescent="0.65">
      <c r="A279" s="554" t="str">
        <f ca="1">IF(A278="","",IF(ListAndConversion!AB281&lt;&gt;"-",ListAndConversion!W281,IF(ListAndConversion!AN281&lt;&gt;"-",ListAndConversion!AJ281,IF(INDIRECT("ListAndConversion!AF"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79" s="555" t="str">
        <f ca="1">IF(B278="","",IF(ListAndConversion!AB281&lt;&gt;"-",ListAndConversion!Y281,IF(ListAndConversion!AN281&lt;&gt;"-",ListAndConversion!AK281,IF(INDIRECT("ListAndConversion!AF"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79" s="556" t="str">
        <f ca="1">IF(C278="","",IF(ListAndConversion!AB281&lt;&gt;"-",ListAndConversion!AE281,IF(ListAndConversion!AN281&lt;&gt;"-",ListAndConversion!AQ281,IF(INDIRECT("ListAndConversion!AF"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80" spans="1:3" x14ac:dyDescent="0.65">
      <c r="A280" s="554" t="str">
        <f ca="1">IF(A279="","",IF(ListAndConversion!AB282&lt;&gt;"-",ListAndConversion!W282,IF(ListAndConversion!AN282&lt;&gt;"-",ListAndConversion!AJ282,IF(INDIRECT("ListAndConversion!AF"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80" s="555" t="str">
        <f ca="1">IF(B279="","",IF(ListAndConversion!AB282&lt;&gt;"-",ListAndConversion!Y282,IF(ListAndConversion!AN282&lt;&gt;"-",ListAndConversion!AK282,IF(INDIRECT("ListAndConversion!AF"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80" s="556" t="str">
        <f ca="1">IF(C279="","",IF(ListAndConversion!AB282&lt;&gt;"-",ListAndConversion!AE282,IF(ListAndConversion!AN282&lt;&gt;"-",ListAndConversion!AQ282,IF(INDIRECT("ListAndConversion!AF"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81" spans="1:3" x14ac:dyDescent="0.65">
      <c r="A281" s="554" t="str">
        <f ca="1">IF(A280="","",IF(ListAndConversion!AB283&lt;&gt;"-",ListAndConversion!W283,IF(ListAndConversion!AN283&lt;&gt;"-",ListAndConversion!AJ283,IF(INDIRECT("ListAndConversion!AF"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81" s="555" t="str">
        <f ca="1">IF(B280="","",IF(ListAndConversion!AB283&lt;&gt;"-",ListAndConversion!Y283,IF(ListAndConversion!AN283&lt;&gt;"-",ListAndConversion!AK283,IF(INDIRECT("ListAndConversion!AF"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81" s="556" t="str">
        <f ca="1">IF(C280="","",IF(ListAndConversion!AB283&lt;&gt;"-",ListAndConversion!AE283,IF(ListAndConversion!AN283&lt;&gt;"-",ListAndConversion!AQ283,IF(INDIRECT("ListAndConversion!AF"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82" spans="1:3" x14ac:dyDescent="0.65">
      <c r="A282" s="554" t="str">
        <f ca="1">IF(A281="","",IF(ListAndConversion!AB284&lt;&gt;"-",ListAndConversion!W284,IF(ListAndConversion!AN284&lt;&gt;"-",ListAndConversion!AJ284,IF(INDIRECT("ListAndConversion!AF"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82" s="555" t="str">
        <f ca="1">IF(B281="","",IF(ListAndConversion!AB284&lt;&gt;"-",ListAndConversion!Y284,IF(ListAndConversion!AN284&lt;&gt;"-",ListAndConversion!AK284,IF(INDIRECT("ListAndConversion!AF"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82" s="556" t="str">
        <f ca="1">IF(C281="","",IF(ListAndConversion!AB284&lt;&gt;"-",ListAndConversion!AE284,IF(ListAndConversion!AN284&lt;&gt;"-",ListAndConversion!AQ284,IF(INDIRECT("ListAndConversion!AF"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83" spans="1:3" x14ac:dyDescent="0.65">
      <c r="A283" s="554" t="str">
        <f ca="1">IF(A282="","",IF(ListAndConversion!AB285&lt;&gt;"-",ListAndConversion!W285,IF(ListAndConversion!AN285&lt;&gt;"-",ListAndConversion!AJ285,IF(INDIRECT("ListAndConversion!AF"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83" s="555" t="str">
        <f ca="1">IF(B282="","",IF(ListAndConversion!AB285&lt;&gt;"-",ListAndConversion!Y285,IF(ListAndConversion!AN285&lt;&gt;"-",ListAndConversion!AK285,IF(INDIRECT("ListAndConversion!AF"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83" s="556" t="str">
        <f ca="1">IF(C282="","",IF(ListAndConversion!AB285&lt;&gt;"-",ListAndConversion!AE285,IF(ListAndConversion!AN285&lt;&gt;"-",ListAndConversion!AQ285,IF(INDIRECT("ListAndConversion!AF"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84" spans="1:3" x14ac:dyDescent="0.65">
      <c r="A284" s="554" t="str">
        <f ca="1">IF(A283="","",IF(ListAndConversion!AB286&lt;&gt;"-",ListAndConversion!W286,IF(ListAndConversion!AN286&lt;&gt;"-",ListAndConversion!AJ286,IF(INDIRECT("ListAndConversion!AF"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84" s="555" t="str">
        <f ca="1">IF(B283="","",IF(ListAndConversion!AB286&lt;&gt;"-",ListAndConversion!Y286,IF(ListAndConversion!AN286&lt;&gt;"-",ListAndConversion!AK286,IF(INDIRECT("ListAndConversion!AF"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84" s="556" t="str">
        <f ca="1">IF(C283="","",IF(ListAndConversion!AB286&lt;&gt;"-",ListAndConversion!AE286,IF(ListAndConversion!AN286&lt;&gt;"-",ListAndConversion!AQ286,IF(INDIRECT("ListAndConversion!AF"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85" spans="1:3" x14ac:dyDescent="0.65">
      <c r="A285" s="554" t="str">
        <f ca="1">IF(A284="","",IF(ListAndConversion!AB287&lt;&gt;"-",ListAndConversion!W287,IF(ListAndConversion!AN287&lt;&gt;"-",ListAndConversion!AJ287,IF(INDIRECT("ListAndConversion!AF"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85" s="555" t="str">
        <f ca="1">IF(B284="","",IF(ListAndConversion!AB287&lt;&gt;"-",ListAndConversion!Y287,IF(ListAndConversion!AN287&lt;&gt;"-",ListAndConversion!AK287,IF(INDIRECT("ListAndConversion!AF"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85" s="556" t="str">
        <f ca="1">IF(C284="","",IF(ListAndConversion!AB287&lt;&gt;"-",ListAndConversion!AE287,IF(ListAndConversion!AN287&lt;&gt;"-",ListAndConversion!AQ287,IF(INDIRECT("ListAndConversion!AF"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86" spans="1:3" x14ac:dyDescent="0.65">
      <c r="A286" s="554" t="str">
        <f ca="1">IF(A285="","",IF(ListAndConversion!AB288&lt;&gt;"-",ListAndConversion!W288,IF(ListAndConversion!AN288&lt;&gt;"-",ListAndConversion!AJ288,IF(INDIRECT("ListAndConversion!AF"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86" s="555" t="str">
        <f ca="1">IF(B285="","",IF(ListAndConversion!AB288&lt;&gt;"-",ListAndConversion!Y288,IF(ListAndConversion!AN288&lt;&gt;"-",ListAndConversion!AK288,IF(INDIRECT("ListAndConversion!AF"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86" s="556" t="str">
        <f ca="1">IF(C285="","",IF(ListAndConversion!AB288&lt;&gt;"-",ListAndConversion!AE288,IF(ListAndConversion!AN288&lt;&gt;"-",ListAndConversion!AQ288,IF(INDIRECT("ListAndConversion!AF"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87" spans="1:3" x14ac:dyDescent="0.65">
      <c r="A287" s="554" t="str">
        <f ca="1">IF(A286="","",IF(ListAndConversion!AB289&lt;&gt;"-",ListAndConversion!W289,IF(ListAndConversion!AN289&lt;&gt;"-",ListAndConversion!AJ289,IF(INDIRECT("ListAndConversion!AF"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87" s="555" t="str">
        <f ca="1">IF(B286="","",IF(ListAndConversion!AB289&lt;&gt;"-",ListAndConversion!Y289,IF(ListAndConversion!AN289&lt;&gt;"-",ListAndConversion!AK289,IF(INDIRECT("ListAndConversion!AF"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87" s="556" t="str">
        <f ca="1">IF(C286="","",IF(ListAndConversion!AB289&lt;&gt;"-",ListAndConversion!AE289,IF(ListAndConversion!AN289&lt;&gt;"-",ListAndConversion!AQ289,IF(INDIRECT("ListAndConversion!AF"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88" spans="1:3" x14ac:dyDescent="0.65">
      <c r="A288" s="554" t="str">
        <f ca="1">IF(A287="","",IF(ListAndConversion!AB290&lt;&gt;"-",ListAndConversion!W290,IF(ListAndConversion!AN290&lt;&gt;"-",ListAndConversion!AJ290,IF(INDIRECT("ListAndConversion!AF"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88" s="555" t="str">
        <f ca="1">IF(B287="","",IF(ListAndConversion!AB290&lt;&gt;"-",ListAndConversion!Y290,IF(ListAndConversion!AN290&lt;&gt;"-",ListAndConversion!AK290,IF(INDIRECT("ListAndConversion!AF"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88" s="556" t="str">
        <f ca="1">IF(C287="","",IF(ListAndConversion!AB290&lt;&gt;"-",ListAndConversion!AE290,IF(ListAndConversion!AN290&lt;&gt;"-",ListAndConversion!AQ290,IF(INDIRECT("ListAndConversion!AF"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89" spans="1:3" x14ac:dyDescent="0.65">
      <c r="A289" s="554" t="str">
        <f ca="1">IF(A288="","",IF(ListAndConversion!AB291&lt;&gt;"-",ListAndConversion!W291,IF(ListAndConversion!AN291&lt;&gt;"-",ListAndConversion!AJ291,IF(INDIRECT("ListAndConversion!AF"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89" s="555" t="str">
        <f ca="1">IF(B288="","",IF(ListAndConversion!AB291&lt;&gt;"-",ListAndConversion!Y291,IF(ListAndConversion!AN291&lt;&gt;"-",ListAndConversion!AK291,IF(INDIRECT("ListAndConversion!AF"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89" s="556" t="str">
        <f ca="1">IF(C288="","",IF(ListAndConversion!AB291&lt;&gt;"-",ListAndConversion!AE291,IF(ListAndConversion!AN291&lt;&gt;"-",ListAndConversion!AQ291,IF(INDIRECT("ListAndConversion!AF"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90" spans="1:3" x14ac:dyDescent="0.65">
      <c r="A290" s="554" t="str">
        <f ca="1">IF(A289="","",IF(ListAndConversion!AB292&lt;&gt;"-",ListAndConversion!W292,IF(ListAndConversion!AN292&lt;&gt;"-",ListAndConversion!AJ292,IF(INDIRECT("ListAndConversion!AF"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90" s="555" t="str">
        <f ca="1">IF(B289="","",IF(ListAndConversion!AB292&lt;&gt;"-",ListAndConversion!Y292,IF(ListAndConversion!AN292&lt;&gt;"-",ListAndConversion!AK292,IF(INDIRECT("ListAndConversion!AF"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90" s="556" t="str">
        <f ca="1">IF(C289="","",IF(ListAndConversion!AB292&lt;&gt;"-",ListAndConversion!AE292,IF(ListAndConversion!AN292&lt;&gt;"-",ListAndConversion!AQ292,IF(INDIRECT("ListAndConversion!AF"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91" spans="1:3" x14ac:dyDescent="0.65">
      <c r="A291" s="554" t="str">
        <f ca="1">IF(A290="","",IF(ListAndConversion!AB293&lt;&gt;"-",ListAndConversion!W293,IF(ListAndConversion!AN293&lt;&gt;"-",ListAndConversion!AJ293,IF(INDIRECT("ListAndConversion!AF"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91" s="555" t="str">
        <f ca="1">IF(B290="","",IF(ListAndConversion!AB293&lt;&gt;"-",ListAndConversion!Y293,IF(ListAndConversion!AN293&lt;&gt;"-",ListAndConversion!AK293,IF(INDIRECT("ListAndConversion!AF"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91" s="556" t="str">
        <f ca="1">IF(C290="","",IF(ListAndConversion!AB293&lt;&gt;"-",ListAndConversion!AE293,IF(ListAndConversion!AN293&lt;&gt;"-",ListAndConversion!AQ293,IF(INDIRECT("ListAndConversion!AF"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92" spans="1:3" x14ac:dyDescent="0.65">
      <c r="A292" s="554" t="str">
        <f ca="1">IF(A291="","",IF(ListAndConversion!AB294&lt;&gt;"-",ListAndConversion!W294,IF(ListAndConversion!AN294&lt;&gt;"-",ListAndConversion!AJ294,IF(INDIRECT("ListAndConversion!AF"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92" s="555" t="str">
        <f ca="1">IF(B291="","",IF(ListAndConversion!AB294&lt;&gt;"-",ListAndConversion!Y294,IF(ListAndConversion!AN294&lt;&gt;"-",ListAndConversion!AK294,IF(INDIRECT("ListAndConversion!AF"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92" s="556" t="str">
        <f ca="1">IF(C291="","",IF(ListAndConversion!AB294&lt;&gt;"-",ListAndConversion!AE294,IF(ListAndConversion!AN294&lt;&gt;"-",ListAndConversion!AQ294,IF(INDIRECT("ListAndConversion!AF"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93" spans="1:3" x14ac:dyDescent="0.65">
      <c r="A293" s="554" t="str">
        <f ca="1">IF(A292="","",IF(ListAndConversion!AB295&lt;&gt;"-",ListAndConversion!W295,IF(ListAndConversion!AN295&lt;&gt;"-",ListAndConversion!AJ295,IF(INDIRECT("ListAndConversion!AF"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93" s="555" t="str">
        <f ca="1">IF(B292="","",IF(ListAndConversion!AB295&lt;&gt;"-",ListAndConversion!Y295,IF(ListAndConversion!AN295&lt;&gt;"-",ListAndConversion!AK295,IF(INDIRECT("ListAndConversion!AF"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93" s="556" t="str">
        <f ca="1">IF(C292="","",IF(ListAndConversion!AB295&lt;&gt;"-",ListAndConversion!AE295,IF(ListAndConversion!AN295&lt;&gt;"-",ListAndConversion!AQ295,IF(INDIRECT("ListAndConversion!AF"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94" spans="1:3" x14ac:dyDescent="0.65">
      <c r="A294" s="554" t="str">
        <f ca="1">IF(A293="","",IF(ListAndConversion!AB296&lt;&gt;"-",ListAndConversion!W296,IF(ListAndConversion!AN296&lt;&gt;"-",ListAndConversion!AJ296,IF(INDIRECT("ListAndConversion!AF"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94" s="555" t="str">
        <f ca="1">IF(B293="","",IF(ListAndConversion!AB296&lt;&gt;"-",ListAndConversion!Y296,IF(ListAndConversion!AN296&lt;&gt;"-",ListAndConversion!AK296,IF(INDIRECT("ListAndConversion!AF"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94" s="556" t="str">
        <f ca="1">IF(C293="","",IF(ListAndConversion!AB296&lt;&gt;"-",ListAndConversion!AE296,IF(ListAndConversion!AN296&lt;&gt;"-",ListAndConversion!AQ296,IF(INDIRECT("ListAndConversion!AF"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95" spans="1:3" x14ac:dyDescent="0.65">
      <c r="A295" s="554" t="str">
        <f ca="1">IF(A294="","",IF(ListAndConversion!AB297&lt;&gt;"-",ListAndConversion!W297,IF(ListAndConversion!AN297&lt;&gt;"-",ListAndConversion!AJ297,IF(INDIRECT("ListAndConversion!AF"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95" s="555" t="str">
        <f ca="1">IF(B294="","",IF(ListAndConversion!AB297&lt;&gt;"-",ListAndConversion!Y297,IF(ListAndConversion!AN297&lt;&gt;"-",ListAndConversion!AK297,IF(INDIRECT("ListAndConversion!AF"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95" s="556" t="str">
        <f ca="1">IF(C294="","",IF(ListAndConversion!AB297&lt;&gt;"-",ListAndConversion!AE297,IF(ListAndConversion!AN297&lt;&gt;"-",ListAndConversion!AQ297,IF(INDIRECT("ListAndConversion!AF"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96" spans="1:3" x14ac:dyDescent="0.65">
      <c r="A296" s="554" t="str">
        <f ca="1">IF(A295="","",IF(ListAndConversion!AB298&lt;&gt;"-",ListAndConversion!W298,IF(ListAndConversion!AN298&lt;&gt;"-",ListAndConversion!AJ298,IF(INDIRECT("ListAndConversion!AF"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96" s="555" t="str">
        <f ca="1">IF(B295="","",IF(ListAndConversion!AB298&lt;&gt;"-",ListAndConversion!Y298,IF(ListAndConversion!AN298&lt;&gt;"-",ListAndConversion!AK298,IF(INDIRECT("ListAndConversion!AF"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96" s="556" t="str">
        <f ca="1">IF(C295="","",IF(ListAndConversion!AB298&lt;&gt;"-",ListAndConversion!AE298,IF(ListAndConversion!AN298&lt;&gt;"-",ListAndConversion!AQ298,IF(INDIRECT("ListAndConversion!AF"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97" spans="1:3" x14ac:dyDescent="0.65">
      <c r="A297" s="554" t="str">
        <f ca="1">IF(A296="","",IF(ListAndConversion!AB299&lt;&gt;"-",ListAndConversion!W299,IF(ListAndConversion!AN299&lt;&gt;"-",ListAndConversion!AJ299,IF(INDIRECT("ListAndConversion!AF"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97" s="555" t="str">
        <f ca="1">IF(B296="","",IF(ListAndConversion!AB299&lt;&gt;"-",ListAndConversion!Y299,IF(ListAndConversion!AN299&lt;&gt;"-",ListAndConversion!AK299,IF(INDIRECT("ListAndConversion!AF"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97" s="556" t="str">
        <f ca="1">IF(C296="","",IF(ListAndConversion!AB299&lt;&gt;"-",ListAndConversion!AE299,IF(ListAndConversion!AN299&lt;&gt;"-",ListAndConversion!AQ299,IF(INDIRECT("ListAndConversion!AF"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98" spans="1:3" x14ac:dyDescent="0.65">
      <c r="A298" s="554" t="str">
        <f ca="1">IF(A297="","",IF(ListAndConversion!AB300&lt;&gt;"-",ListAndConversion!W300,IF(ListAndConversion!AN300&lt;&gt;"-",ListAndConversion!AJ300,IF(INDIRECT("ListAndConversion!AF"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98" s="555" t="str">
        <f ca="1">IF(B297="","",IF(ListAndConversion!AB300&lt;&gt;"-",ListAndConversion!Y300,IF(ListAndConversion!AN300&lt;&gt;"-",ListAndConversion!AK300,IF(INDIRECT("ListAndConversion!AF"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98" s="556" t="str">
        <f ca="1">IF(C297="","",IF(ListAndConversion!AB300&lt;&gt;"-",ListAndConversion!AE300,IF(ListAndConversion!AN300&lt;&gt;"-",ListAndConversion!AQ300,IF(INDIRECT("ListAndConversion!AF"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299" spans="1:3" x14ac:dyDescent="0.65">
      <c r="A299" s="554" t="str">
        <f ca="1">IF(A298="","",IF(ListAndConversion!AB301&lt;&gt;"-",ListAndConversion!W301,IF(ListAndConversion!AN301&lt;&gt;"-",ListAndConversion!AJ301,IF(INDIRECT("ListAndConversion!AF"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299" s="555" t="str">
        <f ca="1">IF(B298="","",IF(ListAndConversion!AB301&lt;&gt;"-",ListAndConversion!Y301,IF(ListAndConversion!AN301&lt;&gt;"-",ListAndConversion!AK301,IF(INDIRECT("ListAndConversion!AF"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299" s="556" t="str">
        <f ca="1">IF(C298="","",IF(ListAndConversion!AB301&lt;&gt;"-",ListAndConversion!AE301,IF(ListAndConversion!AN301&lt;&gt;"-",ListAndConversion!AQ301,IF(INDIRECT("ListAndConversion!AF"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00" spans="1:3" x14ac:dyDescent="0.65">
      <c r="A300" s="554" t="str">
        <f ca="1">IF(A299="","",IF(ListAndConversion!AB302&lt;&gt;"-",ListAndConversion!W302,IF(ListAndConversion!AN302&lt;&gt;"-",ListAndConversion!AJ302,IF(INDIRECT("ListAndConversion!AF"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00" s="555" t="str">
        <f ca="1">IF(B299="","",IF(ListAndConversion!AB302&lt;&gt;"-",ListAndConversion!Y302,IF(ListAndConversion!AN302&lt;&gt;"-",ListAndConversion!AK302,IF(INDIRECT("ListAndConversion!AF"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00" s="556" t="str">
        <f ca="1">IF(C299="","",IF(ListAndConversion!AB302&lt;&gt;"-",ListAndConversion!AE302,IF(ListAndConversion!AN302&lt;&gt;"-",ListAndConversion!AQ302,IF(INDIRECT("ListAndConversion!AF"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01" spans="1:3" x14ac:dyDescent="0.65">
      <c r="A301" s="554" t="str">
        <f ca="1">IF(A300="","",IF(ListAndConversion!AB303&lt;&gt;"-",ListAndConversion!W303,IF(ListAndConversion!AN303&lt;&gt;"-",ListAndConversion!AJ303,IF(INDIRECT("ListAndConversion!AF"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01" s="555" t="str">
        <f ca="1">IF(B300="","",IF(ListAndConversion!AB303&lt;&gt;"-",ListAndConversion!Y303,IF(ListAndConversion!AN303&lt;&gt;"-",ListAndConversion!AK303,IF(INDIRECT("ListAndConversion!AF"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01" s="556" t="str">
        <f ca="1">IF(C300="","",IF(ListAndConversion!AB303&lt;&gt;"-",ListAndConversion!AE303,IF(ListAndConversion!AN303&lt;&gt;"-",ListAndConversion!AQ303,IF(INDIRECT("ListAndConversion!AF"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02" spans="1:3" x14ac:dyDescent="0.65">
      <c r="A302" s="554" t="str">
        <f ca="1">IF(A301="","",IF(ListAndConversion!AB304&lt;&gt;"-",ListAndConversion!W304,IF(ListAndConversion!AN304&lt;&gt;"-",ListAndConversion!AJ304,IF(INDIRECT("ListAndConversion!AF"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02" s="555" t="str">
        <f ca="1">IF(B301="","",IF(ListAndConversion!AB304&lt;&gt;"-",ListAndConversion!Y304,IF(ListAndConversion!AN304&lt;&gt;"-",ListAndConversion!AK304,IF(INDIRECT("ListAndConversion!AF"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02" s="556" t="str">
        <f ca="1">IF(C301="","",IF(ListAndConversion!AB304&lt;&gt;"-",ListAndConversion!AE304,IF(ListAndConversion!AN304&lt;&gt;"-",ListAndConversion!AQ304,IF(INDIRECT("ListAndConversion!AF"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03" spans="1:3" x14ac:dyDescent="0.65">
      <c r="A303" s="554" t="str">
        <f ca="1">IF(A302="","",IF(ListAndConversion!AB305&lt;&gt;"-",ListAndConversion!W305,IF(ListAndConversion!AN305&lt;&gt;"-",ListAndConversion!AJ305,IF(INDIRECT("ListAndConversion!AF"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03" s="555" t="str">
        <f ca="1">IF(B302="","",IF(ListAndConversion!AB305&lt;&gt;"-",ListAndConversion!Y305,IF(ListAndConversion!AN305&lt;&gt;"-",ListAndConversion!AK305,IF(INDIRECT("ListAndConversion!AF"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03" s="556" t="str">
        <f ca="1">IF(C302="","",IF(ListAndConversion!AB305&lt;&gt;"-",ListAndConversion!AE305,IF(ListAndConversion!AN305&lt;&gt;"-",ListAndConversion!AQ305,IF(INDIRECT("ListAndConversion!AF"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04" spans="1:3" x14ac:dyDescent="0.65">
      <c r="A304" s="554" t="str">
        <f ca="1">IF(A303="","",IF(ListAndConversion!AB306&lt;&gt;"-",ListAndConversion!W306,IF(ListAndConversion!AN306&lt;&gt;"-",ListAndConversion!AJ306,IF(INDIRECT("ListAndConversion!AF"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04" s="555" t="str">
        <f ca="1">IF(B303="","",IF(ListAndConversion!AB306&lt;&gt;"-",ListAndConversion!Y306,IF(ListAndConversion!AN306&lt;&gt;"-",ListAndConversion!AK306,IF(INDIRECT("ListAndConversion!AF"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04" s="556" t="str">
        <f ca="1">IF(C303="","",IF(ListAndConversion!AB306&lt;&gt;"-",ListAndConversion!AE306,IF(ListAndConversion!AN306&lt;&gt;"-",ListAndConversion!AQ306,IF(INDIRECT("ListAndConversion!AF"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05" spans="1:3" x14ac:dyDescent="0.65">
      <c r="A305" s="554" t="str">
        <f ca="1">IF(A304="","",IF(ListAndConversion!AB307&lt;&gt;"-",ListAndConversion!W307,IF(ListAndConversion!AN307&lt;&gt;"-",ListAndConversion!AJ307,IF(INDIRECT("ListAndConversion!AF"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05" s="555" t="str">
        <f ca="1">IF(B304="","",IF(ListAndConversion!AB307&lt;&gt;"-",ListAndConversion!Y307,IF(ListAndConversion!AN307&lt;&gt;"-",ListAndConversion!AK307,IF(INDIRECT("ListAndConversion!AF"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05" s="556" t="str">
        <f ca="1">IF(C304="","",IF(ListAndConversion!AB307&lt;&gt;"-",ListAndConversion!AE307,IF(ListAndConversion!AN307&lt;&gt;"-",ListAndConversion!AQ307,IF(INDIRECT("ListAndConversion!AF"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06" spans="1:3" x14ac:dyDescent="0.65">
      <c r="A306" s="554" t="str">
        <f ca="1">IF(A305="","",IF(ListAndConversion!AB308&lt;&gt;"-",ListAndConversion!W308,IF(ListAndConversion!AN308&lt;&gt;"-",ListAndConversion!AJ308,IF(INDIRECT("ListAndConversion!AF"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06" s="555" t="str">
        <f ca="1">IF(B305="","",IF(ListAndConversion!AB308&lt;&gt;"-",ListAndConversion!Y308,IF(ListAndConversion!AN308&lt;&gt;"-",ListAndConversion!AK308,IF(INDIRECT("ListAndConversion!AF"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06" s="556" t="str">
        <f ca="1">IF(C305="","",IF(ListAndConversion!AB308&lt;&gt;"-",ListAndConversion!AE308,IF(ListAndConversion!AN308&lt;&gt;"-",ListAndConversion!AQ308,IF(INDIRECT("ListAndConversion!AF"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07" spans="1:3" x14ac:dyDescent="0.65">
      <c r="A307" s="554" t="str">
        <f ca="1">IF(A306="","",IF(ListAndConversion!AB309&lt;&gt;"-",ListAndConversion!W309,IF(ListAndConversion!AN309&lt;&gt;"-",ListAndConversion!AJ309,IF(INDIRECT("ListAndConversion!AF"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07" s="555" t="str">
        <f ca="1">IF(B306="","",IF(ListAndConversion!AB309&lt;&gt;"-",ListAndConversion!Y309,IF(ListAndConversion!AN309&lt;&gt;"-",ListAndConversion!AK309,IF(INDIRECT("ListAndConversion!AF"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07" s="556" t="str">
        <f ca="1">IF(C306="","",IF(ListAndConversion!AB309&lt;&gt;"-",ListAndConversion!AE309,IF(ListAndConversion!AN309&lt;&gt;"-",ListAndConversion!AQ309,IF(INDIRECT("ListAndConversion!AF"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08" spans="1:3" x14ac:dyDescent="0.65">
      <c r="A308" s="554" t="str">
        <f ca="1">IF(A307="","",IF(ListAndConversion!AB310&lt;&gt;"-",ListAndConversion!W310,IF(ListAndConversion!AN310&lt;&gt;"-",ListAndConversion!AJ310,IF(INDIRECT("ListAndConversion!AF"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08" s="555" t="str">
        <f ca="1">IF(B307="","",IF(ListAndConversion!AB310&lt;&gt;"-",ListAndConversion!Y310,IF(ListAndConversion!AN310&lt;&gt;"-",ListAndConversion!AK310,IF(INDIRECT("ListAndConversion!AF"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08" s="556" t="str">
        <f ca="1">IF(C307="","",IF(ListAndConversion!AB310&lt;&gt;"-",ListAndConversion!AE310,IF(ListAndConversion!AN310&lt;&gt;"-",ListAndConversion!AQ310,IF(INDIRECT("ListAndConversion!AF"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09" spans="1:3" x14ac:dyDescent="0.65">
      <c r="A309" s="554" t="str">
        <f ca="1">IF(A308="","",IF(ListAndConversion!AB311&lt;&gt;"-",ListAndConversion!W311,IF(ListAndConversion!AN311&lt;&gt;"-",ListAndConversion!AJ311,IF(INDIRECT("ListAndConversion!AF"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09" s="555" t="str">
        <f ca="1">IF(B308="","",IF(ListAndConversion!AB311&lt;&gt;"-",ListAndConversion!Y311,IF(ListAndConversion!AN311&lt;&gt;"-",ListAndConversion!AK311,IF(INDIRECT("ListAndConversion!AF"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09" s="556" t="str">
        <f ca="1">IF(C308="","",IF(ListAndConversion!AB311&lt;&gt;"-",ListAndConversion!AE311,IF(ListAndConversion!AN311&lt;&gt;"-",ListAndConversion!AQ311,IF(INDIRECT("ListAndConversion!AF"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10" spans="1:3" x14ac:dyDescent="0.65">
      <c r="A310" s="554" t="str">
        <f ca="1">IF(A309="","",IF(ListAndConversion!AB312&lt;&gt;"-",ListAndConversion!W312,IF(ListAndConversion!AN312&lt;&gt;"-",ListAndConversion!AJ312,IF(INDIRECT("ListAndConversion!AF"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10" s="555" t="str">
        <f ca="1">IF(B309="","",IF(ListAndConversion!AB312&lt;&gt;"-",ListAndConversion!Y312,IF(ListAndConversion!AN312&lt;&gt;"-",ListAndConversion!AK312,IF(INDIRECT("ListAndConversion!AF"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10" s="556" t="str">
        <f ca="1">IF(C309="","",IF(ListAndConversion!AB312&lt;&gt;"-",ListAndConversion!AE312,IF(ListAndConversion!AN312&lt;&gt;"-",ListAndConversion!AQ312,IF(INDIRECT("ListAndConversion!AF"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11" spans="1:3" x14ac:dyDescent="0.65">
      <c r="A311" s="554" t="str">
        <f ca="1">IF(A310="","",IF(ListAndConversion!AB313&lt;&gt;"-",ListAndConversion!W313,IF(ListAndConversion!AN313&lt;&gt;"-",ListAndConversion!AJ313,IF(INDIRECT("ListAndConversion!AF"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11" s="555" t="str">
        <f ca="1">IF(B310="","",IF(ListAndConversion!AB313&lt;&gt;"-",ListAndConversion!Y313,IF(ListAndConversion!AN313&lt;&gt;"-",ListAndConversion!AK313,IF(INDIRECT("ListAndConversion!AF"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11" s="556" t="str">
        <f ca="1">IF(C310="","",IF(ListAndConversion!AB313&lt;&gt;"-",ListAndConversion!AE313,IF(ListAndConversion!AN313&lt;&gt;"-",ListAndConversion!AQ313,IF(INDIRECT("ListAndConversion!AF"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12" spans="1:3" x14ac:dyDescent="0.65">
      <c r="A312" s="554" t="str">
        <f ca="1">IF(A311="","",IF(ListAndConversion!AB314&lt;&gt;"-",ListAndConversion!W314,IF(ListAndConversion!AN314&lt;&gt;"-",ListAndConversion!AJ314,IF(INDIRECT("ListAndConversion!AF"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12" s="555" t="str">
        <f ca="1">IF(B311="","",IF(ListAndConversion!AB314&lt;&gt;"-",ListAndConversion!Y314,IF(ListAndConversion!AN314&lt;&gt;"-",ListAndConversion!AK314,IF(INDIRECT("ListAndConversion!AF"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12" s="556" t="str">
        <f ca="1">IF(C311="","",IF(ListAndConversion!AB314&lt;&gt;"-",ListAndConversion!AE314,IF(ListAndConversion!AN314&lt;&gt;"-",ListAndConversion!AQ314,IF(INDIRECT("ListAndConversion!AF"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13" spans="1:3" x14ac:dyDescent="0.65">
      <c r="A313" s="554" t="str">
        <f ca="1">IF(A312="","",IF(ListAndConversion!AB315&lt;&gt;"-",ListAndConversion!W315,IF(ListAndConversion!AN315&lt;&gt;"-",ListAndConversion!AJ315,IF(INDIRECT("ListAndConversion!AF"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13" s="555" t="str">
        <f ca="1">IF(B312="","",IF(ListAndConversion!AB315&lt;&gt;"-",ListAndConversion!Y315,IF(ListAndConversion!AN315&lt;&gt;"-",ListAndConversion!AK315,IF(INDIRECT("ListAndConversion!AF"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13" s="556" t="str">
        <f ca="1">IF(C312="","",IF(ListAndConversion!AB315&lt;&gt;"-",ListAndConversion!AE315,IF(ListAndConversion!AN315&lt;&gt;"-",ListAndConversion!AQ315,IF(INDIRECT("ListAndConversion!AF"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14" spans="1:3" x14ac:dyDescent="0.65">
      <c r="A314" s="554" t="str">
        <f ca="1">IF(A313="","",IF(ListAndConversion!AB316&lt;&gt;"-",ListAndConversion!W316,IF(ListAndConversion!AN316&lt;&gt;"-",ListAndConversion!AJ316,IF(INDIRECT("ListAndConversion!AF"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14" s="555" t="str">
        <f ca="1">IF(B313="","",IF(ListAndConversion!AB316&lt;&gt;"-",ListAndConversion!Y316,IF(ListAndConversion!AN316&lt;&gt;"-",ListAndConversion!AK316,IF(INDIRECT("ListAndConversion!AF"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14" s="556" t="str">
        <f ca="1">IF(C313="","",IF(ListAndConversion!AB316&lt;&gt;"-",ListAndConversion!AE316,IF(ListAndConversion!AN316&lt;&gt;"-",ListAndConversion!AQ316,IF(INDIRECT("ListAndConversion!AF"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15" spans="1:3" x14ac:dyDescent="0.65">
      <c r="A315" s="554" t="str">
        <f ca="1">IF(A314="","",IF(ListAndConversion!AB317&lt;&gt;"-",ListAndConversion!W317,IF(ListAndConversion!AN317&lt;&gt;"-",ListAndConversion!AJ317,IF(INDIRECT("ListAndConversion!AF"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15" s="555" t="str">
        <f ca="1">IF(B314="","",IF(ListAndConversion!AB317&lt;&gt;"-",ListAndConversion!Y317,IF(ListAndConversion!AN317&lt;&gt;"-",ListAndConversion!AK317,IF(INDIRECT("ListAndConversion!AF"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15" s="556" t="str">
        <f ca="1">IF(C314="","",IF(ListAndConversion!AB317&lt;&gt;"-",ListAndConversion!AE317,IF(ListAndConversion!AN317&lt;&gt;"-",ListAndConversion!AQ317,IF(INDIRECT("ListAndConversion!AF"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16" spans="1:3" x14ac:dyDescent="0.65">
      <c r="A316" s="554" t="str">
        <f ca="1">IF(A315="","",IF(ListAndConversion!AB318&lt;&gt;"-",ListAndConversion!W318,IF(ListAndConversion!AN318&lt;&gt;"-",ListAndConversion!AJ318,IF(INDIRECT("ListAndConversion!AF"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16" s="555" t="str">
        <f ca="1">IF(B315="","",IF(ListAndConversion!AB318&lt;&gt;"-",ListAndConversion!Y318,IF(ListAndConversion!AN318&lt;&gt;"-",ListAndConversion!AK318,IF(INDIRECT("ListAndConversion!AF"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16" s="556" t="str">
        <f ca="1">IF(C315="","",IF(ListAndConversion!AB318&lt;&gt;"-",ListAndConversion!AE318,IF(ListAndConversion!AN318&lt;&gt;"-",ListAndConversion!AQ318,IF(INDIRECT("ListAndConversion!AF"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17" spans="1:3" x14ac:dyDescent="0.65">
      <c r="A317" s="554" t="str">
        <f ca="1">IF(A316="","",IF(ListAndConversion!AB319&lt;&gt;"-",ListAndConversion!W319,IF(ListAndConversion!AN319&lt;&gt;"-",ListAndConversion!AJ319,IF(INDIRECT("ListAndConversion!AF"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17" s="555" t="str">
        <f ca="1">IF(B316="","",IF(ListAndConversion!AB319&lt;&gt;"-",ListAndConversion!Y319,IF(ListAndConversion!AN319&lt;&gt;"-",ListAndConversion!AK319,IF(INDIRECT("ListAndConversion!AF"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17" s="556" t="str">
        <f ca="1">IF(C316="","",IF(ListAndConversion!AB319&lt;&gt;"-",ListAndConversion!AE319,IF(ListAndConversion!AN319&lt;&gt;"-",ListAndConversion!AQ319,IF(INDIRECT("ListAndConversion!AF"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18" spans="1:3" x14ac:dyDescent="0.65">
      <c r="A318" s="554" t="str">
        <f ca="1">IF(A317="","",IF(ListAndConversion!AB320&lt;&gt;"-",ListAndConversion!W320,IF(ListAndConversion!AN320&lt;&gt;"-",ListAndConversion!AJ320,IF(INDIRECT("ListAndConversion!AF"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18" s="555" t="str">
        <f ca="1">IF(B317="","",IF(ListAndConversion!AB320&lt;&gt;"-",ListAndConversion!Y320,IF(ListAndConversion!AN320&lt;&gt;"-",ListAndConversion!AK320,IF(INDIRECT("ListAndConversion!AF"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18" s="556" t="str">
        <f ca="1">IF(C317="","",IF(ListAndConversion!AB320&lt;&gt;"-",ListAndConversion!AE320,IF(ListAndConversion!AN320&lt;&gt;"-",ListAndConversion!AQ320,IF(INDIRECT("ListAndConversion!AF"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19" spans="1:3" x14ac:dyDescent="0.65">
      <c r="A319" s="554" t="str">
        <f ca="1">IF(A318="","",IF(ListAndConversion!AB321&lt;&gt;"-",ListAndConversion!W321,IF(ListAndConversion!AN321&lt;&gt;"-",ListAndConversion!AJ321,IF(INDIRECT("ListAndConversion!AF"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19" s="555" t="str">
        <f ca="1">IF(B318="","",IF(ListAndConversion!AB321&lt;&gt;"-",ListAndConversion!Y321,IF(ListAndConversion!AN321&lt;&gt;"-",ListAndConversion!AK321,IF(INDIRECT("ListAndConversion!AF"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19" s="556" t="str">
        <f ca="1">IF(C318="","",IF(ListAndConversion!AB321&lt;&gt;"-",ListAndConversion!AE321,IF(ListAndConversion!AN321&lt;&gt;"-",ListAndConversion!AQ321,IF(INDIRECT("ListAndConversion!AF"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20" spans="1:3" x14ac:dyDescent="0.65">
      <c r="A320" s="554" t="str">
        <f ca="1">IF(A319="","",IF(ListAndConversion!AB322&lt;&gt;"-",ListAndConversion!W322,IF(ListAndConversion!AN322&lt;&gt;"-",ListAndConversion!AJ322,IF(INDIRECT("ListAndConversion!AF"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20" s="555" t="str">
        <f ca="1">IF(B319="","",IF(ListAndConversion!AB322&lt;&gt;"-",ListAndConversion!Y322,IF(ListAndConversion!AN322&lt;&gt;"-",ListAndConversion!AK322,IF(INDIRECT("ListAndConversion!AF"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20" s="556" t="str">
        <f ca="1">IF(C319="","",IF(ListAndConversion!AB322&lt;&gt;"-",ListAndConversion!AE322,IF(ListAndConversion!AN322&lt;&gt;"-",ListAndConversion!AQ322,IF(INDIRECT("ListAndConversion!AF"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21" spans="1:3" x14ac:dyDescent="0.65">
      <c r="A321" s="554" t="str">
        <f ca="1">IF(A320="","",IF(ListAndConversion!AB323&lt;&gt;"-",ListAndConversion!W323,IF(ListAndConversion!AN323&lt;&gt;"-",ListAndConversion!AJ323,IF(INDIRECT("ListAndConversion!AF"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21" s="555" t="str">
        <f ca="1">IF(B320="","",IF(ListAndConversion!AB323&lt;&gt;"-",ListAndConversion!Y323,IF(ListAndConversion!AN323&lt;&gt;"-",ListAndConversion!AK323,IF(INDIRECT("ListAndConversion!AF"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21" s="556" t="str">
        <f ca="1">IF(C320="","",IF(ListAndConversion!AB323&lt;&gt;"-",ListAndConversion!AE323,IF(ListAndConversion!AN323&lt;&gt;"-",ListAndConversion!AQ323,IF(INDIRECT("ListAndConversion!AF"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22" spans="1:3" x14ac:dyDescent="0.65">
      <c r="A322" s="554" t="str">
        <f ca="1">IF(A321="","",IF(ListAndConversion!AB324&lt;&gt;"-",ListAndConversion!W324,IF(ListAndConversion!AN324&lt;&gt;"-",ListAndConversion!AJ324,IF(INDIRECT("ListAndConversion!AF"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22" s="555" t="str">
        <f ca="1">IF(B321="","",IF(ListAndConversion!AB324&lt;&gt;"-",ListAndConversion!Y324,IF(ListAndConversion!AN324&lt;&gt;"-",ListAndConversion!AK324,IF(INDIRECT("ListAndConversion!AF"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22" s="556" t="str">
        <f ca="1">IF(C321="","",IF(ListAndConversion!AB324&lt;&gt;"-",ListAndConversion!AE324,IF(ListAndConversion!AN324&lt;&gt;"-",ListAndConversion!AQ324,IF(INDIRECT("ListAndConversion!AF"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23" spans="1:3" x14ac:dyDescent="0.65">
      <c r="A323" s="554" t="str">
        <f ca="1">IF(A322="","",IF(ListAndConversion!AB325&lt;&gt;"-",ListAndConversion!W325,IF(ListAndConversion!AN325&lt;&gt;"-",ListAndConversion!AJ325,IF(INDIRECT("ListAndConversion!AF"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23" s="555" t="str">
        <f ca="1">IF(B322="","",IF(ListAndConversion!AB325&lt;&gt;"-",ListAndConversion!Y325,IF(ListAndConversion!AN325&lt;&gt;"-",ListAndConversion!AK325,IF(INDIRECT("ListAndConversion!AF"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23" s="556" t="str">
        <f ca="1">IF(C322="","",IF(ListAndConversion!AB325&lt;&gt;"-",ListAndConversion!AE325,IF(ListAndConversion!AN325&lt;&gt;"-",ListAndConversion!AQ325,IF(INDIRECT("ListAndConversion!AF"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24" spans="1:3" x14ac:dyDescent="0.65">
      <c r="A324" s="554" t="str">
        <f ca="1">IF(A323="","",IF(ListAndConversion!AB326&lt;&gt;"-",ListAndConversion!W326,IF(ListAndConversion!AN326&lt;&gt;"-",ListAndConversion!AJ326,IF(INDIRECT("ListAndConversion!AF"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24" s="555" t="str">
        <f ca="1">IF(B323="","",IF(ListAndConversion!AB326&lt;&gt;"-",ListAndConversion!Y326,IF(ListAndConversion!AN326&lt;&gt;"-",ListAndConversion!AK326,IF(INDIRECT("ListAndConversion!AF"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24" s="556" t="str">
        <f ca="1">IF(C323="","",IF(ListAndConversion!AB326&lt;&gt;"-",ListAndConversion!AE326,IF(ListAndConversion!AN326&lt;&gt;"-",ListAndConversion!AQ326,IF(INDIRECT("ListAndConversion!AF"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25" spans="1:3" x14ac:dyDescent="0.65">
      <c r="A325" s="554" t="str">
        <f ca="1">IF(A324="","",IF(ListAndConversion!AB327&lt;&gt;"-",ListAndConversion!W327,IF(ListAndConversion!AN327&lt;&gt;"-",ListAndConversion!AJ327,IF(INDIRECT("ListAndConversion!AF"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25" s="555" t="str">
        <f ca="1">IF(B324="","",IF(ListAndConversion!AB327&lt;&gt;"-",ListAndConversion!Y327,IF(ListAndConversion!AN327&lt;&gt;"-",ListAndConversion!AK327,IF(INDIRECT("ListAndConversion!AF"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25" s="556" t="str">
        <f ca="1">IF(C324="","",IF(ListAndConversion!AB327&lt;&gt;"-",ListAndConversion!AE327,IF(ListAndConversion!AN327&lt;&gt;"-",ListAndConversion!AQ327,IF(INDIRECT("ListAndConversion!AF"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26" spans="1:3" x14ac:dyDescent="0.65">
      <c r="A326" s="554" t="str">
        <f ca="1">IF(A325="","",IF(ListAndConversion!AB328&lt;&gt;"-",ListAndConversion!W328,IF(ListAndConversion!AN328&lt;&gt;"-",ListAndConversion!AJ328,IF(INDIRECT("ListAndConversion!AF"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26" s="555" t="str">
        <f ca="1">IF(B325="","",IF(ListAndConversion!AB328&lt;&gt;"-",ListAndConversion!Y328,IF(ListAndConversion!AN328&lt;&gt;"-",ListAndConversion!AK328,IF(INDIRECT("ListAndConversion!AF"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26" s="556" t="str">
        <f ca="1">IF(C325="","",IF(ListAndConversion!AB328&lt;&gt;"-",ListAndConversion!AE328,IF(ListAndConversion!AN328&lt;&gt;"-",ListAndConversion!AQ328,IF(INDIRECT("ListAndConversion!AF"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27" spans="1:3" x14ac:dyDescent="0.65">
      <c r="A327" s="554" t="str">
        <f ca="1">IF(A326="","",IF(ListAndConversion!AB329&lt;&gt;"-",ListAndConversion!W329,IF(ListAndConversion!AN329&lt;&gt;"-",ListAndConversion!AJ329,IF(INDIRECT("ListAndConversion!AF"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27" s="555" t="str">
        <f ca="1">IF(B326="","",IF(ListAndConversion!AB329&lt;&gt;"-",ListAndConversion!Y329,IF(ListAndConversion!AN329&lt;&gt;"-",ListAndConversion!AK329,IF(INDIRECT("ListAndConversion!AF"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27" s="556" t="str">
        <f ca="1">IF(C326="","",IF(ListAndConversion!AB329&lt;&gt;"-",ListAndConversion!AE329,IF(ListAndConversion!AN329&lt;&gt;"-",ListAndConversion!AQ329,IF(INDIRECT("ListAndConversion!AF"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28" spans="1:3" x14ac:dyDescent="0.65">
      <c r="A328" s="554" t="str">
        <f ca="1">IF(A327="","",IF(ListAndConversion!AB330&lt;&gt;"-",ListAndConversion!W330,IF(ListAndConversion!AN330&lt;&gt;"-",ListAndConversion!AJ330,IF(INDIRECT("ListAndConversion!AF"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28" s="555" t="str">
        <f ca="1">IF(B327="","",IF(ListAndConversion!AB330&lt;&gt;"-",ListAndConversion!Y330,IF(ListAndConversion!AN330&lt;&gt;"-",ListAndConversion!AK330,IF(INDIRECT("ListAndConversion!AF"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28" s="556" t="str">
        <f ca="1">IF(C327="","",IF(ListAndConversion!AB330&lt;&gt;"-",ListAndConversion!AE330,IF(ListAndConversion!AN330&lt;&gt;"-",ListAndConversion!AQ330,IF(INDIRECT("ListAndConversion!AF"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29" spans="1:3" x14ac:dyDescent="0.65">
      <c r="A329" s="554" t="str">
        <f ca="1">IF(A328="","",IF(ListAndConversion!AB331&lt;&gt;"-",ListAndConversion!W331,IF(ListAndConversion!AN331&lt;&gt;"-",ListAndConversion!AJ331,IF(INDIRECT("ListAndConversion!AF"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29" s="555" t="str">
        <f ca="1">IF(B328="","",IF(ListAndConversion!AB331&lt;&gt;"-",ListAndConversion!Y331,IF(ListAndConversion!AN331&lt;&gt;"-",ListAndConversion!AK331,IF(INDIRECT("ListAndConversion!AF"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29" s="556" t="str">
        <f ca="1">IF(C328="","",IF(ListAndConversion!AB331&lt;&gt;"-",ListAndConversion!AE331,IF(ListAndConversion!AN331&lt;&gt;"-",ListAndConversion!AQ331,IF(INDIRECT("ListAndConversion!AF"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30" spans="1:3" x14ac:dyDescent="0.65">
      <c r="A330" s="554" t="str">
        <f ca="1">IF(A329="","",IF(ListAndConversion!AB332&lt;&gt;"-",ListAndConversion!W332,IF(ListAndConversion!AN332&lt;&gt;"-",ListAndConversion!AJ332,IF(INDIRECT("ListAndConversion!AF"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30" s="555" t="str">
        <f ca="1">IF(B329="","",IF(ListAndConversion!AB332&lt;&gt;"-",ListAndConversion!Y332,IF(ListAndConversion!AN332&lt;&gt;"-",ListAndConversion!AK332,IF(INDIRECT("ListAndConversion!AF"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30" s="556" t="str">
        <f ca="1">IF(C329="","",IF(ListAndConversion!AB332&lt;&gt;"-",ListAndConversion!AE332,IF(ListAndConversion!AN332&lt;&gt;"-",ListAndConversion!AQ332,IF(INDIRECT("ListAndConversion!AF"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31" spans="1:3" x14ac:dyDescent="0.65">
      <c r="A331" s="554" t="str">
        <f ca="1">IF(A330="","",IF(ListAndConversion!AB333&lt;&gt;"-",ListAndConversion!W333,IF(ListAndConversion!AN333&lt;&gt;"-",ListAndConversion!AJ333,IF(INDIRECT("ListAndConversion!AF"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31" s="555" t="str">
        <f ca="1">IF(B330="","",IF(ListAndConversion!AB333&lt;&gt;"-",ListAndConversion!Y333,IF(ListAndConversion!AN333&lt;&gt;"-",ListAndConversion!AK333,IF(INDIRECT("ListAndConversion!AF"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31" s="556" t="str">
        <f ca="1">IF(C330="","",IF(ListAndConversion!AB333&lt;&gt;"-",ListAndConversion!AE333,IF(ListAndConversion!AN333&lt;&gt;"-",ListAndConversion!AQ333,IF(INDIRECT("ListAndConversion!AF"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32" spans="1:3" x14ac:dyDescent="0.65">
      <c r="A332" s="554" t="str">
        <f ca="1">IF(A331="","",IF(ListAndConversion!AB334&lt;&gt;"-",ListAndConversion!W334,IF(ListAndConversion!AN334&lt;&gt;"-",ListAndConversion!AJ334,IF(INDIRECT("ListAndConversion!AF"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32" s="555" t="str">
        <f ca="1">IF(B331="","",IF(ListAndConversion!AB334&lt;&gt;"-",ListAndConversion!Y334,IF(ListAndConversion!AN334&lt;&gt;"-",ListAndConversion!AK334,IF(INDIRECT("ListAndConversion!AF"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32" s="556" t="str">
        <f ca="1">IF(C331="","",IF(ListAndConversion!AB334&lt;&gt;"-",ListAndConversion!AE334,IF(ListAndConversion!AN334&lt;&gt;"-",ListAndConversion!AQ334,IF(INDIRECT("ListAndConversion!AF"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33" spans="1:3" x14ac:dyDescent="0.65">
      <c r="A333" s="554" t="str">
        <f ca="1">IF(A332="","",IF(ListAndConversion!AB335&lt;&gt;"-",ListAndConversion!W335,IF(ListAndConversion!AN335&lt;&gt;"-",ListAndConversion!AJ335,IF(INDIRECT("ListAndConversion!AF"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33" s="555" t="str">
        <f ca="1">IF(B332="","",IF(ListAndConversion!AB335&lt;&gt;"-",ListAndConversion!Y335,IF(ListAndConversion!AN335&lt;&gt;"-",ListAndConversion!AK335,IF(INDIRECT("ListAndConversion!AF"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33" s="556" t="str">
        <f ca="1">IF(C332="","",IF(ListAndConversion!AB335&lt;&gt;"-",ListAndConversion!AE335,IF(ListAndConversion!AN335&lt;&gt;"-",ListAndConversion!AQ335,IF(INDIRECT("ListAndConversion!AF"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34" spans="1:3" x14ac:dyDescent="0.65">
      <c r="A334" s="554" t="str">
        <f ca="1">IF(A333="","",IF(ListAndConversion!AB336&lt;&gt;"-",ListAndConversion!W336,IF(ListAndConversion!AN336&lt;&gt;"-",ListAndConversion!AJ336,IF(INDIRECT("ListAndConversion!AF"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34" s="555" t="str">
        <f ca="1">IF(B333="","",IF(ListAndConversion!AB336&lt;&gt;"-",ListAndConversion!Y336,IF(ListAndConversion!AN336&lt;&gt;"-",ListAndConversion!AK336,IF(INDIRECT("ListAndConversion!AF"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34" s="556" t="str">
        <f ca="1">IF(C333="","",IF(ListAndConversion!AB336&lt;&gt;"-",ListAndConversion!AE336,IF(ListAndConversion!AN336&lt;&gt;"-",ListAndConversion!AQ336,IF(INDIRECT("ListAndConversion!AF"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35" spans="1:3" x14ac:dyDescent="0.65">
      <c r="A335" s="554" t="str">
        <f ca="1">IF(A334="","",IF(ListAndConversion!AB337&lt;&gt;"-",ListAndConversion!W337,IF(ListAndConversion!AN337&lt;&gt;"-",ListAndConversion!AJ337,IF(INDIRECT("ListAndConversion!AF"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35" s="555" t="str">
        <f ca="1">IF(B334="","",IF(ListAndConversion!AB337&lt;&gt;"-",ListAndConversion!Y337,IF(ListAndConversion!AN337&lt;&gt;"-",ListAndConversion!AK337,IF(INDIRECT("ListAndConversion!AF"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35" s="556" t="str">
        <f ca="1">IF(C334="","",IF(ListAndConversion!AB337&lt;&gt;"-",ListAndConversion!AE337,IF(ListAndConversion!AN337&lt;&gt;"-",ListAndConversion!AQ337,IF(INDIRECT("ListAndConversion!AF"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36" spans="1:3" x14ac:dyDescent="0.65">
      <c r="A336" s="554" t="str">
        <f ca="1">IF(A335="","",IF(ListAndConversion!AB338&lt;&gt;"-",ListAndConversion!W338,IF(ListAndConversion!AN338&lt;&gt;"-",ListAndConversion!AJ338,IF(INDIRECT("ListAndConversion!AF"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36" s="555" t="str">
        <f ca="1">IF(B335="","",IF(ListAndConversion!AB338&lt;&gt;"-",ListAndConversion!Y338,IF(ListAndConversion!AN338&lt;&gt;"-",ListAndConversion!AK338,IF(INDIRECT("ListAndConversion!AF"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36" s="556" t="str">
        <f ca="1">IF(C335="","",IF(ListAndConversion!AB338&lt;&gt;"-",ListAndConversion!AE338,IF(ListAndConversion!AN338&lt;&gt;"-",ListAndConversion!AQ338,IF(INDIRECT("ListAndConversion!AF"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37" spans="1:3" x14ac:dyDescent="0.65">
      <c r="A337" s="554" t="str">
        <f ca="1">IF(A336="","",IF(ListAndConversion!AB339&lt;&gt;"-",ListAndConversion!W339,IF(ListAndConversion!AN339&lt;&gt;"-",ListAndConversion!AJ339,IF(INDIRECT("ListAndConversion!AF"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37" s="555" t="str">
        <f ca="1">IF(B336="","",IF(ListAndConversion!AB339&lt;&gt;"-",ListAndConversion!Y339,IF(ListAndConversion!AN339&lt;&gt;"-",ListAndConversion!AK339,IF(INDIRECT("ListAndConversion!AF"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37" s="556" t="str">
        <f ca="1">IF(C336="","",IF(ListAndConversion!AB339&lt;&gt;"-",ListAndConversion!AE339,IF(ListAndConversion!AN339&lt;&gt;"-",ListAndConversion!AQ339,IF(INDIRECT("ListAndConversion!AF"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38" spans="1:3" x14ac:dyDescent="0.65">
      <c r="A338" s="554" t="str">
        <f ca="1">IF(A337="","",IF(ListAndConversion!AB340&lt;&gt;"-",ListAndConversion!W340,IF(ListAndConversion!AN340&lt;&gt;"-",ListAndConversion!AJ340,IF(INDIRECT("ListAndConversion!AF"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38" s="555" t="str">
        <f ca="1">IF(B337="","",IF(ListAndConversion!AB340&lt;&gt;"-",ListAndConversion!Y340,IF(ListAndConversion!AN340&lt;&gt;"-",ListAndConversion!AK340,IF(INDIRECT("ListAndConversion!AF"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38" s="556" t="str">
        <f ca="1">IF(C337="","",IF(ListAndConversion!AB340&lt;&gt;"-",ListAndConversion!AE340,IF(ListAndConversion!AN340&lt;&gt;"-",ListAndConversion!AQ340,IF(INDIRECT("ListAndConversion!AF"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39" spans="1:3" x14ac:dyDescent="0.65">
      <c r="A339" s="554" t="str">
        <f ca="1">IF(A338="","",IF(ListAndConversion!AB341&lt;&gt;"-",ListAndConversion!W341,IF(ListAndConversion!AN341&lt;&gt;"-",ListAndConversion!AJ341,IF(INDIRECT("ListAndConversion!AF"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39" s="555" t="str">
        <f ca="1">IF(B338="","",IF(ListAndConversion!AB341&lt;&gt;"-",ListAndConversion!Y341,IF(ListAndConversion!AN341&lt;&gt;"-",ListAndConversion!AK341,IF(INDIRECT("ListAndConversion!AF"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39" s="556" t="str">
        <f ca="1">IF(C338="","",IF(ListAndConversion!AB341&lt;&gt;"-",ListAndConversion!AE341,IF(ListAndConversion!AN341&lt;&gt;"-",ListAndConversion!AQ341,IF(INDIRECT("ListAndConversion!AF"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40" spans="1:3" x14ac:dyDescent="0.65">
      <c r="A340" s="554" t="str">
        <f ca="1">IF(A339="","",IF(ListAndConversion!AB342&lt;&gt;"-",ListAndConversion!W342,IF(ListAndConversion!AN342&lt;&gt;"-",ListAndConversion!AJ342,IF(INDIRECT("ListAndConversion!AF"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40" s="555" t="str">
        <f ca="1">IF(B339="","",IF(ListAndConversion!AB342&lt;&gt;"-",ListAndConversion!Y342,IF(ListAndConversion!AN342&lt;&gt;"-",ListAndConversion!AK342,IF(INDIRECT("ListAndConversion!AF"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40" s="556" t="str">
        <f ca="1">IF(C339="","",IF(ListAndConversion!AB342&lt;&gt;"-",ListAndConversion!AE342,IF(ListAndConversion!AN342&lt;&gt;"-",ListAndConversion!AQ342,IF(INDIRECT("ListAndConversion!AF"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41" spans="1:3" x14ac:dyDescent="0.65">
      <c r="A341" s="554" t="str">
        <f ca="1">IF(A340="","",IF(ListAndConversion!AB343&lt;&gt;"-",ListAndConversion!W343,IF(ListAndConversion!AN343&lt;&gt;"-",ListAndConversion!AJ343,IF(INDIRECT("ListAndConversion!AF"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41" s="555" t="str">
        <f ca="1">IF(B340="","",IF(ListAndConversion!AB343&lt;&gt;"-",ListAndConversion!Y343,IF(ListAndConversion!AN343&lt;&gt;"-",ListAndConversion!AK343,IF(INDIRECT("ListAndConversion!AF"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41" s="556" t="str">
        <f ca="1">IF(C340="","",IF(ListAndConversion!AB343&lt;&gt;"-",ListAndConversion!AE343,IF(ListAndConversion!AN343&lt;&gt;"-",ListAndConversion!AQ343,IF(INDIRECT("ListAndConversion!AF"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42" spans="1:3" x14ac:dyDescent="0.65">
      <c r="A342" s="554" t="str">
        <f ca="1">IF(A341="","",IF(ListAndConversion!AB344&lt;&gt;"-",ListAndConversion!W344,IF(ListAndConversion!AN344&lt;&gt;"-",ListAndConversion!AJ344,IF(INDIRECT("ListAndConversion!AF"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42" s="555" t="str">
        <f ca="1">IF(B341="","",IF(ListAndConversion!AB344&lt;&gt;"-",ListAndConversion!Y344,IF(ListAndConversion!AN344&lt;&gt;"-",ListAndConversion!AK344,IF(INDIRECT("ListAndConversion!AF"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42" s="556" t="str">
        <f ca="1">IF(C341="","",IF(ListAndConversion!AB344&lt;&gt;"-",ListAndConversion!AE344,IF(ListAndConversion!AN344&lt;&gt;"-",ListAndConversion!AQ344,IF(INDIRECT("ListAndConversion!AF"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43" spans="1:3" x14ac:dyDescent="0.65">
      <c r="A343" s="554" t="str">
        <f ca="1">IF(A342="","",IF(ListAndConversion!AB345&lt;&gt;"-",ListAndConversion!W345,IF(ListAndConversion!AN345&lt;&gt;"-",ListAndConversion!AJ345,IF(INDIRECT("ListAndConversion!AF"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43" s="555" t="str">
        <f ca="1">IF(B342="","",IF(ListAndConversion!AB345&lt;&gt;"-",ListAndConversion!Y345,IF(ListAndConversion!AN345&lt;&gt;"-",ListAndConversion!AK345,IF(INDIRECT("ListAndConversion!AF"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43" s="556" t="str">
        <f ca="1">IF(C342="","",IF(ListAndConversion!AB345&lt;&gt;"-",ListAndConversion!AE345,IF(ListAndConversion!AN345&lt;&gt;"-",ListAndConversion!AQ345,IF(INDIRECT("ListAndConversion!AF"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44" spans="1:3" x14ac:dyDescent="0.65">
      <c r="A344" s="554" t="str">
        <f ca="1">IF(A343="","",IF(ListAndConversion!AB346&lt;&gt;"-",ListAndConversion!W346,IF(ListAndConversion!AN346&lt;&gt;"-",ListAndConversion!AJ346,IF(INDIRECT("ListAndConversion!AF"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44" s="555" t="str">
        <f ca="1">IF(B343="","",IF(ListAndConversion!AB346&lt;&gt;"-",ListAndConversion!Y346,IF(ListAndConversion!AN346&lt;&gt;"-",ListAndConversion!AK346,IF(INDIRECT("ListAndConversion!AF"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44" s="556" t="str">
        <f ca="1">IF(C343="","",IF(ListAndConversion!AB346&lt;&gt;"-",ListAndConversion!AE346,IF(ListAndConversion!AN346&lt;&gt;"-",ListAndConversion!AQ346,IF(INDIRECT("ListAndConversion!AF"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45" spans="1:3" x14ac:dyDescent="0.65">
      <c r="A345" s="554" t="str">
        <f ca="1">IF(A344="","",IF(ListAndConversion!AB347&lt;&gt;"-",ListAndConversion!W347,IF(ListAndConversion!AN347&lt;&gt;"-",ListAndConversion!AJ347,IF(INDIRECT("ListAndConversion!AF"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45" s="555" t="str">
        <f ca="1">IF(B344="","",IF(ListAndConversion!AB347&lt;&gt;"-",ListAndConversion!Y347,IF(ListAndConversion!AN347&lt;&gt;"-",ListAndConversion!AK347,IF(INDIRECT("ListAndConversion!AF"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45" s="556" t="str">
        <f ca="1">IF(C344="","",IF(ListAndConversion!AB347&lt;&gt;"-",ListAndConversion!AE347,IF(ListAndConversion!AN347&lt;&gt;"-",ListAndConversion!AQ347,IF(INDIRECT("ListAndConversion!AF"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46" spans="1:3" x14ac:dyDescent="0.65">
      <c r="A346" s="554" t="str">
        <f ca="1">IF(A345="","",IF(ListAndConversion!AB348&lt;&gt;"-",ListAndConversion!W348,IF(ListAndConversion!AN348&lt;&gt;"-",ListAndConversion!AJ348,IF(INDIRECT("ListAndConversion!AF"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46" s="555" t="str">
        <f ca="1">IF(B345="","",IF(ListAndConversion!AB348&lt;&gt;"-",ListAndConversion!Y348,IF(ListAndConversion!AN348&lt;&gt;"-",ListAndConversion!AK348,IF(INDIRECT("ListAndConversion!AF"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46" s="556" t="str">
        <f ca="1">IF(C345="","",IF(ListAndConversion!AB348&lt;&gt;"-",ListAndConversion!AE348,IF(ListAndConversion!AN348&lt;&gt;"-",ListAndConversion!AQ348,IF(INDIRECT("ListAndConversion!AF"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47" spans="1:3" x14ac:dyDescent="0.65">
      <c r="A347" s="554" t="str">
        <f ca="1">IF(A346="","",IF(ListAndConversion!AB349&lt;&gt;"-",ListAndConversion!W349,IF(ListAndConversion!AN349&lt;&gt;"-",ListAndConversion!AJ349,IF(INDIRECT("ListAndConversion!AF"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47" s="555" t="str">
        <f ca="1">IF(B346="","",IF(ListAndConversion!AB349&lt;&gt;"-",ListAndConversion!Y349,IF(ListAndConversion!AN349&lt;&gt;"-",ListAndConversion!AK349,IF(INDIRECT("ListAndConversion!AF"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47" s="556" t="str">
        <f ca="1">IF(C346="","",IF(ListAndConversion!AB349&lt;&gt;"-",ListAndConversion!AE349,IF(ListAndConversion!AN349&lt;&gt;"-",ListAndConversion!AQ349,IF(INDIRECT("ListAndConversion!AF"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48" spans="1:3" x14ac:dyDescent="0.65">
      <c r="A348" s="554" t="str">
        <f ca="1">IF(A347="","",IF(ListAndConversion!AB350&lt;&gt;"-",ListAndConversion!W350,IF(ListAndConversion!AN350&lt;&gt;"-",ListAndConversion!AJ350,IF(INDIRECT("ListAndConversion!AF"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48" s="555" t="str">
        <f ca="1">IF(B347="","",IF(ListAndConversion!AB350&lt;&gt;"-",ListAndConversion!Y350,IF(ListAndConversion!AN350&lt;&gt;"-",ListAndConversion!AK350,IF(INDIRECT("ListAndConversion!AF"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48" s="556" t="str">
        <f ca="1">IF(C347="","",IF(ListAndConversion!AB350&lt;&gt;"-",ListAndConversion!AE350,IF(ListAndConversion!AN350&lt;&gt;"-",ListAndConversion!AQ350,IF(INDIRECT("ListAndConversion!AF"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49" spans="1:3" x14ac:dyDescent="0.65">
      <c r="A349" s="554" t="str">
        <f ca="1">IF(A348="","",IF(ListAndConversion!AB351&lt;&gt;"-",ListAndConversion!W351,IF(ListAndConversion!AN351&lt;&gt;"-",ListAndConversion!AJ351,IF(INDIRECT("ListAndConversion!AF"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49" s="555" t="str">
        <f ca="1">IF(B348="","",IF(ListAndConversion!AB351&lt;&gt;"-",ListAndConversion!Y351,IF(ListAndConversion!AN351&lt;&gt;"-",ListAndConversion!AK351,IF(INDIRECT("ListAndConversion!AF"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49" s="556" t="str">
        <f ca="1">IF(C348="","",IF(ListAndConversion!AB351&lt;&gt;"-",ListAndConversion!AE351,IF(ListAndConversion!AN351&lt;&gt;"-",ListAndConversion!AQ351,IF(INDIRECT("ListAndConversion!AF"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50" spans="1:3" x14ac:dyDescent="0.65">
      <c r="A350" s="554" t="str">
        <f ca="1">IF(A349="","",IF(ListAndConversion!AB352&lt;&gt;"-",ListAndConversion!W352,IF(ListAndConversion!AN352&lt;&gt;"-",ListAndConversion!AJ352,IF(INDIRECT("ListAndConversion!AF"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50" s="555" t="str">
        <f ca="1">IF(B349="","",IF(ListAndConversion!AB352&lt;&gt;"-",ListAndConversion!Y352,IF(ListAndConversion!AN352&lt;&gt;"-",ListAndConversion!AK352,IF(INDIRECT("ListAndConversion!AF"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50" s="556" t="str">
        <f ca="1">IF(C349="","",IF(ListAndConversion!AB352&lt;&gt;"-",ListAndConversion!AE352,IF(ListAndConversion!AN352&lt;&gt;"-",ListAndConversion!AQ352,IF(INDIRECT("ListAndConversion!AF"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51" spans="1:3" x14ac:dyDescent="0.65">
      <c r="A351" s="554" t="str">
        <f ca="1">IF(A350="","",IF(ListAndConversion!AB353&lt;&gt;"-",ListAndConversion!W353,IF(ListAndConversion!AN353&lt;&gt;"-",ListAndConversion!AJ353,IF(INDIRECT("ListAndConversion!AF"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51" s="555" t="str">
        <f ca="1">IF(B350="","",IF(ListAndConversion!AB353&lt;&gt;"-",ListAndConversion!Y353,IF(ListAndConversion!AN353&lt;&gt;"-",ListAndConversion!AK353,IF(INDIRECT("ListAndConversion!AF"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51" s="556" t="str">
        <f ca="1">IF(C350="","",IF(ListAndConversion!AB353&lt;&gt;"-",ListAndConversion!AE353,IF(ListAndConversion!AN353&lt;&gt;"-",ListAndConversion!AQ353,IF(INDIRECT("ListAndConversion!AF"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52" spans="1:3" x14ac:dyDescent="0.65">
      <c r="A352" s="554" t="str">
        <f ca="1">IF(A351="","",IF(ListAndConversion!AB354&lt;&gt;"-",ListAndConversion!W354,IF(ListAndConversion!AN354&lt;&gt;"-",ListAndConversion!AJ354,IF(INDIRECT("ListAndConversion!AF"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52" s="555" t="str">
        <f ca="1">IF(B351="","",IF(ListAndConversion!AB354&lt;&gt;"-",ListAndConversion!Y354,IF(ListAndConversion!AN354&lt;&gt;"-",ListAndConversion!AK354,IF(INDIRECT("ListAndConversion!AF"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52" s="556" t="str">
        <f ca="1">IF(C351="","",IF(ListAndConversion!AB354&lt;&gt;"-",ListAndConversion!AE354,IF(ListAndConversion!AN354&lt;&gt;"-",ListAndConversion!AQ354,IF(INDIRECT("ListAndConversion!AF"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53" spans="1:3" x14ac:dyDescent="0.65">
      <c r="A353" s="554" t="str">
        <f ca="1">IF(A352="","",IF(ListAndConversion!AB355&lt;&gt;"-",ListAndConversion!W355,IF(ListAndConversion!AN355&lt;&gt;"-",ListAndConversion!AJ355,IF(INDIRECT("ListAndConversion!AF"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53" s="555" t="str">
        <f ca="1">IF(B352="","",IF(ListAndConversion!AB355&lt;&gt;"-",ListAndConversion!Y355,IF(ListAndConversion!AN355&lt;&gt;"-",ListAndConversion!AK355,IF(INDIRECT("ListAndConversion!AF"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53" s="556" t="str">
        <f ca="1">IF(C352="","",IF(ListAndConversion!AB355&lt;&gt;"-",ListAndConversion!AE355,IF(ListAndConversion!AN355&lt;&gt;"-",ListAndConversion!AQ355,IF(INDIRECT("ListAndConversion!AF"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54" spans="1:3" x14ac:dyDescent="0.65">
      <c r="A354" s="554" t="str">
        <f ca="1">IF(A353="","",IF(ListAndConversion!AB356&lt;&gt;"-",ListAndConversion!W356,IF(ListAndConversion!AN356&lt;&gt;"-",ListAndConversion!AJ356,IF(INDIRECT("ListAndConversion!AF"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54" s="555" t="str">
        <f ca="1">IF(B353="","",IF(ListAndConversion!AB356&lt;&gt;"-",ListAndConversion!Y356,IF(ListAndConversion!AN356&lt;&gt;"-",ListAndConversion!AK356,IF(INDIRECT("ListAndConversion!AF"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54" s="556" t="str">
        <f ca="1">IF(C353="","",IF(ListAndConversion!AB356&lt;&gt;"-",ListAndConversion!AE356,IF(ListAndConversion!AN356&lt;&gt;"-",ListAndConversion!AQ356,IF(INDIRECT("ListAndConversion!AF"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55" spans="1:3" x14ac:dyDescent="0.65">
      <c r="A355" s="554" t="str">
        <f ca="1">IF(A354="","",IF(ListAndConversion!AB357&lt;&gt;"-",ListAndConversion!W357,IF(ListAndConversion!AN357&lt;&gt;"-",ListAndConversion!AJ357,IF(INDIRECT("ListAndConversion!AF"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55" s="555" t="str">
        <f ca="1">IF(B354="","",IF(ListAndConversion!AB357&lt;&gt;"-",ListAndConversion!Y357,IF(ListAndConversion!AN357&lt;&gt;"-",ListAndConversion!AK357,IF(INDIRECT("ListAndConversion!AF"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55" s="556" t="str">
        <f ca="1">IF(C354="","",IF(ListAndConversion!AB357&lt;&gt;"-",ListAndConversion!AE357,IF(ListAndConversion!AN357&lt;&gt;"-",ListAndConversion!AQ357,IF(INDIRECT("ListAndConversion!AF"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56" spans="1:3" x14ac:dyDescent="0.65">
      <c r="A356" s="554" t="str">
        <f ca="1">IF(A355="","",IF(ListAndConversion!AB358&lt;&gt;"-",ListAndConversion!W358,IF(ListAndConversion!AN358&lt;&gt;"-",ListAndConversion!AJ358,IF(INDIRECT("ListAndConversion!AF"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56" s="555" t="str">
        <f ca="1">IF(B355="","",IF(ListAndConversion!AB358&lt;&gt;"-",ListAndConversion!Y358,IF(ListAndConversion!AN358&lt;&gt;"-",ListAndConversion!AK358,IF(INDIRECT("ListAndConversion!AF"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56" s="556" t="str">
        <f ca="1">IF(C355="","",IF(ListAndConversion!AB358&lt;&gt;"-",ListAndConversion!AE358,IF(ListAndConversion!AN358&lt;&gt;"-",ListAndConversion!AQ358,IF(INDIRECT("ListAndConversion!AF"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57" spans="1:3" x14ac:dyDescent="0.65">
      <c r="A357" s="554" t="str">
        <f ca="1">IF(A356="","",IF(ListAndConversion!AB359&lt;&gt;"-",ListAndConversion!W359,IF(ListAndConversion!AN359&lt;&gt;"-",ListAndConversion!AJ359,IF(INDIRECT("ListAndConversion!AF"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57" s="555" t="str">
        <f ca="1">IF(B356="","",IF(ListAndConversion!AB359&lt;&gt;"-",ListAndConversion!Y359,IF(ListAndConversion!AN359&lt;&gt;"-",ListAndConversion!AK359,IF(INDIRECT("ListAndConversion!AF"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57" s="556" t="str">
        <f ca="1">IF(C356="","",IF(ListAndConversion!AB359&lt;&gt;"-",ListAndConversion!AE359,IF(ListAndConversion!AN359&lt;&gt;"-",ListAndConversion!AQ359,IF(INDIRECT("ListAndConversion!AF"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58" spans="1:3" x14ac:dyDescent="0.65">
      <c r="A358" s="554" t="str">
        <f ca="1">IF(A357="","",IF(ListAndConversion!AB360&lt;&gt;"-",ListAndConversion!W360,IF(ListAndConversion!AN360&lt;&gt;"-",ListAndConversion!AJ360,IF(INDIRECT("ListAndConversion!AF"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58" s="555" t="str">
        <f ca="1">IF(B357="","",IF(ListAndConversion!AB360&lt;&gt;"-",ListAndConversion!Y360,IF(ListAndConversion!AN360&lt;&gt;"-",ListAndConversion!AK360,IF(INDIRECT("ListAndConversion!AF"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58" s="556" t="str">
        <f ca="1">IF(C357="","",IF(ListAndConversion!AB360&lt;&gt;"-",ListAndConversion!AE360,IF(ListAndConversion!AN360&lt;&gt;"-",ListAndConversion!AQ360,IF(INDIRECT("ListAndConversion!AF"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59" spans="1:3" x14ac:dyDescent="0.65">
      <c r="A359" s="554" t="str">
        <f ca="1">IF(A358="","",IF(ListAndConversion!AB361&lt;&gt;"-",ListAndConversion!W361,IF(ListAndConversion!AN361&lt;&gt;"-",ListAndConversion!AJ361,IF(INDIRECT("ListAndConversion!AF"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59" s="555" t="str">
        <f ca="1">IF(B358="","",IF(ListAndConversion!AB361&lt;&gt;"-",ListAndConversion!Y361,IF(ListAndConversion!AN361&lt;&gt;"-",ListAndConversion!AK361,IF(INDIRECT("ListAndConversion!AF"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59" s="556" t="str">
        <f ca="1">IF(C358="","",IF(ListAndConversion!AB361&lt;&gt;"-",ListAndConversion!AE361,IF(ListAndConversion!AN361&lt;&gt;"-",ListAndConversion!AQ361,IF(INDIRECT("ListAndConversion!AF"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60" spans="1:3" x14ac:dyDescent="0.65">
      <c r="A360" s="554" t="str">
        <f ca="1">IF(A359="","",IF(ListAndConversion!AB362&lt;&gt;"-",ListAndConversion!W362,IF(ListAndConversion!AN362&lt;&gt;"-",ListAndConversion!AJ362,IF(INDIRECT("ListAndConversion!AF"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60" s="555" t="str">
        <f ca="1">IF(B359="","",IF(ListAndConversion!AB362&lt;&gt;"-",ListAndConversion!Y362,IF(ListAndConversion!AN362&lt;&gt;"-",ListAndConversion!AK362,IF(INDIRECT("ListAndConversion!AF"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60" s="556" t="str">
        <f ca="1">IF(C359="","",IF(ListAndConversion!AB362&lt;&gt;"-",ListAndConversion!AE362,IF(ListAndConversion!AN362&lt;&gt;"-",ListAndConversion!AQ362,IF(INDIRECT("ListAndConversion!AF"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61" spans="1:3" x14ac:dyDescent="0.65">
      <c r="A361" s="554" t="str">
        <f ca="1">IF(A360="","",IF(ListAndConversion!AB363&lt;&gt;"-",ListAndConversion!W363,IF(ListAndConversion!AN363&lt;&gt;"-",ListAndConversion!AJ363,IF(INDIRECT("ListAndConversion!AF"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61" s="555" t="str">
        <f ca="1">IF(B360="","",IF(ListAndConversion!AB363&lt;&gt;"-",ListAndConversion!Y363,IF(ListAndConversion!AN363&lt;&gt;"-",ListAndConversion!AK363,IF(INDIRECT("ListAndConversion!AF"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61" s="556" t="str">
        <f ca="1">IF(C360="","",IF(ListAndConversion!AB363&lt;&gt;"-",ListAndConversion!AE363,IF(ListAndConversion!AN363&lt;&gt;"-",ListAndConversion!AQ363,IF(INDIRECT("ListAndConversion!AF"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62" spans="1:3" x14ac:dyDescent="0.65">
      <c r="A362" s="554" t="str">
        <f ca="1">IF(A361="","",IF(ListAndConversion!AB364&lt;&gt;"-",ListAndConversion!W364,IF(ListAndConversion!AN364&lt;&gt;"-",ListAndConversion!AJ364,IF(INDIRECT("ListAndConversion!AF"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62" s="555" t="str">
        <f ca="1">IF(B361="","",IF(ListAndConversion!AB364&lt;&gt;"-",ListAndConversion!Y364,IF(ListAndConversion!AN364&lt;&gt;"-",ListAndConversion!AK364,IF(INDIRECT("ListAndConversion!AF"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62" s="556" t="str">
        <f ca="1">IF(C361="","",IF(ListAndConversion!AB364&lt;&gt;"-",ListAndConversion!AE364,IF(ListAndConversion!AN364&lt;&gt;"-",ListAndConversion!AQ364,IF(INDIRECT("ListAndConversion!AF"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63" spans="1:3" x14ac:dyDescent="0.65">
      <c r="A363" s="554" t="str">
        <f ca="1">IF(A362="","",IF(ListAndConversion!AB365&lt;&gt;"-",ListAndConversion!W365,IF(ListAndConversion!AN365&lt;&gt;"-",ListAndConversion!AJ365,IF(INDIRECT("ListAndConversion!AF"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63" s="555" t="str">
        <f ca="1">IF(B362="","",IF(ListAndConversion!AB365&lt;&gt;"-",ListAndConversion!Y365,IF(ListAndConversion!AN365&lt;&gt;"-",ListAndConversion!AK365,IF(INDIRECT("ListAndConversion!AF"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63" s="556" t="str">
        <f ca="1">IF(C362="","",IF(ListAndConversion!AB365&lt;&gt;"-",ListAndConversion!AE365,IF(ListAndConversion!AN365&lt;&gt;"-",ListAndConversion!AQ365,IF(INDIRECT("ListAndConversion!AF"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64" spans="1:3" x14ac:dyDescent="0.65">
      <c r="A364" s="554" t="str">
        <f ca="1">IF(A363="","",IF(ListAndConversion!AB366&lt;&gt;"-",ListAndConversion!W366,IF(ListAndConversion!AN366&lt;&gt;"-",ListAndConversion!AJ366,IF(INDIRECT("ListAndConversion!AF"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64" s="555" t="str">
        <f ca="1">IF(B363="","",IF(ListAndConversion!AB366&lt;&gt;"-",ListAndConversion!Y366,IF(ListAndConversion!AN366&lt;&gt;"-",ListAndConversion!AK366,IF(INDIRECT("ListAndConversion!AF"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64" s="556" t="str">
        <f ca="1">IF(C363="","",IF(ListAndConversion!AB366&lt;&gt;"-",ListAndConversion!AE366,IF(ListAndConversion!AN366&lt;&gt;"-",ListAndConversion!AQ366,IF(INDIRECT("ListAndConversion!AF"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65" spans="1:3" x14ac:dyDescent="0.65">
      <c r="A365" s="554" t="str">
        <f ca="1">IF(A364="","",IF(ListAndConversion!AB367&lt;&gt;"-",ListAndConversion!W367,IF(ListAndConversion!AN367&lt;&gt;"-",ListAndConversion!AJ367,IF(INDIRECT("ListAndConversion!AF"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65" s="555" t="str">
        <f ca="1">IF(B364="","",IF(ListAndConversion!AB367&lt;&gt;"-",ListAndConversion!Y367,IF(ListAndConversion!AN367&lt;&gt;"-",ListAndConversion!AK367,IF(INDIRECT("ListAndConversion!AF"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65" s="556" t="str">
        <f ca="1">IF(C364="","",IF(ListAndConversion!AB367&lt;&gt;"-",ListAndConversion!AE367,IF(ListAndConversion!AN367&lt;&gt;"-",ListAndConversion!AQ367,IF(INDIRECT("ListAndConversion!AF"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66" spans="1:3" x14ac:dyDescent="0.65">
      <c r="A366" s="554" t="str">
        <f ca="1">IF(A365="","",IF(ListAndConversion!AB368&lt;&gt;"-",ListAndConversion!W368,IF(ListAndConversion!AN368&lt;&gt;"-",ListAndConversion!AJ368,IF(INDIRECT("ListAndConversion!AF"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66" s="555" t="str">
        <f ca="1">IF(B365="","",IF(ListAndConversion!AB368&lt;&gt;"-",ListAndConversion!Y368,IF(ListAndConversion!AN368&lt;&gt;"-",ListAndConversion!AK368,IF(INDIRECT("ListAndConversion!AF"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66" s="556" t="str">
        <f ca="1">IF(C365="","",IF(ListAndConversion!AB368&lt;&gt;"-",ListAndConversion!AE368,IF(ListAndConversion!AN368&lt;&gt;"-",ListAndConversion!AQ368,IF(INDIRECT("ListAndConversion!AF"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67" spans="1:3" x14ac:dyDescent="0.65">
      <c r="A367" s="554" t="str">
        <f ca="1">IF(A366="","",IF(ListAndConversion!AB369&lt;&gt;"-",ListAndConversion!W369,IF(ListAndConversion!AN369&lt;&gt;"-",ListAndConversion!AJ369,IF(INDIRECT("ListAndConversion!AF"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67" s="555" t="str">
        <f ca="1">IF(B366="","",IF(ListAndConversion!AB369&lt;&gt;"-",ListAndConversion!Y369,IF(ListAndConversion!AN369&lt;&gt;"-",ListAndConversion!AK369,IF(INDIRECT("ListAndConversion!AF"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67" s="556" t="str">
        <f ca="1">IF(C366="","",IF(ListAndConversion!AB369&lt;&gt;"-",ListAndConversion!AE369,IF(ListAndConversion!AN369&lt;&gt;"-",ListAndConversion!AQ369,IF(INDIRECT("ListAndConversion!AF"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68" spans="1:3" x14ac:dyDescent="0.65">
      <c r="A368" s="554" t="str">
        <f ca="1">IF(A367="","",IF(ListAndConversion!AB370&lt;&gt;"-",ListAndConversion!W370,IF(ListAndConversion!AN370&lt;&gt;"-",ListAndConversion!AJ370,IF(INDIRECT("ListAndConversion!AF"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68" s="555" t="str">
        <f ca="1">IF(B367="","",IF(ListAndConversion!AB370&lt;&gt;"-",ListAndConversion!Y370,IF(ListAndConversion!AN370&lt;&gt;"-",ListAndConversion!AK370,IF(INDIRECT("ListAndConversion!AF"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68" s="556" t="str">
        <f ca="1">IF(C367="","",IF(ListAndConversion!AB370&lt;&gt;"-",ListAndConversion!AE370,IF(ListAndConversion!AN370&lt;&gt;"-",ListAndConversion!AQ370,IF(INDIRECT("ListAndConversion!AF"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69" spans="1:3" x14ac:dyDescent="0.65">
      <c r="A369" s="554" t="str">
        <f ca="1">IF(A368="","",IF(ListAndConversion!AB371&lt;&gt;"-",ListAndConversion!W371,IF(ListAndConversion!AN371&lt;&gt;"-",ListAndConversion!AJ371,IF(INDIRECT("ListAndConversion!AF"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69" s="555" t="str">
        <f ca="1">IF(B368="","",IF(ListAndConversion!AB371&lt;&gt;"-",ListAndConversion!Y371,IF(ListAndConversion!AN371&lt;&gt;"-",ListAndConversion!AK371,IF(INDIRECT("ListAndConversion!AF"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69" s="556" t="str">
        <f ca="1">IF(C368="","",IF(ListAndConversion!AB371&lt;&gt;"-",ListAndConversion!AE371,IF(ListAndConversion!AN371&lt;&gt;"-",ListAndConversion!AQ371,IF(INDIRECT("ListAndConversion!AF"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70" spans="1:3" x14ac:dyDescent="0.65">
      <c r="A370" s="554" t="str">
        <f ca="1">IF(A369="","",IF(ListAndConversion!AB372&lt;&gt;"-",ListAndConversion!W372,IF(ListAndConversion!AN372&lt;&gt;"-",ListAndConversion!AJ372,IF(INDIRECT("ListAndConversion!AF"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70" s="555" t="str">
        <f ca="1">IF(B369="","",IF(ListAndConversion!AB372&lt;&gt;"-",ListAndConversion!Y372,IF(ListAndConversion!AN372&lt;&gt;"-",ListAndConversion!AK372,IF(INDIRECT("ListAndConversion!AF"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70" s="556" t="str">
        <f ca="1">IF(C369="","",IF(ListAndConversion!AB372&lt;&gt;"-",ListAndConversion!AE372,IF(ListAndConversion!AN372&lt;&gt;"-",ListAndConversion!AQ372,IF(INDIRECT("ListAndConversion!AF"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71" spans="1:3" x14ac:dyDescent="0.65">
      <c r="A371" s="554" t="str">
        <f ca="1">IF(A370="","",IF(ListAndConversion!AB373&lt;&gt;"-",ListAndConversion!W373,IF(ListAndConversion!AN373&lt;&gt;"-",ListAndConversion!AJ373,IF(INDIRECT("ListAndConversion!AF"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71" s="555" t="str">
        <f ca="1">IF(B370="","",IF(ListAndConversion!AB373&lt;&gt;"-",ListAndConversion!Y373,IF(ListAndConversion!AN373&lt;&gt;"-",ListAndConversion!AK373,IF(INDIRECT("ListAndConversion!AF"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71" s="556" t="str">
        <f ca="1">IF(C370="","",IF(ListAndConversion!AB373&lt;&gt;"-",ListAndConversion!AE373,IF(ListAndConversion!AN373&lt;&gt;"-",ListAndConversion!AQ373,IF(INDIRECT("ListAndConversion!AF"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72" spans="1:3" x14ac:dyDescent="0.65">
      <c r="A372" s="554" t="str">
        <f ca="1">IF(A371="","",IF(ListAndConversion!AB374&lt;&gt;"-",ListAndConversion!W374,IF(ListAndConversion!AN374&lt;&gt;"-",ListAndConversion!AJ374,IF(INDIRECT("ListAndConversion!AF"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72" s="555" t="str">
        <f ca="1">IF(B371="","",IF(ListAndConversion!AB374&lt;&gt;"-",ListAndConversion!Y374,IF(ListAndConversion!AN374&lt;&gt;"-",ListAndConversion!AK374,IF(INDIRECT("ListAndConversion!AF"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72" s="556" t="str">
        <f ca="1">IF(C371="","",IF(ListAndConversion!AB374&lt;&gt;"-",ListAndConversion!AE374,IF(ListAndConversion!AN374&lt;&gt;"-",ListAndConversion!AQ374,IF(INDIRECT("ListAndConversion!AF"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73" spans="1:3" x14ac:dyDescent="0.65">
      <c r="A373" s="554" t="str">
        <f ca="1">IF(A372="","",IF(ListAndConversion!AB375&lt;&gt;"-",ListAndConversion!W375,IF(ListAndConversion!AN375&lt;&gt;"-",ListAndConversion!AJ375,IF(INDIRECT("ListAndConversion!AF"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73" s="555" t="str">
        <f ca="1">IF(B372="","",IF(ListAndConversion!AB375&lt;&gt;"-",ListAndConversion!Y375,IF(ListAndConversion!AN375&lt;&gt;"-",ListAndConversion!AK375,IF(INDIRECT("ListAndConversion!AF"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73" s="556" t="str">
        <f ca="1">IF(C372="","",IF(ListAndConversion!AB375&lt;&gt;"-",ListAndConversion!AE375,IF(ListAndConversion!AN375&lt;&gt;"-",ListAndConversion!AQ375,IF(INDIRECT("ListAndConversion!AF"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74" spans="1:3" x14ac:dyDescent="0.65">
      <c r="A374" s="554" t="str">
        <f ca="1">IF(A373="","",IF(ListAndConversion!AB376&lt;&gt;"-",ListAndConversion!W376,IF(ListAndConversion!AN376&lt;&gt;"-",ListAndConversion!AJ376,IF(INDIRECT("ListAndConversion!AF"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74" s="555" t="str">
        <f ca="1">IF(B373="","",IF(ListAndConversion!AB376&lt;&gt;"-",ListAndConversion!Y376,IF(ListAndConversion!AN376&lt;&gt;"-",ListAndConversion!AK376,IF(INDIRECT("ListAndConversion!AF"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74" s="556" t="str">
        <f ca="1">IF(C373="","",IF(ListAndConversion!AB376&lt;&gt;"-",ListAndConversion!AE376,IF(ListAndConversion!AN376&lt;&gt;"-",ListAndConversion!AQ376,IF(INDIRECT("ListAndConversion!AF"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75" spans="1:3" x14ac:dyDescent="0.65">
      <c r="A375" s="554" t="str">
        <f ca="1">IF(A374="","",IF(ListAndConversion!AB377&lt;&gt;"-",ListAndConversion!W377,IF(ListAndConversion!AN377&lt;&gt;"-",ListAndConversion!AJ377,IF(INDIRECT("ListAndConversion!AF"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75" s="555" t="str">
        <f ca="1">IF(B374="","",IF(ListAndConversion!AB377&lt;&gt;"-",ListAndConversion!Y377,IF(ListAndConversion!AN377&lt;&gt;"-",ListAndConversion!AK377,IF(INDIRECT("ListAndConversion!AF"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75" s="556" t="str">
        <f ca="1">IF(C374="","",IF(ListAndConversion!AB377&lt;&gt;"-",ListAndConversion!AE377,IF(ListAndConversion!AN377&lt;&gt;"-",ListAndConversion!AQ377,IF(INDIRECT("ListAndConversion!AF"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76" spans="1:3" x14ac:dyDescent="0.65">
      <c r="A376" s="554" t="str">
        <f ca="1">IF(A375="","",IF(ListAndConversion!AB378&lt;&gt;"-",ListAndConversion!W378,IF(ListAndConversion!AN378&lt;&gt;"-",ListAndConversion!AJ378,IF(INDIRECT("ListAndConversion!AF"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76" s="555" t="str">
        <f ca="1">IF(B375="","",IF(ListAndConversion!AB378&lt;&gt;"-",ListAndConversion!Y378,IF(ListAndConversion!AN378&lt;&gt;"-",ListAndConversion!AK378,IF(INDIRECT("ListAndConversion!AF"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76" s="556" t="str">
        <f ca="1">IF(C375="","",IF(ListAndConversion!AB378&lt;&gt;"-",ListAndConversion!AE378,IF(ListAndConversion!AN378&lt;&gt;"-",ListAndConversion!AQ378,IF(INDIRECT("ListAndConversion!AF"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77" spans="1:3" x14ac:dyDescent="0.65">
      <c r="A377" s="554" t="str">
        <f ca="1">IF(A376="","",IF(ListAndConversion!AB379&lt;&gt;"-",ListAndConversion!W379,IF(ListAndConversion!AN379&lt;&gt;"-",ListAndConversion!AJ379,IF(INDIRECT("ListAndConversion!AF"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77" s="555" t="str">
        <f ca="1">IF(B376="","",IF(ListAndConversion!AB379&lt;&gt;"-",ListAndConversion!Y379,IF(ListAndConversion!AN379&lt;&gt;"-",ListAndConversion!AK379,IF(INDIRECT("ListAndConversion!AF"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77" s="556" t="str">
        <f ca="1">IF(C376="","",IF(ListAndConversion!AB379&lt;&gt;"-",ListAndConversion!AE379,IF(ListAndConversion!AN379&lt;&gt;"-",ListAndConversion!AQ379,IF(INDIRECT("ListAndConversion!AF"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78" spans="1:3" x14ac:dyDescent="0.65">
      <c r="A378" s="554" t="str">
        <f ca="1">IF(A377="","",IF(ListAndConversion!AB380&lt;&gt;"-",ListAndConversion!W380,IF(ListAndConversion!AN380&lt;&gt;"-",ListAndConversion!AJ380,IF(INDIRECT("ListAndConversion!AF"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78" s="555" t="str">
        <f ca="1">IF(B377="","",IF(ListAndConversion!AB380&lt;&gt;"-",ListAndConversion!Y380,IF(ListAndConversion!AN380&lt;&gt;"-",ListAndConversion!AK380,IF(INDIRECT("ListAndConversion!AF"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78" s="556" t="str">
        <f ca="1">IF(C377="","",IF(ListAndConversion!AB380&lt;&gt;"-",ListAndConversion!AE380,IF(ListAndConversion!AN380&lt;&gt;"-",ListAndConversion!AQ380,IF(INDIRECT("ListAndConversion!AF"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79" spans="1:3" x14ac:dyDescent="0.65">
      <c r="A379" s="554" t="str">
        <f ca="1">IF(A378="","",IF(ListAndConversion!AB381&lt;&gt;"-",ListAndConversion!W381,IF(ListAndConversion!AN381&lt;&gt;"-",ListAndConversion!AJ381,IF(INDIRECT("ListAndConversion!AF"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79" s="555" t="str">
        <f ca="1">IF(B378="","",IF(ListAndConversion!AB381&lt;&gt;"-",ListAndConversion!Y381,IF(ListAndConversion!AN381&lt;&gt;"-",ListAndConversion!AK381,IF(INDIRECT("ListAndConversion!AF"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79" s="556" t="str">
        <f ca="1">IF(C378="","",IF(ListAndConversion!AB381&lt;&gt;"-",ListAndConversion!AE381,IF(ListAndConversion!AN381&lt;&gt;"-",ListAndConversion!AQ381,IF(INDIRECT("ListAndConversion!AF"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80" spans="1:3" x14ac:dyDescent="0.65">
      <c r="A380" s="554" t="str">
        <f ca="1">IF(A379="","",IF(ListAndConversion!AB382&lt;&gt;"-",ListAndConversion!W382,IF(ListAndConversion!AN382&lt;&gt;"-",ListAndConversion!AJ382,IF(INDIRECT("ListAndConversion!AF"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80" s="555" t="str">
        <f ca="1">IF(B379="","",IF(ListAndConversion!AB382&lt;&gt;"-",ListAndConversion!Y382,IF(ListAndConversion!AN382&lt;&gt;"-",ListAndConversion!AK382,IF(INDIRECT("ListAndConversion!AF"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80" s="556" t="str">
        <f ca="1">IF(C379="","",IF(ListAndConversion!AB382&lt;&gt;"-",ListAndConversion!AE382,IF(ListAndConversion!AN382&lt;&gt;"-",ListAndConversion!AQ382,IF(INDIRECT("ListAndConversion!AF"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81" spans="1:3" x14ac:dyDescent="0.65">
      <c r="A381" s="554" t="str">
        <f ca="1">IF(A380="","",IF(ListAndConversion!AB383&lt;&gt;"-",ListAndConversion!W383,IF(ListAndConversion!AN383&lt;&gt;"-",ListAndConversion!AJ383,IF(INDIRECT("ListAndConversion!AF"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81" s="555" t="str">
        <f ca="1">IF(B380="","",IF(ListAndConversion!AB383&lt;&gt;"-",ListAndConversion!Y383,IF(ListAndConversion!AN383&lt;&gt;"-",ListAndConversion!AK383,IF(INDIRECT("ListAndConversion!AF"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81" s="556" t="str">
        <f ca="1">IF(C380="","",IF(ListAndConversion!AB383&lt;&gt;"-",ListAndConversion!AE383,IF(ListAndConversion!AN383&lt;&gt;"-",ListAndConversion!AQ383,IF(INDIRECT("ListAndConversion!AF"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82" spans="1:3" x14ac:dyDescent="0.65">
      <c r="A382" s="554" t="str">
        <f ca="1">IF(A381="","",IF(ListAndConversion!AB384&lt;&gt;"-",ListAndConversion!W384,IF(ListAndConversion!AN384&lt;&gt;"-",ListAndConversion!AJ384,IF(INDIRECT("ListAndConversion!AF"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82" s="555" t="str">
        <f ca="1">IF(B381="","",IF(ListAndConversion!AB384&lt;&gt;"-",ListAndConversion!Y384,IF(ListAndConversion!AN384&lt;&gt;"-",ListAndConversion!AK384,IF(INDIRECT("ListAndConversion!AF"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82" s="556" t="str">
        <f ca="1">IF(C381="","",IF(ListAndConversion!AB384&lt;&gt;"-",ListAndConversion!AE384,IF(ListAndConversion!AN384&lt;&gt;"-",ListAndConversion!AQ384,IF(INDIRECT("ListAndConversion!AF"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83" spans="1:3" x14ac:dyDescent="0.65">
      <c r="A383" s="554" t="str">
        <f ca="1">IF(A382="","",IF(ListAndConversion!AB385&lt;&gt;"-",ListAndConversion!W385,IF(ListAndConversion!AN385&lt;&gt;"-",ListAndConversion!AJ385,IF(INDIRECT("ListAndConversion!AF"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83" s="555" t="str">
        <f ca="1">IF(B382="","",IF(ListAndConversion!AB385&lt;&gt;"-",ListAndConversion!Y385,IF(ListAndConversion!AN385&lt;&gt;"-",ListAndConversion!AK385,IF(INDIRECT("ListAndConversion!AF"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83" s="556" t="str">
        <f ca="1">IF(C382="","",IF(ListAndConversion!AB385&lt;&gt;"-",ListAndConversion!AE385,IF(ListAndConversion!AN385&lt;&gt;"-",ListAndConversion!AQ385,IF(INDIRECT("ListAndConversion!AF"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84" spans="1:3" x14ac:dyDescent="0.65">
      <c r="A384" s="554" t="str">
        <f ca="1">IF(A383="","",IF(ListAndConversion!AB386&lt;&gt;"-",ListAndConversion!W386,IF(ListAndConversion!AN386&lt;&gt;"-",ListAndConversion!AJ386,IF(INDIRECT("ListAndConversion!AF"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84" s="555" t="str">
        <f ca="1">IF(B383="","",IF(ListAndConversion!AB386&lt;&gt;"-",ListAndConversion!Y386,IF(ListAndConversion!AN386&lt;&gt;"-",ListAndConversion!AK386,IF(INDIRECT("ListAndConversion!AF"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84" s="556" t="str">
        <f ca="1">IF(C383="","",IF(ListAndConversion!AB386&lt;&gt;"-",ListAndConversion!AE386,IF(ListAndConversion!AN386&lt;&gt;"-",ListAndConversion!AQ386,IF(INDIRECT("ListAndConversion!AF"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85" spans="1:3" x14ac:dyDescent="0.65">
      <c r="A385" s="554" t="str">
        <f ca="1">IF(A384="","",IF(ListAndConversion!AB387&lt;&gt;"-",ListAndConversion!W387,IF(ListAndConversion!AN387&lt;&gt;"-",ListAndConversion!AJ387,IF(INDIRECT("ListAndConversion!AF"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85" s="555" t="str">
        <f ca="1">IF(B384="","",IF(ListAndConversion!AB387&lt;&gt;"-",ListAndConversion!Y387,IF(ListAndConversion!AN387&lt;&gt;"-",ListAndConversion!AK387,IF(INDIRECT("ListAndConversion!AF"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85" s="556" t="str">
        <f ca="1">IF(C384="","",IF(ListAndConversion!AB387&lt;&gt;"-",ListAndConversion!AE387,IF(ListAndConversion!AN387&lt;&gt;"-",ListAndConversion!AQ387,IF(INDIRECT("ListAndConversion!AF"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86" spans="1:3" x14ac:dyDescent="0.65">
      <c r="A386" s="554" t="str">
        <f ca="1">IF(A385="","",IF(ListAndConversion!AB388&lt;&gt;"-",ListAndConversion!W388,IF(ListAndConversion!AN388&lt;&gt;"-",ListAndConversion!AJ388,IF(INDIRECT("ListAndConversion!AF"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86" s="555" t="str">
        <f ca="1">IF(B385="","",IF(ListAndConversion!AB388&lt;&gt;"-",ListAndConversion!Y388,IF(ListAndConversion!AN388&lt;&gt;"-",ListAndConversion!AK388,IF(INDIRECT("ListAndConversion!AF"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86" s="556" t="str">
        <f ca="1">IF(C385="","",IF(ListAndConversion!AB388&lt;&gt;"-",ListAndConversion!AE388,IF(ListAndConversion!AN388&lt;&gt;"-",ListAndConversion!AQ388,IF(INDIRECT("ListAndConversion!AF"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87" spans="1:3" x14ac:dyDescent="0.65">
      <c r="A387" s="554" t="str">
        <f ca="1">IF(A386="","",IF(ListAndConversion!AB389&lt;&gt;"-",ListAndConversion!W389,IF(ListAndConversion!AN389&lt;&gt;"-",ListAndConversion!AJ389,IF(INDIRECT("ListAndConversion!AF"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87" s="555" t="str">
        <f ca="1">IF(B386="","",IF(ListAndConversion!AB389&lt;&gt;"-",ListAndConversion!Y389,IF(ListAndConversion!AN389&lt;&gt;"-",ListAndConversion!AK389,IF(INDIRECT("ListAndConversion!AF"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87" s="556" t="str">
        <f ca="1">IF(C386="","",IF(ListAndConversion!AB389&lt;&gt;"-",ListAndConversion!AE389,IF(ListAndConversion!AN389&lt;&gt;"-",ListAndConversion!AQ389,IF(INDIRECT("ListAndConversion!AF"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88" spans="1:3" x14ac:dyDescent="0.65">
      <c r="A388" s="554" t="str">
        <f ca="1">IF(A387="","",IF(ListAndConversion!AB390&lt;&gt;"-",ListAndConversion!W390,IF(ListAndConversion!AN390&lt;&gt;"-",ListAndConversion!AJ390,IF(INDIRECT("ListAndConversion!AF"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88" s="555" t="str">
        <f ca="1">IF(B387="","",IF(ListAndConversion!AB390&lt;&gt;"-",ListAndConversion!Y390,IF(ListAndConversion!AN390&lt;&gt;"-",ListAndConversion!AK390,IF(INDIRECT("ListAndConversion!AF"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88" s="556" t="str">
        <f ca="1">IF(C387="","",IF(ListAndConversion!AB390&lt;&gt;"-",ListAndConversion!AE390,IF(ListAndConversion!AN390&lt;&gt;"-",ListAndConversion!AQ390,IF(INDIRECT("ListAndConversion!AF"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89" spans="1:3" x14ac:dyDescent="0.65">
      <c r="A389" s="554" t="str">
        <f ca="1">IF(A388="","",IF(ListAndConversion!AB391&lt;&gt;"-",ListAndConversion!W391,IF(ListAndConversion!AN391&lt;&gt;"-",ListAndConversion!AJ391,IF(INDIRECT("ListAndConversion!AF"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89" s="555" t="str">
        <f ca="1">IF(B388="","",IF(ListAndConversion!AB391&lt;&gt;"-",ListAndConversion!Y391,IF(ListAndConversion!AN391&lt;&gt;"-",ListAndConversion!AK391,IF(INDIRECT("ListAndConversion!AF"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89" s="556" t="str">
        <f ca="1">IF(C388="","",IF(ListAndConversion!AB391&lt;&gt;"-",ListAndConversion!AE391,IF(ListAndConversion!AN391&lt;&gt;"-",ListAndConversion!AQ391,IF(INDIRECT("ListAndConversion!AF"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90" spans="1:3" x14ac:dyDescent="0.65">
      <c r="A390" s="554" t="str">
        <f ca="1">IF(A389="","",IF(ListAndConversion!AB392&lt;&gt;"-",ListAndConversion!W392,IF(ListAndConversion!AN392&lt;&gt;"-",ListAndConversion!AJ392,IF(INDIRECT("ListAndConversion!AF"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90" s="555" t="str">
        <f ca="1">IF(B389="","",IF(ListAndConversion!AB392&lt;&gt;"-",ListAndConversion!Y392,IF(ListAndConversion!AN392&lt;&gt;"-",ListAndConversion!AK392,IF(INDIRECT("ListAndConversion!AF"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90" s="556" t="str">
        <f ca="1">IF(C389="","",IF(ListAndConversion!AB392&lt;&gt;"-",ListAndConversion!AE392,IF(ListAndConversion!AN392&lt;&gt;"-",ListAndConversion!AQ392,IF(INDIRECT("ListAndConversion!AF"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91" spans="1:3" x14ac:dyDescent="0.65">
      <c r="A391" s="554" t="str">
        <f ca="1">IF(A390="","",IF(ListAndConversion!AB393&lt;&gt;"-",ListAndConversion!W393,IF(ListAndConversion!AN393&lt;&gt;"-",ListAndConversion!AJ393,IF(INDIRECT("ListAndConversion!AF"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91" s="555" t="str">
        <f ca="1">IF(B390="","",IF(ListAndConversion!AB393&lt;&gt;"-",ListAndConversion!Y393,IF(ListAndConversion!AN393&lt;&gt;"-",ListAndConversion!AK393,IF(INDIRECT("ListAndConversion!AF"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91" s="556" t="str">
        <f ca="1">IF(C390="","",IF(ListAndConversion!AB393&lt;&gt;"-",ListAndConversion!AE393,IF(ListAndConversion!AN393&lt;&gt;"-",ListAndConversion!AQ393,IF(INDIRECT("ListAndConversion!AF"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92" spans="1:3" x14ac:dyDescent="0.65">
      <c r="A392" s="554" t="str">
        <f ca="1">IF(A391="","",IF(ListAndConversion!AB394&lt;&gt;"-",ListAndConversion!W394,IF(ListAndConversion!AN394&lt;&gt;"-",ListAndConversion!AJ394,IF(INDIRECT("ListAndConversion!AF"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92" s="555" t="str">
        <f ca="1">IF(B391="","",IF(ListAndConversion!AB394&lt;&gt;"-",ListAndConversion!Y394,IF(ListAndConversion!AN394&lt;&gt;"-",ListAndConversion!AK394,IF(INDIRECT("ListAndConversion!AF"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92" s="556" t="str">
        <f ca="1">IF(C391="","",IF(ListAndConversion!AB394&lt;&gt;"-",ListAndConversion!AE394,IF(ListAndConversion!AN394&lt;&gt;"-",ListAndConversion!AQ394,IF(INDIRECT("ListAndConversion!AF"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93" spans="1:3" x14ac:dyDescent="0.65">
      <c r="A393" s="554" t="str">
        <f ca="1">IF(A392="","",IF(ListAndConversion!AB395&lt;&gt;"-",ListAndConversion!W395,IF(ListAndConversion!AN395&lt;&gt;"-",ListAndConversion!AJ395,IF(INDIRECT("ListAndConversion!AF"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93" s="555" t="str">
        <f ca="1">IF(B392="","",IF(ListAndConversion!AB395&lt;&gt;"-",ListAndConversion!Y395,IF(ListAndConversion!AN395&lt;&gt;"-",ListAndConversion!AK395,IF(INDIRECT("ListAndConversion!AF"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93" s="556" t="str">
        <f ca="1">IF(C392="","",IF(ListAndConversion!AB395&lt;&gt;"-",ListAndConversion!AE395,IF(ListAndConversion!AN395&lt;&gt;"-",ListAndConversion!AQ395,IF(INDIRECT("ListAndConversion!AF"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94" spans="1:3" x14ac:dyDescent="0.65">
      <c r="A394" s="554" t="str">
        <f ca="1">IF(A393="","",IF(ListAndConversion!AB396&lt;&gt;"-",ListAndConversion!W396,IF(ListAndConversion!AN396&lt;&gt;"-",ListAndConversion!AJ396,IF(INDIRECT("ListAndConversion!AF"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94" s="555" t="str">
        <f ca="1">IF(B393="","",IF(ListAndConversion!AB396&lt;&gt;"-",ListAndConversion!Y396,IF(ListAndConversion!AN396&lt;&gt;"-",ListAndConversion!AK396,IF(INDIRECT("ListAndConversion!AF"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94" s="556" t="str">
        <f ca="1">IF(C393="","",IF(ListAndConversion!AB396&lt;&gt;"-",ListAndConversion!AE396,IF(ListAndConversion!AN396&lt;&gt;"-",ListAndConversion!AQ396,IF(INDIRECT("ListAndConversion!AF"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95" spans="1:3" x14ac:dyDescent="0.65">
      <c r="A395" s="554" t="str">
        <f ca="1">IF(A394="","",IF(ListAndConversion!AB397&lt;&gt;"-",ListAndConversion!W397,IF(ListAndConversion!AN397&lt;&gt;"-",ListAndConversion!AJ397,IF(INDIRECT("ListAndConversion!AF"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95" s="555" t="str">
        <f ca="1">IF(B394="","",IF(ListAndConversion!AB397&lt;&gt;"-",ListAndConversion!Y397,IF(ListAndConversion!AN397&lt;&gt;"-",ListAndConversion!AK397,IF(INDIRECT("ListAndConversion!AF"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95" s="556" t="str">
        <f ca="1">IF(C394="","",IF(ListAndConversion!AB397&lt;&gt;"-",ListAndConversion!AE397,IF(ListAndConversion!AN397&lt;&gt;"-",ListAndConversion!AQ397,IF(INDIRECT("ListAndConversion!AF"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96" spans="1:3" x14ac:dyDescent="0.65">
      <c r="A396" s="554" t="str">
        <f ca="1">IF(A395="","",IF(ListAndConversion!AB398&lt;&gt;"-",ListAndConversion!W398,IF(ListAndConversion!AN398&lt;&gt;"-",ListAndConversion!AJ398,IF(INDIRECT("ListAndConversion!AF"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96" s="555" t="str">
        <f ca="1">IF(B395="","",IF(ListAndConversion!AB398&lt;&gt;"-",ListAndConversion!Y398,IF(ListAndConversion!AN398&lt;&gt;"-",ListAndConversion!AK398,IF(INDIRECT("ListAndConversion!AF"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96" s="556" t="str">
        <f ca="1">IF(C395="","",IF(ListAndConversion!AB398&lt;&gt;"-",ListAndConversion!AE398,IF(ListAndConversion!AN398&lt;&gt;"-",ListAndConversion!AQ398,IF(INDIRECT("ListAndConversion!AF"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97" spans="1:3" x14ac:dyDescent="0.65">
      <c r="A397" s="554" t="str">
        <f ca="1">IF(A396="","",IF(ListAndConversion!AB399&lt;&gt;"-",ListAndConversion!W399,IF(ListAndConversion!AN399&lt;&gt;"-",ListAndConversion!AJ399,IF(INDIRECT("ListAndConversion!AF"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97" s="555" t="str">
        <f ca="1">IF(B396="","",IF(ListAndConversion!AB399&lt;&gt;"-",ListAndConversion!Y399,IF(ListAndConversion!AN399&lt;&gt;"-",ListAndConversion!AK399,IF(INDIRECT("ListAndConversion!AF"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97" s="556" t="str">
        <f ca="1">IF(C396="","",IF(ListAndConversion!AB399&lt;&gt;"-",ListAndConversion!AE399,IF(ListAndConversion!AN399&lt;&gt;"-",ListAndConversion!AQ399,IF(INDIRECT("ListAndConversion!AF"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98" spans="1:3" x14ac:dyDescent="0.65">
      <c r="A398" s="554" t="str">
        <f ca="1">IF(A397="","",IF(ListAndConversion!AB400&lt;&gt;"-",ListAndConversion!W400,IF(ListAndConversion!AN400&lt;&gt;"-",ListAndConversion!AJ400,IF(INDIRECT("ListAndConversion!AF"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98" s="555" t="str">
        <f ca="1">IF(B397="","",IF(ListAndConversion!AB400&lt;&gt;"-",ListAndConversion!Y400,IF(ListAndConversion!AN400&lt;&gt;"-",ListAndConversion!AK400,IF(INDIRECT("ListAndConversion!AF"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98" s="556" t="str">
        <f ca="1">IF(C397="","",IF(ListAndConversion!AB400&lt;&gt;"-",ListAndConversion!AE400,IF(ListAndConversion!AN400&lt;&gt;"-",ListAndConversion!AQ400,IF(INDIRECT("ListAndConversion!AF"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399" spans="1:3" x14ac:dyDescent="0.65">
      <c r="A399" s="554" t="str">
        <f ca="1">IF(A398="","",IF(ListAndConversion!AB401&lt;&gt;"-",ListAndConversion!W401,IF(ListAndConversion!AN401&lt;&gt;"-",ListAndConversion!AJ401,IF(INDIRECT("ListAndConversion!AF"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399" s="555" t="str">
        <f ca="1">IF(B398="","",IF(ListAndConversion!AB401&lt;&gt;"-",ListAndConversion!Y401,IF(ListAndConversion!AN401&lt;&gt;"-",ListAndConversion!AK401,IF(INDIRECT("ListAndConversion!AF"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399" s="556" t="str">
        <f ca="1">IF(C398="","",IF(ListAndConversion!AB401&lt;&gt;"-",ListAndConversion!AE401,IF(ListAndConversion!AN401&lt;&gt;"-",ListAndConversion!AQ401,IF(INDIRECT("ListAndConversion!AF"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00" spans="1:3" x14ac:dyDescent="0.65">
      <c r="A400" s="554" t="str">
        <f ca="1">IF(A399="","",IF(ListAndConversion!AB402&lt;&gt;"-",ListAndConversion!W402,IF(ListAndConversion!AN402&lt;&gt;"-",ListAndConversion!AJ402,IF(INDIRECT("ListAndConversion!AF"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00" s="555" t="str">
        <f ca="1">IF(B399="","",IF(ListAndConversion!AB402&lt;&gt;"-",ListAndConversion!Y402,IF(ListAndConversion!AN402&lt;&gt;"-",ListAndConversion!AK402,IF(INDIRECT("ListAndConversion!AF"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00" s="556" t="str">
        <f ca="1">IF(C399="","",IF(ListAndConversion!AB402&lt;&gt;"-",ListAndConversion!AE402,IF(ListAndConversion!AN402&lt;&gt;"-",ListAndConversion!AQ402,IF(INDIRECT("ListAndConversion!AF"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01" spans="1:3" x14ac:dyDescent="0.65">
      <c r="A401" s="554" t="str">
        <f ca="1">IF(A400="","",IF(ListAndConversion!AB403&lt;&gt;"-",ListAndConversion!W403,IF(ListAndConversion!AN403&lt;&gt;"-",ListAndConversion!AJ403,IF(INDIRECT("ListAndConversion!AF"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01" s="555" t="str">
        <f ca="1">IF(B400="","",IF(ListAndConversion!AB403&lt;&gt;"-",ListAndConversion!Y403,IF(ListAndConversion!AN403&lt;&gt;"-",ListAndConversion!AK403,IF(INDIRECT("ListAndConversion!AF"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01" s="556" t="str">
        <f ca="1">IF(C400="","",IF(ListAndConversion!AB403&lt;&gt;"-",ListAndConversion!AE403,IF(ListAndConversion!AN403&lt;&gt;"-",ListAndConversion!AQ403,IF(INDIRECT("ListAndConversion!AF"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02" spans="1:3" x14ac:dyDescent="0.65">
      <c r="A402" s="554" t="str">
        <f ca="1">IF(A401="","",IF(ListAndConversion!AB404&lt;&gt;"-",ListAndConversion!W404,IF(ListAndConversion!AN404&lt;&gt;"-",ListAndConversion!AJ404,IF(INDIRECT("ListAndConversion!AF"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02" s="555" t="str">
        <f ca="1">IF(B401="","",IF(ListAndConversion!AB404&lt;&gt;"-",ListAndConversion!Y404,IF(ListAndConversion!AN404&lt;&gt;"-",ListAndConversion!AK404,IF(INDIRECT("ListAndConversion!AF"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02" s="556" t="str">
        <f ca="1">IF(C401="","",IF(ListAndConversion!AB404&lt;&gt;"-",ListAndConversion!AE404,IF(ListAndConversion!AN404&lt;&gt;"-",ListAndConversion!AQ404,IF(INDIRECT("ListAndConversion!AF"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03" spans="1:3" x14ac:dyDescent="0.65">
      <c r="A403" s="554" t="str">
        <f ca="1">IF(A402="","",IF(ListAndConversion!AB405&lt;&gt;"-",ListAndConversion!W405,IF(ListAndConversion!AN405&lt;&gt;"-",ListAndConversion!AJ405,IF(INDIRECT("ListAndConversion!AF"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03" s="555" t="str">
        <f ca="1">IF(B402="","",IF(ListAndConversion!AB405&lt;&gt;"-",ListAndConversion!Y405,IF(ListAndConversion!AN405&lt;&gt;"-",ListAndConversion!AK405,IF(INDIRECT("ListAndConversion!AF"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03" s="556" t="str">
        <f ca="1">IF(C402="","",IF(ListAndConversion!AB405&lt;&gt;"-",ListAndConversion!AE405,IF(ListAndConversion!AN405&lt;&gt;"-",ListAndConversion!AQ405,IF(INDIRECT("ListAndConversion!AF"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04" spans="1:3" x14ac:dyDescent="0.65">
      <c r="A404" s="554" t="str">
        <f ca="1">IF(A403="","",IF(ListAndConversion!AB406&lt;&gt;"-",ListAndConversion!W406,IF(ListAndConversion!AN406&lt;&gt;"-",ListAndConversion!AJ406,IF(INDIRECT("ListAndConversion!AF"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04" s="555" t="str">
        <f ca="1">IF(B403="","",IF(ListAndConversion!AB406&lt;&gt;"-",ListAndConversion!Y406,IF(ListAndConversion!AN406&lt;&gt;"-",ListAndConversion!AK406,IF(INDIRECT("ListAndConversion!AF"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04" s="556" t="str">
        <f ca="1">IF(C403="","",IF(ListAndConversion!AB406&lt;&gt;"-",ListAndConversion!AE406,IF(ListAndConversion!AN406&lt;&gt;"-",ListAndConversion!AQ406,IF(INDIRECT("ListAndConversion!AF"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05" spans="1:3" x14ac:dyDescent="0.65">
      <c r="A405" s="554" t="str">
        <f ca="1">IF(A404="","",IF(ListAndConversion!AB407&lt;&gt;"-",ListAndConversion!W407,IF(ListAndConversion!AN407&lt;&gt;"-",ListAndConversion!AJ407,IF(INDIRECT("ListAndConversion!AF"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05" s="555" t="str">
        <f ca="1">IF(B404="","",IF(ListAndConversion!AB407&lt;&gt;"-",ListAndConversion!Y407,IF(ListAndConversion!AN407&lt;&gt;"-",ListAndConversion!AK407,IF(INDIRECT("ListAndConversion!AF"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05" s="556" t="str">
        <f ca="1">IF(C404="","",IF(ListAndConversion!AB407&lt;&gt;"-",ListAndConversion!AE407,IF(ListAndConversion!AN407&lt;&gt;"-",ListAndConversion!AQ407,IF(INDIRECT("ListAndConversion!AF"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06" spans="1:3" x14ac:dyDescent="0.65">
      <c r="A406" s="554" t="str">
        <f ca="1">IF(A405="","",IF(ListAndConversion!AB408&lt;&gt;"-",ListAndConversion!W408,IF(ListAndConversion!AN408&lt;&gt;"-",ListAndConversion!AJ408,IF(INDIRECT("ListAndConversion!AF"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06" s="555" t="str">
        <f ca="1">IF(B405="","",IF(ListAndConversion!AB408&lt;&gt;"-",ListAndConversion!Y408,IF(ListAndConversion!AN408&lt;&gt;"-",ListAndConversion!AK408,IF(INDIRECT("ListAndConversion!AF"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06" s="556" t="str">
        <f ca="1">IF(C405="","",IF(ListAndConversion!AB408&lt;&gt;"-",ListAndConversion!AE408,IF(ListAndConversion!AN408&lt;&gt;"-",ListAndConversion!AQ408,IF(INDIRECT("ListAndConversion!AF"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07" spans="1:3" x14ac:dyDescent="0.65">
      <c r="A407" s="554" t="str">
        <f ca="1">IF(A406="","",IF(ListAndConversion!AB409&lt;&gt;"-",ListAndConversion!W409,IF(ListAndConversion!AN409&lt;&gt;"-",ListAndConversion!AJ409,IF(INDIRECT("ListAndConversion!AF"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07" s="555" t="str">
        <f ca="1">IF(B406="","",IF(ListAndConversion!AB409&lt;&gt;"-",ListAndConversion!Y409,IF(ListAndConversion!AN409&lt;&gt;"-",ListAndConversion!AK409,IF(INDIRECT("ListAndConversion!AF"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07" s="556" t="str">
        <f ca="1">IF(C406="","",IF(ListAndConversion!AB409&lt;&gt;"-",ListAndConversion!AE409,IF(ListAndConversion!AN409&lt;&gt;"-",ListAndConversion!AQ409,IF(INDIRECT("ListAndConversion!AF"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08" spans="1:3" x14ac:dyDescent="0.65">
      <c r="A408" s="554" t="str">
        <f ca="1">IF(A407="","",IF(ListAndConversion!AB410&lt;&gt;"-",ListAndConversion!W410,IF(ListAndConversion!AN410&lt;&gt;"-",ListAndConversion!AJ410,IF(INDIRECT("ListAndConversion!AF"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08" s="555" t="str">
        <f ca="1">IF(B407="","",IF(ListAndConversion!AB410&lt;&gt;"-",ListAndConversion!Y410,IF(ListAndConversion!AN410&lt;&gt;"-",ListAndConversion!AK410,IF(INDIRECT("ListAndConversion!AF"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08" s="556" t="str">
        <f ca="1">IF(C407="","",IF(ListAndConversion!AB410&lt;&gt;"-",ListAndConversion!AE410,IF(ListAndConversion!AN410&lt;&gt;"-",ListAndConversion!AQ410,IF(INDIRECT("ListAndConversion!AF"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09" spans="1:3" x14ac:dyDescent="0.65">
      <c r="A409" s="554" t="str">
        <f ca="1">IF(A408="","",IF(ListAndConversion!AB411&lt;&gt;"-",ListAndConversion!W411,IF(ListAndConversion!AN411&lt;&gt;"-",ListAndConversion!AJ411,IF(INDIRECT("ListAndConversion!AF"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09" s="555" t="str">
        <f ca="1">IF(B408="","",IF(ListAndConversion!AB411&lt;&gt;"-",ListAndConversion!Y411,IF(ListAndConversion!AN411&lt;&gt;"-",ListAndConversion!AK411,IF(INDIRECT("ListAndConversion!AF"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09" s="556" t="str">
        <f ca="1">IF(C408="","",IF(ListAndConversion!AB411&lt;&gt;"-",ListAndConversion!AE411,IF(ListAndConversion!AN411&lt;&gt;"-",ListAndConversion!AQ411,IF(INDIRECT("ListAndConversion!AF"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10" spans="1:3" x14ac:dyDescent="0.65">
      <c r="A410" s="554" t="str">
        <f ca="1">IF(A409="","",IF(ListAndConversion!AB412&lt;&gt;"-",ListAndConversion!W412,IF(ListAndConversion!AN412&lt;&gt;"-",ListAndConversion!AJ412,IF(INDIRECT("ListAndConversion!AF"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10" s="555" t="str">
        <f ca="1">IF(B409="","",IF(ListAndConversion!AB412&lt;&gt;"-",ListAndConversion!Y412,IF(ListAndConversion!AN412&lt;&gt;"-",ListAndConversion!AK412,IF(INDIRECT("ListAndConversion!AF"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10" s="556" t="str">
        <f ca="1">IF(C409="","",IF(ListAndConversion!AB412&lt;&gt;"-",ListAndConversion!AE412,IF(ListAndConversion!AN412&lt;&gt;"-",ListAndConversion!AQ412,IF(INDIRECT("ListAndConversion!AF"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11" spans="1:3" x14ac:dyDescent="0.65">
      <c r="A411" s="554" t="str">
        <f ca="1">IF(A410="","",IF(ListAndConversion!AB413&lt;&gt;"-",ListAndConversion!W413,IF(ListAndConversion!AN413&lt;&gt;"-",ListAndConversion!AJ413,IF(INDIRECT("ListAndConversion!AF"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11" s="555" t="str">
        <f ca="1">IF(B410="","",IF(ListAndConversion!AB413&lt;&gt;"-",ListAndConversion!Y413,IF(ListAndConversion!AN413&lt;&gt;"-",ListAndConversion!AK413,IF(INDIRECT("ListAndConversion!AF"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11" s="556" t="str">
        <f ca="1">IF(C410="","",IF(ListAndConversion!AB413&lt;&gt;"-",ListAndConversion!AE413,IF(ListAndConversion!AN413&lt;&gt;"-",ListAndConversion!AQ413,IF(INDIRECT("ListAndConversion!AF"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12" spans="1:3" x14ac:dyDescent="0.65">
      <c r="A412" s="554" t="str">
        <f ca="1">IF(A411="","",IF(ListAndConversion!AB414&lt;&gt;"-",ListAndConversion!W414,IF(ListAndConversion!AN414&lt;&gt;"-",ListAndConversion!AJ414,IF(INDIRECT("ListAndConversion!AF"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12" s="555" t="str">
        <f ca="1">IF(B411="","",IF(ListAndConversion!AB414&lt;&gt;"-",ListAndConversion!Y414,IF(ListAndConversion!AN414&lt;&gt;"-",ListAndConversion!AK414,IF(INDIRECT("ListAndConversion!AF"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12" s="556" t="str">
        <f ca="1">IF(C411="","",IF(ListAndConversion!AB414&lt;&gt;"-",ListAndConversion!AE414,IF(ListAndConversion!AN414&lt;&gt;"-",ListAndConversion!AQ414,IF(INDIRECT("ListAndConversion!AF"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13" spans="1:3" x14ac:dyDescent="0.65">
      <c r="A413" s="554" t="str">
        <f ca="1">IF(A412="","",IF(ListAndConversion!AB415&lt;&gt;"-",ListAndConversion!W415,IF(ListAndConversion!AN415&lt;&gt;"-",ListAndConversion!AJ415,IF(INDIRECT("ListAndConversion!AF"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13" s="555" t="str">
        <f ca="1">IF(B412="","",IF(ListAndConversion!AB415&lt;&gt;"-",ListAndConversion!Y415,IF(ListAndConversion!AN415&lt;&gt;"-",ListAndConversion!AK415,IF(INDIRECT("ListAndConversion!AF"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13" s="556" t="str">
        <f ca="1">IF(C412="","",IF(ListAndConversion!AB415&lt;&gt;"-",ListAndConversion!AE415,IF(ListAndConversion!AN415&lt;&gt;"-",ListAndConversion!AQ415,IF(INDIRECT("ListAndConversion!AF"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14" spans="1:3" x14ac:dyDescent="0.65">
      <c r="A414" s="554" t="str">
        <f ca="1">IF(A413="","",IF(ListAndConversion!AB416&lt;&gt;"-",ListAndConversion!W416,IF(ListAndConversion!AN416&lt;&gt;"-",ListAndConversion!AJ416,IF(INDIRECT("ListAndConversion!AF"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14" s="555" t="str">
        <f ca="1">IF(B413="","",IF(ListAndConversion!AB416&lt;&gt;"-",ListAndConversion!Y416,IF(ListAndConversion!AN416&lt;&gt;"-",ListAndConversion!AK416,IF(INDIRECT("ListAndConversion!AF"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14" s="556" t="str">
        <f ca="1">IF(C413="","",IF(ListAndConversion!AB416&lt;&gt;"-",ListAndConversion!AE416,IF(ListAndConversion!AN416&lt;&gt;"-",ListAndConversion!AQ416,IF(INDIRECT("ListAndConversion!AF"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15" spans="1:3" x14ac:dyDescent="0.65">
      <c r="A415" s="554" t="str">
        <f ca="1">IF(A414="","",IF(ListAndConversion!AB417&lt;&gt;"-",ListAndConversion!W417,IF(ListAndConversion!AN417&lt;&gt;"-",ListAndConversion!AJ417,IF(INDIRECT("ListAndConversion!AF"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15" s="555" t="str">
        <f ca="1">IF(B414="","",IF(ListAndConversion!AB417&lt;&gt;"-",ListAndConversion!Y417,IF(ListAndConversion!AN417&lt;&gt;"-",ListAndConversion!AK417,IF(INDIRECT("ListAndConversion!AF"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15" s="556" t="str">
        <f ca="1">IF(C414="","",IF(ListAndConversion!AB417&lt;&gt;"-",ListAndConversion!AE417,IF(ListAndConversion!AN417&lt;&gt;"-",ListAndConversion!AQ417,IF(INDIRECT("ListAndConversion!AF"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16" spans="1:3" x14ac:dyDescent="0.65">
      <c r="A416" s="554" t="str">
        <f ca="1">IF(A415="","",IF(ListAndConversion!AB418&lt;&gt;"-",ListAndConversion!W418,IF(ListAndConversion!AN418&lt;&gt;"-",ListAndConversion!AJ418,IF(INDIRECT("ListAndConversion!AF"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16" s="555" t="str">
        <f ca="1">IF(B415="","",IF(ListAndConversion!AB418&lt;&gt;"-",ListAndConversion!Y418,IF(ListAndConversion!AN418&lt;&gt;"-",ListAndConversion!AK418,IF(INDIRECT("ListAndConversion!AF"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16" s="556" t="str">
        <f ca="1">IF(C415="","",IF(ListAndConversion!AB418&lt;&gt;"-",ListAndConversion!AE418,IF(ListAndConversion!AN418&lt;&gt;"-",ListAndConversion!AQ418,IF(INDIRECT("ListAndConversion!AF"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17" spans="1:3" x14ac:dyDescent="0.65">
      <c r="A417" s="554" t="str">
        <f ca="1">IF(A416="","",IF(ListAndConversion!AB419&lt;&gt;"-",ListAndConversion!W419,IF(ListAndConversion!AN419&lt;&gt;"-",ListAndConversion!AJ419,IF(INDIRECT("ListAndConversion!AF"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17" s="555" t="str">
        <f ca="1">IF(B416="","",IF(ListAndConversion!AB419&lt;&gt;"-",ListAndConversion!Y419,IF(ListAndConversion!AN419&lt;&gt;"-",ListAndConversion!AK419,IF(INDIRECT("ListAndConversion!AF"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17" s="556" t="str">
        <f ca="1">IF(C416="","",IF(ListAndConversion!AB419&lt;&gt;"-",ListAndConversion!AE419,IF(ListAndConversion!AN419&lt;&gt;"-",ListAndConversion!AQ419,IF(INDIRECT("ListAndConversion!AF"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18" spans="1:3" x14ac:dyDescent="0.65">
      <c r="A418" s="554" t="str">
        <f ca="1">IF(A417="","",IF(ListAndConversion!AB420&lt;&gt;"-",ListAndConversion!W420,IF(ListAndConversion!AN420&lt;&gt;"-",ListAndConversion!AJ420,IF(INDIRECT("ListAndConversion!AF"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18" s="555" t="str">
        <f ca="1">IF(B417="","",IF(ListAndConversion!AB420&lt;&gt;"-",ListAndConversion!Y420,IF(ListAndConversion!AN420&lt;&gt;"-",ListAndConversion!AK420,IF(INDIRECT("ListAndConversion!AF"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18" s="556" t="str">
        <f ca="1">IF(C417="","",IF(ListAndConversion!AB420&lt;&gt;"-",ListAndConversion!AE420,IF(ListAndConversion!AN420&lt;&gt;"-",ListAndConversion!AQ420,IF(INDIRECT("ListAndConversion!AF"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19" spans="1:3" x14ac:dyDescent="0.65">
      <c r="A419" s="554" t="str">
        <f ca="1">IF(A418="","",IF(ListAndConversion!AB421&lt;&gt;"-",ListAndConversion!W421,IF(ListAndConversion!AN421&lt;&gt;"-",ListAndConversion!AJ421,IF(INDIRECT("ListAndConversion!AF"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19" s="555" t="str">
        <f ca="1">IF(B418="","",IF(ListAndConversion!AB421&lt;&gt;"-",ListAndConversion!Y421,IF(ListAndConversion!AN421&lt;&gt;"-",ListAndConversion!AK421,IF(INDIRECT("ListAndConversion!AF"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19" s="556" t="str">
        <f ca="1">IF(C418="","",IF(ListAndConversion!AB421&lt;&gt;"-",ListAndConversion!AE421,IF(ListAndConversion!AN421&lt;&gt;"-",ListAndConversion!AQ421,IF(INDIRECT("ListAndConversion!AF"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20" spans="1:3" x14ac:dyDescent="0.65">
      <c r="A420" s="554" t="str">
        <f ca="1">IF(A419="","",IF(ListAndConversion!AB422&lt;&gt;"-",ListAndConversion!W422,IF(ListAndConversion!AN422&lt;&gt;"-",ListAndConversion!AJ422,IF(INDIRECT("ListAndConversion!AF"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20" s="555" t="str">
        <f ca="1">IF(B419="","",IF(ListAndConversion!AB422&lt;&gt;"-",ListAndConversion!Y422,IF(ListAndConversion!AN422&lt;&gt;"-",ListAndConversion!AK422,IF(INDIRECT("ListAndConversion!AF"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20" s="556" t="str">
        <f ca="1">IF(C419="","",IF(ListAndConversion!AB422&lt;&gt;"-",ListAndConversion!AE422,IF(ListAndConversion!AN422&lt;&gt;"-",ListAndConversion!AQ422,IF(INDIRECT("ListAndConversion!AF"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21" spans="1:3" x14ac:dyDescent="0.65">
      <c r="A421" s="554" t="str">
        <f ca="1">IF(A420="","",IF(ListAndConversion!AB423&lt;&gt;"-",ListAndConversion!W423,IF(ListAndConversion!AN423&lt;&gt;"-",ListAndConversion!AJ423,IF(INDIRECT("ListAndConversion!AF"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21" s="555" t="str">
        <f ca="1">IF(B420="","",IF(ListAndConversion!AB423&lt;&gt;"-",ListAndConversion!Y423,IF(ListAndConversion!AN423&lt;&gt;"-",ListAndConversion!AK423,IF(INDIRECT("ListAndConversion!AF"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21" s="556" t="str">
        <f ca="1">IF(C420="","",IF(ListAndConversion!AB423&lt;&gt;"-",ListAndConversion!AE423,IF(ListAndConversion!AN423&lt;&gt;"-",ListAndConversion!AQ423,IF(INDIRECT("ListAndConversion!AF"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22" spans="1:3" x14ac:dyDescent="0.65">
      <c r="A422" s="554" t="str">
        <f ca="1">IF(A421="","",IF(ListAndConversion!AB424&lt;&gt;"-",ListAndConversion!W424,IF(ListAndConversion!AN424&lt;&gt;"-",ListAndConversion!AJ424,IF(INDIRECT("ListAndConversion!AF"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22" s="555" t="str">
        <f ca="1">IF(B421="","",IF(ListAndConversion!AB424&lt;&gt;"-",ListAndConversion!Y424,IF(ListAndConversion!AN424&lt;&gt;"-",ListAndConversion!AK424,IF(INDIRECT("ListAndConversion!AF"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22" s="556" t="str">
        <f ca="1">IF(C421="","",IF(ListAndConversion!AB424&lt;&gt;"-",ListAndConversion!AE424,IF(ListAndConversion!AN424&lt;&gt;"-",ListAndConversion!AQ424,IF(INDIRECT("ListAndConversion!AF"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23" spans="1:3" x14ac:dyDescent="0.65">
      <c r="A423" s="554" t="str">
        <f ca="1">IF(A422="","",IF(ListAndConversion!AB425&lt;&gt;"-",ListAndConversion!W425,IF(ListAndConversion!AN425&lt;&gt;"-",ListAndConversion!AJ425,IF(INDIRECT("ListAndConversion!AF"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23" s="555" t="str">
        <f ca="1">IF(B422="","",IF(ListAndConversion!AB425&lt;&gt;"-",ListAndConversion!Y425,IF(ListAndConversion!AN425&lt;&gt;"-",ListAndConversion!AK425,IF(INDIRECT("ListAndConversion!AF"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23" s="556" t="str">
        <f ca="1">IF(C422="","",IF(ListAndConversion!AB425&lt;&gt;"-",ListAndConversion!AE425,IF(ListAndConversion!AN425&lt;&gt;"-",ListAndConversion!AQ425,IF(INDIRECT("ListAndConversion!AF"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24" spans="1:3" x14ac:dyDescent="0.65">
      <c r="A424" s="554" t="str">
        <f ca="1">IF(A423="","",IF(ListAndConversion!AB426&lt;&gt;"-",ListAndConversion!W426,IF(ListAndConversion!AN426&lt;&gt;"-",ListAndConversion!AJ426,IF(INDIRECT("ListAndConversion!AF"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24" s="555" t="str">
        <f ca="1">IF(B423="","",IF(ListAndConversion!AB426&lt;&gt;"-",ListAndConversion!Y426,IF(ListAndConversion!AN426&lt;&gt;"-",ListAndConversion!AK426,IF(INDIRECT("ListAndConversion!AF"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24" s="556" t="str">
        <f ca="1">IF(C423="","",IF(ListAndConversion!AB426&lt;&gt;"-",ListAndConversion!AE426,IF(ListAndConversion!AN426&lt;&gt;"-",ListAndConversion!AQ426,IF(INDIRECT("ListAndConversion!AF"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25" spans="1:3" x14ac:dyDescent="0.65">
      <c r="A425" s="554" t="str">
        <f ca="1">IF(A424="","",IF(ListAndConversion!AB427&lt;&gt;"-",ListAndConversion!W427,IF(ListAndConversion!AN427&lt;&gt;"-",ListAndConversion!AJ427,IF(INDIRECT("ListAndConversion!AF"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25" s="555" t="str">
        <f ca="1">IF(B424="","",IF(ListAndConversion!AB427&lt;&gt;"-",ListAndConversion!Y427,IF(ListAndConversion!AN427&lt;&gt;"-",ListAndConversion!AK427,IF(INDIRECT("ListAndConversion!AF"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25" s="556" t="str">
        <f ca="1">IF(C424="","",IF(ListAndConversion!AB427&lt;&gt;"-",ListAndConversion!AE427,IF(ListAndConversion!AN427&lt;&gt;"-",ListAndConversion!AQ427,IF(INDIRECT("ListAndConversion!AF"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26" spans="1:3" x14ac:dyDescent="0.65">
      <c r="A426" s="554" t="str">
        <f ca="1">IF(A425="","",IF(ListAndConversion!AB428&lt;&gt;"-",ListAndConversion!W428,IF(ListAndConversion!AN428&lt;&gt;"-",ListAndConversion!AJ428,IF(INDIRECT("ListAndConversion!AF"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26" s="555" t="str">
        <f ca="1">IF(B425="","",IF(ListAndConversion!AB428&lt;&gt;"-",ListAndConversion!Y428,IF(ListAndConversion!AN428&lt;&gt;"-",ListAndConversion!AK428,IF(INDIRECT("ListAndConversion!AF"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26" s="556" t="str">
        <f ca="1">IF(C425="","",IF(ListAndConversion!AB428&lt;&gt;"-",ListAndConversion!AE428,IF(ListAndConversion!AN428&lt;&gt;"-",ListAndConversion!AQ428,IF(INDIRECT("ListAndConversion!AF"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27" spans="1:3" x14ac:dyDescent="0.65">
      <c r="A427" s="554" t="str">
        <f ca="1">IF(A426="","",IF(ListAndConversion!AB429&lt;&gt;"-",ListAndConversion!W429,IF(ListAndConversion!AN429&lt;&gt;"-",ListAndConversion!AJ429,IF(INDIRECT("ListAndConversion!AF"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27" s="555" t="str">
        <f ca="1">IF(B426="","",IF(ListAndConversion!AB429&lt;&gt;"-",ListAndConversion!Y429,IF(ListAndConversion!AN429&lt;&gt;"-",ListAndConversion!AK429,IF(INDIRECT("ListAndConversion!AF"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27" s="556" t="str">
        <f ca="1">IF(C426="","",IF(ListAndConversion!AB429&lt;&gt;"-",ListAndConversion!AE429,IF(ListAndConversion!AN429&lt;&gt;"-",ListAndConversion!AQ429,IF(INDIRECT("ListAndConversion!AF"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28" spans="1:3" x14ac:dyDescent="0.65">
      <c r="A428" s="554" t="str">
        <f ca="1">IF(A427="","",IF(ListAndConversion!AB430&lt;&gt;"-",ListAndConversion!W430,IF(ListAndConversion!AN430&lt;&gt;"-",ListAndConversion!AJ430,IF(INDIRECT("ListAndConversion!AF"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28" s="555" t="str">
        <f ca="1">IF(B427="","",IF(ListAndConversion!AB430&lt;&gt;"-",ListAndConversion!Y430,IF(ListAndConversion!AN430&lt;&gt;"-",ListAndConversion!AK430,IF(INDIRECT("ListAndConversion!AF"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28" s="556" t="str">
        <f ca="1">IF(C427="","",IF(ListAndConversion!AB430&lt;&gt;"-",ListAndConversion!AE430,IF(ListAndConversion!AN430&lt;&gt;"-",ListAndConversion!AQ430,IF(INDIRECT("ListAndConversion!AF"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29" spans="1:3" x14ac:dyDescent="0.65">
      <c r="A429" s="554" t="str">
        <f ca="1">IF(A428="","",IF(ListAndConversion!AB431&lt;&gt;"-",ListAndConversion!W431,IF(ListAndConversion!AN431&lt;&gt;"-",ListAndConversion!AJ431,IF(INDIRECT("ListAndConversion!AF"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29" s="555" t="str">
        <f ca="1">IF(B428="","",IF(ListAndConversion!AB431&lt;&gt;"-",ListAndConversion!Y431,IF(ListAndConversion!AN431&lt;&gt;"-",ListAndConversion!AK431,IF(INDIRECT("ListAndConversion!AF"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29" s="556" t="str">
        <f ca="1">IF(C428="","",IF(ListAndConversion!AB431&lt;&gt;"-",ListAndConversion!AE431,IF(ListAndConversion!AN431&lt;&gt;"-",ListAndConversion!AQ431,IF(INDIRECT("ListAndConversion!AF"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30" spans="1:3" x14ac:dyDescent="0.65">
      <c r="A430" s="554" t="str">
        <f ca="1">IF(A429="","",IF(ListAndConversion!AB432&lt;&gt;"-",ListAndConversion!W432,IF(ListAndConversion!AN432&lt;&gt;"-",ListAndConversion!AJ432,IF(INDIRECT("ListAndConversion!AF"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30" s="555" t="str">
        <f ca="1">IF(B429="","",IF(ListAndConversion!AB432&lt;&gt;"-",ListAndConversion!Y432,IF(ListAndConversion!AN432&lt;&gt;"-",ListAndConversion!AK432,IF(INDIRECT("ListAndConversion!AF"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30" s="556" t="str">
        <f ca="1">IF(C429="","",IF(ListAndConversion!AB432&lt;&gt;"-",ListAndConversion!AE432,IF(ListAndConversion!AN432&lt;&gt;"-",ListAndConversion!AQ432,IF(INDIRECT("ListAndConversion!AF"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31" spans="1:3" x14ac:dyDescent="0.65">
      <c r="A431" s="554" t="str">
        <f ca="1">IF(A430="","",IF(ListAndConversion!AB433&lt;&gt;"-",ListAndConversion!W433,IF(ListAndConversion!AN433&lt;&gt;"-",ListAndConversion!AJ433,IF(INDIRECT("ListAndConversion!AF"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31" s="555" t="str">
        <f ca="1">IF(B430="","",IF(ListAndConversion!AB433&lt;&gt;"-",ListAndConversion!Y433,IF(ListAndConversion!AN433&lt;&gt;"-",ListAndConversion!AK433,IF(INDIRECT("ListAndConversion!AF"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31" s="556" t="str">
        <f ca="1">IF(C430="","",IF(ListAndConversion!AB433&lt;&gt;"-",ListAndConversion!AE433,IF(ListAndConversion!AN433&lt;&gt;"-",ListAndConversion!AQ433,IF(INDIRECT("ListAndConversion!AF"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32" spans="1:3" x14ac:dyDescent="0.65">
      <c r="A432" s="554" t="str">
        <f ca="1">IF(A431="","",IF(ListAndConversion!AB434&lt;&gt;"-",ListAndConversion!W434,IF(ListAndConversion!AN434&lt;&gt;"-",ListAndConversion!AJ434,IF(INDIRECT("ListAndConversion!AF"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32" s="555" t="str">
        <f ca="1">IF(B431="","",IF(ListAndConversion!AB434&lt;&gt;"-",ListAndConversion!Y434,IF(ListAndConversion!AN434&lt;&gt;"-",ListAndConversion!AK434,IF(INDIRECT("ListAndConversion!AF"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32" s="556" t="str">
        <f ca="1">IF(C431="","",IF(ListAndConversion!AB434&lt;&gt;"-",ListAndConversion!AE434,IF(ListAndConversion!AN434&lt;&gt;"-",ListAndConversion!AQ434,IF(INDIRECT("ListAndConversion!AF"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33" spans="1:3" x14ac:dyDescent="0.65">
      <c r="A433" s="554" t="str">
        <f ca="1">IF(A432="","",IF(ListAndConversion!AB435&lt;&gt;"-",ListAndConversion!W435,IF(ListAndConversion!AN435&lt;&gt;"-",ListAndConversion!AJ435,IF(INDIRECT("ListAndConversion!AF"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33" s="555" t="str">
        <f ca="1">IF(B432="","",IF(ListAndConversion!AB435&lt;&gt;"-",ListAndConversion!Y435,IF(ListAndConversion!AN435&lt;&gt;"-",ListAndConversion!AK435,IF(INDIRECT("ListAndConversion!AF"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33" s="556" t="str">
        <f ca="1">IF(C432="","",IF(ListAndConversion!AB435&lt;&gt;"-",ListAndConversion!AE435,IF(ListAndConversion!AN435&lt;&gt;"-",ListAndConversion!AQ435,IF(INDIRECT("ListAndConversion!AF"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34" spans="1:3" x14ac:dyDescent="0.65">
      <c r="A434" s="554" t="str">
        <f ca="1">IF(A433="","",IF(ListAndConversion!AB436&lt;&gt;"-",ListAndConversion!W436,IF(ListAndConversion!AN436&lt;&gt;"-",ListAndConversion!AJ436,IF(INDIRECT("ListAndConversion!AF"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34" s="555" t="str">
        <f ca="1">IF(B433="","",IF(ListAndConversion!AB436&lt;&gt;"-",ListAndConversion!Y436,IF(ListAndConversion!AN436&lt;&gt;"-",ListAndConversion!AK436,IF(INDIRECT("ListAndConversion!AF"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34" s="556" t="str">
        <f ca="1">IF(C433="","",IF(ListAndConversion!AB436&lt;&gt;"-",ListAndConversion!AE436,IF(ListAndConversion!AN436&lt;&gt;"-",ListAndConversion!AQ436,IF(INDIRECT("ListAndConversion!AF"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35" spans="1:3" x14ac:dyDescent="0.65">
      <c r="A435" s="554" t="str">
        <f ca="1">IF(A434="","",IF(ListAndConversion!AB437&lt;&gt;"-",ListAndConversion!W437,IF(ListAndConversion!AN437&lt;&gt;"-",ListAndConversion!AJ437,IF(INDIRECT("ListAndConversion!AF"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35" s="555" t="str">
        <f ca="1">IF(B434="","",IF(ListAndConversion!AB437&lt;&gt;"-",ListAndConversion!Y437,IF(ListAndConversion!AN437&lt;&gt;"-",ListAndConversion!AK437,IF(INDIRECT("ListAndConversion!AF"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35" s="556" t="str">
        <f ca="1">IF(C434="","",IF(ListAndConversion!AB437&lt;&gt;"-",ListAndConversion!AE437,IF(ListAndConversion!AN437&lt;&gt;"-",ListAndConversion!AQ437,IF(INDIRECT("ListAndConversion!AF"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36" spans="1:3" x14ac:dyDescent="0.65">
      <c r="A436" s="554" t="str">
        <f ca="1">IF(A435="","",IF(ListAndConversion!AB438&lt;&gt;"-",ListAndConversion!W438,IF(ListAndConversion!AN438&lt;&gt;"-",ListAndConversion!AJ438,IF(INDIRECT("ListAndConversion!AF"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36" s="555" t="str">
        <f ca="1">IF(B435="","",IF(ListAndConversion!AB438&lt;&gt;"-",ListAndConversion!Y438,IF(ListAndConversion!AN438&lt;&gt;"-",ListAndConversion!AK438,IF(INDIRECT("ListAndConversion!AF"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36" s="556" t="str">
        <f ca="1">IF(C435="","",IF(ListAndConversion!AB438&lt;&gt;"-",ListAndConversion!AE438,IF(ListAndConversion!AN438&lt;&gt;"-",ListAndConversion!AQ438,IF(INDIRECT("ListAndConversion!AF"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37" spans="1:3" x14ac:dyDescent="0.65">
      <c r="A437" s="554" t="str">
        <f ca="1">IF(A436="","",IF(ListAndConversion!AB439&lt;&gt;"-",ListAndConversion!W439,IF(ListAndConversion!AN439&lt;&gt;"-",ListAndConversion!AJ439,IF(INDIRECT("ListAndConversion!AF"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37" s="555" t="str">
        <f ca="1">IF(B436="","",IF(ListAndConversion!AB439&lt;&gt;"-",ListAndConversion!Y439,IF(ListAndConversion!AN439&lt;&gt;"-",ListAndConversion!AK439,IF(INDIRECT("ListAndConversion!AF"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37" s="556" t="str">
        <f ca="1">IF(C436="","",IF(ListAndConversion!AB439&lt;&gt;"-",ListAndConversion!AE439,IF(ListAndConversion!AN439&lt;&gt;"-",ListAndConversion!AQ439,IF(INDIRECT("ListAndConversion!AF"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38" spans="1:3" x14ac:dyDescent="0.65">
      <c r="A438" s="554" t="str">
        <f ca="1">IF(A437="","",IF(ListAndConversion!AB440&lt;&gt;"-",ListAndConversion!W440,IF(ListAndConversion!AN440&lt;&gt;"-",ListAndConversion!AJ440,IF(INDIRECT("ListAndConversion!AF"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38" s="555" t="str">
        <f ca="1">IF(B437="","",IF(ListAndConversion!AB440&lt;&gt;"-",ListAndConversion!Y440,IF(ListAndConversion!AN440&lt;&gt;"-",ListAndConversion!AK440,IF(INDIRECT("ListAndConversion!AF"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38" s="556" t="str">
        <f ca="1">IF(C437="","",IF(ListAndConversion!AB440&lt;&gt;"-",ListAndConversion!AE440,IF(ListAndConversion!AN440&lt;&gt;"-",ListAndConversion!AQ440,IF(INDIRECT("ListAndConversion!AF"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39" spans="1:3" x14ac:dyDescent="0.65">
      <c r="A439" s="554" t="str">
        <f ca="1">IF(A438="","",IF(ListAndConversion!AB441&lt;&gt;"-",ListAndConversion!W441,IF(ListAndConversion!AN441&lt;&gt;"-",ListAndConversion!AJ441,IF(INDIRECT("ListAndConversion!AF"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39" s="555" t="str">
        <f ca="1">IF(B438="","",IF(ListAndConversion!AB441&lt;&gt;"-",ListAndConversion!Y441,IF(ListAndConversion!AN441&lt;&gt;"-",ListAndConversion!AK441,IF(INDIRECT("ListAndConversion!AF"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39" s="556" t="str">
        <f ca="1">IF(C438="","",IF(ListAndConversion!AB441&lt;&gt;"-",ListAndConversion!AE441,IF(ListAndConversion!AN441&lt;&gt;"-",ListAndConversion!AQ441,IF(INDIRECT("ListAndConversion!AF"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40" spans="1:3" x14ac:dyDescent="0.65">
      <c r="A440" s="554" t="str">
        <f ca="1">IF(A439="","",IF(ListAndConversion!AB442&lt;&gt;"-",ListAndConversion!W442,IF(ListAndConversion!AN442&lt;&gt;"-",ListAndConversion!AJ442,IF(INDIRECT("ListAndConversion!AF"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40" s="555" t="str">
        <f ca="1">IF(B439="","",IF(ListAndConversion!AB442&lt;&gt;"-",ListAndConversion!Y442,IF(ListAndConversion!AN442&lt;&gt;"-",ListAndConversion!AK442,IF(INDIRECT("ListAndConversion!AF"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40" s="556" t="str">
        <f ca="1">IF(C439="","",IF(ListAndConversion!AB442&lt;&gt;"-",ListAndConversion!AE442,IF(ListAndConversion!AN442&lt;&gt;"-",ListAndConversion!AQ442,IF(INDIRECT("ListAndConversion!AF"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41" spans="1:3" x14ac:dyDescent="0.65">
      <c r="A441" s="554" t="str">
        <f ca="1">IF(A440="","",IF(ListAndConversion!AB443&lt;&gt;"-",ListAndConversion!W443,IF(ListAndConversion!AN443&lt;&gt;"-",ListAndConversion!AJ443,IF(INDIRECT("ListAndConversion!AF"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41" s="555" t="str">
        <f ca="1">IF(B440="","",IF(ListAndConversion!AB443&lt;&gt;"-",ListAndConversion!Y443,IF(ListAndConversion!AN443&lt;&gt;"-",ListAndConversion!AK443,IF(INDIRECT("ListAndConversion!AF"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41" s="556" t="str">
        <f ca="1">IF(C440="","",IF(ListAndConversion!AB443&lt;&gt;"-",ListAndConversion!AE443,IF(ListAndConversion!AN443&lt;&gt;"-",ListAndConversion!AQ443,IF(INDIRECT("ListAndConversion!AF"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42" spans="1:3" x14ac:dyDescent="0.65">
      <c r="A442" s="554" t="str">
        <f ca="1">IF(A441="","",IF(ListAndConversion!AB444&lt;&gt;"-",ListAndConversion!W444,IF(ListAndConversion!AN444&lt;&gt;"-",ListAndConversion!AJ444,IF(INDIRECT("ListAndConversion!AF"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42" s="555" t="str">
        <f ca="1">IF(B441="","",IF(ListAndConversion!AB444&lt;&gt;"-",ListAndConversion!Y444,IF(ListAndConversion!AN444&lt;&gt;"-",ListAndConversion!AK444,IF(INDIRECT("ListAndConversion!AF"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42" s="556" t="str">
        <f ca="1">IF(C441="","",IF(ListAndConversion!AB444&lt;&gt;"-",ListAndConversion!AE444,IF(ListAndConversion!AN444&lt;&gt;"-",ListAndConversion!AQ444,IF(INDIRECT("ListAndConversion!AF"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43" spans="1:3" x14ac:dyDescent="0.65">
      <c r="A443" s="554" t="str">
        <f ca="1">IF(A442="","",IF(ListAndConversion!AB445&lt;&gt;"-",ListAndConversion!W445,IF(ListAndConversion!AN445&lt;&gt;"-",ListAndConversion!AJ445,IF(INDIRECT("ListAndConversion!AF"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43" s="555" t="str">
        <f ca="1">IF(B442="","",IF(ListAndConversion!AB445&lt;&gt;"-",ListAndConversion!Y445,IF(ListAndConversion!AN445&lt;&gt;"-",ListAndConversion!AK445,IF(INDIRECT("ListAndConversion!AF"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43" s="556" t="str">
        <f ca="1">IF(C442="","",IF(ListAndConversion!AB445&lt;&gt;"-",ListAndConversion!AE445,IF(ListAndConversion!AN445&lt;&gt;"-",ListAndConversion!AQ445,IF(INDIRECT("ListAndConversion!AF"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44" spans="1:3" x14ac:dyDescent="0.65">
      <c r="A444" s="554" t="str">
        <f ca="1">IF(A443="","",IF(ListAndConversion!AB446&lt;&gt;"-",ListAndConversion!W446,IF(ListAndConversion!AN446&lt;&gt;"-",ListAndConversion!AJ446,IF(INDIRECT("ListAndConversion!AF"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44" s="555" t="str">
        <f ca="1">IF(B443="","",IF(ListAndConversion!AB446&lt;&gt;"-",ListAndConversion!Y446,IF(ListAndConversion!AN446&lt;&gt;"-",ListAndConversion!AK446,IF(INDIRECT("ListAndConversion!AF"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44" s="556" t="str">
        <f ca="1">IF(C443="","",IF(ListAndConversion!AB446&lt;&gt;"-",ListAndConversion!AE446,IF(ListAndConversion!AN446&lt;&gt;"-",ListAndConversion!AQ446,IF(INDIRECT("ListAndConversion!AF"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45" spans="1:3" x14ac:dyDescent="0.65">
      <c r="A445" s="554" t="str">
        <f ca="1">IF(A444="","",IF(ListAndConversion!AB447&lt;&gt;"-",ListAndConversion!W447,IF(ListAndConversion!AN447&lt;&gt;"-",ListAndConversion!AJ447,IF(INDIRECT("ListAndConversion!AF"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45" s="555" t="str">
        <f ca="1">IF(B444="","",IF(ListAndConversion!AB447&lt;&gt;"-",ListAndConversion!Y447,IF(ListAndConversion!AN447&lt;&gt;"-",ListAndConversion!AK447,IF(INDIRECT("ListAndConversion!AF"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45" s="556" t="str">
        <f ca="1">IF(C444="","",IF(ListAndConversion!AB447&lt;&gt;"-",ListAndConversion!AE447,IF(ListAndConversion!AN447&lt;&gt;"-",ListAndConversion!AQ447,IF(INDIRECT("ListAndConversion!AF"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46" spans="1:3" x14ac:dyDescent="0.65">
      <c r="A446" s="554" t="str">
        <f ca="1">IF(A445="","",IF(ListAndConversion!AB448&lt;&gt;"-",ListAndConversion!W448,IF(ListAndConversion!AN448&lt;&gt;"-",ListAndConversion!AJ448,IF(INDIRECT("ListAndConversion!AF"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46" s="555" t="str">
        <f ca="1">IF(B445="","",IF(ListAndConversion!AB448&lt;&gt;"-",ListAndConversion!Y448,IF(ListAndConversion!AN448&lt;&gt;"-",ListAndConversion!AK448,IF(INDIRECT("ListAndConversion!AF"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46" s="556" t="str">
        <f ca="1">IF(C445="","",IF(ListAndConversion!AB448&lt;&gt;"-",ListAndConversion!AE448,IF(ListAndConversion!AN448&lt;&gt;"-",ListAndConversion!AQ448,IF(INDIRECT("ListAndConversion!AF"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47" spans="1:3" x14ac:dyDescent="0.65">
      <c r="A447" s="554" t="str">
        <f ca="1">IF(A446="","",IF(ListAndConversion!AB449&lt;&gt;"-",ListAndConversion!W449,IF(ListAndConversion!AN449&lt;&gt;"-",ListAndConversion!AJ449,IF(INDIRECT("ListAndConversion!AF"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47" s="555" t="str">
        <f ca="1">IF(B446="","",IF(ListAndConversion!AB449&lt;&gt;"-",ListAndConversion!Y449,IF(ListAndConversion!AN449&lt;&gt;"-",ListAndConversion!AK449,IF(INDIRECT("ListAndConversion!AF"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47" s="556" t="str">
        <f ca="1">IF(C446="","",IF(ListAndConversion!AB449&lt;&gt;"-",ListAndConversion!AE449,IF(ListAndConversion!AN449&lt;&gt;"-",ListAndConversion!AQ449,IF(INDIRECT("ListAndConversion!AF"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48" spans="1:3" x14ac:dyDescent="0.65">
      <c r="A448" s="554" t="str">
        <f ca="1">IF(A447="","",IF(ListAndConversion!AB450&lt;&gt;"-",ListAndConversion!W450,IF(ListAndConversion!AN450&lt;&gt;"-",ListAndConversion!AJ450,IF(INDIRECT("ListAndConversion!AF"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48" s="555" t="str">
        <f ca="1">IF(B447="","",IF(ListAndConversion!AB450&lt;&gt;"-",ListAndConversion!Y450,IF(ListAndConversion!AN450&lt;&gt;"-",ListAndConversion!AK450,IF(INDIRECT("ListAndConversion!AF"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48" s="556" t="str">
        <f ca="1">IF(C447="","",IF(ListAndConversion!AB450&lt;&gt;"-",ListAndConversion!AE450,IF(ListAndConversion!AN450&lt;&gt;"-",ListAndConversion!AQ450,IF(INDIRECT("ListAndConversion!AF"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49" spans="1:3" x14ac:dyDescent="0.65">
      <c r="A449" s="554" t="str">
        <f ca="1">IF(A448="","",IF(ListAndConversion!AB451&lt;&gt;"-",ListAndConversion!W451,IF(ListAndConversion!AN451&lt;&gt;"-",ListAndConversion!AJ451,IF(INDIRECT("ListAndConversion!AF"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49" s="555" t="str">
        <f ca="1">IF(B448="","",IF(ListAndConversion!AB451&lt;&gt;"-",ListAndConversion!Y451,IF(ListAndConversion!AN451&lt;&gt;"-",ListAndConversion!AK451,IF(INDIRECT("ListAndConversion!AF"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49" s="556" t="str">
        <f ca="1">IF(C448="","",IF(ListAndConversion!AB451&lt;&gt;"-",ListAndConversion!AE451,IF(ListAndConversion!AN451&lt;&gt;"-",ListAndConversion!AQ451,IF(INDIRECT("ListAndConversion!AF"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50" spans="1:3" x14ac:dyDescent="0.65">
      <c r="A450" s="554" t="str">
        <f ca="1">IF(A449="","",IF(ListAndConversion!AB452&lt;&gt;"-",ListAndConversion!W452,IF(ListAndConversion!AN452&lt;&gt;"-",ListAndConversion!AJ452,IF(INDIRECT("ListAndConversion!AF"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50" s="555" t="str">
        <f ca="1">IF(B449="","",IF(ListAndConversion!AB452&lt;&gt;"-",ListAndConversion!Y452,IF(ListAndConversion!AN452&lt;&gt;"-",ListAndConversion!AK452,IF(INDIRECT("ListAndConversion!AF"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50" s="556" t="str">
        <f ca="1">IF(C449="","",IF(ListAndConversion!AB452&lt;&gt;"-",ListAndConversion!AE452,IF(ListAndConversion!AN452&lt;&gt;"-",ListAndConversion!AQ452,IF(INDIRECT("ListAndConversion!AF"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51" spans="1:3" x14ac:dyDescent="0.65">
      <c r="A451" s="554" t="str">
        <f ca="1">IF(A450="","",IF(ListAndConversion!AB453&lt;&gt;"-",ListAndConversion!W453,IF(ListAndConversion!AN453&lt;&gt;"-",ListAndConversion!AJ453,IF(INDIRECT("ListAndConversion!AF"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51" s="555" t="str">
        <f ca="1">IF(B450="","",IF(ListAndConversion!AB453&lt;&gt;"-",ListAndConversion!Y453,IF(ListAndConversion!AN453&lt;&gt;"-",ListAndConversion!AK453,IF(INDIRECT("ListAndConversion!AF"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51" s="556" t="str">
        <f ca="1">IF(C450="","",IF(ListAndConversion!AB453&lt;&gt;"-",ListAndConversion!AE453,IF(ListAndConversion!AN453&lt;&gt;"-",ListAndConversion!AQ453,IF(INDIRECT("ListAndConversion!AF"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52" spans="1:3" x14ac:dyDescent="0.65">
      <c r="A452" s="554" t="str">
        <f ca="1">IF(A451="","",IF(ListAndConversion!AB454&lt;&gt;"-",ListAndConversion!W454,IF(ListAndConversion!AN454&lt;&gt;"-",ListAndConversion!AJ454,IF(INDIRECT("ListAndConversion!AF"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52" s="555" t="str">
        <f ca="1">IF(B451="","",IF(ListAndConversion!AB454&lt;&gt;"-",ListAndConversion!Y454,IF(ListAndConversion!AN454&lt;&gt;"-",ListAndConversion!AK454,IF(INDIRECT("ListAndConversion!AF"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52" s="556" t="str">
        <f ca="1">IF(C451="","",IF(ListAndConversion!AB454&lt;&gt;"-",ListAndConversion!AE454,IF(ListAndConversion!AN454&lt;&gt;"-",ListAndConversion!AQ454,IF(INDIRECT("ListAndConversion!AF"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53" spans="1:3" x14ac:dyDescent="0.65">
      <c r="A453" s="554" t="str">
        <f ca="1">IF(A452="","",IF(ListAndConversion!AB455&lt;&gt;"-",ListAndConversion!W455,IF(ListAndConversion!AN455&lt;&gt;"-",ListAndConversion!AJ455,IF(INDIRECT("ListAndConversion!AF"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53" s="555" t="str">
        <f ca="1">IF(B452="","",IF(ListAndConversion!AB455&lt;&gt;"-",ListAndConversion!Y455,IF(ListAndConversion!AN455&lt;&gt;"-",ListAndConversion!AK455,IF(INDIRECT("ListAndConversion!AF"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53" s="556" t="str">
        <f ca="1">IF(C452="","",IF(ListAndConversion!AB455&lt;&gt;"-",ListAndConversion!AE455,IF(ListAndConversion!AN455&lt;&gt;"-",ListAndConversion!AQ455,IF(INDIRECT("ListAndConversion!AF"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54" spans="1:3" x14ac:dyDescent="0.65">
      <c r="A454" s="554" t="str">
        <f ca="1">IF(A453="","",IF(ListAndConversion!AB456&lt;&gt;"-",ListAndConversion!W456,IF(ListAndConversion!AN456&lt;&gt;"-",ListAndConversion!AJ456,IF(INDIRECT("ListAndConversion!AF"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54" s="555" t="str">
        <f ca="1">IF(B453="","",IF(ListAndConversion!AB456&lt;&gt;"-",ListAndConversion!Y456,IF(ListAndConversion!AN456&lt;&gt;"-",ListAndConversion!AK456,IF(INDIRECT("ListAndConversion!AF"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54" s="556" t="str">
        <f ca="1">IF(C453="","",IF(ListAndConversion!AB456&lt;&gt;"-",ListAndConversion!AE456,IF(ListAndConversion!AN456&lt;&gt;"-",ListAndConversion!AQ456,IF(INDIRECT("ListAndConversion!AF"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55" spans="1:3" x14ac:dyDescent="0.65">
      <c r="A455" s="554" t="str">
        <f ca="1">IF(A454="","",IF(ListAndConversion!AB457&lt;&gt;"-",ListAndConversion!W457,IF(ListAndConversion!AN457&lt;&gt;"-",ListAndConversion!AJ457,IF(INDIRECT("ListAndConversion!AF"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55" s="555" t="str">
        <f ca="1">IF(B454="","",IF(ListAndConversion!AB457&lt;&gt;"-",ListAndConversion!Y457,IF(ListAndConversion!AN457&lt;&gt;"-",ListAndConversion!AK457,IF(INDIRECT("ListAndConversion!AF"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55" s="556" t="str">
        <f ca="1">IF(C454="","",IF(ListAndConversion!AB457&lt;&gt;"-",ListAndConversion!AE457,IF(ListAndConversion!AN457&lt;&gt;"-",ListAndConversion!AQ457,IF(INDIRECT("ListAndConversion!AF"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56" spans="1:3" x14ac:dyDescent="0.65">
      <c r="A456" s="554" t="str">
        <f ca="1">IF(A455="","",IF(ListAndConversion!AB458&lt;&gt;"-",ListAndConversion!W458,IF(ListAndConversion!AN458&lt;&gt;"-",ListAndConversion!AJ458,IF(INDIRECT("ListAndConversion!AF"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56" s="555" t="str">
        <f ca="1">IF(B455="","",IF(ListAndConversion!AB458&lt;&gt;"-",ListAndConversion!Y458,IF(ListAndConversion!AN458&lt;&gt;"-",ListAndConversion!AK458,IF(INDIRECT("ListAndConversion!AF"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56" s="556" t="str">
        <f ca="1">IF(C455="","",IF(ListAndConversion!AB458&lt;&gt;"-",ListAndConversion!AE458,IF(ListAndConversion!AN458&lt;&gt;"-",ListAndConversion!AQ458,IF(INDIRECT("ListAndConversion!AF"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57" spans="1:3" x14ac:dyDescent="0.65">
      <c r="A457" s="554" t="str">
        <f ca="1">IF(A456="","",IF(ListAndConversion!AB459&lt;&gt;"-",ListAndConversion!W459,IF(ListAndConversion!AN459&lt;&gt;"-",ListAndConversion!AJ459,IF(INDIRECT("ListAndConversion!AF"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57" s="555" t="str">
        <f ca="1">IF(B456="","",IF(ListAndConversion!AB459&lt;&gt;"-",ListAndConversion!Y459,IF(ListAndConversion!AN459&lt;&gt;"-",ListAndConversion!AK459,IF(INDIRECT("ListAndConversion!AF"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57" s="556" t="str">
        <f ca="1">IF(C456="","",IF(ListAndConversion!AB459&lt;&gt;"-",ListAndConversion!AE459,IF(ListAndConversion!AN459&lt;&gt;"-",ListAndConversion!AQ459,IF(INDIRECT("ListAndConversion!AF"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58" spans="1:3" x14ac:dyDescent="0.65">
      <c r="A458" s="554" t="str">
        <f ca="1">IF(A457="","",IF(ListAndConversion!AB460&lt;&gt;"-",ListAndConversion!W460,IF(ListAndConversion!AN460&lt;&gt;"-",ListAndConversion!AJ460,IF(INDIRECT("ListAndConversion!AF"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58" s="555" t="str">
        <f ca="1">IF(B457="","",IF(ListAndConversion!AB460&lt;&gt;"-",ListAndConversion!Y460,IF(ListAndConversion!AN460&lt;&gt;"-",ListAndConversion!AK460,IF(INDIRECT("ListAndConversion!AF"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58" s="556" t="str">
        <f ca="1">IF(C457="","",IF(ListAndConversion!AB460&lt;&gt;"-",ListAndConversion!AE460,IF(ListAndConversion!AN460&lt;&gt;"-",ListAndConversion!AQ460,IF(INDIRECT("ListAndConversion!AF"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59" spans="1:3" x14ac:dyDescent="0.65">
      <c r="A459" s="554" t="str">
        <f ca="1">IF(A458="","",IF(ListAndConversion!AB461&lt;&gt;"-",ListAndConversion!W461,IF(ListAndConversion!AN461&lt;&gt;"-",ListAndConversion!AJ461,IF(INDIRECT("ListAndConversion!AF"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59" s="555" t="str">
        <f ca="1">IF(B458="","",IF(ListAndConversion!AB461&lt;&gt;"-",ListAndConversion!Y461,IF(ListAndConversion!AN461&lt;&gt;"-",ListAndConversion!AK461,IF(INDIRECT("ListAndConversion!AF"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59" s="556" t="str">
        <f ca="1">IF(C458="","",IF(ListAndConversion!AB461&lt;&gt;"-",ListAndConversion!AE461,IF(ListAndConversion!AN461&lt;&gt;"-",ListAndConversion!AQ461,IF(INDIRECT("ListAndConversion!AF"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60" spans="1:3" x14ac:dyDescent="0.65">
      <c r="A460" s="554" t="str">
        <f ca="1">IF(A459="","",IF(ListAndConversion!AB462&lt;&gt;"-",ListAndConversion!W462,IF(ListAndConversion!AN462&lt;&gt;"-",ListAndConversion!AJ462,IF(INDIRECT("ListAndConversion!AF"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60" s="555" t="str">
        <f ca="1">IF(B459="","",IF(ListAndConversion!AB462&lt;&gt;"-",ListAndConversion!Y462,IF(ListAndConversion!AN462&lt;&gt;"-",ListAndConversion!AK462,IF(INDIRECT("ListAndConversion!AF"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60" s="556" t="str">
        <f ca="1">IF(C459="","",IF(ListAndConversion!AB462&lt;&gt;"-",ListAndConversion!AE462,IF(ListAndConversion!AN462&lt;&gt;"-",ListAndConversion!AQ462,IF(INDIRECT("ListAndConversion!AF"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61" spans="1:3" x14ac:dyDescent="0.65">
      <c r="A461" s="554" t="str">
        <f ca="1">IF(A460="","",IF(ListAndConversion!AB463&lt;&gt;"-",ListAndConversion!W463,IF(ListAndConversion!AN463&lt;&gt;"-",ListAndConversion!AJ463,IF(INDIRECT("ListAndConversion!AF"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61" s="555" t="str">
        <f ca="1">IF(B460="","",IF(ListAndConversion!AB463&lt;&gt;"-",ListAndConversion!Y463,IF(ListAndConversion!AN463&lt;&gt;"-",ListAndConversion!AK463,IF(INDIRECT("ListAndConversion!AF"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61" s="556" t="str">
        <f ca="1">IF(C460="","",IF(ListAndConversion!AB463&lt;&gt;"-",ListAndConversion!AE463,IF(ListAndConversion!AN463&lt;&gt;"-",ListAndConversion!AQ463,IF(INDIRECT("ListAndConversion!AF"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62" spans="1:3" x14ac:dyDescent="0.65">
      <c r="A462" s="554" t="str">
        <f ca="1">IF(A461="","",IF(ListAndConversion!AB464&lt;&gt;"-",ListAndConversion!W464,IF(ListAndConversion!AN464&lt;&gt;"-",ListAndConversion!AJ464,IF(INDIRECT("ListAndConversion!AF"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62" s="555" t="str">
        <f ca="1">IF(B461="","",IF(ListAndConversion!AB464&lt;&gt;"-",ListAndConversion!Y464,IF(ListAndConversion!AN464&lt;&gt;"-",ListAndConversion!AK464,IF(INDIRECT("ListAndConversion!AF"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62" s="556" t="str">
        <f ca="1">IF(C461="","",IF(ListAndConversion!AB464&lt;&gt;"-",ListAndConversion!AE464,IF(ListAndConversion!AN464&lt;&gt;"-",ListAndConversion!AQ464,IF(INDIRECT("ListAndConversion!AF"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63" spans="1:3" x14ac:dyDescent="0.65">
      <c r="A463" s="554" t="str">
        <f ca="1">IF(A462="","",IF(ListAndConversion!AB465&lt;&gt;"-",ListAndConversion!W465,IF(ListAndConversion!AN465&lt;&gt;"-",ListAndConversion!AJ465,IF(INDIRECT("ListAndConversion!AF"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63" s="555" t="str">
        <f ca="1">IF(B462="","",IF(ListAndConversion!AB465&lt;&gt;"-",ListAndConversion!Y465,IF(ListAndConversion!AN465&lt;&gt;"-",ListAndConversion!AK465,IF(INDIRECT("ListAndConversion!AF"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63" s="556" t="str">
        <f ca="1">IF(C462="","",IF(ListAndConversion!AB465&lt;&gt;"-",ListAndConversion!AE465,IF(ListAndConversion!AN465&lt;&gt;"-",ListAndConversion!AQ465,IF(INDIRECT("ListAndConversion!AF"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64" spans="1:3" x14ac:dyDescent="0.65">
      <c r="A464" s="554" t="str">
        <f ca="1">IF(A463="","",IF(ListAndConversion!AB466&lt;&gt;"-",ListAndConversion!W466,IF(ListAndConversion!AN466&lt;&gt;"-",ListAndConversion!AJ466,IF(INDIRECT("ListAndConversion!AF"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64" s="555" t="str">
        <f ca="1">IF(B463="","",IF(ListAndConversion!AB466&lt;&gt;"-",ListAndConversion!Y466,IF(ListAndConversion!AN466&lt;&gt;"-",ListAndConversion!AK466,IF(INDIRECT("ListAndConversion!AF"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64" s="556" t="str">
        <f ca="1">IF(C463="","",IF(ListAndConversion!AB466&lt;&gt;"-",ListAndConversion!AE466,IF(ListAndConversion!AN466&lt;&gt;"-",ListAndConversion!AQ466,IF(INDIRECT("ListAndConversion!AF"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65" spans="1:3" x14ac:dyDescent="0.65">
      <c r="A465" s="554" t="str">
        <f ca="1">IF(A464="","",IF(ListAndConversion!AB467&lt;&gt;"-",ListAndConversion!W467,IF(ListAndConversion!AN467&lt;&gt;"-",ListAndConversion!AJ467,IF(INDIRECT("ListAndConversion!AF"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65" s="555" t="str">
        <f ca="1">IF(B464="","",IF(ListAndConversion!AB467&lt;&gt;"-",ListAndConversion!Y467,IF(ListAndConversion!AN467&lt;&gt;"-",ListAndConversion!AK467,IF(INDIRECT("ListAndConversion!AF"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65" s="556" t="str">
        <f ca="1">IF(C464="","",IF(ListAndConversion!AB467&lt;&gt;"-",ListAndConversion!AE467,IF(ListAndConversion!AN467&lt;&gt;"-",ListAndConversion!AQ467,IF(INDIRECT("ListAndConversion!AF"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66" spans="1:3" x14ac:dyDescent="0.65">
      <c r="A466" s="554" t="str">
        <f ca="1">IF(A465="","",IF(ListAndConversion!AB468&lt;&gt;"-",ListAndConversion!W468,IF(ListAndConversion!AN468&lt;&gt;"-",ListAndConversion!AJ468,IF(INDIRECT("ListAndConversion!AF"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66" s="555" t="str">
        <f ca="1">IF(B465="","",IF(ListAndConversion!AB468&lt;&gt;"-",ListAndConversion!Y468,IF(ListAndConversion!AN468&lt;&gt;"-",ListAndConversion!AK468,IF(INDIRECT("ListAndConversion!AF"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66" s="556" t="str">
        <f ca="1">IF(C465="","",IF(ListAndConversion!AB468&lt;&gt;"-",ListAndConversion!AE468,IF(ListAndConversion!AN468&lt;&gt;"-",ListAndConversion!AQ468,IF(INDIRECT("ListAndConversion!AF"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67" spans="1:3" x14ac:dyDescent="0.65">
      <c r="A467" s="554" t="str">
        <f ca="1">IF(A466="","",IF(ListAndConversion!AB469&lt;&gt;"-",ListAndConversion!W469,IF(ListAndConversion!AN469&lt;&gt;"-",ListAndConversion!AJ469,IF(INDIRECT("ListAndConversion!AF"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67" s="555" t="str">
        <f ca="1">IF(B466="","",IF(ListAndConversion!AB469&lt;&gt;"-",ListAndConversion!Y469,IF(ListAndConversion!AN469&lt;&gt;"-",ListAndConversion!AK469,IF(INDIRECT("ListAndConversion!AF"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67" s="556" t="str">
        <f ca="1">IF(C466="","",IF(ListAndConversion!AB469&lt;&gt;"-",ListAndConversion!AE469,IF(ListAndConversion!AN469&lt;&gt;"-",ListAndConversion!AQ469,IF(INDIRECT("ListAndConversion!AF"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68" spans="1:3" x14ac:dyDescent="0.65">
      <c r="A468" s="554" t="str">
        <f ca="1">IF(A467="","",IF(ListAndConversion!AB470&lt;&gt;"-",ListAndConversion!W470,IF(ListAndConversion!AN470&lt;&gt;"-",ListAndConversion!AJ470,IF(INDIRECT("ListAndConversion!AF"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68" s="555" t="str">
        <f ca="1">IF(B467="","",IF(ListAndConversion!AB470&lt;&gt;"-",ListAndConversion!Y470,IF(ListAndConversion!AN470&lt;&gt;"-",ListAndConversion!AK470,IF(INDIRECT("ListAndConversion!AF"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68" s="556" t="str">
        <f ca="1">IF(C467="","",IF(ListAndConversion!AB470&lt;&gt;"-",ListAndConversion!AE470,IF(ListAndConversion!AN470&lt;&gt;"-",ListAndConversion!AQ470,IF(INDIRECT("ListAndConversion!AF"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69" spans="1:3" x14ac:dyDescent="0.65">
      <c r="A469" s="554" t="str">
        <f ca="1">IF(A468="","",IF(ListAndConversion!AB471&lt;&gt;"-",ListAndConversion!W471,IF(ListAndConversion!AN471&lt;&gt;"-",ListAndConversion!AJ471,IF(INDIRECT("ListAndConversion!AF"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69" s="555" t="str">
        <f ca="1">IF(B468="","",IF(ListAndConversion!AB471&lt;&gt;"-",ListAndConversion!Y471,IF(ListAndConversion!AN471&lt;&gt;"-",ListAndConversion!AK471,IF(INDIRECT("ListAndConversion!AF"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69" s="556" t="str">
        <f ca="1">IF(C468="","",IF(ListAndConversion!AB471&lt;&gt;"-",ListAndConversion!AE471,IF(ListAndConversion!AN471&lt;&gt;"-",ListAndConversion!AQ471,IF(INDIRECT("ListAndConversion!AF"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70" spans="1:3" x14ac:dyDescent="0.65">
      <c r="A470" s="554" t="str">
        <f ca="1">IF(A469="","",IF(ListAndConversion!AB472&lt;&gt;"-",ListAndConversion!W472,IF(ListAndConversion!AN472&lt;&gt;"-",ListAndConversion!AJ472,IF(INDIRECT("ListAndConversion!AF"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70" s="555" t="str">
        <f ca="1">IF(B469="","",IF(ListAndConversion!AB472&lt;&gt;"-",ListAndConversion!Y472,IF(ListAndConversion!AN472&lt;&gt;"-",ListAndConversion!AK472,IF(INDIRECT("ListAndConversion!AF"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70" s="556" t="str">
        <f ca="1">IF(C469="","",IF(ListAndConversion!AB472&lt;&gt;"-",ListAndConversion!AE472,IF(ListAndConversion!AN472&lt;&gt;"-",ListAndConversion!AQ472,IF(INDIRECT("ListAndConversion!AF"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71" spans="1:3" x14ac:dyDescent="0.65">
      <c r="A471" s="554" t="str">
        <f ca="1">IF(A470="","",IF(ListAndConversion!AB473&lt;&gt;"-",ListAndConversion!W473,IF(ListAndConversion!AN473&lt;&gt;"-",ListAndConversion!AJ473,IF(INDIRECT("ListAndConversion!AF"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71" s="555" t="str">
        <f ca="1">IF(B470="","",IF(ListAndConversion!AB473&lt;&gt;"-",ListAndConversion!Y473,IF(ListAndConversion!AN473&lt;&gt;"-",ListAndConversion!AK473,IF(INDIRECT("ListAndConversion!AF"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71" s="556" t="str">
        <f ca="1">IF(C470="","",IF(ListAndConversion!AB473&lt;&gt;"-",ListAndConversion!AE473,IF(ListAndConversion!AN473&lt;&gt;"-",ListAndConversion!AQ473,IF(INDIRECT("ListAndConversion!AF"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72" spans="1:3" x14ac:dyDescent="0.65">
      <c r="A472" s="554" t="str">
        <f ca="1">IF(A471="","",IF(ListAndConversion!AB474&lt;&gt;"-",ListAndConversion!W474,IF(ListAndConversion!AN474&lt;&gt;"-",ListAndConversion!AJ474,IF(INDIRECT("ListAndConversion!AF"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72" s="555" t="str">
        <f ca="1">IF(B471="","",IF(ListAndConversion!AB474&lt;&gt;"-",ListAndConversion!Y474,IF(ListAndConversion!AN474&lt;&gt;"-",ListAndConversion!AK474,IF(INDIRECT("ListAndConversion!AF"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72" s="556" t="str">
        <f ca="1">IF(C471="","",IF(ListAndConversion!AB474&lt;&gt;"-",ListAndConversion!AE474,IF(ListAndConversion!AN474&lt;&gt;"-",ListAndConversion!AQ474,IF(INDIRECT("ListAndConversion!AF"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73" spans="1:3" x14ac:dyDescent="0.65">
      <c r="A473" s="554" t="str">
        <f ca="1">IF(A472="","",IF(ListAndConversion!AB475&lt;&gt;"-",ListAndConversion!W475,IF(ListAndConversion!AN475&lt;&gt;"-",ListAndConversion!AJ475,IF(INDIRECT("ListAndConversion!AF"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73" s="555" t="str">
        <f ca="1">IF(B472="","",IF(ListAndConversion!AB475&lt;&gt;"-",ListAndConversion!Y475,IF(ListAndConversion!AN475&lt;&gt;"-",ListAndConversion!AK475,IF(INDIRECT("ListAndConversion!AF"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73" s="556" t="str">
        <f ca="1">IF(C472="","",IF(ListAndConversion!AB475&lt;&gt;"-",ListAndConversion!AE475,IF(ListAndConversion!AN475&lt;&gt;"-",ListAndConversion!AQ475,IF(INDIRECT("ListAndConversion!AF"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74" spans="1:3" x14ac:dyDescent="0.65">
      <c r="A474" s="554" t="str">
        <f ca="1">IF(A473="","",IF(ListAndConversion!AB476&lt;&gt;"-",ListAndConversion!W476,IF(ListAndConversion!AN476&lt;&gt;"-",ListAndConversion!AJ476,IF(INDIRECT("ListAndConversion!AF"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74" s="555" t="str">
        <f ca="1">IF(B473="","",IF(ListAndConversion!AB476&lt;&gt;"-",ListAndConversion!Y476,IF(ListAndConversion!AN476&lt;&gt;"-",ListAndConversion!AK476,IF(INDIRECT("ListAndConversion!AF"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74" s="556" t="str">
        <f ca="1">IF(C473="","",IF(ListAndConversion!AB476&lt;&gt;"-",ListAndConversion!AE476,IF(ListAndConversion!AN476&lt;&gt;"-",ListAndConversion!AQ476,IF(INDIRECT("ListAndConversion!AF"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75" spans="1:3" x14ac:dyDescent="0.65">
      <c r="A475" s="554" t="str">
        <f ca="1">IF(A474="","",IF(ListAndConversion!AB477&lt;&gt;"-",ListAndConversion!W477,IF(ListAndConversion!AN477&lt;&gt;"-",ListAndConversion!AJ477,IF(INDIRECT("ListAndConversion!AF"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75" s="555" t="str">
        <f ca="1">IF(B474="","",IF(ListAndConversion!AB477&lt;&gt;"-",ListAndConversion!Y477,IF(ListAndConversion!AN477&lt;&gt;"-",ListAndConversion!AK477,IF(INDIRECT("ListAndConversion!AF"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75" s="556" t="str">
        <f ca="1">IF(C474="","",IF(ListAndConversion!AB477&lt;&gt;"-",ListAndConversion!AE477,IF(ListAndConversion!AN477&lt;&gt;"-",ListAndConversion!AQ477,IF(INDIRECT("ListAndConversion!AF"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76" spans="1:3" x14ac:dyDescent="0.65">
      <c r="A476" s="554" t="str">
        <f ca="1">IF(A475="","",IF(ListAndConversion!AB478&lt;&gt;"-",ListAndConversion!W478,IF(ListAndConversion!AN478&lt;&gt;"-",ListAndConversion!AJ478,IF(INDIRECT("ListAndConversion!AF"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76" s="555" t="str">
        <f ca="1">IF(B475="","",IF(ListAndConversion!AB478&lt;&gt;"-",ListAndConversion!Y478,IF(ListAndConversion!AN478&lt;&gt;"-",ListAndConversion!AK478,IF(INDIRECT("ListAndConversion!AF"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76" s="556" t="str">
        <f ca="1">IF(C475="","",IF(ListAndConversion!AB478&lt;&gt;"-",ListAndConversion!AE478,IF(ListAndConversion!AN478&lt;&gt;"-",ListAndConversion!AQ478,IF(INDIRECT("ListAndConversion!AF"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77" spans="1:3" x14ac:dyDescent="0.65">
      <c r="A477" s="554" t="str">
        <f ca="1">IF(A476="","",IF(ListAndConversion!AB479&lt;&gt;"-",ListAndConversion!W479,IF(ListAndConversion!AN479&lt;&gt;"-",ListAndConversion!AJ479,IF(INDIRECT("ListAndConversion!AF"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77" s="555" t="str">
        <f ca="1">IF(B476="","",IF(ListAndConversion!AB479&lt;&gt;"-",ListAndConversion!Y479,IF(ListAndConversion!AN479&lt;&gt;"-",ListAndConversion!AK479,IF(INDIRECT("ListAndConversion!AF"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77" s="556" t="str">
        <f ca="1">IF(C476="","",IF(ListAndConversion!AB479&lt;&gt;"-",ListAndConversion!AE479,IF(ListAndConversion!AN479&lt;&gt;"-",ListAndConversion!AQ479,IF(INDIRECT("ListAndConversion!AF"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78" spans="1:3" x14ac:dyDescent="0.65">
      <c r="A478" s="554" t="str">
        <f ca="1">IF(A477="","",IF(ListAndConversion!AB480&lt;&gt;"-",ListAndConversion!W480,IF(ListAndConversion!AN480&lt;&gt;"-",ListAndConversion!AJ480,IF(INDIRECT("ListAndConversion!AF"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78" s="555" t="str">
        <f ca="1">IF(B477="","",IF(ListAndConversion!AB480&lt;&gt;"-",ListAndConversion!Y480,IF(ListAndConversion!AN480&lt;&gt;"-",ListAndConversion!AK480,IF(INDIRECT("ListAndConversion!AF"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78" s="556" t="str">
        <f ca="1">IF(C477="","",IF(ListAndConversion!AB480&lt;&gt;"-",ListAndConversion!AE480,IF(ListAndConversion!AN480&lt;&gt;"-",ListAndConversion!AQ480,IF(INDIRECT("ListAndConversion!AF"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79" spans="1:3" x14ac:dyDescent="0.65">
      <c r="A479" s="554" t="str">
        <f ca="1">IF(A478="","",IF(ListAndConversion!AB481&lt;&gt;"-",ListAndConversion!W481,IF(ListAndConversion!AN481&lt;&gt;"-",ListAndConversion!AJ481,IF(INDIRECT("ListAndConversion!AF"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79" s="555" t="str">
        <f ca="1">IF(B478="","",IF(ListAndConversion!AB481&lt;&gt;"-",ListAndConversion!Y481,IF(ListAndConversion!AN481&lt;&gt;"-",ListAndConversion!AK481,IF(INDIRECT("ListAndConversion!AF"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79" s="556" t="str">
        <f ca="1">IF(C478="","",IF(ListAndConversion!AB481&lt;&gt;"-",ListAndConversion!AE481,IF(ListAndConversion!AN481&lt;&gt;"-",ListAndConversion!AQ481,IF(INDIRECT("ListAndConversion!AF"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80" spans="1:3" x14ac:dyDescent="0.65">
      <c r="A480" s="554" t="str">
        <f ca="1">IF(A479="","",IF(ListAndConversion!AB482&lt;&gt;"-",ListAndConversion!W482,IF(ListAndConversion!AN482&lt;&gt;"-",ListAndConversion!AJ482,IF(INDIRECT("ListAndConversion!AF"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80" s="555" t="str">
        <f ca="1">IF(B479="","",IF(ListAndConversion!AB482&lt;&gt;"-",ListAndConversion!Y482,IF(ListAndConversion!AN482&lt;&gt;"-",ListAndConversion!AK482,IF(INDIRECT("ListAndConversion!AF"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80" s="556" t="str">
        <f ca="1">IF(C479="","",IF(ListAndConversion!AB482&lt;&gt;"-",ListAndConversion!AE482,IF(ListAndConversion!AN482&lt;&gt;"-",ListAndConversion!AQ482,IF(INDIRECT("ListAndConversion!AF"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  <row r="481" spans="1:3" x14ac:dyDescent="0.65">
      <c r="A481" s="558" t="str">
        <f ca="1">IF(A480="","",IF(ListAndConversion!AB483&lt;&gt;"-",ListAndConversion!W483,IF(ListAndConversion!AN483&lt;&gt;"-",ListAndConversion!AJ483,IF(INDIRECT("ListAndConversion!AF" &amp; (ROW()-SUM(ListAndConversion!$AN$2,ListAndConversion!$AB$2)+2))&lt;&gt;"-",INDIRECT("ListAndConversion!AJ" &amp; (ROW()-SUM(ListAndConversion!$AN$2,ListAndConversion!$AB$2)+2)),IF(INDIRECT("ListAndConversion!BW" &amp; (ROW()-SUM(ListAndConversion!$AN$2,ListAndConversion!$AB$2,ListAndConversion!$AB$2)+2))&lt;&gt;"-",INDIRECT("ListAndConversion!CF" &amp; (ROW()-SUM(ListAndConversion!$AN$2,ListAndConversion!$AB$2,ListAndConversion!$AB$2)+2)),"")))))</f>
        <v/>
      </c>
      <c r="B481" s="559" t="str">
        <f ca="1">IF(B480="","",IF(ListAndConversion!AB483&lt;&gt;"-",ListAndConversion!Y483,IF(ListAndConversion!AN483&lt;&gt;"-",ListAndConversion!AK483,IF(INDIRECT("ListAndConversion!AF" &amp; (ROW()-SUM(ListAndConversion!$AN$2,ListAndConversion!$AB$2)+2))&lt;&gt;"-",INDIRECT("ListAndConversion!AI" &amp; (ROW()-SUM(ListAndConversion!$AN$2,ListAndConversion!$AB$2)+2)),IF(INDIRECT("ListAndConversion!BW" &amp; (ROW()-SUM(ListAndConversion!$AN$2,ListAndConversion!$AB$2,ListAndConversion!$AB$2)+2))&lt;&gt;"-",INDIRECT("ListAndConversion!CG" &amp; (ROW()-SUM(ListAndConversion!$AN$2,ListAndConversion!$AB$2,ListAndConversion!$AB$2)+2)),"")))))</f>
        <v/>
      </c>
      <c r="C481" s="560" t="str">
        <f ca="1">IF(C480="","",IF(ListAndConversion!AB483&lt;&gt;"-",ListAndConversion!AE483,IF(ListAndConversion!AN483&lt;&gt;"-",ListAndConversion!AQ483,IF(INDIRECT("ListAndConversion!AF" &amp; (ROW()-SUM(ListAndConversion!$AN$2,ListAndConversion!$AB$2)+2))&lt;&gt;"-",INDIRECT("ListAndConversion!AG" &amp; (ROW()-SUM(ListAndConversion!$AN$2,ListAndConversion!$AB$2)+2)),IF(INDIRECT("ListAndConversion!BW" &amp; (ROW()-SUM(ListAndConversion!$AN$2,ListAndConversion!$AB$2,ListAndConversion!$AB$2)+2))&lt;&gt;"-",INDIRECT("ListAndConversion!CA" &amp; (ROW()-SUM(ListAndConversion!$AN$2,ListAndConversion!$AB$2,ListAndConversion!$AB$2)+2)),"")))))</f>
        <v/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97"/>
  <sheetViews>
    <sheetView zoomScaleNormal="100" workbookViewId="0"/>
  </sheetViews>
  <sheetFormatPr defaultRowHeight="14.25" x14ac:dyDescent="0.65"/>
  <cols>
    <col min="1" max="1" width="12.6796875" style="547"/>
    <col min="2" max="2" width="8.6328125" style="547"/>
    <col min="3" max="3" width="7.54296875" style="547"/>
    <col min="4" max="4" width="20.6328125" style="547"/>
    <col min="5" max="5" width="19.54296875" style="547"/>
    <col min="6" max="6" width="19.953125" style="547"/>
    <col min="7" max="7" width="15.90625" style="547"/>
    <col min="8" max="8" width="14.58984375" style="547"/>
    <col min="9" max="9" width="12.81640625" style="547"/>
    <col min="10" max="1025" width="19.1796875" style="547"/>
  </cols>
  <sheetData>
    <row r="1" spans="1:1024" x14ac:dyDescent="0.65">
      <c r="A1" s="561" t="s">
        <v>483</v>
      </c>
      <c r="B1" s="562" t="s">
        <v>484</v>
      </c>
      <c r="C1" s="562" t="s">
        <v>485</v>
      </c>
      <c r="D1" s="562" t="s">
        <v>486</v>
      </c>
      <c r="E1" s="562" t="s">
        <v>487</v>
      </c>
      <c r="F1" s="562" t="s">
        <v>488</v>
      </c>
      <c r="G1" s="562" t="s">
        <v>489</v>
      </c>
      <c r="H1" s="562" t="s">
        <v>490</v>
      </c>
      <c r="I1" s="563" t="s">
        <v>491</v>
      </c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s="546" customFormat="1" x14ac:dyDescent="0.65">
      <c r="A2" s="564" t="str">
        <f ca="1">IF(ListAndConversion!AA4&lt;&gt;"-",ListAndConversion!AA4,"")</f>
        <v/>
      </c>
      <c r="B2" s="555" t="str">
        <f ca="1">IF(ListAndConversion!AB4&lt;&gt;"-",ListAndConversion!AB4,"")</f>
        <v/>
      </c>
      <c r="C2" s="555" t="str">
        <f ca="1">IF(ListAndConversion!AC4&lt;&gt;"-",ListAndConversion!AC4,"")</f>
        <v/>
      </c>
      <c r="D2" s="555" t="str">
        <f ca="1">IF(ListAndConversion!AB4&lt;&gt;"-",ListAndConversion!W4,"")</f>
        <v/>
      </c>
      <c r="E2" s="555" t="str">
        <f ca="1">IF(ListAndConversion!AB4&lt;&gt;"-",ListAndConversion!Y4,"")</f>
        <v/>
      </c>
      <c r="F2" s="565" t="str">
        <f ca="1">IF(ListAndConversion!AD4&lt;&gt;"-",ListAndConversion!AD4,"")</f>
        <v/>
      </c>
      <c r="G2" s="555" t="str">
        <f ca="1">IF(ListAndConversion!AB4&lt;&gt;"-",ListAndConversion!AJ4,"")</f>
        <v/>
      </c>
      <c r="H2" s="555" t="str">
        <f ca="1">IF(ListAndConversion!AB4&lt;&gt;"-",ListAndConversion!AK4,"")</f>
        <v/>
      </c>
      <c r="I2" s="566" t="str">
        <f ca="1">IF(ListAndConversion!AB4&lt;&gt;"-",ListAndConversion!AF4,"")</f>
        <v/>
      </c>
    </row>
    <row r="3" spans="1:1024" x14ac:dyDescent="0.65">
      <c r="A3" s="564" t="str">
        <f ca="1">IF(ListAndConversion!AA5&lt;&gt;"-",ListAndConversion!AA5,"")</f>
        <v/>
      </c>
      <c r="B3" s="555" t="str">
        <f ca="1">IF(ListAndConversion!AB5&lt;&gt;"-",ListAndConversion!AB5,"")</f>
        <v/>
      </c>
      <c r="C3" s="555" t="str">
        <f ca="1">IF(ListAndConversion!AC5&lt;&gt;"-",ListAndConversion!AC5,"")</f>
        <v/>
      </c>
      <c r="D3" s="555" t="str">
        <f ca="1">IF(ListAndConversion!AB5&lt;&gt;"-",ListAndConversion!W5,"")</f>
        <v/>
      </c>
      <c r="E3" s="555" t="str">
        <f ca="1">IF(ListAndConversion!AB5&lt;&gt;"-",ListAndConversion!Y5,"")</f>
        <v/>
      </c>
      <c r="F3" s="565" t="str">
        <f ca="1">IF(ListAndConversion!AD5&lt;&gt;"-",ListAndConversion!AD5,"")</f>
        <v/>
      </c>
      <c r="G3" s="555" t="str">
        <f ca="1">IF(ListAndConversion!AB5&lt;&gt;"-",ListAndConversion!AJ5,"")</f>
        <v/>
      </c>
      <c r="H3" s="555" t="str">
        <f ca="1">IF(ListAndConversion!AB5&lt;&gt;"-",ListAndConversion!AK5,"")</f>
        <v/>
      </c>
      <c r="I3" s="566" t="str">
        <f ca="1">IF(ListAndConversion!AB5&lt;&gt;"-",ListAndConversion!AF5,"")</f>
        <v/>
      </c>
    </row>
    <row r="4" spans="1:1024" x14ac:dyDescent="0.65">
      <c r="A4" s="564" t="str">
        <f ca="1">IF(ListAndConversion!AA6&lt;&gt;"-",ListAndConversion!AA6,"")</f>
        <v/>
      </c>
      <c r="B4" s="555" t="str">
        <f ca="1">IF(ListAndConversion!AB6&lt;&gt;"-",ListAndConversion!AB6,"")</f>
        <v/>
      </c>
      <c r="C4" s="555" t="str">
        <f ca="1">IF(ListAndConversion!AC6&lt;&gt;"-",ListAndConversion!AC6,"")</f>
        <v/>
      </c>
      <c r="D4" s="555" t="str">
        <f ca="1">IF(ListAndConversion!AB6&lt;&gt;"-",ListAndConversion!W6,"")</f>
        <v/>
      </c>
      <c r="E4" s="555" t="str">
        <f ca="1">IF(ListAndConversion!AB6&lt;&gt;"-",ListAndConversion!Y6,"")</f>
        <v/>
      </c>
      <c r="F4" s="565" t="str">
        <f ca="1">IF(ListAndConversion!AD6&lt;&gt;"-",ListAndConversion!AD6,"")</f>
        <v/>
      </c>
      <c r="G4" s="555" t="str">
        <f ca="1">IF(ListAndConversion!AB6&lt;&gt;"-",ListAndConversion!AJ6,"")</f>
        <v/>
      </c>
      <c r="H4" s="555" t="str">
        <f ca="1">IF(ListAndConversion!AB6&lt;&gt;"-",ListAndConversion!AK6,"")</f>
        <v/>
      </c>
      <c r="I4" s="566" t="str">
        <f ca="1">IF(ListAndConversion!AB6&lt;&gt;"-",ListAndConversion!AF6,"")</f>
        <v/>
      </c>
    </row>
    <row r="5" spans="1:1024" x14ac:dyDescent="0.65">
      <c r="A5" s="564" t="str">
        <f ca="1">IF(ListAndConversion!AA7&lt;&gt;"-",ListAndConversion!AA7,"")</f>
        <v/>
      </c>
      <c r="B5" s="555" t="str">
        <f ca="1">IF(ListAndConversion!AB7&lt;&gt;"-",ListAndConversion!AB7,"")</f>
        <v/>
      </c>
      <c r="C5" s="555" t="str">
        <f ca="1">IF(ListAndConversion!AC7&lt;&gt;"-",ListAndConversion!AC7,"")</f>
        <v/>
      </c>
      <c r="D5" s="555" t="str">
        <f ca="1">IF(ListAndConversion!AB7&lt;&gt;"-",ListAndConversion!W7,"")</f>
        <v/>
      </c>
      <c r="E5" s="555" t="str">
        <f ca="1">IF(ListAndConversion!AB7&lt;&gt;"-",ListAndConversion!Y7,"")</f>
        <v/>
      </c>
      <c r="F5" s="565" t="str">
        <f ca="1">IF(ListAndConversion!AD7&lt;&gt;"-",ListAndConversion!AD7,"")</f>
        <v/>
      </c>
      <c r="G5" s="555" t="str">
        <f ca="1">IF(ListAndConversion!AB7&lt;&gt;"-",ListAndConversion!AJ7,"")</f>
        <v/>
      </c>
      <c r="H5" s="555" t="str">
        <f ca="1">IF(ListAndConversion!AB7&lt;&gt;"-",ListAndConversion!AK7,"")</f>
        <v/>
      </c>
      <c r="I5" s="566" t="str">
        <f ca="1">IF(ListAndConversion!AB7&lt;&gt;"-",ListAndConversion!AF7,"")</f>
        <v/>
      </c>
    </row>
    <row r="6" spans="1:1024" x14ac:dyDescent="0.65">
      <c r="A6" s="564" t="str">
        <f ca="1">IF(ListAndConversion!AA8&lt;&gt;"-",ListAndConversion!AA8,"")</f>
        <v/>
      </c>
      <c r="B6" s="555" t="str">
        <f ca="1">IF(ListAndConversion!AB8&lt;&gt;"-",ListAndConversion!AB8,"")</f>
        <v/>
      </c>
      <c r="C6" s="555" t="str">
        <f ca="1">IF(ListAndConversion!AC8&lt;&gt;"-",ListAndConversion!AC8,"")</f>
        <v/>
      </c>
      <c r="D6" s="555" t="str">
        <f ca="1">IF(ListAndConversion!AB8&lt;&gt;"-",ListAndConversion!W8,"")</f>
        <v/>
      </c>
      <c r="E6" s="555" t="str">
        <f ca="1">IF(ListAndConversion!AB8&lt;&gt;"-",ListAndConversion!Y8,"")</f>
        <v/>
      </c>
      <c r="F6" s="565" t="str">
        <f ca="1">IF(ListAndConversion!AD8&lt;&gt;"-",ListAndConversion!AD8,"")</f>
        <v/>
      </c>
      <c r="G6" s="555" t="str">
        <f ca="1">IF(ListAndConversion!AB8&lt;&gt;"-",ListAndConversion!AJ8,"")</f>
        <v/>
      </c>
      <c r="H6" s="555" t="str">
        <f ca="1">IF(ListAndConversion!AB8&lt;&gt;"-",ListAndConversion!AK8,"")</f>
        <v/>
      </c>
      <c r="I6" s="566" t="str">
        <f ca="1">IF(ListAndConversion!AB8&lt;&gt;"-",ListAndConversion!AF8,"")</f>
        <v/>
      </c>
    </row>
    <row r="7" spans="1:1024" x14ac:dyDescent="0.65">
      <c r="A7" s="564" t="str">
        <f ca="1">IF(ListAndConversion!AA9&lt;&gt;"-",ListAndConversion!AA9,"")</f>
        <v/>
      </c>
      <c r="B7" s="555" t="str">
        <f ca="1">IF(ListAndConversion!AB9&lt;&gt;"-",ListAndConversion!AB9,"")</f>
        <v/>
      </c>
      <c r="C7" s="555" t="str">
        <f ca="1">IF(ListAndConversion!AC9&lt;&gt;"-",ListAndConversion!AC9,"")</f>
        <v/>
      </c>
      <c r="D7" s="555" t="str">
        <f ca="1">IF(ListAndConversion!AB9&lt;&gt;"-",ListAndConversion!W9,"")</f>
        <v/>
      </c>
      <c r="E7" s="555" t="str">
        <f ca="1">IF(ListAndConversion!AB9&lt;&gt;"-",ListAndConversion!Y9,"")</f>
        <v/>
      </c>
      <c r="F7" s="565" t="str">
        <f ca="1">IF(ListAndConversion!AD9&lt;&gt;"-",ListAndConversion!AD9,"")</f>
        <v/>
      </c>
      <c r="G7" s="555" t="str">
        <f ca="1">IF(ListAndConversion!AB9&lt;&gt;"-",ListAndConversion!AJ9,"")</f>
        <v/>
      </c>
      <c r="H7" s="555" t="str">
        <f ca="1">IF(ListAndConversion!AB9&lt;&gt;"-",ListAndConversion!AK9,"")</f>
        <v/>
      </c>
      <c r="I7" s="566" t="str">
        <f ca="1">IF(ListAndConversion!AB9&lt;&gt;"-",ListAndConversion!AF9,"")</f>
        <v/>
      </c>
    </row>
    <row r="8" spans="1:1024" x14ac:dyDescent="0.65">
      <c r="A8" s="564" t="str">
        <f ca="1">IF(ListAndConversion!AA10&lt;&gt;"-",ListAndConversion!AA10,"")</f>
        <v/>
      </c>
      <c r="B8" s="555" t="str">
        <f ca="1">IF(ListAndConversion!AB10&lt;&gt;"-",ListAndConversion!AB10,"")</f>
        <v/>
      </c>
      <c r="C8" s="555" t="str">
        <f ca="1">IF(ListAndConversion!AC10&lt;&gt;"-",ListAndConversion!AC10,"")</f>
        <v/>
      </c>
      <c r="D8" s="555" t="str">
        <f ca="1">IF(ListAndConversion!AB10&lt;&gt;"-",ListAndConversion!W10,"")</f>
        <v/>
      </c>
      <c r="E8" s="555" t="str">
        <f ca="1">IF(ListAndConversion!AB10&lt;&gt;"-",ListAndConversion!Y10,"")</f>
        <v/>
      </c>
      <c r="F8" s="565" t="str">
        <f ca="1">IF(ListAndConversion!AD10&lt;&gt;"-",ListAndConversion!AD10,"")</f>
        <v/>
      </c>
      <c r="G8" s="555" t="str">
        <f ca="1">IF(ListAndConversion!AB10&lt;&gt;"-",ListAndConversion!AJ10,"")</f>
        <v/>
      </c>
      <c r="H8" s="555" t="str">
        <f ca="1">IF(ListAndConversion!AB10&lt;&gt;"-",ListAndConversion!AK10,"")</f>
        <v/>
      </c>
      <c r="I8" s="566" t="str">
        <f ca="1">IF(ListAndConversion!AB10&lt;&gt;"-",ListAndConversion!AF10,"")</f>
        <v/>
      </c>
    </row>
    <row r="9" spans="1:1024" x14ac:dyDescent="0.65">
      <c r="A9" s="564" t="str">
        <f ca="1">IF(ListAndConversion!AA11&lt;&gt;"-",ListAndConversion!AA11,"")</f>
        <v/>
      </c>
      <c r="B9" s="555" t="str">
        <f ca="1">IF(ListAndConversion!AB11&lt;&gt;"-",ListAndConversion!AB11,"")</f>
        <v/>
      </c>
      <c r="C9" s="555" t="str">
        <f ca="1">IF(ListAndConversion!AC11&lt;&gt;"-",ListAndConversion!AC11,"")</f>
        <v/>
      </c>
      <c r="D9" s="555" t="str">
        <f ca="1">IF(ListAndConversion!AB11&lt;&gt;"-",ListAndConversion!W11,"")</f>
        <v/>
      </c>
      <c r="E9" s="555" t="str">
        <f ca="1">IF(ListAndConversion!AB11&lt;&gt;"-",ListAndConversion!Y11,"")</f>
        <v/>
      </c>
      <c r="F9" s="565" t="str">
        <f ca="1">IF(ListAndConversion!AD11&lt;&gt;"-",ListAndConversion!AD11,"")</f>
        <v/>
      </c>
      <c r="G9" s="555" t="str">
        <f ca="1">IF(ListAndConversion!AB11&lt;&gt;"-",ListAndConversion!AJ11,"")</f>
        <v/>
      </c>
      <c r="H9" s="555" t="str">
        <f ca="1">IF(ListAndConversion!AB11&lt;&gt;"-",ListAndConversion!AK11,"")</f>
        <v/>
      </c>
      <c r="I9" s="566" t="str">
        <f ca="1">IF(ListAndConversion!AB11&lt;&gt;"-",ListAndConversion!AF11,"")</f>
        <v/>
      </c>
    </row>
    <row r="10" spans="1:1024" x14ac:dyDescent="0.65">
      <c r="A10" s="564" t="str">
        <f ca="1">IF(ListAndConversion!AA12&lt;&gt;"-",ListAndConversion!AA12,"")</f>
        <v/>
      </c>
      <c r="B10" s="555" t="str">
        <f ca="1">IF(ListAndConversion!AB12&lt;&gt;"-",ListAndConversion!AB12,"")</f>
        <v/>
      </c>
      <c r="C10" s="555" t="str">
        <f ca="1">IF(ListAndConversion!AC12&lt;&gt;"-",ListAndConversion!AC12,"")</f>
        <v/>
      </c>
      <c r="D10" s="555" t="str">
        <f ca="1">IF(ListAndConversion!AB12&lt;&gt;"-",ListAndConversion!W12,"")</f>
        <v/>
      </c>
      <c r="E10" s="555" t="str">
        <f ca="1">IF(ListAndConversion!AB12&lt;&gt;"-",ListAndConversion!Y12,"")</f>
        <v/>
      </c>
      <c r="F10" s="565" t="str">
        <f ca="1">IF(ListAndConversion!AD12&lt;&gt;"-",ListAndConversion!AD12,"")</f>
        <v/>
      </c>
      <c r="G10" s="555" t="str">
        <f ca="1">IF(ListAndConversion!AB12&lt;&gt;"-",ListAndConversion!AJ12,"")</f>
        <v/>
      </c>
      <c r="H10" s="555" t="str">
        <f ca="1">IF(ListAndConversion!AB12&lt;&gt;"-",ListAndConversion!AK12,"")</f>
        <v/>
      </c>
      <c r="I10" s="566" t="str">
        <f ca="1">IF(ListAndConversion!AB12&lt;&gt;"-",ListAndConversion!AF12,"")</f>
        <v/>
      </c>
    </row>
    <row r="11" spans="1:1024" x14ac:dyDescent="0.65">
      <c r="A11" s="564" t="str">
        <f ca="1">IF(ListAndConversion!AA13&lt;&gt;"-",ListAndConversion!AA13,"")</f>
        <v/>
      </c>
      <c r="B11" s="555" t="str">
        <f ca="1">IF(ListAndConversion!AB13&lt;&gt;"-",ListAndConversion!AB13,"")</f>
        <v/>
      </c>
      <c r="C11" s="555" t="str">
        <f ca="1">IF(ListAndConversion!AC13&lt;&gt;"-",ListAndConversion!AC13,"")</f>
        <v/>
      </c>
      <c r="D11" s="555" t="str">
        <f ca="1">IF(ListAndConversion!AB13&lt;&gt;"-",ListAndConversion!W13,"")</f>
        <v/>
      </c>
      <c r="E11" s="555" t="str">
        <f ca="1">IF(ListAndConversion!AB13&lt;&gt;"-",ListAndConversion!Y13,"")</f>
        <v/>
      </c>
      <c r="F11" s="565" t="str">
        <f ca="1">IF(ListAndConversion!AD13&lt;&gt;"-",ListAndConversion!AD13,"")</f>
        <v/>
      </c>
      <c r="G11" s="555" t="str">
        <f ca="1">IF(ListAndConversion!AB13&lt;&gt;"-",ListAndConversion!AJ13,"")</f>
        <v/>
      </c>
      <c r="H11" s="555" t="str">
        <f ca="1">IF(ListAndConversion!AB13&lt;&gt;"-",ListAndConversion!AK13,"")</f>
        <v/>
      </c>
      <c r="I11" s="566" t="str">
        <f ca="1">IF(ListAndConversion!AB13&lt;&gt;"-",ListAndConversion!AF13,"")</f>
        <v/>
      </c>
    </row>
    <row r="12" spans="1:1024" x14ac:dyDescent="0.65">
      <c r="A12" s="564" t="str">
        <f ca="1">IF(ListAndConversion!AA14&lt;&gt;"-",ListAndConversion!AA14,"")</f>
        <v/>
      </c>
      <c r="B12" s="555" t="str">
        <f ca="1">IF(ListAndConversion!AB14&lt;&gt;"-",ListAndConversion!AB14,"")</f>
        <v/>
      </c>
      <c r="C12" s="555" t="str">
        <f ca="1">IF(ListAndConversion!AC14&lt;&gt;"-",ListAndConversion!AC14,"")</f>
        <v/>
      </c>
      <c r="D12" s="555" t="str">
        <f ca="1">IF(ListAndConversion!AB14&lt;&gt;"-",ListAndConversion!W14,"")</f>
        <v/>
      </c>
      <c r="E12" s="555" t="str">
        <f ca="1">IF(ListAndConversion!AB14&lt;&gt;"-",ListAndConversion!Y14,"")</f>
        <v/>
      </c>
      <c r="F12" s="565" t="str">
        <f ca="1">IF(ListAndConversion!AD14&lt;&gt;"-",ListAndConversion!AD14,"")</f>
        <v/>
      </c>
      <c r="G12" s="555" t="str">
        <f ca="1">IF(ListAndConversion!AB14&lt;&gt;"-",ListAndConversion!AJ14,"")</f>
        <v/>
      </c>
      <c r="H12" s="555" t="str">
        <f ca="1">IF(ListAndConversion!AB14&lt;&gt;"-",ListAndConversion!AK14,"")</f>
        <v/>
      </c>
      <c r="I12" s="566" t="str">
        <f ca="1">IF(ListAndConversion!AB14&lt;&gt;"-",ListAndConversion!AF14,"")</f>
        <v/>
      </c>
    </row>
    <row r="13" spans="1:1024" x14ac:dyDescent="0.65">
      <c r="A13" s="564" t="str">
        <f ca="1">IF(ListAndConversion!AA15&lt;&gt;"-",ListAndConversion!AA15,"")</f>
        <v/>
      </c>
      <c r="B13" s="555" t="str">
        <f ca="1">IF(ListAndConversion!AB15&lt;&gt;"-",ListAndConversion!AB15,"")</f>
        <v/>
      </c>
      <c r="C13" s="555" t="str">
        <f ca="1">IF(ListAndConversion!AC15&lt;&gt;"-",ListAndConversion!AC15,"")</f>
        <v/>
      </c>
      <c r="D13" s="555" t="str">
        <f ca="1">IF(ListAndConversion!AB15&lt;&gt;"-",ListAndConversion!W15,"")</f>
        <v/>
      </c>
      <c r="E13" s="555" t="str">
        <f ca="1">IF(ListAndConversion!AB15&lt;&gt;"-",ListAndConversion!Y15,"")</f>
        <v/>
      </c>
      <c r="F13" s="565" t="str">
        <f ca="1">IF(ListAndConversion!AD15&lt;&gt;"-",ListAndConversion!AD15,"")</f>
        <v/>
      </c>
      <c r="G13" s="555" t="str">
        <f ca="1">IF(ListAndConversion!AB15&lt;&gt;"-",ListAndConversion!AJ15,"")</f>
        <v/>
      </c>
      <c r="H13" s="555" t="str">
        <f ca="1">IF(ListAndConversion!AB15&lt;&gt;"-",ListAndConversion!AK15,"")</f>
        <v/>
      </c>
      <c r="I13" s="566" t="str">
        <f ca="1">IF(ListAndConversion!AB15&lt;&gt;"-",ListAndConversion!AF15,"")</f>
        <v/>
      </c>
    </row>
    <row r="14" spans="1:1024" x14ac:dyDescent="0.65">
      <c r="A14" s="564" t="str">
        <f ca="1">IF(ListAndConversion!AA16&lt;&gt;"-",ListAndConversion!AA16,"")</f>
        <v/>
      </c>
      <c r="B14" s="555" t="str">
        <f ca="1">IF(ListAndConversion!AB16&lt;&gt;"-",ListAndConversion!AB16,"")</f>
        <v/>
      </c>
      <c r="C14" s="555" t="str">
        <f ca="1">IF(ListAndConversion!AC16&lt;&gt;"-",ListAndConversion!AC16,"")</f>
        <v/>
      </c>
      <c r="D14" s="555" t="str">
        <f ca="1">IF(ListAndConversion!AB16&lt;&gt;"-",ListAndConversion!W16,"")</f>
        <v/>
      </c>
      <c r="E14" s="555" t="str">
        <f ca="1">IF(ListAndConversion!AB16&lt;&gt;"-",ListAndConversion!Y16,"")</f>
        <v/>
      </c>
      <c r="F14" s="565" t="str">
        <f ca="1">IF(ListAndConversion!AD16&lt;&gt;"-",ListAndConversion!AD16,"")</f>
        <v/>
      </c>
      <c r="G14" s="555" t="str">
        <f ca="1">IF(ListAndConversion!AB16&lt;&gt;"-",ListAndConversion!AJ16,"")</f>
        <v/>
      </c>
      <c r="H14" s="555" t="str">
        <f ca="1">IF(ListAndConversion!AB16&lt;&gt;"-",ListAndConversion!AK16,"")</f>
        <v/>
      </c>
      <c r="I14" s="566" t="str">
        <f ca="1">IF(ListAndConversion!AB16&lt;&gt;"-",ListAndConversion!AF16,"")</f>
        <v/>
      </c>
    </row>
    <row r="15" spans="1:1024" x14ac:dyDescent="0.65">
      <c r="A15" s="564" t="str">
        <f ca="1">IF(ListAndConversion!AA17&lt;&gt;"-",ListAndConversion!AA17,"")</f>
        <v/>
      </c>
      <c r="B15" s="555" t="str">
        <f ca="1">IF(ListAndConversion!AB17&lt;&gt;"-",ListAndConversion!AB17,"")</f>
        <v/>
      </c>
      <c r="C15" s="555" t="str">
        <f ca="1">IF(ListAndConversion!AC17&lt;&gt;"-",ListAndConversion!AC17,"")</f>
        <v/>
      </c>
      <c r="D15" s="555" t="str">
        <f ca="1">IF(ListAndConversion!AB17&lt;&gt;"-",ListAndConversion!W17,"")</f>
        <v/>
      </c>
      <c r="E15" s="555" t="str">
        <f ca="1">IF(ListAndConversion!AB17&lt;&gt;"-",ListAndConversion!Y17,"")</f>
        <v/>
      </c>
      <c r="F15" s="565" t="str">
        <f ca="1">IF(ListAndConversion!AD17&lt;&gt;"-",ListAndConversion!AD17,"")</f>
        <v/>
      </c>
      <c r="G15" s="555" t="str">
        <f ca="1">IF(ListAndConversion!AB17&lt;&gt;"-",ListAndConversion!AJ17,"")</f>
        <v/>
      </c>
      <c r="H15" s="555" t="str">
        <f ca="1">IF(ListAndConversion!AB17&lt;&gt;"-",ListAndConversion!AK17,"")</f>
        <v/>
      </c>
      <c r="I15" s="566" t="str">
        <f ca="1">IF(ListAndConversion!AB17&lt;&gt;"-",ListAndConversion!AF17,"")</f>
        <v/>
      </c>
    </row>
    <row r="16" spans="1:1024" x14ac:dyDescent="0.65">
      <c r="A16" s="564" t="str">
        <f ca="1">IF(ListAndConversion!AA18&lt;&gt;"-",ListAndConversion!AA18,"")</f>
        <v/>
      </c>
      <c r="B16" s="555" t="str">
        <f ca="1">IF(ListAndConversion!AB18&lt;&gt;"-",ListAndConversion!AB18,"")</f>
        <v/>
      </c>
      <c r="C16" s="555" t="str">
        <f ca="1">IF(ListAndConversion!AC18&lt;&gt;"-",ListAndConversion!AC18,"")</f>
        <v/>
      </c>
      <c r="D16" s="555" t="str">
        <f ca="1">IF(ListAndConversion!AB18&lt;&gt;"-",ListAndConversion!W18,"")</f>
        <v/>
      </c>
      <c r="E16" s="555" t="str">
        <f ca="1">IF(ListAndConversion!AB18&lt;&gt;"-",ListAndConversion!Y18,"")</f>
        <v/>
      </c>
      <c r="F16" s="565" t="str">
        <f ca="1">IF(ListAndConversion!AD18&lt;&gt;"-",ListAndConversion!AD18,"")</f>
        <v/>
      </c>
      <c r="G16" s="555" t="str">
        <f ca="1">IF(ListAndConversion!AB18&lt;&gt;"-",ListAndConversion!AJ18,"")</f>
        <v/>
      </c>
      <c r="H16" s="555" t="str">
        <f ca="1">IF(ListAndConversion!AB18&lt;&gt;"-",ListAndConversion!AK18,"")</f>
        <v/>
      </c>
      <c r="I16" s="566" t="str">
        <f ca="1">IF(ListAndConversion!AB18&lt;&gt;"-",ListAndConversion!AF18,"")</f>
        <v/>
      </c>
    </row>
    <row r="17" spans="1:9" x14ac:dyDescent="0.65">
      <c r="A17" s="564" t="str">
        <f ca="1">IF(ListAndConversion!AA19&lt;&gt;"-",ListAndConversion!AA19,"")</f>
        <v/>
      </c>
      <c r="B17" s="555" t="str">
        <f ca="1">IF(ListAndConversion!AB19&lt;&gt;"-",ListAndConversion!AB19,"")</f>
        <v/>
      </c>
      <c r="C17" s="555" t="str">
        <f ca="1">IF(ListAndConversion!AC19&lt;&gt;"-",ListAndConversion!AC19,"")</f>
        <v/>
      </c>
      <c r="D17" s="555" t="str">
        <f ca="1">IF(ListAndConversion!AB19&lt;&gt;"-",ListAndConversion!W19,"")</f>
        <v/>
      </c>
      <c r="E17" s="555" t="str">
        <f ca="1">IF(ListAndConversion!AB19&lt;&gt;"-",ListAndConversion!Y19,"")</f>
        <v/>
      </c>
      <c r="F17" s="565" t="str">
        <f ca="1">IF(ListAndConversion!AD19&lt;&gt;"-",ListAndConversion!AD19,"")</f>
        <v/>
      </c>
      <c r="G17" s="555" t="str">
        <f ca="1">IF(ListAndConversion!AB19&lt;&gt;"-",ListAndConversion!AJ19,"")</f>
        <v/>
      </c>
      <c r="H17" s="555" t="str">
        <f ca="1">IF(ListAndConversion!AB19&lt;&gt;"-",ListAndConversion!AK19,"")</f>
        <v/>
      </c>
      <c r="I17" s="566" t="str">
        <f ca="1">IF(ListAndConversion!AB19&lt;&gt;"-",ListAndConversion!AF19,"")</f>
        <v/>
      </c>
    </row>
    <row r="18" spans="1:9" x14ac:dyDescent="0.65">
      <c r="A18" s="564" t="str">
        <f ca="1">IF(ListAndConversion!AA20&lt;&gt;"-",ListAndConversion!AA20,"")</f>
        <v/>
      </c>
      <c r="B18" s="555" t="str">
        <f ca="1">IF(ListAndConversion!AB20&lt;&gt;"-",ListAndConversion!AB20,"")</f>
        <v/>
      </c>
      <c r="C18" s="555" t="str">
        <f ca="1">IF(ListAndConversion!AC20&lt;&gt;"-",ListAndConversion!AC20,"")</f>
        <v/>
      </c>
      <c r="D18" s="555" t="str">
        <f ca="1">IF(ListAndConversion!AB20&lt;&gt;"-",ListAndConversion!W20,"")</f>
        <v/>
      </c>
      <c r="E18" s="555" t="str">
        <f ca="1">IF(ListAndConversion!AB20&lt;&gt;"-",ListAndConversion!Y20,"")</f>
        <v/>
      </c>
      <c r="F18" s="565" t="str">
        <f ca="1">IF(ListAndConversion!AD20&lt;&gt;"-",ListAndConversion!AD20,"")</f>
        <v/>
      </c>
      <c r="G18" s="555" t="str">
        <f ca="1">IF(ListAndConversion!AB20&lt;&gt;"-",ListAndConversion!AJ20,"")</f>
        <v/>
      </c>
      <c r="H18" s="555" t="str">
        <f ca="1">IF(ListAndConversion!AB20&lt;&gt;"-",ListAndConversion!AK20,"")</f>
        <v/>
      </c>
      <c r="I18" s="566" t="str">
        <f ca="1">IF(ListAndConversion!AB20&lt;&gt;"-",ListAndConversion!AF20,"")</f>
        <v/>
      </c>
    </row>
    <row r="19" spans="1:9" x14ac:dyDescent="0.65">
      <c r="A19" s="564" t="str">
        <f ca="1">IF(ListAndConversion!AA21&lt;&gt;"-",ListAndConversion!AA21,"")</f>
        <v/>
      </c>
      <c r="B19" s="555" t="str">
        <f ca="1">IF(ListAndConversion!AB21&lt;&gt;"-",ListAndConversion!AB21,"")</f>
        <v/>
      </c>
      <c r="C19" s="555" t="str">
        <f ca="1">IF(ListAndConversion!AC21&lt;&gt;"-",ListAndConversion!AC21,"")</f>
        <v/>
      </c>
      <c r="D19" s="555" t="str">
        <f ca="1">IF(ListAndConversion!AB21&lt;&gt;"-",ListAndConversion!W21,"")</f>
        <v/>
      </c>
      <c r="E19" s="555" t="str">
        <f ca="1">IF(ListAndConversion!AB21&lt;&gt;"-",ListAndConversion!Y21,"")</f>
        <v/>
      </c>
      <c r="F19" s="565" t="str">
        <f ca="1">IF(ListAndConversion!AD21&lt;&gt;"-",ListAndConversion!AD21,"")</f>
        <v/>
      </c>
      <c r="G19" s="555" t="str">
        <f ca="1">IF(ListAndConversion!AB21&lt;&gt;"-",ListAndConversion!AJ21,"")</f>
        <v/>
      </c>
      <c r="H19" s="555" t="str">
        <f ca="1">IF(ListAndConversion!AB21&lt;&gt;"-",ListAndConversion!AK21,"")</f>
        <v/>
      </c>
      <c r="I19" s="566" t="str">
        <f ca="1">IF(ListAndConversion!AB21&lt;&gt;"-",ListAndConversion!AF21,"")</f>
        <v/>
      </c>
    </row>
    <row r="20" spans="1:9" x14ac:dyDescent="0.65">
      <c r="A20" s="564" t="str">
        <f ca="1">IF(ListAndConversion!AA22&lt;&gt;"-",ListAndConversion!AA22,"")</f>
        <v/>
      </c>
      <c r="B20" s="555" t="str">
        <f ca="1">IF(ListAndConversion!AB22&lt;&gt;"-",ListAndConversion!AB22,"")</f>
        <v/>
      </c>
      <c r="C20" s="555" t="str">
        <f ca="1">IF(ListAndConversion!AC22&lt;&gt;"-",ListAndConversion!AC22,"")</f>
        <v/>
      </c>
      <c r="D20" s="555" t="str">
        <f ca="1">IF(ListAndConversion!AB22&lt;&gt;"-",ListAndConversion!W22,"")</f>
        <v/>
      </c>
      <c r="E20" s="555" t="str">
        <f ca="1">IF(ListAndConversion!AB22&lt;&gt;"-",ListAndConversion!Y22,"")</f>
        <v/>
      </c>
      <c r="F20" s="565" t="str">
        <f ca="1">IF(ListAndConversion!AD22&lt;&gt;"-",ListAndConversion!AD22,"")</f>
        <v/>
      </c>
      <c r="G20" s="555" t="str">
        <f ca="1">IF(ListAndConversion!AB22&lt;&gt;"-",ListAndConversion!AJ22,"")</f>
        <v/>
      </c>
      <c r="H20" s="555" t="str">
        <f ca="1">IF(ListAndConversion!AB22&lt;&gt;"-",ListAndConversion!AK22,"")</f>
        <v/>
      </c>
      <c r="I20" s="566" t="str">
        <f ca="1">IF(ListAndConversion!AB22&lt;&gt;"-",ListAndConversion!AF22,"")</f>
        <v/>
      </c>
    </row>
    <row r="21" spans="1:9" x14ac:dyDescent="0.65">
      <c r="A21" s="564" t="str">
        <f ca="1">IF(ListAndConversion!AA23&lt;&gt;"-",ListAndConversion!AA23,"")</f>
        <v/>
      </c>
      <c r="B21" s="555" t="str">
        <f ca="1">IF(ListAndConversion!AB23&lt;&gt;"-",ListAndConversion!AB23,"")</f>
        <v/>
      </c>
      <c r="C21" s="555" t="str">
        <f ca="1">IF(ListAndConversion!AC23&lt;&gt;"-",ListAndConversion!AC23,"")</f>
        <v/>
      </c>
      <c r="D21" s="555" t="str">
        <f ca="1">IF(ListAndConversion!AB23&lt;&gt;"-",ListAndConversion!W23,"")</f>
        <v/>
      </c>
      <c r="E21" s="555" t="str">
        <f ca="1">IF(ListAndConversion!AB23&lt;&gt;"-",ListAndConversion!Y23,"")</f>
        <v/>
      </c>
      <c r="F21" s="565" t="str">
        <f ca="1">IF(ListAndConversion!AD23&lt;&gt;"-",ListAndConversion!AD23,"")</f>
        <v/>
      </c>
      <c r="G21" s="555" t="str">
        <f ca="1">IF(ListAndConversion!AB23&lt;&gt;"-",ListAndConversion!AJ23,"")</f>
        <v/>
      </c>
      <c r="H21" s="555" t="str">
        <f ca="1">IF(ListAndConversion!AB23&lt;&gt;"-",ListAndConversion!AK23,"")</f>
        <v/>
      </c>
      <c r="I21" s="566" t="str">
        <f ca="1">IF(ListAndConversion!AB23&lt;&gt;"-",ListAndConversion!AF23,"")</f>
        <v/>
      </c>
    </row>
    <row r="22" spans="1:9" x14ac:dyDescent="0.65">
      <c r="A22" s="564" t="str">
        <f ca="1">IF(ListAndConversion!AA24&lt;&gt;"-",ListAndConversion!AA24,"")</f>
        <v/>
      </c>
      <c r="B22" s="555" t="str">
        <f ca="1">IF(ListAndConversion!AB24&lt;&gt;"-",ListAndConversion!AB24,"")</f>
        <v/>
      </c>
      <c r="C22" s="555" t="str">
        <f ca="1">IF(ListAndConversion!AC24&lt;&gt;"-",ListAndConversion!AC24,"")</f>
        <v/>
      </c>
      <c r="D22" s="555" t="str">
        <f ca="1">IF(ListAndConversion!AB24&lt;&gt;"-",ListAndConversion!W24,"")</f>
        <v/>
      </c>
      <c r="E22" s="555" t="str">
        <f ca="1">IF(ListAndConversion!AB24&lt;&gt;"-",ListAndConversion!Y24,"")</f>
        <v/>
      </c>
      <c r="F22" s="565" t="str">
        <f ca="1">IF(ListAndConversion!AD24&lt;&gt;"-",ListAndConversion!AD24,"")</f>
        <v/>
      </c>
      <c r="G22" s="555" t="str">
        <f ca="1">IF(ListAndConversion!AB24&lt;&gt;"-",ListAndConversion!AJ24,"")</f>
        <v/>
      </c>
      <c r="H22" s="555" t="str">
        <f ca="1">IF(ListAndConversion!AB24&lt;&gt;"-",ListAndConversion!AK24,"")</f>
        <v/>
      </c>
      <c r="I22" s="566" t="str">
        <f ca="1">IF(ListAndConversion!AB24&lt;&gt;"-",ListAndConversion!AF24,"")</f>
        <v/>
      </c>
    </row>
    <row r="23" spans="1:9" x14ac:dyDescent="0.65">
      <c r="A23" s="564" t="str">
        <f ca="1">IF(ListAndConversion!AA25&lt;&gt;"-",ListAndConversion!AA25,"")</f>
        <v/>
      </c>
      <c r="B23" s="555" t="str">
        <f ca="1">IF(ListAndConversion!AB25&lt;&gt;"-",ListAndConversion!AB25,"")</f>
        <v/>
      </c>
      <c r="C23" s="555" t="str">
        <f ca="1">IF(ListAndConversion!AC25&lt;&gt;"-",ListAndConversion!AC25,"")</f>
        <v/>
      </c>
      <c r="D23" s="555" t="str">
        <f ca="1">IF(ListAndConversion!AB25&lt;&gt;"-",ListAndConversion!W25,"")</f>
        <v/>
      </c>
      <c r="E23" s="555" t="str">
        <f ca="1">IF(ListAndConversion!AB25&lt;&gt;"-",ListAndConversion!Y25,"")</f>
        <v/>
      </c>
      <c r="F23" s="565" t="str">
        <f ca="1">IF(ListAndConversion!AD25&lt;&gt;"-",ListAndConversion!AD25,"")</f>
        <v/>
      </c>
      <c r="G23" s="555" t="str">
        <f ca="1">IF(ListAndConversion!AB25&lt;&gt;"-",ListAndConversion!AJ25,"")</f>
        <v/>
      </c>
      <c r="H23" s="555" t="str">
        <f ca="1">IF(ListAndConversion!AB25&lt;&gt;"-",ListAndConversion!AK25,"")</f>
        <v/>
      </c>
      <c r="I23" s="566" t="str">
        <f ca="1">IF(ListAndConversion!AB25&lt;&gt;"-",ListAndConversion!AF25,"")</f>
        <v/>
      </c>
    </row>
    <row r="24" spans="1:9" x14ac:dyDescent="0.65">
      <c r="A24" s="564" t="str">
        <f ca="1">IF(ListAndConversion!AA26&lt;&gt;"-",ListAndConversion!AA26,"")</f>
        <v/>
      </c>
      <c r="B24" s="555" t="str">
        <f ca="1">IF(ListAndConversion!AB26&lt;&gt;"-",ListAndConversion!AB26,"")</f>
        <v/>
      </c>
      <c r="C24" s="555" t="str">
        <f ca="1">IF(ListAndConversion!AC26&lt;&gt;"-",ListAndConversion!AC26,"")</f>
        <v/>
      </c>
      <c r="D24" s="555" t="str">
        <f ca="1">IF(ListAndConversion!AB26&lt;&gt;"-",ListAndConversion!W26,"")</f>
        <v/>
      </c>
      <c r="E24" s="555" t="str">
        <f ca="1">IF(ListAndConversion!AB26&lt;&gt;"-",ListAndConversion!Y26,"")</f>
        <v/>
      </c>
      <c r="F24" s="565" t="str">
        <f ca="1">IF(ListAndConversion!AD26&lt;&gt;"-",ListAndConversion!AD26,"")</f>
        <v/>
      </c>
      <c r="G24" s="555" t="str">
        <f ca="1">IF(ListAndConversion!AB26&lt;&gt;"-",ListAndConversion!AJ26,"")</f>
        <v/>
      </c>
      <c r="H24" s="555" t="str">
        <f ca="1">IF(ListAndConversion!AB26&lt;&gt;"-",ListAndConversion!AK26,"")</f>
        <v/>
      </c>
      <c r="I24" s="566" t="str">
        <f ca="1">IF(ListAndConversion!AB26&lt;&gt;"-",ListAndConversion!AF26,"")</f>
        <v/>
      </c>
    </row>
    <row r="25" spans="1:9" x14ac:dyDescent="0.65">
      <c r="A25" s="564" t="str">
        <f ca="1">IF(ListAndConversion!AA27&lt;&gt;"-",ListAndConversion!AA27,"")</f>
        <v/>
      </c>
      <c r="B25" s="555" t="str">
        <f ca="1">IF(ListAndConversion!AB27&lt;&gt;"-",ListAndConversion!AB27,"")</f>
        <v/>
      </c>
      <c r="C25" s="555" t="str">
        <f ca="1">IF(ListAndConversion!AC27&lt;&gt;"-",ListAndConversion!AC27,"")</f>
        <v/>
      </c>
      <c r="D25" s="555" t="str">
        <f ca="1">IF(ListAndConversion!AB27&lt;&gt;"-",ListAndConversion!W27,"")</f>
        <v/>
      </c>
      <c r="E25" s="555" t="str">
        <f ca="1">IF(ListAndConversion!AB27&lt;&gt;"-",ListAndConversion!Y27,"")</f>
        <v/>
      </c>
      <c r="F25" s="565" t="str">
        <f ca="1">IF(ListAndConversion!AD27&lt;&gt;"-",ListAndConversion!AD27,"")</f>
        <v/>
      </c>
      <c r="G25" s="555" t="str">
        <f ca="1">IF(ListAndConversion!AB27&lt;&gt;"-",ListAndConversion!AJ27,"")</f>
        <v/>
      </c>
      <c r="H25" s="555" t="str">
        <f ca="1">IF(ListAndConversion!AB27&lt;&gt;"-",ListAndConversion!AK27,"")</f>
        <v/>
      </c>
      <c r="I25" s="566" t="str">
        <f ca="1">IF(ListAndConversion!AB27&lt;&gt;"-",ListAndConversion!AF27,"")</f>
        <v/>
      </c>
    </row>
    <row r="26" spans="1:9" x14ac:dyDescent="0.65">
      <c r="A26" s="564" t="str">
        <f ca="1">IF(ListAndConversion!AA28&lt;&gt;"-",ListAndConversion!AA28,"")</f>
        <v/>
      </c>
      <c r="B26" s="555" t="str">
        <f ca="1">IF(ListAndConversion!AB28&lt;&gt;"-",ListAndConversion!AB28,"")</f>
        <v/>
      </c>
      <c r="C26" s="555" t="str">
        <f ca="1">IF(ListAndConversion!AC28&lt;&gt;"-",ListAndConversion!AC28,"")</f>
        <v/>
      </c>
      <c r="D26" s="555" t="str">
        <f ca="1">IF(ListAndConversion!AB28&lt;&gt;"-",ListAndConversion!W28,"")</f>
        <v/>
      </c>
      <c r="E26" s="555" t="str">
        <f ca="1">IF(ListAndConversion!AB28&lt;&gt;"-",ListAndConversion!Y28,"")</f>
        <v/>
      </c>
      <c r="F26" s="565" t="str">
        <f ca="1">IF(ListAndConversion!AD28&lt;&gt;"-",ListAndConversion!AD28,"")</f>
        <v/>
      </c>
      <c r="G26" s="555" t="str">
        <f ca="1">IF(ListAndConversion!AB28&lt;&gt;"-",ListAndConversion!AJ28,"")</f>
        <v/>
      </c>
      <c r="H26" s="555" t="str">
        <f ca="1">IF(ListAndConversion!AB28&lt;&gt;"-",ListAndConversion!AK28,"")</f>
        <v/>
      </c>
      <c r="I26" s="566" t="str">
        <f ca="1">IF(ListAndConversion!AB28&lt;&gt;"-",ListAndConversion!AF28,"")</f>
        <v/>
      </c>
    </row>
    <row r="27" spans="1:9" x14ac:dyDescent="0.65">
      <c r="A27" s="564" t="str">
        <f ca="1">IF(ListAndConversion!AA29&lt;&gt;"-",ListAndConversion!AA29,"")</f>
        <v/>
      </c>
      <c r="B27" s="555" t="str">
        <f ca="1">IF(ListAndConversion!AB29&lt;&gt;"-",ListAndConversion!AB29,"")</f>
        <v/>
      </c>
      <c r="C27" s="555" t="str">
        <f ca="1">IF(ListAndConversion!AC29&lt;&gt;"-",ListAndConversion!AC29,"")</f>
        <v/>
      </c>
      <c r="D27" s="555" t="str">
        <f ca="1">IF(ListAndConversion!AB29&lt;&gt;"-",ListAndConversion!W29,"")</f>
        <v/>
      </c>
      <c r="E27" s="555" t="str">
        <f ca="1">IF(ListAndConversion!AB29&lt;&gt;"-",ListAndConversion!Y29,"")</f>
        <v/>
      </c>
      <c r="F27" s="565" t="str">
        <f ca="1">IF(ListAndConversion!AD29&lt;&gt;"-",ListAndConversion!AD29,"")</f>
        <v/>
      </c>
      <c r="G27" s="555" t="str">
        <f ca="1">IF(ListAndConversion!AB29&lt;&gt;"-",ListAndConversion!AJ29,"")</f>
        <v/>
      </c>
      <c r="H27" s="555" t="str">
        <f ca="1">IF(ListAndConversion!AB29&lt;&gt;"-",ListAndConversion!AK29,"")</f>
        <v/>
      </c>
      <c r="I27" s="566" t="str">
        <f ca="1">IF(ListAndConversion!AB29&lt;&gt;"-",ListAndConversion!AF29,"")</f>
        <v/>
      </c>
    </row>
    <row r="28" spans="1:9" x14ac:dyDescent="0.65">
      <c r="A28" s="564" t="str">
        <f ca="1">IF(ListAndConversion!AA30&lt;&gt;"-",ListAndConversion!AA30,"")</f>
        <v/>
      </c>
      <c r="B28" s="555" t="str">
        <f ca="1">IF(ListAndConversion!AB30&lt;&gt;"-",ListAndConversion!AB30,"")</f>
        <v/>
      </c>
      <c r="C28" s="555" t="str">
        <f ca="1">IF(ListAndConversion!AC30&lt;&gt;"-",ListAndConversion!AC30,"")</f>
        <v/>
      </c>
      <c r="D28" s="555" t="str">
        <f ca="1">IF(ListAndConversion!AB30&lt;&gt;"-",ListAndConversion!W30,"")</f>
        <v/>
      </c>
      <c r="E28" s="555" t="str">
        <f ca="1">IF(ListAndConversion!AB30&lt;&gt;"-",ListAndConversion!Y30,"")</f>
        <v/>
      </c>
      <c r="F28" s="565" t="str">
        <f ca="1">IF(ListAndConversion!AD30&lt;&gt;"-",ListAndConversion!AD30,"")</f>
        <v/>
      </c>
      <c r="G28" s="555" t="str">
        <f ca="1">IF(ListAndConversion!AB30&lt;&gt;"-",ListAndConversion!AJ30,"")</f>
        <v/>
      </c>
      <c r="H28" s="555" t="str">
        <f ca="1">IF(ListAndConversion!AB30&lt;&gt;"-",ListAndConversion!AK30,"")</f>
        <v/>
      </c>
      <c r="I28" s="566" t="str">
        <f ca="1">IF(ListAndConversion!AB30&lt;&gt;"-",ListAndConversion!AF30,"")</f>
        <v/>
      </c>
    </row>
    <row r="29" spans="1:9" x14ac:dyDescent="0.65">
      <c r="A29" s="564" t="str">
        <f ca="1">IF(ListAndConversion!AA31&lt;&gt;"-",ListAndConversion!AA31,"")</f>
        <v/>
      </c>
      <c r="B29" s="555" t="str">
        <f ca="1">IF(ListAndConversion!AB31&lt;&gt;"-",ListAndConversion!AB31,"")</f>
        <v/>
      </c>
      <c r="C29" s="555" t="str">
        <f ca="1">IF(ListAndConversion!AC31&lt;&gt;"-",ListAndConversion!AC31,"")</f>
        <v/>
      </c>
      <c r="D29" s="555" t="str">
        <f ca="1">IF(ListAndConversion!AB31&lt;&gt;"-",ListAndConversion!W31,"")</f>
        <v/>
      </c>
      <c r="E29" s="555" t="str">
        <f ca="1">IF(ListAndConversion!AB31&lt;&gt;"-",ListAndConversion!Y31,"")</f>
        <v/>
      </c>
      <c r="F29" s="565" t="str">
        <f ca="1">IF(ListAndConversion!AD31&lt;&gt;"-",ListAndConversion!AD31,"")</f>
        <v/>
      </c>
      <c r="G29" s="555" t="str">
        <f ca="1">IF(ListAndConversion!AB31&lt;&gt;"-",ListAndConversion!AJ31,"")</f>
        <v/>
      </c>
      <c r="H29" s="555" t="str">
        <f ca="1">IF(ListAndConversion!AB31&lt;&gt;"-",ListAndConversion!AK31,"")</f>
        <v/>
      </c>
      <c r="I29" s="566" t="str">
        <f ca="1">IF(ListAndConversion!AB31&lt;&gt;"-",ListAndConversion!AF31,"")</f>
        <v/>
      </c>
    </row>
    <row r="30" spans="1:9" x14ac:dyDescent="0.65">
      <c r="A30" s="564" t="str">
        <f ca="1">IF(ListAndConversion!AA32&lt;&gt;"-",ListAndConversion!AA32,"")</f>
        <v/>
      </c>
      <c r="B30" s="555" t="str">
        <f ca="1">IF(ListAndConversion!AB32&lt;&gt;"-",ListAndConversion!AB32,"")</f>
        <v/>
      </c>
      <c r="C30" s="555" t="str">
        <f ca="1">IF(ListAndConversion!AC32&lt;&gt;"-",ListAndConversion!AC32,"")</f>
        <v/>
      </c>
      <c r="D30" s="555" t="str">
        <f ca="1">IF(ListAndConversion!AB32&lt;&gt;"-",ListAndConversion!W32,"")</f>
        <v/>
      </c>
      <c r="E30" s="555" t="str">
        <f ca="1">IF(ListAndConversion!AB32&lt;&gt;"-",ListAndConversion!Y32,"")</f>
        <v/>
      </c>
      <c r="F30" s="565" t="str">
        <f ca="1">IF(ListAndConversion!AD32&lt;&gt;"-",ListAndConversion!AD32,"")</f>
        <v/>
      </c>
      <c r="G30" s="555" t="str">
        <f ca="1">IF(ListAndConversion!AB32&lt;&gt;"-",ListAndConversion!AJ32,"")</f>
        <v/>
      </c>
      <c r="H30" s="555" t="str">
        <f ca="1">IF(ListAndConversion!AB32&lt;&gt;"-",ListAndConversion!AK32,"")</f>
        <v/>
      </c>
      <c r="I30" s="566" t="str">
        <f ca="1">IF(ListAndConversion!AB32&lt;&gt;"-",ListAndConversion!AF32,"")</f>
        <v/>
      </c>
    </row>
    <row r="31" spans="1:9" x14ac:dyDescent="0.65">
      <c r="A31" s="564" t="str">
        <f ca="1">IF(ListAndConversion!AA33&lt;&gt;"-",ListAndConversion!AA33,"")</f>
        <v/>
      </c>
      <c r="B31" s="555" t="str">
        <f ca="1">IF(ListAndConversion!AB33&lt;&gt;"-",ListAndConversion!AB33,"")</f>
        <v/>
      </c>
      <c r="C31" s="555" t="str">
        <f ca="1">IF(ListAndConversion!AC33&lt;&gt;"-",ListAndConversion!AC33,"")</f>
        <v/>
      </c>
      <c r="D31" s="555" t="str">
        <f ca="1">IF(ListAndConversion!AB33&lt;&gt;"-",ListAndConversion!W33,"")</f>
        <v/>
      </c>
      <c r="E31" s="555" t="str">
        <f ca="1">IF(ListAndConversion!AB33&lt;&gt;"-",ListAndConversion!Y33,"")</f>
        <v/>
      </c>
      <c r="F31" s="565" t="str">
        <f ca="1">IF(ListAndConversion!AD33&lt;&gt;"-",ListAndConversion!AD33,"")</f>
        <v/>
      </c>
      <c r="G31" s="555" t="str">
        <f ca="1">IF(ListAndConversion!AB33&lt;&gt;"-",ListAndConversion!AJ33,"")</f>
        <v/>
      </c>
      <c r="H31" s="555" t="str">
        <f ca="1">IF(ListAndConversion!AB33&lt;&gt;"-",ListAndConversion!AK33,"")</f>
        <v/>
      </c>
      <c r="I31" s="566" t="str">
        <f ca="1">IF(ListAndConversion!AB33&lt;&gt;"-",ListAndConversion!AF33,"")</f>
        <v/>
      </c>
    </row>
    <row r="32" spans="1:9" x14ac:dyDescent="0.65">
      <c r="A32" s="564" t="str">
        <f ca="1">IF(ListAndConversion!AA34&lt;&gt;"-",ListAndConversion!AA34,"")</f>
        <v/>
      </c>
      <c r="B32" s="555" t="str">
        <f ca="1">IF(ListAndConversion!AB34&lt;&gt;"-",ListAndConversion!AB34,"")</f>
        <v/>
      </c>
      <c r="C32" s="555" t="str">
        <f ca="1">IF(ListAndConversion!AC34&lt;&gt;"-",ListAndConversion!AC34,"")</f>
        <v/>
      </c>
      <c r="D32" s="555" t="str">
        <f ca="1">IF(ListAndConversion!AB34&lt;&gt;"-",ListAndConversion!W34,"")</f>
        <v/>
      </c>
      <c r="E32" s="555" t="str">
        <f ca="1">IF(ListAndConversion!AB34&lt;&gt;"-",ListAndConversion!Y34,"")</f>
        <v/>
      </c>
      <c r="F32" s="565" t="str">
        <f ca="1">IF(ListAndConversion!AD34&lt;&gt;"-",ListAndConversion!AD34,"")</f>
        <v/>
      </c>
      <c r="G32" s="555" t="str">
        <f ca="1">IF(ListAndConversion!AB34&lt;&gt;"-",ListAndConversion!AJ34,"")</f>
        <v/>
      </c>
      <c r="H32" s="555" t="str">
        <f ca="1">IF(ListAndConversion!AB34&lt;&gt;"-",ListAndConversion!AK34,"")</f>
        <v/>
      </c>
      <c r="I32" s="566" t="str">
        <f ca="1">IF(ListAndConversion!AB34&lt;&gt;"-",ListAndConversion!AF34,"")</f>
        <v/>
      </c>
    </row>
    <row r="33" spans="1:9" x14ac:dyDescent="0.65">
      <c r="A33" s="564" t="str">
        <f ca="1">IF(ListAndConversion!AA35&lt;&gt;"-",ListAndConversion!AA35,"")</f>
        <v/>
      </c>
      <c r="B33" s="555" t="str">
        <f ca="1">IF(ListAndConversion!AB35&lt;&gt;"-",ListAndConversion!AB35,"")</f>
        <v/>
      </c>
      <c r="C33" s="555" t="str">
        <f ca="1">IF(ListAndConversion!AC35&lt;&gt;"-",ListAndConversion!AC35,"")</f>
        <v/>
      </c>
      <c r="D33" s="555" t="str">
        <f ca="1">IF(ListAndConversion!AB35&lt;&gt;"-",ListAndConversion!W35,"")</f>
        <v/>
      </c>
      <c r="E33" s="555" t="str">
        <f ca="1">IF(ListAndConversion!AB35&lt;&gt;"-",ListAndConversion!Y35,"")</f>
        <v/>
      </c>
      <c r="F33" s="565" t="str">
        <f ca="1">IF(ListAndConversion!AD35&lt;&gt;"-",ListAndConversion!AD35,"")</f>
        <v/>
      </c>
      <c r="G33" s="555" t="str">
        <f ca="1">IF(ListAndConversion!AB35&lt;&gt;"-",ListAndConversion!AJ35,"")</f>
        <v/>
      </c>
      <c r="H33" s="555" t="str">
        <f ca="1">IF(ListAndConversion!AB35&lt;&gt;"-",ListAndConversion!AK35,"")</f>
        <v/>
      </c>
      <c r="I33" s="566" t="str">
        <f ca="1">IF(ListAndConversion!AB35&lt;&gt;"-",ListAndConversion!AF35,"")</f>
        <v/>
      </c>
    </row>
    <row r="34" spans="1:9" x14ac:dyDescent="0.65">
      <c r="A34" s="564" t="str">
        <f ca="1">IF(ListAndConversion!AA36&lt;&gt;"-",ListAndConversion!AA36,"")</f>
        <v/>
      </c>
      <c r="B34" s="555" t="str">
        <f ca="1">IF(ListAndConversion!AB36&lt;&gt;"-",ListAndConversion!AB36,"")</f>
        <v/>
      </c>
      <c r="C34" s="555" t="str">
        <f ca="1">IF(ListAndConversion!AC36&lt;&gt;"-",ListAndConversion!AC36,"")</f>
        <v/>
      </c>
      <c r="D34" s="555" t="str">
        <f ca="1">IF(ListAndConversion!AB36&lt;&gt;"-",ListAndConversion!W36,"")</f>
        <v/>
      </c>
      <c r="E34" s="555" t="str">
        <f ca="1">IF(ListAndConversion!AB36&lt;&gt;"-",ListAndConversion!Y36,"")</f>
        <v/>
      </c>
      <c r="F34" s="565" t="str">
        <f ca="1">IF(ListAndConversion!AD36&lt;&gt;"-",ListAndConversion!AD36,"")</f>
        <v/>
      </c>
      <c r="G34" s="555" t="str">
        <f ca="1">IF(ListAndConversion!AB36&lt;&gt;"-",ListAndConversion!AJ36,"")</f>
        <v/>
      </c>
      <c r="H34" s="555" t="str">
        <f ca="1">IF(ListAndConversion!AB36&lt;&gt;"-",ListAndConversion!AK36,"")</f>
        <v/>
      </c>
      <c r="I34" s="566" t="str">
        <f ca="1">IF(ListAndConversion!AB36&lt;&gt;"-",ListAndConversion!AF36,"")</f>
        <v/>
      </c>
    </row>
    <row r="35" spans="1:9" x14ac:dyDescent="0.65">
      <c r="A35" s="564" t="str">
        <f ca="1">IF(ListAndConversion!AA37&lt;&gt;"-",ListAndConversion!AA37,"")</f>
        <v/>
      </c>
      <c r="B35" s="555" t="str">
        <f ca="1">IF(ListAndConversion!AB37&lt;&gt;"-",ListAndConversion!AB37,"")</f>
        <v/>
      </c>
      <c r="C35" s="555" t="str">
        <f ca="1">IF(ListAndConversion!AC37&lt;&gt;"-",ListAndConversion!AC37,"")</f>
        <v/>
      </c>
      <c r="D35" s="555" t="str">
        <f ca="1">IF(ListAndConversion!AB37&lt;&gt;"-",ListAndConversion!W37,"")</f>
        <v/>
      </c>
      <c r="E35" s="555" t="str">
        <f ca="1">IF(ListAndConversion!AB37&lt;&gt;"-",ListAndConversion!Y37,"")</f>
        <v/>
      </c>
      <c r="F35" s="565" t="str">
        <f ca="1">IF(ListAndConversion!AD37&lt;&gt;"-",ListAndConversion!AD37,"")</f>
        <v/>
      </c>
      <c r="G35" s="555" t="str">
        <f ca="1">IF(ListAndConversion!AB37&lt;&gt;"-",ListAndConversion!AJ37,"")</f>
        <v/>
      </c>
      <c r="H35" s="555" t="str">
        <f ca="1">IF(ListAndConversion!AB37&lt;&gt;"-",ListAndConversion!AK37,"")</f>
        <v/>
      </c>
      <c r="I35" s="566" t="str">
        <f ca="1">IF(ListAndConversion!AB37&lt;&gt;"-",ListAndConversion!AF37,"")</f>
        <v/>
      </c>
    </row>
    <row r="36" spans="1:9" x14ac:dyDescent="0.65">
      <c r="A36" s="564" t="str">
        <f ca="1">IF(ListAndConversion!AA38&lt;&gt;"-",ListAndConversion!AA38,"")</f>
        <v/>
      </c>
      <c r="B36" s="555" t="str">
        <f ca="1">IF(ListAndConversion!AB38&lt;&gt;"-",ListAndConversion!AB38,"")</f>
        <v/>
      </c>
      <c r="C36" s="555" t="str">
        <f ca="1">IF(ListAndConversion!AC38&lt;&gt;"-",ListAndConversion!AC38,"")</f>
        <v/>
      </c>
      <c r="D36" s="555" t="str">
        <f ca="1">IF(ListAndConversion!AB38&lt;&gt;"-",ListAndConversion!W38,"")</f>
        <v/>
      </c>
      <c r="E36" s="555" t="str">
        <f ca="1">IF(ListAndConversion!AB38&lt;&gt;"-",ListAndConversion!Y38,"")</f>
        <v/>
      </c>
      <c r="F36" s="565" t="str">
        <f ca="1">IF(ListAndConversion!AD38&lt;&gt;"-",ListAndConversion!AD38,"")</f>
        <v/>
      </c>
      <c r="G36" s="555" t="str">
        <f ca="1">IF(ListAndConversion!AB38&lt;&gt;"-",ListAndConversion!AJ38,"")</f>
        <v/>
      </c>
      <c r="H36" s="555" t="str">
        <f ca="1">IF(ListAndConversion!AB38&lt;&gt;"-",ListAndConversion!AK38,"")</f>
        <v/>
      </c>
      <c r="I36" s="566" t="str">
        <f ca="1">IF(ListAndConversion!AB38&lt;&gt;"-",ListAndConversion!AF38,"")</f>
        <v/>
      </c>
    </row>
    <row r="37" spans="1:9" x14ac:dyDescent="0.65">
      <c r="A37" s="564" t="str">
        <f ca="1">IF(ListAndConversion!AA39&lt;&gt;"-",ListAndConversion!AA39,"")</f>
        <v/>
      </c>
      <c r="B37" s="555" t="str">
        <f ca="1">IF(ListAndConversion!AB39&lt;&gt;"-",ListAndConversion!AB39,"")</f>
        <v/>
      </c>
      <c r="C37" s="555" t="str">
        <f ca="1">IF(ListAndConversion!AC39&lt;&gt;"-",ListAndConversion!AC39,"")</f>
        <v/>
      </c>
      <c r="D37" s="555" t="str">
        <f ca="1">IF(ListAndConversion!AB39&lt;&gt;"-",ListAndConversion!W39,"")</f>
        <v/>
      </c>
      <c r="E37" s="555" t="str">
        <f ca="1">IF(ListAndConversion!AB39&lt;&gt;"-",ListAndConversion!Y39,"")</f>
        <v/>
      </c>
      <c r="F37" s="565" t="str">
        <f ca="1">IF(ListAndConversion!AD39&lt;&gt;"-",ListAndConversion!AD39,"")</f>
        <v/>
      </c>
      <c r="G37" s="555" t="str">
        <f ca="1">IF(ListAndConversion!AB39&lt;&gt;"-",ListAndConversion!AJ39,"")</f>
        <v/>
      </c>
      <c r="H37" s="555" t="str">
        <f ca="1">IF(ListAndConversion!AB39&lt;&gt;"-",ListAndConversion!AK39,"")</f>
        <v/>
      </c>
      <c r="I37" s="566" t="str">
        <f ca="1">IF(ListAndConversion!AB39&lt;&gt;"-",ListAndConversion!AF39,"")</f>
        <v/>
      </c>
    </row>
    <row r="38" spans="1:9" x14ac:dyDescent="0.65">
      <c r="A38" s="564" t="str">
        <f ca="1">IF(ListAndConversion!AA40&lt;&gt;"-",ListAndConversion!AA40,"")</f>
        <v/>
      </c>
      <c r="B38" s="555" t="str">
        <f ca="1">IF(ListAndConversion!AB40&lt;&gt;"-",ListAndConversion!AB40,"")</f>
        <v/>
      </c>
      <c r="C38" s="555" t="str">
        <f ca="1">IF(ListAndConversion!AC40&lt;&gt;"-",ListAndConversion!AC40,"")</f>
        <v/>
      </c>
      <c r="D38" s="555" t="str">
        <f ca="1">IF(ListAndConversion!AB40&lt;&gt;"-",ListAndConversion!W40,"")</f>
        <v/>
      </c>
      <c r="E38" s="555" t="str">
        <f ca="1">IF(ListAndConversion!AB40&lt;&gt;"-",ListAndConversion!Y40,"")</f>
        <v/>
      </c>
      <c r="F38" s="565" t="str">
        <f ca="1">IF(ListAndConversion!AD40&lt;&gt;"-",ListAndConversion!AD40,"")</f>
        <v/>
      </c>
      <c r="G38" s="555" t="str">
        <f ca="1">IF(ListAndConversion!AB40&lt;&gt;"-",ListAndConversion!AJ40,"")</f>
        <v/>
      </c>
      <c r="H38" s="555" t="str">
        <f ca="1">IF(ListAndConversion!AB40&lt;&gt;"-",ListAndConversion!AK40,"")</f>
        <v/>
      </c>
      <c r="I38" s="566" t="str">
        <f ca="1">IF(ListAndConversion!AB40&lt;&gt;"-",ListAndConversion!AF40,"")</f>
        <v/>
      </c>
    </row>
    <row r="39" spans="1:9" x14ac:dyDescent="0.65">
      <c r="A39" s="564" t="str">
        <f ca="1">IF(ListAndConversion!AA41&lt;&gt;"-",ListAndConversion!AA41,"")</f>
        <v/>
      </c>
      <c r="B39" s="555" t="str">
        <f ca="1">IF(ListAndConversion!AB41&lt;&gt;"-",ListAndConversion!AB41,"")</f>
        <v/>
      </c>
      <c r="C39" s="555" t="str">
        <f ca="1">IF(ListAndConversion!AC41&lt;&gt;"-",ListAndConversion!AC41,"")</f>
        <v/>
      </c>
      <c r="D39" s="555" t="str">
        <f ca="1">IF(ListAndConversion!AB41&lt;&gt;"-",ListAndConversion!W41,"")</f>
        <v/>
      </c>
      <c r="E39" s="555" t="str">
        <f ca="1">IF(ListAndConversion!AB41&lt;&gt;"-",ListAndConversion!Y41,"")</f>
        <v/>
      </c>
      <c r="F39" s="565" t="str">
        <f ca="1">IF(ListAndConversion!AD41&lt;&gt;"-",ListAndConversion!AD41,"")</f>
        <v/>
      </c>
      <c r="G39" s="555" t="str">
        <f ca="1">IF(ListAndConversion!AB41&lt;&gt;"-",ListAndConversion!AJ41,"")</f>
        <v/>
      </c>
      <c r="H39" s="555" t="str">
        <f ca="1">IF(ListAndConversion!AB41&lt;&gt;"-",ListAndConversion!AK41,"")</f>
        <v/>
      </c>
      <c r="I39" s="566" t="str">
        <f ca="1">IF(ListAndConversion!AB41&lt;&gt;"-",ListAndConversion!AF41,"")</f>
        <v/>
      </c>
    </row>
    <row r="40" spans="1:9" x14ac:dyDescent="0.65">
      <c r="A40" s="564" t="str">
        <f ca="1">IF(ListAndConversion!AA42&lt;&gt;"-",ListAndConversion!AA42,"")</f>
        <v/>
      </c>
      <c r="B40" s="555" t="str">
        <f ca="1">IF(ListAndConversion!AB42&lt;&gt;"-",ListAndConversion!AB42,"")</f>
        <v/>
      </c>
      <c r="C40" s="555" t="str">
        <f ca="1">IF(ListAndConversion!AC42&lt;&gt;"-",ListAndConversion!AC42,"")</f>
        <v/>
      </c>
      <c r="D40" s="555" t="str">
        <f ca="1">IF(ListAndConversion!AB42&lt;&gt;"-",ListAndConversion!W42,"")</f>
        <v/>
      </c>
      <c r="E40" s="555" t="str">
        <f ca="1">IF(ListAndConversion!AB42&lt;&gt;"-",ListAndConversion!Y42,"")</f>
        <v/>
      </c>
      <c r="F40" s="565" t="str">
        <f ca="1">IF(ListAndConversion!AD42&lt;&gt;"-",ListAndConversion!AD42,"")</f>
        <v/>
      </c>
      <c r="G40" s="555" t="str">
        <f ca="1">IF(ListAndConversion!AB42&lt;&gt;"-",ListAndConversion!AJ42,"")</f>
        <v/>
      </c>
      <c r="H40" s="555" t="str">
        <f ca="1">IF(ListAndConversion!AB42&lt;&gt;"-",ListAndConversion!AK42,"")</f>
        <v/>
      </c>
      <c r="I40" s="566" t="str">
        <f ca="1">IF(ListAndConversion!AB42&lt;&gt;"-",ListAndConversion!AF42,"")</f>
        <v/>
      </c>
    </row>
    <row r="41" spans="1:9" x14ac:dyDescent="0.65">
      <c r="A41" s="564" t="str">
        <f ca="1">IF(ListAndConversion!AA43&lt;&gt;"-",ListAndConversion!AA43,"")</f>
        <v/>
      </c>
      <c r="B41" s="555" t="str">
        <f ca="1">IF(ListAndConversion!AB43&lt;&gt;"-",ListAndConversion!AB43,"")</f>
        <v/>
      </c>
      <c r="C41" s="555" t="str">
        <f ca="1">IF(ListAndConversion!AC43&lt;&gt;"-",ListAndConversion!AC43,"")</f>
        <v/>
      </c>
      <c r="D41" s="555" t="str">
        <f ca="1">IF(ListAndConversion!AB43&lt;&gt;"-",ListAndConversion!W43,"")</f>
        <v/>
      </c>
      <c r="E41" s="555" t="str">
        <f ca="1">IF(ListAndConversion!AB43&lt;&gt;"-",ListAndConversion!Y43,"")</f>
        <v/>
      </c>
      <c r="F41" s="565" t="str">
        <f ca="1">IF(ListAndConversion!AD43&lt;&gt;"-",ListAndConversion!AD43,"")</f>
        <v/>
      </c>
      <c r="G41" s="555" t="str">
        <f ca="1">IF(ListAndConversion!AB43&lt;&gt;"-",ListAndConversion!AJ43,"")</f>
        <v/>
      </c>
      <c r="H41" s="555" t="str">
        <f ca="1">IF(ListAndConversion!AB43&lt;&gt;"-",ListAndConversion!AK43,"")</f>
        <v/>
      </c>
      <c r="I41" s="566" t="str">
        <f ca="1">IF(ListAndConversion!AB43&lt;&gt;"-",ListAndConversion!AF43,"")</f>
        <v/>
      </c>
    </row>
    <row r="42" spans="1:9" x14ac:dyDescent="0.65">
      <c r="A42" s="564" t="str">
        <f ca="1">IF(ListAndConversion!AA44&lt;&gt;"-",ListAndConversion!AA44,"")</f>
        <v/>
      </c>
      <c r="B42" s="555" t="str">
        <f ca="1">IF(ListAndConversion!AB44&lt;&gt;"-",ListAndConversion!AB44,"")</f>
        <v/>
      </c>
      <c r="C42" s="555" t="str">
        <f ca="1">IF(ListAndConversion!AC44&lt;&gt;"-",ListAndConversion!AC44,"")</f>
        <v/>
      </c>
      <c r="D42" s="555" t="str">
        <f ca="1">IF(ListAndConversion!AB44&lt;&gt;"-",ListAndConversion!W44,"")</f>
        <v/>
      </c>
      <c r="E42" s="555" t="str">
        <f ca="1">IF(ListAndConversion!AB44&lt;&gt;"-",ListAndConversion!Y44,"")</f>
        <v/>
      </c>
      <c r="F42" s="565" t="str">
        <f ca="1">IF(ListAndConversion!AD44&lt;&gt;"-",ListAndConversion!AD44,"")</f>
        <v/>
      </c>
      <c r="G42" s="555" t="str">
        <f ca="1">IF(ListAndConversion!AB44&lt;&gt;"-",ListAndConversion!AJ44,"")</f>
        <v/>
      </c>
      <c r="H42" s="555" t="str">
        <f ca="1">IF(ListAndConversion!AB44&lt;&gt;"-",ListAndConversion!AK44,"")</f>
        <v/>
      </c>
      <c r="I42" s="566" t="str">
        <f ca="1">IF(ListAndConversion!AB44&lt;&gt;"-",ListAndConversion!AF44,"")</f>
        <v/>
      </c>
    </row>
    <row r="43" spans="1:9" x14ac:dyDescent="0.65">
      <c r="A43" s="564" t="str">
        <f ca="1">IF(ListAndConversion!AA45&lt;&gt;"-",ListAndConversion!AA45,"")</f>
        <v/>
      </c>
      <c r="B43" s="555" t="str">
        <f ca="1">IF(ListAndConversion!AB45&lt;&gt;"-",ListAndConversion!AB45,"")</f>
        <v/>
      </c>
      <c r="C43" s="555" t="str">
        <f ca="1">IF(ListAndConversion!AC45&lt;&gt;"-",ListAndConversion!AC45,"")</f>
        <v/>
      </c>
      <c r="D43" s="555" t="str">
        <f ca="1">IF(ListAndConversion!AB45&lt;&gt;"-",ListAndConversion!W45,"")</f>
        <v/>
      </c>
      <c r="E43" s="555" t="str">
        <f ca="1">IF(ListAndConversion!AB45&lt;&gt;"-",ListAndConversion!Y45,"")</f>
        <v/>
      </c>
      <c r="F43" s="565" t="str">
        <f ca="1">IF(ListAndConversion!AD45&lt;&gt;"-",ListAndConversion!AD45,"")</f>
        <v/>
      </c>
      <c r="G43" s="555" t="str">
        <f ca="1">IF(ListAndConversion!AB45&lt;&gt;"-",ListAndConversion!AJ45,"")</f>
        <v/>
      </c>
      <c r="H43" s="555" t="str">
        <f ca="1">IF(ListAndConversion!AB45&lt;&gt;"-",ListAndConversion!AK45,"")</f>
        <v/>
      </c>
      <c r="I43" s="566" t="str">
        <f ca="1">IF(ListAndConversion!AB45&lt;&gt;"-",ListAndConversion!AF45,"")</f>
        <v/>
      </c>
    </row>
    <row r="44" spans="1:9" x14ac:dyDescent="0.65">
      <c r="A44" s="564" t="str">
        <f ca="1">IF(ListAndConversion!AA46&lt;&gt;"-",ListAndConversion!AA46,"")</f>
        <v/>
      </c>
      <c r="B44" s="555" t="str">
        <f ca="1">IF(ListAndConversion!AB46&lt;&gt;"-",ListAndConversion!AB46,"")</f>
        <v/>
      </c>
      <c r="C44" s="555" t="str">
        <f ca="1">IF(ListAndConversion!AC46&lt;&gt;"-",ListAndConversion!AC46,"")</f>
        <v/>
      </c>
      <c r="D44" s="555" t="str">
        <f ca="1">IF(ListAndConversion!AB46&lt;&gt;"-",ListAndConversion!W46,"")</f>
        <v/>
      </c>
      <c r="E44" s="555" t="str">
        <f ca="1">IF(ListAndConversion!AB46&lt;&gt;"-",ListAndConversion!Y46,"")</f>
        <v/>
      </c>
      <c r="F44" s="565" t="str">
        <f ca="1">IF(ListAndConversion!AD46&lt;&gt;"-",ListAndConversion!AD46,"")</f>
        <v/>
      </c>
      <c r="G44" s="555" t="str">
        <f ca="1">IF(ListAndConversion!AB46&lt;&gt;"-",ListAndConversion!AJ46,"")</f>
        <v/>
      </c>
      <c r="H44" s="555" t="str">
        <f ca="1">IF(ListAndConversion!AB46&lt;&gt;"-",ListAndConversion!AK46,"")</f>
        <v/>
      </c>
      <c r="I44" s="566" t="str">
        <f ca="1">IF(ListAndConversion!AB46&lt;&gt;"-",ListAndConversion!AF46,"")</f>
        <v/>
      </c>
    </row>
    <row r="45" spans="1:9" x14ac:dyDescent="0.65">
      <c r="A45" s="564" t="str">
        <f ca="1">IF(ListAndConversion!AA47&lt;&gt;"-",ListAndConversion!AA47,"")</f>
        <v/>
      </c>
      <c r="B45" s="555" t="str">
        <f ca="1">IF(ListAndConversion!AB47&lt;&gt;"-",ListAndConversion!AB47,"")</f>
        <v/>
      </c>
      <c r="C45" s="555" t="str">
        <f ca="1">IF(ListAndConversion!AC47&lt;&gt;"-",ListAndConversion!AC47,"")</f>
        <v/>
      </c>
      <c r="D45" s="555" t="str">
        <f ca="1">IF(ListAndConversion!AB47&lt;&gt;"-",ListAndConversion!W47,"")</f>
        <v/>
      </c>
      <c r="E45" s="555" t="str">
        <f ca="1">IF(ListAndConversion!AB47&lt;&gt;"-",ListAndConversion!Y47,"")</f>
        <v/>
      </c>
      <c r="F45" s="565" t="str">
        <f ca="1">IF(ListAndConversion!AD47&lt;&gt;"-",ListAndConversion!AD47,"")</f>
        <v/>
      </c>
      <c r="G45" s="555" t="str">
        <f ca="1">IF(ListAndConversion!AB47&lt;&gt;"-",ListAndConversion!AJ47,"")</f>
        <v/>
      </c>
      <c r="H45" s="555" t="str">
        <f ca="1">IF(ListAndConversion!AB47&lt;&gt;"-",ListAndConversion!AK47,"")</f>
        <v/>
      </c>
      <c r="I45" s="566" t="str">
        <f ca="1">IF(ListAndConversion!AB47&lt;&gt;"-",ListAndConversion!AF47,"")</f>
        <v/>
      </c>
    </row>
    <row r="46" spans="1:9" x14ac:dyDescent="0.65">
      <c r="A46" s="564" t="str">
        <f ca="1">IF(ListAndConversion!AA48&lt;&gt;"-",ListAndConversion!AA48,"")</f>
        <v/>
      </c>
      <c r="B46" s="555" t="str">
        <f ca="1">IF(ListAndConversion!AB48&lt;&gt;"-",ListAndConversion!AB48,"")</f>
        <v/>
      </c>
      <c r="C46" s="555" t="str">
        <f ca="1">IF(ListAndConversion!AC48&lt;&gt;"-",ListAndConversion!AC48,"")</f>
        <v/>
      </c>
      <c r="D46" s="555" t="str">
        <f ca="1">IF(ListAndConversion!AB48&lt;&gt;"-",ListAndConversion!W48,"")</f>
        <v/>
      </c>
      <c r="E46" s="555" t="str">
        <f ca="1">IF(ListAndConversion!AB48&lt;&gt;"-",ListAndConversion!Y48,"")</f>
        <v/>
      </c>
      <c r="F46" s="565" t="str">
        <f ca="1">IF(ListAndConversion!AD48&lt;&gt;"-",ListAndConversion!AD48,"")</f>
        <v/>
      </c>
      <c r="G46" s="555" t="str">
        <f ca="1">IF(ListAndConversion!AB48&lt;&gt;"-",ListAndConversion!AJ48,"")</f>
        <v/>
      </c>
      <c r="H46" s="555" t="str">
        <f ca="1">IF(ListAndConversion!AB48&lt;&gt;"-",ListAndConversion!AK48,"")</f>
        <v/>
      </c>
      <c r="I46" s="566" t="str">
        <f ca="1">IF(ListAndConversion!AB48&lt;&gt;"-",ListAndConversion!AF48,"")</f>
        <v/>
      </c>
    </row>
    <row r="47" spans="1:9" x14ac:dyDescent="0.65">
      <c r="A47" s="564" t="str">
        <f ca="1">IF(ListAndConversion!AA49&lt;&gt;"-",ListAndConversion!AA49,"")</f>
        <v/>
      </c>
      <c r="B47" s="555" t="str">
        <f ca="1">IF(ListAndConversion!AB49&lt;&gt;"-",ListAndConversion!AB49,"")</f>
        <v/>
      </c>
      <c r="C47" s="555" t="str">
        <f ca="1">IF(ListAndConversion!AC49&lt;&gt;"-",ListAndConversion!AC49,"")</f>
        <v/>
      </c>
      <c r="D47" s="555" t="str">
        <f ca="1">IF(ListAndConversion!AB49&lt;&gt;"-",ListAndConversion!W49,"")</f>
        <v/>
      </c>
      <c r="E47" s="555" t="str">
        <f ca="1">IF(ListAndConversion!AB49&lt;&gt;"-",ListAndConversion!Y49,"")</f>
        <v/>
      </c>
      <c r="F47" s="565" t="str">
        <f ca="1">IF(ListAndConversion!AD49&lt;&gt;"-",ListAndConversion!AD49,"")</f>
        <v/>
      </c>
      <c r="G47" s="555" t="str">
        <f ca="1">IF(ListAndConversion!AB49&lt;&gt;"-",ListAndConversion!AJ49,"")</f>
        <v/>
      </c>
      <c r="H47" s="555" t="str">
        <f ca="1">IF(ListAndConversion!AB49&lt;&gt;"-",ListAndConversion!AK49,"")</f>
        <v/>
      </c>
      <c r="I47" s="566" t="str">
        <f ca="1">IF(ListAndConversion!AB49&lt;&gt;"-",ListAndConversion!AF49,"")</f>
        <v/>
      </c>
    </row>
    <row r="48" spans="1:9" x14ac:dyDescent="0.65">
      <c r="A48" s="564" t="str">
        <f ca="1">IF(ListAndConversion!AA50&lt;&gt;"-",ListAndConversion!AA50,"")</f>
        <v/>
      </c>
      <c r="B48" s="555" t="str">
        <f ca="1">IF(ListAndConversion!AB50&lt;&gt;"-",ListAndConversion!AB50,"")</f>
        <v/>
      </c>
      <c r="C48" s="555" t="str">
        <f ca="1">IF(ListAndConversion!AC50&lt;&gt;"-",ListAndConversion!AC50,"")</f>
        <v/>
      </c>
      <c r="D48" s="555" t="str">
        <f ca="1">IF(ListAndConversion!AB50&lt;&gt;"-",ListAndConversion!W50,"")</f>
        <v/>
      </c>
      <c r="E48" s="555" t="str">
        <f ca="1">IF(ListAndConversion!AB50&lt;&gt;"-",ListAndConversion!Y50,"")</f>
        <v/>
      </c>
      <c r="F48" s="565" t="str">
        <f ca="1">IF(ListAndConversion!AD50&lt;&gt;"-",ListAndConversion!AD50,"")</f>
        <v/>
      </c>
      <c r="G48" s="555" t="str">
        <f ca="1">IF(ListAndConversion!AB50&lt;&gt;"-",ListAndConversion!AJ50,"")</f>
        <v/>
      </c>
      <c r="H48" s="555" t="str">
        <f ca="1">IF(ListAndConversion!AB50&lt;&gt;"-",ListAndConversion!AK50,"")</f>
        <v/>
      </c>
      <c r="I48" s="566" t="str">
        <f ca="1">IF(ListAndConversion!AB50&lt;&gt;"-",ListAndConversion!AF50,"")</f>
        <v/>
      </c>
    </row>
    <row r="49" spans="1:9" x14ac:dyDescent="0.65">
      <c r="A49" s="564" t="str">
        <f ca="1">IF(ListAndConversion!AA51&lt;&gt;"-",ListAndConversion!AA51,"")</f>
        <v/>
      </c>
      <c r="B49" s="555" t="str">
        <f ca="1">IF(ListAndConversion!AB51&lt;&gt;"-",ListAndConversion!AB51,"")</f>
        <v/>
      </c>
      <c r="C49" s="555" t="str">
        <f ca="1">IF(ListAndConversion!AC51&lt;&gt;"-",ListAndConversion!AC51,"")</f>
        <v/>
      </c>
      <c r="D49" s="555" t="str">
        <f ca="1">IF(ListAndConversion!AB51&lt;&gt;"-",ListAndConversion!W51,"")</f>
        <v/>
      </c>
      <c r="E49" s="555" t="str">
        <f ca="1">IF(ListAndConversion!AB51&lt;&gt;"-",ListAndConversion!Y51,"")</f>
        <v/>
      </c>
      <c r="F49" s="565" t="str">
        <f ca="1">IF(ListAndConversion!AD51&lt;&gt;"-",ListAndConversion!AD51,"")</f>
        <v/>
      </c>
      <c r="G49" s="555" t="str">
        <f ca="1">IF(ListAndConversion!AB51&lt;&gt;"-",ListAndConversion!AJ51,"")</f>
        <v/>
      </c>
      <c r="H49" s="555" t="str">
        <f ca="1">IF(ListAndConversion!AB51&lt;&gt;"-",ListAndConversion!AK51,"")</f>
        <v/>
      </c>
      <c r="I49" s="566" t="str">
        <f ca="1">IF(ListAndConversion!AB51&lt;&gt;"-",ListAndConversion!AF51,"")</f>
        <v/>
      </c>
    </row>
    <row r="50" spans="1:9" x14ac:dyDescent="0.65">
      <c r="A50" s="564" t="str">
        <f ca="1">IF(ListAndConversion!AA52&lt;&gt;"-",ListAndConversion!AA52,"")</f>
        <v/>
      </c>
      <c r="B50" s="555" t="str">
        <f ca="1">IF(ListAndConversion!AB52&lt;&gt;"-",ListAndConversion!AB52,"")</f>
        <v/>
      </c>
      <c r="C50" s="555" t="str">
        <f ca="1">IF(ListAndConversion!AC52&lt;&gt;"-",ListAndConversion!AC52,"")</f>
        <v/>
      </c>
      <c r="D50" s="555" t="str">
        <f ca="1">IF(ListAndConversion!AB52&lt;&gt;"-",ListAndConversion!W52,"")</f>
        <v/>
      </c>
      <c r="E50" s="555" t="str">
        <f ca="1">IF(ListAndConversion!AB52&lt;&gt;"-",ListAndConversion!Y52,"")</f>
        <v/>
      </c>
      <c r="F50" s="565" t="str">
        <f ca="1">IF(ListAndConversion!AD52&lt;&gt;"-",ListAndConversion!AD52,"")</f>
        <v/>
      </c>
      <c r="G50" s="555" t="str">
        <f ca="1">IF(ListAndConversion!AB52&lt;&gt;"-",ListAndConversion!AJ52,"")</f>
        <v/>
      </c>
      <c r="H50" s="555" t="str">
        <f ca="1">IF(ListAndConversion!AB52&lt;&gt;"-",ListAndConversion!AK52,"")</f>
        <v/>
      </c>
      <c r="I50" s="566" t="str">
        <f ca="1">IF(ListAndConversion!AB52&lt;&gt;"-",ListAndConversion!AF52,"")</f>
        <v/>
      </c>
    </row>
    <row r="51" spans="1:9" x14ac:dyDescent="0.65">
      <c r="A51" s="564" t="str">
        <f ca="1">IF(ListAndConversion!AA53&lt;&gt;"-",ListAndConversion!AA53,"")</f>
        <v/>
      </c>
      <c r="B51" s="555" t="str">
        <f ca="1">IF(ListAndConversion!AB53&lt;&gt;"-",ListAndConversion!AB53,"")</f>
        <v/>
      </c>
      <c r="C51" s="555" t="str">
        <f ca="1">IF(ListAndConversion!AC53&lt;&gt;"-",ListAndConversion!AC53,"")</f>
        <v/>
      </c>
      <c r="D51" s="555" t="str">
        <f ca="1">IF(ListAndConversion!AB53&lt;&gt;"-",ListAndConversion!W53,"")</f>
        <v/>
      </c>
      <c r="E51" s="555" t="str">
        <f ca="1">IF(ListAndConversion!AB53&lt;&gt;"-",ListAndConversion!Y53,"")</f>
        <v/>
      </c>
      <c r="F51" s="565" t="str">
        <f ca="1">IF(ListAndConversion!AD53&lt;&gt;"-",ListAndConversion!AD53,"")</f>
        <v/>
      </c>
      <c r="G51" s="555" t="str">
        <f ca="1">IF(ListAndConversion!AB53&lt;&gt;"-",ListAndConversion!AJ53,"")</f>
        <v/>
      </c>
      <c r="H51" s="555" t="str">
        <f ca="1">IF(ListAndConversion!AB53&lt;&gt;"-",ListAndConversion!AK53,"")</f>
        <v/>
      </c>
      <c r="I51" s="566" t="str">
        <f ca="1">IF(ListAndConversion!AB53&lt;&gt;"-",ListAndConversion!AF53,"")</f>
        <v/>
      </c>
    </row>
    <row r="52" spans="1:9" x14ac:dyDescent="0.65">
      <c r="A52" s="564" t="str">
        <f ca="1">IF(ListAndConversion!AA54&lt;&gt;"-",ListAndConversion!AA54,"")</f>
        <v/>
      </c>
      <c r="B52" s="555" t="str">
        <f ca="1">IF(ListAndConversion!AB54&lt;&gt;"-",ListAndConversion!AB54,"")</f>
        <v/>
      </c>
      <c r="C52" s="555" t="str">
        <f ca="1">IF(ListAndConversion!AC54&lt;&gt;"-",ListAndConversion!AC54,"")</f>
        <v/>
      </c>
      <c r="D52" s="555" t="str">
        <f ca="1">IF(ListAndConversion!AB54&lt;&gt;"-",ListAndConversion!W54,"")</f>
        <v/>
      </c>
      <c r="E52" s="555" t="str">
        <f ca="1">IF(ListAndConversion!AB54&lt;&gt;"-",ListAndConversion!Y54,"")</f>
        <v/>
      </c>
      <c r="F52" s="565" t="str">
        <f ca="1">IF(ListAndConversion!AD54&lt;&gt;"-",ListAndConversion!AD54,"")</f>
        <v/>
      </c>
      <c r="G52" s="555" t="str">
        <f ca="1">IF(ListAndConversion!AB54&lt;&gt;"-",ListAndConversion!AJ54,"")</f>
        <v/>
      </c>
      <c r="H52" s="555" t="str">
        <f ca="1">IF(ListAndConversion!AB54&lt;&gt;"-",ListAndConversion!AK54,"")</f>
        <v/>
      </c>
      <c r="I52" s="566" t="str">
        <f ca="1">IF(ListAndConversion!AB54&lt;&gt;"-",ListAndConversion!AF54,"")</f>
        <v/>
      </c>
    </row>
    <row r="53" spans="1:9" x14ac:dyDescent="0.65">
      <c r="A53" s="564" t="str">
        <f ca="1">IF(ListAndConversion!AA55&lt;&gt;"-",ListAndConversion!AA55,"")</f>
        <v/>
      </c>
      <c r="B53" s="555" t="str">
        <f ca="1">IF(ListAndConversion!AB55&lt;&gt;"-",ListAndConversion!AB55,"")</f>
        <v/>
      </c>
      <c r="C53" s="555" t="str">
        <f ca="1">IF(ListAndConversion!AC55&lt;&gt;"-",ListAndConversion!AC55,"")</f>
        <v/>
      </c>
      <c r="D53" s="555" t="str">
        <f ca="1">IF(ListAndConversion!AB55&lt;&gt;"-",ListAndConversion!W55,"")</f>
        <v/>
      </c>
      <c r="E53" s="555" t="str">
        <f ca="1">IF(ListAndConversion!AB55&lt;&gt;"-",ListAndConversion!Y55,"")</f>
        <v/>
      </c>
      <c r="F53" s="565" t="str">
        <f ca="1">IF(ListAndConversion!AD55&lt;&gt;"-",ListAndConversion!AD55,"")</f>
        <v/>
      </c>
      <c r="G53" s="555" t="str">
        <f ca="1">IF(ListAndConversion!AB55&lt;&gt;"-",ListAndConversion!AJ55,"")</f>
        <v/>
      </c>
      <c r="H53" s="555" t="str">
        <f ca="1">IF(ListAndConversion!AB55&lt;&gt;"-",ListAndConversion!AK55,"")</f>
        <v/>
      </c>
      <c r="I53" s="566" t="str">
        <f ca="1">IF(ListAndConversion!AB55&lt;&gt;"-",ListAndConversion!AF55,"")</f>
        <v/>
      </c>
    </row>
    <row r="54" spans="1:9" x14ac:dyDescent="0.65">
      <c r="A54" s="564" t="str">
        <f ca="1">IF(ListAndConversion!AA56&lt;&gt;"-",ListAndConversion!AA56,"")</f>
        <v/>
      </c>
      <c r="B54" s="555" t="str">
        <f ca="1">IF(ListAndConversion!AB56&lt;&gt;"-",ListAndConversion!AB56,"")</f>
        <v/>
      </c>
      <c r="C54" s="555" t="str">
        <f ca="1">IF(ListAndConversion!AC56&lt;&gt;"-",ListAndConversion!AC56,"")</f>
        <v/>
      </c>
      <c r="D54" s="555" t="str">
        <f ca="1">IF(ListAndConversion!AB56&lt;&gt;"-",ListAndConversion!W56,"")</f>
        <v/>
      </c>
      <c r="E54" s="555" t="str">
        <f ca="1">IF(ListAndConversion!AB56&lt;&gt;"-",ListAndConversion!Y56,"")</f>
        <v/>
      </c>
      <c r="F54" s="565" t="str">
        <f ca="1">IF(ListAndConversion!AD56&lt;&gt;"-",ListAndConversion!AD56,"")</f>
        <v/>
      </c>
      <c r="G54" s="555" t="str">
        <f ca="1">IF(ListAndConversion!AB56&lt;&gt;"-",ListAndConversion!AJ56,"")</f>
        <v/>
      </c>
      <c r="H54" s="555" t="str">
        <f ca="1">IF(ListAndConversion!AB56&lt;&gt;"-",ListAndConversion!AK56,"")</f>
        <v/>
      </c>
      <c r="I54" s="566" t="str">
        <f ca="1">IF(ListAndConversion!AB56&lt;&gt;"-",ListAndConversion!AF56,"")</f>
        <v/>
      </c>
    </row>
    <row r="55" spans="1:9" x14ac:dyDescent="0.65">
      <c r="A55" s="564" t="str">
        <f ca="1">IF(ListAndConversion!AA57&lt;&gt;"-",ListAndConversion!AA57,"")</f>
        <v/>
      </c>
      <c r="B55" s="555" t="str">
        <f ca="1">IF(ListAndConversion!AB57&lt;&gt;"-",ListAndConversion!AB57,"")</f>
        <v/>
      </c>
      <c r="C55" s="555" t="str">
        <f ca="1">IF(ListAndConversion!AC57&lt;&gt;"-",ListAndConversion!AC57,"")</f>
        <v/>
      </c>
      <c r="D55" s="555" t="str">
        <f ca="1">IF(ListAndConversion!AB57&lt;&gt;"-",ListAndConversion!W57,"")</f>
        <v/>
      </c>
      <c r="E55" s="555" t="str">
        <f ca="1">IF(ListAndConversion!AB57&lt;&gt;"-",ListAndConversion!Y57,"")</f>
        <v/>
      </c>
      <c r="F55" s="565" t="str">
        <f ca="1">IF(ListAndConversion!AD57&lt;&gt;"-",ListAndConversion!AD57,"")</f>
        <v/>
      </c>
      <c r="G55" s="555" t="str">
        <f ca="1">IF(ListAndConversion!AB57&lt;&gt;"-",ListAndConversion!AJ57,"")</f>
        <v/>
      </c>
      <c r="H55" s="555" t="str">
        <f ca="1">IF(ListAndConversion!AB57&lt;&gt;"-",ListAndConversion!AK57,"")</f>
        <v/>
      </c>
      <c r="I55" s="566" t="str">
        <f ca="1">IF(ListAndConversion!AB57&lt;&gt;"-",ListAndConversion!AF57,"")</f>
        <v/>
      </c>
    </row>
    <row r="56" spans="1:9" x14ac:dyDescent="0.65">
      <c r="A56" s="564" t="str">
        <f ca="1">IF(ListAndConversion!AA58&lt;&gt;"-",ListAndConversion!AA58,"")</f>
        <v/>
      </c>
      <c r="B56" s="555" t="str">
        <f ca="1">IF(ListAndConversion!AB58&lt;&gt;"-",ListAndConversion!AB58,"")</f>
        <v/>
      </c>
      <c r="C56" s="555" t="str">
        <f ca="1">IF(ListAndConversion!AC58&lt;&gt;"-",ListAndConversion!AC58,"")</f>
        <v/>
      </c>
      <c r="D56" s="555" t="str">
        <f ca="1">IF(ListAndConversion!AB58&lt;&gt;"-",ListAndConversion!W58,"")</f>
        <v/>
      </c>
      <c r="E56" s="555" t="str">
        <f ca="1">IF(ListAndConversion!AB58&lt;&gt;"-",ListAndConversion!Y58,"")</f>
        <v/>
      </c>
      <c r="F56" s="565" t="str">
        <f ca="1">IF(ListAndConversion!AD58&lt;&gt;"-",ListAndConversion!AD58,"")</f>
        <v/>
      </c>
      <c r="G56" s="555" t="str">
        <f ca="1">IF(ListAndConversion!AB58&lt;&gt;"-",ListAndConversion!AJ58,"")</f>
        <v/>
      </c>
      <c r="H56" s="555" t="str">
        <f ca="1">IF(ListAndConversion!AB58&lt;&gt;"-",ListAndConversion!AK58,"")</f>
        <v/>
      </c>
      <c r="I56" s="566" t="str">
        <f ca="1">IF(ListAndConversion!AB58&lt;&gt;"-",ListAndConversion!AF58,"")</f>
        <v/>
      </c>
    </row>
    <row r="57" spans="1:9" x14ac:dyDescent="0.65">
      <c r="A57" s="564" t="str">
        <f ca="1">IF(ListAndConversion!AA59&lt;&gt;"-",ListAndConversion!AA59,"")</f>
        <v/>
      </c>
      <c r="B57" s="555" t="str">
        <f ca="1">IF(ListAndConversion!AB59&lt;&gt;"-",ListAndConversion!AB59,"")</f>
        <v/>
      </c>
      <c r="C57" s="555" t="str">
        <f ca="1">IF(ListAndConversion!AC59&lt;&gt;"-",ListAndConversion!AC59,"")</f>
        <v/>
      </c>
      <c r="D57" s="555" t="str">
        <f ca="1">IF(ListAndConversion!AB59&lt;&gt;"-",ListAndConversion!W59,"")</f>
        <v/>
      </c>
      <c r="E57" s="555" t="str">
        <f ca="1">IF(ListAndConversion!AB59&lt;&gt;"-",ListAndConversion!Y59,"")</f>
        <v/>
      </c>
      <c r="F57" s="565" t="str">
        <f ca="1">IF(ListAndConversion!AD59&lt;&gt;"-",ListAndConversion!AD59,"")</f>
        <v/>
      </c>
      <c r="G57" s="555" t="str">
        <f ca="1">IF(ListAndConversion!AB59&lt;&gt;"-",ListAndConversion!AJ59,"")</f>
        <v/>
      </c>
      <c r="H57" s="555" t="str">
        <f ca="1">IF(ListAndConversion!AB59&lt;&gt;"-",ListAndConversion!AK59,"")</f>
        <v/>
      </c>
      <c r="I57" s="566" t="str">
        <f ca="1">IF(ListAndConversion!AB59&lt;&gt;"-",ListAndConversion!AF59,"")</f>
        <v/>
      </c>
    </row>
    <row r="58" spans="1:9" x14ac:dyDescent="0.65">
      <c r="A58" s="564" t="str">
        <f ca="1">IF(ListAndConversion!AA60&lt;&gt;"-",ListAndConversion!AA60,"")</f>
        <v/>
      </c>
      <c r="B58" s="555" t="str">
        <f ca="1">IF(ListAndConversion!AB60&lt;&gt;"-",ListAndConversion!AB60,"")</f>
        <v/>
      </c>
      <c r="C58" s="555" t="str">
        <f ca="1">IF(ListAndConversion!AC60&lt;&gt;"-",ListAndConversion!AC60,"")</f>
        <v/>
      </c>
      <c r="D58" s="555" t="str">
        <f ca="1">IF(ListAndConversion!AB60&lt;&gt;"-",ListAndConversion!W60,"")</f>
        <v/>
      </c>
      <c r="E58" s="555" t="str">
        <f ca="1">IF(ListAndConversion!AB60&lt;&gt;"-",ListAndConversion!Y60,"")</f>
        <v/>
      </c>
      <c r="F58" s="565" t="str">
        <f ca="1">IF(ListAndConversion!AD60&lt;&gt;"-",ListAndConversion!AD60,"")</f>
        <v/>
      </c>
      <c r="G58" s="555" t="str">
        <f ca="1">IF(ListAndConversion!AB60&lt;&gt;"-",ListAndConversion!AJ60,"")</f>
        <v/>
      </c>
      <c r="H58" s="555" t="str">
        <f ca="1">IF(ListAndConversion!AB60&lt;&gt;"-",ListAndConversion!AK60,"")</f>
        <v/>
      </c>
      <c r="I58" s="566" t="str">
        <f ca="1">IF(ListAndConversion!AB60&lt;&gt;"-",ListAndConversion!AF60,"")</f>
        <v/>
      </c>
    </row>
    <row r="59" spans="1:9" x14ac:dyDescent="0.65">
      <c r="A59" s="564" t="str">
        <f ca="1">IF(ListAndConversion!AA61&lt;&gt;"-",ListAndConversion!AA61,"")</f>
        <v/>
      </c>
      <c r="B59" s="555" t="str">
        <f ca="1">IF(ListAndConversion!AB61&lt;&gt;"-",ListAndConversion!AB61,"")</f>
        <v/>
      </c>
      <c r="C59" s="555" t="str">
        <f ca="1">IF(ListAndConversion!AC61&lt;&gt;"-",ListAndConversion!AC61,"")</f>
        <v/>
      </c>
      <c r="D59" s="555" t="str">
        <f ca="1">IF(ListAndConversion!AB61&lt;&gt;"-",ListAndConversion!W61,"")</f>
        <v/>
      </c>
      <c r="E59" s="555" t="str">
        <f ca="1">IF(ListAndConversion!AB61&lt;&gt;"-",ListAndConversion!Y61,"")</f>
        <v/>
      </c>
      <c r="F59" s="565" t="str">
        <f ca="1">IF(ListAndConversion!AD61&lt;&gt;"-",ListAndConversion!AD61,"")</f>
        <v/>
      </c>
      <c r="G59" s="555" t="str">
        <f ca="1">IF(ListAndConversion!AB61&lt;&gt;"-",ListAndConversion!AJ61,"")</f>
        <v/>
      </c>
      <c r="H59" s="555" t="str">
        <f ca="1">IF(ListAndConversion!AB61&lt;&gt;"-",ListAndConversion!AK61,"")</f>
        <v/>
      </c>
      <c r="I59" s="566" t="str">
        <f ca="1">IF(ListAndConversion!AB61&lt;&gt;"-",ListAndConversion!AF61,"")</f>
        <v/>
      </c>
    </row>
    <row r="60" spans="1:9" x14ac:dyDescent="0.65">
      <c r="A60" s="564" t="str">
        <f ca="1">IF(ListAndConversion!AA62&lt;&gt;"-",ListAndConversion!AA62,"")</f>
        <v/>
      </c>
      <c r="B60" s="555" t="str">
        <f ca="1">IF(ListAndConversion!AB62&lt;&gt;"-",ListAndConversion!AB62,"")</f>
        <v/>
      </c>
      <c r="C60" s="555" t="str">
        <f ca="1">IF(ListAndConversion!AC62&lt;&gt;"-",ListAndConversion!AC62,"")</f>
        <v/>
      </c>
      <c r="D60" s="555" t="str">
        <f ca="1">IF(ListAndConversion!AB62&lt;&gt;"-",ListAndConversion!W62,"")</f>
        <v/>
      </c>
      <c r="E60" s="555" t="str">
        <f ca="1">IF(ListAndConversion!AB62&lt;&gt;"-",ListAndConversion!Y62,"")</f>
        <v/>
      </c>
      <c r="F60" s="565" t="str">
        <f ca="1">IF(ListAndConversion!AD62&lt;&gt;"-",ListAndConversion!AD62,"")</f>
        <v/>
      </c>
      <c r="G60" s="555" t="str">
        <f ca="1">IF(ListAndConversion!AB62&lt;&gt;"-",ListAndConversion!AJ62,"")</f>
        <v/>
      </c>
      <c r="H60" s="555" t="str">
        <f ca="1">IF(ListAndConversion!AB62&lt;&gt;"-",ListAndConversion!AK62,"")</f>
        <v/>
      </c>
      <c r="I60" s="566" t="str">
        <f ca="1">IF(ListAndConversion!AB62&lt;&gt;"-",ListAndConversion!AF62,"")</f>
        <v/>
      </c>
    </row>
    <row r="61" spans="1:9" x14ac:dyDescent="0.65">
      <c r="A61" s="564" t="str">
        <f ca="1">IF(ListAndConversion!AA63&lt;&gt;"-",ListAndConversion!AA63,"")</f>
        <v/>
      </c>
      <c r="B61" s="555" t="str">
        <f ca="1">IF(ListAndConversion!AB63&lt;&gt;"-",ListAndConversion!AB63,"")</f>
        <v/>
      </c>
      <c r="C61" s="555" t="str">
        <f ca="1">IF(ListAndConversion!AC63&lt;&gt;"-",ListAndConversion!AC63,"")</f>
        <v/>
      </c>
      <c r="D61" s="555" t="str">
        <f ca="1">IF(ListAndConversion!AB63&lt;&gt;"-",ListAndConversion!W63,"")</f>
        <v/>
      </c>
      <c r="E61" s="555" t="str">
        <f ca="1">IF(ListAndConversion!AB63&lt;&gt;"-",ListAndConversion!Y63,"")</f>
        <v/>
      </c>
      <c r="F61" s="565" t="str">
        <f ca="1">IF(ListAndConversion!AD63&lt;&gt;"-",ListAndConversion!AD63,"")</f>
        <v/>
      </c>
      <c r="G61" s="555" t="str">
        <f ca="1">IF(ListAndConversion!AB63&lt;&gt;"-",ListAndConversion!AJ63,"")</f>
        <v/>
      </c>
      <c r="H61" s="555" t="str">
        <f ca="1">IF(ListAndConversion!AB63&lt;&gt;"-",ListAndConversion!AK63,"")</f>
        <v/>
      </c>
      <c r="I61" s="566" t="str">
        <f ca="1">IF(ListAndConversion!AB63&lt;&gt;"-",ListAndConversion!AF63,"")</f>
        <v/>
      </c>
    </row>
    <row r="62" spans="1:9" x14ac:dyDescent="0.65">
      <c r="A62" s="564" t="str">
        <f ca="1">IF(ListAndConversion!AA64&lt;&gt;"-",ListAndConversion!AA64,"")</f>
        <v/>
      </c>
      <c r="B62" s="555" t="str">
        <f ca="1">IF(ListAndConversion!AB64&lt;&gt;"-",ListAndConversion!AB64,"")</f>
        <v/>
      </c>
      <c r="C62" s="555" t="str">
        <f ca="1">IF(ListAndConversion!AC64&lt;&gt;"-",ListAndConversion!AC64,"")</f>
        <v/>
      </c>
      <c r="D62" s="555" t="str">
        <f ca="1">IF(ListAndConversion!AB64&lt;&gt;"-",ListAndConversion!W64,"")</f>
        <v/>
      </c>
      <c r="E62" s="555" t="str">
        <f ca="1">IF(ListAndConversion!AB64&lt;&gt;"-",ListAndConversion!Y64,"")</f>
        <v/>
      </c>
      <c r="F62" s="565" t="str">
        <f ca="1">IF(ListAndConversion!AD64&lt;&gt;"-",ListAndConversion!AD64,"")</f>
        <v/>
      </c>
      <c r="G62" s="555" t="str">
        <f ca="1">IF(ListAndConversion!AB64&lt;&gt;"-",ListAndConversion!AJ64,"")</f>
        <v/>
      </c>
      <c r="H62" s="555" t="str">
        <f ca="1">IF(ListAndConversion!AB64&lt;&gt;"-",ListAndConversion!AK64,"")</f>
        <v/>
      </c>
      <c r="I62" s="566" t="str">
        <f ca="1">IF(ListAndConversion!AB64&lt;&gt;"-",ListAndConversion!AF64,"")</f>
        <v/>
      </c>
    </row>
    <row r="63" spans="1:9" x14ac:dyDescent="0.65">
      <c r="A63" s="564" t="str">
        <f ca="1">IF(ListAndConversion!AA65&lt;&gt;"-",ListAndConversion!AA65,"")</f>
        <v/>
      </c>
      <c r="B63" s="555" t="str">
        <f ca="1">IF(ListAndConversion!AB65&lt;&gt;"-",ListAndConversion!AB65,"")</f>
        <v/>
      </c>
      <c r="C63" s="555" t="str">
        <f ca="1">IF(ListAndConversion!AC65&lt;&gt;"-",ListAndConversion!AC65,"")</f>
        <v/>
      </c>
      <c r="D63" s="555" t="str">
        <f ca="1">IF(ListAndConversion!AB65&lt;&gt;"-",ListAndConversion!W65,"")</f>
        <v/>
      </c>
      <c r="E63" s="555" t="str">
        <f ca="1">IF(ListAndConversion!AB65&lt;&gt;"-",ListAndConversion!Y65,"")</f>
        <v/>
      </c>
      <c r="F63" s="565" t="str">
        <f ca="1">IF(ListAndConversion!AD65&lt;&gt;"-",ListAndConversion!AD65,"")</f>
        <v/>
      </c>
      <c r="G63" s="555" t="str">
        <f ca="1">IF(ListAndConversion!AB65&lt;&gt;"-",ListAndConversion!AJ65,"")</f>
        <v/>
      </c>
      <c r="H63" s="555" t="str">
        <f ca="1">IF(ListAndConversion!AB65&lt;&gt;"-",ListAndConversion!AK65,"")</f>
        <v/>
      </c>
      <c r="I63" s="566" t="str">
        <f ca="1">IF(ListAndConversion!AB65&lt;&gt;"-",ListAndConversion!AF65,"")</f>
        <v/>
      </c>
    </row>
    <row r="64" spans="1:9" x14ac:dyDescent="0.65">
      <c r="A64" s="564" t="str">
        <f ca="1">IF(ListAndConversion!AA66&lt;&gt;"-",ListAndConversion!AA66,"")</f>
        <v/>
      </c>
      <c r="B64" s="555" t="str">
        <f ca="1">IF(ListAndConversion!AB66&lt;&gt;"-",ListAndConversion!AB66,"")</f>
        <v/>
      </c>
      <c r="C64" s="555" t="str">
        <f ca="1">IF(ListAndConversion!AC66&lt;&gt;"-",ListAndConversion!AC66,"")</f>
        <v/>
      </c>
      <c r="D64" s="555" t="str">
        <f ca="1">IF(ListAndConversion!AB66&lt;&gt;"-",ListAndConversion!W66,"")</f>
        <v/>
      </c>
      <c r="E64" s="555" t="str">
        <f ca="1">IF(ListAndConversion!AB66&lt;&gt;"-",ListAndConversion!Y66,"")</f>
        <v/>
      </c>
      <c r="F64" s="565" t="str">
        <f ca="1">IF(ListAndConversion!AD66&lt;&gt;"-",ListAndConversion!AD66,"")</f>
        <v/>
      </c>
      <c r="G64" s="555" t="str">
        <f ca="1">IF(ListAndConversion!AB66&lt;&gt;"-",ListAndConversion!AJ66,"")</f>
        <v/>
      </c>
      <c r="H64" s="555" t="str">
        <f ca="1">IF(ListAndConversion!AB66&lt;&gt;"-",ListAndConversion!AK66,"")</f>
        <v/>
      </c>
      <c r="I64" s="566" t="str">
        <f ca="1">IF(ListAndConversion!AB66&lt;&gt;"-",ListAndConversion!AF66,"")</f>
        <v/>
      </c>
    </row>
    <row r="65" spans="1:9" x14ac:dyDescent="0.65">
      <c r="A65" s="564" t="str">
        <f ca="1">IF(ListAndConversion!AA67&lt;&gt;"-",ListAndConversion!AA67,"")</f>
        <v/>
      </c>
      <c r="B65" s="555" t="str">
        <f ca="1">IF(ListAndConversion!AB67&lt;&gt;"-",ListAndConversion!AB67,"")</f>
        <v/>
      </c>
      <c r="C65" s="555" t="str">
        <f ca="1">IF(ListAndConversion!AC67&lt;&gt;"-",ListAndConversion!AC67,"")</f>
        <v/>
      </c>
      <c r="D65" s="555" t="str">
        <f ca="1">IF(ListAndConversion!AB67&lt;&gt;"-",ListAndConversion!W67,"")</f>
        <v/>
      </c>
      <c r="E65" s="555" t="str">
        <f ca="1">IF(ListAndConversion!AB67&lt;&gt;"-",ListAndConversion!Y67,"")</f>
        <v/>
      </c>
      <c r="F65" s="565" t="str">
        <f ca="1">IF(ListAndConversion!AD67&lt;&gt;"-",ListAndConversion!AD67,"")</f>
        <v/>
      </c>
      <c r="G65" s="555" t="str">
        <f ca="1">IF(ListAndConversion!AB67&lt;&gt;"-",ListAndConversion!AJ67,"")</f>
        <v/>
      </c>
      <c r="H65" s="555" t="str">
        <f ca="1">IF(ListAndConversion!AB67&lt;&gt;"-",ListAndConversion!AK67,"")</f>
        <v/>
      </c>
      <c r="I65" s="566" t="str">
        <f ca="1">IF(ListAndConversion!AB67&lt;&gt;"-",ListAndConversion!AF67,"")</f>
        <v/>
      </c>
    </row>
    <row r="66" spans="1:9" x14ac:dyDescent="0.65">
      <c r="A66" s="564" t="str">
        <f ca="1">IF(ListAndConversion!AA68&lt;&gt;"-",ListAndConversion!AA68,"")</f>
        <v/>
      </c>
      <c r="B66" s="555" t="str">
        <f ca="1">IF(ListAndConversion!AB68&lt;&gt;"-",ListAndConversion!AB68,"")</f>
        <v/>
      </c>
      <c r="C66" s="555" t="str">
        <f ca="1">IF(ListAndConversion!AC68&lt;&gt;"-",ListAndConversion!AC68,"")</f>
        <v/>
      </c>
      <c r="D66" s="555" t="str">
        <f ca="1">IF(ListAndConversion!AB68&lt;&gt;"-",ListAndConversion!W68,"")</f>
        <v/>
      </c>
      <c r="E66" s="555" t="str">
        <f ca="1">IF(ListAndConversion!AB68&lt;&gt;"-",ListAndConversion!Y68,"")</f>
        <v/>
      </c>
      <c r="F66" s="565" t="str">
        <f ca="1">IF(ListAndConversion!AD68&lt;&gt;"-",ListAndConversion!AD68,"")</f>
        <v/>
      </c>
      <c r="G66" s="555" t="str">
        <f ca="1">IF(ListAndConversion!AB68&lt;&gt;"-",ListAndConversion!AJ68,"")</f>
        <v/>
      </c>
      <c r="H66" s="555" t="str">
        <f ca="1">IF(ListAndConversion!AB68&lt;&gt;"-",ListAndConversion!AK68,"")</f>
        <v/>
      </c>
      <c r="I66" s="566" t="str">
        <f ca="1">IF(ListAndConversion!AB68&lt;&gt;"-",ListAndConversion!AF68,"")</f>
        <v/>
      </c>
    </row>
    <row r="67" spans="1:9" x14ac:dyDescent="0.65">
      <c r="A67" s="564" t="str">
        <f ca="1">IF(ListAndConversion!AA69&lt;&gt;"-",ListAndConversion!AA69,"")</f>
        <v/>
      </c>
      <c r="B67" s="555" t="str">
        <f ca="1">IF(ListAndConversion!AB69&lt;&gt;"-",ListAndConversion!AB69,"")</f>
        <v/>
      </c>
      <c r="C67" s="555" t="str">
        <f ca="1">IF(ListAndConversion!AC69&lt;&gt;"-",ListAndConversion!AC69,"")</f>
        <v/>
      </c>
      <c r="D67" s="555" t="str">
        <f ca="1">IF(ListAndConversion!AB69&lt;&gt;"-",ListAndConversion!W69,"")</f>
        <v/>
      </c>
      <c r="E67" s="555" t="str">
        <f ca="1">IF(ListAndConversion!AB69&lt;&gt;"-",ListAndConversion!Y69,"")</f>
        <v/>
      </c>
      <c r="F67" s="565" t="str">
        <f ca="1">IF(ListAndConversion!AD69&lt;&gt;"-",ListAndConversion!AD69,"")</f>
        <v/>
      </c>
      <c r="G67" s="555" t="str">
        <f ca="1">IF(ListAndConversion!AB69&lt;&gt;"-",ListAndConversion!AJ69,"")</f>
        <v/>
      </c>
      <c r="H67" s="555" t="str">
        <f ca="1">IF(ListAndConversion!AB69&lt;&gt;"-",ListAndConversion!AK69,"")</f>
        <v/>
      </c>
      <c r="I67" s="566" t="str">
        <f ca="1">IF(ListAndConversion!AB69&lt;&gt;"-",ListAndConversion!AF69,"")</f>
        <v/>
      </c>
    </row>
    <row r="68" spans="1:9" x14ac:dyDescent="0.65">
      <c r="A68" s="564" t="str">
        <f ca="1">IF(ListAndConversion!AA70&lt;&gt;"-",ListAndConversion!AA70,"")</f>
        <v/>
      </c>
      <c r="B68" s="555" t="str">
        <f ca="1">IF(ListAndConversion!AB70&lt;&gt;"-",ListAndConversion!AB70,"")</f>
        <v/>
      </c>
      <c r="C68" s="555" t="str">
        <f ca="1">IF(ListAndConversion!AC70&lt;&gt;"-",ListAndConversion!AC70,"")</f>
        <v/>
      </c>
      <c r="D68" s="555" t="str">
        <f ca="1">IF(ListAndConversion!AB70&lt;&gt;"-",ListAndConversion!W70,"")</f>
        <v/>
      </c>
      <c r="E68" s="555" t="str">
        <f ca="1">IF(ListAndConversion!AB70&lt;&gt;"-",ListAndConversion!Y70,"")</f>
        <v/>
      </c>
      <c r="F68" s="565" t="str">
        <f ca="1">IF(ListAndConversion!AD70&lt;&gt;"-",ListAndConversion!AD70,"")</f>
        <v/>
      </c>
      <c r="G68" s="555" t="str">
        <f ca="1">IF(ListAndConversion!AB70&lt;&gt;"-",ListAndConversion!AJ70,"")</f>
        <v/>
      </c>
      <c r="H68" s="555" t="str">
        <f ca="1">IF(ListAndConversion!AB70&lt;&gt;"-",ListAndConversion!AK70,"")</f>
        <v/>
      </c>
      <c r="I68" s="566" t="str">
        <f ca="1">IF(ListAndConversion!AB70&lt;&gt;"-",ListAndConversion!AF70,"")</f>
        <v/>
      </c>
    </row>
    <row r="69" spans="1:9" x14ac:dyDescent="0.65">
      <c r="A69" s="564" t="str">
        <f ca="1">IF(ListAndConversion!AA71&lt;&gt;"-",ListAndConversion!AA71,"")</f>
        <v/>
      </c>
      <c r="B69" s="555" t="str">
        <f ca="1">IF(ListAndConversion!AB71&lt;&gt;"-",ListAndConversion!AB71,"")</f>
        <v/>
      </c>
      <c r="C69" s="555" t="str">
        <f ca="1">IF(ListAndConversion!AC71&lt;&gt;"-",ListAndConversion!AC71,"")</f>
        <v/>
      </c>
      <c r="D69" s="555" t="str">
        <f ca="1">IF(ListAndConversion!AB71&lt;&gt;"-",ListAndConversion!W71,"")</f>
        <v/>
      </c>
      <c r="E69" s="555" t="str">
        <f ca="1">IF(ListAndConversion!AB71&lt;&gt;"-",ListAndConversion!Y71,"")</f>
        <v/>
      </c>
      <c r="F69" s="565" t="str">
        <f ca="1">IF(ListAndConversion!AD71&lt;&gt;"-",ListAndConversion!AD71,"")</f>
        <v/>
      </c>
      <c r="G69" s="555" t="str">
        <f ca="1">IF(ListAndConversion!AB71&lt;&gt;"-",ListAndConversion!AJ71,"")</f>
        <v/>
      </c>
      <c r="H69" s="555" t="str">
        <f ca="1">IF(ListAndConversion!AB71&lt;&gt;"-",ListAndConversion!AK71,"")</f>
        <v/>
      </c>
      <c r="I69" s="566" t="str">
        <f ca="1">IF(ListAndConversion!AB71&lt;&gt;"-",ListAndConversion!AF71,"")</f>
        <v/>
      </c>
    </row>
    <row r="70" spans="1:9" x14ac:dyDescent="0.65">
      <c r="A70" s="564" t="str">
        <f ca="1">IF(ListAndConversion!AA72&lt;&gt;"-",ListAndConversion!AA72,"")</f>
        <v/>
      </c>
      <c r="B70" s="555" t="str">
        <f ca="1">IF(ListAndConversion!AB72&lt;&gt;"-",ListAndConversion!AB72,"")</f>
        <v/>
      </c>
      <c r="C70" s="555" t="str">
        <f ca="1">IF(ListAndConversion!AC72&lt;&gt;"-",ListAndConversion!AC72,"")</f>
        <v/>
      </c>
      <c r="D70" s="555" t="str">
        <f ca="1">IF(ListAndConversion!AB72&lt;&gt;"-",ListAndConversion!W72,"")</f>
        <v/>
      </c>
      <c r="E70" s="555" t="str">
        <f ca="1">IF(ListAndConversion!AB72&lt;&gt;"-",ListAndConversion!Y72,"")</f>
        <v/>
      </c>
      <c r="F70" s="565" t="str">
        <f ca="1">IF(ListAndConversion!AD72&lt;&gt;"-",ListAndConversion!AD72,"")</f>
        <v/>
      </c>
      <c r="G70" s="555" t="str">
        <f ca="1">IF(ListAndConversion!AB72&lt;&gt;"-",ListAndConversion!AJ72,"")</f>
        <v/>
      </c>
      <c r="H70" s="555" t="str">
        <f ca="1">IF(ListAndConversion!AB72&lt;&gt;"-",ListAndConversion!AK72,"")</f>
        <v/>
      </c>
      <c r="I70" s="566" t="str">
        <f ca="1">IF(ListAndConversion!AB72&lt;&gt;"-",ListAndConversion!AF72,"")</f>
        <v/>
      </c>
    </row>
    <row r="71" spans="1:9" x14ac:dyDescent="0.65">
      <c r="A71" s="564" t="str">
        <f ca="1">IF(ListAndConversion!AA73&lt;&gt;"-",ListAndConversion!AA73,"")</f>
        <v/>
      </c>
      <c r="B71" s="555" t="str">
        <f ca="1">IF(ListAndConversion!AB73&lt;&gt;"-",ListAndConversion!AB73,"")</f>
        <v/>
      </c>
      <c r="C71" s="555" t="str">
        <f ca="1">IF(ListAndConversion!AC73&lt;&gt;"-",ListAndConversion!AC73,"")</f>
        <v/>
      </c>
      <c r="D71" s="555" t="str">
        <f ca="1">IF(ListAndConversion!AB73&lt;&gt;"-",ListAndConversion!W73,"")</f>
        <v/>
      </c>
      <c r="E71" s="555" t="str">
        <f ca="1">IF(ListAndConversion!AB73&lt;&gt;"-",ListAndConversion!Y73,"")</f>
        <v/>
      </c>
      <c r="F71" s="565" t="str">
        <f ca="1">IF(ListAndConversion!AD73&lt;&gt;"-",ListAndConversion!AD73,"")</f>
        <v/>
      </c>
      <c r="G71" s="555" t="str">
        <f ca="1">IF(ListAndConversion!AB73&lt;&gt;"-",ListAndConversion!AJ73,"")</f>
        <v/>
      </c>
      <c r="H71" s="555" t="str">
        <f ca="1">IF(ListAndConversion!AB73&lt;&gt;"-",ListAndConversion!AK73,"")</f>
        <v/>
      </c>
      <c r="I71" s="566" t="str">
        <f ca="1">IF(ListAndConversion!AB73&lt;&gt;"-",ListAndConversion!AF73,"")</f>
        <v/>
      </c>
    </row>
    <row r="72" spans="1:9" x14ac:dyDescent="0.65">
      <c r="A72" s="564" t="str">
        <f ca="1">IF(ListAndConversion!AA74&lt;&gt;"-",ListAndConversion!AA74,"")</f>
        <v/>
      </c>
      <c r="B72" s="555" t="str">
        <f ca="1">IF(ListAndConversion!AB74&lt;&gt;"-",ListAndConversion!AB74,"")</f>
        <v/>
      </c>
      <c r="C72" s="555" t="str">
        <f ca="1">IF(ListAndConversion!AC74&lt;&gt;"-",ListAndConversion!AC74,"")</f>
        <v/>
      </c>
      <c r="D72" s="555" t="str">
        <f ca="1">IF(ListAndConversion!AB74&lt;&gt;"-",ListAndConversion!W74,"")</f>
        <v/>
      </c>
      <c r="E72" s="555" t="str">
        <f ca="1">IF(ListAndConversion!AB74&lt;&gt;"-",ListAndConversion!Y74,"")</f>
        <v/>
      </c>
      <c r="F72" s="565" t="str">
        <f ca="1">IF(ListAndConversion!AD74&lt;&gt;"-",ListAndConversion!AD74,"")</f>
        <v/>
      </c>
      <c r="G72" s="555" t="str">
        <f ca="1">IF(ListAndConversion!AB74&lt;&gt;"-",ListAndConversion!AJ74,"")</f>
        <v/>
      </c>
      <c r="H72" s="555" t="str">
        <f ca="1">IF(ListAndConversion!AB74&lt;&gt;"-",ListAndConversion!AK74,"")</f>
        <v/>
      </c>
      <c r="I72" s="566" t="str">
        <f ca="1">IF(ListAndConversion!AB74&lt;&gt;"-",ListAndConversion!AF74,"")</f>
        <v/>
      </c>
    </row>
    <row r="73" spans="1:9" x14ac:dyDescent="0.65">
      <c r="A73" s="564" t="str">
        <f ca="1">IF(ListAndConversion!AA75&lt;&gt;"-",ListAndConversion!AA75,"")</f>
        <v/>
      </c>
      <c r="B73" s="555" t="str">
        <f ca="1">IF(ListAndConversion!AB75&lt;&gt;"-",ListAndConversion!AB75,"")</f>
        <v/>
      </c>
      <c r="C73" s="555" t="str">
        <f ca="1">IF(ListAndConversion!AC75&lt;&gt;"-",ListAndConversion!AC75,"")</f>
        <v/>
      </c>
      <c r="D73" s="555" t="str">
        <f ca="1">IF(ListAndConversion!AB75&lt;&gt;"-",ListAndConversion!W75,"")</f>
        <v/>
      </c>
      <c r="E73" s="555" t="str">
        <f ca="1">IF(ListAndConversion!AB75&lt;&gt;"-",ListAndConversion!Y75,"")</f>
        <v/>
      </c>
      <c r="F73" s="565" t="str">
        <f ca="1">IF(ListAndConversion!AD75&lt;&gt;"-",ListAndConversion!AD75,"")</f>
        <v/>
      </c>
      <c r="G73" s="555" t="str">
        <f ca="1">IF(ListAndConversion!AB75&lt;&gt;"-",ListAndConversion!AJ75,"")</f>
        <v/>
      </c>
      <c r="H73" s="555" t="str">
        <f ca="1">IF(ListAndConversion!AB75&lt;&gt;"-",ListAndConversion!AK75,"")</f>
        <v/>
      </c>
      <c r="I73" s="566" t="str">
        <f ca="1">IF(ListAndConversion!AB75&lt;&gt;"-",ListAndConversion!AF75,"")</f>
        <v/>
      </c>
    </row>
    <row r="74" spans="1:9" x14ac:dyDescent="0.65">
      <c r="A74" s="564" t="str">
        <f ca="1">IF(ListAndConversion!AA76&lt;&gt;"-",ListAndConversion!AA76,"")</f>
        <v/>
      </c>
      <c r="B74" s="555" t="str">
        <f ca="1">IF(ListAndConversion!AB76&lt;&gt;"-",ListAndConversion!AB76,"")</f>
        <v/>
      </c>
      <c r="C74" s="555" t="str">
        <f ca="1">IF(ListAndConversion!AC76&lt;&gt;"-",ListAndConversion!AC76,"")</f>
        <v/>
      </c>
      <c r="D74" s="555" t="str">
        <f ca="1">IF(ListAndConversion!AB76&lt;&gt;"-",ListAndConversion!W76,"")</f>
        <v/>
      </c>
      <c r="E74" s="555" t="str">
        <f ca="1">IF(ListAndConversion!AB76&lt;&gt;"-",ListAndConversion!Y76,"")</f>
        <v/>
      </c>
      <c r="F74" s="565" t="str">
        <f ca="1">IF(ListAndConversion!AD76&lt;&gt;"-",ListAndConversion!AD76,"")</f>
        <v/>
      </c>
      <c r="G74" s="555" t="str">
        <f ca="1">IF(ListAndConversion!AB76&lt;&gt;"-",ListAndConversion!AJ76,"")</f>
        <v/>
      </c>
      <c r="H74" s="555" t="str">
        <f ca="1">IF(ListAndConversion!AB76&lt;&gt;"-",ListAndConversion!AK76,"")</f>
        <v/>
      </c>
      <c r="I74" s="566" t="str">
        <f ca="1">IF(ListAndConversion!AB76&lt;&gt;"-",ListAndConversion!AF76,"")</f>
        <v/>
      </c>
    </row>
    <row r="75" spans="1:9" x14ac:dyDescent="0.65">
      <c r="A75" s="564" t="str">
        <f ca="1">IF(ListAndConversion!AA77&lt;&gt;"-",ListAndConversion!AA77,"")</f>
        <v/>
      </c>
      <c r="B75" s="555" t="str">
        <f ca="1">IF(ListAndConversion!AB77&lt;&gt;"-",ListAndConversion!AB77,"")</f>
        <v/>
      </c>
      <c r="C75" s="555" t="str">
        <f ca="1">IF(ListAndConversion!AC77&lt;&gt;"-",ListAndConversion!AC77,"")</f>
        <v/>
      </c>
      <c r="D75" s="555" t="str">
        <f ca="1">IF(ListAndConversion!AB77&lt;&gt;"-",ListAndConversion!W77,"")</f>
        <v/>
      </c>
      <c r="E75" s="555" t="str">
        <f ca="1">IF(ListAndConversion!AB77&lt;&gt;"-",ListAndConversion!Y77,"")</f>
        <v/>
      </c>
      <c r="F75" s="565" t="str">
        <f ca="1">IF(ListAndConversion!AD77&lt;&gt;"-",ListAndConversion!AD77,"")</f>
        <v/>
      </c>
      <c r="G75" s="555" t="str">
        <f ca="1">IF(ListAndConversion!AB77&lt;&gt;"-",ListAndConversion!AJ77,"")</f>
        <v/>
      </c>
      <c r="H75" s="555" t="str">
        <f ca="1">IF(ListAndConversion!AB77&lt;&gt;"-",ListAndConversion!AK77,"")</f>
        <v/>
      </c>
      <c r="I75" s="566" t="str">
        <f ca="1">IF(ListAndConversion!AB77&lt;&gt;"-",ListAndConversion!AF77,"")</f>
        <v/>
      </c>
    </row>
    <row r="76" spans="1:9" x14ac:dyDescent="0.65">
      <c r="A76" s="564" t="str">
        <f ca="1">IF(ListAndConversion!AA78&lt;&gt;"-",ListAndConversion!AA78,"")</f>
        <v/>
      </c>
      <c r="B76" s="555" t="str">
        <f ca="1">IF(ListAndConversion!AB78&lt;&gt;"-",ListAndConversion!AB78,"")</f>
        <v/>
      </c>
      <c r="C76" s="555" t="str">
        <f ca="1">IF(ListAndConversion!AC78&lt;&gt;"-",ListAndConversion!AC78,"")</f>
        <v/>
      </c>
      <c r="D76" s="555" t="str">
        <f ca="1">IF(ListAndConversion!AB78&lt;&gt;"-",ListAndConversion!W78,"")</f>
        <v/>
      </c>
      <c r="E76" s="555" t="str">
        <f ca="1">IF(ListAndConversion!AB78&lt;&gt;"-",ListAndConversion!Y78,"")</f>
        <v/>
      </c>
      <c r="F76" s="565" t="str">
        <f ca="1">IF(ListAndConversion!AD78&lt;&gt;"-",ListAndConversion!AD78,"")</f>
        <v/>
      </c>
      <c r="G76" s="555" t="str">
        <f ca="1">IF(ListAndConversion!AB78&lt;&gt;"-",ListAndConversion!AJ78,"")</f>
        <v/>
      </c>
      <c r="H76" s="555" t="str">
        <f ca="1">IF(ListAndConversion!AB78&lt;&gt;"-",ListAndConversion!AK78,"")</f>
        <v/>
      </c>
      <c r="I76" s="566" t="str">
        <f ca="1">IF(ListAndConversion!AB78&lt;&gt;"-",ListAndConversion!AF78,"")</f>
        <v/>
      </c>
    </row>
    <row r="77" spans="1:9" x14ac:dyDescent="0.65">
      <c r="A77" s="564" t="str">
        <f ca="1">IF(ListAndConversion!AA79&lt;&gt;"-",ListAndConversion!AA79,"")</f>
        <v/>
      </c>
      <c r="B77" s="555" t="str">
        <f ca="1">IF(ListAndConversion!AB79&lt;&gt;"-",ListAndConversion!AB79,"")</f>
        <v/>
      </c>
      <c r="C77" s="555" t="str">
        <f ca="1">IF(ListAndConversion!AC79&lt;&gt;"-",ListAndConversion!AC79,"")</f>
        <v/>
      </c>
      <c r="D77" s="555" t="str">
        <f ca="1">IF(ListAndConversion!AB79&lt;&gt;"-",ListAndConversion!W79,"")</f>
        <v/>
      </c>
      <c r="E77" s="555" t="str">
        <f ca="1">IF(ListAndConversion!AB79&lt;&gt;"-",ListAndConversion!Y79,"")</f>
        <v/>
      </c>
      <c r="F77" s="565" t="str">
        <f ca="1">IF(ListAndConversion!AD79&lt;&gt;"-",ListAndConversion!AD79,"")</f>
        <v/>
      </c>
      <c r="G77" s="555" t="str">
        <f ca="1">IF(ListAndConversion!AB79&lt;&gt;"-",ListAndConversion!AJ79,"")</f>
        <v/>
      </c>
      <c r="H77" s="555" t="str">
        <f ca="1">IF(ListAndConversion!AB79&lt;&gt;"-",ListAndConversion!AK79,"")</f>
        <v/>
      </c>
      <c r="I77" s="566" t="str">
        <f ca="1">IF(ListAndConversion!AB79&lt;&gt;"-",ListAndConversion!AF79,"")</f>
        <v/>
      </c>
    </row>
    <row r="78" spans="1:9" x14ac:dyDescent="0.65">
      <c r="A78" s="564" t="str">
        <f ca="1">IF(ListAndConversion!AA80&lt;&gt;"-",ListAndConversion!AA80,"")</f>
        <v/>
      </c>
      <c r="B78" s="555" t="str">
        <f ca="1">IF(ListAndConversion!AB80&lt;&gt;"-",ListAndConversion!AB80,"")</f>
        <v/>
      </c>
      <c r="C78" s="555" t="str">
        <f ca="1">IF(ListAndConversion!AC80&lt;&gt;"-",ListAndConversion!AC80,"")</f>
        <v/>
      </c>
      <c r="D78" s="555" t="str">
        <f ca="1">IF(ListAndConversion!AB80&lt;&gt;"-",ListAndConversion!W80,"")</f>
        <v/>
      </c>
      <c r="E78" s="555" t="str">
        <f ca="1">IF(ListAndConversion!AB80&lt;&gt;"-",ListAndConversion!Y80,"")</f>
        <v/>
      </c>
      <c r="F78" s="565" t="str">
        <f ca="1">IF(ListAndConversion!AD80&lt;&gt;"-",ListAndConversion!AD80,"")</f>
        <v/>
      </c>
      <c r="G78" s="555" t="str">
        <f ca="1">IF(ListAndConversion!AB80&lt;&gt;"-",ListAndConversion!AJ80,"")</f>
        <v/>
      </c>
      <c r="H78" s="555" t="str">
        <f ca="1">IF(ListAndConversion!AB80&lt;&gt;"-",ListAndConversion!AK80,"")</f>
        <v/>
      </c>
      <c r="I78" s="566" t="str">
        <f ca="1">IF(ListAndConversion!AB80&lt;&gt;"-",ListAndConversion!AF80,"")</f>
        <v/>
      </c>
    </row>
    <row r="79" spans="1:9" x14ac:dyDescent="0.65">
      <c r="A79" s="564" t="str">
        <f ca="1">IF(ListAndConversion!AA81&lt;&gt;"-",ListAndConversion!AA81,"")</f>
        <v/>
      </c>
      <c r="B79" s="555" t="str">
        <f ca="1">IF(ListAndConversion!AB81&lt;&gt;"-",ListAndConversion!AB81,"")</f>
        <v/>
      </c>
      <c r="C79" s="555" t="str">
        <f ca="1">IF(ListAndConversion!AC81&lt;&gt;"-",ListAndConversion!AC81,"")</f>
        <v/>
      </c>
      <c r="D79" s="555" t="str">
        <f ca="1">IF(ListAndConversion!AB81&lt;&gt;"-",ListAndConversion!W81,"")</f>
        <v/>
      </c>
      <c r="E79" s="555" t="str">
        <f ca="1">IF(ListAndConversion!AB81&lt;&gt;"-",ListAndConversion!Y81,"")</f>
        <v/>
      </c>
      <c r="F79" s="565" t="str">
        <f ca="1">IF(ListAndConversion!AD81&lt;&gt;"-",ListAndConversion!AD81,"")</f>
        <v/>
      </c>
      <c r="G79" s="555" t="str">
        <f ca="1">IF(ListAndConversion!AB81&lt;&gt;"-",ListAndConversion!AJ81,"")</f>
        <v/>
      </c>
      <c r="H79" s="555" t="str">
        <f ca="1">IF(ListAndConversion!AB81&lt;&gt;"-",ListAndConversion!AK81,"")</f>
        <v/>
      </c>
      <c r="I79" s="566" t="str">
        <f ca="1">IF(ListAndConversion!AB81&lt;&gt;"-",ListAndConversion!AF81,"")</f>
        <v/>
      </c>
    </row>
    <row r="80" spans="1:9" x14ac:dyDescent="0.65">
      <c r="A80" s="564" t="str">
        <f ca="1">IF(ListAndConversion!AA82&lt;&gt;"-",ListAndConversion!AA82,"")</f>
        <v/>
      </c>
      <c r="B80" s="555" t="str">
        <f ca="1">IF(ListAndConversion!AB82&lt;&gt;"-",ListAndConversion!AB82,"")</f>
        <v/>
      </c>
      <c r="C80" s="555" t="str">
        <f ca="1">IF(ListAndConversion!AC82&lt;&gt;"-",ListAndConversion!AC82,"")</f>
        <v/>
      </c>
      <c r="D80" s="555" t="str">
        <f ca="1">IF(ListAndConversion!AB82&lt;&gt;"-",ListAndConversion!W82,"")</f>
        <v/>
      </c>
      <c r="E80" s="555" t="str">
        <f ca="1">IF(ListAndConversion!AB82&lt;&gt;"-",ListAndConversion!Y82,"")</f>
        <v/>
      </c>
      <c r="F80" s="565" t="str">
        <f ca="1">IF(ListAndConversion!AD82&lt;&gt;"-",ListAndConversion!AD82,"")</f>
        <v/>
      </c>
      <c r="G80" s="555" t="str">
        <f ca="1">IF(ListAndConversion!AB82&lt;&gt;"-",ListAndConversion!AJ82,"")</f>
        <v/>
      </c>
      <c r="H80" s="555" t="str">
        <f ca="1">IF(ListAndConversion!AB82&lt;&gt;"-",ListAndConversion!AK82,"")</f>
        <v/>
      </c>
      <c r="I80" s="566" t="str">
        <f ca="1">IF(ListAndConversion!AB82&lt;&gt;"-",ListAndConversion!AF82,"")</f>
        <v/>
      </c>
    </row>
    <row r="81" spans="1:9" x14ac:dyDescent="0.65">
      <c r="A81" s="564" t="str">
        <f ca="1">IF(ListAndConversion!AA83&lt;&gt;"-",ListAndConversion!AA83,"")</f>
        <v/>
      </c>
      <c r="B81" s="555" t="str">
        <f ca="1">IF(ListAndConversion!AB83&lt;&gt;"-",ListAndConversion!AB83,"")</f>
        <v/>
      </c>
      <c r="C81" s="555" t="str">
        <f ca="1">IF(ListAndConversion!AC83&lt;&gt;"-",ListAndConversion!AC83,"")</f>
        <v/>
      </c>
      <c r="D81" s="555" t="str">
        <f ca="1">IF(ListAndConversion!AB83&lt;&gt;"-",ListAndConversion!W83,"")</f>
        <v/>
      </c>
      <c r="E81" s="555" t="str">
        <f ca="1">IF(ListAndConversion!AB83&lt;&gt;"-",ListAndConversion!Y83,"")</f>
        <v/>
      </c>
      <c r="F81" s="565" t="str">
        <f ca="1">IF(ListAndConversion!AD83&lt;&gt;"-",ListAndConversion!AD83,"")</f>
        <v/>
      </c>
      <c r="G81" s="555" t="str">
        <f ca="1">IF(ListAndConversion!AB83&lt;&gt;"-",ListAndConversion!AJ83,"")</f>
        <v/>
      </c>
      <c r="H81" s="555" t="str">
        <f ca="1">IF(ListAndConversion!AB83&lt;&gt;"-",ListAndConversion!AK83,"")</f>
        <v/>
      </c>
      <c r="I81" s="566" t="str">
        <f ca="1">IF(ListAndConversion!AB83&lt;&gt;"-",ListAndConversion!AF83,"")</f>
        <v/>
      </c>
    </row>
    <row r="82" spans="1:9" x14ac:dyDescent="0.65">
      <c r="A82" s="564" t="str">
        <f ca="1">IF(ListAndConversion!AA84&lt;&gt;"-",ListAndConversion!AA84,"")</f>
        <v/>
      </c>
      <c r="B82" s="555" t="str">
        <f ca="1">IF(ListAndConversion!AB84&lt;&gt;"-",ListAndConversion!AB84,"")</f>
        <v/>
      </c>
      <c r="C82" s="555" t="str">
        <f ca="1">IF(ListAndConversion!AC84&lt;&gt;"-",ListAndConversion!AC84,"")</f>
        <v/>
      </c>
      <c r="D82" s="555" t="str">
        <f ca="1">IF(ListAndConversion!AB84&lt;&gt;"-",ListAndConversion!W84,"")</f>
        <v/>
      </c>
      <c r="E82" s="555" t="str">
        <f ca="1">IF(ListAndConversion!AB84&lt;&gt;"-",ListAndConversion!Y84,"")</f>
        <v/>
      </c>
      <c r="F82" s="565" t="str">
        <f ca="1">IF(ListAndConversion!AD84&lt;&gt;"-",ListAndConversion!AD84,"")</f>
        <v/>
      </c>
      <c r="G82" s="555" t="str">
        <f ca="1">IF(ListAndConversion!AB84&lt;&gt;"-",ListAndConversion!AJ84,"")</f>
        <v/>
      </c>
      <c r="H82" s="555" t="str">
        <f ca="1">IF(ListAndConversion!AB84&lt;&gt;"-",ListAndConversion!AK84,"")</f>
        <v/>
      </c>
      <c r="I82" s="566" t="str">
        <f ca="1">IF(ListAndConversion!AB84&lt;&gt;"-",ListAndConversion!AF84,"")</f>
        <v/>
      </c>
    </row>
    <row r="83" spans="1:9" x14ac:dyDescent="0.65">
      <c r="A83" s="564" t="str">
        <f ca="1">IF(ListAndConversion!AA85&lt;&gt;"-",ListAndConversion!AA85,"")</f>
        <v/>
      </c>
      <c r="B83" s="555" t="str">
        <f ca="1">IF(ListAndConversion!AB85&lt;&gt;"-",ListAndConversion!AB85,"")</f>
        <v/>
      </c>
      <c r="C83" s="555" t="str">
        <f ca="1">IF(ListAndConversion!AC85&lt;&gt;"-",ListAndConversion!AC85,"")</f>
        <v/>
      </c>
      <c r="D83" s="555" t="str">
        <f ca="1">IF(ListAndConversion!AB85&lt;&gt;"-",ListAndConversion!W85,"")</f>
        <v/>
      </c>
      <c r="E83" s="555" t="str">
        <f ca="1">IF(ListAndConversion!AB85&lt;&gt;"-",ListAndConversion!Y85,"")</f>
        <v/>
      </c>
      <c r="F83" s="565" t="str">
        <f ca="1">IF(ListAndConversion!AD85&lt;&gt;"-",ListAndConversion!AD85,"")</f>
        <v/>
      </c>
      <c r="G83" s="555" t="str">
        <f ca="1">IF(ListAndConversion!AB85&lt;&gt;"-",ListAndConversion!AJ85,"")</f>
        <v/>
      </c>
      <c r="H83" s="555" t="str">
        <f ca="1">IF(ListAndConversion!AB85&lt;&gt;"-",ListAndConversion!AK85,"")</f>
        <v/>
      </c>
      <c r="I83" s="566" t="str">
        <f ca="1">IF(ListAndConversion!AB85&lt;&gt;"-",ListAndConversion!AF85,"")</f>
        <v/>
      </c>
    </row>
    <row r="84" spans="1:9" x14ac:dyDescent="0.65">
      <c r="A84" s="564" t="str">
        <f ca="1">IF(ListAndConversion!AA86&lt;&gt;"-",ListAndConversion!AA86,"")</f>
        <v/>
      </c>
      <c r="B84" s="555" t="str">
        <f ca="1">IF(ListAndConversion!AB86&lt;&gt;"-",ListAndConversion!AB86,"")</f>
        <v/>
      </c>
      <c r="C84" s="555" t="str">
        <f ca="1">IF(ListAndConversion!AC86&lt;&gt;"-",ListAndConversion!AC86,"")</f>
        <v/>
      </c>
      <c r="D84" s="555" t="str">
        <f ca="1">IF(ListAndConversion!AB86&lt;&gt;"-",ListAndConversion!W86,"")</f>
        <v/>
      </c>
      <c r="E84" s="555" t="str">
        <f ca="1">IF(ListAndConversion!AB86&lt;&gt;"-",ListAndConversion!Y86,"")</f>
        <v/>
      </c>
      <c r="F84" s="565" t="str">
        <f ca="1">IF(ListAndConversion!AD86&lt;&gt;"-",ListAndConversion!AD86,"")</f>
        <v/>
      </c>
      <c r="G84" s="555" t="str">
        <f ca="1">IF(ListAndConversion!AB86&lt;&gt;"-",ListAndConversion!AJ86,"")</f>
        <v/>
      </c>
      <c r="H84" s="555" t="str">
        <f ca="1">IF(ListAndConversion!AB86&lt;&gt;"-",ListAndConversion!AK86,"")</f>
        <v/>
      </c>
      <c r="I84" s="566" t="str">
        <f ca="1">IF(ListAndConversion!AB86&lt;&gt;"-",ListAndConversion!AF86,"")</f>
        <v/>
      </c>
    </row>
    <row r="85" spans="1:9" x14ac:dyDescent="0.65">
      <c r="A85" s="564" t="str">
        <f ca="1">IF(ListAndConversion!AA87&lt;&gt;"-",ListAndConversion!AA87,"")</f>
        <v/>
      </c>
      <c r="B85" s="555" t="str">
        <f ca="1">IF(ListAndConversion!AB87&lt;&gt;"-",ListAndConversion!AB87,"")</f>
        <v/>
      </c>
      <c r="C85" s="555" t="str">
        <f ca="1">IF(ListAndConversion!AC87&lt;&gt;"-",ListAndConversion!AC87,"")</f>
        <v/>
      </c>
      <c r="D85" s="555" t="str">
        <f ca="1">IF(ListAndConversion!AB87&lt;&gt;"-",ListAndConversion!W87,"")</f>
        <v/>
      </c>
      <c r="E85" s="555" t="str">
        <f ca="1">IF(ListAndConversion!AB87&lt;&gt;"-",ListAndConversion!Y87,"")</f>
        <v/>
      </c>
      <c r="F85" s="565" t="str">
        <f ca="1">IF(ListAndConversion!AD87&lt;&gt;"-",ListAndConversion!AD87,"")</f>
        <v/>
      </c>
      <c r="G85" s="555" t="str">
        <f ca="1">IF(ListAndConversion!AB87&lt;&gt;"-",ListAndConversion!AJ87,"")</f>
        <v/>
      </c>
      <c r="H85" s="555" t="str">
        <f ca="1">IF(ListAndConversion!AB87&lt;&gt;"-",ListAndConversion!AK87,"")</f>
        <v/>
      </c>
      <c r="I85" s="566" t="str">
        <f ca="1">IF(ListAndConversion!AB87&lt;&gt;"-",ListAndConversion!AF87,"")</f>
        <v/>
      </c>
    </row>
    <row r="86" spans="1:9" x14ac:dyDescent="0.65">
      <c r="A86" s="564" t="str">
        <f ca="1">IF(ListAndConversion!AA88&lt;&gt;"-",ListAndConversion!AA88,"")</f>
        <v/>
      </c>
      <c r="B86" s="555" t="str">
        <f ca="1">IF(ListAndConversion!AB88&lt;&gt;"-",ListAndConversion!AB88,"")</f>
        <v/>
      </c>
      <c r="C86" s="555" t="str">
        <f ca="1">IF(ListAndConversion!AC88&lt;&gt;"-",ListAndConversion!AC88,"")</f>
        <v/>
      </c>
      <c r="D86" s="555" t="str">
        <f ca="1">IF(ListAndConversion!AB88&lt;&gt;"-",ListAndConversion!W88,"")</f>
        <v/>
      </c>
      <c r="E86" s="555" t="str">
        <f ca="1">IF(ListAndConversion!AB88&lt;&gt;"-",ListAndConversion!Y88,"")</f>
        <v/>
      </c>
      <c r="F86" s="565" t="str">
        <f ca="1">IF(ListAndConversion!AD88&lt;&gt;"-",ListAndConversion!AD88,"")</f>
        <v/>
      </c>
      <c r="G86" s="555" t="str">
        <f ca="1">IF(ListAndConversion!AB88&lt;&gt;"-",ListAndConversion!AJ88,"")</f>
        <v/>
      </c>
      <c r="H86" s="555" t="str">
        <f ca="1">IF(ListAndConversion!AB88&lt;&gt;"-",ListAndConversion!AK88,"")</f>
        <v/>
      </c>
      <c r="I86" s="566" t="str">
        <f ca="1">IF(ListAndConversion!AB88&lt;&gt;"-",ListAndConversion!AF88,"")</f>
        <v/>
      </c>
    </row>
    <row r="87" spans="1:9" x14ac:dyDescent="0.65">
      <c r="A87" s="564" t="str">
        <f ca="1">IF(ListAndConversion!AA89&lt;&gt;"-",ListAndConversion!AA89,"")</f>
        <v/>
      </c>
      <c r="B87" s="555" t="str">
        <f ca="1">IF(ListAndConversion!AB89&lt;&gt;"-",ListAndConversion!AB89,"")</f>
        <v/>
      </c>
      <c r="C87" s="555" t="str">
        <f ca="1">IF(ListAndConversion!AC89&lt;&gt;"-",ListAndConversion!AC89,"")</f>
        <v/>
      </c>
      <c r="D87" s="555" t="str">
        <f ca="1">IF(ListAndConversion!AB89&lt;&gt;"-",ListAndConversion!W89,"")</f>
        <v/>
      </c>
      <c r="E87" s="555" t="str">
        <f ca="1">IF(ListAndConversion!AB89&lt;&gt;"-",ListAndConversion!Y89,"")</f>
        <v/>
      </c>
      <c r="F87" s="565" t="str">
        <f ca="1">IF(ListAndConversion!AD89&lt;&gt;"-",ListAndConversion!AD89,"")</f>
        <v/>
      </c>
      <c r="G87" s="555" t="str">
        <f ca="1">IF(ListAndConversion!AB89&lt;&gt;"-",ListAndConversion!AJ89,"")</f>
        <v/>
      </c>
      <c r="H87" s="555" t="str">
        <f ca="1">IF(ListAndConversion!AB89&lt;&gt;"-",ListAndConversion!AK89,"")</f>
        <v/>
      </c>
      <c r="I87" s="566" t="str">
        <f ca="1">IF(ListAndConversion!AB89&lt;&gt;"-",ListAndConversion!AF89,"")</f>
        <v/>
      </c>
    </row>
    <row r="88" spans="1:9" x14ac:dyDescent="0.65">
      <c r="A88" s="564" t="str">
        <f ca="1">IF(ListAndConversion!AA90&lt;&gt;"-",ListAndConversion!AA90,"")</f>
        <v/>
      </c>
      <c r="B88" s="555" t="str">
        <f ca="1">IF(ListAndConversion!AB90&lt;&gt;"-",ListAndConversion!AB90,"")</f>
        <v/>
      </c>
      <c r="C88" s="555" t="str">
        <f ca="1">IF(ListAndConversion!AC90&lt;&gt;"-",ListAndConversion!AC90,"")</f>
        <v/>
      </c>
      <c r="D88" s="555" t="str">
        <f ca="1">IF(ListAndConversion!AB90&lt;&gt;"-",ListAndConversion!W90,"")</f>
        <v/>
      </c>
      <c r="E88" s="555" t="str">
        <f ca="1">IF(ListAndConversion!AB90&lt;&gt;"-",ListAndConversion!Y90,"")</f>
        <v/>
      </c>
      <c r="F88" s="565" t="str">
        <f ca="1">IF(ListAndConversion!AD90&lt;&gt;"-",ListAndConversion!AD90,"")</f>
        <v/>
      </c>
      <c r="G88" s="555" t="str">
        <f ca="1">IF(ListAndConversion!AB90&lt;&gt;"-",ListAndConversion!AJ90,"")</f>
        <v/>
      </c>
      <c r="H88" s="555" t="str">
        <f ca="1">IF(ListAndConversion!AB90&lt;&gt;"-",ListAndConversion!AK90,"")</f>
        <v/>
      </c>
      <c r="I88" s="566" t="str">
        <f ca="1">IF(ListAndConversion!AB90&lt;&gt;"-",ListAndConversion!AF90,"")</f>
        <v/>
      </c>
    </row>
    <row r="89" spans="1:9" x14ac:dyDescent="0.65">
      <c r="A89" s="564" t="str">
        <f ca="1">IF(ListAndConversion!AA91&lt;&gt;"-",ListAndConversion!AA91,"")</f>
        <v/>
      </c>
      <c r="B89" s="555" t="str">
        <f ca="1">IF(ListAndConversion!AB91&lt;&gt;"-",ListAndConversion!AB91,"")</f>
        <v/>
      </c>
      <c r="C89" s="555" t="str">
        <f ca="1">IF(ListAndConversion!AC91&lt;&gt;"-",ListAndConversion!AC91,"")</f>
        <v/>
      </c>
      <c r="D89" s="555" t="str">
        <f ca="1">IF(ListAndConversion!AB91&lt;&gt;"-",ListAndConversion!W91,"")</f>
        <v/>
      </c>
      <c r="E89" s="555" t="str">
        <f ca="1">IF(ListAndConversion!AB91&lt;&gt;"-",ListAndConversion!Y91,"")</f>
        <v/>
      </c>
      <c r="F89" s="565" t="str">
        <f ca="1">IF(ListAndConversion!AD91&lt;&gt;"-",ListAndConversion!AD91,"")</f>
        <v/>
      </c>
      <c r="G89" s="555" t="str">
        <f ca="1">IF(ListAndConversion!AB91&lt;&gt;"-",ListAndConversion!AJ91,"")</f>
        <v/>
      </c>
      <c r="H89" s="555" t="str">
        <f ca="1">IF(ListAndConversion!AB91&lt;&gt;"-",ListAndConversion!AK91,"")</f>
        <v/>
      </c>
      <c r="I89" s="566" t="str">
        <f ca="1">IF(ListAndConversion!AB91&lt;&gt;"-",ListAndConversion!AF91,"")</f>
        <v/>
      </c>
    </row>
    <row r="90" spans="1:9" x14ac:dyDescent="0.65">
      <c r="A90" s="564" t="str">
        <f ca="1">IF(ListAndConversion!AA92&lt;&gt;"-",ListAndConversion!AA92,"")</f>
        <v/>
      </c>
      <c r="B90" s="555" t="str">
        <f ca="1">IF(ListAndConversion!AB92&lt;&gt;"-",ListAndConversion!AB92,"")</f>
        <v/>
      </c>
      <c r="C90" s="555" t="str">
        <f ca="1">IF(ListAndConversion!AC92&lt;&gt;"-",ListAndConversion!AC92,"")</f>
        <v/>
      </c>
      <c r="D90" s="555" t="str">
        <f ca="1">IF(ListAndConversion!AB92&lt;&gt;"-",ListAndConversion!W92,"")</f>
        <v/>
      </c>
      <c r="E90" s="555" t="str">
        <f ca="1">IF(ListAndConversion!AB92&lt;&gt;"-",ListAndConversion!Y92,"")</f>
        <v/>
      </c>
      <c r="F90" s="565" t="str">
        <f ca="1">IF(ListAndConversion!AD92&lt;&gt;"-",ListAndConversion!AD92,"")</f>
        <v/>
      </c>
      <c r="G90" s="555" t="str">
        <f ca="1">IF(ListAndConversion!AB92&lt;&gt;"-",ListAndConversion!AJ92,"")</f>
        <v/>
      </c>
      <c r="H90" s="555" t="str">
        <f ca="1">IF(ListAndConversion!AB92&lt;&gt;"-",ListAndConversion!AK92,"")</f>
        <v/>
      </c>
      <c r="I90" s="566" t="str">
        <f ca="1">IF(ListAndConversion!AB92&lt;&gt;"-",ListAndConversion!AF92,"")</f>
        <v/>
      </c>
    </row>
    <row r="91" spans="1:9" x14ac:dyDescent="0.65">
      <c r="A91" s="564" t="str">
        <f ca="1">IF(ListAndConversion!AA93&lt;&gt;"-",ListAndConversion!AA93,"")</f>
        <v/>
      </c>
      <c r="B91" s="555" t="str">
        <f ca="1">IF(ListAndConversion!AB93&lt;&gt;"-",ListAndConversion!AB93,"")</f>
        <v/>
      </c>
      <c r="C91" s="555" t="str">
        <f ca="1">IF(ListAndConversion!AC93&lt;&gt;"-",ListAndConversion!AC93,"")</f>
        <v/>
      </c>
      <c r="D91" s="555" t="str">
        <f ca="1">IF(ListAndConversion!AB93&lt;&gt;"-",ListAndConversion!W93,"")</f>
        <v/>
      </c>
      <c r="E91" s="555" t="str">
        <f ca="1">IF(ListAndConversion!AB93&lt;&gt;"-",ListAndConversion!Y93,"")</f>
        <v/>
      </c>
      <c r="F91" s="565" t="str">
        <f ca="1">IF(ListAndConversion!AD93&lt;&gt;"-",ListAndConversion!AD93,"")</f>
        <v/>
      </c>
      <c r="G91" s="555" t="str">
        <f ca="1">IF(ListAndConversion!AB93&lt;&gt;"-",ListAndConversion!AJ93,"")</f>
        <v/>
      </c>
      <c r="H91" s="555" t="str">
        <f ca="1">IF(ListAndConversion!AB93&lt;&gt;"-",ListAndConversion!AK93,"")</f>
        <v/>
      </c>
      <c r="I91" s="566" t="str">
        <f ca="1">IF(ListAndConversion!AB93&lt;&gt;"-",ListAndConversion!AF93,"")</f>
        <v/>
      </c>
    </row>
    <row r="92" spans="1:9" x14ac:dyDescent="0.65">
      <c r="A92" s="564" t="str">
        <f ca="1">IF(ListAndConversion!AA94&lt;&gt;"-",ListAndConversion!AA94,"")</f>
        <v/>
      </c>
      <c r="B92" s="555" t="str">
        <f ca="1">IF(ListAndConversion!AB94&lt;&gt;"-",ListAndConversion!AB94,"")</f>
        <v/>
      </c>
      <c r="C92" s="555" t="str">
        <f ca="1">IF(ListAndConversion!AC94&lt;&gt;"-",ListAndConversion!AC94,"")</f>
        <v/>
      </c>
      <c r="D92" s="555" t="str">
        <f ca="1">IF(ListAndConversion!AB94&lt;&gt;"-",ListAndConversion!W94,"")</f>
        <v/>
      </c>
      <c r="E92" s="555" t="str">
        <f ca="1">IF(ListAndConversion!AB94&lt;&gt;"-",ListAndConversion!Y94,"")</f>
        <v/>
      </c>
      <c r="F92" s="565" t="str">
        <f ca="1">IF(ListAndConversion!AD94&lt;&gt;"-",ListAndConversion!AD94,"")</f>
        <v/>
      </c>
      <c r="G92" s="555" t="str">
        <f ca="1">IF(ListAndConversion!AB94&lt;&gt;"-",ListAndConversion!AJ94,"")</f>
        <v/>
      </c>
      <c r="H92" s="555" t="str">
        <f ca="1">IF(ListAndConversion!AB94&lt;&gt;"-",ListAndConversion!AK94,"")</f>
        <v/>
      </c>
      <c r="I92" s="566" t="str">
        <f ca="1">IF(ListAndConversion!AB94&lt;&gt;"-",ListAndConversion!AF94,"")</f>
        <v/>
      </c>
    </row>
    <row r="93" spans="1:9" x14ac:dyDescent="0.65">
      <c r="A93" s="564" t="str">
        <f ca="1">IF(ListAndConversion!AA95&lt;&gt;"-",ListAndConversion!AA95,"")</f>
        <v/>
      </c>
      <c r="B93" s="555" t="str">
        <f ca="1">IF(ListAndConversion!AB95&lt;&gt;"-",ListAndConversion!AB95,"")</f>
        <v/>
      </c>
      <c r="C93" s="555" t="str">
        <f ca="1">IF(ListAndConversion!AC95&lt;&gt;"-",ListAndConversion!AC95,"")</f>
        <v/>
      </c>
      <c r="D93" s="555" t="str">
        <f ca="1">IF(ListAndConversion!AB95&lt;&gt;"-",ListAndConversion!W95,"")</f>
        <v/>
      </c>
      <c r="E93" s="555" t="str">
        <f ca="1">IF(ListAndConversion!AB95&lt;&gt;"-",ListAndConversion!Y95,"")</f>
        <v/>
      </c>
      <c r="F93" s="565" t="str">
        <f ca="1">IF(ListAndConversion!AD95&lt;&gt;"-",ListAndConversion!AD95,"")</f>
        <v/>
      </c>
      <c r="G93" s="555" t="str">
        <f ca="1">IF(ListAndConversion!AB95&lt;&gt;"-",ListAndConversion!AJ95,"")</f>
        <v/>
      </c>
      <c r="H93" s="555" t="str">
        <f ca="1">IF(ListAndConversion!AB95&lt;&gt;"-",ListAndConversion!AK95,"")</f>
        <v/>
      </c>
      <c r="I93" s="566" t="str">
        <f ca="1">IF(ListAndConversion!AB95&lt;&gt;"-",ListAndConversion!AF95,"")</f>
        <v/>
      </c>
    </row>
    <row r="94" spans="1:9" x14ac:dyDescent="0.65">
      <c r="A94" s="564" t="str">
        <f ca="1">IF(ListAndConversion!AA96&lt;&gt;"-",ListAndConversion!AA96,"")</f>
        <v/>
      </c>
      <c r="B94" s="555" t="str">
        <f ca="1">IF(ListAndConversion!AB96&lt;&gt;"-",ListAndConversion!AB96,"")</f>
        <v/>
      </c>
      <c r="C94" s="555" t="str">
        <f ca="1">IF(ListAndConversion!AC96&lt;&gt;"-",ListAndConversion!AC96,"")</f>
        <v/>
      </c>
      <c r="D94" s="555" t="str">
        <f ca="1">IF(ListAndConversion!AB96&lt;&gt;"-",ListAndConversion!W96,"")</f>
        <v/>
      </c>
      <c r="E94" s="555" t="str">
        <f ca="1">IF(ListAndConversion!AB96&lt;&gt;"-",ListAndConversion!Y96,"")</f>
        <v/>
      </c>
      <c r="F94" s="565" t="str">
        <f ca="1">IF(ListAndConversion!AD96&lt;&gt;"-",ListAndConversion!AD96,"")</f>
        <v/>
      </c>
      <c r="G94" s="555" t="str">
        <f ca="1">IF(ListAndConversion!AB96&lt;&gt;"-",ListAndConversion!AJ96,"")</f>
        <v/>
      </c>
      <c r="H94" s="555" t="str">
        <f ca="1">IF(ListAndConversion!AB96&lt;&gt;"-",ListAndConversion!AK96,"")</f>
        <v/>
      </c>
      <c r="I94" s="566" t="str">
        <f ca="1">IF(ListAndConversion!AB96&lt;&gt;"-",ListAndConversion!AF96,"")</f>
        <v/>
      </c>
    </row>
    <row r="95" spans="1:9" x14ac:dyDescent="0.65">
      <c r="A95" s="564" t="str">
        <f ca="1">IF(ListAndConversion!AA97&lt;&gt;"-",ListAndConversion!AA97,"")</f>
        <v/>
      </c>
      <c r="B95" s="555" t="str">
        <f ca="1">IF(ListAndConversion!AB97&lt;&gt;"-",ListAndConversion!AB97,"")</f>
        <v/>
      </c>
      <c r="C95" s="555" t="str">
        <f ca="1">IF(ListAndConversion!AC97&lt;&gt;"-",ListAndConversion!AC97,"")</f>
        <v/>
      </c>
      <c r="D95" s="555" t="str">
        <f ca="1">IF(ListAndConversion!AB97&lt;&gt;"-",ListAndConversion!W97,"")</f>
        <v/>
      </c>
      <c r="E95" s="555" t="str">
        <f ca="1">IF(ListAndConversion!AB97&lt;&gt;"-",ListAndConversion!Y97,"")</f>
        <v/>
      </c>
      <c r="F95" s="565" t="str">
        <f ca="1">IF(ListAndConversion!AD97&lt;&gt;"-",ListAndConversion!AD97,"")</f>
        <v/>
      </c>
      <c r="G95" s="555" t="str">
        <f ca="1">IF(ListAndConversion!AB97&lt;&gt;"-",ListAndConversion!AJ97,"")</f>
        <v/>
      </c>
      <c r="H95" s="555" t="str">
        <f ca="1">IF(ListAndConversion!AB97&lt;&gt;"-",ListAndConversion!AK97,"")</f>
        <v/>
      </c>
      <c r="I95" s="566" t="str">
        <f ca="1">IF(ListAndConversion!AB97&lt;&gt;"-",ListAndConversion!AF97,"")</f>
        <v/>
      </c>
    </row>
    <row r="96" spans="1:9" x14ac:dyDescent="0.65">
      <c r="A96" s="564" t="str">
        <f ca="1">IF(ListAndConversion!AA98&lt;&gt;"-",ListAndConversion!AA98,"")</f>
        <v/>
      </c>
      <c r="B96" s="555" t="str">
        <f ca="1">IF(ListAndConversion!AB98&lt;&gt;"-",ListAndConversion!AB98,"")</f>
        <v/>
      </c>
      <c r="C96" s="555" t="str">
        <f ca="1">IF(ListAndConversion!AC98&lt;&gt;"-",ListAndConversion!AC98,"")</f>
        <v/>
      </c>
      <c r="D96" s="555" t="str">
        <f ca="1">IF(ListAndConversion!AB98&lt;&gt;"-",ListAndConversion!W98,"")</f>
        <v/>
      </c>
      <c r="E96" s="555" t="str">
        <f ca="1">IF(ListAndConversion!AB98&lt;&gt;"-",ListAndConversion!Y98,"")</f>
        <v/>
      </c>
      <c r="F96" s="565" t="str">
        <f ca="1">IF(ListAndConversion!AD98&lt;&gt;"-",ListAndConversion!AD98,"")</f>
        <v/>
      </c>
      <c r="G96" s="555" t="str">
        <f ca="1">IF(ListAndConversion!AB98&lt;&gt;"-",ListAndConversion!AJ98,"")</f>
        <v/>
      </c>
      <c r="H96" s="555" t="str">
        <f ca="1">IF(ListAndConversion!AB98&lt;&gt;"-",ListAndConversion!AK98,"")</f>
        <v/>
      </c>
      <c r="I96" s="566" t="str">
        <f ca="1">IF(ListAndConversion!AB98&lt;&gt;"-",ListAndConversion!AF98,"")</f>
        <v/>
      </c>
    </row>
    <row r="97" spans="1:9" x14ac:dyDescent="0.65">
      <c r="A97" s="567" t="str">
        <f ca="1">IF(ListAndConversion!AA99&lt;&gt;"-",ListAndConversion!AA99,"")</f>
        <v/>
      </c>
      <c r="B97" s="568" t="str">
        <f ca="1">IF(ListAndConversion!AB99&lt;&gt;"-",ListAndConversion!AB99,"")</f>
        <v/>
      </c>
      <c r="C97" s="568" t="str">
        <f ca="1">IF(ListAndConversion!AC99&lt;&gt;"-",ListAndConversion!AC99,"")</f>
        <v/>
      </c>
      <c r="D97" s="568" t="str">
        <f ca="1">IF(ListAndConversion!AB99&lt;&gt;"-",ListAndConversion!W99,"")</f>
        <v/>
      </c>
      <c r="E97" s="568" t="str">
        <f ca="1">IF(ListAndConversion!AB99&lt;&gt;"-",ListAndConversion!Y99,"")</f>
        <v/>
      </c>
      <c r="F97" s="569" t="str">
        <f ca="1">IF(ListAndConversion!AD99&lt;&gt;"-",ListAndConversion!AD99,"")</f>
        <v/>
      </c>
      <c r="G97" s="568" t="str">
        <f ca="1">IF(ListAndConversion!AB99&lt;&gt;"-",ListAndConversion!AJ99,"")</f>
        <v/>
      </c>
      <c r="H97" s="568" t="str">
        <f ca="1">IF(ListAndConversion!AB99&lt;&gt;"-",ListAndConversion!AK99,"")</f>
        <v/>
      </c>
      <c r="I97" s="570" t="str">
        <f ca="1">IF(ListAndConversion!AB99&lt;&gt;"-",ListAndConversion!AF99,"")</f>
        <v/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85"/>
  <sheetViews>
    <sheetView zoomScaleNormal="100" workbookViewId="0"/>
  </sheetViews>
  <sheetFormatPr defaultRowHeight="14.25" x14ac:dyDescent="0.65"/>
  <cols>
    <col min="1" max="1" width="12.6796875" style="547"/>
    <col min="2" max="2" width="8.6328125" style="547"/>
    <col min="3" max="3" width="7.54296875" style="547"/>
    <col min="4" max="4" width="9.04296875" style="547"/>
    <col min="5" max="6" width="7.81640625" style="547"/>
    <col min="7" max="7" width="11.1796875" style="547"/>
    <col min="8" max="8" width="12.6796875" style="547"/>
    <col min="9" max="1025" width="11.1796875" style="547"/>
  </cols>
  <sheetData>
    <row r="1" spans="1:1024" x14ac:dyDescent="0.65">
      <c r="A1" s="571" t="s">
        <v>483</v>
      </c>
      <c r="B1" s="572" t="s">
        <v>484</v>
      </c>
      <c r="C1" s="572" t="s">
        <v>485</v>
      </c>
      <c r="D1" s="572" t="s">
        <v>492</v>
      </c>
      <c r="E1" s="572" t="s">
        <v>493</v>
      </c>
      <c r="F1" s="573" t="s">
        <v>494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s="546" customFormat="1" x14ac:dyDescent="0.65">
      <c r="A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" spans="1:1024" x14ac:dyDescent="0.65">
      <c r="A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  <c r="H3"/>
    </row>
    <row r="4" spans="1:1024" x14ac:dyDescent="0.65">
      <c r="A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  <c r="H4"/>
    </row>
    <row r="5" spans="1:1024" x14ac:dyDescent="0.65">
      <c r="A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  <c r="H5"/>
    </row>
    <row r="6" spans="1:1024" x14ac:dyDescent="0.65">
      <c r="A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  <c r="H6"/>
    </row>
    <row r="7" spans="1:1024" x14ac:dyDescent="0.65">
      <c r="A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  <c r="H7"/>
    </row>
    <row r="8" spans="1:1024" x14ac:dyDescent="0.65">
      <c r="A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  <c r="H8" s="546"/>
    </row>
    <row r="9" spans="1:1024" x14ac:dyDescent="0.65">
      <c r="A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0" spans="1:1024" x14ac:dyDescent="0.65">
      <c r="A1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1" spans="1:1024" x14ac:dyDescent="0.65">
      <c r="A1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2" spans="1:1024" x14ac:dyDescent="0.65">
      <c r="A1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3" spans="1:1024" x14ac:dyDescent="0.65">
      <c r="A1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4" spans="1:1024" x14ac:dyDescent="0.65">
      <c r="A1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5" spans="1:1024" x14ac:dyDescent="0.65">
      <c r="A1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6" spans="1:1024" x14ac:dyDescent="0.65">
      <c r="A1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7" spans="1:6" x14ac:dyDescent="0.65">
      <c r="A1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8" spans="1:6" x14ac:dyDescent="0.65">
      <c r="A1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9" spans="1:6" x14ac:dyDescent="0.65">
      <c r="A1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0" spans="1:6" x14ac:dyDescent="0.65">
      <c r="A2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1" spans="1:6" x14ac:dyDescent="0.65">
      <c r="A2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2" spans="1:6" x14ac:dyDescent="0.65">
      <c r="A2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3" spans="1:6" x14ac:dyDescent="0.65">
      <c r="A2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4" spans="1:6" x14ac:dyDescent="0.65">
      <c r="A2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5" spans="1:6" x14ac:dyDescent="0.65">
      <c r="A2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6" spans="1:6" x14ac:dyDescent="0.65">
      <c r="A2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7" spans="1:6" x14ac:dyDescent="0.65">
      <c r="A2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8" spans="1:6" x14ac:dyDescent="0.65">
      <c r="A2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9" spans="1:6" x14ac:dyDescent="0.65">
      <c r="A2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0" spans="1:6" x14ac:dyDescent="0.65">
      <c r="A3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1" spans="1:6" x14ac:dyDescent="0.65">
      <c r="A3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2" spans="1:6" x14ac:dyDescent="0.65">
      <c r="A3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3" spans="1:6" x14ac:dyDescent="0.65">
      <c r="A3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4" spans="1:6" x14ac:dyDescent="0.65">
      <c r="A3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5" spans="1:6" x14ac:dyDescent="0.65">
      <c r="A3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6" spans="1:6" x14ac:dyDescent="0.65">
      <c r="A3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7" spans="1:6" x14ac:dyDescent="0.65">
      <c r="A3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8" spans="1:6" x14ac:dyDescent="0.65">
      <c r="A3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9" spans="1:6" x14ac:dyDescent="0.65">
      <c r="A3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40" spans="1:6" x14ac:dyDescent="0.65">
      <c r="A4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4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4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4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4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4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41" spans="1:6" x14ac:dyDescent="0.65">
      <c r="A4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4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4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4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4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4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42" spans="1:6" x14ac:dyDescent="0.65">
      <c r="A4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4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4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4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4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4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43" spans="1:6" x14ac:dyDescent="0.65">
      <c r="A4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4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4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4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4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4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44" spans="1:6" x14ac:dyDescent="0.65">
      <c r="A4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4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4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4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4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4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45" spans="1:6" x14ac:dyDescent="0.65">
      <c r="A4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4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4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4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4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4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46" spans="1:6" x14ac:dyDescent="0.65">
      <c r="A4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4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4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4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4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4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47" spans="1:6" x14ac:dyDescent="0.65">
      <c r="A4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4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4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4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4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4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48" spans="1:6" x14ac:dyDescent="0.65">
      <c r="A4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4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4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4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4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4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49" spans="1:6" x14ac:dyDescent="0.65">
      <c r="A4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4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4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4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4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4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50" spans="1:6" x14ac:dyDescent="0.65">
      <c r="A5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5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5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5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5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5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51" spans="1:6" x14ac:dyDescent="0.65">
      <c r="A5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5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5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5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5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5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52" spans="1:6" x14ac:dyDescent="0.65">
      <c r="A5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5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5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5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5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5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53" spans="1:6" x14ac:dyDescent="0.65">
      <c r="A5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5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5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5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5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5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54" spans="1:6" x14ac:dyDescent="0.65">
      <c r="A5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5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5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5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5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5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55" spans="1:6" x14ac:dyDescent="0.65">
      <c r="A5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5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5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5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5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5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56" spans="1:6" x14ac:dyDescent="0.65">
      <c r="A5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5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5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5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5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5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57" spans="1:6" x14ac:dyDescent="0.65">
      <c r="A5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5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5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5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5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5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58" spans="1:6" x14ac:dyDescent="0.65">
      <c r="A5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5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5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5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5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5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59" spans="1:6" x14ac:dyDescent="0.65">
      <c r="A5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5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5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5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5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5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60" spans="1:6" x14ac:dyDescent="0.65">
      <c r="A6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6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6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6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6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6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61" spans="1:6" x14ac:dyDescent="0.65">
      <c r="A6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6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6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6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6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6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62" spans="1:6" x14ac:dyDescent="0.65">
      <c r="A6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6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6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6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6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6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63" spans="1:6" x14ac:dyDescent="0.65">
      <c r="A6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6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6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6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6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6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64" spans="1:6" x14ac:dyDescent="0.65">
      <c r="A6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6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6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6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6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6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65" spans="1:6" x14ac:dyDescent="0.65">
      <c r="A6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6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6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6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6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6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66" spans="1:6" x14ac:dyDescent="0.65">
      <c r="A6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6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6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6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6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6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67" spans="1:6" x14ac:dyDescent="0.65">
      <c r="A6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6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6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6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6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6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68" spans="1:6" x14ac:dyDescent="0.65">
      <c r="A6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6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6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6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6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6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69" spans="1:6" x14ac:dyDescent="0.65">
      <c r="A6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6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6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6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6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6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70" spans="1:6" x14ac:dyDescent="0.65">
      <c r="A7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7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7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7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7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7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71" spans="1:6" x14ac:dyDescent="0.65">
      <c r="A7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7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7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7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7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7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72" spans="1:6" x14ac:dyDescent="0.65">
      <c r="A7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7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7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7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7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7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73" spans="1:6" x14ac:dyDescent="0.65">
      <c r="A7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7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7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7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7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7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74" spans="1:6" x14ac:dyDescent="0.65">
      <c r="A7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7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7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7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7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7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75" spans="1:6" x14ac:dyDescent="0.65">
      <c r="A7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7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7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7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7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7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76" spans="1:6" x14ac:dyDescent="0.65">
      <c r="A7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7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7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7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7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7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77" spans="1:6" x14ac:dyDescent="0.65">
      <c r="A7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7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7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7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7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7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78" spans="1:6" x14ac:dyDescent="0.65">
      <c r="A7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7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7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7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7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7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79" spans="1:6" x14ac:dyDescent="0.65">
      <c r="A7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7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7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7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7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7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80" spans="1:6" x14ac:dyDescent="0.65">
      <c r="A8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8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8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8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8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8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81" spans="1:6" x14ac:dyDescent="0.65">
      <c r="A8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8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8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8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8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8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82" spans="1:6" x14ac:dyDescent="0.65">
      <c r="A8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8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8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8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8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8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83" spans="1:6" x14ac:dyDescent="0.65">
      <c r="A8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8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8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8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8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8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84" spans="1:6" x14ac:dyDescent="0.65">
      <c r="A8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8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8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8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8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8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85" spans="1:6" x14ac:dyDescent="0.65">
      <c r="A8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8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8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8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8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8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86" spans="1:6" x14ac:dyDescent="0.65">
      <c r="A8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8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8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8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8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8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87" spans="1:6" x14ac:dyDescent="0.65">
      <c r="A8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8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8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8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8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8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88" spans="1:6" x14ac:dyDescent="0.65">
      <c r="A8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8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8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8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8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8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89" spans="1:6" x14ac:dyDescent="0.65">
      <c r="A8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8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8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8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8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8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90" spans="1:6" x14ac:dyDescent="0.65">
      <c r="A9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9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9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9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9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9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91" spans="1:6" x14ac:dyDescent="0.65">
      <c r="A9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9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9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9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9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9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92" spans="1:6" x14ac:dyDescent="0.65">
      <c r="A9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9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9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9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9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9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93" spans="1:6" x14ac:dyDescent="0.65">
      <c r="A9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9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9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9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9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9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94" spans="1:6" x14ac:dyDescent="0.65">
      <c r="A9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9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9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9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9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9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95" spans="1:6" x14ac:dyDescent="0.65">
      <c r="A9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9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9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9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9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9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96" spans="1:6" x14ac:dyDescent="0.65">
      <c r="A9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9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9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9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9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9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97" spans="1:6" x14ac:dyDescent="0.65">
      <c r="A9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9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9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9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9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9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98" spans="1:6" x14ac:dyDescent="0.65">
      <c r="A9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9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9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9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9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9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99" spans="1:6" x14ac:dyDescent="0.65">
      <c r="A9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9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9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9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9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9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00" spans="1:6" x14ac:dyDescent="0.65">
      <c r="A10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0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0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0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0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0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01" spans="1:6" x14ac:dyDescent="0.65">
      <c r="A10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0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0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0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0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0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02" spans="1:6" x14ac:dyDescent="0.65">
      <c r="A10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0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0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0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0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0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03" spans="1:6" x14ac:dyDescent="0.65">
      <c r="A10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0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0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0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0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0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04" spans="1:6" x14ac:dyDescent="0.65">
      <c r="A10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0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0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0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0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0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05" spans="1:6" x14ac:dyDescent="0.65">
      <c r="A10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0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0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0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0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0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06" spans="1:6" x14ac:dyDescent="0.65">
      <c r="A10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0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0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0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0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0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07" spans="1:6" x14ac:dyDescent="0.65">
      <c r="A10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0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0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0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0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0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08" spans="1:6" x14ac:dyDescent="0.65">
      <c r="A10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0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0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0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0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0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09" spans="1:6" x14ac:dyDescent="0.65">
      <c r="A10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0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0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0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0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0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10" spans="1:6" x14ac:dyDescent="0.65">
      <c r="A11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1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1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1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1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1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11" spans="1:6" x14ac:dyDescent="0.65">
      <c r="A11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1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1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1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1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1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12" spans="1:6" x14ac:dyDescent="0.65">
      <c r="A11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1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1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1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1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1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13" spans="1:6" x14ac:dyDescent="0.65">
      <c r="A11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1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1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1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1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1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14" spans="1:6" x14ac:dyDescent="0.65">
      <c r="A11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1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1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1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1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1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15" spans="1:6" x14ac:dyDescent="0.65">
      <c r="A11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1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1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1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1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1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16" spans="1:6" x14ac:dyDescent="0.65">
      <c r="A11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1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1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1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1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1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17" spans="1:6" x14ac:dyDescent="0.65">
      <c r="A11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1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1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1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1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1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18" spans="1:6" x14ac:dyDescent="0.65">
      <c r="A11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1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1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1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1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1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19" spans="1:6" x14ac:dyDescent="0.65">
      <c r="A11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1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1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1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1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1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20" spans="1:6" x14ac:dyDescent="0.65">
      <c r="A12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2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2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2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2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2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21" spans="1:6" x14ac:dyDescent="0.65">
      <c r="A12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2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2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2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2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2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22" spans="1:6" x14ac:dyDescent="0.65">
      <c r="A12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2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2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2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2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2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23" spans="1:6" x14ac:dyDescent="0.65">
      <c r="A12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2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2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2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2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2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24" spans="1:6" x14ac:dyDescent="0.65">
      <c r="A12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2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2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2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2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2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25" spans="1:6" x14ac:dyDescent="0.65">
      <c r="A12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2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2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2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2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2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26" spans="1:6" x14ac:dyDescent="0.65">
      <c r="A12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2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2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2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2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2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27" spans="1:6" x14ac:dyDescent="0.65">
      <c r="A12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2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2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2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2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2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28" spans="1:6" x14ac:dyDescent="0.65">
      <c r="A12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2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2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2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2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2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29" spans="1:6" x14ac:dyDescent="0.65">
      <c r="A12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2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2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2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2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2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30" spans="1:6" x14ac:dyDescent="0.65">
      <c r="A13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3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3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3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3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3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31" spans="1:6" x14ac:dyDescent="0.65">
      <c r="A13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3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3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3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3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3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32" spans="1:6" x14ac:dyDescent="0.65">
      <c r="A13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3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3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3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3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3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33" spans="1:6" x14ac:dyDescent="0.65">
      <c r="A13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3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3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3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3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3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34" spans="1:6" x14ac:dyDescent="0.65">
      <c r="A13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3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3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3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3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3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35" spans="1:6" x14ac:dyDescent="0.65">
      <c r="A13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3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3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3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3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3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36" spans="1:6" x14ac:dyDescent="0.65">
      <c r="A13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3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3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3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3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3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37" spans="1:6" x14ac:dyDescent="0.65">
      <c r="A13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3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3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3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3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3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38" spans="1:6" x14ac:dyDescent="0.65">
      <c r="A13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3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3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3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3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3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39" spans="1:6" x14ac:dyDescent="0.65">
      <c r="A13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3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3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3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3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3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40" spans="1:6" x14ac:dyDescent="0.65">
      <c r="A14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4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4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4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4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4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41" spans="1:6" x14ac:dyDescent="0.65">
      <c r="A14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4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4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4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4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4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42" spans="1:6" x14ac:dyDescent="0.65">
      <c r="A14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4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4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4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4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4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43" spans="1:6" x14ac:dyDescent="0.65">
      <c r="A14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4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4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4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4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4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44" spans="1:6" x14ac:dyDescent="0.65">
      <c r="A14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4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4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4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4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4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45" spans="1:6" x14ac:dyDescent="0.65">
      <c r="A14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4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4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4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4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4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46" spans="1:6" x14ac:dyDescent="0.65">
      <c r="A14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4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4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4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4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4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47" spans="1:6" x14ac:dyDescent="0.65">
      <c r="A14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4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4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4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4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4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48" spans="1:6" x14ac:dyDescent="0.65">
      <c r="A14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4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4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4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4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4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49" spans="1:6" x14ac:dyDescent="0.65">
      <c r="A14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4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4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4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4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4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50" spans="1:6" x14ac:dyDescent="0.65">
      <c r="A15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5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5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5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5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5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51" spans="1:6" x14ac:dyDescent="0.65">
      <c r="A15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5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5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5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5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5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52" spans="1:6" x14ac:dyDescent="0.65">
      <c r="A15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5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5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5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5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5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53" spans="1:6" x14ac:dyDescent="0.65">
      <c r="A15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5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5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5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5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5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54" spans="1:6" x14ac:dyDescent="0.65">
      <c r="A15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5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5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5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5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5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55" spans="1:6" x14ac:dyDescent="0.65">
      <c r="A15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5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5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5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5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5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56" spans="1:6" x14ac:dyDescent="0.65">
      <c r="A15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5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5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5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5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5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57" spans="1:6" x14ac:dyDescent="0.65">
      <c r="A15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5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5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5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5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5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58" spans="1:6" x14ac:dyDescent="0.65">
      <c r="A15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5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5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5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5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5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59" spans="1:6" x14ac:dyDescent="0.65">
      <c r="A15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5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5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5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5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5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60" spans="1:6" x14ac:dyDescent="0.65">
      <c r="A16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6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6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6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6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6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61" spans="1:6" x14ac:dyDescent="0.65">
      <c r="A16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6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6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6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6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6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62" spans="1:6" x14ac:dyDescent="0.65">
      <c r="A16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6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6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6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6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6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63" spans="1:6" x14ac:dyDescent="0.65">
      <c r="A16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6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6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6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6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6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64" spans="1:6" x14ac:dyDescent="0.65">
      <c r="A16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6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6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6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6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6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65" spans="1:6" x14ac:dyDescent="0.65">
      <c r="A16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6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6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6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6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6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66" spans="1:6" x14ac:dyDescent="0.65">
      <c r="A16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6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6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6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6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6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67" spans="1:6" x14ac:dyDescent="0.65">
      <c r="A16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6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6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6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6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6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68" spans="1:6" x14ac:dyDescent="0.65">
      <c r="A16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6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6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6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6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6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69" spans="1:6" x14ac:dyDescent="0.65">
      <c r="A16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6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6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6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6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6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70" spans="1:6" x14ac:dyDescent="0.65">
      <c r="A17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7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7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7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7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7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71" spans="1:6" x14ac:dyDescent="0.65">
      <c r="A17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7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7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7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7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7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72" spans="1:6" x14ac:dyDescent="0.65">
      <c r="A17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7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7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7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7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7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73" spans="1:6" x14ac:dyDescent="0.65">
      <c r="A17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7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7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7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7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7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74" spans="1:6" x14ac:dyDescent="0.65">
      <c r="A17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7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7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7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7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7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75" spans="1:6" x14ac:dyDescent="0.65">
      <c r="A17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7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7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7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7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7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76" spans="1:6" x14ac:dyDescent="0.65">
      <c r="A17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7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7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7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7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7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77" spans="1:6" x14ac:dyDescent="0.65">
      <c r="A17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7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7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7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7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7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78" spans="1:6" x14ac:dyDescent="0.65">
      <c r="A17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7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7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7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7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7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79" spans="1:6" x14ac:dyDescent="0.65">
      <c r="A17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7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7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7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7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7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80" spans="1:6" x14ac:dyDescent="0.65">
      <c r="A18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8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8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8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8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8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81" spans="1:6" x14ac:dyDescent="0.65">
      <c r="A18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8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8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8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8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8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82" spans="1:6" x14ac:dyDescent="0.65">
      <c r="A18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8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8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8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8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8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83" spans="1:6" x14ac:dyDescent="0.65">
      <c r="A18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8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8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8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8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8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84" spans="1:6" x14ac:dyDescent="0.65">
      <c r="A18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8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8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8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8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8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85" spans="1:6" x14ac:dyDescent="0.65">
      <c r="A18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8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8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8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8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8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86" spans="1:6" x14ac:dyDescent="0.65">
      <c r="A18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8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8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8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8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8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87" spans="1:6" x14ac:dyDescent="0.65">
      <c r="A18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8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8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8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8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8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88" spans="1:6" x14ac:dyDescent="0.65">
      <c r="A18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8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8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8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8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8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89" spans="1:6" x14ac:dyDescent="0.65">
      <c r="A18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8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8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8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8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8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90" spans="1:6" x14ac:dyDescent="0.65">
      <c r="A19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9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9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9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9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9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91" spans="1:6" x14ac:dyDescent="0.65">
      <c r="A19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9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9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9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9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9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92" spans="1:6" x14ac:dyDescent="0.65">
      <c r="A19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9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9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9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9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9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93" spans="1:6" x14ac:dyDescent="0.65">
      <c r="A19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9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9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9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9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9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94" spans="1:6" x14ac:dyDescent="0.65">
      <c r="A19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9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9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9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9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9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95" spans="1:6" x14ac:dyDescent="0.65">
      <c r="A19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9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9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9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9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9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96" spans="1:6" x14ac:dyDescent="0.65">
      <c r="A19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9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9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9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9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9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97" spans="1:6" x14ac:dyDescent="0.65">
      <c r="A19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9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9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9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9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9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98" spans="1:6" x14ac:dyDescent="0.65">
      <c r="A19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9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9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9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9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9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199" spans="1:6" x14ac:dyDescent="0.65">
      <c r="A19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19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19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19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19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19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00" spans="1:6" x14ac:dyDescent="0.65">
      <c r="A20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0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0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0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0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0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01" spans="1:6" x14ac:dyDescent="0.65">
      <c r="A20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0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0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0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0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0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02" spans="1:6" x14ac:dyDescent="0.65">
      <c r="A20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0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0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0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0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0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03" spans="1:6" x14ac:dyDescent="0.65">
      <c r="A20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0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0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0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0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0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04" spans="1:6" x14ac:dyDescent="0.65">
      <c r="A20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0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0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0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0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0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05" spans="1:6" x14ac:dyDescent="0.65">
      <c r="A20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0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0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0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0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0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06" spans="1:6" x14ac:dyDescent="0.65">
      <c r="A20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0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0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0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0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0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07" spans="1:6" x14ac:dyDescent="0.65">
      <c r="A20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0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0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0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0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0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08" spans="1:6" x14ac:dyDescent="0.65">
      <c r="A20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0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0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0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0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0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09" spans="1:6" x14ac:dyDescent="0.65">
      <c r="A20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0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0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0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0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0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10" spans="1:6" x14ac:dyDescent="0.65">
      <c r="A21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1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1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1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1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1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11" spans="1:6" x14ac:dyDescent="0.65">
      <c r="A21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1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1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1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1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1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12" spans="1:6" x14ac:dyDescent="0.65">
      <c r="A21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1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1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1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1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1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13" spans="1:6" x14ac:dyDescent="0.65">
      <c r="A21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1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1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1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1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1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14" spans="1:6" x14ac:dyDescent="0.65">
      <c r="A21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1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1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1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1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1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15" spans="1:6" x14ac:dyDescent="0.65">
      <c r="A21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1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1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1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1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1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16" spans="1:6" x14ac:dyDescent="0.65">
      <c r="A21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1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1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1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1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1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17" spans="1:6" x14ac:dyDescent="0.65">
      <c r="A21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1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1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1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1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1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18" spans="1:6" x14ac:dyDescent="0.65">
      <c r="A21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1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1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1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1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1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19" spans="1:6" x14ac:dyDescent="0.65">
      <c r="A21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1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1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1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1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1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20" spans="1:6" x14ac:dyDescent="0.65">
      <c r="A22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2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2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2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2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2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21" spans="1:6" x14ac:dyDescent="0.65">
      <c r="A22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2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2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2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2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2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22" spans="1:6" x14ac:dyDescent="0.65">
      <c r="A22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2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2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2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2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2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23" spans="1:6" x14ac:dyDescent="0.65">
      <c r="A22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2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2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2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2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2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24" spans="1:6" x14ac:dyDescent="0.65">
      <c r="A22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2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2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2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2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2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25" spans="1:6" x14ac:dyDescent="0.65">
      <c r="A22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2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2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2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2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2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26" spans="1:6" x14ac:dyDescent="0.65">
      <c r="A22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2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2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2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2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2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27" spans="1:6" x14ac:dyDescent="0.65">
      <c r="A22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2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2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2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2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2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28" spans="1:6" x14ac:dyDescent="0.65">
      <c r="A22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2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2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2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2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2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29" spans="1:6" x14ac:dyDescent="0.65">
      <c r="A22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2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2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2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2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2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30" spans="1:6" x14ac:dyDescent="0.65">
      <c r="A23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3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3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3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3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3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31" spans="1:6" x14ac:dyDescent="0.65">
      <c r="A23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3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3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3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3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3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32" spans="1:6" x14ac:dyDescent="0.65">
      <c r="A23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3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3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3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3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3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33" spans="1:6" x14ac:dyDescent="0.65">
      <c r="A23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3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3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3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3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3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34" spans="1:6" x14ac:dyDescent="0.65">
      <c r="A23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3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3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3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3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3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35" spans="1:6" x14ac:dyDescent="0.65">
      <c r="A23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3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3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3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3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3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36" spans="1:6" x14ac:dyDescent="0.65">
      <c r="A23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3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3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3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3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3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37" spans="1:6" x14ac:dyDescent="0.65">
      <c r="A23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3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3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3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3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3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38" spans="1:6" x14ac:dyDescent="0.65">
      <c r="A23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3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3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3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3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3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39" spans="1:6" x14ac:dyDescent="0.65">
      <c r="A23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3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3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3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3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3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40" spans="1:6" x14ac:dyDescent="0.65">
      <c r="A24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4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4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4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4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4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41" spans="1:6" x14ac:dyDescent="0.65">
      <c r="A24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4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4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4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4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4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42" spans="1:6" x14ac:dyDescent="0.65">
      <c r="A24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4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4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4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4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4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43" spans="1:6" x14ac:dyDescent="0.65">
      <c r="A24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4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4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4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4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4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44" spans="1:6" x14ac:dyDescent="0.65">
      <c r="A24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4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4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4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4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4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45" spans="1:6" x14ac:dyDescent="0.65">
      <c r="A24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4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4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4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4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4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46" spans="1:6" x14ac:dyDescent="0.65">
      <c r="A24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4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4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4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4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4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47" spans="1:6" x14ac:dyDescent="0.65">
      <c r="A24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4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4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4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4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4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48" spans="1:6" x14ac:dyDescent="0.65">
      <c r="A24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4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4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4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4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4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49" spans="1:6" x14ac:dyDescent="0.65">
      <c r="A24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4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4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4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4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4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50" spans="1:6" x14ac:dyDescent="0.65">
      <c r="A25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5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5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5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5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5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51" spans="1:6" x14ac:dyDescent="0.65">
      <c r="A25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5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5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5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5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5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52" spans="1:6" x14ac:dyDescent="0.65">
      <c r="A25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5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5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5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5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5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53" spans="1:6" x14ac:dyDescent="0.65">
      <c r="A25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5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5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5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5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5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54" spans="1:6" x14ac:dyDescent="0.65">
      <c r="A25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5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5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5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5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5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55" spans="1:6" x14ac:dyDescent="0.65">
      <c r="A25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5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5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5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5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5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56" spans="1:6" x14ac:dyDescent="0.65">
      <c r="A25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5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5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5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5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5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57" spans="1:6" x14ac:dyDescent="0.65">
      <c r="A25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5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5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5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5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5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58" spans="1:6" x14ac:dyDescent="0.65">
      <c r="A25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5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5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5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5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5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59" spans="1:6" x14ac:dyDescent="0.65">
      <c r="A25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5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5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5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5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5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60" spans="1:6" x14ac:dyDescent="0.65">
      <c r="A26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6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6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6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6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6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61" spans="1:6" x14ac:dyDescent="0.65">
      <c r="A26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6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6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6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6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6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62" spans="1:6" x14ac:dyDescent="0.65">
      <c r="A26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6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6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6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6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6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63" spans="1:6" x14ac:dyDescent="0.65">
      <c r="A26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6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6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6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6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6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64" spans="1:6" x14ac:dyDescent="0.65">
      <c r="A26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6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6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6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6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6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65" spans="1:6" x14ac:dyDescent="0.65">
      <c r="A26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6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6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6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6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6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66" spans="1:6" x14ac:dyDescent="0.65">
      <c r="A26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6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6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6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6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6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67" spans="1:6" x14ac:dyDescent="0.65">
      <c r="A26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6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6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6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6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6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68" spans="1:6" x14ac:dyDescent="0.65">
      <c r="A26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6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6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6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6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6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69" spans="1:6" x14ac:dyDescent="0.65">
      <c r="A26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6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6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6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6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6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70" spans="1:6" x14ac:dyDescent="0.65">
      <c r="A27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7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7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7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7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7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71" spans="1:6" x14ac:dyDescent="0.65">
      <c r="A27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7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7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7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7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7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72" spans="1:6" x14ac:dyDescent="0.65">
      <c r="A27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7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7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7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7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7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73" spans="1:6" x14ac:dyDescent="0.65">
      <c r="A27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7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7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7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7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7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74" spans="1:6" x14ac:dyDescent="0.65">
      <c r="A27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7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7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7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7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7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75" spans="1:6" x14ac:dyDescent="0.65">
      <c r="A27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7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7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7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7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7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76" spans="1:6" x14ac:dyDescent="0.65">
      <c r="A27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7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7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7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7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7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77" spans="1:6" x14ac:dyDescent="0.65">
      <c r="A27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7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7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7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7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7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78" spans="1:6" x14ac:dyDescent="0.65">
      <c r="A27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7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7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7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7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7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79" spans="1:6" x14ac:dyDescent="0.65">
      <c r="A27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7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7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7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7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7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80" spans="1:6" x14ac:dyDescent="0.65">
      <c r="A28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8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8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8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8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8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81" spans="1:6" x14ac:dyDescent="0.65">
      <c r="A28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8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8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8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8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8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82" spans="1:6" x14ac:dyDescent="0.65">
      <c r="A28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8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8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8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8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8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83" spans="1:6" x14ac:dyDescent="0.65">
      <c r="A28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8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8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8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8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8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84" spans="1:6" x14ac:dyDescent="0.65">
      <c r="A28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8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8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8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8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8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85" spans="1:6" x14ac:dyDescent="0.65">
      <c r="A28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8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8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8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8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8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86" spans="1:6" x14ac:dyDescent="0.65">
      <c r="A28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8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8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8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8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8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87" spans="1:6" x14ac:dyDescent="0.65">
      <c r="A28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8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8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8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8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8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88" spans="1:6" x14ac:dyDescent="0.65">
      <c r="A28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8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8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8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8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8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89" spans="1:6" x14ac:dyDescent="0.65">
      <c r="A28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8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8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8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8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8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90" spans="1:6" x14ac:dyDescent="0.65">
      <c r="A29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9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9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9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9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9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91" spans="1:6" x14ac:dyDescent="0.65">
      <c r="A29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9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9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9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9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9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92" spans="1:6" x14ac:dyDescent="0.65">
      <c r="A29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9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9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9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9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9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93" spans="1:6" x14ac:dyDescent="0.65">
      <c r="A29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9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9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9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9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9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94" spans="1:6" x14ac:dyDescent="0.65">
      <c r="A29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9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9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9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9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9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95" spans="1:6" x14ac:dyDescent="0.65">
      <c r="A29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9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9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9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9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9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96" spans="1:6" x14ac:dyDescent="0.65">
      <c r="A29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9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9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9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9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9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97" spans="1:6" x14ac:dyDescent="0.65">
      <c r="A29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9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9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9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9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9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98" spans="1:6" x14ac:dyDescent="0.65">
      <c r="A29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9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9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9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9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9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299" spans="1:6" x14ac:dyDescent="0.65">
      <c r="A29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29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29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29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29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29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00" spans="1:6" x14ac:dyDescent="0.65">
      <c r="A30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0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0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0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0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0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01" spans="1:6" x14ac:dyDescent="0.65">
      <c r="A30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0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0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0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0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0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02" spans="1:6" x14ac:dyDescent="0.65">
      <c r="A30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0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0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0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0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0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03" spans="1:6" x14ac:dyDescent="0.65">
      <c r="A30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0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0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0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0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0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04" spans="1:6" x14ac:dyDescent="0.65">
      <c r="A30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0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0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0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0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0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05" spans="1:6" x14ac:dyDescent="0.65">
      <c r="A30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0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0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0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0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0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06" spans="1:6" x14ac:dyDescent="0.65">
      <c r="A30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0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0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0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0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0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07" spans="1:6" x14ac:dyDescent="0.65">
      <c r="A30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0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0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0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0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0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08" spans="1:6" x14ac:dyDescent="0.65">
      <c r="A30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0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0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0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0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0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09" spans="1:6" x14ac:dyDescent="0.65">
      <c r="A30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0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0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0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0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0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10" spans="1:6" x14ac:dyDescent="0.65">
      <c r="A31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1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1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1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1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1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11" spans="1:6" x14ac:dyDescent="0.65">
      <c r="A31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1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1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1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1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1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12" spans="1:6" x14ac:dyDescent="0.65">
      <c r="A31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1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1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1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1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1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13" spans="1:6" x14ac:dyDescent="0.65">
      <c r="A31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1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1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1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1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1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14" spans="1:6" x14ac:dyDescent="0.65">
      <c r="A31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1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1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1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1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1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15" spans="1:6" x14ac:dyDescent="0.65">
      <c r="A31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1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1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1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1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1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16" spans="1:6" x14ac:dyDescent="0.65">
      <c r="A31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1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1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1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1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1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17" spans="1:6" x14ac:dyDescent="0.65">
      <c r="A31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1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1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1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1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1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18" spans="1:6" x14ac:dyDescent="0.65">
      <c r="A31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1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1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1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1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1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19" spans="1:6" x14ac:dyDescent="0.65">
      <c r="A31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1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1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1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1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1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20" spans="1:6" x14ac:dyDescent="0.65">
      <c r="A32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2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2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2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2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2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21" spans="1:6" x14ac:dyDescent="0.65">
      <c r="A32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2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2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2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2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2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22" spans="1:6" x14ac:dyDescent="0.65">
      <c r="A32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2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2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2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2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2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23" spans="1:6" x14ac:dyDescent="0.65">
      <c r="A32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2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2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2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2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2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24" spans="1:6" x14ac:dyDescent="0.65">
      <c r="A32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2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2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2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2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2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25" spans="1:6" x14ac:dyDescent="0.65">
      <c r="A32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2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2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2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2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2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26" spans="1:6" x14ac:dyDescent="0.65">
      <c r="A32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2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2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2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2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2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27" spans="1:6" x14ac:dyDescent="0.65">
      <c r="A32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2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2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2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2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2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28" spans="1:6" x14ac:dyDescent="0.65">
      <c r="A32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2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2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2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2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2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29" spans="1:6" x14ac:dyDescent="0.65">
      <c r="A32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2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2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2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2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2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30" spans="1:6" x14ac:dyDescent="0.65">
      <c r="A33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3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3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3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3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3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31" spans="1:6" x14ac:dyDescent="0.65">
      <c r="A33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3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3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3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3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3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32" spans="1:6" x14ac:dyDescent="0.65">
      <c r="A33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3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3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3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3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3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33" spans="1:6" x14ac:dyDescent="0.65">
      <c r="A33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3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3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3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3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3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34" spans="1:6" x14ac:dyDescent="0.65">
      <c r="A33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3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3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3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3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3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35" spans="1:6" x14ac:dyDescent="0.65">
      <c r="A33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3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3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3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3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3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36" spans="1:6" x14ac:dyDescent="0.65">
      <c r="A33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3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3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3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3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3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37" spans="1:6" x14ac:dyDescent="0.65">
      <c r="A33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3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3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3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3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3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38" spans="1:6" x14ac:dyDescent="0.65">
      <c r="A33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3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3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3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3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3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39" spans="1:6" x14ac:dyDescent="0.65">
      <c r="A33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3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3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3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3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3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40" spans="1:6" x14ac:dyDescent="0.65">
      <c r="A34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4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4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4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4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4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41" spans="1:6" x14ac:dyDescent="0.65">
      <c r="A34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4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4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4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4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4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42" spans="1:6" x14ac:dyDescent="0.65">
      <c r="A34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4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4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4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4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4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43" spans="1:6" x14ac:dyDescent="0.65">
      <c r="A34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4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4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4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4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4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44" spans="1:6" x14ac:dyDescent="0.65">
      <c r="A34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4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4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4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4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4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45" spans="1:6" x14ac:dyDescent="0.65">
      <c r="A34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4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4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4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4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4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46" spans="1:6" x14ac:dyDescent="0.65">
      <c r="A34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4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4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4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4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4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47" spans="1:6" x14ac:dyDescent="0.65">
      <c r="A34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4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4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4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4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4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48" spans="1:6" x14ac:dyDescent="0.65">
      <c r="A34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4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4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4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4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4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49" spans="1:6" x14ac:dyDescent="0.65">
      <c r="A34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4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4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4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4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4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50" spans="1:6" x14ac:dyDescent="0.65">
      <c r="A35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5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5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5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5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5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51" spans="1:6" x14ac:dyDescent="0.65">
      <c r="A35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5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5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5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5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5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52" spans="1:6" x14ac:dyDescent="0.65">
      <c r="A35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5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5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5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5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5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53" spans="1:6" x14ac:dyDescent="0.65">
      <c r="A35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5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5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5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5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5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54" spans="1:6" x14ac:dyDescent="0.65">
      <c r="A35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5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5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5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5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5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55" spans="1:6" x14ac:dyDescent="0.65">
      <c r="A35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5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5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5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5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5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56" spans="1:6" x14ac:dyDescent="0.65">
      <c r="A35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5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5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5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5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5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57" spans="1:6" x14ac:dyDescent="0.65">
      <c r="A35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5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5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5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5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5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58" spans="1:6" x14ac:dyDescent="0.65">
      <c r="A35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5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5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5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5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5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59" spans="1:6" x14ac:dyDescent="0.65">
      <c r="A35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5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5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5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5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5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60" spans="1:6" x14ac:dyDescent="0.65">
      <c r="A36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6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6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6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6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6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61" spans="1:6" x14ac:dyDescent="0.65">
      <c r="A36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6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6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6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6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6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62" spans="1:6" x14ac:dyDescent="0.65">
      <c r="A36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6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6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6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6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6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63" spans="1:6" x14ac:dyDescent="0.65">
      <c r="A36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6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6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6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6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6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64" spans="1:6" x14ac:dyDescent="0.65">
      <c r="A36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6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6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6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6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6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65" spans="1:6" x14ac:dyDescent="0.65">
      <c r="A36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6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6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6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6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6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66" spans="1:6" x14ac:dyDescent="0.65">
      <c r="A36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6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6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6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6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6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67" spans="1:6" x14ac:dyDescent="0.65">
      <c r="A36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6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6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6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6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6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68" spans="1:6" x14ac:dyDescent="0.65">
      <c r="A36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6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6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6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6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6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69" spans="1:6" x14ac:dyDescent="0.65">
      <c r="A36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6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6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6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6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6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70" spans="1:6" x14ac:dyDescent="0.65">
      <c r="A37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7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7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7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7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7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71" spans="1:6" x14ac:dyDescent="0.65">
      <c r="A37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7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7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7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7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7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72" spans="1:6" x14ac:dyDescent="0.65">
      <c r="A37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7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7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7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7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7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73" spans="1:6" x14ac:dyDescent="0.65">
      <c r="A37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7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7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7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7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7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74" spans="1:6" x14ac:dyDescent="0.65">
      <c r="A37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7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7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7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7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7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75" spans="1:6" x14ac:dyDescent="0.65">
      <c r="A37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7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7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7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7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7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76" spans="1:6" x14ac:dyDescent="0.65">
      <c r="A376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76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76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76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76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76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77" spans="1:6" x14ac:dyDescent="0.65">
      <c r="A377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77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77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77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77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77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78" spans="1:6" x14ac:dyDescent="0.65">
      <c r="A378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78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78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78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78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78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79" spans="1:6" x14ac:dyDescent="0.65">
      <c r="A379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79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79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79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79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79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80" spans="1:6" x14ac:dyDescent="0.65">
      <c r="A380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80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80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80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80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80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81" spans="1:6" x14ac:dyDescent="0.65">
      <c r="A381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81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81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81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81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81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82" spans="1:6" x14ac:dyDescent="0.65">
      <c r="A382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82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82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82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82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82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83" spans="1:6" x14ac:dyDescent="0.65">
      <c r="A383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83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83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83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83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83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84" spans="1:6" x14ac:dyDescent="0.65">
      <c r="A384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84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84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84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84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84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  <row r="385" spans="1:6" x14ac:dyDescent="0.65">
      <c r="A385" s="554" t="str">
        <f ca="1">IF(AND(INDIRECT("ListAndConversion!AM" &amp; (ListAndConversion!$AB$2 + ROW() +2))&lt;&gt;"-",INDIRECT("ListAndConversion!AM" &amp; (ListAndConversion!$AB$2 + ROW() +2))&lt;&gt;0),INDIRECT("ListAndConversion!AM" &amp; (ListAndConversion!$AB$2 + ROW() +2)),"")</f>
        <v/>
      </c>
      <c r="B385" s="555" t="str">
        <f ca="1">IF(AND(INDIRECT("ListAndConversion!AN" &amp; (ListAndConversion!$AB$2 + ROW() +2))&lt;&gt;"-",INDIRECT("ListAndConversion!An" &amp; (ListAndConversion!$AB$2 + ROW() +2))&lt;&gt;0),INDIRECT("ListAndConversion!An" &amp; (ListAndConversion!$AB$2 + ROW() +2)),"")</f>
        <v/>
      </c>
      <c r="C385" s="555" t="str">
        <f ca="1">IF(AND(INDIRECT("ListAndConversion!Ao" &amp; (ListAndConversion!$AB$2 + ROW() +2))&lt;&gt;"-",INDIRECT("ListAndConversion!Ao" &amp; (ListAndConversion!$AB$2 + ROW() +2))&lt;&gt;0),INDIRECT("ListAndConversion!Ao" &amp; (ListAndConversion!$AB$2 + ROW() +2)),"")</f>
        <v/>
      </c>
      <c r="D385" s="555" t="str">
        <f ca="1">IF(AND(INDIRECT("ListAndConversion!Ao" &amp; (ListAndConversion!$AB$2 + ROW() +2))&lt;&gt;"-",INDIRECT("ListAndConversion!Ao" &amp; (ListAndConversion!$AB$2 + ROW() +2))&lt;&gt;0),INDIRECT("ListAndConversion!AJ" &amp; (ListAndConversion!$AB$2 + ROW() +2)),"")</f>
        <v/>
      </c>
      <c r="E385" s="555" t="str">
        <f ca="1">IF(AND(INDIRECT("ListAndConversion!Ao" &amp; (ListAndConversion!$AB$2 + ROW() +2))&lt;&gt;"-",INDIRECT("ListAndConversion!Ao" &amp; (ListAndConversion!$AB$2 + ROW() +2))&lt;&gt;0),INDIRECT("ListAndConversion!AK" &amp; (ListAndConversion!$AB$2 + ROW() +2)),"")</f>
        <v/>
      </c>
      <c r="F385" s="574" t="str">
        <f ca="1">IF(AND(INDIRECT("ListAndConversion!Ao" &amp; (ListAndConversion!$AB$2 + ROW() +2))&lt;&gt;"-",INDIRECT("ListAndConversion!Ao" &amp; (ListAndConversion!$AB$2 + ROW() +2))&lt;&gt;0),INDIRECT("ListAndConversion!AP" &amp; (ListAndConversion!$AB$2 + ROW() +2)),"")</f>
        <v/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85"/>
  <sheetViews>
    <sheetView zoomScaleNormal="100" workbookViewId="0"/>
  </sheetViews>
  <sheetFormatPr defaultRowHeight="14.25" x14ac:dyDescent="0.65"/>
  <cols>
    <col min="1" max="1" width="8.6328125" style="546"/>
    <col min="2" max="2" width="7.54296875" style="546"/>
    <col min="3" max="3" width="9.04296875" style="546"/>
    <col min="4" max="4" width="7.81640625" style="546"/>
    <col min="5" max="5" width="6.453125" style="546"/>
    <col min="6" max="1025" width="11.1796875" style="547"/>
  </cols>
  <sheetData>
    <row r="1" spans="1:5" x14ac:dyDescent="0.65">
      <c r="A1" s="575" t="s">
        <v>484</v>
      </c>
      <c r="B1" s="575" t="s">
        <v>485</v>
      </c>
      <c r="C1" s="575" t="s">
        <v>492</v>
      </c>
      <c r="D1" s="575" t="s">
        <v>493</v>
      </c>
      <c r="E1" s="575" t="s">
        <v>495</v>
      </c>
    </row>
    <row r="2" spans="1:5" x14ac:dyDescent="0.65">
      <c r="A2" s="551" t="str">
        <f ca="1">IF(ListAndConversion!BN4="-","",ListAndConversion!BN4)</f>
        <v/>
      </c>
      <c r="B2" s="552" t="str">
        <f ca="1">IF(ListAndConversion!BO4="-","",ListAndConversion!BO4)</f>
        <v/>
      </c>
      <c r="C2" s="552" t="str">
        <f ca="1">IF(ListAndConversion!BM4="-","","Pools1")</f>
        <v/>
      </c>
      <c r="D2" s="552" t="str">
        <f ca="1">IF(ListAndConversion!BQ4="-","",ListAndConversion!BQ4)</f>
        <v/>
      </c>
      <c r="E2" s="576" t="str">
        <f ca="1">IF(ListAndConversion!BR4="-","",ListAndConversion!BR4)</f>
        <v/>
      </c>
    </row>
    <row r="3" spans="1:5" x14ac:dyDescent="0.65">
      <c r="A3" s="554" t="str">
        <f ca="1">IF(ListAndConversion!BN5="-","",ListAndConversion!BN5)</f>
        <v/>
      </c>
      <c r="B3" s="555" t="str">
        <f ca="1">IF(ListAndConversion!BO5="-","",ListAndConversion!BO5)</f>
        <v/>
      </c>
      <c r="C3" s="555" t="str">
        <f ca="1">IF(ListAndConversion!BM5="-","","Pools1")</f>
        <v/>
      </c>
      <c r="D3" s="555" t="str">
        <f ca="1">IF(ListAndConversion!BQ5="-","",ListAndConversion!BQ5)</f>
        <v/>
      </c>
      <c r="E3" s="577" t="str">
        <f ca="1">IF(ListAndConversion!BR5="-","",ListAndConversion!BR5)</f>
        <v/>
      </c>
    </row>
    <row r="4" spans="1:5" x14ac:dyDescent="0.65">
      <c r="A4" s="554" t="str">
        <f ca="1">IF(ListAndConversion!BN6="-","",ListAndConversion!BN6)</f>
        <v/>
      </c>
      <c r="B4" s="555" t="str">
        <f ca="1">IF(ListAndConversion!BO6="-","",ListAndConversion!BO6)</f>
        <v/>
      </c>
      <c r="C4" s="555" t="str">
        <f ca="1">IF(ListAndConversion!BM6="-","","Pools1")</f>
        <v/>
      </c>
      <c r="D4" s="555" t="str">
        <f ca="1">IF(ListAndConversion!BQ6="-","",ListAndConversion!BQ6)</f>
        <v/>
      </c>
      <c r="E4" s="577" t="str">
        <f ca="1">IF(ListAndConversion!BR6="-","",ListAndConversion!BR6)</f>
        <v/>
      </c>
    </row>
    <row r="5" spans="1:5" x14ac:dyDescent="0.65">
      <c r="A5" s="554" t="str">
        <f ca="1">IF(ListAndConversion!BN7="-","",ListAndConversion!BN7)</f>
        <v/>
      </c>
      <c r="B5" s="555" t="str">
        <f ca="1">IF(ListAndConversion!BO7="-","",ListAndConversion!BO7)</f>
        <v/>
      </c>
      <c r="C5" s="555" t="str">
        <f ca="1">IF(ListAndConversion!BM7="-","","Pools1")</f>
        <v/>
      </c>
      <c r="D5" s="555" t="str">
        <f ca="1">IF(ListAndConversion!BQ7="-","",ListAndConversion!BQ7)</f>
        <v/>
      </c>
      <c r="E5" s="577" t="str">
        <f ca="1">IF(ListAndConversion!BR7="-","",ListAndConversion!BR7)</f>
        <v/>
      </c>
    </row>
    <row r="6" spans="1:5" x14ac:dyDescent="0.65">
      <c r="A6" s="554" t="str">
        <f ca="1">IF(ListAndConversion!BN8="-","",ListAndConversion!BN8)</f>
        <v/>
      </c>
      <c r="B6" s="555" t="str">
        <f ca="1">IF(ListAndConversion!BO8="-","",ListAndConversion!BO8)</f>
        <v/>
      </c>
      <c r="C6" s="555" t="str">
        <f ca="1">IF(ListAndConversion!BM8="-","","Pools1")</f>
        <v/>
      </c>
      <c r="D6" s="555" t="str">
        <f ca="1">IF(ListAndConversion!BQ8="-","",ListAndConversion!BQ8)</f>
        <v/>
      </c>
      <c r="E6" s="577" t="str">
        <f ca="1">IF(ListAndConversion!BR8="-","",ListAndConversion!BR8)</f>
        <v/>
      </c>
    </row>
    <row r="7" spans="1:5" x14ac:dyDescent="0.65">
      <c r="A7" s="554" t="str">
        <f ca="1">IF(ListAndConversion!BN9="-","",ListAndConversion!BN9)</f>
        <v/>
      </c>
      <c r="B7" s="555" t="str">
        <f ca="1">IF(ListAndConversion!BO9="-","",ListAndConversion!BO9)</f>
        <v/>
      </c>
      <c r="C7" s="555" t="str">
        <f ca="1">IF(ListAndConversion!BM9="-","","Pools1")</f>
        <v/>
      </c>
      <c r="D7" s="555" t="str">
        <f ca="1">IF(ListAndConversion!BQ9="-","",ListAndConversion!BQ9)</f>
        <v/>
      </c>
      <c r="E7" s="577" t="str">
        <f ca="1">IF(ListAndConversion!BR9="-","",ListAndConversion!BR9)</f>
        <v/>
      </c>
    </row>
    <row r="8" spans="1:5" x14ac:dyDescent="0.65">
      <c r="A8" s="554" t="str">
        <f ca="1">IF(ListAndConversion!BN10="-","",ListAndConversion!BN10)</f>
        <v/>
      </c>
      <c r="B8" s="555" t="str">
        <f ca="1">IF(ListAndConversion!BO10="-","",ListAndConversion!BO10)</f>
        <v/>
      </c>
      <c r="C8" s="555" t="str">
        <f ca="1">IF(ListAndConversion!BM10="-","","Pools1")</f>
        <v/>
      </c>
      <c r="D8" s="555" t="str">
        <f ca="1">IF(ListAndConversion!BQ10="-","",ListAndConversion!BQ10)</f>
        <v/>
      </c>
      <c r="E8" s="577" t="str">
        <f ca="1">IF(ListAndConversion!BR10="-","",ListAndConversion!BR10)</f>
        <v/>
      </c>
    </row>
    <row r="9" spans="1:5" x14ac:dyDescent="0.65">
      <c r="A9" s="554" t="str">
        <f ca="1">IF(ListAndConversion!BN11="-","",ListAndConversion!BN11)</f>
        <v/>
      </c>
      <c r="B9" s="555" t="str">
        <f ca="1">IF(ListAndConversion!BO11="-","",ListAndConversion!BO11)</f>
        <v/>
      </c>
      <c r="C9" s="555" t="str">
        <f ca="1">IF(ListAndConversion!BM11="-","","Pools1")</f>
        <v/>
      </c>
      <c r="D9" s="555" t="str">
        <f ca="1">IF(ListAndConversion!BQ11="-","",ListAndConversion!BQ11)</f>
        <v/>
      </c>
      <c r="E9" s="577" t="str">
        <f ca="1">IF(ListAndConversion!BR11="-","",ListAndConversion!BR11)</f>
        <v/>
      </c>
    </row>
    <row r="10" spans="1:5" x14ac:dyDescent="0.65">
      <c r="A10" s="554" t="str">
        <f ca="1">IF(ListAndConversion!BN12="-","",ListAndConversion!BN12)</f>
        <v/>
      </c>
      <c r="B10" s="555" t="str">
        <f ca="1">IF(ListAndConversion!BO12="-","",ListAndConversion!BO12)</f>
        <v/>
      </c>
      <c r="C10" s="555" t="str">
        <f ca="1">IF(ListAndConversion!BM12="-","","Pools1")</f>
        <v/>
      </c>
      <c r="D10" s="555" t="str">
        <f ca="1">IF(ListAndConversion!BQ12="-","",ListAndConversion!BQ12)</f>
        <v/>
      </c>
      <c r="E10" s="577" t="str">
        <f ca="1">IF(ListAndConversion!BR12="-","",ListAndConversion!BR12)</f>
        <v/>
      </c>
    </row>
    <row r="11" spans="1:5" x14ac:dyDescent="0.65">
      <c r="A11" s="554" t="str">
        <f ca="1">IF(ListAndConversion!BN13="-","",ListAndConversion!BN13)</f>
        <v/>
      </c>
      <c r="B11" s="555" t="str">
        <f ca="1">IF(ListAndConversion!BO13="-","",ListAndConversion!BO13)</f>
        <v/>
      </c>
      <c r="C11" s="555" t="str">
        <f ca="1">IF(ListAndConversion!BM13="-","","Pools1")</f>
        <v/>
      </c>
      <c r="D11" s="555" t="str">
        <f ca="1">IF(ListAndConversion!BQ13="-","",ListAndConversion!BQ13)</f>
        <v/>
      </c>
      <c r="E11" s="577" t="str">
        <f ca="1">IF(ListAndConversion!BR13="-","",ListAndConversion!BR13)</f>
        <v/>
      </c>
    </row>
    <row r="12" spans="1:5" x14ac:dyDescent="0.65">
      <c r="A12" s="554" t="str">
        <f ca="1">IF(ListAndConversion!BN14="-","",ListAndConversion!BN14)</f>
        <v/>
      </c>
      <c r="B12" s="555" t="str">
        <f ca="1">IF(ListAndConversion!BO14="-","",ListAndConversion!BO14)</f>
        <v/>
      </c>
      <c r="C12" s="555" t="str">
        <f ca="1">IF(ListAndConversion!BM14="-","","Pools1")</f>
        <v/>
      </c>
      <c r="D12" s="555" t="str">
        <f ca="1">IF(ListAndConversion!BQ14="-","",ListAndConversion!BQ14)</f>
        <v/>
      </c>
      <c r="E12" s="577" t="str">
        <f ca="1">IF(ListAndConversion!BR14="-","",ListAndConversion!BR14)</f>
        <v/>
      </c>
    </row>
    <row r="13" spans="1:5" x14ac:dyDescent="0.65">
      <c r="A13" s="554" t="str">
        <f ca="1">IF(ListAndConversion!BN15="-","",ListAndConversion!BN15)</f>
        <v/>
      </c>
      <c r="B13" s="555" t="str">
        <f ca="1">IF(ListAndConversion!BO15="-","",ListAndConversion!BO15)</f>
        <v/>
      </c>
      <c r="C13" s="555" t="str">
        <f ca="1">IF(ListAndConversion!BM15="-","","Pools1")</f>
        <v/>
      </c>
      <c r="D13" s="555" t="str">
        <f ca="1">IF(ListAndConversion!BQ15="-","",ListAndConversion!BQ15)</f>
        <v/>
      </c>
      <c r="E13" s="577" t="str">
        <f ca="1">IF(ListAndConversion!BR15="-","",ListAndConversion!BR15)</f>
        <v/>
      </c>
    </row>
    <row r="14" spans="1:5" x14ac:dyDescent="0.65">
      <c r="A14" s="554" t="str">
        <f ca="1">IF(ListAndConversion!BN16="-","",ListAndConversion!BN16)</f>
        <v/>
      </c>
      <c r="B14" s="555" t="str">
        <f ca="1">IF(ListAndConversion!BO16="-","",ListAndConversion!BO16)</f>
        <v/>
      </c>
      <c r="C14" s="555" t="str">
        <f ca="1">IF(ListAndConversion!BM16="-","","Pools1")</f>
        <v/>
      </c>
      <c r="D14" s="555" t="str">
        <f ca="1">IF(ListAndConversion!BQ16="-","",ListAndConversion!BQ16)</f>
        <v/>
      </c>
      <c r="E14" s="577" t="str">
        <f ca="1">IF(ListAndConversion!BR16="-","",ListAndConversion!BR16)</f>
        <v/>
      </c>
    </row>
    <row r="15" spans="1:5" x14ac:dyDescent="0.65">
      <c r="A15" s="554" t="str">
        <f ca="1">IF(ListAndConversion!BN17="-","",ListAndConversion!BN17)</f>
        <v/>
      </c>
      <c r="B15" s="555" t="str">
        <f ca="1">IF(ListAndConversion!BO17="-","",ListAndConversion!BO17)</f>
        <v/>
      </c>
      <c r="C15" s="555" t="str">
        <f ca="1">IF(ListAndConversion!BM17="-","","Pools1")</f>
        <v/>
      </c>
      <c r="D15" s="555" t="str">
        <f ca="1">IF(ListAndConversion!BQ17="-","",ListAndConversion!BQ17)</f>
        <v/>
      </c>
      <c r="E15" s="577" t="str">
        <f ca="1">IF(ListAndConversion!BR17="-","",ListAndConversion!BR17)</f>
        <v/>
      </c>
    </row>
    <row r="16" spans="1:5" x14ac:dyDescent="0.65">
      <c r="A16" s="554" t="str">
        <f ca="1">IF(ListAndConversion!BN18="-","",ListAndConversion!BN18)</f>
        <v/>
      </c>
      <c r="B16" s="555" t="str">
        <f ca="1">IF(ListAndConversion!BO18="-","",ListAndConversion!BO18)</f>
        <v/>
      </c>
      <c r="C16" s="555" t="str">
        <f ca="1">IF(ListAndConversion!BM18="-","","Pools1")</f>
        <v/>
      </c>
      <c r="D16" s="555" t="str">
        <f ca="1">IF(ListAndConversion!BQ18="-","",ListAndConversion!BQ18)</f>
        <v/>
      </c>
      <c r="E16" s="577" t="str">
        <f ca="1">IF(ListAndConversion!BR18="-","",ListAndConversion!BR18)</f>
        <v/>
      </c>
    </row>
    <row r="17" spans="1:5" x14ac:dyDescent="0.65">
      <c r="A17" s="554" t="str">
        <f ca="1">IF(ListAndConversion!BN19="-","",ListAndConversion!BN19)</f>
        <v/>
      </c>
      <c r="B17" s="555" t="str">
        <f ca="1">IF(ListAndConversion!BO19="-","",ListAndConversion!BO19)</f>
        <v/>
      </c>
      <c r="C17" s="555" t="str">
        <f ca="1">IF(ListAndConversion!BM19="-","","Pools1")</f>
        <v/>
      </c>
      <c r="D17" s="555" t="str">
        <f ca="1">IF(ListAndConversion!BQ19="-","",ListAndConversion!BQ19)</f>
        <v/>
      </c>
      <c r="E17" s="577" t="str">
        <f ca="1">IF(ListAndConversion!BR19="-","",ListAndConversion!BR19)</f>
        <v/>
      </c>
    </row>
    <row r="18" spans="1:5" x14ac:dyDescent="0.65">
      <c r="A18" s="554" t="str">
        <f ca="1">IF(ListAndConversion!BN20="-","",ListAndConversion!BN20)</f>
        <v/>
      </c>
      <c r="B18" s="555" t="str">
        <f ca="1">IF(ListAndConversion!BO20="-","",ListAndConversion!BO20)</f>
        <v/>
      </c>
      <c r="C18" s="555" t="str">
        <f ca="1">IF(ListAndConversion!BM20="-","","Pools1")</f>
        <v/>
      </c>
      <c r="D18" s="555" t="str">
        <f ca="1">IF(ListAndConversion!BQ20="-","",ListAndConversion!BQ20)</f>
        <v/>
      </c>
      <c r="E18" s="577" t="str">
        <f ca="1">IF(ListAndConversion!BR20="-","",ListAndConversion!BR20)</f>
        <v/>
      </c>
    </row>
    <row r="19" spans="1:5" x14ac:dyDescent="0.65">
      <c r="A19" s="554" t="str">
        <f ca="1">IF(ListAndConversion!BN21="-","",ListAndConversion!BN21)</f>
        <v/>
      </c>
      <c r="B19" s="555" t="str">
        <f ca="1">IF(ListAndConversion!BO21="-","",ListAndConversion!BO21)</f>
        <v/>
      </c>
      <c r="C19" s="555" t="str">
        <f ca="1">IF(ListAndConversion!BM21="-","","Pools1")</f>
        <v/>
      </c>
      <c r="D19" s="555" t="str">
        <f ca="1">IF(ListAndConversion!BQ21="-","",ListAndConversion!BQ21)</f>
        <v/>
      </c>
      <c r="E19" s="577" t="str">
        <f ca="1">IF(ListAndConversion!BR21="-","",ListAndConversion!BR21)</f>
        <v/>
      </c>
    </row>
    <row r="20" spans="1:5" x14ac:dyDescent="0.65">
      <c r="A20" s="554" t="str">
        <f ca="1">IF(ListAndConversion!BN22="-","",ListAndConversion!BN22)</f>
        <v/>
      </c>
      <c r="B20" s="555" t="str">
        <f ca="1">IF(ListAndConversion!BO22="-","",ListAndConversion!BO22)</f>
        <v/>
      </c>
      <c r="C20" s="555" t="str">
        <f ca="1">IF(ListAndConversion!BM22="-","","Pools1")</f>
        <v/>
      </c>
      <c r="D20" s="555" t="str">
        <f ca="1">IF(ListAndConversion!BQ22="-","",ListAndConversion!BQ22)</f>
        <v/>
      </c>
      <c r="E20" s="577" t="str">
        <f ca="1">IF(ListAndConversion!BR22="-","",ListAndConversion!BR22)</f>
        <v/>
      </c>
    </row>
    <row r="21" spans="1:5" x14ac:dyDescent="0.65">
      <c r="A21" s="554" t="str">
        <f ca="1">IF(ListAndConversion!BN23="-","",ListAndConversion!BN23)</f>
        <v/>
      </c>
      <c r="B21" s="555" t="str">
        <f ca="1">IF(ListAndConversion!BO23="-","",ListAndConversion!BO23)</f>
        <v/>
      </c>
      <c r="C21" s="555" t="str">
        <f ca="1">IF(ListAndConversion!BM23="-","","Pools1")</f>
        <v/>
      </c>
      <c r="D21" s="555" t="str">
        <f ca="1">IF(ListAndConversion!BQ23="-","",ListAndConversion!BQ23)</f>
        <v/>
      </c>
      <c r="E21" s="577" t="str">
        <f ca="1">IF(ListAndConversion!BR23="-","",ListAndConversion!BR23)</f>
        <v/>
      </c>
    </row>
    <row r="22" spans="1:5" x14ac:dyDescent="0.65">
      <c r="A22" s="554" t="str">
        <f ca="1">IF(ListAndConversion!BN24="-","",ListAndConversion!BN24)</f>
        <v/>
      </c>
      <c r="B22" s="555" t="str">
        <f ca="1">IF(ListAndConversion!BO24="-","",ListAndConversion!BO24)</f>
        <v/>
      </c>
      <c r="C22" s="555" t="str">
        <f ca="1">IF(ListAndConversion!BM24="-","","Pools1")</f>
        <v/>
      </c>
      <c r="D22" s="555" t="str">
        <f ca="1">IF(ListAndConversion!BQ24="-","",ListAndConversion!BQ24)</f>
        <v/>
      </c>
      <c r="E22" s="577" t="str">
        <f ca="1">IF(ListAndConversion!BR24="-","",ListAndConversion!BR24)</f>
        <v/>
      </c>
    </row>
    <row r="23" spans="1:5" x14ac:dyDescent="0.65">
      <c r="A23" s="554" t="str">
        <f ca="1">IF(ListAndConversion!BN25="-","",ListAndConversion!BN25)</f>
        <v/>
      </c>
      <c r="B23" s="555" t="str">
        <f ca="1">IF(ListAndConversion!BO25="-","",ListAndConversion!BO25)</f>
        <v/>
      </c>
      <c r="C23" s="555" t="str">
        <f ca="1">IF(ListAndConversion!BM25="-","","Pools1")</f>
        <v/>
      </c>
      <c r="D23" s="555" t="str">
        <f ca="1">IF(ListAndConversion!BQ25="-","",ListAndConversion!BQ25)</f>
        <v/>
      </c>
      <c r="E23" s="577" t="str">
        <f ca="1">IF(ListAndConversion!BR25="-","",ListAndConversion!BR25)</f>
        <v/>
      </c>
    </row>
    <row r="24" spans="1:5" x14ac:dyDescent="0.65">
      <c r="A24" s="554" t="str">
        <f ca="1">IF(ListAndConversion!BN26="-","",ListAndConversion!BN26)</f>
        <v/>
      </c>
      <c r="B24" s="555" t="str">
        <f ca="1">IF(ListAndConversion!BO26="-","",ListAndConversion!BO26)</f>
        <v/>
      </c>
      <c r="C24" s="555" t="str">
        <f ca="1">IF(ListAndConversion!BM26="-","","Pools1")</f>
        <v/>
      </c>
      <c r="D24" s="555" t="str">
        <f ca="1">IF(ListAndConversion!BQ26="-","",ListAndConversion!BQ26)</f>
        <v/>
      </c>
      <c r="E24" s="577" t="str">
        <f ca="1">IF(ListAndConversion!BR26="-","",ListAndConversion!BR26)</f>
        <v/>
      </c>
    </row>
    <row r="25" spans="1:5" x14ac:dyDescent="0.65">
      <c r="A25" s="554" t="str">
        <f ca="1">IF(ListAndConversion!BN27="-","",ListAndConversion!BN27)</f>
        <v/>
      </c>
      <c r="B25" s="555" t="str">
        <f ca="1">IF(ListAndConversion!BO27="-","",ListAndConversion!BO27)</f>
        <v/>
      </c>
      <c r="C25" s="555" t="str">
        <f ca="1">IF(ListAndConversion!BM27="-","","Pools1")</f>
        <v/>
      </c>
      <c r="D25" s="555" t="str">
        <f ca="1">IF(ListAndConversion!BQ27="-","",ListAndConversion!BQ27)</f>
        <v/>
      </c>
      <c r="E25" s="577" t="str">
        <f ca="1">IF(ListAndConversion!BR27="-","",ListAndConversion!BR27)</f>
        <v/>
      </c>
    </row>
    <row r="26" spans="1:5" x14ac:dyDescent="0.65">
      <c r="A26" s="554" t="str">
        <f ca="1">IF(ListAndConversion!BN28="-","",ListAndConversion!BN28)</f>
        <v/>
      </c>
      <c r="B26" s="555" t="str">
        <f ca="1">IF(ListAndConversion!BO28="-","",ListAndConversion!BO28)</f>
        <v/>
      </c>
      <c r="C26" s="555" t="str">
        <f ca="1">IF(ListAndConversion!BM28="-","","Pools1")</f>
        <v/>
      </c>
      <c r="D26" s="555" t="str">
        <f ca="1">IF(ListAndConversion!BQ28="-","",ListAndConversion!BQ28)</f>
        <v/>
      </c>
      <c r="E26" s="577" t="str">
        <f ca="1">IF(ListAndConversion!BR28="-","",ListAndConversion!BR28)</f>
        <v/>
      </c>
    </row>
    <row r="27" spans="1:5" x14ac:dyDescent="0.65">
      <c r="A27" s="554" t="str">
        <f ca="1">IF(ListAndConversion!BN29="-","",ListAndConversion!BN29)</f>
        <v/>
      </c>
      <c r="B27" s="555" t="str">
        <f ca="1">IF(ListAndConversion!BO29="-","",ListAndConversion!BO29)</f>
        <v/>
      </c>
      <c r="C27" s="555" t="str">
        <f ca="1">IF(ListAndConversion!BM29="-","","Pools1")</f>
        <v/>
      </c>
      <c r="D27" s="555" t="str">
        <f ca="1">IF(ListAndConversion!BQ29="-","",ListAndConversion!BQ29)</f>
        <v/>
      </c>
      <c r="E27" s="577" t="str">
        <f ca="1">IF(ListAndConversion!BR29="-","",ListAndConversion!BR29)</f>
        <v/>
      </c>
    </row>
    <row r="28" spans="1:5" x14ac:dyDescent="0.65">
      <c r="A28" s="554" t="str">
        <f ca="1">IF(ListAndConversion!BN30="-","",ListAndConversion!BN30)</f>
        <v/>
      </c>
      <c r="B28" s="555" t="str">
        <f ca="1">IF(ListAndConversion!BO30="-","",ListAndConversion!BO30)</f>
        <v/>
      </c>
      <c r="C28" s="555" t="str">
        <f ca="1">IF(ListAndConversion!BM30="-","","Pools1")</f>
        <v/>
      </c>
      <c r="D28" s="555" t="str">
        <f ca="1">IF(ListAndConversion!BQ30="-","",ListAndConversion!BQ30)</f>
        <v/>
      </c>
      <c r="E28" s="577" t="str">
        <f ca="1">IF(ListAndConversion!BR30="-","",ListAndConversion!BR30)</f>
        <v/>
      </c>
    </row>
    <row r="29" spans="1:5" x14ac:dyDescent="0.65">
      <c r="A29" s="554" t="str">
        <f ca="1">IF(ListAndConversion!BN31="-","",ListAndConversion!BN31)</f>
        <v/>
      </c>
      <c r="B29" s="555" t="str">
        <f ca="1">IF(ListAndConversion!BO31="-","",ListAndConversion!BO31)</f>
        <v/>
      </c>
      <c r="C29" s="555" t="str">
        <f ca="1">IF(ListAndConversion!BM31="-","","Pools1")</f>
        <v/>
      </c>
      <c r="D29" s="555" t="str">
        <f ca="1">IF(ListAndConversion!BQ31="-","",ListAndConversion!BQ31)</f>
        <v/>
      </c>
      <c r="E29" s="577" t="str">
        <f ca="1">IF(ListAndConversion!BR31="-","",ListAndConversion!BR31)</f>
        <v/>
      </c>
    </row>
    <row r="30" spans="1:5" x14ac:dyDescent="0.65">
      <c r="A30" s="554" t="str">
        <f ca="1">IF(ListAndConversion!BN32="-","",ListAndConversion!BN32)</f>
        <v/>
      </c>
      <c r="B30" s="555" t="str">
        <f ca="1">IF(ListAndConversion!BO32="-","",ListAndConversion!BO32)</f>
        <v/>
      </c>
      <c r="C30" s="555" t="str">
        <f ca="1">IF(ListAndConversion!BM32="-","","Pools1")</f>
        <v/>
      </c>
      <c r="D30" s="555" t="str">
        <f ca="1">IF(ListAndConversion!BQ32="-","",ListAndConversion!BQ32)</f>
        <v/>
      </c>
      <c r="E30" s="577" t="str">
        <f ca="1">IF(ListAndConversion!BR32="-","",ListAndConversion!BR32)</f>
        <v/>
      </c>
    </row>
    <row r="31" spans="1:5" x14ac:dyDescent="0.65">
      <c r="A31" s="554" t="str">
        <f ca="1">IF(ListAndConversion!BN33="-","",ListAndConversion!BN33)</f>
        <v/>
      </c>
      <c r="B31" s="555" t="str">
        <f ca="1">IF(ListAndConversion!BO33="-","",ListAndConversion!BO33)</f>
        <v/>
      </c>
      <c r="C31" s="555" t="str">
        <f ca="1">IF(ListAndConversion!BM33="-","","Pools1")</f>
        <v/>
      </c>
      <c r="D31" s="555" t="str">
        <f ca="1">IF(ListAndConversion!BQ33="-","",ListAndConversion!BQ33)</f>
        <v/>
      </c>
      <c r="E31" s="577" t="str">
        <f ca="1">IF(ListAndConversion!BR33="-","",ListAndConversion!BR33)</f>
        <v/>
      </c>
    </row>
    <row r="32" spans="1:5" x14ac:dyDescent="0.65">
      <c r="A32" s="554" t="str">
        <f ca="1">IF(ListAndConversion!BN34="-","",ListAndConversion!BN34)</f>
        <v/>
      </c>
      <c r="B32" s="555" t="str">
        <f ca="1">IF(ListAndConversion!BO34="-","",ListAndConversion!BO34)</f>
        <v/>
      </c>
      <c r="C32" s="555" t="str">
        <f ca="1">IF(ListAndConversion!BM34="-","","Pools1")</f>
        <v/>
      </c>
      <c r="D32" s="555" t="str">
        <f ca="1">IF(ListAndConversion!BQ34="-","",ListAndConversion!BQ34)</f>
        <v/>
      </c>
      <c r="E32" s="577" t="str">
        <f ca="1">IF(ListAndConversion!BR34="-","",ListAndConversion!BR34)</f>
        <v/>
      </c>
    </row>
    <row r="33" spans="1:5" x14ac:dyDescent="0.65">
      <c r="A33" s="554" t="str">
        <f ca="1">IF(ListAndConversion!BN35="-","",ListAndConversion!BN35)</f>
        <v/>
      </c>
      <c r="B33" s="555" t="str">
        <f ca="1">IF(ListAndConversion!BO35="-","",ListAndConversion!BO35)</f>
        <v/>
      </c>
      <c r="C33" s="555" t="str">
        <f ca="1">IF(ListAndConversion!BM35="-","","Pools1")</f>
        <v/>
      </c>
      <c r="D33" s="555" t="str">
        <f ca="1">IF(ListAndConversion!BQ35="-","",ListAndConversion!BQ35)</f>
        <v/>
      </c>
      <c r="E33" s="577" t="str">
        <f ca="1">IF(ListAndConversion!BR35="-","",ListAndConversion!BR35)</f>
        <v/>
      </c>
    </row>
    <row r="34" spans="1:5" x14ac:dyDescent="0.65">
      <c r="A34" s="554" t="str">
        <f ca="1">IF(ListAndConversion!BN36="-","",ListAndConversion!BN36)</f>
        <v/>
      </c>
      <c r="B34" s="555" t="str">
        <f ca="1">IF(ListAndConversion!BO36="-","",ListAndConversion!BO36)</f>
        <v/>
      </c>
      <c r="C34" s="555" t="str">
        <f ca="1">IF(ListAndConversion!BM36="-","","Pools1")</f>
        <v/>
      </c>
      <c r="D34" s="555" t="str">
        <f ca="1">IF(ListAndConversion!BQ36="-","",ListAndConversion!BQ36)</f>
        <v/>
      </c>
      <c r="E34" s="577" t="str">
        <f ca="1">IF(ListAndConversion!BR36="-","",ListAndConversion!BR36)</f>
        <v/>
      </c>
    </row>
    <row r="35" spans="1:5" x14ac:dyDescent="0.65">
      <c r="A35" s="554" t="str">
        <f ca="1">IF(ListAndConversion!BN37="-","",ListAndConversion!BN37)</f>
        <v/>
      </c>
      <c r="B35" s="555" t="str">
        <f ca="1">IF(ListAndConversion!BO37="-","",ListAndConversion!BO37)</f>
        <v/>
      </c>
      <c r="C35" s="555" t="str">
        <f ca="1">IF(ListAndConversion!BM37="-","","Pools1")</f>
        <v/>
      </c>
      <c r="D35" s="555" t="str">
        <f ca="1">IF(ListAndConversion!BQ37="-","",ListAndConversion!BQ37)</f>
        <v/>
      </c>
      <c r="E35" s="577" t="str">
        <f ca="1">IF(ListAndConversion!BR37="-","",ListAndConversion!BR37)</f>
        <v/>
      </c>
    </row>
    <row r="36" spans="1:5" x14ac:dyDescent="0.65">
      <c r="A36" s="554" t="str">
        <f ca="1">IF(ListAndConversion!BN38="-","",ListAndConversion!BN38)</f>
        <v/>
      </c>
      <c r="B36" s="555" t="str">
        <f ca="1">IF(ListAndConversion!BO38="-","",ListAndConversion!BO38)</f>
        <v/>
      </c>
      <c r="C36" s="555" t="str">
        <f ca="1">IF(ListAndConversion!BM38="-","","Pools1")</f>
        <v/>
      </c>
      <c r="D36" s="555" t="str">
        <f ca="1">IF(ListAndConversion!BQ38="-","",ListAndConversion!BQ38)</f>
        <v/>
      </c>
      <c r="E36" s="577" t="str">
        <f ca="1">IF(ListAndConversion!BR38="-","",ListAndConversion!BR38)</f>
        <v/>
      </c>
    </row>
    <row r="37" spans="1:5" x14ac:dyDescent="0.65">
      <c r="A37" s="554" t="str">
        <f ca="1">IF(ListAndConversion!BN39="-","",ListAndConversion!BN39)</f>
        <v/>
      </c>
      <c r="B37" s="555" t="str">
        <f ca="1">IF(ListAndConversion!BO39="-","",ListAndConversion!BO39)</f>
        <v/>
      </c>
      <c r="C37" s="555" t="str">
        <f ca="1">IF(ListAndConversion!BM39="-","","Pools1")</f>
        <v/>
      </c>
      <c r="D37" s="555" t="str">
        <f ca="1">IF(ListAndConversion!BQ39="-","",ListAndConversion!BQ39)</f>
        <v/>
      </c>
      <c r="E37" s="577" t="str">
        <f ca="1">IF(ListAndConversion!BR39="-","",ListAndConversion!BR39)</f>
        <v/>
      </c>
    </row>
    <row r="38" spans="1:5" x14ac:dyDescent="0.65">
      <c r="A38" s="554" t="str">
        <f ca="1">IF(ListAndConversion!BN40="-","",ListAndConversion!BN40)</f>
        <v/>
      </c>
      <c r="B38" s="555" t="str">
        <f ca="1">IF(ListAndConversion!BO40="-","",ListAndConversion!BO40)</f>
        <v/>
      </c>
      <c r="C38" s="555" t="str">
        <f ca="1">IF(ListAndConversion!BM40="-","","Pools1")</f>
        <v/>
      </c>
      <c r="D38" s="555" t="str">
        <f ca="1">IF(ListAndConversion!BQ40="-","",ListAndConversion!BQ40)</f>
        <v/>
      </c>
      <c r="E38" s="577" t="str">
        <f ca="1">IF(ListAndConversion!BR40="-","",ListAndConversion!BR40)</f>
        <v/>
      </c>
    </row>
    <row r="39" spans="1:5" x14ac:dyDescent="0.65">
      <c r="A39" s="554" t="str">
        <f ca="1">IF(ListAndConversion!BN41="-","",ListAndConversion!BN41)</f>
        <v/>
      </c>
      <c r="B39" s="555" t="str">
        <f ca="1">IF(ListAndConversion!BO41="-","",ListAndConversion!BO41)</f>
        <v/>
      </c>
      <c r="C39" s="555" t="str">
        <f ca="1">IF(ListAndConversion!BM41="-","","Pools1")</f>
        <v/>
      </c>
      <c r="D39" s="555" t="str">
        <f ca="1">IF(ListAndConversion!BQ41="-","",ListAndConversion!BQ41)</f>
        <v/>
      </c>
      <c r="E39" s="577" t="str">
        <f ca="1">IF(ListAndConversion!BR41="-","",ListAndConversion!BR41)</f>
        <v/>
      </c>
    </row>
    <row r="40" spans="1:5" x14ac:dyDescent="0.65">
      <c r="A40" s="554" t="str">
        <f ca="1">IF(ListAndConversion!BN42="-","",ListAndConversion!BN42)</f>
        <v/>
      </c>
      <c r="B40" s="555" t="str">
        <f ca="1">IF(ListAndConversion!BO42="-","",ListAndConversion!BO42)</f>
        <v/>
      </c>
      <c r="C40" s="555" t="str">
        <f ca="1">IF(ListAndConversion!BM42="-","","Pools1")</f>
        <v/>
      </c>
      <c r="D40" s="555" t="str">
        <f ca="1">IF(ListAndConversion!BQ42="-","",ListAndConversion!BQ42)</f>
        <v/>
      </c>
      <c r="E40" s="577" t="str">
        <f ca="1">IF(ListAndConversion!BR42="-","",ListAndConversion!BR42)</f>
        <v/>
      </c>
    </row>
    <row r="41" spans="1:5" x14ac:dyDescent="0.65">
      <c r="A41" s="554" t="str">
        <f ca="1">IF(ListAndConversion!BN43="-","",ListAndConversion!BN43)</f>
        <v/>
      </c>
      <c r="B41" s="555" t="str">
        <f ca="1">IF(ListAndConversion!BO43="-","",ListAndConversion!BO43)</f>
        <v/>
      </c>
      <c r="C41" s="555" t="str">
        <f ca="1">IF(ListAndConversion!BM43="-","","Pools1")</f>
        <v/>
      </c>
      <c r="D41" s="555" t="str">
        <f ca="1">IF(ListAndConversion!BQ43="-","",ListAndConversion!BQ43)</f>
        <v/>
      </c>
      <c r="E41" s="577" t="str">
        <f ca="1">IF(ListAndConversion!BR43="-","",ListAndConversion!BR43)</f>
        <v/>
      </c>
    </row>
    <row r="42" spans="1:5" x14ac:dyDescent="0.65">
      <c r="A42" s="554" t="str">
        <f ca="1">IF(ListAndConversion!BN44="-","",ListAndConversion!BN44)</f>
        <v/>
      </c>
      <c r="B42" s="555" t="str">
        <f ca="1">IF(ListAndConversion!BO44="-","",ListAndConversion!BO44)</f>
        <v/>
      </c>
      <c r="C42" s="555" t="str">
        <f ca="1">IF(ListAndConversion!BM44="-","","Pools1")</f>
        <v/>
      </c>
      <c r="D42" s="555" t="str">
        <f ca="1">IF(ListAndConversion!BQ44="-","",ListAndConversion!BQ44)</f>
        <v/>
      </c>
      <c r="E42" s="577" t="str">
        <f ca="1">IF(ListAndConversion!BR44="-","",ListAndConversion!BR44)</f>
        <v/>
      </c>
    </row>
    <row r="43" spans="1:5" x14ac:dyDescent="0.65">
      <c r="A43" s="554" t="str">
        <f ca="1">IF(ListAndConversion!BN45="-","",ListAndConversion!BN45)</f>
        <v/>
      </c>
      <c r="B43" s="555" t="str">
        <f ca="1">IF(ListAndConversion!BO45="-","",ListAndConversion!BO45)</f>
        <v/>
      </c>
      <c r="C43" s="555" t="str">
        <f ca="1">IF(ListAndConversion!BM45="-","","Pools1")</f>
        <v/>
      </c>
      <c r="D43" s="555" t="str">
        <f ca="1">IF(ListAndConversion!BQ45="-","",ListAndConversion!BQ45)</f>
        <v/>
      </c>
      <c r="E43" s="577" t="str">
        <f ca="1">IF(ListAndConversion!BR45="-","",ListAndConversion!BR45)</f>
        <v/>
      </c>
    </row>
    <row r="44" spans="1:5" x14ac:dyDescent="0.65">
      <c r="A44" s="554" t="str">
        <f ca="1">IF(ListAndConversion!BN46="-","",ListAndConversion!BN46)</f>
        <v/>
      </c>
      <c r="B44" s="555" t="str">
        <f ca="1">IF(ListAndConversion!BO46="-","",ListAndConversion!BO46)</f>
        <v/>
      </c>
      <c r="C44" s="555" t="str">
        <f ca="1">IF(ListAndConversion!BM46="-","","Pools1")</f>
        <v/>
      </c>
      <c r="D44" s="555" t="str">
        <f ca="1">IF(ListAndConversion!BQ46="-","",ListAndConversion!BQ46)</f>
        <v/>
      </c>
      <c r="E44" s="577" t="str">
        <f ca="1">IF(ListAndConversion!BR46="-","",ListAndConversion!BR46)</f>
        <v/>
      </c>
    </row>
    <row r="45" spans="1:5" x14ac:dyDescent="0.65">
      <c r="A45" s="554" t="str">
        <f ca="1">IF(ListAndConversion!BN47="-","",ListAndConversion!BN47)</f>
        <v/>
      </c>
      <c r="B45" s="555" t="str">
        <f ca="1">IF(ListAndConversion!BO47="-","",ListAndConversion!BO47)</f>
        <v/>
      </c>
      <c r="C45" s="555" t="str">
        <f ca="1">IF(ListAndConversion!BM47="-","","Pools1")</f>
        <v/>
      </c>
      <c r="D45" s="555" t="str">
        <f ca="1">IF(ListAndConversion!BQ47="-","",ListAndConversion!BQ47)</f>
        <v/>
      </c>
      <c r="E45" s="577" t="str">
        <f ca="1">IF(ListAndConversion!BR47="-","",ListAndConversion!BR47)</f>
        <v/>
      </c>
    </row>
    <row r="46" spans="1:5" x14ac:dyDescent="0.65">
      <c r="A46" s="554" t="str">
        <f ca="1">IF(ListAndConversion!BN48="-","",ListAndConversion!BN48)</f>
        <v/>
      </c>
      <c r="B46" s="555" t="str">
        <f ca="1">IF(ListAndConversion!BO48="-","",ListAndConversion!BO48)</f>
        <v/>
      </c>
      <c r="C46" s="555" t="str">
        <f ca="1">IF(ListAndConversion!BM48="-","","Pools1")</f>
        <v/>
      </c>
      <c r="D46" s="555" t="str">
        <f ca="1">IF(ListAndConversion!BQ48="-","",ListAndConversion!BQ48)</f>
        <v/>
      </c>
      <c r="E46" s="577" t="str">
        <f ca="1">IF(ListAndConversion!BR48="-","",ListAndConversion!BR48)</f>
        <v/>
      </c>
    </row>
    <row r="47" spans="1:5" x14ac:dyDescent="0.65">
      <c r="A47" s="554" t="str">
        <f ca="1">IF(ListAndConversion!BN49="-","",ListAndConversion!BN49)</f>
        <v/>
      </c>
      <c r="B47" s="555" t="str">
        <f ca="1">IF(ListAndConversion!BO49="-","",ListAndConversion!BO49)</f>
        <v/>
      </c>
      <c r="C47" s="555" t="str">
        <f ca="1">IF(ListAndConversion!BM49="-","","Pools1")</f>
        <v/>
      </c>
      <c r="D47" s="555" t="str">
        <f ca="1">IF(ListAndConversion!BQ49="-","",ListAndConversion!BQ49)</f>
        <v/>
      </c>
      <c r="E47" s="577" t="str">
        <f ca="1">IF(ListAndConversion!BR49="-","",ListAndConversion!BR49)</f>
        <v/>
      </c>
    </row>
    <row r="48" spans="1:5" x14ac:dyDescent="0.65">
      <c r="A48" s="554" t="str">
        <f ca="1">IF(ListAndConversion!BN50="-","",ListAndConversion!BN50)</f>
        <v/>
      </c>
      <c r="B48" s="555" t="str">
        <f ca="1">IF(ListAndConversion!BO50="-","",ListAndConversion!BO50)</f>
        <v/>
      </c>
      <c r="C48" s="555" t="str">
        <f ca="1">IF(ListAndConversion!BM50="-","","Pools1")</f>
        <v/>
      </c>
      <c r="D48" s="555" t="str">
        <f ca="1">IF(ListAndConversion!BQ50="-","",ListAndConversion!BQ50)</f>
        <v/>
      </c>
      <c r="E48" s="577" t="str">
        <f ca="1">IF(ListAndConversion!BR50="-","",ListAndConversion!BR50)</f>
        <v/>
      </c>
    </row>
    <row r="49" spans="1:5" x14ac:dyDescent="0.65">
      <c r="A49" s="554" t="str">
        <f ca="1">IF(ListAndConversion!BN51="-","",ListAndConversion!BN51)</f>
        <v/>
      </c>
      <c r="B49" s="555" t="str">
        <f ca="1">IF(ListAndConversion!BO51="-","",ListAndConversion!BO51)</f>
        <v/>
      </c>
      <c r="C49" s="555" t="str">
        <f ca="1">IF(ListAndConversion!BM51="-","","Pools1")</f>
        <v/>
      </c>
      <c r="D49" s="555" t="str">
        <f ca="1">IF(ListAndConversion!BQ51="-","",ListAndConversion!BQ51)</f>
        <v/>
      </c>
      <c r="E49" s="577" t="str">
        <f ca="1">IF(ListAndConversion!BR51="-","",ListAndConversion!BR51)</f>
        <v/>
      </c>
    </row>
    <row r="50" spans="1:5" x14ac:dyDescent="0.65">
      <c r="A50" s="554" t="str">
        <f ca="1">IF(ListAndConversion!BN52="-","",ListAndConversion!BN52)</f>
        <v/>
      </c>
      <c r="B50" s="555" t="str">
        <f ca="1">IF(ListAndConversion!BO52="-","",ListAndConversion!BO52)</f>
        <v/>
      </c>
      <c r="C50" s="555" t="str">
        <f ca="1">IF(ListAndConversion!BM52="-","","Pools1")</f>
        <v/>
      </c>
      <c r="D50" s="555" t="str">
        <f ca="1">IF(ListAndConversion!BQ52="-","",ListAndConversion!BQ52)</f>
        <v/>
      </c>
      <c r="E50" s="577" t="str">
        <f ca="1">IF(ListAndConversion!BR52="-","",ListAndConversion!BR52)</f>
        <v/>
      </c>
    </row>
    <row r="51" spans="1:5" x14ac:dyDescent="0.65">
      <c r="A51" s="554" t="str">
        <f ca="1">IF(ListAndConversion!BN53="-","",ListAndConversion!BN53)</f>
        <v/>
      </c>
      <c r="B51" s="555" t="str">
        <f ca="1">IF(ListAndConversion!BO53="-","",ListAndConversion!BO53)</f>
        <v/>
      </c>
      <c r="C51" s="555" t="str">
        <f ca="1">IF(ListAndConversion!BM53="-","","Pools1")</f>
        <v/>
      </c>
      <c r="D51" s="555" t="str">
        <f ca="1">IF(ListAndConversion!BQ53="-","",ListAndConversion!BQ53)</f>
        <v/>
      </c>
      <c r="E51" s="577" t="str">
        <f ca="1">IF(ListAndConversion!BR53="-","",ListAndConversion!BR53)</f>
        <v/>
      </c>
    </row>
    <row r="52" spans="1:5" x14ac:dyDescent="0.65">
      <c r="A52" s="554" t="str">
        <f ca="1">IF(ListAndConversion!BN54="-","",ListAndConversion!BN54)</f>
        <v/>
      </c>
      <c r="B52" s="555" t="str">
        <f ca="1">IF(ListAndConversion!BO54="-","",ListAndConversion!BO54)</f>
        <v/>
      </c>
      <c r="C52" s="555" t="str">
        <f ca="1">IF(ListAndConversion!BM54="-","","Pools1")</f>
        <v/>
      </c>
      <c r="D52" s="555" t="str">
        <f ca="1">IF(ListAndConversion!BQ54="-","",ListAndConversion!BQ54)</f>
        <v/>
      </c>
      <c r="E52" s="577" t="str">
        <f ca="1">IF(ListAndConversion!BR54="-","",ListAndConversion!BR54)</f>
        <v/>
      </c>
    </row>
    <row r="53" spans="1:5" x14ac:dyDescent="0.65">
      <c r="A53" s="554" t="str">
        <f ca="1">IF(ListAndConversion!BN55="-","",ListAndConversion!BN55)</f>
        <v/>
      </c>
      <c r="B53" s="555" t="str">
        <f ca="1">IF(ListAndConversion!BO55="-","",ListAndConversion!BO55)</f>
        <v/>
      </c>
      <c r="C53" s="555" t="str">
        <f ca="1">IF(ListAndConversion!BM55="-","","Pools1")</f>
        <v/>
      </c>
      <c r="D53" s="555" t="str">
        <f ca="1">IF(ListAndConversion!BQ55="-","",ListAndConversion!BQ55)</f>
        <v/>
      </c>
      <c r="E53" s="577" t="str">
        <f ca="1">IF(ListAndConversion!BR55="-","",ListAndConversion!BR55)</f>
        <v/>
      </c>
    </row>
    <row r="54" spans="1:5" x14ac:dyDescent="0.65">
      <c r="A54" s="554" t="str">
        <f ca="1">IF(ListAndConversion!BN56="-","",ListAndConversion!BN56)</f>
        <v/>
      </c>
      <c r="B54" s="555" t="str">
        <f ca="1">IF(ListAndConversion!BO56="-","",ListAndConversion!BO56)</f>
        <v/>
      </c>
      <c r="C54" s="555" t="str">
        <f ca="1">IF(ListAndConversion!BM56="-","","Pools1")</f>
        <v/>
      </c>
      <c r="D54" s="555" t="str">
        <f ca="1">IF(ListAndConversion!BQ56="-","",ListAndConversion!BQ56)</f>
        <v/>
      </c>
      <c r="E54" s="577" t="str">
        <f ca="1">IF(ListAndConversion!BR56="-","",ListAndConversion!BR56)</f>
        <v/>
      </c>
    </row>
    <row r="55" spans="1:5" x14ac:dyDescent="0.65">
      <c r="A55" s="554" t="str">
        <f ca="1">IF(ListAndConversion!BN57="-","",ListAndConversion!BN57)</f>
        <v/>
      </c>
      <c r="B55" s="555" t="str">
        <f ca="1">IF(ListAndConversion!BO57="-","",ListAndConversion!BO57)</f>
        <v/>
      </c>
      <c r="C55" s="555" t="str">
        <f ca="1">IF(ListAndConversion!BM57="-","","Pools1")</f>
        <v/>
      </c>
      <c r="D55" s="555" t="str">
        <f ca="1">IF(ListAndConversion!BQ57="-","",ListAndConversion!BQ57)</f>
        <v/>
      </c>
      <c r="E55" s="577" t="str">
        <f ca="1">IF(ListAndConversion!BR57="-","",ListAndConversion!BR57)</f>
        <v/>
      </c>
    </row>
    <row r="56" spans="1:5" x14ac:dyDescent="0.65">
      <c r="A56" s="554" t="str">
        <f ca="1">IF(ListAndConversion!BN58="-","",ListAndConversion!BN58)</f>
        <v/>
      </c>
      <c r="B56" s="555" t="str">
        <f ca="1">IF(ListAndConversion!BO58="-","",ListAndConversion!BO58)</f>
        <v/>
      </c>
      <c r="C56" s="555" t="str">
        <f ca="1">IF(ListAndConversion!BM58="-","","Pools1")</f>
        <v/>
      </c>
      <c r="D56" s="555" t="str">
        <f ca="1">IF(ListAndConversion!BQ58="-","",ListAndConversion!BQ58)</f>
        <v/>
      </c>
      <c r="E56" s="577" t="str">
        <f ca="1">IF(ListAndConversion!BR58="-","",ListAndConversion!BR58)</f>
        <v/>
      </c>
    </row>
    <row r="57" spans="1:5" x14ac:dyDescent="0.65">
      <c r="A57" s="554" t="str">
        <f ca="1">IF(ListAndConversion!BN59="-","",ListAndConversion!BN59)</f>
        <v/>
      </c>
      <c r="B57" s="555" t="str">
        <f ca="1">IF(ListAndConversion!BO59="-","",ListAndConversion!BO59)</f>
        <v/>
      </c>
      <c r="C57" s="555" t="str">
        <f ca="1">IF(ListAndConversion!BM59="-","","Pools1")</f>
        <v/>
      </c>
      <c r="D57" s="555" t="str">
        <f ca="1">IF(ListAndConversion!BQ59="-","",ListAndConversion!BQ59)</f>
        <v/>
      </c>
      <c r="E57" s="577" t="str">
        <f ca="1">IF(ListAndConversion!BR59="-","",ListAndConversion!BR59)</f>
        <v/>
      </c>
    </row>
    <row r="58" spans="1:5" x14ac:dyDescent="0.65">
      <c r="A58" s="554" t="str">
        <f ca="1">IF(ListAndConversion!BN60="-","",ListAndConversion!BN60)</f>
        <v/>
      </c>
      <c r="B58" s="555" t="str">
        <f ca="1">IF(ListAndConversion!BO60="-","",ListAndConversion!BO60)</f>
        <v/>
      </c>
      <c r="C58" s="555" t="str">
        <f ca="1">IF(ListAndConversion!BM60="-","","Pools1")</f>
        <v/>
      </c>
      <c r="D58" s="555" t="str">
        <f ca="1">IF(ListAndConversion!BQ60="-","",ListAndConversion!BQ60)</f>
        <v/>
      </c>
      <c r="E58" s="577" t="str">
        <f ca="1">IF(ListAndConversion!BR60="-","",ListAndConversion!BR60)</f>
        <v/>
      </c>
    </row>
    <row r="59" spans="1:5" x14ac:dyDescent="0.65">
      <c r="A59" s="554" t="str">
        <f ca="1">IF(ListAndConversion!BN61="-","",ListAndConversion!BN61)</f>
        <v/>
      </c>
      <c r="B59" s="555" t="str">
        <f ca="1">IF(ListAndConversion!BO61="-","",ListAndConversion!BO61)</f>
        <v/>
      </c>
      <c r="C59" s="555" t="str">
        <f ca="1">IF(ListAndConversion!BM61="-","","Pools1")</f>
        <v/>
      </c>
      <c r="D59" s="555" t="str">
        <f ca="1">IF(ListAndConversion!BQ61="-","",ListAndConversion!BQ61)</f>
        <v/>
      </c>
      <c r="E59" s="577" t="str">
        <f ca="1">IF(ListAndConversion!BR61="-","",ListAndConversion!BR61)</f>
        <v/>
      </c>
    </row>
    <row r="60" spans="1:5" x14ac:dyDescent="0.65">
      <c r="A60" s="554" t="str">
        <f ca="1">IF(ListAndConversion!BN62="-","",ListAndConversion!BN62)</f>
        <v/>
      </c>
      <c r="B60" s="555" t="str">
        <f ca="1">IF(ListAndConversion!BO62="-","",ListAndConversion!BO62)</f>
        <v/>
      </c>
      <c r="C60" s="555" t="str">
        <f ca="1">IF(ListAndConversion!BM62="-","","Pools1")</f>
        <v/>
      </c>
      <c r="D60" s="555" t="str">
        <f ca="1">IF(ListAndConversion!BQ62="-","",ListAndConversion!BQ62)</f>
        <v/>
      </c>
      <c r="E60" s="577" t="str">
        <f ca="1">IF(ListAndConversion!BR62="-","",ListAndConversion!BR62)</f>
        <v/>
      </c>
    </row>
    <row r="61" spans="1:5" x14ac:dyDescent="0.65">
      <c r="A61" s="554" t="str">
        <f ca="1">IF(ListAndConversion!BN63="-","",ListAndConversion!BN63)</f>
        <v/>
      </c>
      <c r="B61" s="555" t="str">
        <f ca="1">IF(ListAndConversion!BO63="-","",ListAndConversion!BO63)</f>
        <v/>
      </c>
      <c r="C61" s="555" t="str">
        <f ca="1">IF(ListAndConversion!BM63="-","","Pools1")</f>
        <v/>
      </c>
      <c r="D61" s="555" t="str">
        <f ca="1">IF(ListAndConversion!BQ63="-","",ListAndConversion!BQ63)</f>
        <v/>
      </c>
      <c r="E61" s="577" t="str">
        <f ca="1">IF(ListAndConversion!BR63="-","",ListAndConversion!BR63)</f>
        <v/>
      </c>
    </row>
    <row r="62" spans="1:5" x14ac:dyDescent="0.65">
      <c r="A62" s="554" t="str">
        <f ca="1">IF(ListAndConversion!BN64="-","",ListAndConversion!BN64)</f>
        <v/>
      </c>
      <c r="B62" s="555" t="str">
        <f ca="1">IF(ListAndConversion!BO64="-","",ListAndConversion!BO64)</f>
        <v/>
      </c>
      <c r="C62" s="555" t="str">
        <f ca="1">IF(ListAndConversion!BM64="-","","Pools1")</f>
        <v/>
      </c>
      <c r="D62" s="555" t="str">
        <f ca="1">IF(ListAndConversion!BQ64="-","",ListAndConversion!BQ64)</f>
        <v/>
      </c>
      <c r="E62" s="577" t="str">
        <f ca="1">IF(ListAndConversion!BR64="-","",ListAndConversion!BR64)</f>
        <v/>
      </c>
    </row>
    <row r="63" spans="1:5" x14ac:dyDescent="0.65">
      <c r="A63" s="554" t="str">
        <f ca="1">IF(ListAndConversion!BN65="-","",ListAndConversion!BN65)</f>
        <v/>
      </c>
      <c r="B63" s="555" t="str">
        <f ca="1">IF(ListAndConversion!BO65="-","",ListAndConversion!BO65)</f>
        <v/>
      </c>
      <c r="C63" s="555" t="str">
        <f ca="1">IF(ListAndConversion!BM65="-","","Pools1")</f>
        <v/>
      </c>
      <c r="D63" s="555" t="str">
        <f ca="1">IF(ListAndConversion!BQ65="-","",ListAndConversion!BQ65)</f>
        <v/>
      </c>
      <c r="E63" s="577" t="str">
        <f ca="1">IF(ListAndConversion!BR65="-","",ListAndConversion!BR65)</f>
        <v/>
      </c>
    </row>
    <row r="64" spans="1:5" x14ac:dyDescent="0.65">
      <c r="A64" s="554" t="str">
        <f ca="1">IF(ListAndConversion!BN66="-","",ListAndConversion!BN66)</f>
        <v/>
      </c>
      <c r="B64" s="555" t="str">
        <f ca="1">IF(ListAndConversion!BO66="-","",ListAndConversion!BO66)</f>
        <v/>
      </c>
      <c r="C64" s="555" t="str">
        <f ca="1">IF(ListAndConversion!BM66="-","","Pools1")</f>
        <v/>
      </c>
      <c r="D64" s="555" t="str">
        <f ca="1">IF(ListAndConversion!BQ66="-","",ListAndConversion!BQ66)</f>
        <v/>
      </c>
      <c r="E64" s="577" t="str">
        <f ca="1">IF(ListAndConversion!BR66="-","",ListAndConversion!BR66)</f>
        <v/>
      </c>
    </row>
    <row r="65" spans="1:5" x14ac:dyDescent="0.65">
      <c r="A65" s="554" t="str">
        <f ca="1">IF(ListAndConversion!BN67="-","",ListAndConversion!BN67)</f>
        <v/>
      </c>
      <c r="B65" s="555" t="str">
        <f ca="1">IF(ListAndConversion!BO67="-","",ListAndConversion!BO67)</f>
        <v/>
      </c>
      <c r="C65" s="555" t="str">
        <f ca="1">IF(ListAndConversion!BM67="-","","Pools1")</f>
        <v/>
      </c>
      <c r="D65" s="555" t="str">
        <f ca="1">IF(ListAndConversion!BQ67="-","",ListAndConversion!BQ67)</f>
        <v/>
      </c>
      <c r="E65" s="577" t="str">
        <f ca="1">IF(ListAndConversion!BR67="-","",ListAndConversion!BR67)</f>
        <v/>
      </c>
    </row>
    <row r="66" spans="1:5" x14ac:dyDescent="0.65">
      <c r="A66" s="554" t="str">
        <f ca="1">IF(ListAndConversion!BN68="-","",ListAndConversion!BN68)</f>
        <v/>
      </c>
      <c r="B66" s="555" t="str">
        <f ca="1">IF(ListAndConversion!BO68="-","",ListAndConversion!BO68)</f>
        <v/>
      </c>
      <c r="C66" s="555" t="str">
        <f ca="1">IF(ListAndConversion!BM68="-","","Pools1")</f>
        <v/>
      </c>
      <c r="D66" s="555" t="str">
        <f ca="1">IF(ListAndConversion!BQ68="-","",ListAndConversion!BQ68)</f>
        <v/>
      </c>
      <c r="E66" s="577" t="str">
        <f ca="1">IF(ListAndConversion!BR68="-","",ListAndConversion!BR68)</f>
        <v/>
      </c>
    </row>
    <row r="67" spans="1:5" x14ac:dyDescent="0.65">
      <c r="A67" s="554" t="str">
        <f ca="1">IF(ListAndConversion!BN69="-","",ListAndConversion!BN69)</f>
        <v/>
      </c>
      <c r="B67" s="555" t="str">
        <f ca="1">IF(ListAndConversion!BO69="-","",ListAndConversion!BO69)</f>
        <v/>
      </c>
      <c r="C67" s="555" t="str">
        <f ca="1">IF(ListAndConversion!BM69="-","","Pools1")</f>
        <v/>
      </c>
      <c r="D67" s="555" t="str">
        <f ca="1">IF(ListAndConversion!BQ69="-","",ListAndConversion!BQ69)</f>
        <v/>
      </c>
      <c r="E67" s="577" t="str">
        <f ca="1">IF(ListAndConversion!BR69="-","",ListAndConversion!BR69)</f>
        <v/>
      </c>
    </row>
    <row r="68" spans="1:5" x14ac:dyDescent="0.65">
      <c r="A68" s="554" t="str">
        <f ca="1">IF(ListAndConversion!BN70="-","",ListAndConversion!BN70)</f>
        <v/>
      </c>
      <c r="B68" s="555" t="str">
        <f ca="1">IF(ListAndConversion!BO70="-","",ListAndConversion!BO70)</f>
        <v/>
      </c>
      <c r="C68" s="555" t="str">
        <f ca="1">IF(ListAndConversion!BM70="-","","Pools1")</f>
        <v/>
      </c>
      <c r="D68" s="555" t="str">
        <f ca="1">IF(ListAndConversion!BQ70="-","",ListAndConversion!BQ70)</f>
        <v/>
      </c>
      <c r="E68" s="577" t="str">
        <f ca="1">IF(ListAndConversion!BR70="-","",ListAndConversion!BR70)</f>
        <v/>
      </c>
    </row>
    <row r="69" spans="1:5" x14ac:dyDescent="0.65">
      <c r="A69" s="554" t="str">
        <f ca="1">IF(ListAndConversion!BN71="-","",ListAndConversion!BN71)</f>
        <v/>
      </c>
      <c r="B69" s="555" t="str">
        <f ca="1">IF(ListAndConversion!BO71="-","",ListAndConversion!BO71)</f>
        <v/>
      </c>
      <c r="C69" s="555" t="str">
        <f ca="1">IF(ListAndConversion!BM71="-","","Pools1")</f>
        <v/>
      </c>
      <c r="D69" s="555" t="str">
        <f ca="1">IF(ListAndConversion!BQ71="-","",ListAndConversion!BQ71)</f>
        <v/>
      </c>
      <c r="E69" s="577" t="str">
        <f ca="1">IF(ListAndConversion!BR71="-","",ListAndConversion!BR71)</f>
        <v/>
      </c>
    </row>
    <row r="70" spans="1:5" x14ac:dyDescent="0.65">
      <c r="A70" s="554" t="str">
        <f ca="1">IF(ListAndConversion!BN72="-","",ListAndConversion!BN72)</f>
        <v/>
      </c>
      <c r="B70" s="555" t="str">
        <f ca="1">IF(ListAndConversion!BO72="-","",ListAndConversion!BO72)</f>
        <v/>
      </c>
      <c r="C70" s="555" t="str">
        <f ca="1">IF(ListAndConversion!BM72="-","","Pools1")</f>
        <v/>
      </c>
      <c r="D70" s="555" t="str">
        <f ca="1">IF(ListAndConversion!BQ72="-","",ListAndConversion!BQ72)</f>
        <v/>
      </c>
      <c r="E70" s="577" t="str">
        <f ca="1">IF(ListAndConversion!BR72="-","",ListAndConversion!BR72)</f>
        <v/>
      </c>
    </row>
    <row r="71" spans="1:5" x14ac:dyDescent="0.65">
      <c r="A71" s="554" t="str">
        <f ca="1">IF(ListAndConversion!BN73="-","",ListAndConversion!BN73)</f>
        <v/>
      </c>
      <c r="B71" s="555" t="str">
        <f ca="1">IF(ListAndConversion!BO73="-","",ListAndConversion!BO73)</f>
        <v/>
      </c>
      <c r="C71" s="555" t="str">
        <f ca="1">IF(ListAndConversion!BM73="-","","Pools1")</f>
        <v/>
      </c>
      <c r="D71" s="555" t="str">
        <f ca="1">IF(ListAndConversion!BQ73="-","",ListAndConversion!BQ73)</f>
        <v/>
      </c>
      <c r="E71" s="577" t="str">
        <f ca="1">IF(ListAndConversion!BR73="-","",ListAndConversion!BR73)</f>
        <v/>
      </c>
    </row>
    <row r="72" spans="1:5" x14ac:dyDescent="0.65">
      <c r="A72" s="554" t="str">
        <f ca="1">IF(ListAndConversion!BN74="-","",ListAndConversion!BN74)</f>
        <v/>
      </c>
      <c r="B72" s="555" t="str">
        <f ca="1">IF(ListAndConversion!BO74="-","",ListAndConversion!BO74)</f>
        <v/>
      </c>
      <c r="C72" s="555" t="str">
        <f ca="1">IF(ListAndConversion!BM74="-","","Pools1")</f>
        <v/>
      </c>
      <c r="D72" s="555" t="str">
        <f ca="1">IF(ListAndConversion!BQ74="-","",ListAndConversion!BQ74)</f>
        <v/>
      </c>
      <c r="E72" s="577" t="str">
        <f ca="1">IF(ListAndConversion!BR74="-","",ListAndConversion!BR74)</f>
        <v/>
      </c>
    </row>
    <row r="73" spans="1:5" x14ac:dyDescent="0.65">
      <c r="A73" s="554" t="str">
        <f ca="1">IF(ListAndConversion!BN75="-","",ListAndConversion!BN75)</f>
        <v/>
      </c>
      <c r="B73" s="555" t="str">
        <f ca="1">IF(ListAndConversion!BO75="-","",ListAndConversion!BO75)</f>
        <v/>
      </c>
      <c r="C73" s="555" t="str">
        <f ca="1">IF(ListAndConversion!BM75="-","","Pools1")</f>
        <v/>
      </c>
      <c r="D73" s="555" t="str">
        <f ca="1">IF(ListAndConversion!BQ75="-","",ListAndConversion!BQ75)</f>
        <v/>
      </c>
      <c r="E73" s="577" t="str">
        <f ca="1">IF(ListAndConversion!BR75="-","",ListAndConversion!BR75)</f>
        <v/>
      </c>
    </row>
    <row r="74" spans="1:5" x14ac:dyDescent="0.65">
      <c r="A74" s="554" t="str">
        <f ca="1">IF(ListAndConversion!BN76="-","",ListAndConversion!BN76)</f>
        <v/>
      </c>
      <c r="B74" s="555" t="str">
        <f ca="1">IF(ListAndConversion!BO76="-","",ListAndConversion!BO76)</f>
        <v/>
      </c>
      <c r="C74" s="555" t="str">
        <f ca="1">IF(ListAndConversion!BM76="-","","Pools1")</f>
        <v/>
      </c>
      <c r="D74" s="555" t="str">
        <f ca="1">IF(ListAndConversion!BQ76="-","",ListAndConversion!BQ76)</f>
        <v/>
      </c>
      <c r="E74" s="577" t="str">
        <f ca="1">IF(ListAndConversion!BR76="-","",ListAndConversion!BR76)</f>
        <v/>
      </c>
    </row>
    <row r="75" spans="1:5" x14ac:dyDescent="0.65">
      <c r="A75" s="554" t="str">
        <f ca="1">IF(ListAndConversion!BN77="-","",ListAndConversion!BN77)</f>
        <v/>
      </c>
      <c r="B75" s="555" t="str">
        <f ca="1">IF(ListAndConversion!BO77="-","",ListAndConversion!BO77)</f>
        <v/>
      </c>
      <c r="C75" s="555" t="str">
        <f ca="1">IF(ListAndConversion!BM77="-","","Pools1")</f>
        <v/>
      </c>
      <c r="D75" s="555" t="str">
        <f ca="1">IF(ListAndConversion!BQ77="-","",ListAndConversion!BQ77)</f>
        <v/>
      </c>
      <c r="E75" s="577" t="str">
        <f ca="1">IF(ListAndConversion!BR77="-","",ListAndConversion!BR77)</f>
        <v/>
      </c>
    </row>
    <row r="76" spans="1:5" x14ac:dyDescent="0.65">
      <c r="A76" s="554" t="str">
        <f ca="1">IF(ListAndConversion!BN78="-","",ListAndConversion!BN78)</f>
        <v/>
      </c>
      <c r="B76" s="555" t="str">
        <f ca="1">IF(ListAndConversion!BO78="-","",ListAndConversion!BO78)</f>
        <v/>
      </c>
      <c r="C76" s="555" t="str">
        <f ca="1">IF(ListAndConversion!BM78="-","","Pools1")</f>
        <v/>
      </c>
      <c r="D76" s="555" t="str">
        <f ca="1">IF(ListAndConversion!BQ78="-","",ListAndConversion!BQ78)</f>
        <v/>
      </c>
      <c r="E76" s="577" t="str">
        <f ca="1">IF(ListAndConversion!BR78="-","",ListAndConversion!BR78)</f>
        <v/>
      </c>
    </row>
    <row r="77" spans="1:5" x14ac:dyDescent="0.65">
      <c r="A77" s="554" t="str">
        <f ca="1">IF(ListAndConversion!BN79="-","",ListAndConversion!BN79)</f>
        <v/>
      </c>
      <c r="B77" s="555" t="str">
        <f ca="1">IF(ListAndConversion!BO79="-","",ListAndConversion!BO79)</f>
        <v/>
      </c>
      <c r="C77" s="555" t="str">
        <f ca="1">IF(ListAndConversion!BM79="-","","Pools1")</f>
        <v/>
      </c>
      <c r="D77" s="555" t="str">
        <f ca="1">IF(ListAndConversion!BQ79="-","",ListAndConversion!BQ79)</f>
        <v/>
      </c>
      <c r="E77" s="577" t="str">
        <f ca="1">IF(ListAndConversion!BR79="-","",ListAndConversion!BR79)</f>
        <v/>
      </c>
    </row>
    <row r="78" spans="1:5" x14ac:dyDescent="0.65">
      <c r="A78" s="554" t="str">
        <f ca="1">IF(ListAndConversion!BN80="-","",ListAndConversion!BN80)</f>
        <v/>
      </c>
      <c r="B78" s="555" t="str">
        <f ca="1">IF(ListAndConversion!BO80="-","",ListAndConversion!BO80)</f>
        <v/>
      </c>
      <c r="C78" s="555" t="str">
        <f ca="1">IF(ListAndConversion!BM80="-","","Pools1")</f>
        <v/>
      </c>
      <c r="D78" s="555" t="str">
        <f ca="1">IF(ListAndConversion!BQ80="-","",ListAndConversion!BQ80)</f>
        <v/>
      </c>
      <c r="E78" s="577" t="str">
        <f ca="1">IF(ListAndConversion!BR80="-","",ListAndConversion!BR80)</f>
        <v/>
      </c>
    </row>
    <row r="79" spans="1:5" x14ac:dyDescent="0.65">
      <c r="A79" s="554" t="str">
        <f ca="1">IF(ListAndConversion!BN81="-","",ListAndConversion!BN81)</f>
        <v/>
      </c>
      <c r="B79" s="555" t="str">
        <f ca="1">IF(ListAndConversion!BO81="-","",ListAndConversion!BO81)</f>
        <v/>
      </c>
      <c r="C79" s="555" t="str">
        <f ca="1">IF(ListAndConversion!BM81="-","","Pools1")</f>
        <v/>
      </c>
      <c r="D79" s="555" t="str">
        <f ca="1">IF(ListAndConversion!BQ81="-","",ListAndConversion!BQ81)</f>
        <v/>
      </c>
      <c r="E79" s="577" t="str">
        <f ca="1">IF(ListAndConversion!BR81="-","",ListAndConversion!BR81)</f>
        <v/>
      </c>
    </row>
    <row r="80" spans="1:5" x14ac:dyDescent="0.65">
      <c r="A80" s="554" t="str">
        <f ca="1">IF(ListAndConversion!BN82="-","",ListAndConversion!BN82)</f>
        <v/>
      </c>
      <c r="B80" s="555" t="str">
        <f ca="1">IF(ListAndConversion!BO82="-","",ListAndConversion!BO82)</f>
        <v/>
      </c>
      <c r="C80" s="555" t="str">
        <f ca="1">IF(ListAndConversion!BM82="-","","Pools1")</f>
        <v/>
      </c>
      <c r="D80" s="555" t="str">
        <f ca="1">IF(ListAndConversion!BQ82="-","",ListAndConversion!BQ82)</f>
        <v/>
      </c>
      <c r="E80" s="577" t="str">
        <f ca="1">IF(ListAndConversion!BR82="-","",ListAndConversion!BR82)</f>
        <v/>
      </c>
    </row>
    <row r="81" spans="1:5" x14ac:dyDescent="0.65">
      <c r="A81" s="554" t="str">
        <f ca="1">IF(ListAndConversion!BN83="-","",ListAndConversion!BN83)</f>
        <v/>
      </c>
      <c r="B81" s="555" t="str">
        <f ca="1">IF(ListAndConversion!BO83="-","",ListAndConversion!BO83)</f>
        <v/>
      </c>
      <c r="C81" s="555" t="str">
        <f ca="1">IF(ListAndConversion!BM83="-","","Pools1")</f>
        <v/>
      </c>
      <c r="D81" s="555" t="str">
        <f ca="1">IF(ListAndConversion!BQ83="-","",ListAndConversion!BQ83)</f>
        <v/>
      </c>
      <c r="E81" s="577" t="str">
        <f ca="1">IF(ListAndConversion!BR83="-","",ListAndConversion!BR83)</f>
        <v/>
      </c>
    </row>
    <row r="82" spans="1:5" x14ac:dyDescent="0.65">
      <c r="A82" s="554" t="str">
        <f ca="1">IF(ListAndConversion!BN84="-","",ListAndConversion!BN84)</f>
        <v/>
      </c>
      <c r="B82" s="555" t="str">
        <f ca="1">IF(ListAndConversion!BO84="-","",ListAndConversion!BO84)</f>
        <v/>
      </c>
      <c r="C82" s="555" t="str">
        <f ca="1">IF(ListAndConversion!BM84="-","","Pools1")</f>
        <v/>
      </c>
      <c r="D82" s="555" t="str">
        <f ca="1">IF(ListAndConversion!BQ84="-","",ListAndConversion!BQ84)</f>
        <v/>
      </c>
      <c r="E82" s="577" t="str">
        <f ca="1">IF(ListAndConversion!BR84="-","",ListAndConversion!BR84)</f>
        <v/>
      </c>
    </row>
    <row r="83" spans="1:5" x14ac:dyDescent="0.65">
      <c r="A83" s="554" t="str">
        <f ca="1">IF(ListAndConversion!BN85="-","",ListAndConversion!BN85)</f>
        <v/>
      </c>
      <c r="B83" s="555" t="str">
        <f ca="1">IF(ListAndConversion!BO85="-","",ListAndConversion!BO85)</f>
        <v/>
      </c>
      <c r="C83" s="555" t="str">
        <f ca="1">IF(ListAndConversion!BM85="-","","Pools1")</f>
        <v/>
      </c>
      <c r="D83" s="555" t="str">
        <f ca="1">IF(ListAndConversion!BQ85="-","",ListAndConversion!BQ85)</f>
        <v/>
      </c>
      <c r="E83" s="577" t="str">
        <f ca="1">IF(ListAndConversion!BR85="-","",ListAndConversion!BR85)</f>
        <v/>
      </c>
    </row>
    <row r="84" spans="1:5" x14ac:dyDescent="0.65">
      <c r="A84" s="554" t="str">
        <f ca="1">IF(ListAndConversion!BN86="-","",ListAndConversion!BN86)</f>
        <v/>
      </c>
      <c r="B84" s="555" t="str">
        <f ca="1">IF(ListAndConversion!BO86="-","",ListAndConversion!BO86)</f>
        <v/>
      </c>
      <c r="C84" s="555" t="str">
        <f ca="1">IF(ListAndConversion!BM86="-","","Pools1")</f>
        <v/>
      </c>
      <c r="D84" s="555" t="str">
        <f ca="1">IF(ListAndConversion!BQ86="-","",ListAndConversion!BQ86)</f>
        <v/>
      </c>
      <c r="E84" s="577" t="str">
        <f ca="1">IF(ListAndConversion!BR86="-","",ListAndConversion!BR86)</f>
        <v/>
      </c>
    </row>
    <row r="85" spans="1:5" x14ac:dyDescent="0.65">
      <c r="A85" s="554" t="str">
        <f ca="1">IF(ListAndConversion!BN87="-","",ListAndConversion!BN87)</f>
        <v/>
      </c>
      <c r="B85" s="555" t="str">
        <f ca="1">IF(ListAndConversion!BO87="-","",ListAndConversion!BO87)</f>
        <v/>
      </c>
      <c r="C85" s="555" t="str">
        <f ca="1">IF(ListAndConversion!BM87="-","","Pools1")</f>
        <v/>
      </c>
      <c r="D85" s="555" t="str">
        <f ca="1">IF(ListAndConversion!BQ87="-","",ListAndConversion!BQ87)</f>
        <v/>
      </c>
      <c r="E85" s="577" t="str">
        <f ca="1">IF(ListAndConversion!BR87="-","",ListAndConversion!BR87)</f>
        <v/>
      </c>
    </row>
    <row r="86" spans="1:5" x14ac:dyDescent="0.65">
      <c r="A86" s="554" t="str">
        <f ca="1">IF(ListAndConversion!BN88="-","",ListAndConversion!BN88)</f>
        <v/>
      </c>
      <c r="B86" s="555" t="str">
        <f ca="1">IF(ListAndConversion!BO88="-","",ListAndConversion!BO88)</f>
        <v/>
      </c>
      <c r="C86" s="555" t="str">
        <f ca="1">IF(ListAndConversion!BM88="-","","Pools1")</f>
        <v/>
      </c>
      <c r="D86" s="555" t="str">
        <f ca="1">IF(ListAndConversion!BQ88="-","",ListAndConversion!BQ88)</f>
        <v/>
      </c>
      <c r="E86" s="577" t="str">
        <f ca="1">IF(ListAndConversion!BR88="-","",ListAndConversion!BR88)</f>
        <v/>
      </c>
    </row>
    <row r="87" spans="1:5" x14ac:dyDescent="0.65">
      <c r="A87" s="554" t="str">
        <f ca="1">IF(ListAndConversion!BN89="-","",ListAndConversion!BN89)</f>
        <v/>
      </c>
      <c r="B87" s="555" t="str">
        <f ca="1">IF(ListAndConversion!BO89="-","",ListAndConversion!BO89)</f>
        <v/>
      </c>
      <c r="C87" s="555" t="str">
        <f ca="1">IF(ListAndConversion!BM89="-","","Pools1")</f>
        <v/>
      </c>
      <c r="D87" s="555" t="str">
        <f ca="1">IF(ListAndConversion!BQ89="-","",ListAndConversion!BQ89)</f>
        <v/>
      </c>
      <c r="E87" s="577" t="str">
        <f ca="1">IF(ListAndConversion!BR89="-","",ListAndConversion!BR89)</f>
        <v/>
      </c>
    </row>
    <row r="88" spans="1:5" x14ac:dyDescent="0.65">
      <c r="A88" s="554" t="str">
        <f ca="1">IF(ListAndConversion!BN90="-","",ListAndConversion!BN90)</f>
        <v/>
      </c>
      <c r="B88" s="555" t="str">
        <f ca="1">IF(ListAndConversion!BO90="-","",ListAndConversion!BO90)</f>
        <v/>
      </c>
      <c r="C88" s="555" t="str">
        <f ca="1">IF(ListAndConversion!BM90="-","","Pools1")</f>
        <v/>
      </c>
      <c r="D88" s="555" t="str">
        <f ca="1">IF(ListAndConversion!BQ90="-","",ListAndConversion!BQ90)</f>
        <v/>
      </c>
      <c r="E88" s="577" t="str">
        <f ca="1">IF(ListAndConversion!BR90="-","",ListAndConversion!BR90)</f>
        <v/>
      </c>
    </row>
    <row r="89" spans="1:5" x14ac:dyDescent="0.65">
      <c r="A89" s="554" t="str">
        <f ca="1">IF(ListAndConversion!BN91="-","",ListAndConversion!BN91)</f>
        <v/>
      </c>
      <c r="B89" s="555" t="str">
        <f ca="1">IF(ListAndConversion!BO91="-","",ListAndConversion!BO91)</f>
        <v/>
      </c>
      <c r="C89" s="555" t="str">
        <f ca="1">IF(ListAndConversion!BM91="-","","Pools1")</f>
        <v/>
      </c>
      <c r="D89" s="555" t="str">
        <f ca="1">IF(ListAndConversion!BQ91="-","",ListAndConversion!BQ91)</f>
        <v/>
      </c>
      <c r="E89" s="577" t="str">
        <f ca="1">IF(ListAndConversion!BR91="-","",ListAndConversion!BR91)</f>
        <v/>
      </c>
    </row>
    <row r="90" spans="1:5" x14ac:dyDescent="0.65">
      <c r="A90" s="554" t="str">
        <f ca="1">IF(ListAndConversion!BN92="-","",ListAndConversion!BN92)</f>
        <v/>
      </c>
      <c r="B90" s="555" t="str">
        <f ca="1">IF(ListAndConversion!BO92="-","",ListAndConversion!BO92)</f>
        <v/>
      </c>
      <c r="C90" s="555" t="str">
        <f ca="1">IF(ListAndConversion!BM92="-","","Pools1")</f>
        <v/>
      </c>
      <c r="D90" s="555" t="str">
        <f ca="1">IF(ListAndConversion!BQ92="-","",ListAndConversion!BQ92)</f>
        <v/>
      </c>
      <c r="E90" s="577" t="str">
        <f ca="1">IF(ListAndConversion!BR92="-","",ListAndConversion!BR92)</f>
        <v/>
      </c>
    </row>
    <row r="91" spans="1:5" x14ac:dyDescent="0.65">
      <c r="A91" s="554" t="str">
        <f ca="1">IF(ListAndConversion!BN93="-","",ListAndConversion!BN93)</f>
        <v/>
      </c>
      <c r="B91" s="555" t="str">
        <f ca="1">IF(ListAndConversion!BO93="-","",ListAndConversion!BO93)</f>
        <v/>
      </c>
      <c r="C91" s="555" t="str">
        <f ca="1">IF(ListAndConversion!BM93="-","","Pools1")</f>
        <v/>
      </c>
      <c r="D91" s="555" t="str">
        <f ca="1">IF(ListAndConversion!BQ93="-","",ListAndConversion!BQ93)</f>
        <v/>
      </c>
      <c r="E91" s="577" t="str">
        <f ca="1">IF(ListAndConversion!BR93="-","",ListAndConversion!BR93)</f>
        <v/>
      </c>
    </row>
    <row r="92" spans="1:5" x14ac:dyDescent="0.65">
      <c r="A92" s="554" t="str">
        <f ca="1">IF(ListAndConversion!BN94="-","",ListAndConversion!BN94)</f>
        <v/>
      </c>
      <c r="B92" s="555" t="str">
        <f ca="1">IF(ListAndConversion!BO94="-","",ListAndConversion!BO94)</f>
        <v/>
      </c>
      <c r="C92" s="555" t="str">
        <f ca="1">IF(ListAndConversion!BM94="-","","Pools1")</f>
        <v/>
      </c>
      <c r="D92" s="555" t="str">
        <f ca="1">IF(ListAndConversion!BQ94="-","",ListAndConversion!BQ94)</f>
        <v/>
      </c>
      <c r="E92" s="577" t="str">
        <f ca="1">IF(ListAndConversion!BR94="-","",ListAndConversion!BR94)</f>
        <v/>
      </c>
    </row>
    <row r="93" spans="1:5" x14ac:dyDescent="0.65">
      <c r="A93" s="554" t="str">
        <f ca="1">IF(ListAndConversion!BN95="-","",ListAndConversion!BN95)</f>
        <v/>
      </c>
      <c r="B93" s="555" t="str">
        <f ca="1">IF(ListAndConversion!BO95="-","",ListAndConversion!BO95)</f>
        <v/>
      </c>
      <c r="C93" s="555" t="str">
        <f ca="1">IF(ListAndConversion!BM95="-","","Pools1")</f>
        <v/>
      </c>
      <c r="D93" s="555" t="str">
        <f ca="1">IF(ListAndConversion!BQ95="-","",ListAndConversion!BQ95)</f>
        <v/>
      </c>
      <c r="E93" s="577" t="str">
        <f ca="1">IF(ListAndConversion!BR95="-","",ListAndConversion!BR95)</f>
        <v/>
      </c>
    </row>
    <row r="94" spans="1:5" x14ac:dyDescent="0.65">
      <c r="A94" s="554" t="str">
        <f ca="1">IF(ListAndConversion!BN96="-","",ListAndConversion!BN96)</f>
        <v/>
      </c>
      <c r="B94" s="555" t="str">
        <f ca="1">IF(ListAndConversion!BO96="-","",ListAndConversion!BO96)</f>
        <v/>
      </c>
      <c r="C94" s="555" t="str">
        <f ca="1">IF(ListAndConversion!BM96="-","","Pools1")</f>
        <v/>
      </c>
      <c r="D94" s="555" t="str">
        <f ca="1">IF(ListAndConversion!BQ96="-","",ListAndConversion!BQ96)</f>
        <v/>
      </c>
      <c r="E94" s="577" t="str">
        <f ca="1">IF(ListAndConversion!BR96="-","",ListAndConversion!BR96)</f>
        <v/>
      </c>
    </row>
    <row r="95" spans="1:5" x14ac:dyDescent="0.65">
      <c r="A95" s="554" t="str">
        <f ca="1">IF(ListAndConversion!BN97="-","",ListAndConversion!BN97)</f>
        <v/>
      </c>
      <c r="B95" s="555" t="str">
        <f ca="1">IF(ListAndConversion!BO97="-","",ListAndConversion!BO97)</f>
        <v/>
      </c>
      <c r="C95" s="555" t="str">
        <f ca="1">IF(ListAndConversion!BM97="-","","Pools1")</f>
        <v/>
      </c>
      <c r="D95" s="555" t="str">
        <f ca="1">IF(ListAndConversion!BQ97="-","",ListAndConversion!BQ97)</f>
        <v/>
      </c>
      <c r="E95" s="577" t="str">
        <f ca="1">IF(ListAndConversion!BR97="-","",ListAndConversion!BR97)</f>
        <v/>
      </c>
    </row>
    <row r="96" spans="1:5" x14ac:dyDescent="0.65">
      <c r="A96" s="554" t="str">
        <f ca="1">IF(ListAndConversion!BN98="-","",ListAndConversion!BN98)</f>
        <v/>
      </c>
      <c r="B96" s="555" t="str">
        <f ca="1">IF(ListAndConversion!BO98="-","",ListAndConversion!BO98)</f>
        <v/>
      </c>
      <c r="C96" s="555" t="str">
        <f ca="1">IF(ListAndConversion!BM98="-","","Pools1")</f>
        <v/>
      </c>
      <c r="D96" s="555" t="str">
        <f ca="1">IF(ListAndConversion!BQ98="-","",ListAndConversion!BQ98)</f>
        <v/>
      </c>
      <c r="E96" s="577" t="str">
        <f ca="1">IF(ListAndConversion!BR98="-","",ListAndConversion!BR98)</f>
        <v/>
      </c>
    </row>
    <row r="97" spans="1:5" x14ac:dyDescent="0.65">
      <c r="A97" s="554" t="str">
        <f ca="1">IF(ListAndConversion!BN99="-","",ListAndConversion!BN99)</f>
        <v/>
      </c>
      <c r="B97" s="555" t="str">
        <f ca="1">IF(ListAndConversion!BO99="-","",ListAndConversion!BO99)</f>
        <v/>
      </c>
      <c r="C97" s="555" t="str">
        <f ca="1">IF(ListAndConversion!BM99="-","","Pools1")</f>
        <v/>
      </c>
      <c r="D97" s="555" t="str">
        <f ca="1">IF(ListAndConversion!BQ99="-","",ListAndConversion!BQ99)</f>
        <v/>
      </c>
      <c r="E97" s="577" t="str">
        <f ca="1">IF(ListAndConversion!BR99="-","",ListAndConversion!BR99)</f>
        <v/>
      </c>
    </row>
    <row r="98" spans="1:5" x14ac:dyDescent="0.65">
      <c r="A98" s="554" t="str">
        <f ca="1">IF(ListAndConversion!BN100="-","",ListAndConversion!BN100)</f>
        <v/>
      </c>
      <c r="B98" s="555" t="str">
        <f ca="1">IF(ListAndConversion!BO100="-","",ListAndConversion!BO100)</f>
        <v/>
      </c>
      <c r="C98" s="555" t="str">
        <f ca="1">IF(ListAndConversion!BM100="-","","Pools1")</f>
        <v/>
      </c>
      <c r="D98" s="555" t="str">
        <f ca="1">IF(ListAndConversion!BQ100="-","",ListAndConversion!BQ100)</f>
        <v/>
      </c>
      <c r="E98" s="577" t="str">
        <f ca="1">IF(ListAndConversion!BR100="-","",ListAndConversion!BR100)</f>
        <v/>
      </c>
    </row>
    <row r="99" spans="1:5" x14ac:dyDescent="0.65">
      <c r="A99" s="554" t="str">
        <f ca="1">IF(ListAndConversion!BN101="-","",ListAndConversion!BN101)</f>
        <v/>
      </c>
      <c r="B99" s="555" t="str">
        <f ca="1">IF(ListAndConversion!BO101="-","",ListAndConversion!BO101)</f>
        <v/>
      </c>
      <c r="C99" s="555" t="str">
        <f ca="1">IF(ListAndConversion!BM101="-","","Pools1")</f>
        <v/>
      </c>
      <c r="D99" s="555" t="str">
        <f ca="1">IF(ListAndConversion!BQ101="-","",ListAndConversion!BQ101)</f>
        <v/>
      </c>
      <c r="E99" s="577" t="str">
        <f ca="1">IF(ListAndConversion!BR101="-","",ListAndConversion!BR101)</f>
        <v/>
      </c>
    </row>
    <row r="100" spans="1:5" x14ac:dyDescent="0.65">
      <c r="A100" s="554" t="str">
        <f ca="1">IF(ListAndConversion!BN102="-","",ListAndConversion!BN102)</f>
        <v/>
      </c>
      <c r="B100" s="555" t="str">
        <f ca="1">IF(ListAndConversion!BO102="-","",ListAndConversion!BO102)</f>
        <v/>
      </c>
      <c r="C100" s="555" t="str">
        <f ca="1">IF(ListAndConversion!BM102="-","","Pools1")</f>
        <v/>
      </c>
      <c r="D100" s="555" t="str">
        <f ca="1">IF(ListAndConversion!BQ102="-","",ListAndConversion!BQ102)</f>
        <v/>
      </c>
      <c r="E100" s="577" t="str">
        <f ca="1">IF(ListAndConversion!BR102="-","",ListAndConversion!BR102)</f>
        <v/>
      </c>
    </row>
    <row r="101" spans="1:5" x14ac:dyDescent="0.65">
      <c r="A101" s="554" t="str">
        <f ca="1">IF(ListAndConversion!BN103="-","",ListAndConversion!BN103)</f>
        <v/>
      </c>
      <c r="B101" s="555" t="str">
        <f ca="1">IF(ListAndConversion!BO103="-","",ListAndConversion!BO103)</f>
        <v/>
      </c>
      <c r="C101" s="555" t="str">
        <f ca="1">IF(ListAndConversion!BM103="-","","Pools1")</f>
        <v/>
      </c>
      <c r="D101" s="555" t="str">
        <f ca="1">IF(ListAndConversion!BQ103="-","",ListAndConversion!BQ103)</f>
        <v/>
      </c>
      <c r="E101" s="577" t="str">
        <f ca="1">IF(ListAndConversion!BR103="-","",ListAndConversion!BR103)</f>
        <v/>
      </c>
    </row>
    <row r="102" spans="1:5" x14ac:dyDescent="0.65">
      <c r="A102" s="554" t="str">
        <f ca="1">IF(ListAndConversion!BN104="-","",ListAndConversion!BN104)</f>
        <v/>
      </c>
      <c r="B102" s="555" t="str">
        <f ca="1">IF(ListAndConversion!BO104="-","",ListAndConversion!BO104)</f>
        <v/>
      </c>
      <c r="C102" s="555" t="str">
        <f ca="1">IF(ListAndConversion!BM104="-","","Pools1")</f>
        <v/>
      </c>
      <c r="D102" s="555" t="str">
        <f ca="1">IF(ListAndConversion!BQ104="-","",ListAndConversion!BQ104)</f>
        <v/>
      </c>
      <c r="E102" s="577" t="str">
        <f ca="1">IF(ListAndConversion!BR104="-","",ListAndConversion!BR104)</f>
        <v/>
      </c>
    </row>
    <row r="103" spans="1:5" x14ac:dyDescent="0.65">
      <c r="A103" s="554" t="str">
        <f ca="1">IF(ListAndConversion!BN105="-","",ListAndConversion!BN105)</f>
        <v/>
      </c>
      <c r="B103" s="555" t="str">
        <f ca="1">IF(ListAndConversion!BO105="-","",ListAndConversion!BO105)</f>
        <v/>
      </c>
      <c r="C103" s="555" t="str">
        <f ca="1">IF(ListAndConversion!BM105="-","","Pools1")</f>
        <v/>
      </c>
      <c r="D103" s="555" t="str">
        <f ca="1">IF(ListAndConversion!BQ105="-","",ListAndConversion!BQ105)</f>
        <v/>
      </c>
      <c r="E103" s="577" t="str">
        <f ca="1">IF(ListAndConversion!BR105="-","",ListAndConversion!BR105)</f>
        <v/>
      </c>
    </row>
    <row r="104" spans="1:5" x14ac:dyDescent="0.65">
      <c r="A104" s="554" t="str">
        <f ca="1">IF(ListAndConversion!BN106="-","",ListAndConversion!BN106)</f>
        <v/>
      </c>
      <c r="B104" s="555" t="str">
        <f ca="1">IF(ListAndConversion!BO106="-","",ListAndConversion!BO106)</f>
        <v/>
      </c>
      <c r="C104" s="555" t="str">
        <f ca="1">IF(ListAndConversion!BM106="-","","Pools1")</f>
        <v/>
      </c>
      <c r="D104" s="555" t="str">
        <f ca="1">IF(ListAndConversion!BQ106="-","",ListAndConversion!BQ106)</f>
        <v/>
      </c>
      <c r="E104" s="577" t="str">
        <f ca="1">IF(ListAndConversion!BR106="-","",ListAndConversion!BR106)</f>
        <v/>
      </c>
    </row>
    <row r="105" spans="1:5" x14ac:dyDescent="0.65">
      <c r="A105" s="554" t="str">
        <f ca="1">IF(ListAndConversion!BN107="-","",ListAndConversion!BN107)</f>
        <v/>
      </c>
      <c r="B105" s="555" t="str">
        <f ca="1">IF(ListAndConversion!BO107="-","",ListAndConversion!BO107)</f>
        <v/>
      </c>
      <c r="C105" s="555" t="str">
        <f ca="1">IF(ListAndConversion!BM107="-","","Pools1")</f>
        <v/>
      </c>
      <c r="D105" s="555" t="str">
        <f ca="1">IF(ListAndConversion!BQ107="-","",ListAndConversion!BQ107)</f>
        <v/>
      </c>
      <c r="E105" s="577" t="str">
        <f ca="1">IF(ListAndConversion!BR107="-","",ListAndConversion!BR107)</f>
        <v/>
      </c>
    </row>
    <row r="106" spans="1:5" x14ac:dyDescent="0.65">
      <c r="A106" s="554" t="str">
        <f ca="1">IF(ListAndConversion!BN108="-","",ListAndConversion!BN108)</f>
        <v/>
      </c>
      <c r="B106" s="555" t="str">
        <f ca="1">IF(ListAndConversion!BO108="-","",ListAndConversion!BO108)</f>
        <v/>
      </c>
      <c r="C106" s="555" t="str">
        <f ca="1">IF(ListAndConversion!BM108="-","","Pools1")</f>
        <v/>
      </c>
      <c r="D106" s="555" t="str">
        <f ca="1">IF(ListAndConversion!BQ108="-","",ListAndConversion!BQ108)</f>
        <v/>
      </c>
      <c r="E106" s="577" t="str">
        <f ca="1">IF(ListAndConversion!BR108="-","",ListAndConversion!BR108)</f>
        <v/>
      </c>
    </row>
    <row r="107" spans="1:5" x14ac:dyDescent="0.65">
      <c r="A107" s="554" t="str">
        <f ca="1">IF(ListAndConversion!BN109="-","",ListAndConversion!BN109)</f>
        <v/>
      </c>
      <c r="B107" s="555" t="str">
        <f ca="1">IF(ListAndConversion!BO109="-","",ListAndConversion!BO109)</f>
        <v/>
      </c>
      <c r="C107" s="555" t="str">
        <f ca="1">IF(ListAndConversion!BM109="-","","Pools1")</f>
        <v/>
      </c>
      <c r="D107" s="555" t="str">
        <f ca="1">IF(ListAndConversion!BQ109="-","",ListAndConversion!BQ109)</f>
        <v/>
      </c>
      <c r="E107" s="577" t="str">
        <f ca="1">IF(ListAndConversion!BR109="-","",ListAndConversion!BR109)</f>
        <v/>
      </c>
    </row>
    <row r="108" spans="1:5" x14ac:dyDescent="0.65">
      <c r="A108" s="554" t="str">
        <f ca="1">IF(ListAndConversion!BN110="-","",ListAndConversion!BN110)</f>
        <v/>
      </c>
      <c r="B108" s="555" t="str">
        <f ca="1">IF(ListAndConversion!BO110="-","",ListAndConversion!BO110)</f>
        <v/>
      </c>
      <c r="C108" s="555" t="str">
        <f ca="1">IF(ListAndConversion!BM110="-","","Pools1")</f>
        <v/>
      </c>
      <c r="D108" s="555" t="str">
        <f ca="1">IF(ListAndConversion!BQ110="-","",ListAndConversion!BQ110)</f>
        <v/>
      </c>
      <c r="E108" s="577" t="str">
        <f ca="1">IF(ListAndConversion!BR110="-","",ListAndConversion!BR110)</f>
        <v/>
      </c>
    </row>
    <row r="109" spans="1:5" x14ac:dyDescent="0.65">
      <c r="A109" s="554" t="str">
        <f ca="1">IF(ListAndConversion!BN111="-","",ListAndConversion!BN111)</f>
        <v/>
      </c>
      <c r="B109" s="555" t="str">
        <f ca="1">IF(ListAndConversion!BO111="-","",ListAndConversion!BO111)</f>
        <v/>
      </c>
      <c r="C109" s="555" t="str">
        <f ca="1">IF(ListAndConversion!BM111="-","","Pools1")</f>
        <v/>
      </c>
      <c r="D109" s="555" t="str">
        <f ca="1">IF(ListAndConversion!BQ111="-","",ListAndConversion!BQ111)</f>
        <v/>
      </c>
      <c r="E109" s="577" t="str">
        <f ca="1">IF(ListAndConversion!BR111="-","",ListAndConversion!BR111)</f>
        <v/>
      </c>
    </row>
    <row r="110" spans="1:5" x14ac:dyDescent="0.65">
      <c r="A110" s="554" t="str">
        <f ca="1">IF(ListAndConversion!BN112="-","",ListAndConversion!BN112)</f>
        <v/>
      </c>
      <c r="B110" s="555" t="str">
        <f ca="1">IF(ListAndConversion!BO112="-","",ListAndConversion!BO112)</f>
        <v/>
      </c>
      <c r="C110" s="555" t="str">
        <f ca="1">IF(ListAndConversion!BM112="-","","Pools1")</f>
        <v/>
      </c>
      <c r="D110" s="555" t="str">
        <f ca="1">IF(ListAndConversion!BQ112="-","",ListAndConversion!BQ112)</f>
        <v/>
      </c>
      <c r="E110" s="577" t="str">
        <f ca="1">IF(ListAndConversion!BR112="-","",ListAndConversion!BR112)</f>
        <v/>
      </c>
    </row>
    <row r="111" spans="1:5" x14ac:dyDescent="0.65">
      <c r="A111" s="554" t="str">
        <f ca="1">IF(ListAndConversion!BN113="-","",ListAndConversion!BN113)</f>
        <v/>
      </c>
      <c r="B111" s="555" t="str">
        <f ca="1">IF(ListAndConversion!BO113="-","",ListAndConversion!BO113)</f>
        <v/>
      </c>
      <c r="C111" s="555" t="str">
        <f ca="1">IF(ListAndConversion!BM113="-","","Pools1")</f>
        <v/>
      </c>
      <c r="D111" s="555" t="str">
        <f ca="1">IF(ListAndConversion!BQ113="-","",ListAndConversion!BQ113)</f>
        <v/>
      </c>
      <c r="E111" s="577" t="str">
        <f ca="1">IF(ListAndConversion!BR113="-","",ListAndConversion!BR113)</f>
        <v/>
      </c>
    </row>
    <row r="112" spans="1:5" x14ac:dyDescent="0.65">
      <c r="A112" s="554" t="str">
        <f ca="1">IF(ListAndConversion!BN114="-","",ListAndConversion!BN114)</f>
        <v/>
      </c>
      <c r="B112" s="555" t="str">
        <f ca="1">IF(ListAndConversion!BO114="-","",ListAndConversion!BO114)</f>
        <v/>
      </c>
      <c r="C112" s="555" t="str">
        <f ca="1">IF(ListAndConversion!BM114="-","","Pools1")</f>
        <v/>
      </c>
      <c r="D112" s="555" t="str">
        <f ca="1">IF(ListAndConversion!BQ114="-","",ListAndConversion!BQ114)</f>
        <v/>
      </c>
      <c r="E112" s="577" t="str">
        <f ca="1">IF(ListAndConversion!BR114="-","",ListAndConversion!BR114)</f>
        <v/>
      </c>
    </row>
    <row r="113" spans="1:5" x14ac:dyDescent="0.65">
      <c r="A113" s="554" t="str">
        <f ca="1">IF(ListAndConversion!BN115="-","",ListAndConversion!BN115)</f>
        <v/>
      </c>
      <c r="B113" s="555" t="str">
        <f ca="1">IF(ListAndConversion!BO115="-","",ListAndConversion!BO115)</f>
        <v/>
      </c>
      <c r="C113" s="555" t="str">
        <f ca="1">IF(ListAndConversion!BM115="-","","Pools1")</f>
        <v/>
      </c>
      <c r="D113" s="555" t="str">
        <f ca="1">IF(ListAndConversion!BQ115="-","",ListAndConversion!BQ115)</f>
        <v/>
      </c>
      <c r="E113" s="577" t="str">
        <f ca="1">IF(ListAndConversion!BR115="-","",ListAndConversion!BR115)</f>
        <v/>
      </c>
    </row>
    <row r="114" spans="1:5" x14ac:dyDescent="0.65">
      <c r="A114" s="554" t="str">
        <f ca="1">IF(ListAndConversion!BN116="-","",ListAndConversion!BN116)</f>
        <v/>
      </c>
      <c r="B114" s="555" t="str">
        <f ca="1">IF(ListAndConversion!BO116="-","",ListAndConversion!BO116)</f>
        <v/>
      </c>
      <c r="C114" s="555" t="str">
        <f ca="1">IF(ListAndConversion!BM116="-","","Pools1")</f>
        <v/>
      </c>
      <c r="D114" s="555" t="str">
        <f ca="1">IF(ListAndConversion!BQ116="-","",ListAndConversion!BQ116)</f>
        <v/>
      </c>
      <c r="E114" s="577" t="str">
        <f ca="1">IF(ListAndConversion!BR116="-","",ListAndConversion!BR116)</f>
        <v/>
      </c>
    </row>
    <row r="115" spans="1:5" x14ac:dyDescent="0.65">
      <c r="A115" s="554" t="str">
        <f ca="1">IF(ListAndConversion!BN117="-","",ListAndConversion!BN117)</f>
        <v/>
      </c>
      <c r="B115" s="555" t="str">
        <f ca="1">IF(ListAndConversion!BO117="-","",ListAndConversion!BO117)</f>
        <v/>
      </c>
      <c r="C115" s="555" t="str">
        <f ca="1">IF(ListAndConversion!BM117="-","","Pools1")</f>
        <v/>
      </c>
      <c r="D115" s="555" t="str">
        <f ca="1">IF(ListAndConversion!BQ117="-","",ListAndConversion!BQ117)</f>
        <v/>
      </c>
      <c r="E115" s="577" t="str">
        <f ca="1">IF(ListAndConversion!BR117="-","",ListAndConversion!BR117)</f>
        <v/>
      </c>
    </row>
    <row r="116" spans="1:5" x14ac:dyDescent="0.65">
      <c r="A116" s="554" t="str">
        <f ca="1">IF(ListAndConversion!BN118="-","",ListAndConversion!BN118)</f>
        <v/>
      </c>
      <c r="B116" s="555" t="str">
        <f ca="1">IF(ListAndConversion!BO118="-","",ListAndConversion!BO118)</f>
        <v/>
      </c>
      <c r="C116" s="555" t="str">
        <f ca="1">IF(ListAndConversion!BM118="-","","Pools1")</f>
        <v/>
      </c>
      <c r="D116" s="555" t="str">
        <f ca="1">IF(ListAndConversion!BQ118="-","",ListAndConversion!BQ118)</f>
        <v/>
      </c>
      <c r="E116" s="577" t="str">
        <f ca="1">IF(ListAndConversion!BR118="-","",ListAndConversion!BR118)</f>
        <v/>
      </c>
    </row>
    <row r="117" spans="1:5" x14ac:dyDescent="0.65">
      <c r="A117" s="554" t="str">
        <f ca="1">IF(ListAndConversion!BN119="-","",ListAndConversion!BN119)</f>
        <v/>
      </c>
      <c r="B117" s="555" t="str">
        <f ca="1">IF(ListAndConversion!BO119="-","",ListAndConversion!BO119)</f>
        <v/>
      </c>
      <c r="C117" s="555" t="str">
        <f ca="1">IF(ListAndConversion!BM119="-","","Pools1")</f>
        <v/>
      </c>
      <c r="D117" s="555" t="str">
        <f ca="1">IF(ListAndConversion!BQ119="-","",ListAndConversion!BQ119)</f>
        <v/>
      </c>
      <c r="E117" s="577" t="str">
        <f ca="1">IF(ListAndConversion!BR119="-","",ListAndConversion!BR119)</f>
        <v/>
      </c>
    </row>
    <row r="118" spans="1:5" x14ac:dyDescent="0.65">
      <c r="A118" s="554" t="str">
        <f ca="1">IF(ListAndConversion!BN120="-","",ListAndConversion!BN120)</f>
        <v/>
      </c>
      <c r="B118" s="555" t="str">
        <f ca="1">IF(ListAndConversion!BO120="-","",ListAndConversion!BO120)</f>
        <v/>
      </c>
      <c r="C118" s="555" t="str">
        <f ca="1">IF(ListAndConversion!BM120="-","","Pools1")</f>
        <v/>
      </c>
      <c r="D118" s="555" t="str">
        <f ca="1">IF(ListAndConversion!BQ120="-","",ListAndConversion!BQ120)</f>
        <v/>
      </c>
      <c r="E118" s="577" t="str">
        <f ca="1">IF(ListAndConversion!BR120="-","",ListAndConversion!BR120)</f>
        <v/>
      </c>
    </row>
    <row r="119" spans="1:5" x14ac:dyDescent="0.65">
      <c r="A119" s="554" t="str">
        <f ca="1">IF(ListAndConversion!BN121="-","",ListAndConversion!BN121)</f>
        <v/>
      </c>
      <c r="B119" s="555" t="str">
        <f ca="1">IF(ListAndConversion!BO121="-","",ListAndConversion!BO121)</f>
        <v/>
      </c>
      <c r="C119" s="555" t="str">
        <f ca="1">IF(ListAndConversion!BM121="-","","Pools1")</f>
        <v/>
      </c>
      <c r="D119" s="555" t="str">
        <f ca="1">IF(ListAndConversion!BQ121="-","",ListAndConversion!BQ121)</f>
        <v/>
      </c>
      <c r="E119" s="577" t="str">
        <f ca="1">IF(ListAndConversion!BR121="-","",ListAndConversion!BR121)</f>
        <v/>
      </c>
    </row>
    <row r="120" spans="1:5" x14ac:dyDescent="0.65">
      <c r="A120" s="554" t="str">
        <f ca="1">IF(ListAndConversion!BN122="-","",ListAndConversion!BN122)</f>
        <v/>
      </c>
      <c r="B120" s="555" t="str">
        <f ca="1">IF(ListAndConversion!BO122="-","",ListAndConversion!BO122)</f>
        <v/>
      </c>
      <c r="C120" s="555" t="str">
        <f ca="1">IF(ListAndConversion!BM122="-","","Pools1")</f>
        <v/>
      </c>
      <c r="D120" s="555" t="str">
        <f ca="1">IF(ListAndConversion!BQ122="-","",ListAndConversion!BQ122)</f>
        <v/>
      </c>
      <c r="E120" s="577" t="str">
        <f ca="1">IF(ListAndConversion!BR122="-","",ListAndConversion!BR122)</f>
        <v/>
      </c>
    </row>
    <row r="121" spans="1:5" x14ac:dyDescent="0.65">
      <c r="A121" s="554" t="str">
        <f ca="1">IF(ListAndConversion!BN123="-","",ListAndConversion!BN123)</f>
        <v/>
      </c>
      <c r="B121" s="555" t="str">
        <f ca="1">IF(ListAndConversion!BO123="-","",ListAndConversion!BO123)</f>
        <v/>
      </c>
      <c r="C121" s="555" t="str">
        <f ca="1">IF(ListAndConversion!BM123="-","","Pools1")</f>
        <v/>
      </c>
      <c r="D121" s="555" t="str">
        <f ca="1">IF(ListAndConversion!BQ123="-","",ListAndConversion!BQ123)</f>
        <v/>
      </c>
      <c r="E121" s="577" t="str">
        <f ca="1">IF(ListAndConversion!BR123="-","",ListAndConversion!BR123)</f>
        <v/>
      </c>
    </row>
    <row r="122" spans="1:5" x14ac:dyDescent="0.65">
      <c r="A122" s="554" t="str">
        <f ca="1">IF(ListAndConversion!BN124="-","",ListAndConversion!BN124)</f>
        <v/>
      </c>
      <c r="B122" s="555" t="str">
        <f ca="1">IF(ListAndConversion!BO124="-","",ListAndConversion!BO124)</f>
        <v/>
      </c>
      <c r="C122" s="555" t="str">
        <f ca="1">IF(ListAndConversion!BM124="-","","Pools1")</f>
        <v/>
      </c>
      <c r="D122" s="555" t="str">
        <f ca="1">IF(ListAndConversion!BQ124="-","",ListAndConversion!BQ124)</f>
        <v/>
      </c>
      <c r="E122" s="577" t="str">
        <f ca="1">IF(ListAndConversion!BR124="-","",ListAndConversion!BR124)</f>
        <v/>
      </c>
    </row>
    <row r="123" spans="1:5" x14ac:dyDescent="0.65">
      <c r="A123" s="554" t="str">
        <f ca="1">IF(ListAndConversion!BN125="-","",ListAndConversion!BN125)</f>
        <v/>
      </c>
      <c r="B123" s="555" t="str">
        <f ca="1">IF(ListAndConversion!BO125="-","",ListAndConversion!BO125)</f>
        <v/>
      </c>
      <c r="C123" s="555" t="str">
        <f ca="1">IF(ListAndConversion!BM125="-","","Pools1")</f>
        <v/>
      </c>
      <c r="D123" s="555" t="str">
        <f ca="1">IF(ListAndConversion!BQ125="-","",ListAndConversion!BQ125)</f>
        <v/>
      </c>
      <c r="E123" s="577" t="str">
        <f ca="1">IF(ListAndConversion!BR125="-","",ListAndConversion!BR125)</f>
        <v/>
      </c>
    </row>
    <row r="124" spans="1:5" x14ac:dyDescent="0.65">
      <c r="A124" s="554" t="str">
        <f ca="1">IF(ListAndConversion!BN126="-","",ListAndConversion!BN126)</f>
        <v/>
      </c>
      <c r="B124" s="555" t="str">
        <f ca="1">IF(ListAndConversion!BO126="-","",ListAndConversion!BO126)</f>
        <v/>
      </c>
      <c r="C124" s="555" t="str">
        <f ca="1">IF(ListAndConversion!BM126="-","","Pools1")</f>
        <v/>
      </c>
      <c r="D124" s="555" t="str">
        <f ca="1">IF(ListAndConversion!BQ126="-","",ListAndConversion!BQ126)</f>
        <v/>
      </c>
      <c r="E124" s="577" t="str">
        <f ca="1">IF(ListAndConversion!BR126="-","",ListAndConversion!BR126)</f>
        <v/>
      </c>
    </row>
    <row r="125" spans="1:5" x14ac:dyDescent="0.65">
      <c r="A125" s="554" t="str">
        <f ca="1">IF(ListAndConversion!BN127="-","",ListAndConversion!BN127)</f>
        <v/>
      </c>
      <c r="B125" s="555" t="str">
        <f ca="1">IF(ListAndConversion!BO127="-","",ListAndConversion!BO127)</f>
        <v/>
      </c>
      <c r="C125" s="555" t="str">
        <f ca="1">IF(ListAndConversion!BM127="-","","Pools1")</f>
        <v/>
      </c>
      <c r="D125" s="555" t="str">
        <f ca="1">IF(ListAndConversion!BQ127="-","",ListAndConversion!BQ127)</f>
        <v/>
      </c>
      <c r="E125" s="577" t="str">
        <f ca="1">IF(ListAndConversion!BR127="-","",ListAndConversion!BR127)</f>
        <v/>
      </c>
    </row>
    <row r="126" spans="1:5" x14ac:dyDescent="0.65">
      <c r="A126" s="554" t="str">
        <f ca="1">IF(ListAndConversion!BN128="-","",ListAndConversion!BN128)</f>
        <v/>
      </c>
      <c r="B126" s="555" t="str">
        <f ca="1">IF(ListAndConversion!BO128="-","",ListAndConversion!BO128)</f>
        <v/>
      </c>
      <c r="C126" s="555" t="str">
        <f ca="1">IF(ListAndConversion!BM128="-","","Pools1")</f>
        <v/>
      </c>
      <c r="D126" s="555" t="str">
        <f ca="1">IF(ListAndConversion!BQ128="-","",ListAndConversion!BQ128)</f>
        <v/>
      </c>
      <c r="E126" s="577" t="str">
        <f ca="1">IF(ListAndConversion!BR128="-","",ListAndConversion!BR128)</f>
        <v/>
      </c>
    </row>
    <row r="127" spans="1:5" x14ac:dyDescent="0.65">
      <c r="A127" s="554" t="str">
        <f ca="1">IF(ListAndConversion!BN129="-","",ListAndConversion!BN129)</f>
        <v/>
      </c>
      <c r="B127" s="555" t="str">
        <f ca="1">IF(ListAndConversion!BO129="-","",ListAndConversion!BO129)</f>
        <v/>
      </c>
      <c r="C127" s="555" t="str">
        <f ca="1">IF(ListAndConversion!BM129="-","","Pools1")</f>
        <v/>
      </c>
      <c r="D127" s="555" t="str">
        <f ca="1">IF(ListAndConversion!BQ129="-","",ListAndConversion!BQ129)</f>
        <v/>
      </c>
      <c r="E127" s="577" t="str">
        <f ca="1">IF(ListAndConversion!BR129="-","",ListAndConversion!BR129)</f>
        <v/>
      </c>
    </row>
    <row r="128" spans="1:5" x14ac:dyDescent="0.65">
      <c r="A128" s="554" t="str">
        <f ca="1">IF(ListAndConversion!BN130="-","",ListAndConversion!BN130)</f>
        <v/>
      </c>
      <c r="B128" s="555" t="str">
        <f ca="1">IF(ListAndConversion!BO130="-","",ListAndConversion!BO130)</f>
        <v/>
      </c>
      <c r="C128" s="555" t="str">
        <f ca="1">IF(ListAndConversion!BM130="-","","Pools1")</f>
        <v/>
      </c>
      <c r="D128" s="555" t="str">
        <f ca="1">IF(ListAndConversion!BQ130="-","",ListAndConversion!BQ130)</f>
        <v/>
      </c>
      <c r="E128" s="577" t="str">
        <f ca="1">IF(ListAndConversion!BR130="-","",ListAndConversion!BR130)</f>
        <v/>
      </c>
    </row>
    <row r="129" spans="1:5" x14ac:dyDescent="0.65">
      <c r="A129" s="554" t="str">
        <f ca="1">IF(ListAndConversion!BN131="-","",ListAndConversion!BN131)</f>
        <v/>
      </c>
      <c r="B129" s="555" t="str">
        <f ca="1">IF(ListAndConversion!BO131="-","",ListAndConversion!BO131)</f>
        <v/>
      </c>
      <c r="C129" s="555" t="str">
        <f ca="1">IF(ListAndConversion!BM131="-","","Pools1")</f>
        <v/>
      </c>
      <c r="D129" s="555" t="str">
        <f ca="1">IF(ListAndConversion!BQ131="-","",ListAndConversion!BQ131)</f>
        <v/>
      </c>
      <c r="E129" s="577" t="str">
        <f ca="1">IF(ListAndConversion!BR131="-","",ListAndConversion!BR131)</f>
        <v/>
      </c>
    </row>
    <row r="130" spans="1:5" x14ac:dyDescent="0.65">
      <c r="A130" s="554" t="str">
        <f ca="1">IF(ListAndConversion!BN132="-","",ListAndConversion!BN132)</f>
        <v/>
      </c>
      <c r="B130" s="555" t="str">
        <f ca="1">IF(ListAndConversion!BO132="-","",ListAndConversion!BO132)</f>
        <v/>
      </c>
      <c r="C130" s="555" t="str">
        <f ca="1">IF(ListAndConversion!BM132="-","","Pools1")</f>
        <v/>
      </c>
      <c r="D130" s="555" t="str">
        <f ca="1">IF(ListAndConversion!BQ132="-","",ListAndConversion!BQ132)</f>
        <v/>
      </c>
      <c r="E130" s="577" t="str">
        <f ca="1">IF(ListAndConversion!BR132="-","",ListAndConversion!BR132)</f>
        <v/>
      </c>
    </row>
    <row r="131" spans="1:5" x14ac:dyDescent="0.65">
      <c r="A131" s="554" t="str">
        <f ca="1">IF(ListAndConversion!BN133="-","",ListAndConversion!BN133)</f>
        <v/>
      </c>
      <c r="B131" s="555" t="str">
        <f ca="1">IF(ListAndConversion!BO133="-","",ListAndConversion!BO133)</f>
        <v/>
      </c>
      <c r="C131" s="555" t="str">
        <f ca="1">IF(ListAndConversion!BM133="-","","Pools1")</f>
        <v/>
      </c>
      <c r="D131" s="555" t="str">
        <f ca="1">IF(ListAndConversion!BQ133="-","",ListAndConversion!BQ133)</f>
        <v/>
      </c>
      <c r="E131" s="577" t="str">
        <f ca="1">IF(ListAndConversion!BR133="-","",ListAndConversion!BR133)</f>
        <v/>
      </c>
    </row>
    <row r="132" spans="1:5" x14ac:dyDescent="0.65">
      <c r="A132" s="554" t="str">
        <f ca="1">IF(ListAndConversion!BN134="-","",ListAndConversion!BN134)</f>
        <v/>
      </c>
      <c r="B132" s="555" t="str">
        <f ca="1">IF(ListAndConversion!BO134="-","",ListAndConversion!BO134)</f>
        <v/>
      </c>
      <c r="C132" s="555" t="str">
        <f ca="1">IF(ListAndConversion!BM134="-","","Pools1")</f>
        <v/>
      </c>
      <c r="D132" s="555" t="str">
        <f ca="1">IF(ListAndConversion!BQ134="-","",ListAndConversion!BQ134)</f>
        <v/>
      </c>
      <c r="E132" s="577" t="str">
        <f ca="1">IF(ListAndConversion!BR134="-","",ListAndConversion!BR134)</f>
        <v/>
      </c>
    </row>
    <row r="133" spans="1:5" x14ac:dyDescent="0.65">
      <c r="A133" s="554" t="str">
        <f ca="1">IF(ListAndConversion!BN135="-","",ListAndConversion!BN135)</f>
        <v/>
      </c>
      <c r="B133" s="555" t="str">
        <f ca="1">IF(ListAndConversion!BO135="-","",ListAndConversion!BO135)</f>
        <v/>
      </c>
      <c r="C133" s="555" t="str">
        <f ca="1">IF(ListAndConversion!BM135="-","","Pools1")</f>
        <v/>
      </c>
      <c r="D133" s="555" t="str">
        <f ca="1">IF(ListAndConversion!BQ135="-","",ListAndConversion!BQ135)</f>
        <v/>
      </c>
      <c r="E133" s="577" t="str">
        <f ca="1">IF(ListAndConversion!BR135="-","",ListAndConversion!BR135)</f>
        <v/>
      </c>
    </row>
    <row r="134" spans="1:5" x14ac:dyDescent="0.65">
      <c r="A134" s="554" t="str">
        <f ca="1">IF(ListAndConversion!BN136="-","",ListAndConversion!BN136)</f>
        <v/>
      </c>
      <c r="B134" s="555" t="str">
        <f ca="1">IF(ListAndConversion!BO136="-","",ListAndConversion!BO136)</f>
        <v/>
      </c>
      <c r="C134" s="555" t="str">
        <f ca="1">IF(ListAndConversion!BM136="-","","Pools1")</f>
        <v/>
      </c>
      <c r="D134" s="555" t="str">
        <f ca="1">IF(ListAndConversion!BQ136="-","",ListAndConversion!BQ136)</f>
        <v/>
      </c>
      <c r="E134" s="577" t="str">
        <f ca="1">IF(ListAndConversion!BR136="-","",ListAndConversion!BR136)</f>
        <v/>
      </c>
    </row>
    <row r="135" spans="1:5" x14ac:dyDescent="0.65">
      <c r="A135" s="554" t="str">
        <f ca="1">IF(ListAndConversion!BN137="-","",ListAndConversion!BN137)</f>
        <v/>
      </c>
      <c r="B135" s="555" t="str">
        <f ca="1">IF(ListAndConversion!BO137="-","",ListAndConversion!BO137)</f>
        <v/>
      </c>
      <c r="C135" s="555" t="str">
        <f ca="1">IF(ListAndConversion!BM137="-","","Pools1")</f>
        <v/>
      </c>
      <c r="D135" s="555" t="str">
        <f ca="1">IF(ListAndConversion!BQ137="-","",ListAndConversion!BQ137)</f>
        <v/>
      </c>
      <c r="E135" s="577" t="str">
        <f ca="1">IF(ListAndConversion!BR137="-","",ListAndConversion!BR137)</f>
        <v/>
      </c>
    </row>
    <row r="136" spans="1:5" x14ac:dyDescent="0.65">
      <c r="A136" s="554" t="str">
        <f ca="1">IF(ListAndConversion!BN138="-","",ListAndConversion!BN138)</f>
        <v/>
      </c>
      <c r="B136" s="555" t="str">
        <f ca="1">IF(ListAndConversion!BO138="-","",ListAndConversion!BO138)</f>
        <v/>
      </c>
      <c r="C136" s="555" t="str">
        <f ca="1">IF(ListAndConversion!BM138="-","","Pools1")</f>
        <v/>
      </c>
      <c r="D136" s="555" t="str">
        <f ca="1">IF(ListAndConversion!BQ138="-","",ListAndConversion!BQ138)</f>
        <v/>
      </c>
      <c r="E136" s="577" t="str">
        <f ca="1">IF(ListAndConversion!BR138="-","",ListAndConversion!BR138)</f>
        <v/>
      </c>
    </row>
    <row r="137" spans="1:5" x14ac:dyDescent="0.65">
      <c r="A137" s="554" t="str">
        <f ca="1">IF(ListAndConversion!BN139="-","",ListAndConversion!BN139)</f>
        <v/>
      </c>
      <c r="B137" s="555" t="str">
        <f ca="1">IF(ListAndConversion!BO139="-","",ListAndConversion!BO139)</f>
        <v/>
      </c>
      <c r="C137" s="555" t="str">
        <f ca="1">IF(ListAndConversion!BM139="-","","Pools1")</f>
        <v/>
      </c>
      <c r="D137" s="555" t="str">
        <f ca="1">IF(ListAndConversion!BQ139="-","",ListAndConversion!BQ139)</f>
        <v/>
      </c>
      <c r="E137" s="577" t="str">
        <f ca="1">IF(ListAndConversion!BR139="-","",ListAndConversion!BR139)</f>
        <v/>
      </c>
    </row>
    <row r="138" spans="1:5" x14ac:dyDescent="0.65">
      <c r="A138" s="554" t="str">
        <f ca="1">IF(ListAndConversion!BN140="-","",ListAndConversion!BN140)</f>
        <v/>
      </c>
      <c r="B138" s="555" t="str">
        <f ca="1">IF(ListAndConversion!BO140="-","",ListAndConversion!BO140)</f>
        <v/>
      </c>
      <c r="C138" s="555" t="str">
        <f ca="1">IF(ListAndConversion!BM140="-","","Pools1")</f>
        <v/>
      </c>
      <c r="D138" s="555" t="str">
        <f ca="1">IF(ListAndConversion!BQ140="-","",ListAndConversion!BQ140)</f>
        <v/>
      </c>
      <c r="E138" s="577" t="str">
        <f ca="1">IF(ListAndConversion!BR140="-","",ListAndConversion!BR140)</f>
        <v/>
      </c>
    </row>
    <row r="139" spans="1:5" x14ac:dyDescent="0.65">
      <c r="A139" s="554" t="str">
        <f ca="1">IF(ListAndConversion!BN141="-","",ListAndConversion!BN141)</f>
        <v/>
      </c>
      <c r="B139" s="555" t="str">
        <f ca="1">IF(ListAndConversion!BO141="-","",ListAndConversion!BO141)</f>
        <v/>
      </c>
      <c r="C139" s="555" t="str">
        <f ca="1">IF(ListAndConversion!BM141="-","","Pools1")</f>
        <v/>
      </c>
      <c r="D139" s="555" t="str">
        <f ca="1">IF(ListAndConversion!BQ141="-","",ListAndConversion!BQ141)</f>
        <v/>
      </c>
      <c r="E139" s="577" t="str">
        <f ca="1">IF(ListAndConversion!BR141="-","",ListAndConversion!BR141)</f>
        <v/>
      </c>
    </row>
    <row r="140" spans="1:5" x14ac:dyDescent="0.65">
      <c r="A140" s="554" t="str">
        <f ca="1">IF(ListAndConversion!BN142="-","",ListAndConversion!BN142)</f>
        <v/>
      </c>
      <c r="B140" s="555" t="str">
        <f ca="1">IF(ListAndConversion!BO142="-","",ListAndConversion!BO142)</f>
        <v/>
      </c>
      <c r="C140" s="555" t="str">
        <f ca="1">IF(ListAndConversion!BM142="-","","Pools1")</f>
        <v/>
      </c>
      <c r="D140" s="555" t="str">
        <f ca="1">IF(ListAndConversion!BQ142="-","",ListAndConversion!BQ142)</f>
        <v/>
      </c>
      <c r="E140" s="577" t="str">
        <f ca="1">IF(ListAndConversion!BR142="-","",ListAndConversion!BR142)</f>
        <v/>
      </c>
    </row>
    <row r="141" spans="1:5" x14ac:dyDescent="0.65">
      <c r="A141" s="554" t="str">
        <f ca="1">IF(ListAndConversion!BN143="-","",ListAndConversion!BN143)</f>
        <v/>
      </c>
      <c r="B141" s="555" t="str">
        <f ca="1">IF(ListAndConversion!BO143="-","",ListAndConversion!BO143)</f>
        <v/>
      </c>
      <c r="C141" s="555" t="str">
        <f ca="1">IF(ListAndConversion!BM143="-","","Pools1")</f>
        <v/>
      </c>
      <c r="D141" s="555" t="str">
        <f ca="1">IF(ListAndConversion!BQ143="-","",ListAndConversion!BQ143)</f>
        <v/>
      </c>
      <c r="E141" s="577" t="str">
        <f ca="1">IF(ListAndConversion!BR143="-","",ListAndConversion!BR143)</f>
        <v/>
      </c>
    </row>
    <row r="142" spans="1:5" x14ac:dyDescent="0.65">
      <c r="A142" s="554" t="str">
        <f ca="1">IF(ListAndConversion!BN144="-","",ListAndConversion!BN144)</f>
        <v/>
      </c>
      <c r="B142" s="555" t="str">
        <f ca="1">IF(ListAndConversion!BO144="-","",ListAndConversion!BO144)</f>
        <v/>
      </c>
      <c r="C142" s="555" t="str">
        <f ca="1">IF(ListAndConversion!BM144="-","","Pools1")</f>
        <v/>
      </c>
      <c r="D142" s="555" t="str">
        <f ca="1">IF(ListAndConversion!BQ144="-","",ListAndConversion!BQ144)</f>
        <v/>
      </c>
      <c r="E142" s="577" t="str">
        <f ca="1">IF(ListAndConversion!BR144="-","",ListAndConversion!BR144)</f>
        <v/>
      </c>
    </row>
    <row r="143" spans="1:5" x14ac:dyDescent="0.65">
      <c r="A143" s="554" t="str">
        <f ca="1">IF(ListAndConversion!BN145="-","",ListAndConversion!BN145)</f>
        <v/>
      </c>
      <c r="B143" s="555" t="str">
        <f ca="1">IF(ListAndConversion!BO145="-","",ListAndConversion!BO145)</f>
        <v/>
      </c>
      <c r="C143" s="555" t="str">
        <f ca="1">IF(ListAndConversion!BM145="-","","Pools1")</f>
        <v/>
      </c>
      <c r="D143" s="555" t="str">
        <f ca="1">IF(ListAndConversion!BQ145="-","",ListAndConversion!BQ145)</f>
        <v/>
      </c>
      <c r="E143" s="577" t="str">
        <f ca="1">IF(ListAndConversion!BR145="-","",ListAndConversion!BR145)</f>
        <v/>
      </c>
    </row>
    <row r="144" spans="1:5" x14ac:dyDescent="0.65">
      <c r="A144" s="554" t="str">
        <f ca="1">IF(ListAndConversion!BN146="-","",ListAndConversion!BN146)</f>
        <v/>
      </c>
      <c r="B144" s="555" t="str">
        <f ca="1">IF(ListAndConversion!BO146="-","",ListAndConversion!BO146)</f>
        <v/>
      </c>
      <c r="C144" s="555" t="str">
        <f ca="1">IF(ListAndConversion!BM146="-","","Pools1")</f>
        <v/>
      </c>
      <c r="D144" s="555" t="str">
        <f ca="1">IF(ListAndConversion!BQ146="-","",ListAndConversion!BQ146)</f>
        <v/>
      </c>
      <c r="E144" s="577" t="str">
        <f ca="1">IF(ListAndConversion!BR146="-","",ListAndConversion!BR146)</f>
        <v/>
      </c>
    </row>
    <row r="145" spans="1:5" x14ac:dyDescent="0.65">
      <c r="A145" s="554" t="str">
        <f ca="1">IF(ListAndConversion!BN147="-","",ListAndConversion!BN147)</f>
        <v/>
      </c>
      <c r="B145" s="555" t="str">
        <f ca="1">IF(ListAndConversion!BO147="-","",ListAndConversion!BO147)</f>
        <v/>
      </c>
      <c r="C145" s="555" t="str">
        <f ca="1">IF(ListAndConversion!BM147="-","","Pools1")</f>
        <v/>
      </c>
      <c r="D145" s="555" t="str">
        <f ca="1">IF(ListAndConversion!BQ147="-","",ListAndConversion!BQ147)</f>
        <v/>
      </c>
      <c r="E145" s="577" t="str">
        <f ca="1">IF(ListAndConversion!BR147="-","",ListAndConversion!BR147)</f>
        <v/>
      </c>
    </row>
    <row r="146" spans="1:5" x14ac:dyDescent="0.65">
      <c r="A146" s="554" t="str">
        <f ca="1">IF(ListAndConversion!BN148="-","",ListAndConversion!BN148)</f>
        <v/>
      </c>
      <c r="B146" s="555" t="str">
        <f ca="1">IF(ListAndConversion!BO148="-","",ListAndConversion!BO148)</f>
        <v/>
      </c>
      <c r="C146" s="555" t="str">
        <f ca="1">IF(ListAndConversion!BM148="-","","Pools1")</f>
        <v/>
      </c>
      <c r="D146" s="555" t="str">
        <f ca="1">IF(ListAndConversion!BQ148="-","",ListAndConversion!BQ148)</f>
        <v/>
      </c>
      <c r="E146" s="577" t="str">
        <f ca="1">IF(ListAndConversion!BR148="-","",ListAndConversion!BR148)</f>
        <v/>
      </c>
    </row>
    <row r="147" spans="1:5" x14ac:dyDescent="0.65">
      <c r="A147" s="554" t="str">
        <f ca="1">IF(ListAndConversion!BN149="-","",ListAndConversion!BN149)</f>
        <v/>
      </c>
      <c r="B147" s="555" t="str">
        <f ca="1">IF(ListAndConversion!BO149="-","",ListAndConversion!BO149)</f>
        <v/>
      </c>
      <c r="C147" s="555" t="str">
        <f ca="1">IF(ListAndConversion!BM149="-","","Pools1")</f>
        <v/>
      </c>
      <c r="D147" s="555" t="str">
        <f ca="1">IF(ListAndConversion!BQ149="-","",ListAndConversion!BQ149)</f>
        <v/>
      </c>
      <c r="E147" s="577" t="str">
        <f ca="1">IF(ListAndConversion!BR149="-","",ListAndConversion!BR149)</f>
        <v/>
      </c>
    </row>
    <row r="148" spans="1:5" x14ac:dyDescent="0.65">
      <c r="A148" s="554" t="str">
        <f ca="1">IF(ListAndConversion!BN150="-","",ListAndConversion!BN150)</f>
        <v/>
      </c>
      <c r="B148" s="555" t="str">
        <f ca="1">IF(ListAndConversion!BO150="-","",ListAndConversion!BO150)</f>
        <v/>
      </c>
      <c r="C148" s="555" t="str">
        <f ca="1">IF(ListAndConversion!BM150="-","","Pools1")</f>
        <v/>
      </c>
      <c r="D148" s="555" t="str">
        <f ca="1">IF(ListAndConversion!BQ150="-","",ListAndConversion!BQ150)</f>
        <v/>
      </c>
      <c r="E148" s="577" t="str">
        <f ca="1">IF(ListAndConversion!BR150="-","",ListAndConversion!BR150)</f>
        <v/>
      </c>
    </row>
    <row r="149" spans="1:5" x14ac:dyDescent="0.65">
      <c r="A149" s="554" t="str">
        <f ca="1">IF(ListAndConversion!BN151="-","",ListAndConversion!BN151)</f>
        <v/>
      </c>
      <c r="B149" s="555" t="str">
        <f ca="1">IF(ListAndConversion!BO151="-","",ListAndConversion!BO151)</f>
        <v/>
      </c>
      <c r="C149" s="555" t="str">
        <f ca="1">IF(ListAndConversion!BM151="-","","Pools1")</f>
        <v/>
      </c>
      <c r="D149" s="555" t="str">
        <f ca="1">IF(ListAndConversion!BQ151="-","",ListAndConversion!BQ151)</f>
        <v/>
      </c>
      <c r="E149" s="577" t="str">
        <f ca="1">IF(ListAndConversion!BR151="-","",ListAndConversion!BR151)</f>
        <v/>
      </c>
    </row>
    <row r="150" spans="1:5" x14ac:dyDescent="0.65">
      <c r="A150" s="554" t="str">
        <f ca="1">IF(ListAndConversion!BN152="-","",ListAndConversion!BN152)</f>
        <v/>
      </c>
      <c r="B150" s="555" t="str">
        <f ca="1">IF(ListAndConversion!BO152="-","",ListAndConversion!BO152)</f>
        <v/>
      </c>
      <c r="C150" s="555" t="str">
        <f ca="1">IF(ListAndConversion!BM152="-","","Pools1")</f>
        <v/>
      </c>
      <c r="D150" s="555" t="str">
        <f ca="1">IF(ListAndConversion!BQ152="-","",ListAndConversion!BQ152)</f>
        <v/>
      </c>
      <c r="E150" s="577" t="str">
        <f ca="1">IF(ListAndConversion!BR152="-","",ListAndConversion!BR152)</f>
        <v/>
      </c>
    </row>
    <row r="151" spans="1:5" x14ac:dyDescent="0.65">
      <c r="A151" s="554" t="str">
        <f ca="1">IF(ListAndConversion!BN153="-","",ListAndConversion!BN153)</f>
        <v/>
      </c>
      <c r="B151" s="555" t="str">
        <f ca="1">IF(ListAndConversion!BO153="-","",ListAndConversion!BO153)</f>
        <v/>
      </c>
      <c r="C151" s="555" t="str">
        <f ca="1">IF(ListAndConversion!BM153="-","","Pools1")</f>
        <v/>
      </c>
      <c r="D151" s="555" t="str">
        <f ca="1">IF(ListAndConversion!BQ153="-","",ListAndConversion!BQ153)</f>
        <v/>
      </c>
      <c r="E151" s="577" t="str">
        <f ca="1">IF(ListAndConversion!BR153="-","",ListAndConversion!BR153)</f>
        <v/>
      </c>
    </row>
    <row r="152" spans="1:5" x14ac:dyDescent="0.65">
      <c r="A152" s="554" t="str">
        <f ca="1">IF(ListAndConversion!BN154="-","",ListAndConversion!BN154)</f>
        <v/>
      </c>
      <c r="B152" s="555" t="str">
        <f ca="1">IF(ListAndConversion!BO154="-","",ListAndConversion!BO154)</f>
        <v/>
      </c>
      <c r="C152" s="555" t="str">
        <f ca="1">IF(ListAndConversion!BM154="-","","Pools1")</f>
        <v/>
      </c>
      <c r="D152" s="555" t="str">
        <f ca="1">IF(ListAndConversion!BQ154="-","",ListAndConversion!BQ154)</f>
        <v/>
      </c>
      <c r="E152" s="577" t="str">
        <f ca="1">IF(ListAndConversion!BR154="-","",ListAndConversion!BR154)</f>
        <v/>
      </c>
    </row>
    <row r="153" spans="1:5" x14ac:dyDescent="0.65">
      <c r="A153" s="554" t="str">
        <f ca="1">IF(ListAndConversion!BN155="-","",ListAndConversion!BN155)</f>
        <v/>
      </c>
      <c r="B153" s="555" t="str">
        <f ca="1">IF(ListAndConversion!BO155="-","",ListAndConversion!BO155)</f>
        <v/>
      </c>
      <c r="C153" s="555" t="str">
        <f ca="1">IF(ListAndConversion!BM155="-","","Pools1")</f>
        <v/>
      </c>
      <c r="D153" s="555" t="str">
        <f ca="1">IF(ListAndConversion!BQ155="-","",ListAndConversion!BQ155)</f>
        <v/>
      </c>
      <c r="E153" s="577" t="str">
        <f ca="1">IF(ListAndConversion!BR155="-","",ListAndConversion!BR155)</f>
        <v/>
      </c>
    </row>
    <row r="154" spans="1:5" x14ac:dyDescent="0.65">
      <c r="A154" s="554" t="str">
        <f ca="1">IF(ListAndConversion!BN156="-","",ListAndConversion!BN156)</f>
        <v/>
      </c>
      <c r="B154" s="555" t="str">
        <f ca="1">IF(ListAndConversion!BO156="-","",ListAndConversion!BO156)</f>
        <v/>
      </c>
      <c r="C154" s="555" t="str">
        <f ca="1">IF(ListAndConversion!BM156="-","","Pools1")</f>
        <v/>
      </c>
      <c r="D154" s="555" t="str">
        <f ca="1">IF(ListAndConversion!BQ156="-","",ListAndConversion!BQ156)</f>
        <v/>
      </c>
      <c r="E154" s="577" t="str">
        <f ca="1">IF(ListAndConversion!BR156="-","",ListAndConversion!BR156)</f>
        <v/>
      </c>
    </row>
    <row r="155" spans="1:5" x14ac:dyDescent="0.65">
      <c r="A155" s="554" t="str">
        <f ca="1">IF(ListAndConversion!BN157="-","",ListAndConversion!BN157)</f>
        <v/>
      </c>
      <c r="B155" s="555" t="str">
        <f ca="1">IF(ListAndConversion!BO157="-","",ListAndConversion!BO157)</f>
        <v/>
      </c>
      <c r="C155" s="555" t="str">
        <f ca="1">IF(ListAndConversion!BM157="-","","Pools1")</f>
        <v/>
      </c>
      <c r="D155" s="555" t="str">
        <f ca="1">IF(ListAndConversion!BQ157="-","",ListAndConversion!BQ157)</f>
        <v/>
      </c>
      <c r="E155" s="577" t="str">
        <f ca="1">IF(ListAndConversion!BR157="-","",ListAndConversion!BR157)</f>
        <v/>
      </c>
    </row>
    <row r="156" spans="1:5" x14ac:dyDescent="0.65">
      <c r="A156" s="554" t="str">
        <f ca="1">IF(ListAndConversion!BN158="-","",ListAndConversion!BN158)</f>
        <v/>
      </c>
      <c r="B156" s="555" t="str">
        <f ca="1">IF(ListAndConversion!BO158="-","",ListAndConversion!BO158)</f>
        <v/>
      </c>
      <c r="C156" s="555" t="str">
        <f ca="1">IF(ListAndConversion!BM158="-","","Pools1")</f>
        <v/>
      </c>
      <c r="D156" s="555" t="str">
        <f ca="1">IF(ListAndConversion!BQ158="-","",ListAndConversion!BQ158)</f>
        <v/>
      </c>
      <c r="E156" s="577" t="str">
        <f ca="1">IF(ListAndConversion!BR158="-","",ListAndConversion!BR158)</f>
        <v/>
      </c>
    </row>
    <row r="157" spans="1:5" x14ac:dyDescent="0.65">
      <c r="A157" s="554" t="str">
        <f ca="1">IF(ListAndConversion!BN159="-","",ListAndConversion!BN159)</f>
        <v/>
      </c>
      <c r="B157" s="555" t="str">
        <f ca="1">IF(ListAndConversion!BO159="-","",ListAndConversion!BO159)</f>
        <v/>
      </c>
      <c r="C157" s="555" t="str">
        <f ca="1">IF(ListAndConversion!BM159="-","","Pools1")</f>
        <v/>
      </c>
      <c r="D157" s="555" t="str">
        <f ca="1">IF(ListAndConversion!BQ159="-","",ListAndConversion!BQ159)</f>
        <v/>
      </c>
      <c r="E157" s="577" t="str">
        <f ca="1">IF(ListAndConversion!BR159="-","",ListAndConversion!BR159)</f>
        <v/>
      </c>
    </row>
    <row r="158" spans="1:5" x14ac:dyDescent="0.65">
      <c r="A158" s="554" t="str">
        <f ca="1">IF(ListAndConversion!BN160="-","",ListAndConversion!BN160)</f>
        <v/>
      </c>
      <c r="B158" s="555" t="str">
        <f ca="1">IF(ListAndConversion!BO160="-","",ListAndConversion!BO160)</f>
        <v/>
      </c>
      <c r="C158" s="555" t="str">
        <f ca="1">IF(ListAndConversion!BM160="-","","Pools1")</f>
        <v/>
      </c>
      <c r="D158" s="555" t="str">
        <f ca="1">IF(ListAndConversion!BQ160="-","",ListAndConversion!BQ160)</f>
        <v/>
      </c>
      <c r="E158" s="577" t="str">
        <f ca="1">IF(ListAndConversion!BR160="-","",ListAndConversion!BR160)</f>
        <v/>
      </c>
    </row>
    <row r="159" spans="1:5" x14ac:dyDescent="0.65">
      <c r="A159" s="554" t="str">
        <f ca="1">IF(ListAndConversion!BN161="-","",ListAndConversion!BN161)</f>
        <v/>
      </c>
      <c r="B159" s="555" t="str">
        <f ca="1">IF(ListAndConversion!BO161="-","",ListAndConversion!BO161)</f>
        <v/>
      </c>
      <c r="C159" s="555" t="str">
        <f ca="1">IF(ListAndConversion!BM161="-","","Pools1")</f>
        <v/>
      </c>
      <c r="D159" s="555" t="str">
        <f ca="1">IF(ListAndConversion!BQ161="-","",ListAndConversion!BQ161)</f>
        <v/>
      </c>
      <c r="E159" s="577" t="str">
        <f ca="1">IF(ListAndConversion!BR161="-","",ListAndConversion!BR161)</f>
        <v/>
      </c>
    </row>
    <row r="160" spans="1:5" x14ac:dyDescent="0.65">
      <c r="A160" s="554" t="str">
        <f ca="1">IF(ListAndConversion!BN162="-","",ListAndConversion!BN162)</f>
        <v/>
      </c>
      <c r="B160" s="555" t="str">
        <f ca="1">IF(ListAndConversion!BO162="-","",ListAndConversion!BO162)</f>
        <v/>
      </c>
      <c r="C160" s="555" t="str">
        <f ca="1">IF(ListAndConversion!BM162="-","","Pools1")</f>
        <v/>
      </c>
      <c r="D160" s="555" t="str">
        <f ca="1">IF(ListAndConversion!BQ162="-","",ListAndConversion!BQ162)</f>
        <v/>
      </c>
      <c r="E160" s="577" t="str">
        <f ca="1">IF(ListAndConversion!BR162="-","",ListAndConversion!BR162)</f>
        <v/>
      </c>
    </row>
    <row r="161" spans="1:5" x14ac:dyDescent="0.65">
      <c r="A161" s="554" t="str">
        <f ca="1">IF(ListAndConversion!BN163="-","",ListAndConversion!BN163)</f>
        <v/>
      </c>
      <c r="B161" s="555" t="str">
        <f ca="1">IF(ListAndConversion!BO163="-","",ListAndConversion!BO163)</f>
        <v/>
      </c>
      <c r="C161" s="555" t="str">
        <f ca="1">IF(ListAndConversion!BM163="-","","Pools1")</f>
        <v/>
      </c>
      <c r="D161" s="555" t="str">
        <f ca="1">IF(ListAndConversion!BQ163="-","",ListAndConversion!BQ163)</f>
        <v/>
      </c>
      <c r="E161" s="577" t="str">
        <f ca="1">IF(ListAndConversion!BR163="-","",ListAndConversion!BR163)</f>
        <v/>
      </c>
    </row>
    <row r="162" spans="1:5" x14ac:dyDescent="0.65">
      <c r="A162" s="554" t="str">
        <f ca="1">IF(ListAndConversion!BN164="-","",ListAndConversion!BN164)</f>
        <v/>
      </c>
      <c r="B162" s="555" t="str">
        <f ca="1">IF(ListAndConversion!BO164="-","",ListAndConversion!BO164)</f>
        <v/>
      </c>
      <c r="C162" s="555" t="str">
        <f ca="1">IF(ListAndConversion!BM164="-","","Pools1")</f>
        <v/>
      </c>
      <c r="D162" s="555" t="str">
        <f ca="1">IF(ListAndConversion!BQ164="-","",ListAndConversion!BQ164)</f>
        <v/>
      </c>
      <c r="E162" s="577" t="str">
        <f ca="1">IF(ListAndConversion!BR164="-","",ListAndConversion!BR164)</f>
        <v/>
      </c>
    </row>
    <row r="163" spans="1:5" x14ac:dyDescent="0.65">
      <c r="A163" s="554" t="str">
        <f ca="1">IF(ListAndConversion!BN165="-","",ListAndConversion!BN165)</f>
        <v/>
      </c>
      <c r="B163" s="555" t="str">
        <f ca="1">IF(ListAndConversion!BO165="-","",ListAndConversion!BO165)</f>
        <v/>
      </c>
      <c r="C163" s="555" t="str">
        <f ca="1">IF(ListAndConversion!BM165="-","","Pools1")</f>
        <v/>
      </c>
      <c r="D163" s="555" t="str">
        <f ca="1">IF(ListAndConversion!BQ165="-","",ListAndConversion!BQ165)</f>
        <v/>
      </c>
      <c r="E163" s="577" t="str">
        <f ca="1">IF(ListAndConversion!BR165="-","",ListAndConversion!BR165)</f>
        <v/>
      </c>
    </row>
    <row r="164" spans="1:5" x14ac:dyDescent="0.65">
      <c r="A164" s="554" t="str">
        <f ca="1">IF(ListAndConversion!BN166="-","",ListAndConversion!BN166)</f>
        <v/>
      </c>
      <c r="B164" s="555" t="str">
        <f ca="1">IF(ListAndConversion!BO166="-","",ListAndConversion!BO166)</f>
        <v/>
      </c>
      <c r="C164" s="555" t="str">
        <f ca="1">IF(ListAndConversion!BM166="-","","Pools1")</f>
        <v/>
      </c>
      <c r="D164" s="555" t="str">
        <f ca="1">IF(ListAndConversion!BQ166="-","",ListAndConversion!BQ166)</f>
        <v/>
      </c>
      <c r="E164" s="577" t="str">
        <f ca="1">IF(ListAndConversion!BR166="-","",ListAndConversion!BR166)</f>
        <v/>
      </c>
    </row>
    <row r="165" spans="1:5" x14ac:dyDescent="0.65">
      <c r="A165" s="554" t="str">
        <f ca="1">IF(ListAndConversion!BN167="-","",ListAndConversion!BN167)</f>
        <v/>
      </c>
      <c r="B165" s="555" t="str">
        <f ca="1">IF(ListAndConversion!BO167="-","",ListAndConversion!BO167)</f>
        <v/>
      </c>
      <c r="C165" s="555" t="str">
        <f ca="1">IF(ListAndConversion!BM167="-","","Pools1")</f>
        <v/>
      </c>
      <c r="D165" s="555" t="str">
        <f ca="1">IF(ListAndConversion!BQ167="-","",ListAndConversion!BQ167)</f>
        <v/>
      </c>
      <c r="E165" s="577" t="str">
        <f ca="1">IF(ListAndConversion!BR167="-","",ListAndConversion!BR167)</f>
        <v/>
      </c>
    </row>
    <row r="166" spans="1:5" x14ac:dyDescent="0.65">
      <c r="A166" s="554" t="str">
        <f ca="1">IF(ListAndConversion!BN168="-","",ListAndConversion!BN168)</f>
        <v/>
      </c>
      <c r="B166" s="555" t="str">
        <f ca="1">IF(ListAndConversion!BO168="-","",ListAndConversion!BO168)</f>
        <v/>
      </c>
      <c r="C166" s="555" t="str">
        <f ca="1">IF(ListAndConversion!BM168="-","","Pools1")</f>
        <v/>
      </c>
      <c r="D166" s="555" t="str">
        <f ca="1">IF(ListAndConversion!BQ168="-","",ListAndConversion!BQ168)</f>
        <v/>
      </c>
      <c r="E166" s="577" t="str">
        <f ca="1">IF(ListAndConversion!BR168="-","",ListAndConversion!BR168)</f>
        <v/>
      </c>
    </row>
    <row r="167" spans="1:5" x14ac:dyDescent="0.65">
      <c r="A167" s="554" t="str">
        <f ca="1">IF(ListAndConversion!BN169="-","",ListAndConversion!BN169)</f>
        <v/>
      </c>
      <c r="B167" s="555" t="str">
        <f ca="1">IF(ListAndConversion!BO169="-","",ListAndConversion!BO169)</f>
        <v/>
      </c>
      <c r="C167" s="555" t="str">
        <f ca="1">IF(ListAndConversion!BM169="-","","Pools1")</f>
        <v/>
      </c>
      <c r="D167" s="555" t="str">
        <f ca="1">IF(ListAndConversion!BQ169="-","",ListAndConversion!BQ169)</f>
        <v/>
      </c>
      <c r="E167" s="577" t="str">
        <f ca="1">IF(ListAndConversion!BR169="-","",ListAndConversion!BR169)</f>
        <v/>
      </c>
    </row>
    <row r="168" spans="1:5" x14ac:dyDescent="0.65">
      <c r="A168" s="554" t="str">
        <f ca="1">IF(ListAndConversion!BN170="-","",ListAndConversion!BN170)</f>
        <v/>
      </c>
      <c r="B168" s="555" t="str">
        <f ca="1">IF(ListAndConversion!BO170="-","",ListAndConversion!BO170)</f>
        <v/>
      </c>
      <c r="C168" s="555" t="str">
        <f ca="1">IF(ListAndConversion!BM170="-","","Pools1")</f>
        <v/>
      </c>
      <c r="D168" s="555" t="str">
        <f ca="1">IF(ListAndConversion!BQ170="-","",ListAndConversion!BQ170)</f>
        <v/>
      </c>
      <c r="E168" s="577" t="str">
        <f ca="1">IF(ListAndConversion!BR170="-","",ListAndConversion!BR170)</f>
        <v/>
      </c>
    </row>
    <row r="169" spans="1:5" x14ac:dyDescent="0.65">
      <c r="A169" s="554" t="str">
        <f ca="1">IF(ListAndConversion!BN171="-","",ListAndConversion!BN171)</f>
        <v/>
      </c>
      <c r="B169" s="555" t="str">
        <f ca="1">IF(ListAndConversion!BO171="-","",ListAndConversion!BO171)</f>
        <v/>
      </c>
      <c r="C169" s="555" t="str">
        <f ca="1">IF(ListAndConversion!BM171="-","","Pools1")</f>
        <v/>
      </c>
      <c r="D169" s="555" t="str">
        <f ca="1">IF(ListAndConversion!BQ171="-","",ListAndConversion!BQ171)</f>
        <v/>
      </c>
      <c r="E169" s="577" t="str">
        <f ca="1">IF(ListAndConversion!BR171="-","",ListAndConversion!BR171)</f>
        <v/>
      </c>
    </row>
    <row r="170" spans="1:5" x14ac:dyDescent="0.65">
      <c r="A170" s="554" t="str">
        <f ca="1">IF(ListAndConversion!BN172="-","",ListAndConversion!BN172)</f>
        <v/>
      </c>
      <c r="B170" s="555" t="str">
        <f ca="1">IF(ListAndConversion!BO172="-","",ListAndConversion!BO172)</f>
        <v/>
      </c>
      <c r="C170" s="555" t="str">
        <f ca="1">IF(ListAndConversion!BM172="-","","Pools1")</f>
        <v/>
      </c>
      <c r="D170" s="555" t="str">
        <f ca="1">IF(ListAndConversion!BQ172="-","",ListAndConversion!BQ172)</f>
        <v/>
      </c>
      <c r="E170" s="577" t="str">
        <f ca="1">IF(ListAndConversion!BR172="-","",ListAndConversion!BR172)</f>
        <v/>
      </c>
    </row>
    <row r="171" spans="1:5" x14ac:dyDescent="0.65">
      <c r="A171" s="554" t="str">
        <f ca="1">IF(ListAndConversion!BN173="-","",ListAndConversion!BN173)</f>
        <v/>
      </c>
      <c r="B171" s="555" t="str">
        <f ca="1">IF(ListAndConversion!BO173="-","",ListAndConversion!BO173)</f>
        <v/>
      </c>
      <c r="C171" s="555" t="str">
        <f ca="1">IF(ListAndConversion!BM173="-","","Pools1")</f>
        <v/>
      </c>
      <c r="D171" s="555" t="str">
        <f ca="1">IF(ListAndConversion!BQ173="-","",ListAndConversion!BQ173)</f>
        <v/>
      </c>
      <c r="E171" s="577" t="str">
        <f ca="1">IF(ListAndConversion!BR173="-","",ListAndConversion!BR173)</f>
        <v/>
      </c>
    </row>
    <row r="172" spans="1:5" x14ac:dyDescent="0.65">
      <c r="A172" s="554" t="str">
        <f ca="1">IF(ListAndConversion!BN174="-","",ListAndConversion!BN174)</f>
        <v/>
      </c>
      <c r="B172" s="555" t="str">
        <f ca="1">IF(ListAndConversion!BO174="-","",ListAndConversion!BO174)</f>
        <v/>
      </c>
      <c r="C172" s="555" t="str">
        <f ca="1">IF(ListAndConversion!BM174="-","","Pools1")</f>
        <v/>
      </c>
      <c r="D172" s="555" t="str">
        <f ca="1">IF(ListAndConversion!BQ174="-","",ListAndConversion!BQ174)</f>
        <v/>
      </c>
      <c r="E172" s="577" t="str">
        <f ca="1">IF(ListAndConversion!BR174="-","",ListAndConversion!BR174)</f>
        <v/>
      </c>
    </row>
    <row r="173" spans="1:5" x14ac:dyDescent="0.65">
      <c r="A173" s="554" t="str">
        <f ca="1">IF(ListAndConversion!BN175="-","",ListAndConversion!BN175)</f>
        <v/>
      </c>
      <c r="B173" s="555" t="str">
        <f ca="1">IF(ListAndConversion!BO175="-","",ListAndConversion!BO175)</f>
        <v/>
      </c>
      <c r="C173" s="555" t="str">
        <f ca="1">IF(ListAndConversion!BM175="-","","Pools1")</f>
        <v/>
      </c>
      <c r="D173" s="555" t="str">
        <f ca="1">IF(ListAndConversion!BQ175="-","",ListAndConversion!BQ175)</f>
        <v/>
      </c>
      <c r="E173" s="577" t="str">
        <f ca="1">IF(ListAndConversion!BR175="-","",ListAndConversion!BR175)</f>
        <v/>
      </c>
    </row>
    <row r="174" spans="1:5" x14ac:dyDescent="0.65">
      <c r="A174" s="554" t="str">
        <f ca="1">IF(ListAndConversion!BN176="-","",ListAndConversion!BN176)</f>
        <v/>
      </c>
      <c r="B174" s="555" t="str">
        <f ca="1">IF(ListAndConversion!BO176="-","",ListAndConversion!BO176)</f>
        <v/>
      </c>
      <c r="C174" s="555" t="str">
        <f ca="1">IF(ListAndConversion!BM176="-","","Pools1")</f>
        <v/>
      </c>
      <c r="D174" s="555" t="str">
        <f ca="1">IF(ListAndConversion!BQ176="-","",ListAndConversion!BQ176)</f>
        <v/>
      </c>
      <c r="E174" s="577" t="str">
        <f ca="1">IF(ListAndConversion!BR176="-","",ListAndConversion!BR176)</f>
        <v/>
      </c>
    </row>
    <row r="175" spans="1:5" x14ac:dyDescent="0.65">
      <c r="A175" s="554" t="str">
        <f ca="1">IF(ListAndConversion!BN177="-","",ListAndConversion!BN177)</f>
        <v/>
      </c>
      <c r="B175" s="555" t="str">
        <f ca="1">IF(ListAndConversion!BO177="-","",ListAndConversion!BO177)</f>
        <v/>
      </c>
      <c r="C175" s="555" t="str">
        <f ca="1">IF(ListAndConversion!BM177="-","","Pools1")</f>
        <v/>
      </c>
      <c r="D175" s="555" t="str">
        <f ca="1">IF(ListAndConversion!BQ177="-","",ListAndConversion!BQ177)</f>
        <v/>
      </c>
      <c r="E175" s="577" t="str">
        <f ca="1">IF(ListAndConversion!BR177="-","",ListAndConversion!BR177)</f>
        <v/>
      </c>
    </row>
    <row r="176" spans="1:5" x14ac:dyDescent="0.65">
      <c r="A176" s="554" t="str">
        <f ca="1">IF(ListAndConversion!BN178="-","",ListAndConversion!BN178)</f>
        <v/>
      </c>
      <c r="B176" s="555" t="str">
        <f ca="1">IF(ListAndConversion!BO178="-","",ListAndConversion!BO178)</f>
        <v/>
      </c>
      <c r="C176" s="555" t="str">
        <f ca="1">IF(ListAndConversion!BM178="-","","Pools1")</f>
        <v/>
      </c>
      <c r="D176" s="555" t="str">
        <f ca="1">IF(ListAndConversion!BQ178="-","",ListAndConversion!BQ178)</f>
        <v/>
      </c>
      <c r="E176" s="577" t="str">
        <f ca="1">IF(ListAndConversion!BR178="-","",ListAndConversion!BR178)</f>
        <v/>
      </c>
    </row>
    <row r="177" spans="1:5" x14ac:dyDescent="0.65">
      <c r="A177" s="554" t="str">
        <f ca="1">IF(ListAndConversion!BN179="-","",ListAndConversion!BN179)</f>
        <v/>
      </c>
      <c r="B177" s="555" t="str">
        <f ca="1">IF(ListAndConversion!BO179="-","",ListAndConversion!BO179)</f>
        <v/>
      </c>
      <c r="C177" s="555" t="str">
        <f ca="1">IF(ListAndConversion!BM179="-","","Pools1")</f>
        <v/>
      </c>
      <c r="D177" s="555" t="str">
        <f ca="1">IF(ListAndConversion!BQ179="-","",ListAndConversion!BQ179)</f>
        <v/>
      </c>
      <c r="E177" s="577" t="str">
        <f ca="1">IF(ListAndConversion!BR179="-","",ListAndConversion!BR179)</f>
        <v/>
      </c>
    </row>
    <row r="178" spans="1:5" x14ac:dyDescent="0.65">
      <c r="A178" s="554" t="str">
        <f ca="1">IF(ListAndConversion!BN180="-","",ListAndConversion!BN180)</f>
        <v/>
      </c>
      <c r="B178" s="555" t="str">
        <f ca="1">IF(ListAndConversion!BO180="-","",ListAndConversion!BO180)</f>
        <v/>
      </c>
      <c r="C178" s="555" t="str">
        <f ca="1">IF(ListAndConversion!BM180="-","","Pools1")</f>
        <v/>
      </c>
      <c r="D178" s="555" t="str">
        <f ca="1">IF(ListAndConversion!BQ180="-","",ListAndConversion!BQ180)</f>
        <v/>
      </c>
      <c r="E178" s="577" t="str">
        <f ca="1">IF(ListAndConversion!BR180="-","",ListAndConversion!BR180)</f>
        <v/>
      </c>
    </row>
    <row r="179" spans="1:5" x14ac:dyDescent="0.65">
      <c r="A179" s="554" t="str">
        <f ca="1">IF(ListAndConversion!BN181="-","",ListAndConversion!BN181)</f>
        <v/>
      </c>
      <c r="B179" s="555" t="str">
        <f ca="1">IF(ListAndConversion!BO181="-","",ListAndConversion!BO181)</f>
        <v/>
      </c>
      <c r="C179" s="555" t="str">
        <f ca="1">IF(ListAndConversion!BM181="-","","Pools1")</f>
        <v/>
      </c>
      <c r="D179" s="555" t="str">
        <f ca="1">IF(ListAndConversion!BQ181="-","",ListAndConversion!BQ181)</f>
        <v/>
      </c>
      <c r="E179" s="577" t="str">
        <f ca="1">IF(ListAndConversion!BR181="-","",ListAndConversion!BR181)</f>
        <v/>
      </c>
    </row>
    <row r="180" spans="1:5" x14ac:dyDescent="0.65">
      <c r="A180" s="554" t="str">
        <f ca="1">IF(ListAndConversion!BN182="-","",ListAndConversion!BN182)</f>
        <v/>
      </c>
      <c r="B180" s="555" t="str">
        <f ca="1">IF(ListAndConversion!BO182="-","",ListAndConversion!BO182)</f>
        <v/>
      </c>
      <c r="C180" s="555" t="str">
        <f ca="1">IF(ListAndConversion!BM182="-","","Pools1")</f>
        <v/>
      </c>
      <c r="D180" s="555" t="str">
        <f ca="1">IF(ListAndConversion!BQ182="-","",ListAndConversion!BQ182)</f>
        <v/>
      </c>
      <c r="E180" s="577" t="str">
        <f ca="1">IF(ListAndConversion!BR182="-","",ListAndConversion!BR182)</f>
        <v/>
      </c>
    </row>
    <row r="181" spans="1:5" x14ac:dyDescent="0.65">
      <c r="A181" s="554" t="str">
        <f ca="1">IF(ListAndConversion!BN183="-","",ListAndConversion!BN183)</f>
        <v/>
      </c>
      <c r="B181" s="555" t="str">
        <f ca="1">IF(ListAndConversion!BO183="-","",ListAndConversion!BO183)</f>
        <v/>
      </c>
      <c r="C181" s="555" t="str">
        <f ca="1">IF(ListAndConversion!BM183="-","","Pools1")</f>
        <v/>
      </c>
      <c r="D181" s="555" t="str">
        <f ca="1">IF(ListAndConversion!BQ183="-","",ListAndConversion!BQ183)</f>
        <v/>
      </c>
      <c r="E181" s="577" t="str">
        <f ca="1">IF(ListAndConversion!BR183="-","",ListAndConversion!BR183)</f>
        <v/>
      </c>
    </row>
    <row r="182" spans="1:5" x14ac:dyDescent="0.65">
      <c r="A182" s="554" t="str">
        <f ca="1">IF(ListAndConversion!BN184="-","",ListAndConversion!BN184)</f>
        <v/>
      </c>
      <c r="B182" s="555" t="str">
        <f ca="1">IF(ListAndConversion!BO184="-","",ListAndConversion!BO184)</f>
        <v/>
      </c>
      <c r="C182" s="555" t="str">
        <f ca="1">IF(ListAndConversion!BM184="-","","Pools1")</f>
        <v/>
      </c>
      <c r="D182" s="555" t="str">
        <f ca="1">IF(ListAndConversion!BQ184="-","",ListAndConversion!BQ184)</f>
        <v/>
      </c>
      <c r="E182" s="577" t="str">
        <f ca="1">IF(ListAndConversion!BR184="-","",ListAndConversion!BR184)</f>
        <v/>
      </c>
    </row>
    <row r="183" spans="1:5" x14ac:dyDescent="0.65">
      <c r="A183" s="554" t="str">
        <f ca="1">IF(ListAndConversion!BN185="-","",ListAndConversion!BN185)</f>
        <v/>
      </c>
      <c r="B183" s="555" t="str">
        <f ca="1">IF(ListAndConversion!BO185="-","",ListAndConversion!BO185)</f>
        <v/>
      </c>
      <c r="C183" s="555" t="str">
        <f ca="1">IF(ListAndConversion!BM185="-","","Pools1")</f>
        <v/>
      </c>
      <c r="D183" s="555" t="str">
        <f ca="1">IF(ListAndConversion!BQ185="-","",ListAndConversion!BQ185)</f>
        <v/>
      </c>
      <c r="E183" s="577" t="str">
        <f ca="1">IF(ListAndConversion!BR185="-","",ListAndConversion!BR185)</f>
        <v/>
      </c>
    </row>
    <row r="184" spans="1:5" x14ac:dyDescent="0.65">
      <c r="A184" s="554" t="str">
        <f ca="1">IF(ListAndConversion!BN186="-","",ListAndConversion!BN186)</f>
        <v/>
      </c>
      <c r="B184" s="555" t="str">
        <f ca="1">IF(ListAndConversion!BO186="-","",ListAndConversion!BO186)</f>
        <v/>
      </c>
      <c r="C184" s="555" t="str">
        <f ca="1">IF(ListAndConversion!BM186="-","","Pools1")</f>
        <v/>
      </c>
      <c r="D184" s="555" t="str">
        <f ca="1">IF(ListAndConversion!BQ186="-","",ListAndConversion!BQ186)</f>
        <v/>
      </c>
      <c r="E184" s="577" t="str">
        <f ca="1">IF(ListAndConversion!BR186="-","",ListAndConversion!BR186)</f>
        <v/>
      </c>
    </row>
    <row r="185" spans="1:5" x14ac:dyDescent="0.65">
      <c r="A185" s="554" t="str">
        <f ca="1">IF(ListAndConversion!BN187="-","",ListAndConversion!BN187)</f>
        <v/>
      </c>
      <c r="B185" s="555" t="str">
        <f ca="1">IF(ListAndConversion!BO187="-","",ListAndConversion!BO187)</f>
        <v/>
      </c>
      <c r="C185" s="555" t="str">
        <f ca="1">IF(ListAndConversion!BM187="-","","Pools1")</f>
        <v/>
      </c>
      <c r="D185" s="555" t="str">
        <f ca="1">IF(ListAndConversion!BQ187="-","",ListAndConversion!BQ187)</f>
        <v/>
      </c>
      <c r="E185" s="577" t="str">
        <f ca="1">IF(ListAndConversion!BR187="-","",ListAndConversion!BR187)</f>
        <v/>
      </c>
    </row>
    <row r="186" spans="1:5" x14ac:dyDescent="0.65">
      <c r="A186" s="554" t="str">
        <f ca="1">IF(ListAndConversion!BN188="-","",ListAndConversion!BN188)</f>
        <v/>
      </c>
      <c r="B186" s="555" t="str">
        <f ca="1">IF(ListAndConversion!BO188="-","",ListAndConversion!BO188)</f>
        <v/>
      </c>
      <c r="C186" s="555" t="str">
        <f ca="1">IF(ListAndConversion!BM188="-","","Pools1")</f>
        <v/>
      </c>
      <c r="D186" s="555" t="str">
        <f ca="1">IF(ListAndConversion!BQ188="-","",ListAndConversion!BQ188)</f>
        <v/>
      </c>
      <c r="E186" s="577" t="str">
        <f ca="1">IF(ListAndConversion!BR188="-","",ListAndConversion!BR188)</f>
        <v/>
      </c>
    </row>
    <row r="187" spans="1:5" x14ac:dyDescent="0.65">
      <c r="A187" s="554" t="str">
        <f ca="1">IF(ListAndConversion!BN189="-","",ListAndConversion!BN189)</f>
        <v/>
      </c>
      <c r="B187" s="555" t="str">
        <f ca="1">IF(ListAndConversion!BO189="-","",ListAndConversion!BO189)</f>
        <v/>
      </c>
      <c r="C187" s="555" t="str">
        <f ca="1">IF(ListAndConversion!BM189="-","","Pools1")</f>
        <v/>
      </c>
      <c r="D187" s="555" t="str">
        <f ca="1">IF(ListAndConversion!BQ189="-","",ListAndConversion!BQ189)</f>
        <v/>
      </c>
      <c r="E187" s="577" t="str">
        <f ca="1">IF(ListAndConversion!BR189="-","",ListAndConversion!BR189)</f>
        <v/>
      </c>
    </row>
    <row r="188" spans="1:5" x14ac:dyDescent="0.65">
      <c r="A188" s="554" t="str">
        <f ca="1">IF(ListAndConversion!BN190="-","",ListAndConversion!BN190)</f>
        <v/>
      </c>
      <c r="B188" s="555" t="str">
        <f ca="1">IF(ListAndConversion!BO190="-","",ListAndConversion!BO190)</f>
        <v/>
      </c>
      <c r="C188" s="555" t="str">
        <f ca="1">IF(ListAndConversion!BM190="-","","Pools1")</f>
        <v/>
      </c>
      <c r="D188" s="555" t="str">
        <f ca="1">IF(ListAndConversion!BQ190="-","",ListAndConversion!BQ190)</f>
        <v/>
      </c>
      <c r="E188" s="577" t="str">
        <f ca="1">IF(ListAndConversion!BR190="-","",ListAndConversion!BR190)</f>
        <v/>
      </c>
    </row>
    <row r="189" spans="1:5" x14ac:dyDescent="0.65">
      <c r="A189" s="554" t="str">
        <f ca="1">IF(ListAndConversion!BN191="-","",ListAndConversion!BN191)</f>
        <v/>
      </c>
      <c r="B189" s="555" t="str">
        <f ca="1">IF(ListAndConversion!BO191="-","",ListAndConversion!BO191)</f>
        <v/>
      </c>
      <c r="C189" s="555" t="str">
        <f ca="1">IF(ListAndConversion!BM191="-","","Pools1")</f>
        <v/>
      </c>
      <c r="D189" s="555" t="str">
        <f ca="1">IF(ListAndConversion!BQ191="-","",ListAndConversion!BQ191)</f>
        <v/>
      </c>
      <c r="E189" s="577" t="str">
        <f ca="1">IF(ListAndConversion!BR191="-","",ListAndConversion!BR191)</f>
        <v/>
      </c>
    </row>
    <row r="190" spans="1:5" x14ac:dyDescent="0.65">
      <c r="A190" s="554" t="str">
        <f ca="1">IF(ListAndConversion!BN192="-","",ListAndConversion!BN192)</f>
        <v/>
      </c>
      <c r="B190" s="555" t="str">
        <f ca="1">IF(ListAndConversion!BO192="-","",ListAndConversion!BO192)</f>
        <v/>
      </c>
      <c r="C190" s="555" t="str">
        <f ca="1">IF(ListAndConversion!BM192="-","","Pools1")</f>
        <v/>
      </c>
      <c r="D190" s="555" t="str">
        <f ca="1">IF(ListAndConversion!BQ192="-","",ListAndConversion!BQ192)</f>
        <v/>
      </c>
      <c r="E190" s="577" t="str">
        <f ca="1">IF(ListAndConversion!BR192="-","",ListAndConversion!BR192)</f>
        <v/>
      </c>
    </row>
    <row r="191" spans="1:5" x14ac:dyDescent="0.65">
      <c r="A191" s="554" t="str">
        <f ca="1">IF(ListAndConversion!BN193="-","",ListAndConversion!BN193)</f>
        <v/>
      </c>
      <c r="B191" s="555" t="str">
        <f ca="1">IF(ListAndConversion!BO193="-","",ListAndConversion!BO193)</f>
        <v/>
      </c>
      <c r="C191" s="555" t="str">
        <f ca="1">IF(ListAndConversion!BM193="-","","Pools1")</f>
        <v/>
      </c>
      <c r="D191" s="555" t="str">
        <f ca="1">IF(ListAndConversion!BQ193="-","",ListAndConversion!BQ193)</f>
        <v/>
      </c>
      <c r="E191" s="577" t="str">
        <f ca="1">IF(ListAndConversion!BR193="-","",ListAndConversion!BR193)</f>
        <v/>
      </c>
    </row>
    <row r="192" spans="1:5" x14ac:dyDescent="0.65">
      <c r="A192" s="554" t="str">
        <f ca="1">IF(ListAndConversion!BN194="-","",ListAndConversion!BN194)</f>
        <v/>
      </c>
      <c r="B192" s="555" t="str">
        <f ca="1">IF(ListAndConversion!BO194="-","",ListAndConversion!BO194)</f>
        <v/>
      </c>
      <c r="C192" s="555" t="str">
        <f ca="1">IF(ListAndConversion!BM194="-","","Pools1")</f>
        <v/>
      </c>
      <c r="D192" s="555" t="str">
        <f ca="1">IF(ListAndConversion!BQ194="-","",ListAndConversion!BQ194)</f>
        <v/>
      </c>
      <c r="E192" s="577" t="str">
        <f ca="1">IF(ListAndConversion!BR194="-","",ListAndConversion!BR194)</f>
        <v/>
      </c>
    </row>
    <row r="193" spans="1:5" x14ac:dyDescent="0.65">
      <c r="A193" s="554" t="str">
        <f ca="1">IF(ListAndConversion!BN195="-","",ListAndConversion!BN195)</f>
        <v/>
      </c>
      <c r="B193" s="555" t="str">
        <f ca="1">IF(ListAndConversion!BO195="-","",ListAndConversion!BO195)</f>
        <v/>
      </c>
      <c r="C193" s="555" t="str">
        <f ca="1">IF(ListAndConversion!BM195="-","","Pools1")</f>
        <v/>
      </c>
      <c r="D193" s="555" t="str">
        <f ca="1">IF(ListAndConversion!BQ195="-","",ListAndConversion!BQ195)</f>
        <v/>
      </c>
      <c r="E193" s="577" t="str">
        <f ca="1">IF(ListAndConversion!BR195="-","",ListAndConversion!BR195)</f>
        <v/>
      </c>
    </row>
    <row r="194" spans="1:5" x14ac:dyDescent="0.65">
      <c r="A194" s="554" t="str">
        <f ca="1">IF(ListAndConversion!BN196="-","",ListAndConversion!BN196)</f>
        <v/>
      </c>
      <c r="B194" s="555" t="str">
        <f ca="1">IF(ListAndConversion!BO196="-","",ListAndConversion!BO196)</f>
        <v/>
      </c>
      <c r="C194" s="555" t="str">
        <f ca="1">IF(ListAndConversion!BM196="-","","Pools1")</f>
        <v/>
      </c>
      <c r="D194" s="555" t="str">
        <f ca="1">IF(ListAndConversion!BQ196="-","",ListAndConversion!BQ196)</f>
        <v/>
      </c>
      <c r="E194" s="577" t="str">
        <f ca="1">IF(ListAndConversion!BR196="-","",ListAndConversion!BR196)</f>
        <v/>
      </c>
    </row>
    <row r="195" spans="1:5" x14ac:dyDescent="0.65">
      <c r="A195" s="554" t="str">
        <f ca="1">IF(ListAndConversion!BN197="-","",ListAndConversion!BN197)</f>
        <v/>
      </c>
      <c r="B195" s="555" t="str">
        <f ca="1">IF(ListAndConversion!BO197="-","",ListAndConversion!BO197)</f>
        <v/>
      </c>
      <c r="C195" s="555" t="str">
        <f ca="1">IF(ListAndConversion!BM197="-","","Pools1")</f>
        <v/>
      </c>
      <c r="D195" s="555" t="str">
        <f ca="1">IF(ListAndConversion!BQ197="-","",ListAndConversion!BQ197)</f>
        <v/>
      </c>
      <c r="E195" s="577" t="str">
        <f ca="1">IF(ListAndConversion!BR197="-","",ListAndConversion!BR197)</f>
        <v/>
      </c>
    </row>
    <row r="196" spans="1:5" x14ac:dyDescent="0.65">
      <c r="A196" s="554" t="str">
        <f ca="1">IF(ListAndConversion!BN198="-","",ListAndConversion!BN198)</f>
        <v/>
      </c>
      <c r="B196" s="555" t="str">
        <f ca="1">IF(ListAndConversion!BO198="-","",ListAndConversion!BO198)</f>
        <v/>
      </c>
      <c r="C196" s="555" t="str">
        <f ca="1">IF(ListAndConversion!BM198="-","","Pools1")</f>
        <v/>
      </c>
      <c r="D196" s="555" t="str">
        <f ca="1">IF(ListAndConversion!BQ198="-","",ListAndConversion!BQ198)</f>
        <v/>
      </c>
      <c r="E196" s="577" t="str">
        <f ca="1">IF(ListAndConversion!BR198="-","",ListAndConversion!BR198)</f>
        <v/>
      </c>
    </row>
    <row r="197" spans="1:5" x14ac:dyDescent="0.65">
      <c r="A197" s="554" t="str">
        <f ca="1">IF(ListAndConversion!BN199="-","",ListAndConversion!BN199)</f>
        <v/>
      </c>
      <c r="B197" s="555" t="str">
        <f ca="1">IF(ListAndConversion!BO199="-","",ListAndConversion!BO199)</f>
        <v/>
      </c>
      <c r="C197" s="555" t="str">
        <f ca="1">IF(ListAndConversion!BM199="-","","Pools1")</f>
        <v/>
      </c>
      <c r="D197" s="555" t="str">
        <f ca="1">IF(ListAndConversion!BQ199="-","",ListAndConversion!BQ199)</f>
        <v/>
      </c>
      <c r="E197" s="577" t="str">
        <f ca="1">IF(ListAndConversion!BR199="-","",ListAndConversion!BR199)</f>
        <v/>
      </c>
    </row>
    <row r="198" spans="1:5" x14ac:dyDescent="0.65">
      <c r="A198" s="554" t="str">
        <f ca="1">IF(ListAndConversion!BN200="-","",ListAndConversion!BN200)</f>
        <v/>
      </c>
      <c r="B198" s="555" t="str">
        <f ca="1">IF(ListAndConversion!BO200="-","",ListAndConversion!BO200)</f>
        <v/>
      </c>
      <c r="C198" s="555" t="str">
        <f ca="1">IF(ListAndConversion!BM200="-","","Pools1")</f>
        <v/>
      </c>
      <c r="D198" s="555" t="str">
        <f ca="1">IF(ListAndConversion!BQ200="-","",ListAndConversion!BQ200)</f>
        <v/>
      </c>
      <c r="E198" s="577" t="str">
        <f ca="1">IF(ListAndConversion!BR200="-","",ListAndConversion!BR200)</f>
        <v/>
      </c>
    </row>
    <row r="199" spans="1:5" x14ac:dyDescent="0.65">
      <c r="A199" s="554" t="str">
        <f ca="1">IF(ListAndConversion!BN201="-","",ListAndConversion!BN201)</f>
        <v/>
      </c>
      <c r="B199" s="555" t="str">
        <f ca="1">IF(ListAndConversion!BO201="-","",ListAndConversion!BO201)</f>
        <v/>
      </c>
      <c r="C199" s="555" t="str">
        <f ca="1">IF(ListAndConversion!BM201="-","","Pools1")</f>
        <v/>
      </c>
      <c r="D199" s="555" t="str">
        <f ca="1">IF(ListAndConversion!BQ201="-","",ListAndConversion!BQ201)</f>
        <v/>
      </c>
      <c r="E199" s="577" t="str">
        <f ca="1">IF(ListAndConversion!BR201="-","",ListAndConversion!BR201)</f>
        <v/>
      </c>
    </row>
    <row r="200" spans="1:5" x14ac:dyDescent="0.65">
      <c r="A200" s="554" t="str">
        <f ca="1">IF(ListAndConversion!BN202="-","",ListAndConversion!BN202)</f>
        <v/>
      </c>
      <c r="B200" s="555" t="str">
        <f ca="1">IF(ListAndConversion!BO202="-","",ListAndConversion!BO202)</f>
        <v/>
      </c>
      <c r="C200" s="555" t="str">
        <f ca="1">IF(ListAndConversion!BM202="-","","Pools1")</f>
        <v/>
      </c>
      <c r="D200" s="555" t="str">
        <f ca="1">IF(ListAndConversion!BQ202="-","",ListAndConversion!BQ202)</f>
        <v/>
      </c>
      <c r="E200" s="577" t="str">
        <f ca="1">IF(ListAndConversion!BR202="-","",ListAndConversion!BR202)</f>
        <v/>
      </c>
    </row>
    <row r="201" spans="1:5" x14ac:dyDescent="0.65">
      <c r="A201" s="554" t="str">
        <f ca="1">IF(ListAndConversion!BN203="-","",ListAndConversion!BN203)</f>
        <v/>
      </c>
      <c r="B201" s="555" t="str">
        <f ca="1">IF(ListAndConversion!BO203="-","",ListAndConversion!BO203)</f>
        <v/>
      </c>
      <c r="C201" s="555" t="str">
        <f ca="1">IF(ListAndConversion!BM203="-","","Pools1")</f>
        <v/>
      </c>
      <c r="D201" s="555" t="str">
        <f ca="1">IF(ListAndConversion!BQ203="-","",ListAndConversion!BQ203)</f>
        <v/>
      </c>
      <c r="E201" s="577" t="str">
        <f ca="1">IF(ListAndConversion!BR203="-","",ListAndConversion!BR203)</f>
        <v/>
      </c>
    </row>
    <row r="202" spans="1:5" x14ac:dyDescent="0.65">
      <c r="A202" s="554" t="str">
        <f ca="1">IF(ListAndConversion!BN204="-","",ListAndConversion!BN204)</f>
        <v/>
      </c>
      <c r="B202" s="555" t="str">
        <f ca="1">IF(ListAndConversion!BO204="-","",ListAndConversion!BO204)</f>
        <v/>
      </c>
      <c r="C202" s="555" t="str">
        <f ca="1">IF(ListAndConversion!BM204="-","","Pools1")</f>
        <v/>
      </c>
      <c r="D202" s="555" t="str">
        <f ca="1">IF(ListAndConversion!BQ204="-","",ListAndConversion!BQ204)</f>
        <v/>
      </c>
      <c r="E202" s="577" t="str">
        <f ca="1">IF(ListAndConversion!BR204="-","",ListAndConversion!BR204)</f>
        <v/>
      </c>
    </row>
    <row r="203" spans="1:5" x14ac:dyDescent="0.65">
      <c r="A203" s="554" t="str">
        <f ca="1">IF(ListAndConversion!BN205="-","",ListAndConversion!BN205)</f>
        <v/>
      </c>
      <c r="B203" s="555" t="str">
        <f ca="1">IF(ListAndConversion!BO205="-","",ListAndConversion!BO205)</f>
        <v/>
      </c>
      <c r="C203" s="555" t="str">
        <f ca="1">IF(ListAndConversion!BM205="-","","Pools1")</f>
        <v/>
      </c>
      <c r="D203" s="555" t="str">
        <f ca="1">IF(ListAndConversion!BQ205="-","",ListAndConversion!BQ205)</f>
        <v/>
      </c>
      <c r="E203" s="577" t="str">
        <f ca="1">IF(ListAndConversion!BR205="-","",ListAndConversion!BR205)</f>
        <v/>
      </c>
    </row>
    <row r="204" spans="1:5" x14ac:dyDescent="0.65">
      <c r="A204" s="554" t="str">
        <f ca="1">IF(ListAndConversion!BN206="-","",ListAndConversion!BN206)</f>
        <v/>
      </c>
      <c r="B204" s="555" t="str">
        <f ca="1">IF(ListAndConversion!BO206="-","",ListAndConversion!BO206)</f>
        <v/>
      </c>
      <c r="C204" s="555" t="str">
        <f ca="1">IF(ListAndConversion!BM206="-","","Pools1")</f>
        <v/>
      </c>
      <c r="D204" s="555" t="str">
        <f ca="1">IF(ListAndConversion!BQ206="-","",ListAndConversion!BQ206)</f>
        <v/>
      </c>
      <c r="E204" s="577" t="str">
        <f ca="1">IF(ListAndConversion!BR206="-","",ListAndConversion!BR206)</f>
        <v/>
      </c>
    </row>
    <row r="205" spans="1:5" x14ac:dyDescent="0.65">
      <c r="A205" s="554" t="str">
        <f ca="1">IF(ListAndConversion!BN207="-","",ListAndConversion!BN207)</f>
        <v/>
      </c>
      <c r="B205" s="555" t="str">
        <f ca="1">IF(ListAndConversion!BO207="-","",ListAndConversion!BO207)</f>
        <v/>
      </c>
      <c r="C205" s="555" t="str">
        <f ca="1">IF(ListAndConversion!BM207="-","","Pools1")</f>
        <v/>
      </c>
      <c r="D205" s="555" t="str">
        <f ca="1">IF(ListAndConversion!BQ207="-","",ListAndConversion!BQ207)</f>
        <v/>
      </c>
      <c r="E205" s="577" t="str">
        <f ca="1">IF(ListAndConversion!BR207="-","",ListAndConversion!BR207)</f>
        <v/>
      </c>
    </row>
    <row r="206" spans="1:5" x14ac:dyDescent="0.65">
      <c r="A206" s="554" t="str">
        <f ca="1">IF(ListAndConversion!BN208="-","",ListAndConversion!BN208)</f>
        <v/>
      </c>
      <c r="B206" s="555" t="str">
        <f ca="1">IF(ListAndConversion!BO208="-","",ListAndConversion!BO208)</f>
        <v/>
      </c>
      <c r="C206" s="555" t="str">
        <f ca="1">IF(ListAndConversion!BM208="-","","Pools1")</f>
        <v/>
      </c>
      <c r="D206" s="555" t="str">
        <f ca="1">IF(ListAndConversion!BQ208="-","",ListAndConversion!BQ208)</f>
        <v/>
      </c>
      <c r="E206" s="577" t="str">
        <f ca="1">IF(ListAndConversion!BR208="-","",ListAndConversion!BR208)</f>
        <v/>
      </c>
    </row>
    <row r="207" spans="1:5" x14ac:dyDescent="0.65">
      <c r="A207" s="554" t="str">
        <f ca="1">IF(ListAndConversion!BN209="-","",ListAndConversion!BN209)</f>
        <v/>
      </c>
      <c r="B207" s="555" t="str">
        <f ca="1">IF(ListAndConversion!BO209="-","",ListAndConversion!BO209)</f>
        <v/>
      </c>
      <c r="C207" s="555" t="str">
        <f ca="1">IF(ListAndConversion!BM209="-","","Pools1")</f>
        <v/>
      </c>
      <c r="D207" s="555" t="str">
        <f ca="1">IF(ListAndConversion!BQ209="-","",ListAndConversion!BQ209)</f>
        <v/>
      </c>
      <c r="E207" s="577" t="str">
        <f ca="1">IF(ListAndConversion!BR209="-","",ListAndConversion!BR209)</f>
        <v/>
      </c>
    </row>
    <row r="208" spans="1:5" x14ac:dyDescent="0.65">
      <c r="A208" s="554" t="str">
        <f ca="1">IF(ListAndConversion!BN210="-","",ListAndConversion!BN210)</f>
        <v/>
      </c>
      <c r="B208" s="555" t="str">
        <f ca="1">IF(ListAndConversion!BO210="-","",ListAndConversion!BO210)</f>
        <v/>
      </c>
      <c r="C208" s="555" t="str">
        <f ca="1">IF(ListAndConversion!BM210="-","","Pools1")</f>
        <v/>
      </c>
      <c r="D208" s="555" t="str">
        <f ca="1">IF(ListAndConversion!BQ210="-","",ListAndConversion!BQ210)</f>
        <v/>
      </c>
      <c r="E208" s="577" t="str">
        <f ca="1">IF(ListAndConversion!BR210="-","",ListAndConversion!BR210)</f>
        <v/>
      </c>
    </row>
    <row r="209" spans="1:5" x14ac:dyDescent="0.65">
      <c r="A209" s="554" t="str">
        <f ca="1">IF(ListAndConversion!BN211="-","",ListAndConversion!BN211)</f>
        <v/>
      </c>
      <c r="B209" s="555" t="str">
        <f ca="1">IF(ListAndConversion!BO211="-","",ListAndConversion!BO211)</f>
        <v/>
      </c>
      <c r="C209" s="555" t="str">
        <f ca="1">IF(ListAndConversion!BM211="-","","Pools1")</f>
        <v/>
      </c>
      <c r="D209" s="555" t="str">
        <f ca="1">IF(ListAndConversion!BQ211="-","",ListAndConversion!BQ211)</f>
        <v/>
      </c>
      <c r="E209" s="577" t="str">
        <f ca="1">IF(ListAndConversion!BR211="-","",ListAndConversion!BR211)</f>
        <v/>
      </c>
    </row>
    <row r="210" spans="1:5" x14ac:dyDescent="0.65">
      <c r="A210" s="554" t="str">
        <f ca="1">IF(ListAndConversion!BN212="-","",ListAndConversion!BN212)</f>
        <v/>
      </c>
      <c r="B210" s="555" t="str">
        <f ca="1">IF(ListAndConversion!BO212="-","",ListAndConversion!BO212)</f>
        <v/>
      </c>
      <c r="C210" s="555" t="str">
        <f ca="1">IF(ListAndConversion!BM212="-","","Pools1")</f>
        <v/>
      </c>
      <c r="D210" s="555" t="str">
        <f ca="1">IF(ListAndConversion!BQ212="-","",ListAndConversion!BQ212)</f>
        <v/>
      </c>
      <c r="E210" s="577" t="str">
        <f ca="1">IF(ListAndConversion!BR212="-","",ListAndConversion!BR212)</f>
        <v/>
      </c>
    </row>
    <row r="211" spans="1:5" x14ac:dyDescent="0.65">
      <c r="A211" s="554" t="str">
        <f ca="1">IF(ListAndConversion!BN213="-","",ListAndConversion!BN213)</f>
        <v/>
      </c>
      <c r="B211" s="555" t="str">
        <f ca="1">IF(ListAndConversion!BO213="-","",ListAndConversion!BO213)</f>
        <v/>
      </c>
      <c r="C211" s="555" t="str">
        <f ca="1">IF(ListAndConversion!BM213="-","","Pools1")</f>
        <v/>
      </c>
      <c r="D211" s="555" t="str">
        <f ca="1">IF(ListAndConversion!BQ213="-","",ListAndConversion!BQ213)</f>
        <v/>
      </c>
      <c r="E211" s="577" t="str">
        <f ca="1">IF(ListAndConversion!BR213="-","",ListAndConversion!BR213)</f>
        <v/>
      </c>
    </row>
    <row r="212" spans="1:5" x14ac:dyDescent="0.65">
      <c r="A212" s="554" t="str">
        <f ca="1">IF(ListAndConversion!BN214="-","",ListAndConversion!BN214)</f>
        <v/>
      </c>
      <c r="B212" s="555" t="str">
        <f ca="1">IF(ListAndConversion!BO214="-","",ListAndConversion!BO214)</f>
        <v/>
      </c>
      <c r="C212" s="555" t="str">
        <f ca="1">IF(ListAndConversion!BM214="-","","Pools1")</f>
        <v/>
      </c>
      <c r="D212" s="555" t="str">
        <f ca="1">IF(ListAndConversion!BQ214="-","",ListAndConversion!BQ214)</f>
        <v/>
      </c>
      <c r="E212" s="577" t="str">
        <f ca="1">IF(ListAndConversion!BR214="-","",ListAndConversion!BR214)</f>
        <v/>
      </c>
    </row>
    <row r="213" spans="1:5" x14ac:dyDescent="0.65">
      <c r="A213" s="554" t="str">
        <f ca="1">IF(ListAndConversion!BN215="-","",ListAndConversion!BN215)</f>
        <v/>
      </c>
      <c r="B213" s="555" t="str">
        <f ca="1">IF(ListAndConversion!BO215="-","",ListAndConversion!BO215)</f>
        <v/>
      </c>
      <c r="C213" s="555" t="str">
        <f ca="1">IF(ListAndConversion!BM215="-","","Pools1")</f>
        <v/>
      </c>
      <c r="D213" s="555" t="str">
        <f ca="1">IF(ListAndConversion!BQ215="-","",ListAndConversion!BQ215)</f>
        <v/>
      </c>
      <c r="E213" s="577" t="str">
        <f ca="1">IF(ListAndConversion!BR215="-","",ListAndConversion!BR215)</f>
        <v/>
      </c>
    </row>
    <row r="214" spans="1:5" x14ac:dyDescent="0.65">
      <c r="A214" s="554" t="str">
        <f ca="1">IF(ListAndConversion!BN216="-","",ListAndConversion!BN216)</f>
        <v/>
      </c>
      <c r="B214" s="555" t="str">
        <f ca="1">IF(ListAndConversion!BO216="-","",ListAndConversion!BO216)</f>
        <v/>
      </c>
      <c r="C214" s="555" t="str">
        <f ca="1">IF(ListAndConversion!BM216="-","","Pools1")</f>
        <v/>
      </c>
      <c r="D214" s="555" t="str">
        <f ca="1">IF(ListAndConversion!BQ216="-","",ListAndConversion!BQ216)</f>
        <v/>
      </c>
      <c r="E214" s="577" t="str">
        <f ca="1">IF(ListAndConversion!BR216="-","",ListAndConversion!BR216)</f>
        <v/>
      </c>
    </row>
    <row r="215" spans="1:5" x14ac:dyDescent="0.65">
      <c r="A215" s="554" t="str">
        <f ca="1">IF(ListAndConversion!BN217="-","",ListAndConversion!BN217)</f>
        <v/>
      </c>
      <c r="B215" s="555" t="str">
        <f ca="1">IF(ListAndConversion!BO217="-","",ListAndConversion!BO217)</f>
        <v/>
      </c>
      <c r="C215" s="555" t="str">
        <f ca="1">IF(ListAndConversion!BM217="-","","Pools1")</f>
        <v/>
      </c>
      <c r="D215" s="555" t="str">
        <f ca="1">IF(ListAndConversion!BQ217="-","",ListAndConversion!BQ217)</f>
        <v/>
      </c>
      <c r="E215" s="577" t="str">
        <f ca="1">IF(ListAndConversion!BR217="-","",ListAndConversion!BR217)</f>
        <v/>
      </c>
    </row>
    <row r="216" spans="1:5" x14ac:dyDescent="0.65">
      <c r="A216" s="554" t="str">
        <f ca="1">IF(ListAndConversion!BN218="-","",ListAndConversion!BN218)</f>
        <v/>
      </c>
      <c r="B216" s="555" t="str">
        <f ca="1">IF(ListAndConversion!BO218="-","",ListAndConversion!BO218)</f>
        <v/>
      </c>
      <c r="C216" s="555" t="str">
        <f ca="1">IF(ListAndConversion!BM218="-","","Pools1")</f>
        <v/>
      </c>
      <c r="D216" s="555" t="str">
        <f ca="1">IF(ListAndConversion!BQ218="-","",ListAndConversion!BQ218)</f>
        <v/>
      </c>
      <c r="E216" s="577" t="str">
        <f ca="1">IF(ListAndConversion!BR218="-","",ListAndConversion!BR218)</f>
        <v/>
      </c>
    </row>
    <row r="217" spans="1:5" x14ac:dyDescent="0.65">
      <c r="A217" s="554" t="str">
        <f ca="1">IF(ListAndConversion!BN219="-","",ListAndConversion!BN219)</f>
        <v/>
      </c>
      <c r="B217" s="555" t="str">
        <f ca="1">IF(ListAndConversion!BO219="-","",ListAndConversion!BO219)</f>
        <v/>
      </c>
      <c r="C217" s="555" t="str">
        <f ca="1">IF(ListAndConversion!BM219="-","","Pools1")</f>
        <v/>
      </c>
      <c r="D217" s="555" t="str">
        <f ca="1">IF(ListAndConversion!BQ219="-","",ListAndConversion!BQ219)</f>
        <v/>
      </c>
      <c r="E217" s="577" t="str">
        <f ca="1">IF(ListAndConversion!BR219="-","",ListAndConversion!BR219)</f>
        <v/>
      </c>
    </row>
    <row r="218" spans="1:5" x14ac:dyDescent="0.65">
      <c r="A218" s="554" t="str">
        <f ca="1">IF(ListAndConversion!BN220="-","",ListAndConversion!BN220)</f>
        <v/>
      </c>
      <c r="B218" s="555" t="str">
        <f ca="1">IF(ListAndConversion!BO220="-","",ListAndConversion!BO220)</f>
        <v/>
      </c>
      <c r="C218" s="555" t="str">
        <f ca="1">IF(ListAndConversion!BM220="-","","Pools1")</f>
        <v/>
      </c>
      <c r="D218" s="555" t="str">
        <f ca="1">IF(ListAndConversion!BQ220="-","",ListAndConversion!BQ220)</f>
        <v/>
      </c>
      <c r="E218" s="577" t="str">
        <f ca="1">IF(ListAndConversion!BR220="-","",ListAndConversion!BR220)</f>
        <v/>
      </c>
    </row>
    <row r="219" spans="1:5" x14ac:dyDescent="0.65">
      <c r="A219" s="554" t="str">
        <f ca="1">IF(ListAndConversion!BN221="-","",ListAndConversion!BN221)</f>
        <v/>
      </c>
      <c r="B219" s="555" t="str">
        <f ca="1">IF(ListAndConversion!BO221="-","",ListAndConversion!BO221)</f>
        <v/>
      </c>
      <c r="C219" s="555" t="str">
        <f ca="1">IF(ListAndConversion!BM221="-","","Pools1")</f>
        <v/>
      </c>
      <c r="D219" s="555" t="str">
        <f ca="1">IF(ListAndConversion!BQ221="-","",ListAndConversion!BQ221)</f>
        <v/>
      </c>
      <c r="E219" s="577" t="str">
        <f ca="1">IF(ListAndConversion!BR221="-","",ListAndConversion!BR221)</f>
        <v/>
      </c>
    </row>
    <row r="220" spans="1:5" x14ac:dyDescent="0.65">
      <c r="A220" s="554" t="str">
        <f ca="1">IF(ListAndConversion!BN222="-","",ListAndConversion!BN222)</f>
        <v/>
      </c>
      <c r="B220" s="555" t="str">
        <f ca="1">IF(ListAndConversion!BO222="-","",ListAndConversion!BO222)</f>
        <v/>
      </c>
      <c r="C220" s="555" t="str">
        <f ca="1">IF(ListAndConversion!BM222="-","","Pools1")</f>
        <v/>
      </c>
      <c r="D220" s="555" t="str">
        <f ca="1">IF(ListAndConversion!BQ222="-","",ListAndConversion!BQ222)</f>
        <v/>
      </c>
      <c r="E220" s="577" t="str">
        <f ca="1">IF(ListAndConversion!BR222="-","",ListAndConversion!BR222)</f>
        <v/>
      </c>
    </row>
    <row r="221" spans="1:5" x14ac:dyDescent="0.65">
      <c r="A221" s="554" t="str">
        <f ca="1">IF(ListAndConversion!BN223="-","",ListAndConversion!BN223)</f>
        <v/>
      </c>
      <c r="B221" s="555" t="str">
        <f ca="1">IF(ListAndConversion!BO223="-","",ListAndConversion!BO223)</f>
        <v/>
      </c>
      <c r="C221" s="555" t="str">
        <f ca="1">IF(ListAndConversion!BM223="-","","Pools1")</f>
        <v/>
      </c>
      <c r="D221" s="555" t="str">
        <f ca="1">IF(ListAndConversion!BQ223="-","",ListAndConversion!BQ223)</f>
        <v/>
      </c>
      <c r="E221" s="577" t="str">
        <f ca="1">IF(ListAndConversion!BR223="-","",ListAndConversion!BR223)</f>
        <v/>
      </c>
    </row>
    <row r="222" spans="1:5" x14ac:dyDescent="0.65">
      <c r="A222" s="554" t="str">
        <f ca="1">IF(ListAndConversion!BN224="-","",ListAndConversion!BN224)</f>
        <v/>
      </c>
      <c r="B222" s="555" t="str">
        <f ca="1">IF(ListAndConversion!BO224="-","",ListAndConversion!BO224)</f>
        <v/>
      </c>
      <c r="C222" s="555" t="str">
        <f ca="1">IF(ListAndConversion!BM224="-","","Pools1")</f>
        <v/>
      </c>
      <c r="D222" s="555" t="str">
        <f ca="1">IF(ListAndConversion!BQ224="-","",ListAndConversion!BQ224)</f>
        <v/>
      </c>
      <c r="E222" s="577" t="str">
        <f ca="1">IF(ListAndConversion!BR224="-","",ListAndConversion!BR224)</f>
        <v/>
      </c>
    </row>
    <row r="223" spans="1:5" x14ac:dyDescent="0.65">
      <c r="A223" s="554" t="str">
        <f ca="1">IF(ListAndConversion!BN225="-","",ListAndConversion!BN225)</f>
        <v/>
      </c>
      <c r="B223" s="555" t="str">
        <f ca="1">IF(ListAndConversion!BO225="-","",ListAndConversion!BO225)</f>
        <v/>
      </c>
      <c r="C223" s="555" t="str">
        <f ca="1">IF(ListAndConversion!BM225="-","","Pools1")</f>
        <v/>
      </c>
      <c r="D223" s="555" t="str">
        <f ca="1">IF(ListAndConversion!BQ225="-","",ListAndConversion!BQ225)</f>
        <v/>
      </c>
      <c r="E223" s="577" t="str">
        <f ca="1">IF(ListAndConversion!BR225="-","",ListAndConversion!BR225)</f>
        <v/>
      </c>
    </row>
    <row r="224" spans="1:5" x14ac:dyDescent="0.65">
      <c r="A224" s="554" t="str">
        <f ca="1">IF(ListAndConversion!BN226="-","",ListAndConversion!BN226)</f>
        <v/>
      </c>
      <c r="B224" s="555" t="str">
        <f ca="1">IF(ListAndConversion!BO226="-","",ListAndConversion!BO226)</f>
        <v/>
      </c>
      <c r="C224" s="555" t="str">
        <f ca="1">IF(ListAndConversion!BM226="-","","Pools1")</f>
        <v/>
      </c>
      <c r="D224" s="555" t="str">
        <f ca="1">IF(ListAndConversion!BQ226="-","",ListAndConversion!BQ226)</f>
        <v/>
      </c>
      <c r="E224" s="577" t="str">
        <f ca="1">IF(ListAndConversion!BR226="-","",ListAndConversion!BR226)</f>
        <v/>
      </c>
    </row>
    <row r="225" spans="1:5" x14ac:dyDescent="0.65">
      <c r="A225" s="554" t="str">
        <f ca="1">IF(ListAndConversion!BN227="-","",ListAndConversion!BN227)</f>
        <v/>
      </c>
      <c r="B225" s="555" t="str">
        <f ca="1">IF(ListAndConversion!BO227="-","",ListAndConversion!BO227)</f>
        <v/>
      </c>
      <c r="C225" s="555" t="str">
        <f ca="1">IF(ListAndConversion!BM227="-","","Pools1")</f>
        <v/>
      </c>
      <c r="D225" s="555" t="str">
        <f ca="1">IF(ListAndConversion!BQ227="-","",ListAndConversion!BQ227)</f>
        <v/>
      </c>
      <c r="E225" s="577" t="str">
        <f ca="1">IF(ListAndConversion!BR227="-","",ListAndConversion!BR227)</f>
        <v/>
      </c>
    </row>
    <row r="226" spans="1:5" x14ac:dyDescent="0.65">
      <c r="A226" s="554" t="str">
        <f ca="1">IF(ListAndConversion!BN228="-","",ListAndConversion!BN228)</f>
        <v/>
      </c>
      <c r="B226" s="555" t="str">
        <f ca="1">IF(ListAndConversion!BO228="-","",ListAndConversion!BO228)</f>
        <v/>
      </c>
      <c r="C226" s="555" t="str">
        <f ca="1">IF(ListAndConversion!BM228="-","","Pools1")</f>
        <v/>
      </c>
      <c r="D226" s="555" t="str">
        <f ca="1">IF(ListAndConversion!BQ228="-","",ListAndConversion!BQ228)</f>
        <v/>
      </c>
      <c r="E226" s="577" t="str">
        <f ca="1">IF(ListAndConversion!BR228="-","",ListAndConversion!BR228)</f>
        <v/>
      </c>
    </row>
    <row r="227" spans="1:5" x14ac:dyDescent="0.65">
      <c r="A227" s="554" t="str">
        <f ca="1">IF(ListAndConversion!BN229="-","",ListAndConversion!BN229)</f>
        <v/>
      </c>
      <c r="B227" s="555" t="str">
        <f ca="1">IF(ListAndConversion!BO229="-","",ListAndConversion!BO229)</f>
        <v/>
      </c>
      <c r="C227" s="555" t="str">
        <f ca="1">IF(ListAndConversion!BM229="-","","Pools1")</f>
        <v/>
      </c>
      <c r="D227" s="555" t="str">
        <f ca="1">IF(ListAndConversion!BQ229="-","",ListAndConversion!BQ229)</f>
        <v/>
      </c>
      <c r="E227" s="577" t="str">
        <f ca="1">IF(ListAndConversion!BR229="-","",ListAndConversion!BR229)</f>
        <v/>
      </c>
    </row>
    <row r="228" spans="1:5" x14ac:dyDescent="0.65">
      <c r="A228" s="554" t="str">
        <f ca="1">IF(ListAndConversion!BN230="-","",ListAndConversion!BN230)</f>
        <v/>
      </c>
      <c r="B228" s="555" t="str">
        <f ca="1">IF(ListAndConversion!BO230="-","",ListAndConversion!BO230)</f>
        <v/>
      </c>
      <c r="C228" s="555" t="str">
        <f ca="1">IF(ListAndConversion!BM230="-","","Pools1")</f>
        <v/>
      </c>
      <c r="D228" s="555" t="str">
        <f ca="1">IF(ListAndConversion!BQ230="-","",ListAndConversion!BQ230)</f>
        <v/>
      </c>
      <c r="E228" s="577" t="str">
        <f ca="1">IF(ListAndConversion!BR230="-","",ListAndConversion!BR230)</f>
        <v/>
      </c>
    </row>
    <row r="229" spans="1:5" x14ac:dyDescent="0.65">
      <c r="A229" s="554" t="str">
        <f ca="1">IF(ListAndConversion!BN231="-","",ListAndConversion!BN231)</f>
        <v/>
      </c>
      <c r="B229" s="555" t="str">
        <f ca="1">IF(ListAndConversion!BO231="-","",ListAndConversion!BO231)</f>
        <v/>
      </c>
      <c r="C229" s="555" t="str">
        <f ca="1">IF(ListAndConversion!BM231="-","","Pools1")</f>
        <v/>
      </c>
      <c r="D229" s="555" t="str">
        <f ca="1">IF(ListAndConversion!BQ231="-","",ListAndConversion!BQ231)</f>
        <v/>
      </c>
      <c r="E229" s="577" t="str">
        <f ca="1">IF(ListAndConversion!BR231="-","",ListAndConversion!BR231)</f>
        <v/>
      </c>
    </row>
    <row r="230" spans="1:5" x14ac:dyDescent="0.65">
      <c r="A230" s="554" t="str">
        <f ca="1">IF(ListAndConversion!BN232="-","",ListAndConversion!BN232)</f>
        <v/>
      </c>
      <c r="B230" s="555" t="str">
        <f ca="1">IF(ListAndConversion!BO232="-","",ListAndConversion!BO232)</f>
        <v/>
      </c>
      <c r="C230" s="555" t="str">
        <f ca="1">IF(ListAndConversion!BM232="-","","Pools1")</f>
        <v/>
      </c>
      <c r="D230" s="555" t="str">
        <f ca="1">IF(ListAndConversion!BQ232="-","",ListAndConversion!BQ232)</f>
        <v/>
      </c>
      <c r="E230" s="577" t="str">
        <f ca="1">IF(ListAndConversion!BR232="-","",ListAndConversion!BR232)</f>
        <v/>
      </c>
    </row>
    <row r="231" spans="1:5" x14ac:dyDescent="0.65">
      <c r="A231" s="554" t="str">
        <f ca="1">IF(ListAndConversion!BN233="-","",ListAndConversion!BN233)</f>
        <v/>
      </c>
      <c r="B231" s="555" t="str">
        <f ca="1">IF(ListAndConversion!BO233="-","",ListAndConversion!BO233)</f>
        <v/>
      </c>
      <c r="C231" s="555" t="str">
        <f ca="1">IF(ListAndConversion!BM233="-","","Pools1")</f>
        <v/>
      </c>
      <c r="D231" s="555" t="str">
        <f ca="1">IF(ListAndConversion!BQ233="-","",ListAndConversion!BQ233)</f>
        <v/>
      </c>
      <c r="E231" s="577" t="str">
        <f ca="1">IF(ListAndConversion!BR233="-","",ListAndConversion!BR233)</f>
        <v/>
      </c>
    </row>
    <row r="232" spans="1:5" x14ac:dyDescent="0.65">
      <c r="A232" s="554" t="str">
        <f ca="1">IF(ListAndConversion!BN234="-","",ListAndConversion!BN234)</f>
        <v/>
      </c>
      <c r="B232" s="555" t="str">
        <f ca="1">IF(ListAndConversion!BO234="-","",ListAndConversion!BO234)</f>
        <v/>
      </c>
      <c r="C232" s="555" t="str">
        <f ca="1">IF(ListAndConversion!BM234="-","","Pools1")</f>
        <v/>
      </c>
      <c r="D232" s="555" t="str">
        <f ca="1">IF(ListAndConversion!BQ234="-","",ListAndConversion!BQ234)</f>
        <v/>
      </c>
      <c r="E232" s="577" t="str">
        <f ca="1">IF(ListAndConversion!BR234="-","",ListAndConversion!BR234)</f>
        <v/>
      </c>
    </row>
    <row r="233" spans="1:5" x14ac:dyDescent="0.65">
      <c r="A233" s="554" t="str">
        <f ca="1">IF(ListAndConversion!BN235="-","",ListAndConversion!BN235)</f>
        <v/>
      </c>
      <c r="B233" s="555" t="str">
        <f ca="1">IF(ListAndConversion!BO235="-","",ListAndConversion!BO235)</f>
        <v/>
      </c>
      <c r="C233" s="555" t="str">
        <f ca="1">IF(ListAndConversion!BM235="-","","Pools1")</f>
        <v/>
      </c>
      <c r="D233" s="555" t="str">
        <f ca="1">IF(ListAndConversion!BQ235="-","",ListAndConversion!BQ235)</f>
        <v/>
      </c>
      <c r="E233" s="577" t="str">
        <f ca="1">IF(ListAndConversion!BR235="-","",ListAndConversion!BR235)</f>
        <v/>
      </c>
    </row>
    <row r="234" spans="1:5" x14ac:dyDescent="0.65">
      <c r="A234" s="554" t="str">
        <f ca="1">IF(ListAndConversion!BN236="-","",ListAndConversion!BN236)</f>
        <v/>
      </c>
      <c r="B234" s="555" t="str">
        <f ca="1">IF(ListAndConversion!BO236="-","",ListAndConversion!BO236)</f>
        <v/>
      </c>
      <c r="C234" s="555" t="str">
        <f ca="1">IF(ListAndConversion!BM236="-","","Pools1")</f>
        <v/>
      </c>
      <c r="D234" s="555" t="str">
        <f ca="1">IF(ListAndConversion!BQ236="-","",ListAndConversion!BQ236)</f>
        <v/>
      </c>
      <c r="E234" s="577" t="str">
        <f ca="1">IF(ListAndConversion!BR236="-","",ListAndConversion!BR236)</f>
        <v/>
      </c>
    </row>
    <row r="235" spans="1:5" x14ac:dyDescent="0.65">
      <c r="A235" s="554" t="str">
        <f ca="1">IF(ListAndConversion!BN237="-","",ListAndConversion!BN237)</f>
        <v/>
      </c>
      <c r="B235" s="555" t="str">
        <f ca="1">IF(ListAndConversion!BO237="-","",ListAndConversion!BO237)</f>
        <v/>
      </c>
      <c r="C235" s="555" t="str">
        <f ca="1">IF(ListAndConversion!BM237="-","","Pools1")</f>
        <v/>
      </c>
      <c r="D235" s="555" t="str">
        <f ca="1">IF(ListAndConversion!BQ237="-","",ListAndConversion!BQ237)</f>
        <v/>
      </c>
      <c r="E235" s="577" t="str">
        <f ca="1">IF(ListAndConversion!BR237="-","",ListAndConversion!BR237)</f>
        <v/>
      </c>
    </row>
    <row r="236" spans="1:5" x14ac:dyDescent="0.65">
      <c r="A236" s="554" t="str">
        <f ca="1">IF(ListAndConversion!BN238="-","",ListAndConversion!BN238)</f>
        <v/>
      </c>
      <c r="B236" s="555" t="str">
        <f ca="1">IF(ListAndConversion!BO238="-","",ListAndConversion!BO238)</f>
        <v/>
      </c>
      <c r="C236" s="555" t="str">
        <f ca="1">IF(ListAndConversion!BM238="-","","Pools1")</f>
        <v/>
      </c>
      <c r="D236" s="555" t="str">
        <f ca="1">IF(ListAndConversion!BQ238="-","",ListAndConversion!BQ238)</f>
        <v/>
      </c>
      <c r="E236" s="577" t="str">
        <f ca="1">IF(ListAndConversion!BR238="-","",ListAndConversion!BR238)</f>
        <v/>
      </c>
    </row>
    <row r="237" spans="1:5" x14ac:dyDescent="0.65">
      <c r="A237" s="554" t="str">
        <f ca="1">IF(ListAndConversion!BN239="-","",ListAndConversion!BN239)</f>
        <v/>
      </c>
      <c r="B237" s="555" t="str">
        <f ca="1">IF(ListAndConversion!BO239="-","",ListAndConversion!BO239)</f>
        <v/>
      </c>
      <c r="C237" s="555" t="str">
        <f ca="1">IF(ListAndConversion!BM239="-","","Pools1")</f>
        <v/>
      </c>
      <c r="D237" s="555" t="str">
        <f ca="1">IF(ListAndConversion!BQ239="-","",ListAndConversion!BQ239)</f>
        <v/>
      </c>
      <c r="E237" s="577" t="str">
        <f ca="1">IF(ListAndConversion!BR239="-","",ListAndConversion!BR239)</f>
        <v/>
      </c>
    </row>
    <row r="238" spans="1:5" x14ac:dyDescent="0.65">
      <c r="A238" s="554" t="str">
        <f ca="1">IF(ListAndConversion!BN240="-","",ListAndConversion!BN240)</f>
        <v/>
      </c>
      <c r="B238" s="555" t="str">
        <f ca="1">IF(ListAndConversion!BO240="-","",ListAndConversion!BO240)</f>
        <v/>
      </c>
      <c r="C238" s="555" t="str">
        <f ca="1">IF(ListAndConversion!BM240="-","","Pools1")</f>
        <v/>
      </c>
      <c r="D238" s="555" t="str">
        <f ca="1">IF(ListAndConversion!BQ240="-","",ListAndConversion!BQ240)</f>
        <v/>
      </c>
      <c r="E238" s="577" t="str">
        <f ca="1">IF(ListAndConversion!BR240="-","",ListAndConversion!BR240)</f>
        <v/>
      </c>
    </row>
    <row r="239" spans="1:5" x14ac:dyDescent="0.65">
      <c r="A239" s="554" t="str">
        <f ca="1">IF(ListAndConversion!BN241="-","",ListAndConversion!BN241)</f>
        <v/>
      </c>
      <c r="B239" s="555" t="str">
        <f ca="1">IF(ListAndConversion!BO241="-","",ListAndConversion!BO241)</f>
        <v/>
      </c>
      <c r="C239" s="555" t="str">
        <f ca="1">IF(ListAndConversion!BM241="-","","Pools1")</f>
        <v/>
      </c>
      <c r="D239" s="555" t="str">
        <f ca="1">IF(ListAndConversion!BQ241="-","",ListAndConversion!BQ241)</f>
        <v/>
      </c>
      <c r="E239" s="577" t="str">
        <f ca="1">IF(ListAndConversion!BR241="-","",ListAndConversion!BR241)</f>
        <v/>
      </c>
    </row>
    <row r="240" spans="1:5" x14ac:dyDescent="0.65">
      <c r="A240" s="554" t="str">
        <f ca="1">IF(ListAndConversion!BN242="-","",ListAndConversion!BN242)</f>
        <v/>
      </c>
      <c r="B240" s="555" t="str">
        <f ca="1">IF(ListAndConversion!BO242="-","",ListAndConversion!BO242)</f>
        <v/>
      </c>
      <c r="C240" s="555" t="str">
        <f ca="1">IF(ListAndConversion!BM242="-","","Pools1")</f>
        <v/>
      </c>
      <c r="D240" s="555" t="str">
        <f ca="1">IF(ListAndConversion!BQ242="-","",ListAndConversion!BQ242)</f>
        <v/>
      </c>
      <c r="E240" s="577" t="str">
        <f ca="1">IF(ListAndConversion!BR242="-","",ListAndConversion!BR242)</f>
        <v/>
      </c>
    </row>
    <row r="241" spans="1:5" x14ac:dyDescent="0.65">
      <c r="A241" s="554" t="str">
        <f ca="1">IF(ListAndConversion!BN243="-","",ListAndConversion!BN243)</f>
        <v/>
      </c>
      <c r="B241" s="555" t="str">
        <f ca="1">IF(ListAndConversion!BO243="-","",ListAndConversion!BO243)</f>
        <v/>
      </c>
      <c r="C241" s="555" t="str">
        <f ca="1">IF(ListAndConversion!BM243="-","","Pools1")</f>
        <v/>
      </c>
      <c r="D241" s="555" t="str">
        <f ca="1">IF(ListAndConversion!BQ243="-","",ListAndConversion!BQ243)</f>
        <v/>
      </c>
      <c r="E241" s="577" t="str">
        <f ca="1">IF(ListAndConversion!BR243="-","",ListAndConversion!BR243)</f>
        <v/>
      </c>
    </row>
    <row r="242" spans="1:5" x14ac:dyDescent="0.65">
      <c r="A242" s="554" t="str">
        <f ca="1">IF(ListAndConversion!BN244="-","",ListAndConversion!BN244)</f>
        <v/>
      </c>
      <c r="B242" s="555" t="str">
        <f ca="1">IF(ListAndConversion!BO244="-","",ListAndConversion!BO244)</f>
        <v/>
      </c>
      <c r="C242" s="555" t="str">
        <f ca="1">IF(ListAndConversion!BM244="-","","Pools1")</f>
        <v/>
      </c>
      <c r="D242" s="555" t="str">
        <f ca="1">IF(ListAndConversion!BQ244="-","",ListAndConversion!BQ244)</f>
        <v/>
      </c>
      <c r="E242" s="577" t="str">
        <f ca="1">IF(ListAndConversion!BR244="-","",ListAndConversion!BR244)</f>
        <v/>
      </c>
    </row>
    <row r="243" spans="1:5" x14ac:dyDescent="0.65">
      <c r="A243" s="554" t="str">
        <f ca="1">IF(ListAndConversion!BN245="-","",ListAndConversion!BN245)</f>
        <v/>
      </c>
      <c r="B243" s="555" t="str">
        <f ca="1">IF(ListAndConversion!BO245="-","",ListAndConversion!BO245)</f>
        <v/>
      </c>
      <c r="C243" s="555" t="str">
        <f ca="1">IF(ListAndConversion!BM245="-","","Pools1")</f>
        <v/>
      </c>
      <c r="D243" s="555" t="str">
        <f ca="1">IF(ListAndConversion!BQ245="-","",ListAndConversion!BQ245)</f>
        <v/>
      </c>
      <c r="E243" s="577" t="str">
        <f ca="1">IF(ListAndConversion!BR245="-","",ListAndConversion!BR245)</f>
        <v/>
      </c>
    </row>
    <row r="244" spans="1:5" x14ac:dyDescent="0.65">
      <c r="A244" s="554" t="str">
        <f ca="1">IF(ListAndConversion!BN246="-","",ListAndConversion!BN246)</f>
        <v/>
      </c>
      <c r="B244" s="555" t="str">
        <f ca="1">IF(ListAndConversion!BO246="-","",ListAndConversion!BO246)</f>
        <v/>
      </c>
      <c r="C244" s="555" t="str">
        <f ca="1">IF(ListAndConversion!BM246="-","","Pools1")</f>
        <v/>
      </c>
      <c r="D244" s="555" t="str">
        <f ca="1">IF(ListAndConversion!BQ246="-","",ListAndConversion!BQ246)</f>
        <v/>
      </c>
      <c r="E244" s="577" t="str">
        <f ca="1">IF(ListAndConversion!BR246="-","",ListAndConversion!BR246)</f>
        <v/>
      </c>
    </row>
    <row r="245" spans="1:5" x14ac:dyDescent="0.65">
      <c r="A245" s="554" t="str">
        <f ca="1">IF(ListAndConversion!BN247="-","",ListAndConversion!BN247)</f>
        <v/>
      </c>
      <c r="B245" s="555" t="str">
        <f ca="1">IF(ListAndConversion!BO247="-","",ListAndConversion!BO247)</f>
        <v/>
      </c>
      <c r="C245" s="555" t="str">
        <f ca="1">IF(ListAndConversion!BM247="-","","Pools1")</f>
        <v/>
      </c>
      <c r="D245" s="555" t="str">
        <f ca="1">IF(ListAndConversion!BQ247="-","",ListAndConversion!BQ247)</f>
        <v/>
      </c>
      <c r="E245" s="577" t="str">
        <f ca="1">IF(ListAndConversion!BR247="-","",ListAndConversion!BR247)</f>
        <v/>
      </c>
    </row>
    <row r="246" spans="1:5" x14ac:dyDescent="0.65">
      <c r="A246" s="554" t="str">
        <f ca="1">IF(ListAndConversion!BN248="-","",ListAndConversion!BN248)</f>
        <v/>
      </c>
      <c r="B246" s="555" t="str">
        <f ca="1">IF(ListAndConversion!BO248="-","",ListAndConversion!BO248)</f>
        <v/>
      </c>
      <c r="C246" s="555" t="str">
        <f ca="1">IF(ListAndConversion!BM248="-","","Pools1")</f>
        <v/>
      </c>
      <c r="D246" s="555" t="str">
        <f ca="1">IF(ListAndConversion!BQ248="-","",ListAndConversion!BQ248)</f>
        <v/>
      </c>
      <c r="E246" s="577" t="str">
        <f ca="1">IF(ListAndConversion!BR248="-","",ListAndConversion!BR248)</f>
        <v/>
      </c>
    </row>
    <row r="247" spans="1:5" x14ac:dyDescent="0.65">
      <c r="A247" s="554" t="str">
        <f ca="1">IF(ListAndConversion!BN249="-","",ListAndConversion!BN249)</f>
        <v/>
      </c>
      <c r="B247" s="555" t="str">
        <f ca="1">IF(ListAndConversion!BO249="-","",ListAndConversion!BO249)</f>
        <v/>
      </c>
      <c r="C247" s="555" t="str">
        <f ca="1">IF(ListAndConversion!BM249="-","","Pools1")</f>
        <v/>
      </c>
      <c r="D247" s="555" t="str">
        <f ca="1">IF(ListAndConversion!BQ249="-","",ListAndConversion!BQ249)</f>
        <v/>
      </c>
      <c r="E247" s="577" t="str">
        <f ca="1">IF(ListAndConversion!BR249="-","",ListAndConversion!BR249)</f>
        <v/>
      </c>
    </row>
    <row r="248" spans="1:5" x14ac:dyDescent="0.65">
      <c r="A248" s="554" t="str">
        <f ca="1">IF(ListAndConversion!BN250="-","",ListAndConversion!BN250)</f>
        <v/>
      </c>
      <c r="B248" s="555" t="str">
        <f ca="1">IF(ListAndConversion!BO250="-","",ListAndConversion!BO250)</f>
        <v/>
      </c>
      <c r="C248" s="555" t="str">
        <f ca="1">IF(ListAndConversion!BM250="-","","Pools1")</f>
        <v/>
      </c>
      <c r="D248" s="555" t="str">
        <f ca="1">IF(ListAndConversion!BQ250="-","",ListAndConversion!BQ250)</f>
        <v/>
      </c>
      <c r="E248" s="577" t="str">
        <f ca="1">IF(ListAndConversion!BR250="-","",ListAndConversion!BR250)</f>
        <v/>
      </c>
    </row>
    <row r="249" spans="1:5" x14ac:dyDescent="0.65">
      <c r="A249" s="554" t="str">
        <f ca="1">IF(ListAndConversion!BN251="-","",ListAndConversion!BN251)</f>
        <v/>
      </c>
      <c r="B249" s="555" t="str">
        <f ca="1">IF(ListAndConversion!BO251="-","",ListAndConversion!BO251)</f>
        <v/>
      </c>
      <c r="C249" s="555" t="str">
        <f ca="1">IF(ListAndConversion!BM251="-","","Pools1")</f>
        <v/>
      </c>
      <c r="D249" s="555" t="str">
        <f ca="1">IF(ListAndConversion!BQ251="-","",ListAndConversion!BQ251)</f>
        <v/>
      </c>
      <c r="E249" s="577" t="str">
        <f ca="1">IF(ListAndConversion!BR251="-","",ListAndConversion!BR251)</f>
        <v/>
      </c>
    </row>
    <row r="250" spans="1:5" x14ac:dyDescent="0.65">
      <c r="A250" s="554" t="str">
        <f ca="1">IF(ListAndConversion!BN252="-","",ListAndConversion!BN252)</f>
        <v/>
      </c>
      <c r="B250" s="555" t="str">
        <f ca="1">IF(ListAndConversion!BO252="-","",ListAndConversion!BO252)</f>
        <v/>
      </c>
      <c r="C250" s="555" t="str">
        <f ca="1">IF(ListAndConversion!BM252="-","","Pools1")</f>
        <v/>
      </c>
      <c r="D250" s="555" t="str">
        <f ca="1">IF(ListAndConversion!BQ252="-","",ListAndConversion!BQ252)</f>
        <v/>
      </c>
      <c r="E250" s="577" t="str">
        <f ca="1">IF(ListAndConversion!BR252="-","",ListAndConversion!BR252)</f>
        <v/>
      </c>
    </row>
    <row r="251" spans="1:5" x14ac:dyDescent="0.65">
      <c r="A251" s="554" t="str">
        <f ca="1">IF(ListAndConversion!BN253="-","",ListAndConversion!BN253)</f>
        <v/>
      </c>
      <c r="B251" s="555" t="str">
        <f ca="1">IF(ListAndConversion!BO253="-","",ListAndConversion!BO253)</f>
        <v/>
      </c>
      <c r="C251" s="555" t="str">
        <f ca="1">IF(ListAndConversion!BM253="-","","Pools1")</f>
        <v/>
      </c>
      <c r="D251" s="555" t="str">
        <f ca="1">IF(ListAndConversion!BQ253="-","",ListAndConversion!BQ253)</f>
        <v/>
      </c>
      <c r="E251" s="577" t="str">
        <f ca="1">IF(ListAndConversion!BR253="-","",ListAndConversion!BR253)</f>
        <v/>
      </c>
    </row>
    <row r="252" spans="1:5" x14ac:dyDescent="0.65">
      <c r="A252" s="554" t="str">
        <f ca="1">IF(ListAndConversion!BN254="-","",ListAndConversion!BN254)</f>
        <v/>
      </c>
      <c r="B252" s="555" t="str">
        <f ca="1">IF(ListAndConversion!BO254="-","",ListAndConversion!BO254)</f>
        <v/>
      </c>
      <c r="C252" s="555" t="str">
        <f ca="1">IF(ListAndConversion!BM254="-","","Pools1")</f>
        <v/>
      </c>
      <c r="D252" s="555" t="str">
        <f ca="1">IF(ListAndConversion!BQ254="-","",ListAndConversion!BQ254)</f>
        <v/>
      </c>
      <c r="E252" s="577" t="str">
        <f ca="1">IF(ListAndConversion!BR254="-","",ListAndConversion!BR254)</f>
        <v/>
      </c>
    </row>
    <row r="253" spans="1:5" x14ac:dyDescent="0.65">
      <c r="A253" s="554" t="str">
        <f ca="1">IF(ListAndConversion!BN255="-","",ListAndConversion!BN255)</f>
        <v/>
      </c>
      <c r="B253" s="555" t="str">
        <f ca="1">IF(ListAndConversion!BO255="-","",ListAndConversion!BO255)</f>
        <v/>
      </c>
      <c r="C253" s="555" t="str">
        <f ca="1">IF(ListAndConversion!BM255="-","","Pools1")</f>
        <v/>
      </c>
      <c r="D253" s="555" t="str">
        <f ca="1">IF(ListAndConversion!BQ255="-","",ListAndConversion!BQ255)</f>
        <v/>
      </c>
      <c r="E253" s="577" t="str">
        <f ca="1">IF(ListAndConversion!BR255="-","",ListAndConversion!BR255)</f>
        <v/>
      </c>
    </row>
    <row r="254" spans="1:5" x14ac:dyDescent="0.65">
      <c r="A254" s="554" t="str">
        <f ca="1">IF(ListAndConversion!BN256="-","",ListAndConversion!BN256)</f>
        <v/>
      </c>
      <c r="B254" s="555" t="str">
        <f ca="1">IF(ListAndConversion!BO256="-","",ListAndConversion!BO256)</f>
        <v/>
      </c>
      <c r="C254" s="555" t="str">
        <f ca="1">IF(ListAndConversion!BM256="-","","Pools1")</f>
        <v/>
      </c>
      <c r="D254" s="555" t="str">
        <f ca="1">IF(ListAndConversion!BQ256="-","",ListAndConversion!BQ256)</f>
        <v/>
      </c>
      <c r="E254" s="577" t="str">
        <f ca="1">IF(ListAndConversion!BR256="-","",ListAndConversion!BR256)</f>
        <v/>
      </c>
    </row>
    <row r="255" spans="1:5" x14ac:dyDescent="0.65">
      <c r="A255" s="554" t="str">
        <f ca="1">IF(ListAndConversion!BN257="-","",ListAndConversion!BN257)</f>
        <v/>
      </c>
      <c r="B255" s="555" t="str">
        <f ca="1">IF(ListAndConversion!BO257="-","",ListAndConversion!BO257)</f>
        <v/>
      </c>
      <c r="C255" s="555" t="str">
        <f ca="1">IF(ListAndConversion!BM257="-","","Pools1")</f>
        <v/>
      </c>
      <c r="D255" s="555" t="str">
        <f ca="1">IF(ListAndConversion!BQ257="-","",ListAndConversion!BQ257)</f>
        <v/>
      </c>
      <c r="E255" s="577" t="str">
        <f ca="1">IF(ListAndConversion!BR257="-","",ListAndConversion!BR257)</f>
        <v/>
      </c>
    </row>
    <row r="256" spans="1:5" x14ac:dyDescent="0.65">
      <c r="A256" s="554" t="str">
        <f ca="1">IF(ListAndConversion!BN258="-","",ListAndConversion!BN258)</f>
        <v/>
      </c>
      <c r="B256" s="555" t="str">
        <f ca="1">IF(ListAndConversion!BO258="-","",ListAndConversion!BO258)</f>
        <v/>
      </c>
      <c r="C256" s="555" t="str">
        <f ca="1">IF(ListAndConversion!BM258="-","","Pools1")</f>
        <v/>
      </c>
      <c r="D256" s="555" t="str">
        <f ca="1">IF(ListAndConversion!BQ258="-","",ListAndConversion!BQ258)</f>
        <v/>
      </c>
      <c r="E256" s="577" t="str">
        <f ca="1">IF(ListAndConversion!BR258="-","",ListAndConversion!BR258)</f>
        <v/>
      </c>
    </row>
    <row r="257" spans="1:5" x14ac:dyDescent="0.65">
      <c r="A257" s="554" t="str">
        <f ca="1">IF(ListAndConversion!BN259="-","",ListAndConversion!BN259)</f>
        <v/>
      </c>
      <c r="B257" s="555" t="str">
        <f ca="1">IF(ListAndConversion!BO259="-","",ListAndConversion!BO259)</f>
        <v/>
      </c>
      <c r="C257" s="555" t="str">
        <f ca="1">IF(ListAndConversion!BM259="-","","Pools1")</f>
        <v/>
      </c>
      <c r="D257" s="555" t="str">
        <f ca="1">IF(ListAndConversion!BQ259="-","",ListAndConversion!BQ259)</f>
        <v/>
      </c>
      <c r="E257" s="577" t="str">
        <f ca="1">IF(ListAndConversion!BR259="-","",ListAndConversion!BR259)</f>
        <v/>
      </c>
    </row>
    <row r="258" spans="1:5" x14ac:dyDescent="0.65">
      <c r="A258" s="554" t="str">
        <f ca="1">IF(ListAndConversion!BN260="-","",ListAndConversion!BN260)</f>
        <v/>
      </c>
      <c r="B258" s="555" t="str">
        <f ca="1">IF(ListAndConversion!BO260="-","",ListAndConversion!BO260)</f>
        <v/>
      </c>
      <c r="C258" s="555" t="str">
        <f ca="1">IF(ListAndConversion!BM260="-","","Pools1")</f>
        <v/>
      </c>
      <c r="D258" s="555" t="str">
        <f ca="1">IF(ListAndConversion!BQ260="-","",ListAndConversion!BQ260)</f>
        <v/>
      </c>
      <c r="E258" s="577" t="str">
        <f ca="1">IF(ListAndConversion!BR260="-","",ListAndConversion!BR260)</f>
        <v/>
      </c>
    </row>
    <row r="259" spans="1:5" x14ac:dyDescent="0.65">
      <c r="A259" s="554" t="str">
        <f ca="1">IF(ListAndConversion!BN261="-","",ListAndConversion!BN261)</f>
        <v/>
      </c>
      <c r="B259" s="555" t="str">
        <f ca="1">IF(ListAndConversion!BO261="-","",ListAndConversion!BO261)</f>
        <v/>
      </c>
      <c r="C259" s="555" t="str">
        <f ca="1">IF(ListAndConversion!BM261="-","","Pools1")</f>
        <v/>
      </c>
      <c r="D259" s="555" t="str">
        <f ca="1">IF(ListAndConversion!BQ261="-","",ListAndConversion!BQ261)</f>
        <v/>
      </c>
      <c r="E259" s="577" t="str">
        <f ca="1">IF(ListAndConversion!BR261="-","",ListAndConversion!BR261)</f>
        <v/>
      </c>
    </row>
    <row r="260" spans="1:5" x14ac:dyDescent="0.65">
      <c r="A260" s="554" t="str">
        <f ca="1">IF(ListAndConversion!BN262="-","",ListAndConversion!BN262)</f>
        <v/>
      </c>
      <c r="B260" s="555" t="str">
        <f ca="1">IF(ListAndConversion!BO262="-","",ListAndConversion!BO262)</f>
        <v/>
      </c>
      <c r="C260" s="555" t="str">
        <f ca="1">IF(ListAndConversion!BM262="-","","Pools1")</f>
        <v/>
      </c>
      <c r="D260" s="555" t="str">
        <f ca="1">IF(ListAndConversion!BQ262="-","",ListAndConversion!BQ262)</f>
        <v/>
      </c>
      <c r="E260" s="577" t="str">
        <f ca="1">IF(ListAndConversion!BR262="-","",ListAndConversion!BR262)</f>
        <v/>
      </c>
    </row>
    <row r="261" spans="1:5" x14ac:dyDescent="0.65">
      <c r="A261" s="554" t="str">
        <f ca="1">IF(ListAndConversion!BN263="-","",ListAndConversion!BN263)</f>
        <v/>
      </c>
      <c r="B261" s="555" t="str">
        <f ca="1">IF(ListAndConversion!BO263="-","",ListAndConversion!BO263)</f>
        <v/>
      </c>
      <c r="C261" s="555" t="str">
        <f ca="1">IF(ListAndConversion!BM263="-","","Pools1")</f>
        <v/>
      </c>
      <c r="D261" s="555" t="str">
        <f ca="1">IF(ListAndConversion!BQ263="-","",ListAndConversion!BQ263)</f>
        <v/>
      </c>
      <c r="E261" s="577" t="str">
        <f ca="1">IF(ListAndConversion!BR263="-","",ListAndConversion!BR263)</f>
        <v/>
      </c>
    </row>
    <row r="262" spans="1:5" x14ac:dyDescent="0.65">
      <c r="A262" s="554" t="str">
        <f ca="1">IF(ListAndConversion!BN264="-","",ListAndConversion!BN264)</f>
        <v/>
      </c>
      <c r="B262" s="555" t="str">
        <f ca="1">IF(ListAndConversion!BO264="-","",ListAndConversion!BO264)</f>
        <v/>
      </c>
      <c r="C262" s="555" t="str">
        <f ca="1">IF(ListAndConversion!BM264="-","","Pools1")</f>
        <v/>
      </c>
      <c r="D262" s="555" t="str">
        <f ca="1">IF(ListAndConversion!BQ264="-","",ListAndConversion!BQ264)</f>
        <v/>
      </c>
      <c r="E262" s="577" t="str">
        <f ca="1">IF(ListAndConversion!BR264="-","",ListAndConversion!BR264)</f>
        <v/>
      </c>
    </row>
    <row r="263" spans="1:5" x14ac:dyDescent="0.65">
      <c r="A263" s="554" t="str">
        <f ca="1">IF(ListAndConversion!BN265="-","",ListAndConversion!BN265)</f>
        <v/>
      </c>
      <c r="B263" s="555" t="str">
        <f ca="1">IF(ListAndConversion!BO265="-","",ListAndConversion!BO265)</f>
        <v/>
      </c>
      <c r="C263" s="555" t="str">
        <f ca="1">IF(ListAndConversion!BM265="-","","Pools1")</f>
        <v/>
      </c>
      <c r="D263" s="555" t="str">
        <f ca="1">IF(ListAndConversion!BQ265="-","",ListAndConversion!BQ265)</f>
        <v/>
      </c>
      <c r="E263" s="577" t="str">
        <f ca="1">IF(ListAndConversion!BR265="-","",ListAndConversion!BR265)</f>
        <v/>
      </c>
    </row>
    <row r="264" spans="1:5" x14ac:dyDescent="0.65">
      <c r="A264" s="554" t="str">
        <f ca="1">IF(ListAndConversion!BN266="-","",ListAndConversion!BN266)</f>
        <v/>
      </c>
      <c r="B264" s="555" t="str">
        <f ca="1">IF(ListAndConversion!BO266="-","",ListAndConversion!BO266)</f>
        <v/>
      </c>
      <c r="C264" s="555" t="str">
        <f ca="1">IF(ListAndConversion!BM266="-","","Pools1")</f>
        <v/>
      </c>
      <c r="D264" s="555" t="str">
        <f ca="1">IF(ListAndConversion!BQ266="-","",ListAndConversion!BQ266)</f>
        <v/>
      </c>
      <c r="E264" s="577" t="str">
        <f ca="1">IF(ListAndConversion!BR266="-","",ListAndConversion!BR266)</f>
        <v/>
      </c>
    </row>
    <row r="265" spans="1:5" x14ac:dyDescent="0.65">
      <c r="A265" s="554" t="str">
        <f ca="1">IF(ListAndConversion!BN267="-","",ListAndConversion!BN267)</f>
        <v/>
      </c>
      <c r="B265" s="555" t="str">
        <f ca="1">IF(ListAndConversion!BO267="-","",ListAndConversion!BO267)</f>
        <v/>
      </c>
      <c r="C265" s="555" t="str">
        <f ca="1">IF(ListAndConversion!BM267="-","","Pools1")</f>
        <v/>
      </c>
      <c r="D265" s="555" t="str">
        <f ca="1">IF(ListAndConversion!BQ267="-","",ListAndConversion!BQ267)</f>
        <v/>
      </c>
      <c r="E265" s="577" t="str">
        <f ca="1">IF(ListAndConversion!BR267="-","",ListAndConversion!BR267)</f>
        <v/>
      </c>
    </row>
    <row r="266" spans="1:5" x14ac:dyDescent="0.65">
      <c r="A266" s="554" t="str">
        <f ca="1">IF(ListAndConversion!BN268="-","",ListAndConversion!BN268)</f>
        <v/>
      </c>
      <c r="B266" s="555" t="str">
        <f ca="1">IF(ListAndConversion!BO268="-","",ListAndConversion!BO268)</f>
        <v/>
      </c>
      <c r="C266" s="555" t="str">
        <f ca="1">IF(ListAndConversion!BM268="-","","Pools1")</f>
        <v/>
      </c>
      <c r="D266" s="555" t="str">
        <f ca="1">IF(ListAndConversion!BQ268="-","",ListAndConversion!BQ268)</f>
        <v/>
      </c>
      <c r="E266" s="577" t="str">
        <f ca="1">IF(ListAndConversion!BR268="-","",ListAndConversion!BR268)</f>
        <v/>
      </c>
    </row>
    <row r="267" spans="1:5" x14ac:dyDescent="0.65">
      <c r="A267" s="554" t="str">
        <f ca="1">IF(ListAndConversion!BN269="-","",ListAndConversion!BN269)</f>
        <v/>
      </c>
      <c r="B267" s="555" t="str">
        <f ca="1">IF(ListAndConversion!BO269="-","",ListAndConversion!BO269)</f>
        <v/>
      </c>
      <c r="C267" s="555" t="str">
        <f ca="1">IF(ListAndConversion!BM269="-","","Pools1")</f>
        <v/>
      </c>
      <c r="D267" s="555" t="str">
        <f ca="1">IF(ListAndConversion!BQ269="-","",ListAndConversion!BQ269)</f>
        <v/>
      </c>
      <c r="E267" s="577" t="str">
        <f ca="1">IF(ListAndConversion!BR269="-","",ListAndConversion!BR269)</f>
        <v/>
      </c>
    </row>
    <row r="268" spans="1:5" x14ac:dyDescent="0.65">
      <c r="A268" s="554" t="str">
        <f ca="1">IF(ListAndConversion!BN270="-","",ListAndConversion!BN270)</f>
        <v/>
      </c>
      <c r="B268" s="555" t="str">
        <f ca="1">IF(ListAndConversion!BO270="-","",ListAndConversion!BO270)</f>
        <v/>
      </c>
      <c r="C268" s="555" t="str">
        <f ca="1">IF(ListAndConversion!BM270="-","","Pools1")</f>
        <v/>
      </c>
      <c r="D268" s="555" t="str">
        <f ca="1">IF(ListAndConversion!BQ270="-","",ListAndConversion!BQ270)</f>
        <v/>
      </c>
      <c r="E268" s="577" t="str">
        <f ca="1">IF(ListAndConversion!BR270="-","",ListAndConversion!BR270)</f>
        <v/>
      </c>
    </row>
    <row r="269" spans="1:5" x14ac:dyDescent="0.65">
      <c r="A269" s="554" t="str">
        <f ca="1">IF(ListAndConversion!BN271="-","",ListAndConversion!BN271)</f>
        <v/>
      </c>
      <c r="B269" s="555" t="str">
        <f ca="1">IF(ListAndConversion!BO271="-","",ListAndConversion!BO271)</f>
        <v/>
      </c>
      <c r="C269" s="555" t="str">
        <f ca="1">IF(ListAndConversion!BM271="-","","Pools1")</f>
        <v/>
      </c>
      <c r="D269" s="555" t="str">
        <f ca="1">IF(ListAndConversion!BQ271="-","",ListAndConversion!BQ271)</f>
        <v/>
      </c>
      <c r="E269" s="577" t="str">
        <f ca="1">IF(ListAndConversion!BR271="-","",ListAndConversion!BR271)</f>
        <v/>
      </c>
    </row>
    <row r="270" spans="1:5" x14ac:dyDescent="0.65">
      <c r="A270" s="554" t="str">
        <f ca="1">IF(ListAndConversion!BN272="-","",ListAndConversion!BN272)</f>
        <v/>
      </c>
      <c r="B270" s="555" t="str">
        <f ca="1">IF(ListAndConversion!BO272="-","",ListAndConversion!BO272)</f>
        <v/>
      </c>
      <c r="C270" s="555" t="str">
        <f ca="1">IF(ListAndConversion!BM272="-","","Pools1")</f>
        <v/>
      </c>
      <c r="D270" s="555" t="str">
        <f ca="1">IF(ListAndConversion!BQ272="-","",ListAndConversion!BQ272)</f>
        <v/>
      </c>
      <c r="E270" s="577" t="str">
        <f ca="1">IF(ListAndConversion!BR272="-","",ListAndConversion!BR272)</f>
        <v/>
      </c>
    </row>
    <row r="271" spans="1:5" x14ac:dyDescent="0.65">
      <c r="A271" s="554" t="str">
        <f ca="1">IF(ListAndConversion!BN273="-","",ListAndConversion!BN273)</f>
        <v/>
      </c>
      <c r="B271" s="555" t="str">
        <f ca="1">IF(ListAndConversion!BO273="-","",ListAndConversion!BO273)</f>
        <v/>
      </c>
      <c r="C271" s="555" t="str">
        <f ca="1">IF(ListAndConversion!BM273="-","","Pools1")</f>
        <v/>
      </c>
      <c r="D271" s="555" t="str">
        <f ca="1">IF(ListAndConversion!BQ273="-","",ListAndConversion!BQ273)</f>
        <v/>
      </c>
      <c r="E271" s="577" t="str">
        <f ca="1">IF(ListAndConversion!BR273="-","",ListAndConversion!BR273)</f>
        <v/>
      </c>
    </row>
    <row r="272" spans="1:5" x14ac:dyDescent="0.65">
      <c r="A272" s="554" t="str">
        <f ca="1">IF(ListAndConversion!BN274="-","",ListAndConversion!BN274)</f>
        <v/>
      </c>
      <c r="B272" s="555" t="str">
        <f ca="1">IF(ListAndConversion!BO274="-","",ListAndConversion!BO274)</f>
        <v/>
      </c>
      <c r="C272" s="555" t="str">
        <f ca="1">IF(ListAndConversion!BM274="-","","Pools1")</f>
        <v/>
      </c>
      <c r="D272" s="555" t="str">
        <f ca="1">IF(ListAndConversion!BQ274="-","",ListAndConversion!BQ274)</f>
        <v/>
      </c>
      <c r="E272" s="577" t="str">
        <f ca="1">IF(ListAndConversion!BR274="-","",ListAndConversion!BR274)</f>
        <v/>
      </c>
    </row>
    <row r="273" spans="1:5" x14ac:dyDescent="0.65">
      <c r="A273" s="554" t="str">
        <f ca="1">IF(ListAndConversion!BN275="-","",ListAndConversion!BN275)</f>
        <v/>
      </c>
      <c r="B273" s="555" t="str">
        <f ca="1">IF(ListAndConversion!BO275="-","",ListAndConversion!BO275)</f>
        <v/>
      </c>
      <c r="C273" s="555" t="str">
        <f ca="1">IF(ListAndConversion!BM275="-","","Pools1")</f>
        <v/>
      </c>
      <c r="D273" s="555" t="str">
        <f ca="1">IF(ListAndConversion!BQ275="-","",ListAndConversion!BQ275)</f>
        <v/>
      </c>
      <c r="E273" s="577" t="str">
        <f ca="1">IF(ListAndConversion!BR275="-","",ListAndConversion!BR275)</f>
        <v/>
      </c>
    </row>
    <row r="274" spans="1:5" x14ac:dyDescent="0.65">
      <c r="A274" s="554" t="str">
        <f ca="1">IF(ListAndConversion!BN276="-","",ListAndConversion!BN276)</f>
        <v/>
      </c>
      <c r="B274" s="555" t="str">
        <f ca="1">IF(ListAndConversion!BO276="-","",ListAndConversion!BO276)</f>
        <v/>
      </c>
      <c r="C274" s="555" t="str">
        <f ca="1">IF(ListAndConversion!BM276="-","","Pools1")</f>
        <v/>
      </c>
      <c r="D274" s="555" t="str">
        <f ca="1">IF(ListAndConversion!BQ276="-","",ListAndConversion!BQ276)</f>
        <v/>
      </c>
      <c r="E274" s="577" t="str">
        <f ca="1">IF(ListAndConversion!BR276="-","",ListAndConversion!BR276)</f>
        <v/>
      </c>
    </row>
    <row r="275" spans="1:5" x14ac:dyDescent="0.65">
      <c r="A275" s="554" t="str">
        <f ca="1">IF(ListAndConversion!BN277="-","",ListAndConversion!BN277)</f>
        <v/>
      </c>
      <c r="B275" s="555" t="str">
        <f ca="1">IF(ListAndConversion!BO277="-","",ListAndConversion!BO277)</f>
        <v/>
      </c>
      <c r="C275" s="555" t="str">
        <f ca="1">IF(ListAndConversion!BM277="-","","Pools1")</f>
        <v/>
      </c>
      <c r="D275" s="555" t="str">
        <f ca="1">IF(ListAndConversion!BQ277="-","",ListAndConversion!BQ277)</f>
        <v/>
      </c>
      <c r="E275" s="577" t="str">
        <f ca="1">IF(ListAndConversion!BR277="-","",ListAndConversion!BR277)</f>
        <v/>
      </c>
    </row>
    <row r="276" spans="1:5" x14ac:dyDescent="0.65">
      <c r="A276" s="554" t="str">
        <f ca="1">IF(ListAndConversion!BN278="-","",ListAndConversion!BN278)</f>
        <v/>
      </c>
      <c r="B276" s="555" t="str">
        <f ca="1">IF(ListAndConversion!BO278="-","",ListAndConversion!BO278)</f>
        <v/>
      </c>
      <c r="C276" s="555" t="str">
        <f ca="1">IF(ListAndConversion!BM278="-","","Pools1")</f>
        <v/>
      </c>
      <c r="D276" s="555" t="str">
        <f ca="1">IF(ListAndConversion!BQ278="-","",ListAndConversion!BQ278)</f>
        <v/>
      </c>
      <c r="E276" s="577" t="str">
        <f ca="1">IF(ListAndConversion!BR278="-","",ListAndConversion!BR278)</f>
        <v/>
      </c>
    </row>
    <row r="277" spans="1:5" x14ac:dyDescent="0.65">
      <c r="A277" s="554" t="str">
        <f ca="1">IF(ListAndConversion!BN279="-","",ListAndConversion!BN279)</f>
        <v/>
      </c>
      <c r="B277" s="555" t="str">
        <f ca="1">IF(ListAndConversion!BO279="-","",ListAndConversion!BO279)</f>
        <v/>
      </c>
      <c r="C277" s="555" t="str">
        <f ca="1">IF(ListAndConversion!BM279="-","","Pools1")</f>
        <v/>
      </c>
      <c r="D277" s="555" t="str">
        <f ca="1">IF(ListAndConversion!BQ279="-","",ListAndConversion!BQ279)</f>
        <v/>
      </c>
      <c r="E277" s="577" t="str">
        <f ca="1">IF(ListAndConversion!BR279="-","",ListAndConversion!BR279)</f>
        <v/>
      </c>
    </row>
    <row r="278" spans="1:5" x14ac:dyDescent="0.65">
      <c r="A278" s="554" t="str">
        <f ca="1">IF(ListAndConversion!BN280="-","",ListAndConversion!BN280)</f>
        <v/>
      </c>
      <c r="B278" s="555" t="str">
        <f ca="1">IF(ListAndConversion!BO280="-","",ListAndConversion!BO280)</f>
        <v/>
      </c>
      <c r="C278" s="555" t="str">
        <f ca="1">IF(ListAndConversion!BM280="-","","Pools1")</f>
        <v/>
      </c>
      <c r="D278" s="555" t="str">
        <f ca="1">IF(ListAndConversion!BQ280="-","",ListAndConversion!BQ280)</f>
        <v/>
      </c>
      <c r="E278" s="577" t="str">
        <f ca="1">IF(ListAndConversion!BR280="-","",ListAndConversion!BR280)</f>
        <v/>
      </c>
    </row>
    <row r="279" spans="1:5" x14ac:dyDescent="0.65">
      <c r="A279" s="554" t="str">
        <f ca="1">IF(ListAndConversion!BN281="-","",ListAndConversion!BN281)</f>
        <v/>
      </c>
      <c r="B279" s="555" t="str">
        <f ca="1">IF(ListAndConversion!BO281="-","",ListAndConversion!BO281)</f>
        <v/>
      </c>
      <c r="C279" s="555" t="str">
        <f ca="1">IF(ListAndConversion!BM281="-","","Pools1")</f>
        <v/>
      </c>
      <c r="D279" s="555" t="str">
        <f ca="1">IF(ListAndConversion!BQ281="-","",ListAndConversion!BQ281)</f>
        <v/>
      </c>
      <c r="E279" s="577" t="str">
        <f ca="1">IF(ListAndConversion!BR281="-","",ListAndConversion!BR281)</f>
        <v/>
      </c>
    </row>
    <row r="280" spans="1:5" x14ac:dyDescent="0.65">
      <c r="A280" s="554" t="str">
        <f ca="1">IF(ListAndConversion!BN282="-","",ListAndConversion!BN282)</f>
        <v/>
      </c>
      <c r="B280" s="555" t="str">
        <f ca="1">IF(ListAndConversion!BO282="-","",ListAndConversion!BO282)</f>
        <v/>
      </c>
      <c r="C280" s="555" t="str">
        <f ca="1">IF(ListAndConversion!BM282="-","","Pools1")</f>
        <v/>
      </c>
      <c r="D280" s="555" t="str">
        <f ca="1">IF(ListAndConversion!BQ282="-","",ListAndConversion!BQ282)</f>
        <v/>
      </c>
      <c r="E280" s="577" t="str">
        <f ca="1">IF(ListAndConversion!BR282="-","",ListAndConversion!BR282)</f>
        <v/>
      </c>
    </row>
    <row r="281" spans="1:5" x14ac:dyDescent="0.65">
      <c r="A281" s="554" t="str">
        <f ca="1">IF(ListAndConversion!BN283="-","",ListAndConversion!BN283)</f>
        <v/>
      </c>
      <c r="B281" s="555" t="str">
        <f ca="1">IF(ListAndConversion!BO283="-","",ListAndConversion!BO283)</f>
        <v/>
      </c>
      <c r="C281" s="555" t="str">
        <f ca="1">IF(ListAndConversion!BM283="-","","Pools1")</f>
        <v/>
      </c>
      <c r="D281" s="555" t="str">
        <f ca="1">IF(ListAndConversion!BQ283="-","",ListAndConversion!BQ283)</f>
        <v/>
      </c>
      <c r="E281" s="577" t="str">
        <f ca="1">IF(ListAndConversion!BR283="-","",ListAndConversion!BR283)</f>
        <v/>
      </c>
    </row>
    <row r="282" spans="1:5" x14ac:dyDescent="0.65">
      <c r="A282" s="554" t="str">
        <f ca="1">IF(ListAndConversion!BN284="-","",ListAndConversion!BN284)</f>
        <v/>
      </c>
      <c r="B282" s="555" t="str">
        <f ca="1">IF(ListAndConversion!BO284="-","",ListAndConversion!BO284)</f>
        <v/>
      </c>
      <c r="C282" s="555" t="str">
        <f ca="1">IF(ListAndConversion!BM284="-","","Pools1")</f>
        <v/>
      </c>
      <c r="D282" s="555" t="str">
        <f ca="1">IF(ListAndConversion!BQ284="-","",ListAndConversion!BQ284)</f>
        <v/>
      </c>
      <c r="E282" s="577" t="str">
        <f ca="1">IF(ListAndConversion!BR284="-","",ListAndConversion!BR284)</f>
        <v/>
      </c>
    </row>
    <row r="283" spans="1:5" x14ac:dyDescent="0.65">
      <c r="A283" s="554" t="str">
        <f ca="1">IF(ListAndConversion!BN285="-","",ListAndConversion!BN285)</f>
        <v/>
      </c>
      <c r="B283" s="555" t="str">
        <f ca="1">IF(ListAndConversion!BO285="-","",ListAndConversion!BO285)</f>
        <v/>
      </c>
      <c r="C283" s="555" t="str">
        <f ca="1">IF(ListAndConversion!BM285="-","","Pools1")</f>
        <v/>
      </c>
      <c r="D283" s="555" t="str">
        <f ca="1">IF(ListAndConversion!BQ285="-","",ListAndConversion!BQ285)</f>
        <v/>
      </c>
      <c r="E283" s="577" t="str">
        <f ca="1">IF(ListAndConversion!BR285="-","",ListAndConversion!BR285)</f>
        <v/>
      </c>
    </row>
    <row r="284" spans="1:5" x14ac:dyDescent="0.65">
      <c r="A284" s="554" t="str">
        <f ca="1">IF(ListAndConversion!BN286="-","",ListAndConversion!BN286)</f>
        <v/>
      </c>
      <c r="B284" s="555" t="str">
        <f ca="1">IF(ListAndConversion!BO286="-","",ListAndConversion!BO286)</f>
        <v/>
      </c>
      <c r="C284" s="555" t="str">
        <f ca="1">IF(ListAndConversion!BM286="-","","Pools1")</f>
        <v/>
      </c>
      <c r="D284" s="555" t="str">
        <f ca="1">IF(ListAndConversion!BQ286="-","",ListAndConversion!BQ286)</f>
        <v/>
      </c>
      <c r="E284" s="577" t="str">
        <f ca="1">IF(ListAndConversion!BR286="-","",ListAndConversion!BR286)</f>
        <v/>
      </c>
    </row>
    <row r="285" spans="1:5" x14ac:dyDescent="0.65">
      <c r="A285" s="554" t="str">
        <f ca="1">IF(ListAndConversion!BN287="-","",ListAndConversion!BN287)</f>
        <v/>
      </c>
      <c r="B285" s="555" t="str">
        <f ca="1">IF(ListAndConversion!BO287="-","",ListAndConversion!BO287)</f>
        <v/>
      </c>
      <c r="C285" s="555" t="str">
        <f ca="1">IF(ListAndConversion!BM287="-","","Pools1")</f>
        <v/>
      </c>
      <c r="D285" s="555" t="str">
        <f ca="1">IF(ListAndConversion!BQ287="-","",ListAndConversion!BQ287)</f>
        <v/>
      </c>
      <c r="E285" s="577" t="str">
        <f ca="1">IF(ListAndConversion!BR287="-","",ListAndConversion!BR287)</f>
        <v/>
      </c>
    </row>
    <row r="286" spans="1:5" x14ac:dyDescent="0.65">
      <c r="A286" s="554" t="str">
        <f ca="1">IF(ListAndConversion!BN288="-","",ListAndConversion!BN288)</f>
        <v/>
      </c>
      <c r="B286" s="555" t="str">
        <f ca="1">IF(ListAndConversion!BO288="-","",ListAndConversion!BO288)</f>
        <v/>
      </c>
      <c r="C286" s="555" t="str">
        <f ca="1">IF(ListAndConversion!BM288="-","","Pools1")</f>
        <v/>
      </c>
      <c r="D286" s="555" t="str">
        <f ca="1">IF(ListAndConversion!BQ288="-","",ListAndConversion!BQ288)</f>
        <v/>
      </c>
      <c r="E286" s="577" t="str">
        <f ca="1">IF(ListAndConversion!BR288="-","",ListAndConversion!BR288)</f>
        <v/>
      </c>
    </row>
    <row r="287" spans="1:5" x14ac:dyDescent="0.65">
      <c r="A287" s="554" t="str">
        <f ca="1">IF(ListAndConversion!BN289="-","",ListAndConversion!BN289)</f>
        <v/>
      </c>
      <c r="B287" s="555" t="str">
        <f ca="1">IF(ListAndConversion!BO289="-","",ListAndConversion!BO289)</f>
        <v/>
      </c>
      <c r="C287" s="555" t="str">
        <f ca="1">IF(ListAndConversion!BM289="-","","Pools1")</f>
        <v/>
      </c>
      <c r="D287" s="555" t="str">
        <f ca="1">IF(ListAndConversion!BQ289="-","",ListAndConversion!BQ289)</f>
        <v/>
      </c>
      <c r="E287" s="577" t="str">
        <f ca="1">IF(ListAndConversion!BR289="-","",ListAndConversion!BR289)</f>
        <v/>
      </c>
    </row>
    <row r="288" spans="1:5" x14ac:dyDescent="0.65">
      <c r="A288" s="554" t="str">
        <f ca="1">IF(ListAndConversion!BN290="-","",ListAndConversion!BN290)</f>
        <v/>
      </c>
      <c r="B288" s="555" t="str">
        <f ca="1">IF(ListAndConversion!BO290="-","",ListAndConversion!BO290)</f>
        <v/>
      </c>
      <c r="C288" s="555" t="str">
        <f ca="1">IF(ListAndConversion!BM290="-","","Pools1")</f>
        <v/>
      </c>
      <c r="D288" s="555" t="str">
        <f ca="1">IF(ListAndConversion!BQ290="-","",ListAndConversion!BQ290)</f>
        <v/>
      </c>
      <c r="E288" s="577" t="str">
        <f ca="1">IF(ListAndConversion!BR290="-","",ListAndConversion!BR290)</f>
        <v/>
      </c>
    </row>
    <row r="289" spans="1:5" x14ac:dyDescent="0.65">
      <c r="A289" s="554" t="str">
        <f ca="1">IF(ListAndConversion!BN291="-","",ListAndConversion!BN291)</f>
        <v/>
      </c>
      <c r="B289" s="555" t="str">
        <f ca="1">IF(ListAndConversion!BO291="-","",ListAndConversion!BO291)</f>
        <v/>
      </c>
      <c r="C289" s="555" t="str">
        <f ca="1">IF(ListAndConversion!BM291="-","","Pools1")</f>
        <v/>
      </c>
      <c r="D289" s="555" t="str">
        <f ca="1">IF(ListAndConversion!BQ291="-","",ListAndConversion!BQ291)</f>
        <v/>
      </c>
      <c r="E289" s="577" t="str">
        <f ca="1">IF(ListAndConversion!BR291="-","",ListAndConversion!BR291)</f>
        <v/>
      </c>
    </row>
    <row r="290" spans="1:5" x14ac:dyDescent="0.65">
      <c r="A290" s="554" t="str">
        <f ca="1">IF(ListAndConversion!BN292="-","",ListAndConversion!BN292)</f>
        <v/>
      </c>
      <c r="B290" s="555" t="str">
        <f ca="1">IF(ListAndConversion!BO292="-","",ListAndConversion!BO292)</f>
        <v/>
      </c>
      <c r="C290" s="555" t="str">
        <f ca="1">IF(ListAndConversion!BM292="-","","Pools1")</f>
        <v/>
      </c>
      <c r="D290" s="555" t="str">
        <f ca="1">IF(ListAndConversion!BQ292="-","",ListAndConversion!BQ292)</f>
        <v/>
      </c>
      <c r="E290" s="577" t="str">
        <f ca="1">IF(ListAndConversion!BR292="-","",ListAndConversion!BR292)</f>
        <v/>
      </c>
    </row>
    <row r="291" spans="1:5" x14ac:dyDescent="0.65">
      <c r="A291" s="554" t="str">
        <f ca="1">IF(ListAndConversion!BN293="-","",ListAndConversion!BN293)</f>
        <v/>
      </c>
      <c r="B291" s="555" t="str">
        <f ca="1">IF(ListAndConversion!BO293="-","",ListAndConversion!BO293)</f>
        <v/>
      </c>
      <c r="C291" s="555" t="str">
        <f ca="1">IF(ListAndConversion!BM293="-","","Pools1")</f>
        <v/>
      </c>
      <c r="D291" s="555" t="str">
        <f ca="1">IF(ListAndConversion!BQ293="-","",ListAndConversion!BQ293)</f>
        <v/>
      </c>
      <c r="E291" s="577" t="str">
        <f ca="1">IF(ListAndConversion!BR293="-","",ListAndConversion!BR293)</f>
        <v/>
      </c>
    </row>
    <row r="292" spans="1:5" x14ac:dyDescent="0.65">
      <c r="A292" s="554" t="str">
        <f ca="1">IF(ListAndConversion!BN294="-","",ListAndConversion!BN294)</f>
        <v/>
      </c>
      <c r="B292" s="555" t="str">
        <f ca="1">IF(ListAndConversion!BO294="-","",ListAndConversion!BO294)</f>
        <v/>
      </c>
      <c r="C292" s="555" t="str">
        <f ca="1">IF(ListAndConversion!BM294="-","","Pools1")</f>
        <v/>
      </c>
      <c r="D292" s="555" t="str">
        <f ca="1">IF(ListAndConversion!BQ294="-","",ListAndConversion!BQ294)</f>
        <v/>
      </c>
      <c r="E292" s="577" t="str">
        <f ca="1">IF(ListAndConversion!BR294="-","",ListAndConversion!BR294)</f>
        <v/>
      </c>
    </row>
    <row r="293" spans="1:5" x14ac:dyDescent="0.65">
      <c r="A293" s="554" t="str">
        <f ca="1">IF(ListAndConversion!BN295="-","",ListAndConversion!BN295)</f>
        <v/>
      </c>
      <c r="B293" s="555" t="str">
        <f ca="1">IF(ListAndConversion!BO295="-","",ListAndConversion!BO295)</f>
        <v/>
      </c>
      <c r="C293" s="555" t="str">
        <f ca="1">IF(ListAndConversion!BM295="-","","Pools1")</f>
        <v/>
      </c>
      <c r="D293" s="555" t="str">
        <f ca="1">IF(ListAndConversion!BQ295="-","",ListAndConversion!BQ295)</f>
        <v/>
      </c>
      <c r="E293" s="577" t="str">
        <f ca="1">IF(ListAndConversion!BR295="-","",ListAndConversion!BR295)</f>
        <v/>
      </c>
    </row>
    <row r="294" spans="1:5" x14ac:dyDescent="0.65">
      <c r="A294" s="554" t="str">
        <f ca="1">IF(ListAndConversion!BN296="-","",ListAndConversion!BN296)</f>
        <v/>
      </c>
      <c r="B294" s="555" t="str">
        <f ca="1">IF(ListAndConversion!BO296="-","",ListAndConversion!BO296)</f>
        <v/>
      </c>
      <c r="C294" s="555" t="str">
        <f ca="1">IF(ListAndConversion!BM296="-","","Pools1")</f>
        <v/>
      </c>
      <c r="D294" s="555" t="str">
        <f ca="1">IF(ListAndConversion!BQ296="-","",ListAndConversion!BQ296)</f>
        <v/>
      </c>
      <c r="E294" s="577" t="str">
        <f ca="1">IF(ListAndConversion!BR296="-","",ListAndConversion!BR296)</f>
        <v/>
      </c>
    </row>
    <row r="295" spans="1:5" x14ac:dyDescent="0.65">
      <c r="A295" s="554" t="str">
        <f ca="1">IF(ListAndConversion!BN297="-","",ListAndConversion!BN297)</f>
        <v/>
      </c>
      <c r="B295" s="555" t="str">
        <f ca="1">IF(ListAndConversion!BO297="-","",ListAndConversion!BO297)</f>
        <v/>
      </c>
      <c r="C295" s="555" t="str">
        <f ca="1">IF(ListAndConversion!BM297="-","","Pools1")</f>
        <v/>
      </c>
      <c r="D295" s="555" t="str">
        <f ca="1">IF(ListAndConversion!BQ297="-","",ListAndConversion!BQ297)</f>
        <v/>
      </c>
      <c r="E295" s="577" t="str">
        <f ca="1">IF(ListAndConversion!BR297="-","",ListAndConversion!BR297)</f>
        <v/>
      </c>
    </row>
    <row r="296" spans="1:5" x14ac:dyDescent="0.65">
      <c r="A296" s="554" t="str">
        <f ca="1">IF(ListAndConversion!BN298="-","",ListAndConversion!BN298)</f>
        <v/>
      </c>
      <c r="B296" s="555" t="str">
        <f ca="1">IF(ListAndConversion!BO298="-","",ListAndConversion!BO298)</f>
        <v/>
      </c>
      <c r="C296" s="555" t="str">
        <f ca="1">IF(ListAndConversion!BM298="-","","Pools1")</f>
        <v/>
      </c>
      <c r="D296" s="555" t="str">
        <f ca="1">IF(ListAndConversion!BQ298="-","",ListAndConversion!BQ298)</f>
        <v/>
      </c>
      <c r="E296" s="577" t="str">
        <f ca="1">IF(ListAndConversion!BR298="-","",ListAndConversion!BR298)</f>
        <v/>
      </c>
    </row>
    <row r="297" spans="1:5" x14ac:dyDescent="0.65">
      <c r="A297" s="554" t="str">
        <f ca="1">IF(ListAndConversion!BN299="-","",ListAndConversion!BN299)</f>
        <v/>
      </c>
      <c r="B297" s="555" t="str">
        <f ca="1">IF(ListAndConversion!BO299="-","",ListAndConversion!BO299)</f>
        <v/>
      </c>
      <c r="C297" s="555" t="str">
        <f ca="1">IF(ListAndConversion!BM299="-","","Pools1")</f>
        <v/>
      </c>
      <c r="D297" s="555" t="str">
        <f ca="1">IF(ListAndConversion!BQ299="-","",ListAndConversion!BQ299)</f>
        <v/>
      </c>
      <c r="E297" s="577" t="str">
        <f ca="1">IF(ListAndConversion!BR299="-","",ListAndConversion!BR299)</f>
        <v/>
      </c>
    </row>
    <row r="298" spans="1:5" x14ac:dyDescent="0.65">
      <c r="A298" s="554" t="str">
        <f ca="1">IF(ListAndConversion!BN300="-","",ListAndConversion!BN300)</f>
        <v/>
      </c>
      <c r="B298" s="555" t="str">
        <f ca="1">IF(ListAndConversion!BO300="-","",ListAndConversion!BO300)</f>
        <v/>
      </c>
      <c r="C298" s="555" t="str">
        <f ca="1">IF(ListAndConversion!BM300="-","","Pools1")</f>
        <v/>
      </c>
      <c r="D298" s="555" t="str">
        <f ca="1">IF(ListAndConversion!BQ300="-","",ListAndConversion!BQ300)</f>
        <v/>
      </c>
      <c r="E298" s="577" t="str">
        <f ca="1">IF(ListAndConversion!BR300="-","",ListAndConversion!BR300)</f>
        <v/>
      </c>
    </row>
    <row r="299" spans="1:5" x14ac:dyDescent="0.65">
      <c r="A299" s="554" t="str">
        <f ca="1">IF(ListAndConversion!BN301="-","",ListAndConversion!BN301)</f>
        <v/>
      </c>
      <c r="B299" s="555" t="str">
        <f ca="1">IF(ListAndConversion!BO301="-","",ListAndConversion!BO301)</f>
        <v/>
      </c>
      <c r="C299" s="555" t="str">
        <f ca="1">IF(ListAndConversion!BM301="-","","Pools1")</f>
        <v/>
      </c>
      <c r="D299" s="555" t="str">
        <f ca="1">IF(ListAndConversion!BQ301="-","",ListAndConversion!BQ301)</f>
        <v/>
      </c>
      <c r="E299" s="577" t="str">
        <f ca="1">IF(ListAndConversion!BR301="-","",ListAndConversion!BR301)</f>
        <v/>
      </c>
    </row>
    <row r="300" spans="1:5" x14ac:dyDescent="0.65">
      <c r="A300" s="554" t="str">
        <f ca="1">IF(ListAndConversion!BN302="-","",ListAndConversion!BN302)</f>
        <v/>
      </c>
      <c r="B300" s="555" t="str">
        <f ca="1">IF(ListAndConversion!BO302="-","",ListAndConversion!BO302)</f>
        <v/>
      </c>
      <c r="C300" s="555" t="str">
        <f ca="1">IF(ListAndConversion!BM302="-","","Pools1")</f>
        <v/>
      </c>
      <c r="D300" s="555" t="str">
        <f ca="1">IF(ListAndConversion!BQ302="-","",ListAndConversion!BQ302)</f>
        <v/>
      </c>
      <c r="E300" s="577" t="str">
        <f ca="1">IF(ListAndConversion!BR302="-","",ListAndConversion!BR302)</f>
        <v/>
      </c>
    </row>
    <row r="301" spans="1:5" x14ac:dyDescent="0.65">
      <c r="A301" s="554" t="str">
        <f ca="1">IF(ListAndConversion!BN303="-","",ListAndConversion!BN303)</f>
        <v/>
      </c>
      <c r="B301" s="555" t="str">
        <f ca="1">IF(ListAndConversion!BO303="-","",ListAndConversion!BO303)</f>
        <v/>
      </c>
      <c r="C301" s="555" t="str">
        <f ca="1">IF(ListAndConversion!BM303="-","","Pools1")</f>
        <v/>
      </c>
      <c r="D301" s="555" t="str">
        <f ca="1">IF(ListAndConversion!BQ303="-","",ListAndConversion!BQ303)</f>
        <v/>
      </c>
      <c r="E301" s="577" t="str">
        <f ca="1">IF(ListAndConversion!BR303="-","",ListAndConversion!BR303)</f>
        <v/>
      </c>
    </row>
    <row r="302" spans="1:5" x14ac:dyDescent="0.65">
      <c r="A302" s="554" t="str">
        <f ca="1">IF(ListAndConversion!BN304="-","",ListAndConversion!BN304)</f>
        <v/>
      </c>
      <c r="B302" s="555" t="str">
        <f ca="1">IF(ListAndConversion!BO304="-","",ListAndConversion!BO304)</f>
        <v/>
      </c>
      <c r="C302" s="555" t="str">
        <f ca="1">IF(ListAndConversion!BM304="-","","Pools1")</f>
        <v/>
      </c>
      <c r="D302" s="555" t="str">
        <f ca="1">IF(ListAndConversion!BQ304="-","",ListAndConversion!BQ304)</f>
        <v/>
      </c>
      <c r="E302" s="577" t="str">
        <f ca="1">IF(ListAndConversion!BR304="-","",ListAndConversion!BR304)</f>
        <v/>
      </c>
    </row>
    <row r="303" spans="1:5" x14ac:dyDescent="0.65">
      <c r="A303" s="554" t="str">
        <f ca="1">IF(ListAndConversion!BN305="-","",ListAndConversion!BN305)</f>
        <v/>
      </c>
      <c r="B303" s="555" t="str">
        <f ca="1">IF(ListAndConversion!BO305="-","",ListAndConversion!BO305)</f>
        <v/>
      </c>
      <c r="C303" s="555" t="str">
        <f ca="1">IF(ListAndConversion!BM305="-","","Pools1")</f>
        <v/>
      </c>
      <c r="D303" s="555" t="str">
        <f ca="1">IF(ListAndConversion!BQ305="-","",ListAndConversion!BQ305)</f>
        <v/>
      </c>
      <c r="E303" s="577" t="str">
        <f ca="1">IF(ListAndConversion!BR305="-","",ListAndConversion!BR305)</f>
        <v/>
      </c>
    </row>
    <row r="304" spans="1:5" x14ac:dyDescent="0.65">
      <c r="A304" s="554" t="str">
        <f ca="1">IF(ListAndConversion!BN306="-","",ListAndConversion!BN306)</f>
        <v/>
      </c>
      <c r="B304" s="555" t="str">
        <f ca="1">IF(ListAndConversion!BO306="-","",ListAndConversion!BO306)</f>
        <v/>
      </c>
      <c r="C304" s="555" t="str">
        <f ca="1">IF(ListAndConversion!BM306="-","","Pools1")</f>
        <v/>
      </c>
      <c r="D304" s="555" t="str">
        <f ca="1">IF(ListAndConversion!BQ306="-","",ListAndConversion!BQ306)</f>
        <v/>
      </c>
      <c r="E304" s="577" t="str">
        <f ca="1">IF(ListAndConversion!BR306="-","",ListAndConversion!BR306)</f>
        <v/>
      </c>
    </row>
    <row r="305" spans="1:5" x14ac:dyDescent="0.65">
      <c r="A305" s="554" t="str">
        <f ca="1">IF(ListAndConversion!BN307="-","",ListAndConversion!BN307)</f>
        <v/>
      </c>
      <c r="B305" s="555" t="str">
        <f ca="1">IF(ListAndConversion!BO307="-","",ListAndConversion!BO307)</f>
        <v/>
      </c>
      <c r="C305" s="555" t="str">
        <f ca="1">IF(ListAndConversion!BM307="-","","Pools1")</f>
        <v/>
      </c>
      <c r="D305" s="555" t="str">
        <f ca="1">IF(ListAndConversion!BQ307="-","",ListAndConversion!BQ307)</f>
        <v/>
      </c>
      <c r="E305" s="577" t="str">
        <f ca="1">IF(ListAndConversion!BR307="-","",ListAndConversion!BR307)</f>
        <v/>
      </c>
    </row>
    <row r="306" spans="1:5" x14ac:dyDescent="0.65">
      <c r="A306" s="554" t="str">
        <f ca="1">IF(ListAndConversion!BN308="-","",ListAndConversion!BN308)</f>
        <v/>
      </c>
      <c r="B306" s="555" t="str">
        <f ca="1">IF(ListAndConversion!BO308="-","",ListAndConversion!BO308)</f>
        <v/>
      </c>
      <c r="C306" s="555" t="str">
        <f ca="1">IF(ListAndConversion!BM308="-","","Pools1")</f>
        <v/>
      </c>
      <c r="D306" s="555" t="str">
        <f ca="1">IF(ListAndConversion!BQ308="-","",ListAndConversion!BQ308)</f>
        <v/>
      </c>
      <c r="E306" s="577" t="str">
        <f ca="1">IF(ListAndConversion!BR308="-","",ListAndConversion!BR308)</f>
        <v/>
      </c>
    </row>
    <row r="307" spans="1:5" x14ac:dyDescent="0.65">
      <c r="A307" s="554" t="str">
        <f ca="1">IF(ListAndConversion!BN309="-","",ListAndConversion!BN309)</f>
        <v/>
      </c>
      <c r="B307" s="555" t="str">
        <f ca="1">IF(ListAndConversion!BO309="-","",ListAndConversion!BO309)</f>
        <v/>
      </c>
      <c r="C307" s="555" t="str">
        <f ca="1">IF(ListAndConversion!BM309="-","","Pools1")</f>
        <v/>
      </c>
      <c r="D307" s="555" t="str">
        <f ca="1">IF(ListAndConversion!BQ309="-","",ListAndConversion!BQ309)</f>
        <v/>
      </c>
      <c r="E307" s="577" t="str">
        <f ca="1">IF(ListAndConversion!BR309="-","",ListAndConversion!BR309)</f>
        <v/>
      </c>
    </row>
    <row r="308" spans="1:5" x14ac:dyDescent="0.65">
      <c r="A308" s="554" t="str">
        <f ca="1">IF(ListAndConversion!BN310="-","",ListAndConversion!BN310)</f>
        <v/>
      </c>
      <c r="B308" s="555" t="str">
        <f ca="1">IF(ListAndConversion!BO310="-","",ListAndConversion!BO310)</f>
        <v/>
      </c>
      <c r="C308" s="555" t="str">
        <f ca="1">IF(ListAndConversion!BM310="-","","Pools1")</f>
        <v/>
      </c>
      <c r="D308" s="555" t="str">
        <f ca="1">IF(ListAndConversion!BQ310="-","",ListAndConversion!BQ310)</f>
        <v/>
      </c>
      <c r="E308" s="577" t="str">
        <f ca="1">IF(ListAndConversion!BR310="-","",ListAndConversion!BR310)</f>
        <v/>
      </c>
    </row>
    <row r="309" spans="1:5" x14ac:dyDescent="0.65">
      <c r="A309" s="554" t="str">
        <f ca="1">IF(ListAndConversion!BN311="-","",ListAndConversion!BN311)</f>
        <v/>
      </c>
      <c r="B309" s="555" t="str">
        <f ca="1">IF(ListAndConversion!BO311="-","",ListAndConversion!BO311)</f>
        <v/>
      </c>
      <c r="C309" s="555" t="str">
        <f ca="1">IF(ListAndConversion!BM311="-","","Pools1")</f>
        <v/>
      </c>
      <c r="D309" s="555" t="str">
        <f ca="1">IF(ListAndConversion!BQ311="-","",ListAndConversion!BQ311)</f>
        <v/>
      </c>
      <c r="E309" s="577" t="str">
        <f ca="1">IF(ListAndConversion!BR311="-","",ListAndConversion!BR311)</f>
        <v/>
      </c>
    </row>
    <row r="310" spans="1:5" x14ac:dyDescent="0.65">
      <c r="A310" s="554" t="str">
        <f ca="1">IF(ListAndConversion!BN312="-","",ListAndConversion!BN312)</f>
        <v/>
      </c>
      <c r="B310" s="555" t="str">
        <f ca="1">IF(ListAndConversion!BO312="-","",ListAndConversion!BO312)</f>
        <v/>
      </c>
      <c r="C310" s="555" t="str">
        <f ca="1">IF(ListAndConversion!BM312="-","","Pools1")</f>
        <v/>
      </c>
      <c r="D310" s="555" t="str">
        <f ca="1">IF(ListAndConversion!BQ312="-","",ListAndConversion!BQ312)</f>
        <v/>
      </c>
      <c r="E310" s="577" t="str">
        <f ca="1">IF(ListAndConversion!BR312="-","",ListAndConversion!BR312)</f>
        <v/>
      </c>
    </row>
    <row r="311" spans="1:5" x14ac:dyDescent="0.65">
      <c r="A311" s="554" t="str">
        <f ca="1">IF(ListAndConversion!BN313="-","",ListAndConversion!BN313)</f>
        <v/>
      </c>
      <c r="B311" s="555" t="str">
        <f ca="1">IF(ListAndConversion!BO313="-","",ListAndConversion!BO313)</f>
        <v/>
      </c>
      <c r="C311" s="555" t="str">
        <f ca="1">IF(ListAndConversion!BM313="-","","Pools1")</f>
        <v/>
      </c>
      <c r="D311" s="555" t="str">
        <f ca="1">IF(ListAndConversion!BQ313="-","",ListAndConversion!BQ313)</f>
        <v/>
      </c>
      <c r="E311" s="577" t="str">
        <f ca="1">IF(ListAndConversion!BR313="-","",ListAndConversion!BR313)</f>
        <v/>
      </c>
    </row>
    <row r="312" spans="1:5" x14ac:dyDescent="0.65">
      <c r="A312" s="554" t="str">
        <f ca="1">IF(ListAndConversion!BN314="-","",ListAndConversion!BN314)</f>
        <v/>
      </c>
      <c r="B312" s="555" t="str">
        <f ca="1">IF(ListAndConversion!BO314="-","",ListAndConversion!BO314)</f>
        <v/>
      </c>
      <c r="C312" s="555" t="str">
        <f ca="1">IF(ListAndConversion!BM314="-","","Pools1")</f>
        <v/>
      </c>
      <c r="D312" s="555" t="str">
        <f ca="1">IF(ListAndConversion!BQ314="-","",ListAndConversion!BQ314)</f>
        <v/>
      </c>
      <c r="E312" s="577" t="str">
        <f ca="1">IF(ListAndConversion!BR314="-","",ListAndConversion!BR314)</f>
        <v/>
      </c>
    </row>
    <row r="313" spans="1:5" x14ac:dyDescent="0.65">
      <c r="A313" s="554" t="str">
        <f ca="1">IF(ListAndConversion!BN315="-","",ListAndConversion!BN315)</f>
        <v/>
      </c>
      <c r="B313" s="555" t="str">
        <f ca="1">IF(ListAndConversion!BO315="-","",ListAndConversion!BO315)</f>
        <v/>
      </c>
      <c r="C313" s="555" t="str">
        <f ca="1">IF(ListAndConversion!BM315="-","","Pools1")</f>
        <v/>
      </c>
      <c r="D313" s="555" t="str">
        <f ca="1">IF(ListAndConversion!BQ315="-","",ListAndConversion!BQ315)</f>
        <v/>
      </c>
      <c r="E313" s="577" t="str">
        <f ca="1">IF(ListAndConversion!BR315="-","",ListAndConversion!BR315)</f>
        <v/>
      </c>
    </row>
    <row r="314" spans="1:5" x14ac:dyDescent="0.65">
      <c r="A314" s="554" t="str">
        <f ca="1">IF(ListAndConversion!BN316="-","",ListAndConversion!BN316)</f>
        <v/>
      </c>
      <c r="B314" s="555" t="str">
        <f ca="1">IF(ListAndConversion!BO316="-","",ListAndConversion!BO316)</f>
        <v/>
      </c>
      <c r="C314" s="555" t="str">
        <f ca="1">IF(ListAndConversion!BM316="-","","Pools1")</f>
        <v/>
      </c>
      <c r="D314" s="555" t="str">
        <f ca="1">IF(ListAndConversion!BQ316="-","",ListAndConversion!BQ316)</f>
        <v/>
      </c>
      <c r="E314" s="577" t="str">
        <f ca="1">IF(ListAndConversion!BR316="-","",ListAndConversion!BR316)</f>
        <v/>
      </c>
    </row>
    <row r="315" spans="1:5" x14ac:dyDescent="0.65">
      <c r="A315" s="554" t="str">
        <f ca="1">IF(ListAndConversion!BN317="-","",ListAndConversion!BN317)</f>
        <v/>
      </c>
      <c r="B315" s="555" t="str">
        <f ca="1">IF(ListAndConversion!BO317="-","",ListAndConversion!BO317)</f>
        <v/>
      </c>
      <c r="C315" s="555" t="str">
        <f ca="1">IF(ListAndConversion!BM317="-","","Pools1")</f>
        <v/>
      </c>
      <c r="D315" s="555" t="str">
        <f ca="1">IF(ListAndConversion!BQ317="-","",ListAndConversion!BQ317)</f>
        <v/>
      </c>
      <c r="E315" s="577" t="str">
        <f ca="1">IF(ListAndConversion!BR317="-","",ListAndConversion!BR317)</f>
        <v/>
      </c>
    </row>
    <row r="316" spans="1:5" x14ac:dyDescent="0.65">
      <c r="A316" s="554" t="str">
        <f ca="1">IF(ListAndConversion!BN318="-","",ListAndConversion!BN318)</f>
        <v/>
      </c>
      <c r="B316" s="555" t="str">
        <f ca="1">IF(ListAndConversion!BO318="-","",ListAndConversion!BO318)</f>
        <v/>
      </c>
      <c r="C316" s="555" t="str">
        <f ca="1">IF(ListAndConversion!BM318="-","","Pools1")</f>
        <v/>
      </c>
      <c r="D316" s="555" t="str">
        <f ca="1">IF(ListAndConversion!BQ318="-","",ListAndConversion!BQ318)</f>
        <v/>
      </c>
      <c r="E316" s="577" t="str">
        <f ca="1">IF(ListAndConversion!BR318="-","",ListAndConversion!BR318)</f>
        <v/>
      </c>
    </row>
    <row r="317" spans="1:5" x14ac:dyDescent="0.65">
      <c r="A317" s="554" t="str">
        <f ca="1">IF(ListAndConversion!BN319="-","",ListAndConversion!BN319)</f>
        <v/>
      </c>
      <c r="B317" s="555" t="str">
        <f ca="1">IF(ListAndConversion!BO319="-","",ListAndConversion!BO319)</f>
        <v/>
      </c>
      <c r="C317" s="555" t="str">
        <f ca="1">IF(ListAndConversion!BM319="-","","Pools1")</f>
        <v/>
      </c>
      <c r="D317" s="555" t="str">
        <f ca="1">IF(ListAndConversion!BQ319="-","",ListAndConversion!BQ319)</f>
        <v/>
      </c>
      <c r="E317" s="577" t="str">
        <f ca="1">IF(ListAndConversion!BR319="-","",ListAndConversion!BR319)</f>
        <v/>
      </c>
    </row>
    <row r="318" spans="1:5" x14ac:dyDescent="0.65">
      <c r="A318" s="554" t="str">
        <f ca="1">IF(ListAndConversion!BN320="-","",ListAndConversion!BN320)</f>
        <v/>
      </c>
      <c r="B318" s="555" t="str">
        <f ca="1">IF(ListAndConversion!BO320="-","",ListAndConversion!BO320)</f>
        <v/>
      </c>
      <c r="C318" s="555" t="str">
        <f ca="1">IF(ListAndConversion!BM320="-","","Pools1")</f>
        <v/>
      </c>
      <c r="D318" s="555" t="str">
        <f ca="1">IF(ListAndConversion!BQ320="-","",ListAndConversion!BQ320)</f>
        <v/>
      </c>
      <c r="E318" s="577" t="str">
        <f ca="1">IF(ListAndConversion!BR320="-","",ListAndConversion!BR320)</f>
        <v/>
      </c>
    </row>
    <row r="319" spans="1:5" x14ac:dyDescent="0.65">
      <c r="A319" s="554" t="str">
        <f ca="1">IF(ListAndConversion!BN321="-","",ListAndConversion!BN321)</f>
        <v/>
      </c>
      <c r="B319" s="555" t="str">
        <f ca="1">IF(ListAndConversion!BO321="-","",ListAndConversion!BO321)</f>
        <v/>
      </c>
      <c r="C319" s="555" t="str">
        <f ca="1">IF(ListAndConversion!BM321="-","","Pools1")</f>
        <v/>
      </c>
      <c r="D319" s="555" t="str">
        <f ca="1">IF(ListAndConversion!BQ321="-","",ListAndConversion!BQ321)</f>
        <v/>
      </c>
      <c r="E319" s="577" t="str">
        <f ca="1">IF(ListAndConversion!BR321="-","",ListAndConversion!BR321)</f>
        <v/>
      </c>
    </row>
    <row r="320" spans="1:5" x14ac:dyDescent="0.65">
      <c r="A320" s="554" t="str">
        <f ca="1">IF(ListAndConversion!BN322="-","",ListAndConversion!BN322)</f>
        <v/>
      </c>
      <c r="B320" s="555" t="str">
        <f ca="1">IF(ListAndConversion!BO322="-","",ListAndConversion!BO322)</f>
        <v/>
      </c>
      <c r="C320" s="555" t="str">
        <f ca="1">IF(ListAndConversion!BM322="-","","Pools1")</f>
        <v/>
      </c>
      <c r="D320" s="555" t="str">
        <f ca="1">IF(ListAndConversion!BQ322="-","",ListAndConversion!BQ322)</f>
        <v/>
      </c>
      <c r="E320" s="577" t="str">
        <f ca="1">IF(ListAndConversion!BR322="-","",ListAndConversion!BR322)</f>
        <v/>
      </c>
    </row>
    <row r="321" spans="1:5" x14ac:dyDescent="0.65">
      <c r="A321" s="554" t="str">
        <f ca="1">IF(ListAndConversion!BN323="-","",ListAndConversion!BN323)</f>
        <v/>
      </c>
      <c r="B321" s="555" t="str">
        <f ca="1">IF(ListAndConversion!BO323="-","",ListAndConversion!BO323)</f>
        <v/>
      </c>
      <c r="C321" s="555" t="str">
        <f ca="1">IF(ListAndConversion!BM323="-","","Pools1")</f>
        <v/>
      </c>
      <c r="D321" s="555" t="str">
        <f ca="1">IF(ListAndConversion!BQ323="-","",ListAndConversion!BQ323)</f>
        <v/>
      </c>
      <c r="E321" s="577" t="str">
        <f ca="1">IF(ListAndConversion!BR323="-","",ListAndConversion!BR323)</f>
        <v/>
      </c>
    </row>
    <row r="322" spans="1:5" x14ac:dyDescent="0.65">
      <c r="A322" s="554" t="str">
        <f ca="1">IF(ListAndConversion!BN324="-","",ListAndConversion!BN324)</f>
        <v/>
      </c>
      <c r="B322" s="555" t="str">
        <f ca="1">IF(ListAndConversion!BO324="-","",ListAndConversion!BO324)</f>
        <v/>
      </c>
      <c r="C322" s="555" t="str">
        <f ca="1">IF(ListAndConversion!BM324="-","","Pools1")</f>
        <v/>
      </c>
      <c r="D322" s="555" t="str">
        <f ca="1">IF(ListAndConversion!BQ324="-","",ListAndConversion!BQ324)</f>
        <v/>
      </c>
      <c r="E322" s="577" t="str">
        <f ca="1">IF(ListAndConversion!BR324="-","",ListAndConversion!BR324)</f>
        <v/>
      </c>
    </row>
    <row r="323" spans="1:5" x14ac:dyDescent="0.65">
      <c r="A323" s="554" t="str">
        <f ca="1">IF(ListAndConversion!BN325="-","",ListAndConversion!BN325)</f>
        <v/>
      </c>
      <c r="B323" s="555" t="str">
        <f ca="1">IF(ListAndConversion!BO325="-","",ListAndConversion!BO325)</f>
        <v/>
      </c>
      <c r="C323" s="555" t="str">
        <f ca="1">IF(ListAndConversion!BM325="-","","Pools1")</f>
        <v/>
      </c>
      <c r="D323" s="555" t="str">
        <f ca="1">IF(ListAndConversion!BQ325="-","",ListAndConversion!BQ325)</f>
        <v/>
      </c>
      <c r="E323" s="577" t="str">
        <f ca="1">IF(ListAndConversion!BR325="-","",ListAndConversion!BR325)</f>
        <v/>
      </c>
    </row>
    <row r="324" spans="1:5" x14ac:dyDescent="0.65">
      <c r="A324" s="554" t="str">
        <f ca="1">IF(ListAndConversion!BN326="-","",ListAndConversion!BN326)</f>
        <v/>
      </c>
      <c r="B324" s="555" t="str">
        <f ca="1">IF(ListAndConversion!BO326="-","",ListAndConversion!BO326)</f>
        <v/>
      </c>
      <c r="C324" s="555" t="str">
        <f ca="1">IF(ListAndConversion!BM326="-","","Pools1")</f>
        <v/>
      </c>
      <c r="D324" s="555" t="str">
        <f ca="1">IF(ListAndConversion!BQ326="-","",ListAndConversion!BQ326)</f>
        <v/>
      </c>
      <c r="E324" s="577" t="str">
        <f ca="1">IF(ListAndConversion!BR326="-","",ListAndConversion!BR326)</f>
        <v/>
      </c>
    </row>
    <row r="325" spans="1:5" x14ac:dyDescent="0.65">
      <c r="A325" s="554" t="str">
        <f ca="1">IF(ListAndConversion!BN327="-","",ListAndConversion!BN327)</f>
        <v/>
      </c>
      <c r="B325" s="555" t="str">
        <f ca="1">IF(ListAndConversion!BO327="-","",ListAndConversion!BO327)</f>
        <v/>
      </c>
      <c r="C325" s="555" t="str">
        <f ca="1">IF(ListAndConversion!BM327="-","","Pools1")</f>
        <v/>
      </c>
      <c r="D325" s="555" t="str">
        <f ca="1">IF(ListAndConversion!BQ327="-","",ListAndConversion!BQ327)</f>
        <v/>
      </c>
      <c r="E325" s="577" t="str">
        <f ca="1">IF(ListAndConversion!BR327="-","",ListAndConversion!BR327)</f>
        <v/>
      </c>
    </row>
    <row r="326" spans="1:5" x14ac:dyDescent="0.65">
      <c r="A326" s="554" t="str">
        <f ca="1">IF(ListAndConversion!BN328="-","",ListAndConversion!BN328)</f>
        <v/>
      </c>
      <c r="B326" s="555" t="str">
        <f ca="1">IF(ListAndConversion!BO328="-","",ListAndConversion!BO328)</f>
        <v/>
      </c>
      <c r="C326" s="555" t="str">
        <f ca="1">IF(ListAndConversion!BM328="-","","Pools1")</f>
        <v/>
      </c>
      <c r="D326" s="555" t="str">
        <f ca="1">IF(ListAndConversion!BQ328="-","",ListAndConversion!BQ328)</f>
        <v/>
      </c>
      <c r="E326" s="577" t="str">
        <f ca="1">IF(ListAndConversion!BR328="-","",ListAndConversion!BR328)</f>
        <v/>
      </c>
    </row>
    <row r="327" spans="1:5" x14ac:dyDescent="0.65">
      <c r="A327" s="554" t="str">
        <f ca="1">IF(ListAndConversion!BN329="-","",ListAndConversion!BN329)</f>
        <v/>
      </c>
      <c r="B327" s="555" t="str">
        <f ca="1">IF(ListAndConversion!BO329="-","",ListAndConversion!BO329)</f>
        <v/>
      </c>
      <c r="C327" s="555" t="str">
        <f ca="1">IF(ListAndConversion!BM329="-","","Pools1")</f>
        <v/>
      </c>
      <c r="D327" s="555" t="str">
        <f ca="1">IF(ListAndConversion!BQ329="-","",ListAndConversion!BQ329)</f>
        <v/>
      </c>
      <c r="E327" s="577" t="str">
        <f ca="1">IF(ListAndConversion!BR329="-","",ListAndConversion!BR329)</f>
        <v/>
      </c>
    </row>
    <row r="328" spans="1:5" x14ac:dyDescent="0.65">
      <c r="A328" s="554" t="str">
        <f ca="1">IF(ListAndConversion!BN330="-","",ListAndConversion!BN330)</f>
        <v/>
      </c>
      <c r="B328" s="555" t="str">
        <f ca="1">IF(ListAndConversion!BO330="-","",ListAndConversion!BO330)</f>
        <v/>
      </c>
      <c r="C328" s="555" t="str">
        <f ca="1">IF(ListAndConversion!BM330="-","","Pools1")</f>
        <v/>
      </c>
      <c r="D328" s="555" t="str">
        <f ca="1">IF(ListAndConversion!BQ330="-","",ListAndConversion!BQ330)</f>
        <v/>
      </c>
      <c r="E328" s="577" t="str">
        <f ca="1">IF(ListAndConversion!BR330="-","",ListAndConversion!BR330)</f>
        <v/>
      </c>
    </row>
    <row r="329" spans="1:5" x14ac:dyDescent="0.65">
      <c r="A329" s="554" t="str">
        <f ca="1">IF(ListAndConversion!BN331="-","",ListAndConversion!BN331)</f>
        <v/>
      </c>
      <c r="B329" s="555" t="str">
        <f ca="1">IF(ListAndConversion!BO331="-","",ListAndConversion!BO331)</f>
        <v/>
      </c>
      <c r="C329" s="555" t="str">
        <f ca="1">IF(ListAndConversion!BM331="-","","Pools1")</f>
        <v/>
      </c>
      <c r="D329" s="555" t="str">
        <f ca="1">IF(ListAndConversion!BQ331="-","",ListAndConversion!BQ331)</f>
        <v/>
      </c>
      <c r="E329" s="577" t="str">
        <f ca="1">IF(ListAndConversion!BR331="-","",ListAndConversion!BR331)</f>
        <v/>
      </c>
    </row>
    <row r="330" spans="1:5" x14ac:dyDescent="0.65">
      <c r="A330" s="554" t="str">
        <f ca="1">IF(ListAndConversion!BN332="-","",ListAndConversion!BN332)</f>
        <v/>
      </c>
      <c r="B330" s="555" t="str">
        <f ca="1">IF(ListAndConversion!BO332="-","",ListAndConversion!BO332)</f>
        <v/>
      </c>
      <c r="C330" s="555" t="str">
        <f ca="1">IF(ListAndConversion!BM332="-","","Pools1")</f>
        <v/>
      </c>
      <c r="D330" s="555" t="str">
        <f ca="1">IF(ListAndConversion!BQ332="-","",ListAndConversion!BQ332)</f>
        <v/>
      </c>
      <c r="E330" s="577" t="str">
        <f ca="1">IF(ListAndConversion!BR332="-","",ListAndConversion!BR332)</f>
        <v/>
      </c>
    </row>
    <row r="331" spans="1:5" x14ac:dyDescent="0.65">
      <c r="A331" s="554" t="str">
        <f ca="1">IF(ListAndConversion!BN333="-","",ListAndConversion!BN333)</f>
        <v/>
      </c>
      <c r="B331" s="555" t="str">
        <f ca="1">IF(ListAndConversion!BO333="-","",ListAndConversion!BO333)</f>
        <v/>
      </c>
      <c r="C331" s="555" t="str">
        <f ca="1">IF(ListAndConversion!BM333="-","","Pools1")</f>
        <v/>
      </c>
      <c r="D331" s="555" t="str">
        <f ca="1">IF(ListAndConversion!BQ333="-","",ListAndConversion!BQ333)</f>
        <v/>
      </c>
      <c r="E331" s="577" t="str">
        <f ca="1">IF(ListAndConversion!BR333="-","",ListAndConversion!BR333)</f>
        <v/>
      </c>
    </row>
    <row r="332" spans="1:5" x14ac:dyDescent="0.65">
      <c r="A332" s="554" t="str">
        <f ca="1">IF(ListAndConversion!BN334="-","",ListAndConversion!BN334)</f>
        <v/>
      </c>
      <c r="B332" s="555" t="str">
        <f ca="1">IF(ListAndConversion!BO334="-","",ListAndConversion!BO334)</f>
        <v/>
      </c>
      <c r="C332" s="555" t="str">
        <f ca="1">IF(ListAndConversion!BM334="-","","Pools1")</f>
        <v/>
      </c>
      <c r="D332" s="555" t="str">
        <f ca="1">IF(ListAndConversion!BQ334="-","",ListAndConversion!BQ334)</f>
        <v/>
      </c>
      <c r="E332" s="577" t="str">
        <f ca="1">IF(ListAndConversion!BR334="-","",ListAndConversion!BR334)</f>
        <v/>
      </c>
    </row>
    <row r="333" spans="1:5" x14ac:dyDescent="0.65">
      <c r="A333" s="554" t="str">
        <f ca="1">IF(ListAndConversion!BN335="-","",ListAndConversion!BN335)</f>
        <v/>
      </c>
      <c r="B333" s="555" t="str">
        <f ca="1">IF(ListAndConversion!BO335="-","",ListAndConversion!BO335)</f>
        <v/>
      </c>
      <c r="C333" s="555" t="str">
        <f ca="1">IF(ListAndConversion!BM335="-","","Pools1")</f>
        <v/>
      </c>
      <c r="D333" s="555" t="str">
        <f ca="1">IF(ListAndConversion!BQ335="-","",ListAndConversion!BQ335)</f>
        <v/>
      </c>
      <c r="E333" s="577" t="str">
        <f ca="1">IF(ListAndConversion!BR335="-","",ListAndConversion!BR335)</f>
        <v/>
      </c>
    </row>
    <row r="334" spans="1:5" x14ac:dyDescent="0.65">
      <c r="A334" s="554" t="str">
        <f ca="1">IF(ListAndConversion!BN336="-","",ListAndConversion!BN336)</f>
        <v/>
      </c>
      <c r="B334" s="555" t="str">
        <f ca="1">IF(ListAndConversion!BO336="-","",ListAndConversion!BO336)</f>
        <v/>
      </c>
      <c r="C334" s="555" t="str">
        <f ca="1">IF(ListAndConversion!BM336="-","","Pools1")</f>
        <v/>
      </c>
      <c r="D334" s="555" t="str">
        <f ca="1">IF(ListAndConversion!BQ336="-","",ListAndConversion!BQ336)</f>
        <v/>
      </c>
      <c r="E334" s="577" t="str">
        <f ca="1">IF(ListAndConversion!BR336="-","",ListAndConversion!BR336)</f>
        <v/>
      </c>
    </row>
    <row r="335" spans="1:5" x14ac:dyDescent="0.65">
      <c r="A335" s="554" t="str">
        <f ca="1">IF(ListAndConversion!BN337="-","",ListAndConversion!BN337)</f>
        <v/>
      </c>
      <c r="B335" s="555" t="str">
        <f ca="1">IF(ListAndConversion!BO337="-","",ListAndConversion!BO337)</f>
        <v/>
      </c>
      <c r="C335" s="555" t="str">
        <f ca="1">IF(ListAndConversion!BM337="-","","Pools1")</f>
        <v/>
      </c>
      <c r="D335" s="555" t="str">
        <f ca="1">IF(ListAndConversion!BQ337="-","",ListAndConversion!BQ337)</f>
        <v/>
      </c>
      <c r="E335" s="577" t="str">
        <f ca="1">IF(ListAndConversion!BR337="-","",ListAndConversion!BR337)</f>
        <v/>
      </c>
    </row>
    <row r="336" spans="1:5" x14ac:dyDescent="0.65">
      <c r="A336" s="554" t="str">
        <f ca="1">IF(ListAndConversion!BN338="-","",ListAndConversion!BN338)</f>
        <v/>
      </c>
      <c r="B336" s="555" t="str">
        <f ca="1">IF(ListAndConversion!BO338="-","",ListAndConversion!BO338)</f>
        <v/>
      </c>
      <c r="C336" s="555" t="str">
        <f ca="1">IF(ListAndConversion!BM338="-","","Pools1")</f>
        <v/>
      </c>
      <c r="D336" s="555" t="str">
        <f ca="1">IF(ListAndConversion!BQ338="-","",ListAndConversion!BQ338)</f>
        <v/>
      </c>
      <c r="E336" s="577" t="str">
        <f ca="1">IF(ListAndConversion!BR338="-","",ListAndConversion!BR338)</f>
        <v/>
      </c>
    </row>
    <row r="337" spans="1:5" x14ac:dyDescent="0.65">
      <c r="A337" s="554" t="str">
        <f ca="1">IF(ListAndConversion!BN339="-","",ListAndConversion!BN339)</f>
        <v/>
      </c>
      <c r="B337" s="555" t="str">
        <f ca="1">IF(ListAndConversion!BO339="-","",ListAndConversion!BO339)</f>
        <v/>
      </c>
      <c r="C337" s="555" t="str">
        <f ca="1">IF(ListAndConversion!BM339="-","","Pools1")</f>
        <v/>
      </c>
      <c r="D337" s="555" t="str">
        <f ca="1">IF(ListAndConversion!BQ339="-","",ListAndConversion!BQ339)</f>
        <v/>
      </c>
      <c r="E337" s="577" t="str">
        <f ca="1">IF(ListAndConversion!BR339="-","",ListAndConversion!BR339)</f>
        <v/>
      </c>
    </row>
    <row r="338" spans="1:5" x14ac:dyDescent="0.65">
      <c r="A338" s="554" t="str">
        <f ca="1">IF(ListAndConversion!BN340="-","",ListAndConversion!BN340)</f>
        <v/>
      </c>
      <c r="B338" s="555" t="str">
        <f ca="1">IF(ListAndConversion!BO340="-","",ListAndConversion!BO340)</f>
        <v/>
      </c>
      <c r="C338" s="555" t="str">
        <f ca="1">IF(ListAndConversion!BM340="-","","Pools1")</f>
        <v/>
      </c>
      <c r="D338" s="555" t="str">
        <f ca="1">IF(ListAndConversion!BQ340="-","",ListAndConversion!BQ340)</f>
        <v/>
      </c>
      <c r="E338" s="577" t="str">
        <f ca="1">IF(ListAndConversion!BR340="-","",ListAndConversion!BR340)</f>
        <v/>
      </c>
    </row>
    <row r="339" spans="1:5" x14ac:dyDescent="0.65">
      <c r="A339" s="554" t="str">
        <f ca="1">IF(ListAndConversion!BN341="-","",ListAndConversion!BN341)</f>
        <v/>
      </c>
      <c r="B339" s="555" t="str">
        <f ca="1">IF(ListAndConversion!BO341="-","",ListAndConversion!BO341)</f>
        <v/>
      </c>
      <c r="C339" s="555" t="str">
        <f ca="1">IF(ListAndConversion!BM341="-","","Pools1")</f>
        <v/>
      </c>
      <c r="D339" s="555" t="str">
        <f ca="1">IF(ListAndConversion!BQ341="-","",ListAndConversion!BQ341)</f>
        <v/>
      </c>
      <c r="E339" s="577" t="str">
        <f ca="1">IF(ListAndConversion!BR341="-","",ListAndConversion!BR341)</f>
        <v/>
      </c>
    </row>
    <row r="340" spans="1:5" x14ac:dyDescent="0.65">
      <c r="A340" s="554" t="str">
        <f ca="1">IF(ListAndConversion!BN342="-","",ListAndConversion!BN342)</f>
        <v/>
      </c>
      <c r="B340" s="555" t="str">
        <f ca="1">IF(ListAndConversion!BO342="-","",ListAndConversion!BO342)</f>
        <v/>
      </c>
      <c r="C340" s="555" t="str">
        <f ca="1">IF(ListAndConversion!BM342="-","","Pools1")</f>
        <v/>
      </c>
      <c r="D340" s="555" t="str">
        <f ca="1">IF(ListAndConversion!BQ342="-","",ListAndConversion!BQ342)</f>
        <v/>
      </c>
      <c r="E340" s="577" t="str">
        <f ca="1">IF(ListAndConversion!BR342="-","",ListAndConversion!BR342)</f>
        <v/>
      </c>
    </row>
    <row r="341" spans="1:5" x14ac:dyDescent="0.65">
      <c r="A341" s="554" t="str">
        <f ca="1">IF(ListAndConversion!BN343="-","",ListAndConversion!BN343)</f>
        <v/>
      </c>
      <c r="B341" s="555" t="str">
        <f ca="1">IF(ListAndConversion!BO343="-","",ListAndConversion!BO343)</f>
        <v/>
      </c>
      <c r="C341" s="555" t="str">
        <f ca="1">IF(ListAndConversion!BM343="-","","Pools1")</f>
        <v/>
      </c>
      <c r="D341" s="555" t="str">
        <f ca="1">IF(ListAndConversion!BQ343="-","",ListAndConversion!BQ343)</f>
        <v/>
      </c>
      <c r="E341" s="577" t="str">
        <f ca="1">IF(ListAndConversion!BR343="-","",ListAndConversion!BR343)</f>
        <v/>
      </c>
    </row>
    <row r="342" spans="1:5" x14ac:dyDescent="0.65">
      <c r="A342" s="554" t="str">
        <f ca="1">IF(ListAndConversion!BN344="-","",ListAndConversion!BN344)</f>
        <v/>
      </c>
      <c r="B342" s="555" t="str">
        <f ca="1">IF(ListAndConversion!BO344="-","",ListAndConversion!BO344)</f>
        <v/>
      </c>
      <c r="C342" s="555" t="str">
        <f ca="1">IF(ListAndConversion!BM344="-","","Pools1")</f>
        <v/>
      </c>
      <c r="D342" s="555" t="str">
        <f ca="1">IF(ListAndConversion!BQ344="-","",ListAndConversion!BQ344)</f>
        <v/>
      </c>
      <c r="E342" s="577" t="str">
        <f ca="1">IF(ListAndConversion!BR344="-","",ListAndConversion!BR344)</f>
        <v/>
      </c>
    </row>
    <row r="343" spans="1:5" x14ac:dyDescent="0.65">
      <c r="A343" s="554" t="str">
        <f ca="1">IF(ListAndConversion!BN345="-","",ListAndConversion!BN345)</f>
        <v/>
      </c>
      <c r="B343" s="555" t="str">
        <f ca="1">IF(ListAndConversion!BO345="-","",ListAndConversion!BO345)</f>
        <v/>
      </c>
      <c r="C343" s="555" t="str">
        <f ca="1">IF(ListAndConversion!BM345="-","","Pools1")</f>
        <v/>
      </c>
      <c r="D343" s="555" t="str">
        <f ca="1">IF(ListAndConversion!BQ345="-","",ListAndConversion!BQ345)</f>
        <v/>
      </c>
      <c r="E343" s="577" t="str">
        <f ca="1">IF(ListAndConversion!BR345="-","",ListAndConversion!BR345)</f>
        <v/>
      </c>
    </row>
    <row r="344" spans="1:5" x14ac:dyDescent="0.65">
      <c r="A344" s="554" t="str">
        <f ca="1">IF(ListAndConversion!BN346="-","",ListAndConversion!BN346)</f>
        <v/>
      </c>
      <c r="B344" s="555" t="str">
        <f ca="1">IF(ListAndConversion!BO346="-","",ListAndConversion!BO346)</f>
        <v/>
      </c>
      <c r="C344" s="555" t="str">
        <f ca="1">IF(ListAndConversion!BM346="-","","Pools1")</f>
        <v/>
      </c>
      <c r="D344" s="555" t="str">
        <f ca="1">IF(ListAndConversion!BQ346="-","",ListAndConversion!BQ346)</f>
        <v/>
      </c>
      <c r="E344" s="577" t="str">
        <f ca="1">IF(ListAndConversion!BR346="-","",ListAndConversion!BR346)</f>
        <v/>
      </c>
    </row>
    <row r="345" spans="1:5" x14ac:dyDescent="0.65">
      <c r="A345" s="554" t="str">
        <f ca="1">IF(ListAndConversion!BN347="-","",ListAndConversion!BN347)</f>
        <v/>
      </c>
      <c r="B345" s="555" t="str">
        <f ca="1">IF(ListAndConversion!BO347="-","",ListAndConversion!BO347)</f>
        <v/>
      </c>
      <c r="C345" s="555" t="str">
        <f ca="1">IF(ListAndConversion!BM347="-","","Pools1")</f>
        <v/>
      </c>
      <c r="D345" s="555" t="str">
        <f ca="1">IF(ListAndConversion!BQ347="-","",ListAndConversion!BQ347)</f>
        <v/>
      </c>
      <c r="E345" s="577" t="str">
        <f ca="1">IF(ListAndConversion!BR347="-","",ListAndConversion!BR347)</f>
        <v/>
      </c>
    </row>
    <row r="346" spans="1:5" x14ac:dyDescent="0.65">
      <c r="A346" s="554" t="str">
        <f ca="1">IF(ListAndConversion!BN348="-","",ListAndConversion!BN348)</f>
        <v/>
      </c>
      <c r="B346" s="555" t="str">
        <f ca="1">IF(ListAndConversion!BO348="-","",ListAndConversion!BO348)</f>
        <v/>
      </c>
      <c r="C346" s="555" t="str">
        <f ca="1">IF(ListAndConversion!BM348="-","","Pools1")</f>
        <v/>
      </c>
      <c r="D346" s="555" t="str">
        <f ca="1">IF(ListAndConversion!BQ348="-","",ListAndConversion!BQ348)</f>
        <v/>
      </c>
      <c r="E346" s="577" t="str">
        <f ca="1">IF(ListAndConversion!BR348="-","",ListAndConversion!BR348)</f>
        <v/>
      </c>
    </row>
    <row r="347" spans="1:5" x14ac:dyDescent="0.65">
      <c r="A347" s="554" t="str">
        <f ca="1">IF(ListAndConversion!BN349="-","",ListAndConversion!BN349)</f>
        <v/>
      </c>
      <c r="B347" s="555" t="str">
        <f ca="1">IF(ListAndConversion!BO349="-","",ListAndConversion!BO349)</f>
        <v/>
      </c>
      <c r="C347" s="555" t="str">
        <f ca="1">IF(ListAndConversion!BM349="-","","Pools1")</f>
        <v/>
      </c>
      <c r="D347" s="555" t="str">
        <f ca="1">IF(ListAndConversion!BQ349="-","",ListAndConversion!BQ349)</f>
        <v/>
      </c>
      <c r="E347" s="577" t="str">
        <f ca="1">IF(ListAndConversion!BR349="-","",ListAndConversion!BR349)</f>
        <v/>
      </c>
    </row>
    <row r="348" spans="1:5" x14ac:dyDescent="0.65">
      <c r="A348" s="554" t="str">
        <f ca="1">IF(ListAndConversion!BN350="-","",ListAndConversion!BN350)</f>
        <v/>
      </c>
      <c r="B348" s="555" t="str">
        <f ca="1">IF(ListAndConversion!BO350="-","",ListAndConversion!BO350)</f>
        <v/>
      </c>
      <c r="C348" s="555" t="str">
        <f ca="1">IF(ListAndConversion!BM350="-","","Pools1")</f>
        <v/>
      </c>
      <c r="D348" s="555" t="str">
        <f ca="1">IF(ListAndConversion!BQ350="-","",ListAndConversion!BQ350)</f>
        <v/>
      </c>
      <c r="E348" s="577" t="str">
        <f ca="1">IF(ListAndConversion!BR350="-","",ListAndConversion!BR350)</f>
        <v/>
      </c>
    </row>
    <row r="349" spans="1:5" x14ac:dyDescent="0.65">
      <c r="A349" s="554" t="str">
        <f ca="1">IF(ListAndConversion!BN351="-","",ListAndConversion!BN351)</f>
        <v/>
      </c>
      <c r="B349" s="555" t="str">
        <f ca="1">IF(ListAndConversion!BO351="-","",ListAndConversion!BO351)</f>
        <v/>
      </c>
      <c r="C349" s="555" t="str">
        <f ca="1">IF(ListAndConversion!BM351="-","","Pools1")</f>
        <v/>
      </c>
      <c r="D349" s="555" t="str">
        <f ca="1">IF(ListAndConversion!BQ351="-","",ListAndConversion!BQ351)</f>
        <v/>
      </c>
      <c r="E349" s="577" t="str">
        <f ca="1">IF(ListAndConversion!BR351="-","",ListAndConversion!BR351)</f>
        <v/>
      </c>
    </row>
    <row r="350" spans="1:5" x14ac:dyDescent="0.65">
      <c r="A350" s="554" t="str">
        <f ca="1">IF(ListAndConversion!BN352="-","",ListAndConversion!BN352)</f>
        <v/>
      </c>
      <c r="B350" s="555" t="str">
        <f ca="1">IF(ListAndConversion!BO352="-","",ListAndConversion!BO352)</f>
        <v/>
      </c>
      <c r="C350" s="555" t="str">
        <f ca="1">IF(ListAndConversion!BM352="-","","Pools1")</f>
        <v/>
      </c>
      <c r="D350" s="555" t="str">
        <f ca="1">IF(ListAndConversion!BQ352="-","",ListAndConversion!BQ352)</f>
        <v/>
      </c>
      <c r="E350" s="577" t="str">
        <f ca="1">IF(ListAndConversion!BR352="-","",ListAndConversion!BR352)</f>
        <v/>
      </c>
    </row>
    <row r="351" spans="1:5" x14ac:dyDescent="0.65">
      <c r="A351" s="554" t="str">
        <f ca="1">IF(ListAndConversion!BN353="-","",ListAndConversion!BN353)</f>
        <v/>
      </c>
      <c r="B351" s="555" t="str">
        <f ca="1">IF(ListAndConversion!BO353="-","",ListAndConversion!BO353)</f>
        <v/>
      </c>
      <c r="C351" s="555" t="str">
        <f ca="1">IF(ListAndConversion!BM353="-","","Pools1")</f>
        <v/>
      </c>
      <c r="D351" s="555" t="str">
        <f ca="1">IF(ListAndConversion!BQ353="-","",ListAndConversion!BQ353)</f>
        <v/>
      </c>
      <c r="E351" s="577" t="str">
        <f ca="1">IF(ListAndConversion!BR353="-","",ListAndConversion!BR353)</f>
        <v/>
      </c>
    </row>
    <row r="352" spans="1:5" x14ac:dyDescent="0.65">
      <c r="A352" s="554" t="str">
        <f ca="1">IF(ListAndConversion!BN354="-","",ListAndConversion!BN354)</f>
        <v/>
      </c>
      <c r="B352" s="555" t="str">
        <f ca="1">IF(ListAndConversion!BO354="-","",ListAndConversion!BO354)</f>
        <v/>
      </c>
      <c r="C352" s="555" t="str">
        <f ca="1">IF(ListAndConversion!BM354="-","","Pools1")</f>
        <v/>
      </c>
      <c r="D352" s="555" t="str">
        <f ca="1">IF(ListAndConversion!BQ354="-","",ListAndConversion!BQ354)</f>
        <v/>
      </c>
      <c r="E352" s="577" t="str">
        <f ca="1">IF(ListAndConversion!BR354="-","",ListAndConversion!BR354)</f>
        <v/>
      </c>
    </row>
    <row r="353" spans="1:5" x14ac:dyDescent="0.65">
      <c r="A353" s="554" t="str">
        <f ca="1">IF(ListAndConversion!BN355="-","",ListAndConversion!BN355)</f>
        <v/>
      </c>
      <c r="B353" s="555" t="str">
        <f ca="1">IF(ListAndConversion!BO355="-","",ListAndConversion!BO355)</f>
        <v/>
      </c>
      <c r="C353" s="555" t="str">
        <f ca="1">IF(ListAndConversion!BM355="-","","Pools1")</f>
        <v/>
      </c>
      <c r="D353" s="555" t="str">
        <f ca="1">IF(ListAndConversion!BQ355="-","",ListAndConversion!BQ355)</f>
        <v/>
      </c>
      <c r="E353" s="577" t="str">
        <f ca="1">IF(ListAndConversion!BR355="-","",ListAndConversion!BR355)</f>
        <v/>
      </c>
    </row>
    <row r="354" spans="1:5" x14ac:dyDescent="0.65">
      <c r="A354" s="554" t="str">
        <f ca="1">IF(ListAndConversion!BN356="-","",ListAndConversion!BN356)</f>
        <v/>
      </c>
      <c r="B354" s="555" t="str">
        <f ca="1">IF(ListAndConversion!BO356="-","",ListAndConversion!BO356)</f>
        <v/>
      </c>
      <c r="C354" s="555" t="str">
        <f ca="1">IF(ListAndConversion!BM356="-","","Pools1")</f>
        <v/>
      </c>
      <c r="D354" s="555" t="str">
        <f ca="1">IF(ListAndConversion!BQ356="-","",ListAndConversion!BQ356)</f>
        <v/>
      </c>
      <c r="E354" s="577" t="str">
        <f ca="1">IF(ListAndConversion!BR356="-","",ListAndConversion!BR356)</f>
        <v/>
      </c>
    </row>
    <row r="355" spans="1:5" x14ac:dyDescent="0.65">
      <c r="A355" s="554" t="str">
        <f ca="1">IF(ListAndConversion!BN357="-","",ListAndConversion!BN357)</f>
        <v/>
      </c>
      <c r="B355" s="555" t="str">
        <f ca="1">IF(ListAndConversion!BO357="-","",ListAndConversion!BO357)</f>
        <v/>
      </c>
      <c r="C355" s="555" t="str">
        <f ca="1">IF(ListAndConversion!BM357="-","","Pools1")</f>
        <v/>
      </c>
      <c r="D355" s="555" t="str">
        <f ca="1">IF(ListAndConversion!BQ357="-","",ListAndConversion!BQ357)</f>
        <v/>
      </c>
      <c r="E355" s="577" t="str">
        <f ca="1">IF(ListAndConversion!BR357="-","",ListAndConversion!BR357)</f>
        <v/>
      </c>
    </row>
    <row r="356" spans="1:5" x14ac:dyDescent="0.65">
      <c r="A356" s="554" t="str">
        <f ca="1">IF(ListAndConversion!BN358="-","",ListAndConversion!BN358)</f>
        <v/>
      </c>
      <c r="B356" s="555" t="str">
        <f ca="1">IF(ListAndConversion!BO358="-","",ListAndConversion!BO358)</f>
        <v/>
      </c>
      <c r="C356" s="555" t="str">
        <f ca="1">IF(ListAndConversion!BM358="-","","Pools1")</f>
        <v/>
      </c>
      <c r="D356" s="555" t="str">
        <f ca="1">IF(ListAndConversion!BQ358="-","",ListAndConversion!BQ358)</f>
        <v/>
      </c>
      <c r="E356" s="577" t="str">
        <f ca="1">IF(ListAndConversion!BR358="-","",ListAndConversion!BR358)</f>
        <v/>
      </c>
    </row>
    <row r="357" spans="1:5" x14ac:dyDescent="0.65">
      <c r="A357" s="554" t="str">
        <f ca="1">IF(ListAndConversion!BN359="-","",ListAndConversion!BN359)</f>
        <v/>
      </c>
      <c r="B357" s="555" t="str">
        <f ca="1">IF(ListAndConversion!BO359="-","",ListAndConversion!BO359)</f>
        <v/>
      </c>
      <c r="C357" s="555" t="str">
        <f ca="1">IF(ListAndConversion!BM359="-","","Pools1")</f>
        <v/>
      </c>
      <c r="D357" s="555" t="str">
        <f ca="1">IF(ListAndConversion!BQ359="-","",ListAndConversion!BQ359)</f>
        <v/>
      </c>
      <c r="E357" s="577" t="str">
        <f ca="1">IF(ListAndConversion!BR359="-","",ListAndConversion!BR359)</f>
        <v/>
      </c>
    </row>
    <row r="358" spans="1:5" x14ac:dyDescent="0.65">
      <c r="A358" s="554" t="str">
        <f ca="1">IF(ListAndConversion!BN360="-","",ListAndConversion!BN360)</f>
        <v/>
      </c>
      <c r="B358" s="555" t="str">
        <f ca="1">IF(ListAndConversion!BO360="-","",ListAndConversion!BO360)</f>
        <v/>
      </c>
      <c r="C358" s="555" t="str">
        <f ca="1">IF(ListAndConversion!BM360="-","","Pools1")</f>
        <v/>
      </c>
      <c r="D358" s="555" t="str">
        <f ca="1">IF(ListAndConversion!BQ360="-","",ListAndConversion!BQ360)</f>
        <v/>
      </c>
      <c r="E358" s="577" t="str">
        <f ca="1">IF(ListAndConversion!BR360="-","",ListAndConversion!BR360)</f>
        <v/>
      </c>
    </row>
    <row r="359" spans="1:5" x14ac:dyDescent="0.65">
      <c r="A359" s="554" t="str">
        <f ca="1">IF(ListAndConversion!BN361="-","",ListAndConversion!BN361)</f>
        <v/>
      </c>
      <c r="B359" s="555" t="str">
        <f ca="1">IF(ListAndConversion!BO361="-","",ListAndConversion!BO361)</f>
        <v/>
      </c>
      <c r="C359" s="555" t="str">
        <f ca="1">IF(ListAndConversion!BM361="-","","Pools1")</f>
        <v/>
      </c>
      <c r="D359" s="555" t="str">
        <f ca="1">IF(ListAndConversion!BQ361="-","",ListAndConversion!BQ361)</f>
        <v/>
      </c>
      <c r="E359" s="577" t="str">
        <f ca="1">IF(ListAndConversion!BR361="-","",ListAndConversion!BR361)</f>
        <v/>
      </c>
    </row>
    <row r="360" spans="1:5" x14ac:dyDescent="0.65">
      <c r="A360" s="554" t="str">
        <f ca="1">IF(ListAndConversion!BN362="-","",ListAndConversion!BN362)</f>
        <v/>
      </c>
      <c r="B360" s="555" t="str">
        <f ca="1">IF(ListAndConversion!BO362="-","",ListAndConversion!BO362)</f>
        <v/>
      </c>
      <c r="C360" s="555" t="str">
        <f ca="1">IF(ListAndConversion!BM362="-","","Pools1")</f>
        <v/>
      </c>
      <c r="D360" s="555" t="str">
        <f ca="1">IF(ListAndConversion!BQ362="-","",ListAndConversion!BQ362)</f>
        <v/>
      </c>
      <c r="E360" s="577" t="str">
        <f ca="1">IF(ListAndConversion!BR362="-","",ListAndConversion!BR362)</f>
        <v/>
      </c>
    </row>
    <row r="361" spans="1:5" x14ac:dyDescent="0.65">
      <c r="A361" s="554" t="str">
        <f ca="1">IF(ListAndConversion!BN363="-","",ListAndConversion!BN363)</f>
        <v/>
      </c>
      <c r="B361" s="555" t="str">
        <f ca="1">IF(ListAndConversion!BO363="-","",ListAndConversion!BO363)</f>
        <v/>
      </c>
      <c r="C361" s="555" t="str">
        <f ca="1">IF(ListAndConversion!BM363="-","","Pools1")</f>
        <v/>
      </c>
      <c r="D361" s="555" t="str">
        <f ca="1">IF(ListAndConversion!BQ363="-","",ListAndConversion!BQ363)</f>
        <v/>
      </c>
      <c r="E361" s="577" t="str">
        <f ca="1">IF(ListAndConversion!BR363="-","",ListAndConversion!BR363)</f>
        <v/>
      </c>
    </row>
    <row r="362" spans="1:5" x14ac:dyDescent="0.65">
      <c r="A362" s="554" t="str">
        <f ca="1">IF(ListAndConversion!BN364="-","",ListAndConversion!BN364)</f>
        <v/>
      </c>
      <c r="B362" s="555" t="str">
        <f ca="1">IF(ListAndConversion!BO364="-","",ListAndConversion!BO364)</f>
        <v/>
      </c>
      <c r="C362" s="555" t="str">
        <f ca="1">IF(ListAndConversion!BM364="-","","Pools1")</f>
        <v/>
      </c>
      <c r="D362" s="555" t="str">
        <f ca="1">IF(ListAndConversion!BQ364="-","",ListAndConversion!BQ364)</f>
        <v/>
      </c>
      <c r="E362" s="577" t="str">
        <f ca="1">IF(ListAndConversion!BR364="-","",ListAndConversion!BR364)</f>
        <v/>
      </c>
    </row>
    <row r="363" spans="1:5" x14ac:dyDescent="0.65">
      <c r="A363" s="554" t="str">
        <f ca="1">IF(ListAndConversion!BN365="-","",ListAndConversion!BN365)</f>
        <v/>
      </c>
      <c r="B363" s="555" t="str">
        <f ca="1">IF(ListAndConversion!BO365="-","",ListAndConversion!BO365)</f>
        <v/>
      </c>
      <c r="C363" s="555" t="str">
        <f ca="1">IF(ListAndConversion!BM365="-","","Pools1")</f>
        <v/>
      </c>
      <c r="D363" s="555" t="str">
        <f ca="1">IF(ListAndConversion!BQ365="-","",ListAndConversion!BQ365)</f>
        <v/>
      </c>
      <c r="E363" s="577" t="str">
        <f ca="1">IF(ListAndConversion!BR365="-","",ListAndConversion!BR365)</f>
        <v/>
      </c>
    </row>
    <row r="364" spans="1:5" x14ac:dyDescent="0.65">
      <c r="A364" s="554" t="str">
        <f ca="1">IF(ListAndConversion!BN366="-","",ListAndConversion!BN366)</f>
        <v/>
      </c>
      <c r="B364" s="555" t="str">
        <f ca="1">IF(ListAndConversion!BO366="-","",ListAndConversion!BO366)</f>
        <v/>
      </c>
      <c r="C364" s="555" t="str">
        <f ca="1">IF(ListAndConversion!BM366="-","","Pools1")</f>
        <v/>
      </c>
      <c r="D364" s="555" t="str">
        <f ca="1">IF(ListAndConversion!BQ366="-","",ListAndConversion!BQ366)</f>
        <v/>
      </c>
      <c r="E364" s="577" t="str">
        <f ca="1">IF(ListAndConversion!BR366="-","",ListAndConversion!BR366)</f>
        <v/>
      </c>
    </row>
    <row r="365" spans="1:5" x14ac:dyDescent="0.65">
      <c r="A365" s="554" t="str">
        <f ca="1">IF(ListAndConversion!BN367="-","",ListAndConversion!BN367)</f>
        <v/>
      </c>
      <c r="B365" s="555" t="str">
        <f ca="1">IF(ListAndConversion!BO367="-","",ListAndConversion!BO367)</f>
        <v/>
      </c>
      <c r="C365" s="555" t="str">
        <f ca="1">IF(ListAndConversion!BM367="-","","Pools1")</f>
        <v/>
      </c>
      <c r="D365" s="555" t="str">
        <f ca="1">IF(ListAndConversion!BQ367="-","",ListAndConversion!BQ367)</f>
        <v/>
      </c>
      <c r="E365" s="577" t="str">
        <f ca="1">IF(ListAndConversion!BR367="-","",ListAndConversion!BR367)</f>
        <v/>
      </c>
    </row>
    <row r="366" spans="1:5" x14ac:dyDescent="0.65">
      <c r="A366" s="554" t="str">
        <f ca="1">IF(ListAndConversion!BN368="-","",ListAndConversion!BN368)</f>
        <v/>
      </c>
      <c r="B366" s="555" t="str">
        <f ca="1">IF(ListAndConversion!BO368="-","",ListAndConversion!BO368)</f>
        <v/>
      </c>
      <c r="C366" s="555" t="str">
        <f ca="1">IF(ListAndConversion!BM368="-","","Pools1")</f>
        <v/>
      </c>
      <c r="D366" s="555" t="str">
        <f ca="1">IF(ListAndConversion!BQ368="-","",ListAndConversion!BQ368)</f>
        <v/>
      </c>
      <c r="E366" s="577" t="str">
        <f ca="1">IF(ListAndConversion!BR368="-","",ListAndConversion!BR368)</f>
        <v/>
      </c>
    </row>
    <row r="367" spans="1:5" x14ac:dyDescent="0.65">
      <c r="A367" s="554" t="str">
        <f ca="1">IF(ListAndConversion!BN369="-","",ListAndConversion!BN369)</f>
        <v/>
      </c>
      <c r="B367" s="555" t="str">
        <f ca="1">IF(ListAndConversion!BO369="-","",ListAndConversion!BO369)</f>
        <v/>
      </c>
      <c r="C367" s="555" t="str">
        <f ca="1">IF(ListAndConversion!BM369="-","","Pools1")</f>
        <v/>
      </c>
      <c r="D367" s="555" t="str">
        <f ca="1">IF(ListAndConversion!BQ369="-","",ListAndConversion!BQ369)</f>
        <v/>
      </c>
      <c r="E367" s="577" t="str">
        <f ca="1">IF(ListAndConversion!BR369="-","",ListAndConversion!BR369)</f>
        <v/>
      </c>
    </row>
    <row r="368" spans="1:5" x14ac:dyDescent="0.65">
      <c r="A368" s="554" t="str">
        <f ca="1">IF(ListAndConversion!BN370="-","",ListAndConversion!BN370)</f>
        <v/>
      </c>
      <c r="B368" s="555" t="str">
        <f ca="1">IF(ListAndConversion!BO370="-","",ListAndConversion!BO370)</f>
        <v/>
      </c>
      <c r="C368" s="555" t="str">
        <f ca="1">IF(ListAndConversion!BM370="-","","Pools1")</f>
        <v/>
      </c>
      <c r="D368" s="555" t="str">
        <f ca="1">IF(ListAndConversion!BQ370="-","",ListAndConversion!BQ370)</f>
        <v/>
      </c>
      <c r="E368" s="577" t="str">
        <f ca="1">IF(ListAndConversion!BR370="-","",ListAndConversion!BR370)</f>
        <v/>
      </c>
    </row>
    <row r="369" spans="1:5" x14ac:dyDescent="0.65">
      <c r="A369" s="554" t="str">
        <f ca="1">IF(ListAndConversion!BN371="-","",ListAndConversion!BN371)</f>
        <v/>
      </c>
      <c r="B369" s="555" t="str">
        <f ca="1">IF(ListAndConversion!BO371="-","",ListAndConversion!BO371)</f>
        <v/>
      </c>
      <c r="C369" s="555" t="str">
        <f ca="1">IF(ListAndConversion!BM371="-","","Pools1")</f>
        <v/>
      </c>
      <c r="D369" s="555" t="str">
        <f ca="1">IF(ListAndConversion!BQ371="-","",ListAndConversion!BQ371)</f>
        <v/>
      </c>
      <c r="E369" s="577" t="str">
        <f ca="1">IF(ListAndConversion!BR371="-","",ListAndConversion!BR371)</f>
        <v/>
      </c>
    </row>
    <row r="370" spans="1:5" x14ac:dyDescent="0.65">
      <c r="A370" s="554" t="str">
        <f ca="1">IF(ListAndConversion!BN372="-","",ListAndConversion!BN372)</f>
        <v/>
      </c>
      <c r="B370" s="555" t="str">
        <f ca="1">IF(ListAndConversion!BO372="-","",ListAndConversion!BO372)</f>
        <v/>
      </c>
      <c r="C370" s="555" t="str">
        <f ca="1">IF(ListAndConversion!BM372="-","","Pools1")</f>
        <v/>
      </c>
      <c r="D370" s="555" t="str">
        <f ca="1">IF(ListAndConversion!BQ372="-","",ListAndConversion!BQ372)</f>
        <v/>
      </c>
      <c r="E370" s="577" t="str">
        <f ca="1">IF(ListAndConversion!BR372="-","",ListAndConversion!BR372)</f>
        <v/>
      </c>
    </row>
    <row r="371" spans="1:5" x14ac:dyDescent="0.65">
      <c r="A371" s="554" t="str">
        <f ca="1">IF(ListAndConversion!BN373="-","",ListAndConversion!BN373)</f>
        <v/>
      </c>
      <c r="B371" s="555" t="str">
        <f ca="1">IF(ListAndConversion!BO373="-","",ListAndConversion!BO373)</f>
        <v/>
      </c>
      <c r="C371" s="555" t="str">
        <f ca="1">IF(ListAndConversion!BM373="-","","Pools1")</f>
        <v/>
      </c>
      <c r="D371" s="555" t="str">
        <f ca="1">IF(ListAndConversion!BQ373="-","",ListAndConversion!BQ373)</f>
        <v/>
      </c>
      <c r="E371" s="577" t="str">
        <f ca="1">IF(ListAndConversion!BR373="-","",ListAndConversion!BR373)</f>
        <v/>
      </c>
    </row>
    <row r="372" spans="1:5" x14ac:dyDescent="0.65">
      <c r="A372" s="554" t="str">
        <f ca="1">IF(ListAndConversion!BN374="-","",ListAndConversion!BN374)</f>
        <v/>
      </c>
      <c r="B372" s="555" t="str">
        <f ca="1">IF(ListAndConversion!BO374="-","",ListAndConversion!BO374)</f>
        <v/>
      </c>
      <c r="C372" s="555" t="str">
        <f ca="1">IF(ListAndConversion!BM374="-","","Pools1")</f>
        <v/>
      </c>
      <c r="D372" s="555" t="str">
        <f ca="1">IF(ListAndConversion!BQ374="-","",ListAndConversion!BQ374)</f>
        <v/>
      </c>
      <c r="E372" s="577" t="str">
        <f ca="1">IF(ListAndConversion!BR374="-","",ListAndConversion!BR374)</f>
        <v/>
      </c>
    </row>
    <row r="373" spans="1:5" x14ac:dyDescent="0.65">
      <c r="A373" s="554" t="str">
        <f ca="1">IF(ListAndConversion!BN375="-","",ListAndConversion!BN375)</f>
        <v/>
      </c>
      <c r="B373" s="555" t="str">
        <f ca="1">IF(ListAndConversion!BO375="-","",ListAndConversion!BO375)</f>
        <v/>
      </c>
      <c r="C373" s="555" t="str">
        <f ca="1">IF(ListAndConversion!BM375="-","","Pools1")</f>
        <v/>
      </c>
      <c r="D373" s="555" t="str">
        <f ca="1">IF(ListAndConversion!BQ375="-","",ListAndConversion!BQ375)</f>
        <v/>
      </c>
      <c r="E373" s="577" t="str">
        <f ca="1">IF(ListAndConversion!BR375="-","",ListAndConversion!BR375)</f>
        <v/>
      </c>
    </row>
    <row r="374" spans="1:5" x14ac:dyDescent="0.65">
      <c r="A374" s="554" t="str">
        <f ca="1">IF(ListAndConversion!BN376="-","",ListAndConversion!BN376)</f>
        <v/>
      </c>
      <c r="B374" s="555" t="str">
        <f ca="1">IF(ListAndConversion!BO376="-","",ListAndConversion!BO376)</f>
        <v/>
      </c>
      <c r="C374" s="555" t="str">
        <f ca="1">IF(ListAndConversion!BM376="-","","Pools1")</f>
        <v/>
      </c>
      <c r="D374" s="555" t="str">
        <f ca="1">IF(ListAndConversion!BQ376="-","",ListAndConversion!BQ376)</f>
        <v/>
      </c>
      <c r="E374" s="577" t="str">
        <f ca="1">IF(ListAndConversion!BR376="-","",ListAndConversion!BR376)</f>
        <v/>
      </c>
    </row>
    <row r="375" spans="1:5" x14ac:dyDescent="0.65">
      <c r="A375" s="554" t="str">
        <f ca="1">IF(ListAndConversion!BN377="-","",ListAndConversion!BN377)</f>
        <v/>
      </c>
      <c r="B375" s="555" t="str">
        <f ca="1">IF(ListAndConversion!BO377="-","",ListAndConversion!BO377)</f>
        <v/>
      </c>
      <c r="C375" s="555" t="str">
        <f ca="1">IF(ListAndConversion!BM377="-","","Pools1")</f>
        <v/>
      </c>
      <c r="D375" s="555" t="str">
        <f ca="1">IF(ListAndConversion!BQ377="-","",ListAndConversion!BQ377)</f>
        <v/>
      </c>
      <c r="E375" s="577" t="str">
        <f ca="1">IF(ListAndConversion!BR377="-","",ListAndConversion!BR377)</f>
        <v/>
      </c>
    </row>
    <row r="376" spans="1:5" x14ac:dyDescent="0.65">
      <c r="A376" s="554" t="str">
        <f ca="1">IF(ListAndConversion!BN378="-","",ListAndConversion!BN378)</f>
        <v/>
      </c>
      <c r="B376" s="555" t="str">
        <f ca="1">IF(ListAndConversion!BO378="-","",ListAndConversion!BO378)</f>
        <v/>
      </c>
      <c r="C376" s="555" t="str">
        <f ca="1">IF(ListAndConversion!BM378="-","","Pools1")</f>
        <v/>
      </c>
      <c r="D376" s="555" t="str">
        <f ca="1">IF(ListAndConversion!BQ378="-","",ListAndConversion!BQ378)</f>
        <v/>
      </c>
      <c r="E376" s="577" t="str">
        <f ca="1">IF(ListAndConversion!BR378="-","",ListAndConversion!BR378)</f>
        <v/>
      </c>
    </row>
    <row r="377" spans="1:5" x14ac:dyDescent="0.65">
      <c r="A377" s="554" t="str">
        <f ca="1">IF(ListAndConversion!BN379="-","",ListAndConversion!BN379)</f>
        <v/>
      </c>
      <c r="B377" s="555" t="str">
        <f ca="1">IF(ListAndConversion!BO379="-","",ListAndConversion!BO379)</f>
        <v/>
      </c>
      <c r="C377" s="555" t="str">
        <f ca="1">IF(ListAndConversion!BM379="-","","Pools1")</f>
        <v/>
      </c>
      <c r="D377" s="555" t="str">
        <f ca="1">IF(ListAndConversion!BQ379="-","",ListAndConversion!BQ379)</f>
        <v/>
      </c>
      <c r="E377" s="577" t="str">
        <f ca="1">IF(ListAndConversion!BR379="-","",ListAndConversion!BR379)</f>
        <v/>
      </c>
    </row>
    <row r="378" spans="1:5" x14ac:dyDescent="0.65">
      <c r="A378" s="554" t="str">
        <f ca="1">IF(ListAndConversion!BN380="-","",ListAndConversion!BN380)</f>
        <v/>
      </c>
      <c r="B378" s="555" t="str">
        <f ca="1">IF(ListAndConversion!BO380="-","",ListAndConversion!BO380)</f>
        <v/>
      </c>
      <c r="C378" s="555" t="str">
        <f ca="1">IF(ListAndConversion!BM380="-","","Pools1")</f>
        <v/>
      </c>
      <c r="D378" s="555" t="str">
        <f ca="1">IF(ListAndConversion!BQ380="-","",ListAndConversion!BQ380)</f>
        <v/>
      </c>
      <c r="E378" s="577" t="str">
        <f ca="1">IF(ListAndConversion!BR380="-","",ListAndConversion!BR380)</f>
        <v/>
      </c>
    </row>
    <row r="379" spans="1:5" x14ac:dyDescent="0.65">
      <c r="A379" s="554" t="str">
        <f ca="1">IF(ListAndConversion!BN381="-","",ListAndConversion!BN381)</f>
        <v/>
      </c>
      <c r="B379" s="555" t="str">
        <f ca="1">IF(ListAndConversion!BO381="-","",ListAndConversion!BO381)</f>
        <v/>
      </c>
      <c r="C379" s="555" t="str">
        <f ca="1">IF(ListAndConversion!BM381="-","","Pools1")</f>
        <v/>
      </c>
      <c r="D379" s="555" t="str">
        <f ca="1">IF(ListAndConversion!BQ381="-","",ListAndConversion!BQ381)</f>
        <v/>
      </c>
      <c r="E379" s="577" t="str">
        <f ca="1">IF(ListAndConversion!BR381="-","",ListAndConversion!BR381)</f>
        <v/>
      </c>
    </row>
    <row r="380" spans="1:5" x14ac:dyDescent="0.65">
      <c r="A380" s="554" t="str">
        <f ca="1">IF(ListAndConversion!BN382="-","",ListAndConversion!BN382)</f>
        <v/>
      </c>
      <c r="B380" s="555" t="str">
        <f ca="1">IF(ListAndConversion!BO382="-","",ListAndConversion!BO382)</f>
        <v/>
      </c>
      <c r="C380" s="555" t="str">
        <f ca="1">IF(ListAndConversion!BM382="-","","Pools1")</f>
        <v/>
      </c>
      <c r="D380" s="555" t="str">
        <f ca="1">IF(ListAndConversion!BQ382="-","",ListAndConversion!BQ382)</f>
        <v/>
      </c>
      <c r="E380" s="577" t="str">
        <f ca="1">IF(ListAndConversion!BR382="-","",ListAndConversion!BR382)</f>
        <v/>
      </c>
    </row>
    <row r="381" spans="1:5" x14ac:dyDescent="0.65">
      <c r="A381" s="554" t="str">
        <f ca="1">IF(ListAndConversion!BN383="-","",ListAndConversion!BN383)</f>
        <v/>
      </c>
      <c r="B381" s="555" t="str">
        <f ca="1">IF(ListAndConversion!BO383="-","",ListAndConversion!BO383)</f>
        <v/>
      </c>
      <c r="C381" s="555" t="str">
        <f ca="1">IF(ListAndConversion!BM383="-","","Pools1")</f>
        <v/>
      </c>
      <c r="D381" s="555" t="str">
        <f ca="1">IF(ListAndConversion!BQ383="-","",ListAndConversion!BQ383)</f>
        <v/>
      </c>
      <c r="E381" s="577" t="str">
        <f ca="1">IF(ListAndConversion!BR383="-","",ListAndConversion!BR383)</f>
        <v/>
      </c>
    </row>
    <row r="382" spans="1:5" x14ac:dyDescent="0.65">
      <c r="A382" s="554" t="str">
        <f ca="1">IF(ListAndConversion!BN384="-","",ListAndConversion!BN384)</f>
        <v/>
      </c>
      <c r="B382" s="555" t="str">
        <f ca="1">IF(ListAndConversion!BO384="-","",ListAndConversion!BO384)</f>
        <v/>
      </c>
      <c r="C382" s="555" t="str">
        <f ca="1">IF(ListAndConversion!BM384="-","","Pools1")</f>
        <v/>
      </c>
      <c r="D382" s="555" t="str">
        <f ca="1">IF(ListAndConversion!BQ384="-","",ListAndConversion!BQ384)</f>
        <v/>
      </c>
      <c r="E382" s="577" t="str">
        <f ca="1">IF(ListAndConversion!BR384="-","",ListAndConversion!BR384)</f>
        <v/>
      </c>
    </row>
    <row r="383" spans="1:5" x14ac:dyDescent="0.65">
      <c r="A383" s="554" t="str">
        <f ca="1">IF(ListAndConversion!BN385="-","",ListAndConversion!BN385)</f>
        <v/>
      </c>
      <c r="B383" s="555" t="str">
        <f ca="1">IF(ListAndConversion!BO385="-","",ListAndConversion!BO385)</f>
        <v/>
      </c>
      <c r="C383" s="555" t="str">
        <f ca="1">IF(ListAndConversion!BM385="-","","Pools1")</f>
        <v/>
      </c>
      <c r="D383" s="555" t="str">
        <f ca="1">IF(ListAndConversion!BQ385="-","",ListAndConversion!BQ385)</f>
        <v/>
      </c>
      <c r="E383" s="577" t="str">
        <f ca="1">IF(ListAndConversion!BR385="-","",ListAndConversion!BR385)</f>
        <v/>
      </c>
    </row>
    <row r="384" spans="1:5" x14ac:dyDescent="0.65">
      <c r="A384" s="554" t="str">
        <f ca="1">IF(ListAndConversion!BN386="-","",ListAndConversion!BN386)</f>
        <v/>
      </c>
      <c r="B384" s="555" t="str">
        <f ca="1">IF(ListAndConversion!BO386="-","",ListAndConversion!BO386)</f>
        <v/>
      </c>
      <c r="C384" s="555" t="str">
        <f ca="1">IF(ListAndConversion!BM386="-","","Pools1")</f>
        <v/>
      </c>
      <c r="D384" s="555" t="str">
        <f ca="1">IF(ListAndConversion!BQ386="-","",ListAndConversion!BQ386)</f>
        <v/>
      </c>
      <c r="E384" s="577" t="str">
        <f ca="1">IF(ListAndConversion!BR386="-","",ListAndConversion!BR386)</f>
        <v/>
      </c>
    </row>
    <row r="385" spans="1:5" x14ac:dyDescent="0.65">
      <c r="A385" s="558" t="str">
        <f ca="1">IF(ListAndConversion!BN387="-","",ListAndConversion!BN387)</f>
        <v/>
      </c>
      <c r="B385" s="559" t="str">
        <f ca="1">IF(ListAndConversion!BO387="-","",ListAndConversion!BO387)</f>
        <v/>
      </c>
      <c r="C385" s="559" t="str">
        <f ca="1">IF(ListAndConversion!BM387="-","","Pools1")</f>
        <v/>
      </c>
      <c r="D385" s="559" t="str">
        <f ca="1">IF(ListAndConversion!BQ387="-","",ListAndConversion!BQ387)</f>
        <v/>
      </c>
      <c r="E385" s="578" t="str">
        <f ca="1">IF(ListAndConversion!BR387="-","",ListAndConversion!BR387)</f>
        <v/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85"/>
  <sheetViews>
    <sheetView zoomScaleNormal="100" workbookViewId="0"/>
  </sheetViews>
  <sheetFormatPr defaultRowHeight="14.25" x14ac:dyDescent="0.65"/>
  <cols>
    <col min="1" max="1" width="13.5" style="546"/>
    <col min="2" max="2" width="7.81640625" style="546"/>
    <col min="3" max="3" width="9.04296875" style="546"/>
    <col min="4" max="4" width="8.6328125" style="546"/>
    <col min="5" max="5" width="7.54296875" style="546"/>
    <col min="6" max="6" width="13.90625" style="546"/>
    <col min="7" max="10" width="13.5" style="546"/>
    <col min="11" max="11" width="11.453125" style="546"/>
    <col min="12" max="1025" width="11.1796875" style="547"/>
  </cols>
  <sheetData>
    <row r="1" spans="1:15" x14ac:dyDescent="0.65">
      <c r="A1" s="579" t="s">
        <v>492</v>
      </c>
      <c r="B1" s="580" t="s">
        <v>493</v>
      </c>
      <c r="C1" s="580" t="s">
        <v>496</v>
      </c>
      <c r="D1" s="581" t="s">
        <v>484</v>
      </c>
      <c r="E1" s="581" t="s">
        <v>485</v>
      </c>
      <c r="F1" s="581" t="s">
        <v>495</v>
      </c>
      <c r="G1" s="581" t="s">
        <v>497</v>
      </c>
      <c r="H1" s="581" t="s">
        <v>498</v>
      </c>
      <c r="I1" s="581" t="s">
        <v>499</v>
      </c>
      <c r="J1" s="581" t="s">
        <v>500</v>
      </c>
      <c r="K1" s="582" t="s">
        <v>501</v>
      </c>
      <c r="L1" s="557"/>
      <c r="M1" s="557"/>
      <c r="N1" s="557"/>
      <c r="O1" s="557"/>
    </row>
    <row r="2" spans="1:15" x14ac:dyDescent="0.65">
      <c r="A2" s="554" t="str">
        <f ca="1">IF(OR(LEFT(ListAndConversion!BW4,3)="Dil",LEFT(ListAndConversion!BW4,3)="Poo"),ListAndConversion!$BT$4,IF(LEFT(ListAndConversion!BW4,3)="Sou",INDEX(ListAndConversion!$AT$4:$AV$387,MATCH(ListAndConversion!BV4,ListAndConversion!$AV$4:$AV$387,0),1),""))</f>
        <v/>
      </c>
      <c r="B2" s="555" t="str">
        <f ca="1">IF(OR(LEFT(ListAndConversion!BW4,3)="Dil",LEFT(ListAndConversion!BW4,3)="Poo"),ListAndConversion!BU4,IF(LEFT(ListAndConversion!BW4,3)="Sou",INDEX(ListAndConversion!$AT$4:$AV$387,MATCH(ListAndConversion!BV4,ListAndConversion!$AV$4:$AV$387,0),2),""))</f>
        <v/>
      </c>
      <c r="C2" s="555" t="str">
        <f ca="1">IF(ListAndConversion!BZ4&lt;&gt;"-",ListAndConversion!BZ4,"")</f>
        <v/>
      </c>
      <c r="D2" s="555" t="str">
        <f ca="1">IF(ListAndConversion!BW4&lt;&gt;"-",ListAndConversion!BW4,"")</f>
        <v/>
      </c>
      <c r="E2" s="555" t="str">
        <f ca="1">IF(ListAndConversion!BX4&lt;&gt;"-",ListAndConversion!BX4,"")</f>
        <v/>
      </c>
      <c r="F2" s="565" t="str">
        <f ca="1">IF(ListAndConversion!BY4&lt;&gt;"-",ListAndConversion!BY4,"")</f>
        <v/>
      </c>
      <c r="G2" s="565" t="str">
        <f ca="1">IF(ListAndConversion!CB4&lt;&gt;"-",ListAndConversion!CB4,"")</f>
        <v/>
      </c>
      <c r="H2" s="565" t="str">
        <f ca="1">IF(ListAndConversion!CC4&lt;&gt;"-",ListAndConversion!CC4,"")</f>
        <v/>
      </c>
      <c r="I2" s="565" t="str">
        <f ca="1">IF(ListAndConversion!CC4&lt;&gt;"-","Microfuge1","")</f>
        <v/>
      </c>
      <c r="J2" s="583" t="str">
        <f ca="1">IF(ListAndConversion!CD4&lt;&gt;"-",ListAndConversion!CD4,"")</f>
        <v/>
      </c>
      <c r="K2" s="577" t="str">
        <f t="shared" ref="K2:K65" ca="1" si="0">IF(LEFT(D2,4)="Pool",15,IF(D2="","",0))</f>
        <v/>
      </c>
    </row>
    <row r="3" spans="1:15" x14ac:dyDescent="0.65">
      <c r="A3" s="554" t="str">
        <f ca="1">IF(OR(LEFT(ListAndConversion!BW5,3)="Dil",LEFT(ListAndConversion!BW5,3)="Poo"),ListAndConversion!$BT$4,IF(LEFT(ListAndConversion!BW5,3)="Sou",INDEX(ListAndConversion!$AT$4:$AV$387,MATCH(ListAndConversion!BV5,ListAndConversion!$AV$4:$AV$387,0),1),""))</f>
        <v/>
      </c>
      <c r="B3" s="555" t="str">
        <f ca="1">IF(OR(LEFT(ListAndConversion!BW5,3)="Dil",LEFT(ListAndConversion!BW5,3)="Poo"),ListAndConversion!BU5,IF(LEFT(ListAndConversion!BW5,3)="Sou",INDEX(ListAndConversion!$AT$4:$AV$387,MATCH(ListAndConversion!BV5,ListAndConversion!$AV$4:$AV$387,0),2),""))</f>
        <v/>
      </c>
      <c r="C3" s="555" t="str">
        <f ca="1">IF(ListAndConversion!BZ5&lt;&gt;"-",ListAndConversion!BZ5,"")</f>
        <v/>
      </c>
      <c r="D3" s="555" t="str">
        <f ca="1">IF(ListAndConversion!BW5&lt;&gt;"-",ListAndConversion!BW5,"")</f>
        <v/>
      </c>
      <c r="E3" s="555" t="str">
        <f ca="1">IF(ListAndConversion!BX5&lt;&gt;"-",ListAndConversion!BX5,"")</f>
        <v/>
      </c>
      <c r="F3" s="565" t="str">
        <f ca="1">IF(ListAndConversion!BY5&lt;&gt;"-",ListAndConversion!BY5,"")</f>
        <v/>
      </c>
      <c r="G3" s="565" t="str">
        <f ca="1">IF(ListAndConversion!CB5&lt;&gt;"-",ListAndConversion!CB5,"")</f>
        <v/>
      </c>
      <c r="H3" s="565" t="str">
        <f ca="1">IF(ListAndConversion!CC5&lt;&gt;"-",ListAndConversion!CC5,"")</f>
        <v/>
      </c>
      <c r="I3" s="565" t="str">
        <f ca="1">IF(ListAndConversion!CC5&lt;&gt;"-","Microfuge1","")</f>
        <v/>
      </c>
      <c r="J3" s="583" t="str">
        <f ca="1">IF(ListAndConversion!CD5&lt;&gt;"-",ListAndConversion!CD5,"")</f>
        <v/>
      </c>
      <c r="K3" s="577" t="str">
        <f t="shared" ca="1" si="0"/>
        <v/>
      </c>
    </row>
    <row r="4" spans="1:15" x14ac:dyDescent="0.65">
      <c r="A4" s="554" t="str">
        <f ca="1">IF(OR(LEFT(ListAndConversion!BW6,3)="Dil",LEFT(ListAndConversion!BW6,3)="Poo"),ListAndConversion!$BT$4,IF(LEFT(ListAndConversion!BW6,3)="Sou",INDEX(ListAndConversion!$AT$4:$AV$387,MATCH(ListAndConversion!BV6,ListAndConversion!$AV$4:$AV$387,0),1),""))</f>
        <v/>
      </c>
      <c r="B4" s="555" t="str">
        <f ca="1">IF(OR(LEFT(ListAndConversion!BW6,3)="Dil",LEFT(ListAndConversion!BW6,3)="Poo"),ListAndConversion!BU6,IF(LEFT(ListAndConversion!BW6,3)="Sou",INDEX(ListAndConversion!$AT$4:$AV$387,MATCH(ListAndConversion!BV6,ListAndConversion!$AV$4:$AV$387,0),2),""))</f>
        <v/>
      </c>
      <c r="C4" s="555" t="str">
        <f ca="1">IF(ListAndConversion!BZ6&lt;&gt;"-",ListAndConversion!BZ6,"")</f>
        <v/>
      </c>
      <c r="D4" s="555" t="str">
        <f ca="1">IF(ListAndConversion!BW6&lt;&gt;"-",ListAndConversion!BW6,"")</f>
        <v/>
      </c>
      <c r="E4" s="555" t="str">
        <f ca="1">IF(ListAndConversion!BX6&lt;&gt;"-",ListAndConversion!BX6,"")</f>
        <v/>
      </c>
      <c r="F4" s="565" t="str">
        <f ca="1">IF(ListAndConversion!BY6&lt;&gt;"-",ListAndConversion!BY6,"")</f>
        <v/>
      </c>
      <c r="G4" s="565" t="str">
        <f ca="1">IF(ListAndConversion!CB6&lt;&gt;"-",ListAndConversion!CB6,"")</f>
        <v/>
      </c>
      <c r="H4" s="565" t="str">
        <f ca="1">IF(ListAndConversion!CC6&lt;&gt;"-",ListAndConversion!CC6,"")</f>
        <v/>
      </c>
      <c r="I4" s="565" t="str">
        <f ca="1">IF(ListAndConversion!CC6&lt;&gt;"-","Microfuge1","")</f>
        <v/>
      </c>
      <c r="J4" s="583" t="str">
        <f ca="1">IF(ListAndConversion!CD6&lt;&gt;"-",ListAndConversion!CD6,"")</f>
        <v/>
      </c>
      <c r="K4" s="577" t="str">
        <f t="shared" ca="1" si="0"/>
        <v/>
      </c>
    </row>
    <row r="5" spans="1:15" x14ac:dyDescent="0.65">
      <c r="A5" s="554" t="str">
        <f ca="1">IF(OR(LEFT(ListAndConversion!BW7,3)="Dil",LEFT(ListAndConversion!BW7,3)="Poo"),ListAndConversion!$BT$4,IF(LEFT(ListAndConversion!BW7,3)="Sou",INDEX(ListAndConversion!$AT$4:$AV$387,MATCH(ListAndConversion!BV7,ListAndConversion!$AV$4:$AV$387,0),1),""))</f>
        <v/>
      </c>
      <c r="B5" s="555" t="str">
        <f ca="1">IF(OR(LEFT(ListAndConversion!BW7,3)="Dil",LEFT(ListAndConversion!BW7,3)="Poo"),ListAndConversion!BU7,IF(LEFT(ListAndConversion!BW7,3)="Sou",INDEX(ListAndConversion!$AT$4:$AV$387,MATCH(ListAndConversion!BV7,ListAndConversion!$AV$4:$AV$387,0),2),""))</f>
        <v/>
      </c>
      <c r="C5" s="555" t="str">
        <f ca="1">IF(ListAndConversion!BZ7&lt;&gt;"-",ListAndConversion!BZ7,"")</f>
        <v/>
      </c>
      <c r="D5" s="555" t="str">
        <f ca="1">IF(ListAndConversion!BW7&lt;&gt;"-",ListAndConversion!BW7,"")</f>
        <v/>
      </c>
      <c r="E5" s="555" t="str">
        <f ca="1">IF(ListAndConversion!BX7&lt;&gt;"-",ListAndConversion!BX7,"")</f>
        <v/>
      </c>
      <c r="F5" s="565" t="str">
        <f ca="1">IF(ListAndConversion!BY7&lt;&gt;"-",ListAndConversion!BY7,"")</f>
        <v/>
      </c>
      <c r="G5" s="565" t="str">
        <f ca="1">IF(ListAndConversion!CB7&lt;&gt;"-",ListAndConversion!CB7,"")</f>
        <v/>
      </c>
      <c r="H5" s="565" t="str">
        <f ca="1">IF(ListAndConversion!CC7&lt;&gt;"-",ListAndConversion!CC7,"")</f>
        <v/>
      </c>
      <c r="I5" s="565" t="str">
        <f ca="1">IF(ListAndConversion!CC7&lt;&gt;"-","Microfuge1","")</f>
        <v/>
      </c>
      <c r="J5" s="583" t="str">
        <f ca="1">IF(ListAndConversion!CD7&lt;&gt;"-",ListAndConversion!CD7,"")</f>
        <v/>
      </c>
      <c r="K5" s="577" t="str">
        <f t="shared" ca="1" si="0"/>
        <v/>
      </c>
    </row>
    <row r="6" spans="1:15" x14ac:dyDescent="0.65">
      <c r="A6" s="554" t="str">
        <f ca="1">IF(OR(LEFT(ListAndConversion!BW8,3)="Dil",LEFT(ListAndConversion!BW8,3)="Poo"),ListAndConversion!$BT$4,IF(LEFT(ListAndConversion!BW8,3)="Sou",INDEX(ListAndConversion!$AT$4:$AV$387,MATCH(ListAndConversion!BV8,ListAndConversion!$AV$4:$AV$387,0),1),""))</f>
        <v/>
      </c>
      <c r="B6" s="555" t="str">
        <f ca="1">IF(OR(LEFT(ListAndConversion!BW8,3)="Dil",LEFT(ListAndConversion!BW8,3)="Poo"),ListAndConversion!BU8,IF(LEFT(ListAndConversion!BW8,3)="Sou",INDEX(ListAndConversion!$AT$4:$AV$387,MATCH(ListAndConversion!BV8,ListAndConversion!$AV$4:$AV$387,0),2),""))</f>
        <v/>
      </c>
      <c r="C6" s="555" t="str">
        <f ca="1">IF(ListAndConversion!BZ8&lt;&gt;"-",ListAndConversion!BZ8,"")</f>
        <v/>
      </c>
      <c r="D6" s="555" t="str">
        <f ca="1">IF(ListAndConversion!BW8&lt;&gt;"-",ListAndConversion!BW8,"")</f>
        <v/>
      </c>
      <c r="E6" s="555" t="str">
        <f ca="1">IF(ListAndConversion!BX8&lt;&gt;"-",ListAndConversion!BX8,"")</f>
        <v/>
      </c>
      <c r="F6" s="565" t="str">
        <f ca="1">IF(ListAndConversion!BY8&lt;&gt;"-",ListAndConversion!BY8,"")</f>
        <v/>
      </c>
      <c r="G6" s="565" t="str">
        <f ca="1">IF(ListAndConversion!CB8&lt;&gt;"-",ListAndConversion!CB8,"")</f>
        <v/>
      </c>
      <c r="H6" s="565" t="str">
        <f ca="1">IF(ListAndConversion!CC8&lt;&gt;"-",ListAndConversion!CC8,"")</f>
        <v/>
      </c>
      <c r="I6" s="565" t="str">
        <f ca="1">IF(ListAndConversion!CC8&lt;&gt;"-","Microfuge1","")</f>
        <v/>
      </c>
      <c r="J6" s="583" t="str">
        <f ca="1">IF(ListAndConversion!CD8&lt;&gt;"-",ListAndConversion!CD8,"")</f>
        <v/>
      </c>
      <c r="K6" s="577" t="str">
        <f t="shared" ca="1" si="0"/>
        <v/>
      </c>
    </row>
    <row r="7" spans="1:15" x14ac:dyDescent="0.65">
      <c r="A7" s="554" t="str">
        <f ca="1">IF(OR(LEFT(ListAndConversion!BW9,3)="Dil",LEFT(ListAndConversion!BW9,3)="Poo"),ListAndConversion!$BT$4,IF(LEFT(ListAndConversion!BW9,3)="Sou",INDEX(ListAndConversion!$AT$4:$AV$387,MATCH(ListAndConversion!BV9,ListAndConversion!$AV$4:$AV$387,0),1),""))</f>
        <v/>
      </c>
      <c r="B7" s="555" t="str">
        <f ca="1">IF(OR(LEFT(ListAndConversion!BW9,3)="Dil",LEFT(ListAndConversion!BW9,3)="Poo"),ListAndConversion!BU9,IF(LEFT(ListAndConversion!BW9,3)="Sou",INDEX(ListAndConversion!$AT$4:$AV$387,MATCH(ListAndConversion!BV9,ListAndConversion!$AV$4:$AV$387,0),2),""))</f>
        <v/>
      </c>
      <c r="C7" s="555" t="str">
        <f ca="1">IF(ListAndConversion!BZ9&lt;&gt;"-",ListAndConversion!BZ9,"")</f>
        <v/>
      </c>
      <c r="D7" s="555" t="str">
        <f ca="1">IF(ListAndConversion!BW9&lt;&gt;"-",ListAndConversion!BW9,"")</f>
        <v/>
      </c>
      <c r="E7" s="555" t="str">
        <f ca="1">IF(ListAndConversion!BX9&lt;&gt;"-",ListAndConversion!BX9,"")</f>
        <v/>
      </c>
      <c r="F7" s="565" t="str">
        <f ca="1">IF(ListAndConversion!BY9&lt;&gt;"-",ListAndConversion!BY9,"")</f>
        <v/>
      </c>
      <c r="G7" s="565" t="str">
        <f ca="1">IF(ListAndConversion!CB9&lt;&gt;"-",ListAndConversion!CB9,"")</f>
        <v/>
      </c>
      <c r="H7" s="565" t="str">
        <f ca="1">IF(ListAndConversion!CC9&lt;&gt;"-",ListAndConversion!CC9,"")</f>
        <v/>
      </c>
      <c r="I7" s="565" t="str">
        <f ca="1">IF(ListAndConversion!CC9&lt;&gt;"-","Microfuge1","")</f>
        <v/>
      </c>
      <c r="J7" s="583" t="str">
        <f ca="1">IF(ListAndConversion!CD9&lt;&gt;"-",ListAndConversion!CD9,"")</f>
        <v/>
      </c>
      <c r="K7" s="577" t="str">
        <f t="shared" ca="1" si="0"/>
        <v/>
      </c>
    </row>
    <row r="8" spans="1:15" x14ac:dyDescent="0.65">
      <c r="A8" s="554" t="str">
        <f ca="1">IF(OR(LEFT(ListAndConversion!BW10,3)="Dil",LEFT(ListAndConversion!BW10,3)="Poo"),ListAndConversion!$BT$4,IF(LEFT(ListAndConversion!BW10,3)="Sou",INDEX(ListAndConversion!$AT$4:$AV$387,MATCH(ListAndConversion!BV10,ListAndConversion!$AV$4:$AV$387,0),1),""))</f>
        <v/>
      </c>
      <c r="B8" s="555" t="str">
        <f ca="1">IF(OR(LEFT(ListAndConversion!BW10,3)="Dil",LEFT(ListAndConversion!BW10,3)="Poo"),ListAndConversion!BU10,IF(LEFT(ListAndConversion!BW10,3)="Sou",INDEX(ListAndConversion!$AT$4:$AV$387,MATCH(ListAndConversion!BV10,ListAndConversion!$AV$4:$AV$387,0),2),""))</f>
        <v/>
      </c>
      <c r="C8" s="555" t="str">
        <f ca="1">IF(ListAndConversion!BZ10&lt;&gt;"-",ListAndConversion!BZ10,"")</f>
        <v/>
      </c>
      <c r="D8" s="555" t="str">
        <f ca="1">IF(ListAndConversion!BW10&lt;&gt;"-",ListAndConversion!BW10,"")</f>
        <v/>
      </c>
      <c r="E8" s="555" t="str">
        <f ca="1">IF(ListAndConversion!BX10&lt;&gt;"-",ListAndConversion!BX10,"")</f>
        <v/>
      </c>
      <c r="F8" s="565" t="str">
        <f ca="1">IF(ListAndConversion!BY10&lt;&gt;"-",ListAndConversion!BY10,"")</f>
        <v/>
      </c>
      <c r="G8" s="565" t="str">
        <f ca="1">IF(ListAndConversion!CB10&lt;&gt;"-",ListAndConversion!CB10,"")</f>
        <v/>
      </c>
      <c r="H8" s="565" t="str">
        <f ca="1">IF(ListAndConversion!CC10&lt;&gt;"-",ListAndConversion!CC10,"")</f>
        <v/>
      </c>
      <c r="I8" s="565" t="str">
        <f ca="1">IF(ListAndConversion!CC10&lt;&gt;"-","Microfuge1","")</f>
        <v/>
      </c>
      <c r="J8" s="583" t="str">
        <f ca="1">IF(ListAndConversion!CD10&lt;&gt;"-",ListAndConversion!CD10,"")</f>
        <v/>
      </c>
      <c r="K8" s="577" t="str">
        <f t="shared" ca="1" si="0"/>
        <v/>
      </c>
    </row>
    <row r="9" spans="1:15" x14ac:dyDescent="0.65">
      <c r="A9" s="554" t="str">
        <f ca="1">IF(OR(LEFT(ListAndConversion!BW11,3)="Dil",LEFT(ListAndConversion!BW11,3)="Poo"),ListAndConversion!$BT$4,IF(LEFT(ListAndConversion!BW11,3)="Sou",INDEX(ListAndConversion!$AT$4:$AV$387,MATCH(ListAndConversion!BV11,ListAndConversion!$AV$4:$AV$387,0),1),""))</f>
        <v/>
      </c>
      <c r="B9" s="555" t="str">
        <f ca="1">IF(OR(LEFT(ListAndConversion!BW11,3)="Dil",LEFT(ListAndConversion!BW11,3)="Poo"),ListAndConversion!BU11,IF(LEFT(ListAndConversion!BW11,3)="Sou",INDEX(ListAndConversion!$AT$4:$AV$387,MATCH(ListAndConversion!BV11,ListAndConversion!$AV$4:$AV$387,0),2),""))</f>
        <v/>
      </c>
      <c r="C9" s="555" t="str">
        <f ca="1">IF(ListAndConversion!BZ11&lt;&gt;"-",ListAndConversion!BZ11,"")</f>
        <v/>
      </c>
      <c r="D9" s="555" t="str">
        <f ca="1">IF(ListAndConversion!BW11&lt;&gt;"-",ListAndConversion!BW11,"")</f>
        <v/>
      </c>
      <c r="E9" s="555" t="str">
        <f ca="1">IF(ListAndConversion!BX11&lt;&gt;"-",ListAndConversion!BX11,"")</f>
        <v/>
      </c>
      <c r="F9" s="565" t="str">
        <f ca="1">IF(ListAndConversion!BY11&lt;&gt;"-",ListAndConversion!BY11,"")</f>
        <v/>
      </c>
      <c r="G9" s="565" t="str">
        <f ca="1">IF(ListAndConversion!CB11&lt;&gt;"-",ListAndConversion!CB11,"")</f>
        <v/>
      </c>
      <c r="H9" s="565" t="str">
        <f ca="1">IF(ListAndConversion!CC11&lt;&gt;"-",ListAndConversion!CC11,"")</f>
        <v/>
      </c>
      <c r="I9" s="565" t="str">
        <f ca="1">IF(ListAndConversion!CC11&lt;&gt;"-","Microfuge1","")</f>
        <v/>
      </c>
      <c r="J9" s="583" t="str">
        <f ca="1">IF(ListAndConversion!CD11&lt;&gt;"-",ListAndConversion!CD11,"")</f>
        <v/>
      </c>
      <c r="K9" s="577" t="str">
        <f t="shared" ca="1" si="0"/>
        <v/>
      </c>
    </row>
    <row r="10" spans="1:15" x14ac:dyDescent="0.65">
      <c r="A10" s="554" t="str">
        <f ca="1">IF(OR(LEFT(ListAndConversion!BW12,3)="Dil",LEFT(ListAndConversion!BW12,3)="Poo"),ListAndConversion!$BT$4,IF(LEFT(ListAndConversion!BW12,3)="Sou",INDEX(ListAndConversion!$AT$4:$AV$387,MATCH(ListAndConversion!BV12,ListAndConversion!$AV$4:$AV$387,0),1),""))</f>
        <v/>
      </c>
      <c r="B10" s="555" t="str">
        <f ca="1">IF(OR(LEFT(ListAndConversion!BW12,3)="Dil",LEFT(ListAndConversion!BW12,3)="Poo"),ListAndConversion!BU12,IF(LEFT(ListAndConversion!BW12,3)="Sou",INDEX(ListAndConversion!$AT$4:$AV$387,MATCH(ListAndConversion!BV12,ListAndConversion!$AV$4:$AV$387,0),2),""))</f>
        <v/>
      </c>
      <c r="C10" s="555" t="str">
        <f ca="1">IF(ListAndConversion!BZ12&lt;&gt;"-",ListAndConversion!BZ12,"")</f>
        <v/>
      </c>
      <c r="D10" s="555" t="str">
        <f ca="1">IF(ListAndConversion!BW12&lt;&gt;"-",ListAndConversion!BW12,"")</f>
        <v/>
      </c>
      <c r="E10" s="555" t="str">
        <f ca="1">IF(ListAndConversion!BX12&lt;&gt;"-",ListAndConversion!BX12,"")</f>
        <v/>
      </c>
      <c r="F10" s="565" t="str">
        <f ca="1">IF(ListAndConversion!BY12&lt;&gt;"-",ListAndConversion!BY12,"")</f>
        <v/>
      </c>
      <c r="G10" s="565" t="str">
        <f ca="1">IF(ListAndConversion!CB12&lt;&gt;"-",ListAndConversion!CB12,"")</f>
        <v/>
      </c>
      <c r="H10" s="565" t="str">
        <f ca="1">IF(ListAndConversion!CC12&lt;&gt;"-",ListAndConversion!CC12,"")</f>
        <v/>
      </c>
      <c r="I10" s="565" t="str">
        <f ca="1">IF(ListAndConversion!CC12&lt;&gt;"-","Microfuge1","")</f>
        <v/>
      </c>
      <c r="J10" s="583" t="str">
        <f ca="1">IF(ListAndConversion!CD12&lt;&gt;"-",ListAndConversion!CD12,"")</f>
        <v/>
      </c>
      <c r="K10" s="577" t="str">
        <f t="shared" ca="1" si="0"/>
        <v/>
      </c>
    </row>
    <row r="11" spans="1:15" x14ac:dyDescent="0.65">
      <c r="A11" s="554" t="str">
        <f ca="1">IF(OR(LEFT(ListAndConversion!BW13,3)="Dil",LEFT(ListAndConversion!BW13,3)="Poo"),ListAndConversion!$BT$4,IF(LEFT(ListAndConversion!BW13,3)="Sou",INDEX(ListAndConversion!$AT$4:$AV$387,MATCH(ListAndConversion!BV13,ListAndConversion!$AV$4:$AV$387,0),1),""))</f>
        <v/>
      </c>
      <c r="B11" s="555" t="str">
        <f ca="1">IF(OR(LEFT(ListAndConversion!BW13,3)="Dil",LEFT(ListAndConversion!BW13,3)="Poo"),ListAndConversion!BU13,IF(LEFT(ListAndConversion!BW13,3)="Sou",INDEX(ListAndConversion!$AT$4:$AV$387,MATCH(ListAndConversion!BV13,ListAndConversion!$AV$4:$AV$387,0),2),""))</f>
        <v/>
      </c>
      <c r="C11" s="555" t="str">
        <f ca="1">IF(ListAndConversion!BZ13&lt;&gt;"-",ListAndConversion!BZ13,"")</f>
        <v/>
      </c>
      <c r="D11" s="555" t="str">
        <f ca="1">IF(ListAndConversion!BW13&lt;&gt;"-",ListAndConversion!BW13,"")</f>
        <v/>
      </c>
      <c r="E11" s="555" t="str">
        <f ca="1">IF(ListAndConversion!BX13&lt;&gt;"-",ListAndConversion!BX13,"")</f>
        <v/>
      </c>
      <c r="F11" s="565" t="str">
        <f ca="1">IF(ListAndConversion!BY13&lt;&gt;"-",ListAndConversion!BY13,"")</f>
        <v/>
      </c>
      <c r="G11" s="565" t="str">
        <f ca="1">IF(ListAndConversion!CB13&lt;&gt;"-",ListAndConversion!CB13,"")</f>
        <v/>
      </c>
      <c r="H11" s="565" t="str">
        <f ca="1">IF(ListAndConversion!CC13&lt;&gt;"-",ListAndConversion!CC13,"")</f>
        <v/>
      </c>
      <c r="I11" s="565" t="str">
        <f ca="1">IF(ListAndConversion!CC13&lt;&gt;"-","Microfuge1","")</f>
        <v/>
      </c>
      <c r="J11" s="583" t="str">
        <f ca="1">IF(ListAndConversion!CD13&lt;&gt;"-",ListAndConversion!CD13,"")</f>
        <v/>
      </c>
      <c r="K11" s="577" t="str">
        <f t="shared" ca="1" si="0"/>
        <v/>
      </c>
    </row>
    <row r="12" spans="1:15" x14ac:dyDescent="0.65">
      <c r="A12" s="554" t="str">
        <f ca="1">IF(OR(LEFT(ListAndConversion!BW14,3)="Dil",LEFT(ListAndConversion!BW14,3)="Poo"),ListAndConversion!$BT$4,IF(LEFT(ListAndConversion!BW14,3)="Sou",INDEX(ListAndConversion!$AT$4:$AV$387,MATCH(ListAndConversion!BV14,ListAndConversion!$AV$4:$AV$387,0),1),""))</f>
        <v/>
      </c>
      <c r="B12" s="555" t="str">
        <f ca="1">IF(OR(LEFT(ListAndConversion!BW14,3)="Dil",LEFT(ListAndConversion!BW14,3)="Poo"),ListAndConversion!BU14,IF(LEFT(ListAndConversion!BW14,3)="Sou",INDEX(ListAndConversion!$AT$4:$AV$387,MATCH(ListAndConversion!BV14,ListAndConversion!$AV$4:$AV$387,0),2),""))</f>
        <v/>
      </c>
      <c r="C12" s="555" t="str">
        <f ca="1">IF(ListAndConversion!BZ14&lt;&gt;"-",ListAndConversion!BZ14,"")</f>
        <v/>
      </c>
      <c r="D12" s="555" t="str">
        <f ca="1">IF(ListAndConversion!BW14&lt;&gt;"-",ListAndConversion!BW14,"")</f>
        <v/>
      </c>
      <c r="E12" s="555" t="str">
        <f ca="1">IF(ListAndConversion!BX14&lt;&gt;"-",ListAndConversion!BX14,"")</f>
        <v/>
      </c>
      <c r="F12" s="565" t="str">
        <f ca="1">IF(ListAndConversion!BY14&lt;&gt;"-",ListAndConversion!BY14,"")</f>
        <v/>
      </c>
      <c r="G12" s="565" t="str">
        <f ca="1">IF(ListAndConversion!CB14&lt;&gt;"-",ListAndConversion!CB14,"")</f>
        <v/>
      </c>
      <c r="H12" s="565" t="str">
        <f ca="1">IF(ListAndConversion!CC14&lt;&gt;"-",ListAndConversion!CC14,"")</f>
        <v/>
      </c>
      <c r="I12" s="565" t="str">
        <f ca="1">IF(ListAndConversion!CC14&lt;&gt;"-","Microfuge1","")</f>
        <v/>
      </c>
      <c r="J12" s="583" t="str">
        <f ca="1">IF(ListAndConversion!CD14&lt;&gt;"-",ListAndConversion!CD14,"")</f>
        <v/>
      </c>
      <c r="K12" s="577" t="str">
        <f t="shared" ca="1" si="0"/>
        <v/>
      </c>
    </row>
    <row r="13" spans="1:15" x14ac:dyDescent="0.65">
      <c r="A13" s="554" t="str">
        <f ca="1">IF(OR(LEFT(ListAndConversion!BW15,3)="Dil",LEFT(ListAndConversion!BW15,3)="Poo"),ListAndConversion!$BT$4,IF(LEFT(ListAndConversion!BW15,3)="Sou",INDEX(ListAndConversion!$AT$4:$AV$387,MATCH(ListAndConversion!BV15,ListAndConversion!$AV$4:$AV$387,0),1),""))</f>
        <v/>
      </c>
      <c r="B13" s="555" t="str">
        <f ca="1">IF(OR(LEFT(ListAndConversion!BW15,3)="Dil",LEFT(ListAndConversion!BW15,3)="Poo"),ListAndConversion!BU15,IF(LEFT(ListAndConversion!BW15,3)="Sou",INDEX(ListAndConversion!$AT$4:$AV$387,MATCH(ListAndConversion!BV15,ListAndConversion!$AV$4:$AV$387,0),2),""))</f>
        <v/>
      </c>
      <c r="C13" s="555" t="str">
        <f ca="1">IF(ListAndConversion!BZ15&lt;&gt;"-",ListAndConversion!BZ15,"")</f>
        <v/>
      </c>
      <c r="D13" s="555" t="str">
        <f ca="1">IF(ListAndConversion!BW15&lt;&gt;"-",ListAndConversion!BW15,"")</f>
        <v/>
      </c>
      <c r="E13" s="555" t="str">
        <f ca="1">IF(ListAndConversion!BX15&lt;&gt;"-",ListAndConversion!BX15,"")</f>
        <v/>
      </c>
      <c r="F13" s="565" t="str">
        <f ca="1">IF(ListAndConversion!BY15&lt;&gt;"-",ListAndConversion!BY15,"")</f>
        <v/>
      </c>
      <c r="G13" s="565" t="str">
        <f ca="1">IF(ListAndConversion!CB15&lt;&gt;"-",ListAndConversion!CB15,"")</f>
        <v/>
      </c>
      <c r="H13" s="565" t="str">
        <f ca="1">IF(ListAndConversion!CC15&lt;&gt;"-",ListAndConversion!CC15,"")</f>
        <v/>
      </c>
      <c r="I13" s="565" t="str">
        <f ca="1">IF(ListAndConversion!CC15&lt;&gt;"-","Microfuge1","")</f>
        <v/>
      </c>
      <c r="J13" s="583" t="str">
        <f ca="1">IF(ListAndConversion!CD15&lt;&gt;"-",ListAndConversion!CD15,"")</f>
        <v/>
      </c>
      <c r="K13" s="577" t="str">
        <f t="shared" ca="1" si="0"/>
        <v/>
      </c>
    </row>
    <row r="14" spans="1:15" x14ac:dyDescent="0.65">
      <c r="A14" s="554" t="str">
        <f ca="1">IF(OR(LEFT(ListAndConversion!BW16,3)="Dil",LEFT(ListAndConversion!BW16,3)="Poo"),ListAndConversion!$BT$4,IF(LEFT(ListAndConversion!BW16,3)="Sou",INDEX(ListAndConversion!$AT$4:$AV$387,MATCH(ListAndConversion!BV16,ListAndConversion!$AV$4:$AV$387,0),1),""))</f>
        <v/>
      </c>
      <c r="B14" s="555" t="str">
        <f ca="1">IF(OR(LEFT(ListAndConversion!BW16,3)="Dil",LEFT(ListAndConversion!BW16,3)="Poo"),ListAndConversion!BU16,IF(LEFT(ListAndConversion!BW16,3)="Sou",INDEX(ListAndConversion!$AT$4:$AV$387,MATCH(ListAndConversion!BV16,ListAndConversion!$AV$4:$AV$387,0),2),""))</f>
        <v/>
      </c>
      <c r="C14" s="555" t="str">
        <f ca="1">IF(ListAndConversion!BZ16&lt;&gt;"-",ListAndConversion!BZ16,"")</f>
        <v/>
      </c>
      <c r="D14" s="555" t="str">
        <f ca="1">IF(ListAndConversion!BW16&lt;&gt;"-",ListAndConversion!BW16,"")</f>
        <v/>
      </c>
      <c r="E14" s="555" t="str">
        <f ca="1">IF(ListAndConversion!BX16&lt;&gt;"-",ListAndConversion!BX16,"")</f>
        <v/>
      </c>
      <c r="F14" s="565" t="str">
        <f ca="1">IF(ListAndConversion!BY16&lt;&gt;"-",ListAndConversion!BY16,"")</f>
        <v/>
      </c>
      <c r="G14" s="565" t="str">
        <f ca="1">IF(ListAndConversion!CB16&lt;&gt;"-",ListAndConversion!CB16,"")</f>
        <v/>
      </c>
      <c r="H14" s="565" t="str">
        <f ca="1">IF(ListAndConversion!CC16&lt;&gt;"-",ListAndConversion!CC16,"")</f>
        <v/>
      </c>
      <c r="I14" s="565" t="str">
        <f ca="1">IF(ListAndConversion!CC16&lt;&gt;"-","Microfuge1","")</f>
        <v/>
      </c>
      <c r="J14" s="583" t="str">
        <f ca="1">IF(ListAndConversion!CD16&lt;&gt;"-",ListAndConversion!CD16,"")</f>
        <v/>
      </c>
      <c r="K14" s="577" t="str">
        <f t="shared" ca="1" si="0"/>
        <v/>
      </c>
    </row>
    <row r="15" spans="1:15" x14ac:dyDescent="0.65">
      <c r="A15" s="554" t="str">
        <f ca="1">IF(OR(LEFT(ListAndConversion!BW17,3)="Dil",LEFT(ListAndConversion!BW17,3)="Poo"),ListAndConversion!$BT$4,IF(LEFT(ListAndConversion!BW17,3)="Sou",INDEX(ListAndConversion!$AT$4:$AV$387,MATCH(ListAndConversion!BV17,ListAndConversion!$AV$4:$AV$387,0),1),""))</f>
        <v/>
      </c>
      <c r="B15" s="555" t="str">
        <f ca="1">IF(OR(LEFT(ListAndConversion!BW17,3)="Dil",LEFT(ListAndConversion!BW17,3)="Poo"),ListAndConversion!BU17,IF(LEFT(ListAndConversion!BW17,3)="Sou",INDEX(ListAndConversion!$AT$4:$AV$387,MATCH(ListAndConversion!BV17,ListAndConversion!$AV$4:$AV$387,0),2),""))</f>
        <v/>
      </c>
      <c r="C15" s="555" t="str">
        <f ca="1">IF(ListAndConversion!BZ17&lt;&gt;"-",ListAndConversion!BZ17,"")</f>
        <v/>
      </c>
      <c r="D15" s="555" t="str">
        <f ca="1">IF(ListAndConversion!BW17&lt;&gt;"-",ListAndConversion!BW17,"")</f>
        <v/>
      </c>
      <c r="E15" s="555" t="str">
        <f ca="1">IF(ListAndConversion!BX17&lt;&gt;"-",ListAndConversion!BX17,"")</f>
        <v/>
      </c>
      <c r="F15" s="565" t="str">
        <f ca="1">IF(ListAndConversion!BY17&lt;&gt;"-",ListAndConversion!BY17,"")</f>
        <v/>
      </c>
      <c r="G15" s="565" t="str">
        <f ca="1">IF(ListAndConversion!CB17&lt;&gt;"-",ListAndConversion!CB17,"")</f>
        <v/>
      </c>
      <c r="H15" s="565" t="str">
        <f ca="1">IF(ListAndConversion!CC17&lt;&gt;"-",ListAndConversion!CC17,"")</f>
        <v/>
      </c>
      <c r="I15" s="565" t="str">
        <f ca="1">IF(ListAndConversion!CC17&lt;&gt;"-","Microfuge1","")</f>
        <v/>
      </c>
      <c r="J15" s="583" t="str">
        <f ca="1">IF(ListAndConversion!CD17&lt;&gt;"-",ListAndConversion!CD17,"")</f>
        <v/>
      </c>
      <c r="K15" s="577" t="str">
        <f t="shared" ca="1" si="0"/>
        <v/>
      </c>
    </row>
    <row r="16" spans="1:15" x14ac:dyDescent="0.65">
      <c r="A16" s="554" t="str">
        <f ca="1">IF(OR(LEFT(ListAndConversion!BW18,3)="Dil",LEFT(ListAndConversion!BW18,3)="Poo"),ListAndConversion!$BT$4,IF(LEFT(ListAndConversion!BW18,3)="Sou",INDEX(ListAndConversion!$AT$4:$AV$387,MATCH(ListAndConversion!BV18,ListAndConversion!$AV$4:$AV$387,0),1),""))</f>
        <v/>
      </c>
      <c r="B16" s="555" t="str">
        <f ca="1">IF(OR(LEFT(ListAndConversion!BW18,3)="Dil",LEFT(ListAndConversion!BW18,3)="Poo"),ListAndConversion!BU18,IF(LEFT(ListAndConversion!BW18,3)="Sou",INDEX(ListAndConversion!$AT$4:$AV$387,MATCH(ListAndConversion!BV18,ListAndConversion!$AV$4:$AV$387,0),2),""))</f>
        <v/>
      </c>
      <c r="C16" s="555" t="str">
        <f ca="1">IF(ListAndConversion!BZ18&lt;&gt;"-",ListAndConversion!BZ18,"")</f>
        <v/>
      </c>
      <c r="D16" s="555" t="str">
        <f ca="1">IF(ListAndConversion!BW18&lt;&gt;"-",ListAndConversion!BW18,"")</f>
        <v/>
      </c>
      <c r="E16" s="555" t="str">
        <f ca="1">IF(ListAndConversion!BX18&lt;&gt;"-",ListAndConversion!BX18,"")</f>
        <v/>
      </c>
      <c r="F16" s="565" t="str">
        <f ca="1">IF(ListAndConversion!BY18&lt;&gt;"-",ListAndConversion!BY18,"")</f>
        <v/>
      </c>
      <c r="G16" s="565" t="str">
        <f ca="1">IF(ListAndConversion!CB18&lt;&gt;"-",ListAndConversion!CB18,"")</f>
        <v/>
      </c>
      <c r="H16" s="565" t="str">
        <f ca="1">IF(ListAndConversion!CC18&lt;&gt;"-",ListAndConversion!CC18,"")</f>
        <v/>
      </c>
      <c r="I16" s="565" t="str">
        <f ca="1">IF(ListAndConversion!CC18&lt;&gt;"-","Microfuge1","")</f>
        <v/>
      </c>
      <c r="J16" s="583" t="str">
        <f ca="1">IF(ListAndConversion!CD18&lt;&gt;"-",ListAndConversion!CD18,"")</f>
        <v/>
      </c>
      <c r="K16" s="577" t="str">
        <f t="shared" ca="1" si="0"/>
        <v/>
      </c>
    </row>
    <row r="17" spans="1:11" x14ac:dyDescent="0.65">
      <c r="A17" s="554" t="str">
        <f ca="1">IF(OR(LEFT(ListAndConversion!BW19,3)="Dil",LEFT(ListAndConversion!BW19,3)="Poo"),ListAndConversion!$BT$4,IF(LEFT(ListAndConversion!BW19,3)="Sou",INDEX(ListAndConversion!$AT$4:$AV$387,MATCH(ListAndConversion!BV19,ListAndConversion!$AV$4:$AV$387,0),1),""))</f>
        <v/>
      </c>
      <c r="B17" s="555" t="str">
        <f ca="1">IF(OR(LEFT(ListAndConversion!BW19,3)="Dil",LEFT(ListAndConversion!BW19,3)="Poo"),ListAndConversion!BU19,IF(LEFT(ListAndConversion!BW19,3)="Sou",INDEX(ListAndConversion!$AT$4:$AV$387,MATCH(ListAndConversion!BV19,ListAndConversion!$AV$4:$AV$387,0),2),""))</f>
        <v/>
      </c>
      <c r="C17" s="555" t="str">
        <f ca="1">IF(ListAndConversion!BZ19&lt;&gt;"-",ListAndConversion!BZ19,"")</f>
        <v/>
      </c>
      <c r="D17" s="555" t="str">
        <f ca="1">IF(ListAndConversion!BW19&lt;&gt;"-",ListAndConversion!BW19,"")</f>
        <v/>
      </c>
      <c r="E17" s="555" t="str">
        <f ca="1">IF(ListAndConversion!BX19&lt;&gt;"-",ListAndConversion!BX19,"")</f>
        <v/>
      </c>
      <c r="F17" s="565" t="str">
        <f ca="1">IF(ListAndConversion!BY19&lt;&gt;"-",ListAndConversion!BY19,"")</f>
        <v/>
      </c>
      <c r="G17" s="565" t="str">
        <f ca="1">IF(ListAndConversion!CB19&lt;&gt;"-",ListAndConversion!CB19,"")</f>
        <v/>
      </c>
      <c r="H17" s="565" t="str">
        <f ca="1">IF(ListAndConversion!CC19&lt;&gt;"-",ListAndConversion!CC19,"")</f>
        <v/>
      </c>
      <c r="I17" s="565" t="str">
        <f ca="1">IF(ListAndConversion!CC19&lt;&gt;"-","Microfuge1","")</f>
        <v/>
      </c>
      <c r="J17" s="583" t="str">
        <f ca="1">IF(ListAndConversion!CD19&lt;&gt;"-",ListAndConversion!CD19,"")</f>
        <v/>
      </c>
      <c r="K17" s="577" t="str">
        <f t="shared" ca="1" si="0"/>
        <v/>
      </c>
    </row>
    <row r="18" spans="1:11" x14ac:dyDescent="0.65">
      <c r="A18" s="554" t="str">
        <f ca="1">IF(OR(LEFT(ListAndConversion!BW20,3)="Dil",LEFT(ListAndConversion!BW20,3)="Poo"),ListAndConversion!$BT$4,IF(LEFT(ListAndConversion!BW20,3)="Sou",INDEX(ListAndConversion!$AT$4:$AV$387,MATCH(ListAndConversion!BV20,ListAndConversion!$AV$4:$AV$387,0),1),""))</f>
        <v/>
      </c>
      <c r="B18" s="555" t="str">
        <f ca="1">IF(OR(LEFT(ListAndConversion!BW20,3)="Dil",LEFT(ListAndConversion!BW20,3)="Poo"),ListAndConversion!BU20,IF(LEFT(ListAndConversion!BW20,3)="Sou",INDEX(ListAndConversion!$AT$4:$AV$387,MATCH(ListAndConversion!BV20,ListAndConversion!$AV$4:$AV$387,0),2),""))</f>
        <v/>
      </c>
      <c r="C18" s="555" t="str">
        <f ca="1">IF(ListAndConversion!BZ20&lt;&gt;"-",ListAndConversion!BZ20,"")</f>
        <v/>
      </c>
      <c r="D18" s="555" t="str">
        <f ca="1">IF(ListAndConversion!BW20&lt;&gt;"-",ListAndConversion!BW20,"")</f>
        <v/>
      </c>
      <c r="E18" s="555" t="str">
        <f ca="1">IF(ListAndConversion!BX20&lt;&gt;"-",ListAndConversion!BX20,"")</f>
        <v/>
      </c>
      <c r="F18" s="565" t="str">
        <f ca="1">IF(ListAndConversion!BY20&lt;&gt;"-",ListAndConversion!BY20,"")</f>
        <v/>
      </c>
      <c r="G18" s="565" t="str">
        <f ca="1">IF(ListAndConversion!CB20&lt;&gt;"-",ListAndConversion!CB20,"")</f>
        <v/>
      </c>
      <c r="H18" s="565" t="str">
        <f ca="1">IF(ListAndConversion!CC20&lt;&gt;"-",ListAndConversion!CC20,"")</f>
        <v/>
      </c>
      <c r="I18" s="565" t="str">
        <f ca="1">IF(ListAndConversion!CC20&lt;&gt;"-","Microfuge1","")</f>
        <v/>
      </c>
      <c r="J18" s="583" t="str">
        <f ca="1">IF(ListAndConversion!CD20&lt;&gt;"-",ListAndConversion!CD20,"")</f>
        <v/>
      </c>
      <c r="K18" s="577" t="str">
        <f t="shared" ca="1" si="0"/>
        <v/>
      </c>
    </row>
    <row r="19" spans="1:11" x14ac:dyDescent="0.65">
      <c r="A19" s="554" t="str">
        <f ca="1">IF(OR(LEFT(ListAndConversion!BW21,3)="Dil",LEFT(ListAndConversion!BW21,3)="Poo"),ListAndConversion!$BT$4,IF(LEFT(ListAndConversion!BW21,3)="Sou",INDEX(ListAndConversion!$AT$4:$AV$387,MATCH(ListAndConversion!BV21,ListAndConversion!$AV$4:$AV$387,0),1),""))</f>
        <v/>
      </c>
      <c r="B19" s="555" t="str">
        <f ca="1">IF(OR(LEFT(ListAndConversion!BW21,3)="Dil",LEFT(ListAndConversion!BW21,3)="Poo"),ListAndConversion!BU21,IF(LEFT(ListAndConversion!BW21,3)="Sou",INDEX(ListAndConversion!$AT$4:$AV$387,MATCH(ListAndConversion!BV21,ListAndConversion!$AV$4:$AV$387,0),2),""))</f>
        <v/>
      </c>
      <c r="C19" s="555" t="str">
        <f ca="1">IF(ListAndConversion!BZ21&lt;&gt;"-",ListAndConversion!BZ21,"")</f>
        <v/>
      </c>
      <c r="D19" s="555" t="str">
        <f ca="1">IF(ListAndConversion!BW21&lt;&gt;"-",ListAndConversion!BW21,"")</f>
        <v/>
      </c>
      <c r="E19" s="555" t="str">
        <f ca="1">IF(ListAndConversion!BX21&lt;&gt;"-",ListAndConversion!BX21,"")</f>
        <v/>
      </c>
      <c r="F19" s="565" t="str">
        <f ca="1">IF(ListAndConversion!BY21&lt;&gt;"-",ListAndConversion!BY21,"")</f>
        <v/>
      </c>
      <c r="G19" s="565" t="str">
        <f ca="1">IF(ListAndConversion!CB21&lt;&gt;"-",ListAndConversion!CB21,"")</f>
        <v/>
      </c>
      <c r="H19" s="565" t="str">
        <f ca="1">IF(ListAndConversion!CC21&lt;&gt;"-",ListAndConversion!CC21,"")</f>
        <v/>
      </c>
      <c r="I19" s="565" t="str">
        <f ca="1">IF(ListAndConversion!CC21&lt;&gt;"-","Microfuge1","")</f>
        <v/>
      </c>
      <c r="J19" s="583" t="str">
        <f ca="1">IF(ListAndConversion!CD21&lt;&gt;"-",ListAndConversion!CD21,"")</f>
        <v/>
      </c>
      <c r="K19" s="577" t="str">
        <f t="shared" ca="1" si="0"/>
        <v/>
      </c>
    </row>
    <row r="20" spans="1:11" x14ac:dyDescent="0.65">
      <c r="A20" s="554" t="str">
        <f ca="1">IF(OR(LEFT(ListAndConversion!BW22,3)="Dil",LEFT(ListAndConversion!BW22,3)="Poo"),ListAndConversion!$BT$4,IF(LEFT(ListAndConversion!BW22,3)="Sou",INDEX(ListAndConversion!$AT$4:$AV$387,MATCH(ListAndConversion!BV22,ListAndConversion!$AV$4:$AV$387,0),1),""))</f>
        <v/>
      </c>
      <c r="B20" s="555" t="str">
        <f ca="1">IF(OR(LEFT(ListAndConversion!BW22,3)="Dil",LEFT(ListAndConversion!BW22,3)="Poo"),ListAndConversion!BU22,IF(LEFT(ListAndConversion!BW22,3)="Sou",INDEX(ListAndConversion!$AT$4:$AV$387,MATCH(ListAndConversion!BV22,ListAndConversion!$AV$4:$AV$387,0),2),""))</f>
        <v/>
      </c>
      <c r="C20" s="555" t="str">
        <f ca="1">IF(ListAndConversion!BZ22&lt;&gt;"-",ListAndConversion!BZ22,"")</f>
        <v/>
      </c>
      <c r="D20" s="555" t="str">
        <f ca="1">IF(ListAndConversion!BW22&lt;&gt;"-",ListAndConversion!BW22,"")</f>
        <v/>
      </c>
      <c r="E20" s="555" t="str">
        <f ca="1">IF(ListAndConversion!BX22&lt;&gt;"-",ListAndConversion!BX22,"")</f>
        <v/>
      </c>
      <c r="F20" s="565" t="str">
        <f ca="1">IF(ListAndConversion!BY22&lt;&gt;"-",ListAndConversion!BY22,"")</f>
        <v/>
      </c>
      <c r="G20" s="565" t="str">
        <f ca="1">IF(ListAndConversion!CB22&lt;&gt;"-",ListAndConversion!CB22,"")</f>
        <v/>
      </c>
      <c r="H20" s="565" t="str">
        <f ca="1">IF(ListAndConversion!CC22&lt;&gt;"-",ListAndConversion!CC22,"")</f>
        <v/>
      </c>
      <c r="I20" s="565" t="str">
        <f ca="1">IF(ListAndConversion!CC22&lt;&gt;"-","Microfuge1","")</f>
        <v/>
      </c>
      <c r="J20" s="583" t="str">
        <f ca="1">IF(ListAndConversion!CD22&lt;&gt;"-",ListAndConversion!CD22,"")</f>
        <v/>
      </c>
      <c r="K20" s="577" t="str">
        <f t="shared" ca="1" si="0"/>
        <v/>
      </c>
    </row>
    <row r="21" spans="1:11" x14ac:dyDescent="0.65">
      <c r="A21" s="554" t="str">
        <f ca="1">IF(OR(LEFT(ListAndConversion!BW23,3)="Dil",LEFT(ListAndConversion!BW23,3)="Poo"),ListAndConversion!$BT$4,IF(LEFT(ListAndConversion!BW23,3)="Sou",INDEX(ListAndConversion!$AT$4:$AV$387,MATCH(ListAndConversion!BV23,ListAndConversion!$AV$4:$AV$387,0),1),""))</f>
        <v/>
      </c>
      <c r="B21" s="555" t="str">
        <f ca="1">IF(OR(LEFT(ListAndConversion!BW23,3)="Dil",LEFT(ListAndConversion!BW23,3)="Poo"),ListAndConversion!BU23,IF(LEFT(ListAndConversion!BW23,3)="Sou",INDEX(ListAndConversion!$AT$4:$AV$387,MATCH(ListAndConversion!BV23,ListAndConversion!$AV$4:$AV$387,0),2),""))</f>
        <v/>
      </c>
      <c r="C21" s="555" t="str">
        <f ca="1">IF(ListAndConversion!BZ23&lt;&gt;"-",ListAndConversion!BZ23,"")</f>
        <v/>
      </c>
      <c r="D21" s="555" t="str">
        <f ca="1">IF(ListAndConversion!BW23&lt;&gt;"-",ListAndConversion!BW23,"")</f>
        <v/>
      </c>
      <c r="E21" s="555" t="str">
        <f ca="1">IF(ListAndConversion!BX23&lt;&gt;"-",ListAndConversion!BX23,"")</f>
        <v/>
      </c>
      <c r="F21" s="565" t="str">
        <f ca="1">IF(ListAndConversion!BY23&lt;&gt;"-",ListAndConversion!BY23,"")</f>
        <v/>
      </c>
      <c r="G21" s="565" t="str">
        <f ca="1">IF(ListAndConversion!CB23&lt;&gt;"-",ListAndConversion!CB23,"")</f>
        <v/>
      </c>
      <c r="H21" s="565" t="str">
        <f ca="1">IF(ListAndConversion!CC23&lt;&gt;"-",ListAndConversion!CC23,"")</f>
        <v/>
      </c>
      <c r="I21" s="565" t="str">
        <f ca="1">IF(ListAndConversion!CC23&lt;&gt;"-","Microfuge1","")</f>
        <v/>
      </c>
      <c r="J21" s="583" t="str">
        <f ca="1">IF(ListAndConversion!CD23&lt;&gt;"-",ListAndConversion!CD23,"")</f>
        <v/>
      </c>
      <c r="K21" s="577" t="str">
        <f t="shared" ca="1" si="0"/>
        <v/>
      </c>
    </row>
    <row r="22" spans="1:11" x14ac:dyDescent="0.65">
      <c r="A22" s="554" t="str">
        <f ca="1">IF(OR(LEFT(ListAndConversion!BW24,3)="Dil",LEFT(ListAndConversion!BW24,3)="Poo"),ListAndConversion!$BT$4,IF(LEFT(ListAndConversion!BW24,3)="Sou",INDEX(ListAndConversion!$AT$4:$AV$387,MATCH(ListAndConversion!BV24,ListAndConversion!$AV$4:$AV$387,0),1),""))</f>
        <v/>
      </c>
      <c r="B22" s="555" t="str">
        <f ca="1">IF(OR(LEFT(ListAndConversion!BW24,3)="Dil",LEFT(ListAndConversion!BW24,3)="Poo"),ListAndConversion!BU24,IF(LEFT(ListAndConversion!BW24,3)="Sou",INDEX(ListAndConversion!$AT$4:$AV$387,MATCH(ListAndConversion!BV24,ListAndConversion!$AV$4:$AV$387,0),2),""))</f>
        <v/>
      </c>
      <c r="C22" s="555" t="str">
        <f ca="1">IF(ListAndConversion!BZ24&lt;&gt;"-",ListAndConversion!BZ24,"")</f>
        <v/>
      </c>
      <c r="D22" s="555" t="str">
        <f ca="1">IF(ListAndConversion!BW24&lt;&gt;"-",ListAndConversion!BW24,"")</f>
        <v/>
      </c>
      <c r="E22" s="555" t="str">
        <f ca="1">IF(ListAndConversion!BX24&lt;&gt;"-",ListAndConversion!BX24,"")</f>
        <v/>
      </c>
      <c r="F22" s="565" t="str">
        <f ca="1">IF(ListAndConversion!BY24&lt;&gt;"-",ListAndConversion!BY24,"")</f>
        <v/>
      </c>
      <c r="G22" s="565" t="str">
        <f ca="1">IF(ListAndConversion!CB24&lt;&gt;"-",ListAndConversion!CB24,"")</f>
        <v/>
      </c>
      <c r="H22" s="565" t="str">
        <f ca="1">IF(ListAndConversion!CC24&lt;&gt;"-",ListAndConversion!CC24,"")</f>
        <v/>
      </c>
      <c r="I22" s="565" t="str">
        <f ca="1">IF(ListAndConversion!CC24&lt;&gt;"-","Microfuge1","")</f>
        <v/>
      </c>
      <c r="J22" s="583" t="str">
        <f ca="1">IF(ListAndConversion!CD24&lt;&gt;"-",ListAndConversion!CD24,"")</f>
        <v/>
      </c>
      <c r="K22" s="577" t="str">
        <f t="shared" ca="1" si="0"/>
        <v/>
      </c>
    </row>
    <row r="23" spans="1:11" x14ac:dyDescent="0.65">
      <c r="A23" s="554" t="str">
        <f ca="1">IF(OR(LEFT(ListAndConversion!BW25,3)="Dil",LEFT(ListAndConversion!BW25,3)="Poo"),ListAndConversion!$BT$4,IF(LEFT(ListAndConversion!BW25,3)="Sou",INDEX(ListAndConversion!$AT$4:$AV$387,MATCH(ListAndConversion!BV25,ListAndConversion!$AV$4:$AV$387,0),1),""))</f>
        <v/>
      </c>
      <c r="B23" s="555" t="str">
        <f ca="1">IF(OR(LEFT(ListAndConversion!BW25,3)="Dil",LEFT(ListAndConversion!BW25,3)="Poo"),ListAndConversion!BU25,IF(LEFT(ListAndConversion!BW25,3)="Sou",INDEX(ListAndConversion!$AT$4:$AV$387,MATCH(ListAndConversion!BV25,ListAndConversion!$AV$4:$AV$387,0),2),""))</f>
        <v/>
      </c>
      <c r="C23" s="555" t="str">
        <f ca="1">IF(ListAndConversion!BZ25&lt;&gt;"-",ListAndConversion!BZ25,"")</f>
        <v/>
      </c>
      <c r="D23" s="555" t="str">
        <f ca="1">IF(ListAndConversion!BW25&lt;&gt;"-",ListAndConversion!BW25,"")</f>
        <v/>
      </c>
      <c r="E23" s="555" t="str">
        <f ca="1">IF(ListAndConversion!BX25&lt;&gt;"-",ListAndConversion!BX25,"")</f>
        <v/>
      </c>
      <c r="F23" s="565" t="str">
        <f ca="1">IF(ListAndConversion!BY25&lt;&gt;"-",ListAndConversion!BY25,"")</f>
        <v/>
      </c>
      <c r="G23" s="565" t="str">
        <f ca="1">IF(ListAndConversion!CB25&lt;&gt;"-",ListAndConversion!CB25,"")</f>
        <v/>
      </c>
      <c r="H23" s="565" t="str">
        <f ca="1">IF(ListAndConversion!CC25&lt;&gt;"-",ListAndConversion!CC25,"")</f>
        <v/>
      </c>
      <c r="I23" s="565" t="str">
        <f ca="1">IF(ListAndConversion!CC25&lt;&gt;"-","Microfuge1","")</f>
        <v/>
      </c>
      <c r="J23" s="583" t="str">
        <f ca="1">IF(ListAndConversion!CD25&lt;&gt;"-",ListAndConversion!CD25,"")</f>
        <v/>
      </c>
      <c r="K23" s="577" t="str">
        <f t="shared" ca="1" si="0"/>
        <v/>
      </c>
    </row>
    <row r="24" spans="1:11" x14ac:dyDescent="0.65">
      <c r="A24" s="554" t="str">
        <f ca="1">IF(OR(LEFT(ListAndConversion!BW26,3)="Dil",LEFT(ListAndConversion!BW26,3)="Poo"),ListAndConversion!$BT$4,IF(LEFT(ListAndConversion!BW26,3)="Sou",INDEX(ListAndConversion!$AT$4:$AV$387,MATCH(ListAndConversion!BV26,ListAndConversion!$AV$4:$AV$387,0),1),""))</f>
        <v/>
      </c>
      <c r="B24" s="555" t="str">
        <f ca="1">IF(OR(LEFT(ListAndConversion!BW26,3)="Dil",LEFT(ListAndConversion!BW26,3)="Poo"),ListAndConversion!BU26,IF(LEFT(ListAndConversion!BW26,3)="Sou",INDEX(ListAndConversion!$AT$4:$AV$387,MATCH(ListAndConversion!BV26,ListAndConversion!$AV$4:$AV$387,0),2),""))</f>
        <v/>
      </c>
      <c r="C24" s="555" t="str">
        <f ca="1">IF(ListAndConversion!BZ26&lt;&gt;"-",ListAndConversion!BZ26,"")</f>
        <v/>
      </c>
      <c r="D24" s="555" t="str">
        <f ca="1">IF(ListAndConversion!BW26&lt;&gt;"-",ListAndConversion!BW26,"")</f>
        <v/>
      </c>
      <c r="E24" s="555" t="str">
        <f ca="1">IF(ListAndConversion!BX26&lt;&gt;"-",ListAndConversion!BX26,"")</f>
        <v/>
      </c>
      <c r="F24" s="565" t="str">
        <f ca="1">IF(ListAndConversion!BY26&lt;&gt;"-",ListAndConversion!BY26,"")</f>
        <v/>
      </c>
      <c r="G24" s="565" t="str">
        <f ca="1">IF(ListAndConversion!CB26&lt;&gt;"-",ListAndConversion!CB26,"")</f>
        <v/>
      </c>
      <c r="H24" s="565" t="str">
        <f ca="1">IF(ListAndConversion!CC26&lt;&gt;"-",ListAndConversion!CC26,"")</f>
        <v/>
      </c>
      <c r="I24" s="565" t="str">
        <f ca="1">IF(ListAndConversion!CC26&lt;&gt;"-","Microfuge1","")</f>
        <v/>
      </c>
      <c r="J24" s="583" t="str">
        <f ca="1">IF(ListAndConversion!CD26&lt;&gt;"-",ListAndConversion!CD26,"")</f>
        <v/>
      </c>
      <c r="K24" s="577" t="str">
        <f t="shared" ca="1" si="0"/>
        <v/>
      </c>
    </row>
    <row r="25" spans="1:11" x14ac:dyDescent="0.65">
      <c r="A25" s="554" t="str">
        <f ca="1">IF(OR(LEFT(ListAndConversion!BW27,3)="Dil",LEFT(ListAndConversion!BW27,3)="Poo"),ListAndConversion!$BT$4,IF(LEFT(ListAndConversion!BW27,3)="Sou",INDEX(ListAndConversion!$AT$4:$AV$387,MATCH(ListAndConversion!BV27,ListAndConversion!$AV$4:$AV$387,0),1),""))</f>
        <v/>
      </c>
      <c r="B25" s="555" t="str">
        <f ca="1">IF(OR(LEFT(ListAndConversion!BW27,3)="Dil",LEFT(ListAndConversion!BW27,3)="Poo"),ListAndConversion!BU27,IF(LEFT(ListAndConversion!BW27,3)="Sou",INDEX(ListAndConversion!$AT$4:$AV$387,MATCH(ListAndConversion!BV27,ListAndConversion!$AV$4:$AV$387,0),2),""))</f>
        <v/>
      </c>
      <c r="C25" s="555" t="str">
        <f ca="1">IF(ListAndConversion!BZ27&lt;&gt;"-",ListAndConversion!BZ27,"")</f>
        <v/>
      </c>
      <c r="D25" s="555" t="str">
        <f ca="1">IF(ListAndConversion!BW27&lt;&gt;"-",ListAndConversion!BW27,"")</f>
        <v/>
      </c>
      <c r="E25" s="555" t="str">
        <f ca="1">IF(ListAndConversion!BX27&lt;&gt;"-",ListAndConversion!BX27,"")</f>
        <v/>
      </c>
      <c r="F25" s="565" t="str">
        <f ca="1">IF(ListAndConversion!BY27&lt;&gt;"-",ListAndConversion!BY27,"")</f>
        <v/>
      </c>
      <c r="G25" s="565" t="str">
        <f ca="1">IF(ListAndConversion!CB27&lt;&gt;"-",ListAndConversion!CB27,"")</f>
        <v/>
      </c>
      <c r="H25" s="565" t="str">
        <f ca="1">IF(ListAndConversion!CC27&lt;&gt;"-",ListAndConversion!CC27,"")</f>
        <v/>
      </c>
      <c r="I25" s="565" t="str">
        <f ca="1">IF(ListAndConversion!CC27&lt;&gt;"-","Microfuge1","")</f>
        <v/>
      </c>
      <c r="J25" s="583" t="str">
        <f ca="1">IF(ListAndConversion!CD27&lt;&gt;"-",ListAndConversion!CD27,"")</f>
        <v/>
      </c>
      <c r="K25" s="577" t="str">
        <f t="shared" ca="1" si="0"/>
        <v/>
      </c>
    </row>
    <row r="26" spans="1:11" x14ac:dyDescent="0.65">
      <c r="A26" s="554" t="str">
        <f ca="1">IF(OR(LEFT(ListAndConversion!BW28,3)="Dil",LEFT(ListAndConversion!BW28,3)="Poo"),ListAndConversion!$BT$4,IF(LEFT(ListAndConversion!BW28,3)="Sou",INDEX(ListAndConversion!$AT$4:$AV$387,MATCH(ListAndConversion!BV28,ListAndConversion!$AV$4:$AV$387,0),1),""))</f>
        <v/>
      </c>
      <c r="B26" s="555" t="str">
        <f ca="1">IF(OR(LEFT(ListAndConversion!BW28,3)="Dil",LEFT(ListAndConversion!BW28,3)="Poo"),ListAndConversion!BU28,IF(LEFT(ListAndConversion!BW28,3)="Sou",INDEX(ListAndConversion!$AT$4:$AV$387,MATCH(ListAndConversion!BV28,ListAndConversion!$AV$4:$AV$387,0),2),""))</f>
        <v/>
      </c>
      <c r="C26" s="555" t="str">
        <f ca="1">IF(ListAndConversion!BZ28&lt;&gt;"-",ListAndConversion!BZ28,"")</f>
        <v/>
      </c>
      <c r="D26" s="555" t="str">
        <f ca="1">IF(ListAndConversion!BW28&lt;&gt;"-",ListAndConversion!BW28,"")</f>
        <v/>
      </c>
      <c r="E26" s="555" t="str">
        <f ca="1">IF(ListAndConversion!BX28&lt;&gt;"-",ListAndConversion!BX28,"")</f>
        <v/>
      </c>
      <c r="F26" s="565" t="str">
        <f ca="1">IF(ListAndConversion!BY28&lt;&gt;"-",ListAndConversion!BY28,"")</f>
        <v/>
      </c>
      <c r="G26" s="565" t="str">
        <f ca="1">IF(ListAndConversion!CB28&lt;&gt;"-",ListAndConversion!CB28,"")</f>
        <v/>
      </c>
      <c r="H26" s="565" t="str">
        <f ca="1">IF(ListAndConversion!CC28&lt;&gt;"-",ListAndConversion!CC28,"")</f>
        <v/>
      </c>
      <c r="I26" s="565" t="str">
        <f ca="1">IF(ListAndConversion!CC28&lt;&gt;"-","Microfuge1","")</f>
        <v/>
      </c>
      <c r="J26" s="583" t="str">
        <f ca="1">IF(ListAndConversion!CD28&lt;&gt;"-",ListAndConversion!CD28,"")</f>
        <v/>
      </c>
      <c r="K26" s="577" t="str">
        <f t="shared" ca="1" si="0"/>
        <v/>
      </c>
    </row>
    <row r="27" spans="1:11" x14ac:dyDescent="0.65">
      <c r="A27" s="554" t="str">
        <f ca="1">IF(OR(LEFT(ListAndConversion!BW29,3)="Dil",LEFT(ListAndConversion!BW29,3)="Poo"),ListAndConversion!$BT$4,IF(LEFT(ListAndConversion!BW29,3)="Sou",INDEX(ListAndConversion!$AT$4:$AV$387,MATCH(ListAndConversion!BV29,ListAndConversion!$AV$4:$AV$387,0),1),""))</f>
        <v/>
      </c>
      <c r="B27" s="555" t="str">
        <f ca="1">IF(OR(LEFT(ListAndConversion!BW29,3)="Dil",LEFT(ListAndConversion!BW29,3)="Poo"),ListAndConversion!BU29,IF(LEFT(ListAndConversion!BW29,3)="Sou",INDEX(ListAndConversion!$AT$4:$AV$387,MATCH(ListAndConversion!BV29,ListAndConversion!$AV$4:$AV$387,0),2),""))</f>
        <v/>
      </c>
      <c r="C27" s="555" t="str">
        <f ca="1">IF(ListAndConversion!BZ29&lt;&gt;"-",ListAndConversion!BZ29,"")</f>
        <v/>
      </c>
      <c r="D27" s="555" t="str">
        <f ca="1">IF(ListAndConversion!BW29&lt;&gt;"-",ListAndConversion!BW29,"")</f>
        <v/>
      </c>
      <c r="E27" s="555" t="str">
        <f ca="1">IF(ListAndConversion!BX29&lt;&gt;"-",ListAndConversion!BX29,"")</f>
        <v/>
      </c>
      <c r="F27" s="565" t="str">
        <f ca="1">IF(ListAndConversion!BY29&lt;&gt;"-",ListAndConversion!BY29,"")</f>
        <v/>
      </c>
      <c r="G27" s="565" t="str">
        <f ca="1">IF(ListAndConversion!CB29&lt;&gt;"-",ListAndConversion!CB29,"")</f>
        <v/>
      </c>
      <c r="H27" s="565" t="str">
        <f ca="1">IF(ListAndConversion!CC29&lt;&gt;"-",ListAndConversion!CC29,"")</f>
        <v/>
      </c>
      <c r="I27" s="565" t="str">
        <f ca="1">IF(ListAndConversion!CC29&lt;&gt;"-","Microfuge1","")</f>
        <v/>
      </c>
      <c r="J27" s="583" t="str">
        <f ca="1">IF(ListAndConversion!CD29&lt;&gt;"-",ListAndConversion!CD29,"")</f>
        <v/>
      </c>
      <c r="K27" s="577" t="str">
        <f t="shared" ca="1" si="0"/>
        <v/>
      </c>
    </row>
    <row r="28" spans="1:11" x14ac:dyDescent="0.65">
      <c r="A28" s="554" t="str">
        <f ca="1">IF(OR(LEFT(ListAndConversion!BW30,3)="Dil",LEFT(ListAndConversion!BW30,3)="Poo"),ListAndConversion!$BT$4,IF(LEFT(ListAndConversion!BW30,3)="Sou",INDEX(ListAndConversion!$AT$4:$AV$387,MATCH(ListAndConversion!BV30,ListAndConversion!$AV$4:$AV$387,0),1),""))</f>
        <v/>
      </c>
      <c r="B28" s="555" t="str">
        <f ca="1">IF(OR(LEFT(ListAndConversion!BW30,3)="Dil",LEFT(ListAndConversion!BW30,3)="Poo"),ListAndConversion!BU30,IF(LEFT(ListAndConversion!BW30,3)="Sou",INDEX(ListAndConversion!$AT$4:$AV$387,MATCH(ListAndConversion!BV30,ListAndConversion!$AV$4:$AV$387,0),2),""))</f>
        <v/>
      </c>
      <c r="C28" s="555" t="str">
        <f ca="1">IF(ListAndConversion!BZ30&lt;&gt;"-",ListAndConversion!BZ30,"")</f>
        <v/>
      </c>
      <c r="D28" s="555" t="str">
        <f ca="1">IF(ListAndConversion!BW30&lt;&gt;"-",ListAndConversion!BW30,"")</f>
        <v/>
      </c>
      <c r="E28" s="555" t="str">
        <f ca="1">IF(ListAndConversion!BX30&lt;&gt;"-",ListAndConversion!BX30,"")</f>
        <v/>
      </c>
      <c r="F28" s="565" t="str">
        <f ca="1">IF(ListAndConversion!BY30&lt;&gt;"-",ListAndConversion!BY30,"")</f>
        <v/>
      </c>
      <c r="G28" s="565" t="str">
        <f ca="1">IF(ListAndConversion!CB30&lt;&gt;"-",ListAndConversion!CB30,"")</f>
        <v/>
      </c>
      <c r="H28" s="565" t="str">
        <f ca="1">IF(ListAndConversion!CC30&lt;&gt;"-",ListAndConversion!CC30,"")</f>
        <v/>
      </c>
      <c r="I28" s="565" t="str">
        <f ca="1">IF(ListAndConversion!CC30&lt;&gt;"-","Microfuge1","")</f>
        <v/>
      </c>
      <c r="J28" s="583" t="str">
        <f ca="1">IF(ListAndConversion!CD30&lt;&gt;"-",ListAndConversion!CD30,"")</f>
        <v/>
      </c>
      <c r="K28" s="577" t="str">
        <f t="shared" ca="1" si="0"/>
        <v/>
      </c>
    </row>
    <row r="29" spans="1:11" x14ac:dyDescent="0.65">
      <c r="A29" s="554" t="str">
        <f ca="1">IF(OR(LEFT(ListAndConversion!BW31,3)="Dil",LEFT(ListAndConversion!BW31,3)="Poo"),ListAndConversion!$BT$4,IF(LEFT(ListAndConversion!BW31,3)="Sou",INDEX(ListAndConversion!$AT$4:$AV$387,MATCH(ListAndConversion!BV31,ListAndConversion!$AV$4:$AV$387,0),1),""))</f>
        <v/>
      </c>
      <c r="B29" s="555" t="str">
        <f ca="1">IF(OR(LEFT(ListAndConversion!BW31,3)="Dil",LEFT(ListAndConversion!BW31,3)="Poo"),ListAndConversion!BU31,IF(LEFT(ListAndConversion!BW31,3)="Sou",INDEX(ListAndConversion!$AT$4:$AV$387,MATCH(ListAndConversion!BV31,ListAndConversion!$AV$4:$AV$387,0),2),""))</f>
        <v/>
      </c>
      <c r="C29" s="555" t="str">
        <f ca="1">IF(ListAndConversion!BZ31&lt;&gt;"-",ListAndConversion!BZ31,"")</f>
        <v/>
      </c>
      <c r="D29" s="555" t="str">
        <f ca="1">IF(ListAndConversion!BW31&lt;&gt;"-",ListAndConversion!BW31,"")</f>
        <v/>
      </c>
      <c r="E29" s="555" t="str">
        <f ca="1">IF(ListAndConversion!BX31&lt;&gt;"-",ListAndConversion!BX31,"")</f>
        <v/>
      </c>
      <c r="F29" s="565" t="str">
        <f ca="1">IF(ListAndConversion!BY31&lt;&gt;"-",ListAndConversion!BY31,"")</f>
        <v/>
      </c>
      <c r="G29" s="565" t="str">
        <f ca="1">IF(ListAndConversion!CB31&lt;&gt;"-",ListAndConversion!CB31,"")</f>
        <v/>
      </c>
      <c r="H29" s="565" t="str">
        <f ca="1">IF(ListAndConversion!CC31&lt;&gt;"-",ListAndConversion!CC31,"")</f>
        <v/>
      </c>
      <c r="I29" s="565" t="str">
        <f ca="1">IF(ListAndConversion!CC31&lt;&gt;"-","Microfuge1","")</f>
        <v/>
      </c>
      <c r="J29" s="583" t="str">
        <f ca="1">IF(ListAndConversion!CD31&lt;&gt;"-",ListAndConversion!CD31,"")</f>
        <v/>
      </c>
      <c r="K29" s="577" t="str">
        <f t="shared" ca="1" si="0"/>
        <v/>
      </c>
    </row>
    <row r="30" spans="1:11" x14ac:dyDescent="0.65">
      <c r="A30" s="554" t="str">
        <f ca="1">IF(OR(LEFT(ListAndConversion!BW32,3)="Dil",LEFT(ListAndConversion!BW32,3)="Poo"),ListAndConversion!$BT$4,IF(LEFT(ListAndConversion!BW32,3)="Sou",INDEX(ListAndConversion!$AT$4:$AV$387,MATCH(ListAndConversion!BV32,ListAndConversion!$AV$4:$AV$387,0),1),""))</f>
        <v/>
      </c>
      <c r="B30" s="555" t="str">
        <f ca="1">IF(OR(LEFT(ListAndConversion!BW32,3)="Dil",LEFT(ListAndConversion!BW32,3)="Poo"),ListAndConversion!BU32,IF(LEFT(ListAndConversion!BW32,3)="Sou",INDEX(ListAndConversion!$AT$4:$AV$387,MATCH(ListAndConversion!BV32,ListAndConversion!$AV$4:$AV$387,0),2),""))</f>
        <v/>
      </c>
      <c r="C30" s="555" t="str">
        <f ca="1">IF(ListAndConversion!BZ32&lt;&gt;"-",ListAndConversion!BZ32,"")</f>
        <v/>
      </c>
      <c r="D30" s="555" t="str">
        <f ca="1">IF(ListAndConversion!BW32&lt;&gt;"-",ListAndConversion!BW32,"")</f>
        <v/>
      </c>
      <c r="E30" s="555" t="str">
        <f ca="1">IF(ListAndConversion!BX32&lt;&gt;"-",ListAndConversion!BX32,"")</f>
        <v/>
      </c>
      <c r="F30" s="565" t="str">
        <f ca="1">IF(ListAndConversion!BY32&lt;&gt;"-",ListAndConversion!BY32,"")</f>
        <v/>
      </c>
      <c r="G30" s="565" t="str">
        <f ca="1">IF(ListAndConversion!CB32&lt;&gt;"-",ListAndConversion!CB32,"")</f>
        <v/>
      </c>
      <c r="H30" s="565" t="str">
        <f ca="1">IF(ListAndConversion!CC32&lt;&gt;"-",ListAndConversion!CC32,"")</f>
        <v/>
      </c>
      <c r="I30" s="565" t="str">
        <f ca="1">IF(ListAndConversion!CC32&lt;&gt;"-","Microfuge1","")</f>
        <v/>
      </c>
      <c r="J30" s="583" t="str">
        <f ca="1">IF(ListAndConversion!CD32&lt;&gt;"-",ListAndConversion!CD32,"")</f>
        <v/>
      </c>
      <c r="K30" s="577" t="str">
        <f t="shared" ca="1" si="0"/>
        <v/>
      </c>
    </row>
    <row r="31" spans="1:11" x14ac:dyDescent="0.65">
      <c r="A31" s="554" t="str">
        <f ca="1">IF(OR(LEFT(ListAndConversion!BW33,3)="Dil",LEFT(ListAndConversion!BW33,3)="Poo"),ListAndConversion!$BT$4,IF(LEFT(ListAndConversion!BW33,3)="Sou",INDEX(ListAndConversion!$AT$4:$AV$387,MATCH(ListAndConversion!BV33,ListAndConversion!$AV$4:$AV$387,0),1),""))</f>
        <v/>
      </c>
      <c r="B31" s="555" t="str">
        <f ca="1">IF(OR(LEFT(ListAndConversion!BW33,3)="Dil",LEFT(ListAndConversion!BW33,3)="Poo"),ListAndConversion!BU33,IF(LEFT(ListAndConversion!BW33,3)="Sou",INDEX(ListAndConversion!$AT$4:$AV$387,MATCH(ListAndConversion!BV33,ListAndConversion!$AV$4:$AV$387,0),2),""))</f>
        <v/>
      </c>
      <c r="C31" s="555" t="str">
        <f ca="1">IF(ListAndConversion!BZ33&lt;&gt;"-",ListAndConversion!BZ33,"")</f>
        <v/>
      </c>
      <c r="D31" s="555" t="str">
        <f ca="1">IF(ListAndConversion!BW33&lt;&gt;"-",ListAndConversion!BW33,"")</f>
        <v/>
      </c>
      <c r="E31" s="555" t="str">
        <f ca="1">IF(ListAndConversion!BX33&lt;&gt;"-",ListAndConversion!BX33,"")</f>
        <v/>
      </c>
      <c r="F31" s="565" t="str">
        <f ca="1">IF(ListAndConversion!BY33&lt;&gt;"-",ListAndConversion!BY33,"")</f>
        <v/>
      </c>
      <c r="G31" s="565" t="str">
        <f ca="1">IF(ListAndConversion!CB33&lt;&gt;"-",ListAndConversion!CB33,"")</f>
        <v/>
      </c>
      <c r="H31" s="565" t="str">
        <f ca="1">IF(ListAndConversion!CC33&lt;&gt;"-",ListAndConversion!CC33,"")</f>
        <v/>
      </c>
      <c r="I31" s="565" t="str">
        <f ca="1">IF(ListAndConversion!CC33&lt;&gt;"-","Microfuge1","")</f>
        <v/>
      </c>
      <c r="J31" s="583" t="str">
        <f ca="1">IF(ListAndConversion!CD33&lt;&gt;"-",ListAndConversion!CD33,"")</f>
        <v/>
      </c>
      <c r="K31" s="577" t="str">
        <f t="shared" ca="1" si="0"/>
        <v/>
      </c>
    </row>
    <row r="32" spans="1:11" x14ac:dyDescent="0.65">
      <c r="A32" s="554" t="str">
        <f ca="1">IF(OR(LEFT(ListAndConversion!BW34,3)="Dil",LEFT(ListAndConversion!BW34,3)="Poo"),ListAndConversion!$BT$4,IF(LEFT(ListAndConversion!BW34,3)="Sou",INDEX(ListAndConversion!$AT$4:$AV$387,MATCH(ListAndConversion!BV34,ListAndConversion!$AV$4:$AV$387,0),1),""))</f>
        <v/>
      </c>
      <c r="B32" s="555" t="str">
        <f ca="1">IF(OR(LEFT(ListAndConversion!BW34,3)="Dil",LEFT(ListAndConversion!BW34,3)="Poo"),ListAndConversion!BU34,IF(LEFT(ListAndConversion!BW34,3)="Sou",INDEX(ListAndConversion!$AT$4:$AV$387,MATCH(ListAndConversion!BV34,ListAndConversion!$AV$4:$AV$387,0),2),""))</f>
        <v/>
      </c>
      <c r="C32" s="555" t="str">
        <f ca="1">IF(ListAndConversion!BZ34&lt;&gt;"-",ListAndConversion!BZ34,"")</f>
        <v/>
      </c>
      <c r="D32" s="555" t="str">
        <f ca="1">IF(ListAndConversion!BW34&lt;&gt;"-",ListAndConversion!BW34,"")</f>
        <v/>
      </c>
      <c r="E32" s="555" t="str">
        <f ca="1">IF(ListAndConversion!BX34&lt;&gt;"-",ListAndConversion!BX34,"")</f>
        <v/>
      </c>
      <c r="F32" s="565" t="str">
        <f ca="1">IF(ListAndConversion!BY34&lt;&gt;"-",ListAndConversion!BY34,"")</f>
        <v/>
      </c>
      <c r="G32" s="565" t="str">
        <f ca="1">IF(ListAndConversion!CB34&lt;&gt;"-",ListAndConversion!CB34,"")</f>
        <v/>
      </c>
      <c r="H32" s="565" t="str">
        <f ca="1">IF(ListAndConversion!CC34&lt;&gt;"-",ListAndConversion!CC34,"")</f>
        <v/>
      </c>
      <c r="I32" s="565" t="str">
        <f ca="1">IF(ListAndConversion!CC34&lt;&gt;"-","Microfuge1","")</f>
        <v/>
      </c>
      <c r="J32" s="583" t="str">
        <f ca="1">IF(ListAndConversion!CD34&lt;&gt;"-",ListAndConversion!CD34,"")</f>
        <v/>
      </c>
      <c r="K32" s="577" t="str">
        <f t="shared" ca="1" si="0"/>
        <v/>
      </c>
    </row>
    <row r="33" spans="1:11" x14ac:dyDescent="0.65">
      <c r="A33" s="554" t="str">
        <f ca="1">IF(OR(LEFT(ListAndConversion!BW35,3)="Dil",LEFT(ListAndConversion!BW35,3)="Poo"),ListAndConversion!$BT$4,IF(LEFT(ListAndConversion!BW35,3)="Sou",INDEX(ListAndConversion!$AT$4:$AV$387,MATCH(ListAndConversion!BV35,ListAndConversion!$AV$4:$AV$387,0),1),""))</f>
        <v/>
      </c>
      <c r="B33" s="555" t="str">
        <f ca="1">IF(OR(LEFT(ListAndConversion!BW35,3)="Dil",LEFT(ListAndConversion!BW35,3)="Poo"),ListAndConversion!BU35,IF(LEFT(ListAndConversion!BW35,3)="Sou",INDEX(ListAndConversion!$AT$4:$AV$387,MATCH(ListAndConversion!BV35,ListAndConversion!$AV$4:$AV$387,0),2),""))</f>
        <v/>
      </c>
      <c r="C33" s="555" t="str">
        <f ca="1">IF(ListAndConversion!BZ35&lt;&gt;"-",ListAndConversion!BZ35,"")</f>
        <v/>
      </c>
      <c r="D33" s="555" t="str">
        <f ca="1">IF(ListAndConversion!BW35&lt;&gt;"-",ListAndConversion!BW35,"")</f>
        <v/>
      </c>
      <c r="E33" s="555" t="str">
        <f ca="1">IF(ListAndConversion!BX35&lt;&gt;"-",ListAndConversion!BX35,"")</f>
        <v/>
      </c>
      <c r="F33" s="565" t="str">
        <f ca="1">IF(ListAndConversion!BY35&lt;&gt;"-",ListAndConversion!BY35,"")</f>
        <v/>
      </c>
      <c r="G33" s="565" t="str">
        <f ca="1">IF(ListAndConversion!CB35&lt;&gt;"-",ListAndConversion!CB35,"")</f>
        <v/>
      </c>
      <c r="H33" s="565" t="str">
        <f ca="1">IF(ListAndConversion!CC35&lt;&gt;"-",ListAndConversion!CC35,"")</f>
        <v/>
      </c>
      <c r="I33" s="565" t="str">
        <f ca="1">IF(ListAndConversion!CC35&lt;&gt;"-","Microfuge1","")</f>
        <v/>
      </c>
      <c r="J33" s="583" t="str">
        <f ca="1">IF(ListAndConversion!CD35&lt;&gt;"-",ListAndConversion!CD35,"")</f>
        <v/>
      </c>
      <c r="K33" s="577" t="str">
        <f t="shared" ca="1" si="0"/>
        <v/>
      </c>
    </row>
    <row r="34" spans="1:11" x14ac:dyDescent="0.65">
      <c r="A34" s="554" t="str">
        <f ca="1">IF(OR(LEFT(ListAndConversion!BW36,3)="Dil",LEFT(ListAndConversion!BW36,3)="Poo"),ListAndConversion!$BT$4,IF(LEFT(ListAndConversion!BW36,3)="Sou",INDEX(ListAndConversion!$AT$4:$AV$387,MATCH(ListAndConversion!BV36,ListAndConversion!$AV$4:$AV$387,0),1),""))</f>
        <v/>
      </c>
      <c r="B34" s="555" t="str">
        <f ca="1">IF(OR(LEFT(ListAndConversion!BW36,3)="Dil",LEFT(ListAndConversion!BW36,3)="Poo"),ListAndConversion!BU36,IF(LEFT(ListAndConversion!BW36,3)="Sou",INDEX(ListAndConversion!$AT$4:$AV$387,MATCH(ListAndConversion!BV36,ListAndConversion!$AV$4:$AV$387,0),2),""))</f>
        <v/>
      </c>
      <c r="C34" s="555" t="str">
        <f ca="1">IF(ListAndConversion!BZ36&lt;&gt;"-",ListAndConversion!BZ36,"")</f>
        <v/>
      </c>
      <c r="D34" s="555" t="str">
        <f ca="1">IF(ListAndConversion!BW36&lt;&gt;"-",ListAndConversion!BW36,"")</f>
        <v/>
      </c>
      <c r="E34" s="555" t="str">
        <f ca="1">IF(ListAndConversion!BX36&lt;&gt;"-",ListAndConversion!BX36,"")</f>
        <v/>
      </c>
      <c r="F34" s="565" t="str">
        <f ca="1">IF(ListAndConversion!BY36&lt;&gt;"-",ListAndConversion!BY36,"")</f>
        <v/>
      </c>
      <c r="G34" s="565" t="str">
        <f ca="1">IF(ListAndConversion!CB36&lt;&gt;"-",ListAndConversion!CB36,"")</f>
        <v/>
      </c>
      <c r="H34" s="565" t="str">
        <f ca="1">IF(ListAndConversion!CC36&lt;&gt;"-",ListAndConversion!CC36,"")</f>
        <v/>
      </c>
      <c r="I34" s="565" t="str">
        <f ca="1">IF(ListAndConversion!CC36&lt;&gt;"-","Microfuge1","")</f>
        <v/>
      </c>
      <c r="J34" s="583" t="str">
        <f ca="1">IF(ListAndConversion!CD36&lt;&gt;"-",ListAndConversion!CD36,"")</f>
        <v/>
      </c>
      <c r="K34" s="577" t="str">
        <f t="shared" ca="1" si="0"/>
        <v/>
      </c>
    </row>
    <row r="35" spans="1:11" x14ac:dyDescent="0.65">
      <c r="A35" s="554" t="str">
        <f ca="1">IF(OR(LEFT(ListAndConversion!BW37,3)="Dil",LEFT(ListAndConversion!BW37,3)="Poo"),ListAndConversion!$BT$4,IF(LEFT(ListAndConversion!BW37,3)="Sou",INDEX(ListAndConversion!$AT$4:$AV$387,MATCH(ListAndConversion!BV37,ListAndConversion!$AV$4:$AV$387,0),1),""))</f>
        <v/>
      </c>
      <c r="B35" s="555" t="str">
        <f ca="1">IF(OR(LEFT(ListAndConversion!BW37,3)="Dil",LEFT(ListAndConversion!BW37,3)="Poo"),ListAndConversion!BU37,IF(LEFT(ListAndConversion!BW37,3)="Sou",INDEX(ListAndConversion!$AT$4:$AV$387,MATCH(ListAndConversion!BV37,ListAndConversion!$AV$4:$AV$387,0),2),""))</f>
        <v/>
      </c>
      <c r="C35" s="555" t="str">
        <f ca="1">IF(ListAndConversion!BZ37&lt;&gt;"-",ListAndConversion!BZ37,"")</f>
        <v/>
      </c>
      <c r="D35" s="555" t="str">
        <f ca="1">IF(ListAndConversion!BW37&lt;&gt;"-",ListAndConversion!BW37,"")</f>
        <v/>
      </c>
      <c r="E35" s="555" t="str">
        <f ca="1">IF(ListAndConversion!BX37&lt;&gt;"-",ListAndConversion!BX37,"")</f>
        <v/>
      </c>
      <c r="F35" s="565" t="str">
        <f ca="1">IF(ListAndConversion!BY37&lt;&gt;"-",ListAndConversion!BY37,"")</f>
        <v/>
      </c>
      <c r="G35" s="565" t="str">
        <f ca="1">IF(ListAndConversion!CB37&lt;&gt;"-",ListAndConversion!CB37,"")</f>
        <v/>
      </c>
      <c r="H35" s="565" t="str">
        <f ca="1">IF(ListAndConversion!CC37&lt;&gt;"-",ListAndConversion!CC37,"")</f>
        <v/>
      </c>
      <c r="I35" s="565" t="str">
        <f ca="1">IF(ListAndConversion!CC37&lt;&gt;"-","Microfuge1","")</f>
        <v/>
      </c>
      <c r="J35" s="583" t="str">
        <f ca="1">IF(ListAndConversion!CD37&lt;&gt;"-",ListAndConversion!CD37,"")</f>
        <v/>
      </c>
      <c r="K35" s="577" t="str">
        <f t="shared" ca="1" si="0"/>
        <v/>
      </c>
    </row>
    <row r="36" spans="1:11" x14ac:dyDescent="0.65">
      <c r="A36" s="554" t="str">
        <f ca="1">IF(OR(LEFT(ListAndConversion!BW38,3)="Dil",LEFT(ListAndConversion!BW38,3)="Poo"),ListAndConversion!$BT$4,IF(LEFT(ListAndConversion!BW38,3)="Sou",INDEX(ListAndConversion!$AT$4:$AV$387,MATCH(ListAndConversion!BV38,ListAndConversion!$AV$4:$AV$387,0),1),""))</f>
        <v/>
      </c>
      <c r="B36" s="555" t="str">
        <f ca="1">IF(OR(LEFT(ListAndConversion!BW38,3)="Dil",LEFT(ListAndConversion!BW38,3)="Poo"),ListAndConversion!BU38,IF(LEFT(ListAndConversion!BW38,3)="Sou",INDEX(ListAndConversion!$AT$4:$AV$387,MATCH(ListAndConversion!BV38,ListAndConversion!$AV$4:$AV$387,0),2),""))</f>
        <v/>
      </c>
      <c r="C36" s="555" t="str">
        <f ca="1">IF(ListAndConversion!BZ38&lt;&gt;"-",ListAndConversion!BZ38,"")</f>
        <v/>
      </c>
      <c r="D36" s="555" t="str">
        <f ca="1">IF(ListAndConversion!BW38&lt;&gt;"-",ListAndConversion!BW38,"")</f>
        <v/>
      </c>
      <c r="E36" s="555" t="str">
        <f ca="1">IF(ListAndConversion!BX38&lt;&gt;"-",ListAndConversion!BX38,"")</f>
        <v/>
      </c>
      <c r="F36" s="565" t="str">
        <f ca="1">IF(ListAndConversion!BY38&lt;&gt;"-",ListAndConversion!BY38,"")</f>
        <v/>
      </c>
      <c r="G36" s="565" t="str">
        <f ca="1">IF(ListAndConversion!CB38&lt;&gt;"-",ListAndConversion!CB38,"")</f>
        <v/>
      </c>
      <c r="H36" s="565" t="str">
        <f ca="1">IF(ListAndConversion!CC38&lt;&gt;"-",ListAndConversion!CC38,"")</f>
        <v/>
      </c>
      <c r="I36" s="565" t="str">
        <f ca="1">IF(ListAndConversion!CC38&lt;&gt;"-","Microfuge1","")</f>
        <v/>
      </c>
      <c r="J36" s="583" t="str">
        <f ca="1">IF(ListAndConversion!CD38&lt;&gt;"-",ListAndConversion!CD38,"")</f>
        <v/>
      </c>
      <c r="K36" s="577" t="str">
        <f t="shared" ca="1" si="0"/>
        <v/>
      </c>
    </row>
    <row r="37" spans="1:11" x14ac:dyDescent="0.65">
      <c r="A37" s="554" t="str">
        <f ca="1">IF(OR(LEFT(ListAndConversion!BW39,3)="Dil",LEFT(ListAndConversion!BW39,3)="Poo"),ListAndConversion!$BT$4,IF(LEFT(ListAndConversion!BW39,3)="Sou",INDEX(ListAndConversion!$AT$4:$AV$387,MATCH(ListAndConversion!BV39,ListAndConversion!$AV$4:$AV$387,0),1),""))</f>
        <v/>
      </c>
      <c r="B37" s="555" t="str">
        <f ca="1">IF(OR(LEFT(ListAndConversion!BW39,3)="Dil",LEFT(ListAndConversion!BW39,3)="Poo"),ListAndConversion!BU39,IF(LEFT(ListAndConversion!BW39,3)="Sou",INDEX(ListAndConversion!$AT$4:$AV$387,MATCH(ListAndConversion!BV39,ListAndConversion!$AV$4:$AV$387,0),2),""))</f>
        <v/>
      </c>
      <c r="C37" s="555" t="str">
        <f ca="1">IF(ListAndConversion!BZ39&lt;&gt;"-",ListAndConversion!BZ39,"")</f>
        <v/>
      </c>
      <c r="D37" s="555" t="str">
        <f ca="1">IF(ListAndConversion!BW39&lt;&gt;"-",ListAndConversion!BW39,"")</f>
        <v/>
      </c>
      <c r="E37" s="555" t="str">
        <f ca="1">IF(ListAndConversion!BX39&lt;&gt;"-",ListAndConversion!BX39,"")</f>
        <v/>
      </c>
      <c r="F37" s="565" t="str">
        <f ca="1">IF(ListAndConversion!BY39&lt;&gt;"-",ListAndConversion!BY39,"")</f>
        <v/>
      </c>
      <c r="G37" s="565" t="str">
        <f ca="1">IF(ListAndConversion!CB39&lt;&gt;"-",ListAndConversion!CB39,"")</f>
        <v/>
      </c>
      <c r="H37" s="565" t="str">
        <f ca="1">IF(ListAndConversion!CC39&lt;&gt;"-",ListAndConversion!CC39,"")</f>
        <v/>
      </c>
      <c r="I37" s="565" t="str">
        <f ca="1">IF(ListAndConversion!CC39&lt;&gt;"-","Microfuge1","")</f>
        <v/>
      </c>
      <c r="J37" s="583" t="str">
        <f ca="1">IF(ListAndConversion!CD39&lt;&gt;"-",ListAndConversion!CD39,"")</f>
        <v/>
      </c>
      <c r="K37" s="577" t="str">
        <f t="shared" ca="1" si="0"/>
        <v/>
      </c>
    </row>
    <row r="38" spans="1:11" x14ac:dyDescent="0.65">
      <c r="A38" s="554" t="str">
        <f ca="1">IF(OR(LEFT(ListAndConversion!BW40,3)="Dil",LEFT(ListAndConversion!BW40,3)="Poo"),ListAndConversion!$BT$4,IF(LEFT(ListAndConversion!BW40,3)="Sou",INDEX(ListAndConversion!$AT$4:$AV$387,MATCH(ListAndConversion!BV40,ListAndConversion!$AV$4:$AV$387,0),1),""))</f>
        <v/>
      </c>
      <c r="B38" s="555" t="str">
        <f ca="1">IF(OR(LEFT(ListAndConversion!BW40,3)="Dil",LEFT(ListAndConversion!BW40,3)="Poo"),ListAndConversion!BU40,IF(LEFT(ListAndConversion!BW40,3)="Sou",INDEX(ListAndConversion!$AT$4:$AV$387,MATCH(ListAndConversion!BV40,ListAndConversion!$AV$4:$AV$387,0),2),""))</f>
        <v/>
      </c>
      <c r="C38" s="555" t="str">
        <f ca="1">IF(ListAndConversion!BZ40&lt;&gt;"-",ListAndConversion!BZ40,"")</f>
        <v/>
      </c>
      <c r="D38" s="555" t="str">
        <f ca="1">IF(ListAndConversion!BW40&lt;&gt;"-",ListAndConversion!BW40,"")</f>
        <v/>
      </c>
      <c r="E38" s="555" t="str">
        <f ca="1">IF(ListAndConversion!BX40&lt;&gt;"-",ListAndConversion!BX40,"")</f>
        <v/>
      </c>
      <c r="F38" s="565" t="str">
        <f ca="1">IF(ListAndConversion!BY40&lt;&gt;"-",ListAndConversion!BY40,"")</f>
        <v/>
      </c>
      <c r="G38" s="565" t="str">
        <f ca="1">IF(ListAndConversion!CB40&lt;&gt;"-",ListAndConversion!CB40,"")</f>
        <v/>
      </c>
      <c r="H38" s="565" t="str">
        <f ca="1">IF(ListAndConversion!CC40&lt;&gt;"-",ListAndConversion!CC40,"")</f>
        <v/>
      </c>
      <c r="I38" s="565" t="str">
        <f ca="1">IF(ListAndConversion!CC40&lt;&gt;"-","Microfuge1","")</f>
        <v/>
      </c>
      <c r="J38" s="583" t="str">
        <f ca="1">IF(ListAndConversion!CD40&lt;&gt;"-",ListAndConversion!CD40,"")</f>
        <v/>
      </c>
      <c r="K38" s="577" t="str">
        <f t="shared" ca="1" si="0"/>
        <v/>
      </c>
    </row>
    <row r="39" spans="1:11" x14ac:dyDescent="0.65">
      <c r="A39" s="554" t="str">
        <f ca="1">IF(OR(LEFT(ListAndConversion!BW41,3)="Dil",LEFT(ListAndConversion!BW41,3)="Poo"),ListAndConversion!$BT$4,IF(LEFT(ListAndConversion!BW41,3)="Sou",INDEX(ListAndConversion!$AT$4:$AV$387,MATCH(ListAndConversion!BV41,ListAndConversion!$AV$4:$AV$387,0),1),""))</f>
        <v/>
      </c>
      <c r="B39" s="555" t="str">
        <f ca="1">IF(OR(LEFT(ListAndConversion!BW41,3)="Dil",LEFT(ListAndConversion!BW41,3)="Poo"),ListAndConversion!BU41,IF(LEFT(ListAndConversion!BW41,3)="Sou",INDEX(ListAndConversion!$AT$4:$AV$387,MATCH(ListAndConversion!BV41,ListAndConversion!$AV$4:$AV$387,0),2),""))</f>
        <v/>
      </c>
      <c r="C39" s="555" t="str">
        <f ca="1">IF(ListAndConversion!BZ41&lt;&gt;"-",ListAndConversion!BZ41,"")</f>
        <v/>
      </c>
      <c r="D39" s="555" t="str">
        <f ca="1">IF(ListAndConversion!BW41&lt;&gt;"-",ListAndConversion!BW41,"")</f>
        <v/>
      </c>
      <c r="E39" s="555" t="str">
        <f ca="1">IF(ListAndConversion!BX41&lt;&gt;"-",ListAndConversion!BX41,"")</f>
        <v/>
      </c>
      <c r="F39" s="565" t="str">
        <f ca="1">IF(ListAndConversion!BY41&lt;&gt;"-",ListAndConversion!BY41,"")</f>
        <v/>
      </c>
      <c r="G39" s="565" t="str">
        <f ca="1">IF(ListAndConversion!CB41&lt;&gt;"-",ListAndConversion!CB41,"")</f>
        <v/>
      </c>
      <c r="H39" s="565" t="str">
        <f ca="1">IF(ListAndConversion!CC41&lt;&gt;"-",ListAndConversion!CC41,"")</f>
        <v/>
      </c>
      <c r="I39" s="565" t="str">
        <f ca="1">IF(ListAndConversion!CC41&lt;&gt;"-","Microfuge1","")</f>
        <v/>
      </c>
      <c r="J39" s="583" t="str">
        <f ca="1">IF(ListAndConversion!CD41&lt;&gt;"-",ListAndConversion!CD41,"")</f>
        <v/>
      </c>
      <c r="K39" s="577" t="str">
        <f t="shared" ca="1" si="0"/>
        <v/>
      </c>
    </row>
    <row r="40" spans="1:11" x14ac:dyDescent="0.65">
      <c r="A40" s="554" t="str">
        <f ca="1">IF(OR(LEFT(ListAndConversion!BW42,3)="Dil",LEFT(ListAndConversion!BW42,3)="Poo"),ListAndConversion!$BT$4,IF(LEFT(ListAndConversion!BW42,3)="Sou",INDEX(ListAndConversion!$AT$4:$AV$387,MATCH(ListAndConversion!BV42,ListAndConversion!$AV$4:$AV$387,0),1),""))</f>
        <v/>
      </c>
      <c r="B40" s="555" t="str">
        <f ca="1">IF(OR(LEFT(ListAndConversion!BW42,3)="Dil",LEFT(ListAndConversion!BW42,3)="Poo"),ListAndConversion!BU42,IF(LEFT(ListAndConversion!BW42,3)="Sou",INDEX(ListAndConversion!$AT$4:$AV$387,MATCH(ListAndConversion!BV42,ListAndConversion!$AV$4:$AV$387,0),2),""))</f>
        <v/>
      </c>
      <c r="C40" s="555" t="str">
        <f ca="1">IF(ListAndConversion!BZ42&lt;&gt;"-",ListAndConversion!BZ42,"")</f>
        <v/>
      </c>
      <c r="D40" s="555" t="str">
        <f ca="1">IF(ListAndConversion!BW42&lt;&gt;"-",ListAndConversion!BW42,"")</f>
        <v/>
      </c>
      <c r="E40" s="555" t="str">
        <f ca="1">IF(ListAndConversion!BX42&lt;&gt;"-",ListAndConversion!BX42,"")</f>
        <v/>
      </c>
      <c r="F40" s="565" t="str">
        <f ca="1">IF(ListAndConversion!BY42&lt;&gt;"-",ListAndConversion!BY42,"")</f>
        <v/>
      </c>
      <c r="G40" s="565" t="str">
        <f ca="1">IF(ListAndConversion!CB42&lt;&gt;"-",ListAndConversion!CB42,"")</f>
        <v/>
      </c>
      <c r="H40" s="565" t="str">
        <f ca="1">IF(ListAndConversion!CC42&lt;&gt;"-",ListAndConversion!CC42,"")</f>
        <v/>
      </c>
      <c r="I40" s="565" t="str">
        <f ca="1">IF(ListAndConversion!CC42&lt;&gt;"-","Microfuge1","")</f>
        <v/>
      </c>
      <c r="J40" s="583" t="str">
        <f ca="1">IF(ListAndConversion!CD42&lt;&gt;"-",ListAndConversion!CD42,"")</f>
        <v/>
      </c>
      <c r="K40" s="577" t="str">
        <f t="shared" ca="1" si="0"/>
        <v/>
      </c>
    </row>
    <row r="41" spans="1:11" x14ac:dyDescent="0.65">
      <c r="A41" s="554" t="str">
        <f ca="1">IF(OR(LEFT(ListAndConversion!BW43,3)="Dil",LEFT(ListAndConversion!BW43,3)="Poo"),ListAndConversion!$BT$4,IF(LEFT(ListAndConversion!BW43,3)="Sou",INDEX(ListAndConversion!$AT$4:$AV$387,MATCH(ListAndConversion!BV43,ListAndConversion!$AV$4:$AV$387,0),1),""))</f>
        <v/>
      </c>
      <c r="B41" s="555" t="str">
        <f ca="1">IF(OR(LEFT(ListAndConversion!BW43,3)="Dil",LEFT(ListAndConversion!BW43,3)="Poo"),ListAndConversion!BU43,IF(LEFT(ListAndConversion!BW43,3)="Sou",INDEX(ListAndConversion!$AT$4:$AV$387,MATCH(ListAndConversion!BV43,ListAndConversion!$AV$4:$AV$387,0),2),""))</f>
        <v/>
      </c>
      <c r="C41" s="555" t="str">
        <f ca="1">IF(ListAndConversion!BZ43&lt;&gt;"-",ListAndConversion!BZ43,"")</f>
        <v/>
      </c>
      <c r="D41" s="555" t="str">
        <f ca="1">IF(ListAndConversion!BW43&lt;&gt;"-",ListAndConversion!BW43,"")</f>
        <v/>
      </c>
      <c r="E41" s="555" t="str">
        <f ca="1">IF(ListAndConversion!BX43&lt;&gt;"-",ListAndConversion!BX43,"")</f>
        <v/>
      </c>
      <c r="F41" s="565" t="str">
        <f ca="1">IF(ListAndConversion!BY43&lt;&gt;"-",ListAndConversion!BY43,"")</f>
        <v/>
      </c>
      <c r="G41" s="565" t="str">
        <f ca="1">IF(ListAndConversion!CB43&lt;&gt;"-",ListAndConversion!CB43,"")</f>
        <v/>
      </c>
      <c r="H41" s="565" t="str">
        <f ca="1">IF(ListAndConversion!CC43&lt;&gt;"-",ListAndConversion!CC43,"")</f>
        <v/>
      </c>
      <c r="I41" s="565" t="str">
        <f ca="1">IF(ListAndConversion!CC43&lt;&gt;"-","Microfuge1","")</f>
        <v/>
      </c>
      <c r="J41" s="583" t="str">
        <f ca="1">IF(ListAndConversion!CD43&lt;&gt;"-",ListAndConversion!CD43,"")</f>
        <v/>
      </c>
      <c r="K41" s="577" t="str">
        <f t="shared" ca="1" si="0"/>
        <v/>
      </c>
    </row>
    <row r="42" spans="1:11" x14ac:dyDescent="0.65">
      <c r="A42" s="554" t="str">
        <f ca="1">IF(OR(LEFT(ListAndConversion!BW44,3)="Dil",LEFT(ListAndConversion!BW44,3)="Poo"),ListAndConversion!$BT$4,IF(LEFT(ListAndConversion!BW44,3)="Sou",INDEX(ListAndConversion!$AT$4:$AV$387,MATCH(ListAndConversion!BV44,ListAndConversion!$AV$4:$AV$387,0),1),""))</f>
        <v/>
      </c>
      <c r="B42" s="555" t="str">
        <f ca="1">IF(OR(LEFT(ListAndConversion!BW44,3)="Dil",LEFT(ListAndConversion!BW44,3)="Poo"),ListAndConversion!BU44,IF(LEFT(ListAndConversion!BW44,3)="Sou",INDEX(ListAndConversion!$AT$4:$AV$387,MATCH(ListAndConversion!BV44,ListAndConversion!$AV$4:$AV$387,0),2),""))</f>
        <v/>
      </c>
      <c r="C42" s="555" t="str">
        <f ca="1">IF(ListAndConversion!BZ44&lt;&gt;"-",ListAndConversion!BZ44,"")</f>
        <v/>
      </c>
      <c r="D42" s="555" t="str">
        <f ca="1">IF(ListAndConversion!BW44&lt;&gt;"-",ListAndConversion!BW44,"")</f>
        <v/>
      </c>
      <c r="E42" s="555" t="str">
        <f ca="1">IF(ListAndConversion!BX44&lt;&gt;"-",ListAndConversion!BX44,"")</f>
        <v/>
      </c>
      <c r="F42" s="565" t="str">
        <f ca="1">IF(ListAndConversion!BY44&lt;&gt;"-",ListAndConversion!BY44,"")</f>
        <v/>
      </c>
      <c r="G42" s="565" t="str">
        <f ca="1">IF(ListAndConversion!CB44&lt;&gt;"-",ListAndConversion!CB44,"")</f>
        <v/>
      </c>
      <c r="H42" s="565" t="str">
        <f ca="1">IF(ListAndConversion!CC44&lt;&gt;"-",ListAndConversion!CC44,"")</f>
        <v/>
      </c>
      <c r="I42" s="565" t="str">
        <f ca="1">IF(ListAndConversion!CC44&lt;&gt;"-","Microfuge1","")</f>
        <v/>
      </c>
      <c r="J42" s="583" t="str">
        <f ca="1">IF(ListAndConversion!CD44&lt;&gt;"-",ListAndConversion!CD44,"")</f>
        <v/>
      </c>
      <c r="K42" s="577" t="str">
        <f t="shared" ca="1" si="0"/>
        <v/>
      </c>
    </row>
    <row r="43" spans="1:11" x14ac:dyDescent="0.65">
      <c r="A43" s="554" t="str">
        <f ca="1">IF(OR(LEFT(ListAndConversion!BW45,3)="Dil",LEFT(ListAndConversion!BW45,3)="Poo"),ListAndConversion!$BT$4,IF(LEFT(ListAndConversion!BW45,3)="Sou",INDEX(ListAndConversion!$AT$4:$AV$387,MATCH(ListAndConversion!BV45,ListAndConversion!$AV$4:$AV$387,0),1),""))</f>
        <v/>
      </c>
      <c r="B43" s="555" t="str">
        <f ca="1">IF(OR(LEFT(ListAndConversion!BW45,3)="Dil",LEFT(ListAndConversion!BW45,3)="Poo"),ListAndConversion!BU45,IF(LEFT(ListAndConversion!BW45,3)="Sou",INDEX(ListAndConversion!$AT$4:$AV$387,MATCH(ListAndConversion!BV45,ListAndConversion!$AV$4:$AV$387,0),2),""))</f>
        <v/>
      </c>
      <c r="C43" s="555" t="str">
        <f ca="1">IF(ListAndConversion!BZ45&lt;&gt;"-",ListAndConversion!BZ45,"")</f>
        <v/>
      </c>
      <c r="D43" s="555" t="str">
        <f ca="1">IF(ListAndConversion!BW45&lt;&gt;"-",ListAndConversion!BW45,"")</f>
        <v/>
      </c>
      <c r="E43" s="555" t="str">
        <f ca="1">IF(ListAndConversion!BX45&lt;&gt;"-",ListAndConversion!BX45,"")</f>
        <v/>
      </c>
      <c r="F43" s="565" t="str">
        <f ca="1">IF(ListAndConversion!BY45&lt;&gt;"-",ListAndConversion!BY45,"")</f>
        <v/>
      </c>
      <c r="G43" s="565" t="str">
        <f ca="1">IF(ListAndConversion!CB45&lt;&gt;"-",ListAndConversion!CB45,"")</f>
        <v/>
      </c>
      <c r="H43" s="565" t="str">
        <f ca="1">IF(ListAndConversion!CC45&lt;&gt;"-",ListAndConversion!CC45,"")</f>
        <v/>
      </c>
      <c r="I43" s="565" t="str">
        <f ca="1">IF(ListAndConversion!CC45&lt;&gt;"-","Microfuge1","")</f>
        <v/>
      </c>
      <c r="J43" s="583" t="str">
        <f ca="1">IF(ListAndConversion!CD45&lt;&gt;"-",ListAndConversion!CD45,"")</f>
        <v/>
      </c>
      <c r="K43" s="577" t="str">
        <f t="shared" ca="1" si="0"/>
        <v/>
      </c>
    </row>
    <row r="44" spans="1:11" x14ac:dyDescent="0.65">
      <c r="A44" s="554" t="str">
        <f ca="1">IF(OR(LEFT(ListAndConversion!BW46,3)="Dil",LEFT(ListAndConversion!BW46,3)="Poo"),ListAndConversion!$BT$4,IF(LEFT(ListAndConversion!BW46,3)="Sou",INDEX(ListAndConversion!$AT$4:$AV$387,MATCH(ListAndConversion!BV46,ListAndConversion!$AV$4:$AV$387,0),1),""))</f>
        <v/>
      </c>
      <c r="B44" s="555" t="str">
        <f ca="1">IF(OR(LEFT(ListAndConversion!BW46,3)="Dil",LEFT(ListAndConversion!BW46,3)="Poo"),ListAndConversion!BU46,IF(LEFT(ListAndConversion!BW46,3)="Sou",INDEX(ListAndConversion!$AT$4:$AV$387,MATCH(ListAndConversion!BV46,ListAndConversion!$AV$4:$AV$387,0),2),""))</f>
        <v/>
      </c>
      <c r="C44" s="555" t="str">
        <f ca="1">IF(ListAndConversion!BZ46&lt;&gt;"-",ListAndConversion!BZ46,"")</f>
        <v/>
      </c>
      <c r="D44" s="555" t="str">
        <f ca="1">IF(ListAndConversion!BW46&lt;&gt;"-",ListAndConversion!BW46,"")</f>
        <v/>
      </c>
      <c r="E44" s="555" t="str">
        <f ca="1">IF(ListAndConversion!BX46&lt;&gt;"-",ListAndConversion!BX46,"")</f>
        <v/>
      </c>
      <c r="F44" s="565" t="str">
        <f ca="1">IF(ListAndConversion!BY46&lt;&gt;"-",ListAndConversion!BY46,"")</f>
        <v/>
      </c>
      <c r="G44" s="565" t="str">
        <f ca="1">IF(ListAndConversion!CB46&lt;&gt;"-",ListAndConversion!CB46,"")</f>
        <v/>
      </c>
      <c r="H44" s="565" t="str">
        <f ca="1">IF(ListAndConversion!CC46&lt;&gt;"-",ListAndConversion!CC46,"")</f>
        <v/>
      </c>
      <c r="I44" s="565" t="str">
        <f ca="1">IF(ListAndConversion!CC46&lt;&gt;"-","Microfuge1","")</f>
        <v/>
      </c>
      <c r="J44" s="583" t="str">
        <f ca="1">IF(ListAndConversion!CD46&lt;&gt;"-",ListAndConversion!CD46,"")</f>
        <v/>
      </c>
      <c r="K44" s="577" t="str">
        <f t="shared" ca="1" si="0"/>
        <v/>
      </c>
    </row>
    <row r="45" spans="1:11" x14ac:dyDescent="0.65">
      <c r="A45" s="554" t="str">
        <f ca="1">IF(OR(LEFT(ListAndConversion!BW47,3)="Dil",LEFT(ListAndConversion!BW47,3)="Poo"),ListAndConversion!$BT$4,IF(LEFT(ListAndConversion!BW47,3)="Sou",INDEX(ListAndConversion!$AT$4:$AV$387,MATCH(ListAndConversion!BV47,ListAndConversion!$AV$4:$AV$387,0),1),""))</f>
        <v/>
      </c>
      <c r="B45" s="555" t="str">
        <f ca="1">IF(OR(LEFT(ListAndConversion!BW47,3)="Dil",LEFT(ListAndConversion!BW47,3)="Poo"),ListAndConversion!BU47,IF(LEFT(ListAndConversion!BW47,3)="Sou",INDEX(ListAndConversion!$AT$4:$AV$387,MATCH(ListAndConversion!BV47,ListAndConversion!$AV$4:$AV$387,0),2),""))</f>
        <v/>
      </c>
      <c r="C45" s="555" t="str">
        <f ca="1">IF(ListAndConversion!BZ47&lt;&gt;"-",ListAndConversion!BZ47,"")</f>
        <v/>
      </c>
      <c r="D45" s="555" t="str">
        <f ca="1">IF(ListAndConversion!BW47&lt;&gt;"-",ListAndConversion!BW47,"")</f>
        <v/>
      </c>
      <c r="E45" s="555" t="str">
        <f ca="1">IF(ListAndConversion!BX47&lt;&gt;"-",ListAndConversion!BX47,"")</f>
        <v/>
      </c>
      <c r="F45" s="565" t="str">
        <f ca="1">IF(ListAndConversion!BY47&lt;&gt;"-",ListAndConversion!BY47,"")</f>
        <v/>
      </c>
      <c r="G45" s="565" t="str">
        <f ca="1">IF(ListAndConversion!CB47&lt;&gt;"-",ListAndConversion!CB47,"")</f>
        <v/>
      </c>
      <c r="H45" s="565" t="str">
        <f ca="1">IF(ListAndConversion!CC47&lt;&gt;"-",ListAndConversion!CC47,"")</f>
        <v/>
      </c>
      <c r="I45" s="565" t="str">
        <f ca="1">IF(ListAndConversion!CC47&lt;&gt;"-","Microfuge1","")</f>
        <v/>
      </c>
      <c r="J45" s="583" t="str">
        <f ca="1">IF(ListAndConversion!CD47&lt;&gt;"-",ListAndConversion!CD47,"")</f>
        <v/>
      </c>
      <c r="K45" s="577" t="str">
        <f t="shared" ca="1" si="0"/>
        <v/>
      </c>
    </row>
    <row r="46" spans="1:11" x14ac:dyDescent="0.65">
      <c r="A46" s="554" t="str">
        <f ca="1">IF(OR(LEFT(ListAndConversion!BW48,3)="Dil",LEFT(ListAndConversion!BW48,3)="Poo"),ListAndConversion!$BT$4,IF(LEFT(ListAndConversion!BW48,3)="Sou",INDEX(ListAndConversion!$AT$4:$AV$387,MATCH(ListAndConversion!BV48,ListAndConversion!$AV$4:$AV$387,0),1),""))</f>
        <v/>
      </c>
      <c r="B46" s="555" t="str">
        <f ca="1">IF(OR(LEFT(ListAndConversion!BW48,3)="Dil",LEFT(ListAndConversion!BW48,3)="Poo"),ListAndConversion!BU48,IF(LEFT(ListAndConversion!BW48,3)="Sou",INDEX(ListAndConversion!$AT$4:$AV$387,MATCH(ListAndConversion!BV48,ListAndConversion!$AV$4:$AV$387,0),2),""))</f>
        <v/>
      </c>
      <c r="C46" s="555" t="str">
        <f ca="1">IF(ListAndConversion!BZ48&lt;&gt;"-",ListAndConversion!BZ48,"")</f>
        <v/>
      </c>
      <c r="D46" s="555" t="str">
        <f ca="1">IF(ListAndConversion!BW48&lt;&gt;"-",ListAndConversion!BW48,"")</f>
        <v/>
      </c>
      <c r="E46" s="555" t="str">
        <f ca="1">IF(ListAndConversion!BX48&lt;&gt;"-",ListAndConversion!BX48,"")</f>
        <v/>
      </c>
      <c r="F46" s="565" t="str">
        <f ca="1">IF(ListAndConversion!BY48&lt;&gt;"-",ListAndConversion!BY48,"")</f>
        <v/>
      </c>
      <c r="G46" s="565" t="str">
        <f ca="1">IF(ListAndConversion!CB48&lt;&gt;"-",ListAndConversion!CB48,"")</f>
        <v/>
      </c>
      <c r="H46" s="565" t="str">
        <f ca="1">IF(ListAndConversion!CC48&lt;&gt;"-",ListAndConversion!CC48,"")</f>
        <v/>
      </c>
      <c r="I46" s="565" t="str">
        <f ca="1">IF(ListAndConversion!CC48&lt;&gt;"-","Microfuge1","")</f>
        <v/>
      </c>
      <c r="J46" s="583" t="str">
        <f ca="1">IF(ListAndConversion!CD48&lt;&gt;"-",ListAndConversion!CD48,"")</f>
        <v/>
      </c>
      <c r="K46" s="577" t="str">
        <f t="shared" ca="1" si="0"/>
        <v/>
      </c>
    </row>
    <row r="47" spans="1:11" x14ac:dyDescent="0.65">
      <c r="A47" s="554" t="str">
        <f ca="1">IF(OR(LEFT(ListAndConversion!BW49,3)="Dil",LEFT(ListAndConversion!BW49,3)="Poo"),ListAndConversion!$BT$4,IF(LEFT(ListAndConversion!BW49,3)="Sou",INDEX(ListAndConversion!$AT$4:$AV$387,MATCH(ListAndConversion!BV49,ListAndConversion!$AV$4:$AV$387,0),1),""))</f>
        <v/>
      </c>
      <c r="B47" s="555" t="str">
        <f ca="1">IF(OR(LEFT(ListAndConversion!BW49,3)="Dil",LEFT(ListAndConversion!BW49,3)="Poo"),ListAndConversion!BU49,IF(LEFT(ListAndConversion!BW49,3)="Sou",INDEX(ListAndConversion!$AT$4:$AV$387,MATCH(ListAndConversion!BV49,ListAndConversion!$AV$4:$AV$387,0),2),""))</f>
        <v/>
      </c>
      <c r="C47" s="555" t="str">
        <f ca="1">IF(ListAndConversion!BZ49&lt;&gt;"-",ListAndConversion!BZ49,"")</f>
        <v/>
      </c>
      <c r="D47" s="555" t="str">
        <f ca="1">IF(ListAndConversion!BW49&lt;&gt;"-",ListAndConversion!BW49,"")</f>
        <v/>
      </c>
      <c r="E47" s="555" t="str">
        <f ca="1">IF(ListAndConversion!BX49&lt;&gt;"-",ListAndConversion!BX49,"")</f>
        <v/>
      </c>
      <c r="F47" s="565" t="str">
        <f ca="1">IF(ListAndConversion!BY49&lt;&gt;"-",ListAndConversion!BY49,"")</f>
        <v/>
      </c>
      <c r="G47" s="565" t="str">
        <f ca="1">IF(ListAndConversion!CB49&lt;&gt;"-",ListAndConversion!CB49,"")</f>
        <v/>
      </c>
      <c r="H47" s="565" t="str">
        <f ca="1">IF(ListAndConversion!CC49&lt;&gt;"-",ListAndConversion!CC49,"")</f>
        <v/>
      </c>
      <c r="I47" s="565" t="str">
        <f ca="1">IF(ListAndConversion!CC49&lt;&gt;"-","Microfuge1","")</f>
        <v/>
      </c>
      <c r="J47" s="583" t="str">
        <f ca="1">IF(ListAndConversion!CD49&lt;&gt;"-",ListAndConversion!CD49,"")</f>
        <v/>
      </c>
      <c r="K47" s="577" t="str">
        <f t="shared" ca="1" si="0"/>
        <v/>
      </c>
    </row>
    <row r="48" spans="1:11" x14ac:dyDescent="0.65">
      <c r="A48" s="554" t="str">
        <f ca="1">IF(OR(LEFT(ListAndConversion!BW50,3)="Dil",LEFT(ListAndConversion!BW50,3)="Poo"),ListAndConversion!$BT$4,IF(LEFT(ListAndConversion!BW50,3)="Sou",INDEX(ListAndConversion!$AT$4:$AV$387,MATCH(ListAndConversion!BV50,ListAndConversion!$AV$4:$AV$387,0),1),""))</f>
        <v/>
      </c>
      <c r="B48" s="555" t="str">
        <f ca="1">IF(OR(LEFT(ListAndConversion!BW50,3)="Dil",LEFT(ListAndConversion!BW50,3)="Poo"),ListAndConversion!BU50,IF(LEFT(ListAndConversion!BW50,3)="Sou",INDEX(ListAndConversion!$AT$4:$AV$387,MATCH(ListAndConversion!BV50,ListAndConversion!$AV$4:$AV$387,0),2),""))</f>
        <v/>
      </c>
      <c r="C48" s="555" t="str">
        <f ca="1">IF(ListAndConversion!BZ50&lt;&gt;"-",ListAndConversion!BZ50,"")</f>
        <v/>
      </c>
      <c r="D48" s="555" t="str">
        <f ca="1">IF(ListAndConversion!BW50&lt;&gt;"-",ListAndConversion!BW50,"")</f>
        <v/>
      </c>
      <c r="E48" s="555" t="str">
        <f ca="1">IF(ListAndConversion!BX50&lt;&gt;"-",ListAndConversion!BX50,"")</f>
        <v/>
      </c>
      <c r="F48" s="565" t="str">
        <f ca="1">IF(ListAndConversion!BY50&lt;&gt;"-",ListAndConversion!BY50,"")</f>
        <v/>
      </c>
      <c r="G48" s="565" t="str">
        <f ca="1">IF(ListAndConversion!CB50&lt;&gt;"-",ListAndConversion!CB50,"")</f>
        <v/>
      </c>
      <c r="H48" s="565" t="str">
        <f ca="1">IF(ListAndConversion!CC50&lt;&gt;"-",ListAndConversion!CC50,"")</f>
        <v/>
      </c>
      <c r="I48" s="565" t="str">
        <f ca="1">IF(ListAndConversion!CC50&lt;&gt;"-","Microfuge1","")</f>
        <v/>
      </c>
      <c r="J48" s="583" t="str">
        <f ca="1">IF(ListAndConversion!CD50&lt;&gt;"-",ListAndConversion!CD50,"")</f>
        <v/>
      </c>
      <c r="K48" s="577" t="str">
        <f t="shared" ca="1" si="0"/>
        <v/>
      </c>
    </row>
    <row r="49" spans="1:11" x14ac:dyDescent="0.65">
      <c r="A49" s="554" t="str">
        <f ca="1">IF(OR(LEFT(ListAndConversion!BW51,3)="Dil",LEFT(ListAndConversion!BW51,3)="Poo"),ListAndConversion!$BT$4,IF(LEFT(ListAndConversion!BW51,3)="Sou",INDEX(ListAndConversion!$AT$4:$AV$387,MATCH(ListAndConversion!BV51,ListAndConversion!$AV$4:$AV$387,0),1),""))</f>
        <v/>
      </c>
      <c r="B49" s="555" t="str">
        <f ca="1">IF(OR(LEFT(ListAndConversion!BW51,3)="Dil",LEFT(ListAndConversion!BW51,3)="Poo"),ListAndConversion!BU51,IF(LEFT(ListAndConversion!BW51,3)="Sou",INDEX(ListAndConversion!$AT$4:$AV$387,MATCH(ListAndConversion!BV51,ListAndConversion!$AV$4:$AV$387,0),2),""))</f>
        <v/>
      </c>
      <c r="C49" s="555" t="str">
        <f ca="1">IF(ListAndConversion!BZ51&lt;&gt;"-",ListAndConversion!BZ51,"")</f>
        <v/>
      </c>
      <c r="D49" s="555" t="str">
        <f ca="1">IF(ListAndConversion!BW51&lt;&gt;"-",ListAndConversion!BW51,"")</f>
        <v/>
      </c>
      <c r="E49" s="555" t="str">
        <f ca="1">IF(ListAndConversion!BX51&lt;&gt;"-",ListAndConversion!BX51,"")</f>
        <v/>
      </c>
      <c r="F49" s="565" t="str">
        <f ca="1">IF(ListAndConversion!BY51&lt;&gt;"-",ListAndConversion!BY51,"")</f>
        <v/>
      </c>
      <c r="G49" s="565" t="str">
        <f ca="1">IF(ListAndConversion!CB51&lt;&gt;"-",ListAndConversion!CB51,"")</f>
        <v/>
      </c>
      <c r="H49" s="565" t="str">
        <f ca="1">IF(ListAndConversion!CC51&lt;&gt;"-",ListAndConversion!CC51,"")</f>
        <v/>
      </c>
      <c r="I49" s="565" t="str">
        <f ca="1">IF(ListAndConversion!CC51&lt;&gt;"-","Microfuge1","")</f>
        <v/>
      </c>
      <c r="J49" s="583" t="str">
        <f ca="1">IF(ListAndConversion!CD51&lt;&gt;"-",ListAndConversion!CD51,"")</f>
        <v/>
      </c>
      <c r="K49" s="577" t="str">
        <f t="shared" ca="1" si="0"/>
        <v/>
      </c>
    </row>
    <row r="50" spans="1:11" x14ac:dyDescent="0.65">
      <c r="A50" s="554" t="str">
        <f ca="1">IF(OR(LEFT(ListAndConversion!BW52,3)="Dil",LEFT(ListAndConversion!BW52,3)="Poo"),ListAndConversion!$BT$4,IF(LEFT(ListAndConversion!BW52,3)="Sou",INDEX(ListAndConversion!$AT$4:$AV$387,MATCH(ListAndConversion!BV52,ListAndConversion!$AV$4:$AV$387,0),1),""))</f>
        <v/>
      </c>
      <c r="B50" s="555" t="str">
        <f ca="1">IF(OR(LEFT(ListAndConversion!BW52,3)="Dil",LEFT(ListAndConversion!BW52,3)="Poo"),ListAndConversion!BU52,IF(LEFT(ListAndConversion!BW52,3)="Sou",INDEX(ListAndConversion!$AT$4:$AV$387,MATCH(ListAndConversion!BV52,ListAndConversion!$AV$4:$AV$387,0),2),""))</f>
        <v/>
      </c>
      <c r="C50" s="555" t="str">
        <f ca="1">IF(ListAndConversion!BZ52&lt;&gt;"-",ListAndConversion!BZ52,"")</f>
        <v/>
      </c>
      <c r="D50" s="555" t="str">
        <f ca="1">IF(ListAndConversion!BW52&lt;&gt;"-",ListAndConversion!BW52,"")</f>
        <v/>
      </c>
      <c r="E50" s="555" t="str">
        <f ca="1">IF(ListAndConversion!BX52&lt;&gt;"-",ListAndConversion!BX52,"")</f>
        <v/>
      </c>
      <c r="F50" s="565" t="str">
        <f ca="1">IF(ListAndConversion!BY52&lt;&gt;"-",ListAndConversion!BY52,"")</f>
        <v/>
      </c>
      <c r="G50" s="565" t="str">
        <f ca="1">IF(ListAndConversion!CB52&lt;&gt;"-",ListAndConversion!CB52,"")</f>
        <v/>
      </c>
      <c r="H50" s="565" t="str">
        <f ca="1">IF(ListAndConversion!CC52&lt;&gt;"-",ListAndConversion!CC52,"")</f>
        <v/>
      </c>
      <c r="I50" s="565" t="str">
        <f ca="1">IF(ListAndConversion!CC52&lt;&gt;"-","Microfuge1","")</f>
        <v/>
      </c>
      <c r="J50" s="583" t="str">
        <f ca="1">IF(ListAndConversion!CD52&lt;&gt;"-",ListAndConversion!CD52,"")</f>
        <v/>
      </c>
      <c r="K50" s="577" t="str">
        <f t="shared" ca="1" si="0"/>
        <v/>
      </c>
    </row>
    <row r="51" spans="1:11" x14ac:dyDescent="0.65">
      <c r="A51" s="554" t="str">
        <f ca="1">IF(OR(LEFT(ListAndConversion!BW53,3)="Dil",LEFT(ListAndConversion!BW53,3)="Poo"),ListAndConversion!$BT$4,IF(LEFT(ListAndConversion!BW53,3)="Sou",INDEX(ListAndConversion!$AT$4:$AV$387,MATCH(ListAndConversion!BV53,ListAndConversion!$AV$4:$AV$387,0),1),""))</f>
        <v/>
      </c>
      <c r="B51" s="555" t="str">
        <f ca="1">IF(OR(LEFT(ListAndConversion!BW53,3)="Dil",LEFT(ListAndConversion!BW53,3)="Poo"),ListAndConversion!BU53,IF(LEFT(ListAndConversion!BW53,3)="Sou",INDEX(ListAndConversion!$AT$4:$AV$387,MATCH(ListAndConversion!BV53,ListAndConversion!$AV$4:$AV$387,0),2),""))</f>
        <v/>
      </c>
      <c r="C51" s="555" t="str">
        <f ca="1">IF(ListAndConversion!BZ53&lt;&gt;"-",ListAndConversion!BZ53,"")</f>
        <v/>
      </c>
      <c r="D51" s="555" t="str">
        <f ca="1">IF(ListAndConversion!BW53&lt;&gt;"-",ListAndConversion!BW53,"")</f>
        <v/>
      </c>
      <c r="E51" s="555" t="str">
        <f ca="1">IF(ListAndConversion!BX53&lt;&gt;"-",ListAndConversion!BX53,"")</f>
        <v/>
      </c>
      <c r="F51" s="565" t="str">
        <f ca="1">IF(ListAndConversion!BY53&lt;&gt;"-",ListAndConversion!BY53,"")</f>
        <v/>
      </c>
      <c r="G51" s="565" t="str">
        <f ca="1">IF(ListAndConversion!CB53&lt;&gt;"-",ListAndConversion!CB53,"")</f>
        <v/>
      </c>
      <c r="H51" s="565" t="str">
        <f ca="1">IF(ListAndConversion!CC53&lt;&gt;"-",ListAndConversion!CC53,"")</f>
        <v/>
      </c>
      <c r="I51" s="565" t="str">
        <f ca="1">IF(ListAndConversion!CC53&lt;&gt;"-","Microfuge1","")</f>
        <v/>
      </c>
      <c r="J51" s="583" t="str">
        <f ca="1">IF(ListAndConversion!CD53&lt;&gt;"-",ListAndConversion!CD53,"")</f>
        <v/>
      </c>
      <c r="K51" s="577" t="str">
        <f t="shared" ca="1" si="0"/>
        <v/>
      </c>
    </row>
    <row r="52" spans="1:11" x14ac:dyDescent="0.65">
      <c r="A52" s="554" t="str">
        <f ca="1">IF(OR(LEFT(ListAndConversion!BW54,3)="Dil",LEFT(ListAndConversion!BW54,3)="Poo"),ListAndConversion!$BT$4,IF(LEFT(ListAndConversion!BW54,3)="Sou",INDEX(ListAndConversion!$AT$4:$AV$387,MATCH(ListAndConversion!BV54,ListAndConversion!$AV$4:$AV$387,0),1),""))</f>
        <v/>
      </c>
      <c r="B52" s="555" t="str">
        <f ca="1">IF(OR(LEFT(ListAndConversion!BW54,3)="Dil",LEFT(ListAndConversion!BW54,3)="Poo"),ListAndConversion!BU54,IF(LEFT(ListAndConversion!BW54,3)="Sou",INDEX(ListAndConversion!$AT$4:$AV$387,MATCH(ListAndConversion!BV54,ListAndConversion!$AV$4:$AV$387,0),2),""))</f>
        <v/>
      </c>
      <c r="C52" s="555" t="str">
        <f ca="1">IF(ListAndConversion!BZ54&lt;&gt;"-",ListAndConversion!BZ54,"")</f>
        <v/>
      </c>
      <c r="D52" s="555" t="str">
        <f ca="1">IF(ListAndConversion!BW54&lt;&gt;"-",ListAndConversion!BW54,"")</f>
        <v/>
      </c>
      <c r="E52" s="555" t="str">
        <f ca="1">IF(ListAndConversion!BX54&lt;&gt;"-",ListAndConversion!BX54,"")</f>
        <v/>
      </c>
      <c r="F52" s="565" t="str">
        <f ca="1">IF(ListAndConversion!BY54&lt;&gt;"-",ListAndConversion!BY54,"")</f>
        <v/>
      </c>
      <c r="G52" s="565" t="str">
        <f ca="1">IF(ListAndConversion!CB54&lt;&gt;"-",ListAndConversion!CB54,"")</f>
        <v/>
      </c>
      <c r="H52" s="565" t="str">
        <f ca="1">IF(ListAndConversion!CC54&lt;&gt;"-",ListAndConversion!CC54,"")</f>
        <v/>
      </c>
      <c r="I52" s="565" t="str">
        <f ca="1">IF(ListAndConversion!CC54&lt;&gt;"-","Microfuge1","")</f>
        <v/>
      </c>
      <c r="J52" s="583" t="str">
        <f ca="1">IF(ListAndConversion!CD54&lt;&gt;"-",ListAndConversion!CD54,"")</f>
        <v/>
      </c>
      <c r="K52" s="577" t="str">
        <f t="shared" ca="1" si="0"/>
        <v/>
      </c>
    </row>
    <row r="53" spans="1:11" x14ac:dyDescent="0.65">
      <c r="A53" s="554" t="str">
        <f ca="1">IF(OR(LEFT(ListAndConversion!BW55,3)="Dil",LEFT(ListAndConversion!BW55,3)="Poo"),ListAndConversion!$BT$4,IF(LEFT(ListAndConversion!BW55,3)="Sou",INDEX(ListAndConversion!$AT$4:$AV$387,MATCH(ListAndConversion!BV55,ListAndConversion!$AV$4:$AV$387,0),1),""))</f>
        <v/>
      </c>
      <c r="B53" s="555" t="str">
        <f ca="1">IF(OR(LEFT(ListAndConversion!BW55,3)="Dil",LEFT(ListAndConversion!BW55,3)="Poo"),ListAndConversion!BU55,IF(LEFT(ListAndConversion!BW55,3)="Sou",INDEX(ListAndConversion!$AT$4:$AV$387,MATCH(ListAndConversion!BV55,ListAndConversion!$AV$4:$AV$387,0),2),""))</f>
        <v/>
      </c>
      <c r="C53" s="555" t="str">
        <f ca="1">IF(ListAndConversion!BZ55&lt;&gt;"-",ListAndConversion!BZ55,"")</f>
        <v/>
      </c>
      <c r="D53" s="555" t="str">
        <f ca="1">IF(ListAndConversion!BW55&lt;&gt;"-",ListAndConversion!BW55,"")</f>
        <v/>
      </c>
      <c r="E53" s="555" t="str">
        <f ca="1">IF(ListAndConversion!BX55&lt;&gt;"-",ListAndConversion!BX55,"")</f>
        <v/>
      </c>
      <c r="F53" s="565" t="str">
        <f ca="1">IF(ListAndConversion!BY55&lt;&gt;"-",ListAndConversion!BY55,"")</f>
        <v/>
      </c>
      <c r="G53" s="565" t="str">
        <f ca="1">IF(ListAndConversion!CB55&lt;&gt;"-",ListAndConversion!CB55,"")</f>
        <v/>
      </c>
      <c r="H53" s="565" t="str">
        <f ca="1">IF(ListAndConversion!CC55&lt;&gt;"-",ListAndConversion!CC55,"")</f>
        <v/>
      </c>
      <c r="I53" s="565" t="str">
        <f ca="1">IF(ListAndConversion!CC55&lt;&gt;"-","Microfuge1","")</f>
        <v/>
      </c>
      <c r="J53" s="583" t="str">
        <f ca="1">IF(ListAndConversion!CD55&lt;&gt;"-",ListAndConversion!CD55,"")</f>
        <v/>
      </c>
      <c r="K53" s="577" t="str">
        <f t="shared" ca="1" si="0"/>
        <v/>
      </c>
    </row>
    <row r="54" spans="1:11" x14ac:dyDescent="0.65">
      <c r="A54" s="554" t="str">
        <f ca="1">IF(OR(LEFT(ListAndConversion!BW56,3)="Dil",LEFT(ListAndConversion!BW56,3)="Poo"),ListAndConversion!$BT$4,IF(LEFT(ListAndConversion!BW56,3)="Sou",INDEX(ListAndConversion!$AT$4:$AV$387,MATCH(ListAndConversion!BV56,ListAndConversion!$AV$4:$AV$387,0),1),""))</f>
        <v/>
      </c>
      <c r="B54" s="555" t="str">
        <f ca="1">IF(OR(LEFT(ListAndConversion!BW56,3)="Dil",LEFT(ListAndConversion!BW56,3)="Poo"),ListAndConversion!BU56,IF(LEFT(ListAndConversion!BW56,3)="Sou",INDEX(ListAndConversion!$AT$4:$AV$387,MATCH(ListAndConversion!BV56,ListAndConversion!$AV$4:$AV$387,0),2),""))</f>
        <v/>
      </c>
      <c r="C54" s="555" t="str">
        <f ca="1">IF(ListAndConversion!BZ56&lt;&gt;"-",ListAndConversion!BZ56,"")</f>
        <v/>
      </c>
      <c r="D54" s="555" t="str">
        <f ca="1">IF(ListAndConversion!BW56&lt;&gt;"-",ListAndConversion!BW56,"")</f>
        <v/>
      </c>
      <c r="E54" s="555" t="str">
        <f ca="1">IF(ListAndConversion!BX56&lt;&gt;"-",ListAndConversion!BX56,"")</f>
        <v/>
      </c>
      <c r="F54" s="565" t="str">
        <f ca="1">IF(ListAndConversion!BY56&lt;&gt;"-",ListAndConversion!BY56,"")</f>
        <v/>
      </c>
      <c r="G54" s="565" t="str">
        <f ca="1">IF(ListAndConversion!CB56&lt;&gt;"-",ListAndConversion!CB56,"")</f>
        <v/>
      </c>
      <c r="H54" s="565" t="str">
        <f ca="1">IF(ListAndConversion!CC56&lt;&gt;"-",ListAndConversion!CC56,"")</f>
        <v/>
      </c>
      <c r="I54" s="565" t="str">
        <f ca="1">IF(ListAndConversion!CC56&lt;&gt;"-","Microfuge1","")</f>
        <v/>
      </c>
      <c r="J54" s="583" t="str">
        <f ca="1">IF(ListAndConversion!CD56&lt;&gt;"-",ListAndConversion!CD56,"")</f>
        <v/>
      </c>
      <c r="K54" s="577" t="str">
        <f t="shared" ca="1" si="0"/>
        <v/>
      </c>
    </row>
    <row r="55" spans="1:11" x14ac:dyDescent="0.65">
      <c r="A55" s="554" t="str">
        <f ca="1">IF(OR(LEFT(ListAndConversion!BW57,3)="Dil",LEFT(ListAndConversion!BW57,3)="Poo"),ListAndConversion!$BT$4,IF(LEFT(ListAndConversion!BW57,3)="Sou",INDEX(ListAndConversion!$AT$4:$AV$387,MATCH(ListAndConversion!BV57,ListAndConversion!$AV$4:$AV$387,0),1),""))</f>
        <v/>
      </c>
      <c r="B55" s="555" t="str">
        <f ca="1">IF(OR(LEFT(ListAndConversion!BW57,3)="Dil",LEFT(ListAndConversion!BW57,3)="Poo"),ListAndConversion!BU57,IF(LEFT(ListAndConversion!BW57,3)="Sou",INDEX(ListAndConversion!$AT$4:$AV$387,MATCH(ListAndConversion!BV57,ListAndConversion!$AV$4:$AV$387,0),2),""))</f>
        <v/>
      </c>
      <c r="C55" s="555" t="str">
        <f ca="1">IF(ListAndConversion!BZ57&lt;&gt;"-",ListAndConversion!BZ57,"")</f>
        <v/>
      </c>
      <c r="D55" s="555" t="str">
        <f ca="1">IF(ListAndConversion!BW57&lt;&gt;"-",ListAndConversion!BW57,"")</f>
        <v/>
      </c>
      <c r="E55" s="555" t="str">
        <f ca="1">IF(ListAndConversion!BX57&lt;&gt;"-",ListAndConversion!BX57,"")</f>
        <v/>
      </c>
      <c r="F55" s="565" t="str">
        <f ca="1">IF(ListAndConversion!BY57&lt;&gt;"-",ListAndConversion!BY57,"")</f>
        <v/>
      </c>
      <c r="G55" s="565" t="str">
        <f ca="1">IF(ListAndConversion!CB57&lt;&gt;"-",ListAndConversion!CB57,"")</f>
        <v/>
      </c>
      <c r="H55" s="565" t="str">
        <f ca="1">IF(ListAndConversion!CC57&lt;&gt;"-",ListAndConversion!CC57,"")</f>
        <v/>
      </c>
      <c r="I55" s="565" t="str">
        <f ca="1">IF(ListAndConversion!CC57&lt;&gt;"-","Microfuge1","")</f>
        <v/>
      </c>
      <c r="J55" s="583" t="str">
        <f ca="1">IF(ListAndConversion!CD57&lt;&gt;"-",ListAndConversion!CD57,"")</f>
        <v/>
      </c>
      <c r="K55" s="577" t="str">
        <f t="shared" ca="1" si="0"/>
        <v/>
      </c>
    </row>
    <row r="56" spans="1:11" x14ac:dyDescent="0.65">
      <c r="A56" s="554" t="str">
        <f ca="1">IF(OR(LEFT(ListAndConversion!BW58,3)="Dil",LEFT(ListAndConversion!BW58,3)="Poo"),ListAndConversion!$BT$4,IF(LEFT(ListAndConversion!BW58,3)="Sou",INDEX(ListAndConversion!$AT$4:$AV$387,MATCH(ListAndConversion!BV58,ListAndConversion!$AV$4:$AV$387,0),1),""))</f>
        <v/>
      </c>
      <c r="B56" s="555" t="str">
        <f ca="1">IF(OR(LEFT(ListAndConversion!BW58,3)="Dil",LEFT(ListAndConversion!BW58,3)="Poo"),ListAndConversion!BU58,IF(LEFT(ListAndConversion!BW58,3)="Sou",INDEX(ListAndConversion!$AT$4:$AV$387,MATCH(ListAndConversion!BV58,ListAndConversion!$AV$4:$AV$387,0),2),""))</f>
        <v/>
      </c>
      <c r="C56" s="555" t="str">
        <f ca="1">IF(ListAndConversion!BZ58&lt;&gt;"-",ListAndConversion!BZ58,"")</f>
        <v/>
      </c>
      <c r="D56" s="555" t="str">
        <f ca="1">IF(ListAndConversion!BW58&lt;&gt;"-",ListAndConversion!BW58,"")</f>
        <v/>
      </c>
      <c r="E56" s="555" t="str">
        <f ca="1">IF(ListAndConversion!BX58&lt;&gt;"-",ListAndConversion!BX58,"")</f>
        <v/>
      </c>
      <c r="F56" s="565" t="str">
        <f ca="1">IF(ListAndConversion!BY58&lt;&gt;"-",ListAndConversion!BY58,"")</f>
        <v/>
      </c>
      <c r="G56" s="565" t="str">
        <f ca="1">IF(ListAndConversion!CB58&lt;&gt;"-",ListAndConversion!CB58,"")</f>
        <v/>
      </c>
      <c r="H56" s="565" t="str">
        <f ca="1">IF(ListAndConversion!CC58&lt;&gt;"-",ListAndConversion!CC58,"")</f>
        <v/>
      </c>
      <c r="I56" s="565" t="str">
        <f ca="1">IF(ListAndConversion!CC58&lt;&gt;"-","Microfuge1","")</f>
        <v/>
      </c>
      <c r="J56" s="583" t="str">
        <f ca="1">IF(ListAndConversion!CD58&lt;&gt;"-",ListAndConversion!CD58,"")</f>
        <v/>
      </c>
      <c r="K56" s="577" t="str">
        <f t="shared" ca="1" si="0"/>
        <v/>
      </c>
    </row>
    <row r="57" spans="1:11" x14ac:dyDescent="0.65">
      <c r="A57" s="554" t="str">
        <f ca="1">IF(OR(LEFT(ListAndConversion!BW59,3)="Dil",LEFT(ListAndConversion!BW59,3)="Poo"),ListAndConversion!$BT$4,IF(LEFT(ListAndConversion!BW59,3)="Sou",INDEX(ListAndConversion!$AT$4:$AV$387,MATCH(ListAndConversion!BV59,ListAndConversion!$AV$4:$AV$387,0),1),""))</f>
        <v/>
      </c>
      <c r="B57" s="555" t="str">
        <f ca="1">IF(OR(LEFT(ListAndConversion!BW59,3)="Dil",LEFT(ListAndConversion!BW59,3)="Poo"),ListAndConversion!BU59,IF(LEFT(ListAndConversion!BW59,3)="Sou",INDEX(ListAndConversion!$AT$4:$AV$387,MATCH(ListAndConversion!BV59,ListAndConversion!$AV$4:$AV$387,0),2),""))</f>
        <v/>
      </c>
      <c r="C57" s="555" t="str">
        <f ca="1">IF(ListAndConversion!BZ59&lt;&gt;"-",ListAndConversion!BZ59,"")</f>
        <v/>
      </c>
      <c r="D57" s="555" t="str">
        <f ca="1">IF(ListAndConversion!BW59&lt;&gt;"-",ListAndConversion!BW59,"")</f>
        <v/>
      </c>
      <c r="E57" s="555" t="str">
        <f ca="1">IF(ListAndConversion!BX59&lt;&gt;"-",ListAndConversion!BX59,"")</f>
        <v/>
      </c>
      <c r="F57" s="565" t="str">
        <f ca="1">IF(ListAndConversion!BY59&lt;&gt;"-",ListAndConversion!BY59,"")</f>
        <v/>
      </c>
      <c r="G57" s="565" t="str">
        <f ca="1">IF(ListAndConversion!CB59&lt;&gt;"-",ListAndConversion!CB59,"")</f>
        <v/>
      </c>
      <c r="H57" s="565" t="str">
        <f ca="1">IF(ListAndConversion!CC59&lt;&gt;"-",ListAndConversion!CC59,"")</f>
        <v/>
      </c>
      <c r="I57" s="565" t="str">
        <f ca="1">IF(ListAndConversion!CC59&lt;&gt;"-","Microfuge1","")</f>
        <v/>
      </c>
      <c r="J57" s="583" t="str">
        <f ca="1">IF(ListAndConversion!CD59&lt;&gt;"-",ListAndConversion!CD59,"")</f>
        <v/>
      </c>
      <c r="K57" s="577" t="str">
        <f t="shared" ca="1" si="0"/>
        <v/>
      </c>
    </row>
    <row r="58" spans="1:11" x14ac:dyDescent="0.65">
      <c r="A58" s="554" t="str">
        <f ca="1">IF(OR(LEFT(ListAndConversion!BW60,3)="Dil",LEFT(ListAndConversion!BW60,3)="Poo"),ListAndConversion!$BT$4,IF(LEFT(ListAndConversion!BW60,3)="Sou",INDEX(ListAndConversion!$AT$4:$AV$387,MATCH(ListAndConversion!BV60,ListAndConversion!$AV$4:$AV$387,0),1),""))</f>
        <v/>
      </c>
      <c r="B58" s="555" t="str">
        <f ca="1">IF(OR(LEFT(ListAndConversion!BW60,3)="Dil",LEFT(ListAndConversion!BW60,3)="Poo"),ListAndConversion!BU60,IF(LEFT(ListAndConversion!BW60,3)="Sou",INDEX(ListAndConversion!$AT$4:$AV$387,MATCH(ListAndConversion!BV60,ListAndConversion!$AV$4:$AV$387,0),2),""))</f>
        <v/>
      </c>
      <c r="C58" s="555" t="str">
        <f ca="1">IF(ListAndConversion!BZ60&lt;&gt;"-",ListAndConversion!BZ60,"")</f>
        <v/>
      </c>
      <c r="D58" s="555" t="str">
        <f ca="1">IF(ListAndConversion!BW60&lt;&gt;"-",ListAndConversion!BW60,"")</f>
        <v/>
      </c>
      <c r="E58" s="555" t="str">
        <f ca="1">IF(ListAndConversion!BX60&lt;&gt;"-",ListAndConversion!BX60,"")</f>
        <v/>
      </c>
      <c r="F58" s="565" t="str">
        <f ca="1">IF(ListAndConversion!BY60&lt;&gt;"-",ListAndConversion!BY60,"")</f>
        <v/>
      </c>
      <c r="G58" s="565" t="str">
        <f ca="1">IF(ListAndConversion!CB60&lt;&gt;"-",ListAndConversion!CB60,"")</f>
        <v/>
      </c>
      <c r="H58" s="565" t="str">
        <f ca="1">IF(ListAndConversion!CC60&lt;&gt;"-",ListAndConversion!CC60,"")</f>
        <v/>
      </c>
      <c r="I58" s="565" t="str">
        <f ca="1">IF(ListAndConversion!CC60&lt;&gt;"-","Microfuge1","")</f>
        <v/>
      </c>
      <c r="J58" s="583" t="str">
        <f ca="1">IF(ListAndConversion!CD60&lt;&gt;"-",ListAndConversion!CD60,"")</f>
        <v/>
      </c>
      <c r="K58" s="577" t="str">
        <f t="shared" ca="1" si="0"/>
        <v/>
      </c>
    </row>
    <row r="59" spans="1:11" x14ac:dyDescent="0.65">
      <c r="A59" s="554" t="str">
        <f ca="1">IF(OR(LEFT(ListAndConversion!BW61,3)="Dil",LEFT(ListAndConversion!BW61,3)="Poo"),ListAndConversion!$BT$4,IF(LEFT(ListAndConversion!BW61,3)="Sou",INDEX(ListAndConversion!$AT$4:$AV$387,MATCH(ListAndConversion!BV61,ListAndConversion!$AV$4:$AV$387,0),1),""))</f>
        <v/>
      </c>
      <c r="B59" s="555" t="str">
        <f ca="1">IF(OR(LEFT(ListAndConversion!BW61,3)="Dil",LEFT(ListAndConversion!BW61,3)="Poo"),ListAndConversion!BU61,IF(LEFT(ListAndConversion!BW61,3)="Sou",INDEX(ListAndConversion!$AT$4:$AV$387,MATCH(ListAndConversion!BV61,ListAndConversion!$AV$4:$AV$387,0),2),""))</f>
        <v/>
      </c>
      <c r="C59" s="555" t="str">
        <f ca="1">IF(ListAndConversion!BZ61&lt;&gt;"-",ListAndConversion!BZ61,"")</f>
        <v/>
      </c>
      <c r="D59" s="555" t="str">
        <f ca="1">IF(ListAndConversion!BW61&lt;&gt;"-",ListAndConversion!BW61,"")</f>
        <v/>
      </c>
      <c r="E59" s="555" t="str">
        <f ca="1">IF(ListAndConversion!BX61&lt;&gt;"-",ListAndConversion!BX61,"")</f>
        <v/>
      </c>
      <c r="F59" s="565" t="str">
        <f ca="1">IF(ListAndConversion!BY61&lt;&gt;"-",ListAndConversion!BY61,"")</f>
        <v/>
      </c>
      <c r="G59" s="565" t="str">
        <f ca="1">IF(ListAndConversion!CB61&lt;&gt;"-",ListAndConversion!CB61,"")</f>
        <v/>
      </c>
      <c r="H59" s="565" t="str">
        <f ca="1">IF(ListAndConversion!CC61&lt;&gt;"-",ListAndConversion!CC61,"")</f>
        <v/>
      </c>
      <c r="I59" s="565" t="str">
        <f ca="1">IF(ListAndConversion!CC61&lt;&gt;"-","Microfuge1","")</f>
        <v/>
      </c>
      <c r="J59" s="583" t="str">
        <f ca="1">IF(ListAndConversion!CD61&lt;&gt;"-",ListAndConversion!CD61,"")</f>
        <v/>
      </c>
      <c r="K59" s="577" t="str">
        <f t="shared" ca="1" si="0"/>
        <v/>
      </c>
    </row>
    <row r="60" spans="1:11" x14ac:dyDescent="0.65">
      <c r="A60" s="554" t="str">
        <f ca="1">IF(OR(LEFT(ListAndConversion!BW62,3)="Dil",LEFT(ListAndConversion!BW62,3)="Poo"),ListAndConversion!$BT$4,IF(LEFT(ListAndConversion!BW62,3)="Sou",INDEX(ListAndConversion!$AT$4:$AV$387,MATCH(ListAndConversion!BV62,ListAndConversion!$AV$4:$AV$387,0),1),""))</f>
        <v/>
      </c>
      <c r="B60" s="555" t="str">
        <f ca="1">IF(OR(LEFT(ListAndConversion!BW62,3)="Dil",LEFT(ListAndConversion!BW62,3)="Poo"),ListAndConversion!BU62,IF(LEFT(ListAndConversion!BW62,3)="Sou",INDEX(ListAndConversion!$AT$4:$AV$387,MATCH(ListAndConversion!BV62,ListAndConversion!$AV$4:$AV$387,0),2),""))</f>
        <v/>
      </c>
      <c r="C60" s="555" t="str">
        <f ca="1">IF(ListAndConversion!BZ62&lt;&gt;"-",ListAndConversion!BZ62,"")</f>
        <v/>
      </c>
      <c r="D60" s="555" t="str">
        <f ca="1">IF(ListAndConversion!BW62&lt;&gt;"-",ListAndConversion!BW62,"")</f>
        <v/>
      </c>
      <c r="E60" s="555" t="str">
        <f ca="1">IF(ListAndConversion!BX62&lt;&gt;"-",ListAndConversion!BX62,"")</f>
        <v/>
      </c>
      <c r="F60" s="565" t="str">
        <f ca="1">IF(ListAndConversion!BY62&lt;&gt;"-",ListAndConversion!BY62,"")</f>
        <v/>
      </c>
      <c r="G60" s="565" t="str">
        <f ca="1">IF(ListAndConversion!CB62&lt;&gt;"-",ListAndConversion!CB62,"")</f>
        <v/>
      </c>
      <c r="H60" s="565" t="str">
        <f ca="1">IF(ListAndConversion!CC62&lt;&gt;"-",ListAndConversion!CC62,"")</f>
        <v/>
      </c>
      <c r="I60" s="565" t="str">
        <f ca="1">IF(ListAndConversion!CC62&lt;&gt;"-","Microfuge1","")</f>
        <v/>
      </c>
      <c r="J60" s="583" t="str">
        <f ca="1">IF(ListAndConversion!CD62&lt;&gt;"-",ListAndConversion!CD62,"")</f>
        <v/>
      </c>
      <c r="K60" s="577" t="str">
        <f t="shared" ca="1" si="0"/>
        <v/>
      </c>
    </row>
    <row r="61" spans="1:11" x14ac:dyDescent="0.65">
      <c r="A61" s="554" t="str">
        <f ca="1">IF(OR(LEFT(ListAndConversion!BW63,3)="Dil",LEFT(ListAndConversion!BW63,3)="Poo"),ListAndConversion!$BT$4,IF(LEFT(ListAndConversion!BW63,3)="Sou",INDEX(ListAndConversion!$AT$4:$AV$387,MATCH(ListAndConversion!BV63,ListAndConversion!$AV$4:$AV$387,0),1),""))</f>
        <v/>
      </c>
      <c r="B61" s="555" t="str">
        <f ca="1">IF(OR(LEFT(ListAndConversion!BW63,3)="Dil",LEFT(ListAndConversion!BW63,3)="Poo"),ListAndConversion!BU63,IF(LEFT(ListAndConversion!BW63,3)="Sou",INDEX(ListAndConversion!$AT$4:$AV$387,MATCH(ListAndConversion!BV63,ListAndConversion!$AV$4:$AV$387,0),2),""))</f>
        <v/>
      </c>
      <c r="C61" s="555" t="str">
        <f ca="1">IF(ListAndConversion!BZ63&lt;&gt;"-",ListAndConversion!BZ63,"")</f>
        <v/>
      </c>
      <c r="D61" s="555" t="str">
        <f ca="1">IF(ListAndConversion!BW63&lt;&gt;"-",ListAndConversion!BW63,"")</f>
        <v/>
      </c>
      <c r="E61" s="555" t="str">
        <f ca="1">IF(ListAndConversion!BX63&lt;&gt;"-",ListAndConversion!BX63,"")</f>
        <v/>
      </c>
      <c r="F61" s="565" t="str">
        <f ca="1">IF(ListAndConversion!BY63&lt;&gt;"-",ListAndConversion!BY63,"")</f>
        <v/>
      </c>
      <c r="G61" s="565" t="str">
        <f ca="1">IF(ListAndConversion!CB63&lt;&gt;"-",ListAndConversion!CB63,"")</f>
        <v/>
      </c>
      <c r="H61" s="565" t="str">
        <f ca="1">IF(ListAndConversion!CC63&lt;&gt;"-",ListAndConversion!CC63,"")</f>
        <v/>
      </c>
      <c r="I61" s="565" t="str">
        <f ca="1">IF(ListAndConversion!CC63&lt;&gt;"-","Microfuge1","")</f>
        <v/>
      </c>
      <c r="J61" s="583" t="str">
        <f ca="1">IF(ListAndConversion!CD63&lt;&gt;"-",ListAndConversion!CD63,"")</f>
        <v/>
      </c>
      <c r="K61" s="577" t="str">
        <f t="shared" ca="1" si="0"/>
        <v/>
      </c>
    </row>
    <row r="62" spans="1:11" x14ac:dyDescent="0.65">
      <c r="A62" s="554" t="str">
        <f ca="1">IF(OR(LEFT(ListAndConversion!BW64,3)="Dil",LEFT(ListAndConversion!BW64,3)="Poo"),ListAndConversion!$BT$4,IF(LEFT(ListAndConversion!BW64,3)="Sou",INDEX(ListAndConversion!$AT$4:$AV$387,MATCH(ListAndConversion!BV64,ListAndConversion!$AV$4:$AV$387,0),1),""))</f>
        <v/>
      </c>
      <c r="B62" s="555" t="str">
        <f ca="1">IF(OR(LEFT(ListAndConversion!BW64,3)="Dil",LEFT(ListAndConversion!BW64,3)="Poo"),ListAndConversion!BU64,IF(LEFT(ListAndConversion!BW64,3)="Sou",INDEX(ListAndConversion!$AT$4:$AV$387,MATCH(ListAndConversion!BV64,ListAndConversion!$AV$4:$AV$387,0),2),""))</f>
        <v/>
      </c>
      <c r="C62" s="555" t="str">
        <f ca="1">IF(ListAndConversion!BZ64&lt;&gt;"-",ListAndConversion!BZ64,"")</f>
        <v/>
      </c>
      <c r="D62" s="555" t="str">
        <f ca="1">IF(ListAndConversion!BW64&lt;&gt;"-",ListAndConversion!BW64,"")</f>
        <v/>
      </c>
      <c r="E62" s="555" t="str">
        <f ca="1">IF(ListAndConversion!BX64&lt;&gt;"-",ListAndConversion!BX64,"")</f>
        <v/>
      </c>
      <c r="F62" s="565" t="str">
        <f ca="1">IF(ListAndConversion!BY64&lt;&gt;"-",ListAndConversion!BY64,"")</f>
        <v/>
      </c>
      <c r="G62" s="565" t="str">
        <f ca="1">IF(ListAndConversion!CB64&lt;&gt;"-",ListAndConversion!CB64,"")</f>
        <v/>
      </c>
      <c r="H62" s="565" t="str">
        <f ca="1">IF(ListAndConversion!CC64&lt;&gt;"-",ListAndConversion!CC64,"")</f>
        <v/>
      </c>
      <c r="I62" s="565" t="str">
        <f ca="1">IF(ListAndConversion!CC64&lt;&gt;"-","Microfuge1","")</f>
        <v/>
      </c>
      <c r="J62" s="583" t="str">
        <f ca="1">IF(ListAndConversion!CD64&lt;&gt;"-",ListAndConversion!CD64,"")</f>
        <v/>
      </c>
      <c r="K62" s="577" t="str">
        <f t="shared" ca="1" si="0"/>
        <v/>
      </c>
    </row>
    <row r="63" spans="1:11" x14ac:dyDescent="0.65">
      <c r="A63" s="554" t="str">
        <f ca="1">IF(OR(LEFT(ListAndConversion!BW65,3)="Dil",LEFT(ListAndConversion!BW65,3)="Poo"),ListAndConversion!$BT$4,IF(LEFT(ListAndConversion!BW65,3)="Sou",INDEX(ListAndConversion!$AT$4:$AV$387,MATCH(ListAndConversion!BV65,ListAndConversion!$AV$4:$AV$387,0),1),""))</f>
        <v/>
      </c>
      <c r="B63" s="555" t="str">
        <f ca="1">IF(OR(LEFT(ListAndConversion!BW65,3)="Dil",LEFT(ListAndConversion!BW65,3)="Poo"),ListAndConversion!BU65,IF(LEFT(ListAndConversion!BW65,3)="Sou",INDEX(ListAndConversion!$AT$4:$AV$387,MATCH(ListAndConversion!BV65,ListAndConversion!$AV$4:$AV$387,0),2),""))</f>
        <v/>
      </c>
      <c r="C63" s="555" t="str">
        <f ca="1">IF(ListAndConversion!BZ65&lt;&gt;"-",ListAndConversion!BZ65,"")</f>
        <v/>
      </c>
      <c r="D63" s="555" t="str">
        <f ca="1">IF(ListAndConversion!BW65&lt;&gt;"-",ListAndConversion!BW65,"")</f>
        <v/>
      </c>
      <c r="E63" s="555" t="str">
        <f ca="1">IF(ListAndConversion!BX65&lt;&gt;"-",ListAndConversion!BX65,"")</f>
        <v/>
      </c>
      <c r="F63" s="565" t="str">
        <f ca="1">IF(ListAndConversion!BY65&lt;&gt;"-",ListAndConversion!BY65,"")</f>
        <v/>
      </c>
      <c r="G63" s="565" t="str">
        <f ca="1">IF(ListAndConversion!CB65&lt;&gt;"-",ListAndConversion!CB65,"")</f>
        <v/>
      </c>
      <c r="H63" s="565" t="str">
        <f ca="1">IF(ListAndConversion!CC65&lt;&gt;"-",ListAndConversion!CC65,"")</f>
        <v/>
      </c>
      <c r="I63" s="565" t="str">
        <f ca="1">IF(ListAndConversion!CC65&lt;&gt;"-","Microfuge1","")</f>
        <v/>
      </c>
      <c r="J63" s="583" t="str">
        <f ca="1">IF(ListAndConversion!CD65&lt;&gt;"-",ListAndConversion!CD65,"")</f>
        <v/>
      </c>
      <c r="K63" s="577" t="str">
        <f t="shared" ca="1" si="0"/>
        <v/>
      </c>
    </row>
    <row r="64" spans="1:11" x14ac:dyDescent="0.65">
      <c r="A64" s="554" t="str">
        <f ca="1">IF(OR(LEFT(ListAndConversion!BW66,3)="Dil",LEFT(ListAndConversion!BW66,3)="Poo"),ListAndConversion!$BT$4,IF(LEFT(ListAndConversion!BW66,3)="Sou",INDEX(ListAndConversion!$AT$4:$AV$387,MATCH(ListAndConversion!BV66,ListAndConversion!$AV$4:$AV$387,0),1),""))</f>
        <v/>
      </c>
      <c r="B64" s="555" t="str">
        <f ca="1">IF(OR(LEFT(ListAndConversion!BW66,3)="Dil",LEFT(ListAndConversion!BW66,3)="Poo"),ListAndConversion!BU66,IF(LEFT(ListAndConversion!BW66,3)="Sou",INDEX(ListAndConversion!$AT$4:$AV$387,MATCH(ListAndConversion!BV66,ListAndConversion!$AV$4:$AV$387,0),2),""))</f>
        <v/>
      </c>
      <c r="C64" s="555" t="str">
        <f ca="1">IF(ListAndConversion!BZ66&lt;&gt;"-",ListAndConversion!BZ66,"")</f>
        <v/>
      </c>
      <c r="D64" s="555" t="str">
        <f ca="1">IF(ListAndConversion!BW66&lt;&gt;"-",ListAndConversion!BW66,"")</f>
        <v/>
      </c>
      <c r="E64" s="555" t="str">
        <f ca="1">IF(ListAndConversion!BX66&lt;&gt;"-",ListAndConversion!BX66,"")</f>
        <v/>
      </c>
      <c r="F64" s="565" t="str">
        <f ca="1">IF(ListAndConversion!BY66&lt;&gt;"-",ListAndConversion!BY66,"")</f>
        <v/>
      </c>
      <c r="G64" s="565" t="str">
        <f ca="1">IF(ListAndConversion!CB66&lt;&gt;"-",ListAndConversion!CB66,"")</f>
        <v/>
      </c>
      <c r="H64" s="565" t="str">
        <f ca="1">IF(ListAndConversion!CC66&lt;&gt;"-",ListAndConversion!CC66,"")</f>
        <v/>
      </c>
      <c r="I64" s="565" t="str">
        <f ca="1">IF(ListAndConversion!CC66&lt;&gt;"-","Microfuge1","")</f>
        <v/>
      </c>
      <c r="J64" s="583" t="str">
        <f ca="1">IF(ListAndConversion!CD66&lt;&gt;"-",ListAndConversion!CD66,"")</f>
        <v/>
      </c>
      <c r="K64" s="577" t="str">
        <f t="shared" ca="1" si="0"/>
        <v/>
      </c>
    </row>
    <row r="65" spans="1:11" x14ac:dyDescent="0.65">
      <c r="A65" s="554" t="str">
        <f ca="1">IF(OR(LEFT(ListAndConversion!BW67,3)="Dil",LEFT(ListAndConversion!BW67,3)="Poo"),ListAndConversion!$BT$4,IF(LEFT(ListAndConversion!BW67,3)="Sou",INDEX(ListAndConversion!$AT$4:$AV$387,MATCH(ListAndConversion!BV67,ListAndConversion!$AV$4:$AV$387,0),1),""))</f>
        <v/>
      </c>
      <c r="B65" s="555" t="str">
        <f ca="1">IF(OR(LEFT(ListAndConversion!BW67,3)="Dil",LEFT(ListAndConversion!BW67,3)="Poo"),ListAndConversion!BU67,IF(LEFT(ListAndConversion!BW67,3)="Sou",INDEX(ListAndConversion!$AT$4:$AV$387,MATCH(ListAndConversion!BV67,ListAndConversion!$AV$4:$AV$387,0),2),""))</f>
        <v/>
      </c>
      <c r="C65" s="555" t="str">
        <f ca="1">IF(ListAndConversion!BZ67&lt;&gt;"-",ListAndConversion!BZ67,"")</f>
        <v/>
      </c>
      <c r="D65" s="555" t="str">
        <f ca="1">IF(ListAndConversion!BW67&lt;&gt;"-",ListAndConversion!BW67,"")</f>
        <v/>
      </c>
      <c r="E65" s="555" t="str">
        <f ca="1">IF(ListAndConversion!BX67&lt;&gt;"-",ListAndConversion!BX67,"")</f>
        <v/>
      </c>
      <c r="F65" s="565" t="str">
        <f ca="1">IF(ListAndConversion!BY67&lt;&gt;"-",ListAndConversion!BY67,"")</f>
        <v/>
      </c>
      <c r="G65" s="565" t="str">
        <f ca="1">IF(ListAndConversion!CB67&lt;&gt;"-",ListAndConversion!CB67,"")</f>
        <v/>
      </c>
      <c r="H65" s="565" t="str">
        <f ca="1">IF(ListAndConversion!CC67&lt;&gt;"-",ListAndConversion!CC67,"")</f>
        <v/>
      </c>
      <c r="I65" s="565" t="str">
        <f ca="1">IF(ListAndConversion!CC67&lt;&gt;"-","Microfuge1","")</f>
        <v/>
      </c>
      <c r="J65" s="583" t="str">
        <f ca="1">IF(ListAndConversion!CD67&lt;&gt;"-",ListAndConversion!CD67,"")</f>
        <v/>
      </c>
      <c r="K65" s="577" t="str">
        <f t="shared" ca="1" si="0"/>
        <v/>
      </c>
    </row>
    <row r="66" spans="1:11" x14ac:dyDescent="0.65">
      <c r="A66" s="554" t="str">
        <f ca="1">IF(OR(LEFT(ListAndConversion!BW68,3)="Dil",LEFT(ListAndConversion!BW68,3)="Poo"),ListAndConversion!$BT$4,IF(LEFT(ListAndConversion!BW68,3)="Sou",INDEX(ListAndConversion!$AT$4:$AV$387,MATCH(ListAndConversion!BV68,ListAndConversion!$AV$4:$AV$387,0),1),""))</f>
        <v/>
      </c>
      <c r="B66" s="555" t="str">
        <f ca="1">IF(OR(LEFT(ListAndConversion!BW68,3)="Dil",LEFT(ListAndConversion!BW68,3)="Poo"),ListAndConversion!BU68,IF(LEFT(ListAndConversion!BW68,3)="Sou",INDEX(ListAndConversion!$AT$4:$AV$387,MATCH(ListAndConversion!BV68,ListAndConversion!$AV$4:$AV$387,0),2),""))</f>
        <v/>
      </c>
      <c r="C66" s="555" t="str">
        <f ca="1">IF(ListAndConversion!BZ68&lt;&gt;"-",ListAndConversion!BZ68,"")</f>
        <v/>
      </c>
      <c r="D66" s="555" t="str">
        <f ca="1">IF(ListAndConversion!BW68&lt;&gt;"-",ListAndConversion!BW68,"")</f>
        <v/>
      </c>
      <c r="E66" s="555" t="str">
        <f ca="1">IF(ListAndConversion!BX68&lt;&gt;"-",ListAndConversion!BX68,"")</f>
        <v/>
      </c>
      <c r="F66" s="565" t="str">
        <f ca="1">IF(ListAndConversion!BY68&lt;&gt;"-",ListAndConversion!BY68,"")</f>
        <v/>
      </c>
      <c r="G66" s="565" t="str">
        <f ca="1">IF(ListAndConversion!CB68&lt;&gt;"-",ListAndConversion!CB68,"")</f>
        <v/>
      </c>
      <c r="H66" s="565" t="str">
        <f ca="1">IF(ListAndConversion!CC68&lt;&gt;"-",ListAndConversion!CC68,"")</f>
        <v/>
      </c>
      <c r="I66" s="565" t="str">
        <f ca="1">IF(ListAndConversion!CC68&lt;&gt;"-","Microfuge1","")</f>
        <v/>
      </c>
      <c r="J66" s="583" t="str">
        <f ca="1">IF(ListAndConversion!CD68&lt;&gt;"-",ListAndConversion!CD68,"")</f>
        <v/>
      </c>
      <c r="K66" s="577" t="str">
        <f t="shared" ref="K66:K129" ca="1" si="1">IF(LEFT(D66,4)="Pool",15,IF(D66="","",0))</f>
        <v/>
      </c>
    </row>
    <row r="67" spans="1:11" x14ac:dyDescent="0.65">
      <c r="A67" s="554" t="str">
        <f ca="1">IF(OR(LEFT(ListAndConversion!BW69,3)="Dil",LEFT(ListAndConversion!BW69,3)="Poo"),ListAndConversion!$BT$4,IF(LEFT(ListAndConversion!BW69,3)="Sou",INDEX(ListAndConversion!$AT$4:$AV$387,MATCH(ListAndConversion!BV69,ListAndConversion!$AV$4:$AV$387,0),1),""))</f>
        <v/>
      </c>
      <c r="B67" s="555" t="str">
        <f ca="1">IF(OR(LEFT(ListAndConversion!BW69,3)="Dil",LEFT(ListAndConversion!BW69,3)="Poo"),ListAndConversion!BU69,IF(LEFT(ListAndConversion!BW69,3)="Sou",INDEX(ListAndConversion!$AT$4:$AV$387,MATCH(ListAndConversion!BV69,ListAndConversion!$AV$4:$AV$387,0),2),""))</f>
        <v/>
      </c>
      <c r="C67" s="555" t="str">
        <f ca="1">IF(ListAndConversion!BZ69&lt;&gt;"-",ListAndConversion!BZ69,"")</f>
        <v/>
      </c>
      <c r="D67" s="555" t="str">
        <f ca="1">IF(ListAndConversion!BW69&lt;&gt;"-",ListAndConversion!BW69,"")</f>
        <v/>
      </c>
      <c r="E67" s="555" t="str">
        <f ca="1">IF(ListAndConversion!BX69&lt;&gt;"-",ListAndConversion!BX69,"")</f>
        <v/>
      </c>
      <c r="F67" s="565" t="str">
        <f ca="1">IF(ListAndConversion!BY69&lt;&gt;"-",ListAndConversion!BY69,"")</f>
        <v/>
      </c>
      <c r="G67" s="565" t="str">
        <f ca="1">IF(ListAndConversion!CB69&lt;&gt;"-",ListAndConversion!CB69,"")</f>
        <v/>
      </c>
      <c r="H67" s="565" t="str">
        <f ca="1">IF(ListAndConversion!CC69&lt;&gt;"-",ListAndConversion!CC69,"")</f>
        <v/>
      </c>
      <c r="I67" s="565" t="str">
        <f ca="1">IF(ListAndConversion!CC69&lt;&gt;"-","Microfuge1","")</f>
        <v/>
      </c>
      <c r="J67" s="583" t="str">
        <f ca="1">IF(ListAndConversion!CD69&lt;&gt;"-",ListAndConversion!CD69,"")</f>
        <v/>
      </c>
      <c r="K67" s="577" t="str">
        <f t="shared" ca="1" si="1"/>
        <v/>
      </c>
    </row>
    <row r="68" spans="1:11" x14ac:dyDescent="0.65">
      <c r="A68" s="554" t="str">
        <f ca="1">IF(OR(LEFT(ListAndConversion!BW70,3)="Dil",LEFT(ListAndConversion!BW70,3)="Poo"),ListAndConversion!$BT$4,IF(LEFT(ListAndConversion!BW70,3)="Sou",INDEX(ListAndConversion!$AT$4:$AV$387,MATCH(ListAndConversion!BV70,ListAndConversion!$AV$4:$AV$387,0),1),""))</f>
        <v/>
      </c>
      <c r="B68" s="555" t="str">
        <f ca="1">IF(OR(LEFT(ListAndConversion!BW70,3)="Dil",LEFT(ListAndConversion!BW70,3)="Poo"),ListAndConversion!BU70,IF(LEFT(ListAndConversion!BW70,3)="Sou",INDEX(ListAndConversion!$AT$4:$AV$387,MATCH(ListAndConversion!BV70,ListAndConversion!$AV$4:$AV$387,0),2),""))</f>
        <v/>
      </c>
      <c r="C68" s="555" t="str">
        <f ca="1">IF(ListAndConversion!BZ70&lt;&gt;"-",ListAndConversion!BZ70,"")</f>
        <v/>
      </c>
      <c r="D68" s="555" t="str">
        <f ca="1">IF(ListAndConversion!BW70&lt;&gt;"-",ListAndConversion!BW70,"")</f>
        <v/>
      </c>
      <c r="E68" s="555" t="str">
        <f ca="1">IF(ListAndConversion!BX70&lt;&gt;"-",ListAndConversion!BX70,"")</f>
        <v/>
      </c>
      <c r="F68" s="565" t="str">
        <f ca="1">IF(ListAndConversion!BY70&lt;&gt;"-",ListAndConversion!BY70,"")</f>
        <v/>
      </c>
      <c r="G68" s="565" t="str">
        <f ca="1">IF(ListAndConversion!CB70&lt;&gt;"-",ListAndConversion!CB70,"")</f>
        <v/>
      </c>
      <c r="H68" s="565" t="str">
        <f ca="1">IF(ListAndConversion!CC70&lt;&gt;"-",ListAndConversion!CC70,"")</f>
        <v/>
      </c>
      <c r="I68" s="565" t="str">
        <f ca="1">IF(ListAndConversion!CC70&lt;&gt;"-","Microfuge1","")</f>
        <v/>
      </c>
      <c r="J68" s="583" t="str">
        <f ca="1">IF(ListAndConversion!CD70&lt;&gt;"-",ListAndConversion!CD70,"")</f>
        <v/>
      </c>
      <c r="K68" s="577" t="str">
        <f t="shared" ca="1" si="1"/>
        <v/>
      </c>
    </row>
    <row r="69" spans="1:11" x14ac:dyDescent="0.65">
      <c r="A69" s="554" t="str">
        <f ca="1">IF(OR(LEFT(ListAndConversion!BW71,3)="Dil",LEFT(ListAndConversion!BW71,3)="Poo"),ListAndConversion!$BT$4,IF(LEFT(ListAndConversion!BW71,3)="Sou",INDEX(ListAndConversion!$AT$4:$AV$387,MATCH(ListAndConversion!BV71,ListAndConversion!$AV$4:$AV$387,0),1),""))</f>
        <v/>
      </c>
      <c r="B69" s="555" t="str">
        <f ca="1">IF(OR(LEFT(ListAndConversion!BW71,3)="Dil",LEFT(ListAndConversion!BW71,3)="Poo"),ListAndConversion!BU71,IF(LEFT(ListAndConversion!BW71,3)="Sou",INDEX(ListAndConversion!$AT$4:$AV$387,MATCH(ListAndConversion!BV71,ListAndConversion!$AV$4:$AV$387,0),2),""))</f>
        <v/>
      </c>
      <c r="C69" s="555" t="str">
        <f ca="1">IF(ListAndConversion!BZ71&lt;&gt;"-",ListAndConversion!BZ71,"")</f>
        <v/>
      </c>
      <c r="D69" s="555" t="str">
        <f ca="1">IF(ListAndConversion!BW71&lt;&gt;"-",ListAndConversion!BW71,"")</f>
        <v/>
      </c>
      <c r="E69" s="555" t="str">
        <f ca="1">IF(ListAndConversion!BX71&lt;&gt;"-",ListAndConversion!BX71,"")</f>
        <v/>
      </c>
      <c r="F69" s="565" t="str">
        <f ca="1">IF(ListAndConversion!BY71&lt;&gt;"-",ListAndConversion!BY71,"")</f>
        <v/>
      </c>
      <c r="G69" s="565" t="str">
        <f ca="1">IF(ListAndConversion!CB71&lt;&gt;"-",ListAndConversion!CB71,"")</f>
        <v/>
      </c>
      <c r="H69" s="565" t="str">
        <f ca="1">IF(ListAndConversion!CC71&lt;&gt;"-",ListAndConversion!CC71,"")</f>
        <v/>
      </c>
      <c r="I69" s="565" t="str">
        <f ca="1">IF(ListAndConversion!CC71&lt;&gt;"-","Microfuge1","")</f>
        <v/>
      </c>
      <c r="J69" s="583" t="str">
        <f ca="1">IF(ListAndConversion!CD71&lt;&gt;"-",ListAndConversion!CD71,"")</f>
        <v/>
      </c>
      <c r="K69" s="577" t="str">
        <f t="shared" ca="1" si="1"/>
        <v/>
      </c>
    </row>
    <row r="70" spans="1:11" x14ac:dyDescent="0.65">
      <c r="A70" s="554" t="str">
        <f ca="1">IF(OR(LEFT(ListAndConversion!BW72,3)="Dil",LEFT(ListAndConversion!BW72,3)="Poo"),ListAndConversion!$BT$4,IF(LEFT(ListAndConversion!BW72,3)="Sou",INDEX(ListAndConversion!$AT$4:$AV$387,MATCH(ListAndConversion!BV72,ListAndConversion!$AV$4:$AV$387,0),1),""))</f>
        <v/>
      </c>
      <c r="B70" s="555" t="str">
        <f ca="1">IF(OR(LEFT(ListAndConversion!BW72,3)="Dil",LEFT(ListAndConversion!BW72,3)="Poo"),ListAndConversion!BU72,IF(LEFT(ListAndConversion!BW72,3)="Sou",INDEX(ListAndConversion!$AT$4:$AV$387,MATCH(ListAndConversion!BV72,ListAndConversion!$AV$4:$AV$387,0),2),""))</f>
        <v/>
      </c>
      <c r="C70" s="555" t="str">
        <f ca="1">IF(ListAndConversion!BZ72&lt;&gt;"-",ListAndConversion!BZ72,"")</f>
        <v/>
      </c>
      <c r="D70" s="555" t="str">
        <f ca="1">IF(ListAndConversion!BW72&lt;&gt;"-",ListAndConversion!BW72,"")</f>
        <v/>
      </c>
      <c r="E70" s="555" t="str">
        <f ca="1">IF(ListAndConversion!BX72&lt;&gt;"-",ListAndConversion!BX72,"")</f>
        <v/>
      </c>
      <c r="F70" s="565" t="str">
        <f ca="1">IF(ListAndConversion!BY72&lt;&gt;"-",ListAndConversion!BY72,"")</f>
        <v/>
      </c>
      <c r="G70" s="565" t="str">
        <f ca="1">IF(ListAndConversion!CB72&lt;&gt;"-",ListAndConversion!CB72,"")</f>
        <v/>
      </c>
      <c r="H70" s="565" t="str">
        <f ca="1">IF(ListAndConversion!CC72&lt;&gt;"-",ListAndConversion!CC72,"")</f>
        <v/>
      </c>
      <c r="I70" s="565" t="str">
        <f ca="1">IF(ListAndConversion!CC72&lt;&gt;"-","Microfuge1","")</f>
        <v/>
      </c>
      <c r="J70" s="583" t="str">
        <f ca="1">IF(ListAndConversion!CD72&lt;&gt;"-",ListAndConversion!CD72,"")</f>
        <v/>
      </c>
      <c r="K70" s="577" t="str">
        <f t="shared" ca="1" si="1"/>
        <v/>
      </c>
    </row>
    <row r="71" spans="1:11" x14ac:dyDescent="0.65">
      <c r="A71" s="554" t="str">
        <f ca="1">IF(OR(LEFT(ListAndConversion!BW73,3)="Dil",LEFT(ListAndConversion!BW73,3)="Poo"),ListAndConversion!$BT$4,IF(LEFT(ListAndConversion!BW73,3)="Sou",INDEX(ListAndConversion!$AT$4:$AV$387,MATCH(ListAndConversion!BV73,ListAndConversion!$AV$4:$AV$387,0),1),""))</f>
        <v/>
      </c>
      <c r="B71" s="555" t="str">
        <f ca="1">IF(OR(LEFT(ListAndConversion!BW73,3)="Dil",LEFT(ListAndConversion!BW73,3)="Poo"),ListAndConversion!BU73,IF(LEFT(ListAndConversion!BW73,3)="Sou",INDEX(ListAndConversion!$AT$4:$AV$387,MATCH(ListAndConversion!BV73,ListAndConversion!$AV$4:$AV$387,0),2),""))</f>
        <v/>
      </c>
      <c r="C71" s="555" t="str">
        <f ca="1">IF(ListAndConversion!BZ73&lt;&gt;"-",ListAndConversion!BZ73,"")</f>
        <v/>
      </c>
      <c r="D71" s="555" t="str">
        <f ca="1">IF(ListAndConversion!BW73&lt;&gt;"-",ListAndConversion!BW73,"")</f>
        <v/>
      </c>
      <c r="E71" s="555" t="str">
        <f ca="1">IF(ListAndConversion!BX73&lt;&gt;"-",ListAndConversion!BX73,"")</f>
        <v/>
      </c>
      <c r="F71" s="565" t="str">
        <f ca="1">IF(ListAndConversion!BY73&lt;&gt;"-",ListAndConversion!BY73,"")</f>
        <v/>
      </c>
      <c r="G71" s="565" t="str">
        <f ca="1">IF(ListAndConversion!CB73&lt;&gt;"-",ListAndConversion!CB73,"")</f>
        <v/>
      </c>
      <c r="H71" s="565" t="str">
        <f ca="1">IF(ListAndConversion!CC73&lt;&gt;"-",ListAndConversion!CC73,"")</f>
        <v/>
      </c>
      <c r="I71" s="565" t="str">
        <f ca="1">IF(ListAndConversion!CC73&lt;&gt;"-","Microfuge1","")</f>
        <v/>
      </c>
      <c r="J71" s="583" t="str">
        <f ca="1">IF(ListAndConversion!CD73&lt;&gt;"-",ListAndConversion!CD73,"")</f>
        <v/>
      </c>
      <c r="K71" s="577" t="str">
        <f t="shared" ca="1" si="1"/>
        <v/>
      </c>
    </row>
    <row r="72" spans="1:11" x14ac:dyDescent="0.65">
      <c r="A72" s="554" t="str">
        <f ca="1">IF(OR(LEFT(ListAndConversion!BW74,3)="Dil",LEFT(ListAndConversion!BW74,3)="Poo"),ListAndConversion!$BT$4,IF(LEFT(ListAndConversion!BW74,3)="Sou",INDEX(ListAndConversion!$AT$4:$AV$387,MATCH(ListAndConversion!BV74,ListAndConversion!$AV$4:$AV$387,0),1),""))</f>
        <v/>
      </c>
      <c r="B72" s="555" t="str">
        <f ca="1">IF(OR(LEFT(ListAndConversion!BW74,3)="Dil",LEFT(ListAndConversion!BW74,3)="Poo"),ListAndConversion!BU74,IF(LEFT(ListAndConversion!BW74,3)="Sou",INDEX(ListAndConversion!$AT$4:$AV$387,MATCH(ListAndConversion!BV74,ListAndConversion!$AV$4:$AV$387,0),2),""))</f>
        <v/>
      </c>
      <c r="C72" s="555" t="str">
        <f ca="1">IF(ListAndConversion!BZ74&lt;&gt;"-",ListAndConversion!BZ74,"")</f>
        <v/>
      </c>
      <c r="D72" s="555" t="str">
        <f ca="1">IF(ListAndConversion!BW74&lt;&gt;"-",ListAndConversion!BW74,"")</f>
        <v/>
      </c>
      <c r="E72" s="555" t="str">
        <f ca="1">IF(ListAndConversion!BX74&lt;&gt;"-",ListAndConversion!BX74,"")</f>
        <v/>
      </c>
      <c r="F72" s="565" t="str">
        <f ca="1">IF(ListAndConversion!BY74&lt;&gt;"-",ListAndConversion!BY74,"")</f>
        <v/>
      </c>
      <c r="G72" s="565" t="str">
        <f ca="1">IF(ListAndConversion!CB74&lt;&gt;"-",ListAndConversion!CB74,"")</f>
        <v/>
      </c>
      <c r="H72" s="565" t="str">
        <f ca="1">IF(ListAndConversion!CC74&lt;&gt;"-",ListAndConversion!CC74,"")</f>
        <v/>
      </c>
      <c r="I72" s="565" t="str">
        <f ca="1">IF(ListAndConversion!CC74&lt;&gt;"-","Microfuge1","")</f>
        <v/>
      </c>
      <c r="J72" s="583" t="str">
        <f ca="1">IF(ListAndConversion!CD74&lt;&gt;"-",ListAndConversion!CD74,"")</f>
        <v/>
      </c>
      <c r="K72" s="577" t="str">
        <f t="shared" ca="1" si="1"/>
        <v/>
      </c>
    </row>
    <row r="73" spans="1:11" x14ac:dyDescent="0.65">
      <c r="A73" s="554" t="str">
        <f ca="1">IF(OR(LEFT(ListAndConversion!BW75,3)="Dil",LEFT(ListAndConversion!BW75,3)="Poo"),ListAndConversion!$BT$4,IF(LEFT(ListAndConversion!BW75,3)="Sou",INDEX(ListAndConversion!$AT$4:$AV$387,MATCH(ListAndConversion!BV75,ListAndConversion!$AV$4:$AV$387,0),1),""))</f>
        <v/>
      </c>
      <c r="B73" s="555" t="str">
        <f ca="1">IF(OR(LEFT(ListAndConversion!BW75,3)="Dil",LEFT(ListAndConversion!BW75,3)="Poo"),ListAndConversion!BU75,IF(LEFT(ListAndConversion!BW75,3)="Sou",INDEX(ListAndConversion!$AT$4:$AV$387,MATCH(ListAndConversion!BV75,ListAndConversion!$AV$4:$AV$387,0),2),""))</f>
        <v/>
      </c>
      <c r="C73" s="555" t="str">
        <f ca="1">IF(ListAndConversion!BZ75&lt;&gt;"-",ListAndConversion!BZ75,"")</f>
        <v/>
      </c>
      <c r="D73" s="555" t="str">
        <f ca="1">IF(ListAndConversion!BW75&lt;&gt;"-",ListAndConversion!BW75,"")</f>
        <v/>
      </c>
      <c r="E73" s="555" t="str">
        <f ca="1">IF(ListAndConversion!BX75&lt;&gt;"-",ListAndConversion!BX75,"")</f>
        <v/>
      </c>
      <c r="F73" s="565" t="str">
        <f ca="1">IF(ListAndConversion!BY75&lt;&gt;"-",ListAndConversion!BY75,"")</f>
        <v/>
      </c>
      <c r="G73" s="565" t="str">
        <f ca="1">IF(ListAndConversion!CB75&lt;&gt;"-",ListAndConversion!CB75,"")</f>
        <v/>
      </c>
      <c r="H73" s="565" t="str">
        <f ca="1">IF(ListAndConversion!CC75&lt;&gt;"-",ListAndConversion!CC75,"")</f>
        <v/>
      </c>
      <c r="I73" s="565" t="str">
        <f ca="1">IF(ListAndConversion!CC75&lt;&gt;"-","Microfuge1","")</f>
        <v/>
      </c>
      <c r="J73" s="583" t="str">
        <f ca="1">IF(ListAndConversion!CD75&lt;&gt;"-",ListAndConversion!CD75,"")</f>
        <v/>
      </c>
      <c r="K73" s="577" t="str">
        <f t="shared" ca="1" si="1"/>
        <v/>
      </c>
    </row>
    <row r="74" spans="1:11" x14ac:dyDescent="0.65">
      <c r="A74" s="554" t="str">
        <f ca="1">IF(OR(LEFT(ListAndConversion!BW76,3)="Dil",LEFT(ListAndConversion!BW76,3)="Poo"),ListAndConversion!$BT$4,IF(LEFT(ListAndConversion!BW76,3)="Sou",INDEX(ListAndConversion!$AT$4:$AV$387,MATCH(ListAndConversion!BV76,ListAndConversion!$AV$4:$AV$387,0),1),""))</f>
        <v/>
      </c>
      <c r="B74" s="555" t="str">
        <f ca="1">IF(OR(LEFT(ListAndConversion!BW76,3)="Dil",LEFT(ListAndConversion!BW76,3)="Poo"),ListAndConversion!BU76,IF(LEFT(ListAndConversion!BW76,3)="Sou",INDEX(ListAndConversion!$AT$4:$AV$387,MATCH(ListAndConversion!BV76,ListAndConversion!$AV$4:$AV$387,0),2),""))</f>
        <v/>
      </c>
      <c r="C74" s="555" t="str">
        <f ca="1">IF(ListAndConversion!BZ76&lt;&gt;"-",ListAndConversion!BZ76,"")</f>
        <v/>
      </c>
      <c r="D74" s="555" t="str">
        <f ca="1">IF(ListAndConversion!BW76&lt;&gt;"-",ListAndConversion!BW76,"")</f>
        <v/>
      </c>
      <c r="E74" s="555" t="str">
        <f ca="1">IF(ListAndConversion!BX76&lt;&gt;"-",ListAndConversion!BX76,"")</f>
        <v/>
      </c>
      <c r="F74" s="565" t="str">
        <f ca="1">IF(ListAndConversion!BY76&lt;&gt;"-",ListAndConversion!BY76,"")</f>
        <v/>
      </c>
      <c r="G74" s="565" t="str">
        <f ca="1">IF(ListAndConversion!CB76&lt;&gt;"-",ListAndConversion!CB76,"")</f>
        <v/>
      </c>
      <c r="H74" s="565" t="str">
        <f ca="1">IF(ListAndConversion!CC76&lt;&gt;"-",ListAndConversion!CC76,"")</f>
        <v/>
      </c>
      <c r="I74" s="565" t="str">
        <f ca="1">IF(ListAndConversion!CC76&lt;&gt;"-","Microfuge1","")</f>
        <v/>
      </c>
      <c r="J74" s="583" t="str">
        <f ca="1">IF(ListAndConversion!CD76&lt;&gt;"-",ListAndConversion!CD76,"")</f>
        <v/>
      </c>
      <c r="K74" s="577" t="str">
        <f t="shared" ca="1" si="1"/>
        <v/>
      </c>
    </row>
    <row r="75" spans="1:11" x14ac:dyDescent="0.65">
      <c r="A75" s="554" t="str">
        <f ca="1">IF(OR(LEFT(ListAndConversion!BW77,3)="Dil",LEFT(ListAndConversion!BW77,3)="Poo"),ListAndConversion!$BT$4,IF(LEFT(ListAndConversion!BW77,3)="Sou",INDEX(ListAndConversion!$AT$4:$AV$387,MATCH(ListAndConversion!BV77,ListAndConversion!$AV$4:$AV$387,0),1),""))</f>
        <v/>
      </c>
      <c r="B75" s="555" t="str">
        <f ca="1">IF(OR(LEFT(ListAndConversion!BW77,3)="Dil",LEFT(ListAndConversion!BW77,3)="Poo"),ListAndConversion!BU77,IF(LEFT(ListAndConversion!BW77,3)="Sou",INDEX(ListAndConversion!$AT$4:$AV$387,MATCH(ListAndConversion!BV77,ListAndConversion!$AV$4:$AV$387,0),2),""))</f>
        <v/>
      </c>
      <c r="C75" s="555" t="str">
        <f ca="1">IF(ListAndConversion!BZ77&lt;&gt;"-",ListAndConversion!BZ77,"")</f>
        <v/>
      </c>
      <c r="D75" s="555" t="str">
        <f ca="1">IF(ListAndConversion!BW77&lt;&gt;"-",ListAndConversion!BW77,"")</f>
        <v/>
      </c>
      <c r="E75" s="555" t="str">
        <f ca="1">IF(ListAndConversion!BX77&lt;&gt;"-",ListAndConversion!BX77,"")</f>
        <v/>
      </c>
      <c r="F75" s="565" t="str">
        <f ca="1">IF(ListAndConversion!BY77&lt;&gt;"-",ListAndConversion!BY77,"")</f>
        <v/>
      </c>
      <c r="G75" s="565" t="str">
        <f ca="1">IF(ListAndConversion!CB77&lt;&gt;"-",ListAndConversion!CB77,"")</f>
        <v/>
      </c>
      <c r="H75" s="565" t="str">
        <f ca="1">IF(ListAndConversion!CC77&lt;&gt;"-",ListAndConversion!CC77,"")</f>
        <v/>
      </c>
      <c r="I75" s="565" t="str">
        <f ca="1">IF(ListAndConversion!CC77&lt;&gt;"-","Microfuge1","")</f>
        <v/>
      </c>
      <c r="J75" s="583" t="str">
        <f ca="1">IF(ListAndConversion!CD77&lt;&gt;"-",ListAndConversion!CD77,"")</f>
        <v/>
      </c>
      <c r="K75" s="577" t="str">
        <f t="shared" ca="1" si="1"/>
        <v/>
      </c>
    </row>
    <row r="76" spans="1:11" x14ac:dyDescent="0.65">
      <c r="A76" s="554" t="str">
        <f ca="1">IF(OR(LEFT(ListAndConversion!BW78,3)="Dil",LEFT(ListAndConversion!BW78,3)="Poo"),ListAndConversion!$BT$4,IF(LEFT(ListAndConversion!BW78,3)="Sou",INDEX(ListAndConversion!$AT$4:$AV$387,MATCH(ListAndConversion!BV78,ListAndConversion!$AV$4:$AV$387,0),1),""))</f>
        <v/>
      </c>
      <c r="B76" s="555" t="str">
        <f ca="1">IF(OR(LEFT(ListAndConversion!BW78,3)="Dil",LEFT(ListAndConversion!BW78,3)="Poo"),ListAndConversion!BU78,IF(LEFT(ListAndConversion!BW78,3)="Sou",INDEX(ListAndConversion!$AT$4:$AV$387,MATCH(ListAndConversion!BV78,ListAndConversion!$AV$4:$AV$387,0),2),""))</f>
        <v/>
      </c>
      <c r="C76" s="555" t="str">
        <f ca="1">IF(ListAndConversion!BZ78&lt;&gt;"-",ListAndConversion!BZ78,"")</f>
        <v/>
      </c>
      <c r="D76" s="555" t="str">
        <f ca="1">IF(ListAndConversion!BW78&lt;&gt;"-",ListAndConversion!BW78,"")</f>
        <v/>
      </c>
      <c r="E76" s="555" t="str">
        <f ca="1">IF(ListAndConversion!BX78&lt;&gt;"-",ListAndConversion!BX78,"")</f>
        <v/>
      </c>
      <c r="F76" s="565" t="str">
        <f ca="1">IF(ListAndConversion!BY78&lt;&gt;"-",ListAndConversion!BY78,"")</f>
        <v/>
      </c>
      <c r="G76" s="565" t="str">
        <f ca="1">IF(ListAndConversion!CB78&lt;&gt;"-",ListAndConversion!CB78,"")</f>
        <v/>
      </c>
      <c r="H76" s="565" t="str">
        <f ca="1">IF(ListAndConversion!CC78&lt;&gt;"-",ListAndConversion!CC78,"")</f>
        <v/>
      </c>
      <c r="I76" s="565" t="str">
        <f ca="1">IF(ListAndConversion!CC78&lt;&gt;"-","Microfuge1","")</f>
        <v/>
      </c>
      <c r="J76" s="583" t="str">
        <f ca="1">IF(ListAndConversion!CD78&lt;&gt;"-",ListAndConversion!CD78,"")</f>
        <v/>
      </c>
      <c r="K76" s="577" t="str">
        <f t="shared" ca="1" si="1"/>
        <v/>
      </c>
    </row>
    <row r="77" spans="1:11" x14ac:dyDescent="0.65">
      <c r="A77" s="554" t="str">
        <f ca="1">IF(OR(LEFT(ListAndConversion!BW79,3)="Dil",LEFT(ListAndConversion!BW79,3)="Poo"),ListAndConversion!$BT$4,IF(LEFT(ListAndConversion!BW79,3)="Sou",INDEX(ListAndConversion!$AT$4:$AV$387,MATCH(ListAndConversion!BV79,ListAndConversion!$AV$4:$AV$387,0),1),""))</f>
        <v/>
      </c>
      <c r="B77" s="555" t="str">
        <f ca="1">IF(OR(LEFT(ListAndConversion!BW79,3)="Dil",LEFT(ListAndConversion!BW79,3)="Poo"),ListAndConversion!BU79,IF(LEFT(ListAndConversion!BW79,3)="Sou",INDEX(ListAndConversion!$AT$4:$AV$387,MATCH(ListAndConversion!BV79,ListAndConversion!$AV$4:$AV$387,0),2),""))</f>
        <v/>
      </c>
      <c r="C77" s="555" t="str">
        <f ca="1">IF(ListAndConversion!BZ79&lt;&gt;"-",ListAndConversion!BZ79,"")</f>
        <v/>
      </c>
      <c r="D77" s="555" t="str">
        <f ca="1">IF(ListAndConversion!BW79&lt;&gt;"-",ListAndConversion!BW79,"")</f>
        <v/>
      </c>
      <c r="E77" s="555" t="str">
        <f ca="1">IF(ListAndConversion!BX79&lt;&gt;"-",ListAndConversion!BX79,"")</f>
        <v/>
      </c>
      <c r="F77" s="565" t="str">
        <f ca="1">IF(ListAndConversion!BY79&lt;&gt;"-",ListAndConversion!BY79,"")</f>
        <v/>
      </c>
      <c r="G77" s="565" t="str">
        <f ca="1">IF(ListAndConversion!CB79&lt;&gt;"-",ListAndConversion!CB79,"")</f>
        <v/>
      </c>
      <c r="H77" s="565" t="str">
        <f ca="1">IF(ListAndConversion!CC79&lt;&gt;"-",ListAndConversion!CC79,"")</f>
        <v/>
      </c>
      <c r="I77" s="565" t="str">
        <f ca="1">IF(ListAndConversion!CC79&lt;&gt;"-","Microfuge1","")</f>
        <v/>
      </c>
      <c r="J77" s="583" t="str">
        <f ca="1">IF(ListAndConversion!CD79&lt;&gt;"-",ListAndConversion!CD79,"")</f>
        <v/>
      </c>
      <c r="K77" s="577" t="str">
        <f t="shared" ca="1" si="1"/>
        <v/>
      </c>
    </row>
    <row r="78" spans="1:11" x14ac:dyDescent="0.65">
      <c r="A78" s="554" t="str">
        <f ca="1">IF(OR(LEFT(ListAndConversion!BW80,3)="Dil",LEFT(ListAndConversion!BW80,3)="Poo"),ListAndConversion!$BT$4,IF(LEFT(ListAndConversion!BW80,3)="Sou",INDEX(ListAndConversion!$AT$4:$AV$387,MATCH(ListAndConversion!BV80,ListAndConversion!$AV$4:$AV$387,0),1),""))</f>
        <v/>
      </c>
      <c r="B78" s="555" t="str">
        <f ca="1">IF(OR(LEFT(ListAndConversion!BW80,3)="Dil",LEFT(ListAndConversion!BW80,3)="Poo"),ListAndConversion!BU80,IF(LEFT(ListAndConversion!BW80,3)="Sou",INDEX(ListAndConversion!$AT$4:$AV$387,MATCH(ListAndConversion!BV80,ListAndConversion!$AV$4:$AV$387,0),2),""))</f>
        <v/>
      </c>
      <c r="C78" s="555" t="str">
        <f ca="1">IF(ListAndConversion!BZ80&lt;&gt;"-",ListAndConversion!BZ80,"")</f>
        <v/>
      </c>
      <c r="D78" s="555" t="str">
        <f ca="1">IF(ListAndConversion!BW80&lt;&gt;"-",ListAndConversion!BW80,"")</f>
        <v/>
      </c>
      <c r="E78" s="555" t="str">
        <f ca="1">IF(ListAndConversion!BX80&lt;&gt;"-",ListAndConversion!BX80,"")</f>
        <v/>
      </c>
      <c r="F78" s="565" t="str">
        <f ca="1">IF(ListAndConversion!BY80&lt;&gt;"-",ListAndConversion!BY80,"")</f>
        <v/>
      </c>
      <c r="G78" s="565" t="str">
        <f ca="1">IF(ListAndConversion!CB80&lt;&gt;"-",ListAndConversion!CB80,"")</f>
        <v/>
      </c>
      <c r="H78" s="565" t="str">
        <f ca="1">IF(ListAndConversion!CC80&lt;&gt;"-",ListAndConversion!CC80,"")</f>
        <v/>
      </c>
      <c r="I78" s="565" t="str">
        <f ca="1">IF(ListAndConversion!CC80&lt;&gt;"-","Microfuge1","")</f>
        <v/>
      </c>
      <c r="J78" s="583" t="str">
        <f ca="1">IF(ListAndConversion!CD80&lt;&gt;"-",ListAndConversion!CD80,"")</f>
        <v/>
      </c>
      <c r="K78" s="577" t="str">
        <f t="shared" ca="1" si="1"/>
        <v/>
      </c>
    </row>
    <row r="79" spans="1:11" x14ac:dyDescent="0.65">
      <c r="A79" s="554" t="str">
        <f ca="1">IF(OR(LEFT(ListAndConversion!BW81,3)="Dil",LEFT(ListAndConversion!BW81,3)="Poo"),ListAndConversion!$BT$4,IF(LEFT(ListAndConversion!BW81,3)="Sou",INDEX(ListAndConversion!$AT$4:$AV$387,MATCH(ListAndConversion!BV81,ListAndConversion!$AV$4:$AV$387,0),1),""))</f>
        <v/>
      </c>
      <c r="B79" s="555" t="str">
        <f ca="1">IF(OR(LEFT(ListAndConversion!BW81,3)="Dil",LEFT(ListAndConversion!BW81,3)="Poo"),ListAndConversion!BU81,IF(LEFT(ListAndConversion!BW81,3)="Sou",INDEX(ListAndConversion!$AT$4:$AV$387,MATCH(ListAndConversion!BV81,ListAndConversion!$AV$4:$AV$387,0),2),""))</f>
        <v/>
      </c>
      <c r="C79" s="555" t="str">
        <f ca="1">IF(ListAndConversion!BZ81&lt;&gt;"-",ListAndConversion!BZ81,"")</f>
        <v/>
      </c>
      <c r="D79" s="555" t="str">
        <f ca="1">IF(ListAndConversion!BW81&lt;&gt;"-",ListAndConversion!BW81,"")</f>
        <v/>
      </c>
      <c r="E79" s="555" t="str">
        <f ca="1">IF(ListAndConversion!BX81&lt;&gt;"-",ListAndConversion!BX81,"")</f>
        <v/>
      </c>
      <c r="F79" s="565" t="str">
        <f ca="1">IF(ListAndConversion!BY81&lt;&gt;"-",ListAndConversion!BY81,"")</f>
        <v/>
      </c>
      <c r="G79" s="565" t="str">
        <f ca="1">IF(ListAndConversion!CB81&lt;&gt;"-",ListAndConversion!CB81,"")</f>
        <v/>
      </c>
      <c r="H79" s="565" t="str">
        <f ca="1">IF(ListAndConversion!CC81&lt;&gt;"-",ListAndConversion!CC81,"")</f>
        <v/>
      </c>
      <c r="I79" s="565" t="str">
        <f ca="1">IF(ListAndConversion!CC81&lt;&gt;"-","Microfuge1","")</f>
        <v/>
      </c>
      <c r="J79" s="583" t="str">
        <f ca="1">IF(ListAndConversion!CD81&lt;&gt;"-",ListAndConversion!CD81,"")</f>
        <v/>
      </c>
      <c r="K79" s="577" t="str">
        <f t="shared" ca="1" si="1"/>
        <v/>
      </c>
    </row>
    <row r="80" spans="1:11" x14ac:dyDescent="0.65">
      <c r="A80" s="554" t="str">
        <f ca="1">IF(OR(LEFT(ListAndConversion!BW82,3)="Dil",LEFT(ListAndConversion!BW82,3)="Poo"),ListAndConversion!$BT$4,IF(LEFT(ListAndConversion!BW82,3)="Sou",INDEX(ListAndConversion!$AT$4:$AV$387,MATCH(ListAndConversion!BV82,ListAndConversion!$AV$4:$AV$387,0),1),""))</f>
        <v/>
      </c>
      <c r="B80" s="555" t="str">
        <f ca="1">IF(OR(LEFT(ListAndConversion!BW82,3)="Dil",LEFT(ListAndConversion!BW82,3)="Poo"),ListAndConversion!BU82,IF(LEFT(ListAndConversion!BW82,3)="Sou",INDEX(ListAndConversion!$AT$4:$AV$387,MATCH(ListAndConversion!BV82,ListAndConversion!$AV$4:$AV$387,0),2),""))</f>
        <v/>
      </c>
      <c r="C80" s="555" t="str">
        <f ca="1">IF(ListAndConversion!BZ82&lt;&gt;"-",ListAndConversion!BZ82,"")</f>
        <v/>
      </c>
      <c r="D80" s="555" t="str">
        <f ca="1">IF(ListAndConversion!BW82&lt;&gt;"-",ListAndConversion!BW82,"")</f>
        <v/>
      </c>
      <c r="E80" s="555" t="str">
        <f ca="1">IF(ListAndConversion!BX82&lt;&gt;"-",ListAndConversion!BX82,"")</f>
        <v/>
      </c>
      <c r="F80" s="565" t="str">
        <f ca="1">IF(ListAndConversion!BY82&lt;&gt;"-",ListAndConversion!BY82,"")</f>
        <v/>
      </c>
      <c r="G80" s="565" t="str">
        <f ca="1">IF(ListAndConversion!CB82&lt;&gt;"-",ListAndConversion!CB82,"")</f>
        <v/>
      </c>
      <c r="H80" s="565" t="str">
        <f ca="1">IF(ListAndConversion!CC82&lt;&gt;"-",ListAndConversion!CC82,"")</f>
        <v/>
      </c>
      <c r="I80" s="565" t="str">
        <f ca="1">IF(ListAndConversion!CC82&lt;&gt;"-","Microfuge1","")</f>
        <v/>
      </c>
      <c r="J80" s="583" t="str">
        <f ca="1">IF(ListAndConversion!CD82&lt;&gt;"-",ListAndConversion!CD82,"")</f>
        <v/>
      </c>
      <c r="K80" s="577" t="str">
        <f t="shared" ca="1" si="1"/>
        <v/>
      </c>
    </row>
    <row r="81" spans="1:11" x14ac:dyDescent="0.65">
      <c r="A81" s="554" t="str">
        <f ca="1">IF(OR(LEFT(ListAndConversion!BW83,3)="Dil",LEFT(ListAndConversion!BW83,3)="Poo"),ListAndConversion!$BT$4,IF(LEFT(ListAndConversion!BW83,3)="Sou",INDEX(ListAndConversion!$AT$4:$AV$387,MATCH(ListAndConversion!BV83,ListAndConversion!$AV$4:$AV$387,0),1),""))</f>
        <v/>
      </c>
      <c r="B81" s="555" t="str">
        <f ca="1">IF(OR(LEFT(ListAndConversion!BW83,3)="Dil",LEFT(ListAndConversion!BW83,3)="Poo"),ListAndConversion!BU83,IF(LEFT(ListAndConversion!BW83,3)="Sou",INDEX(ListAndConversion!$AT$4:$AV$387,MATCH(ListAndConversion!BV83,ListAndConversion!$AV$4:$AV$387,0),2),""))</f>
        <v/>
      </c>
      <c r="C81" s="555" t="str">
        <f ca="1">IF(ListAndConversion!BZ83&lt;&gt;"-",ListAndConversion!BZ83,"")</f>
        <v/>
      </c>
      <c r="D81" s="555" t="str">
        <f ca="1">IF(ListAndConversion!BW83&lt;&gt;"-",ListAndConversion!BW83,"")</f>
        <v/>
      </c>
      <c r="E81" s="555" t="str">
        <f ca="1">IF(ListAndConversion!BX83&lt;&gt;"-",ListAndConversion!BX83,"")</f>
        <v/>
      </c>
      <c r="F81" s="565" t="str">
        <f ca="1">IF(ListAndConversion!BY83&lt;&gt;"-",ListAndConversion!BY83,"")</f>
        <v/>
      </c>
      <c r="G81" s="565" t="str">
        <f ca="1">IF(ListAndConversion!CB83&lt;&gt;"-",ListAndConversion!CB83,"")</f>
        <v/>
      </c>
      <c r="H81" s="565" t="str">
        <f ca="1">IF(ListAndConversion!CC83&lt;&gt;"-",ListAndConversion!CC83,"")</f>
        <v/>
      </c>
      <c r="I81" s="565" t="str">
        <f ca="1">IF(ListAndConversion!CC83&lt;&gt;"-","Microfuge1","")</f>
        <v/>
      </c>
      <c r="J81" s="583" t="str">
        <f ca="1">IF(ListAndConversion!CD83&lt;&gt;"-",ListAndConversion!CD83,"")</f>
        <v/>
      </c>
      <c r="K81" s="577" t="str">
        <f t="shared" ca="1" si="1"/>
        <v/>
      </c>
    </row>
    <row r="82" spans="1:11" x14ac:dyDescent="0.65">
      <c r="A82" s="554" t="str">
        <f ca="1">IF(OR(LEFT(ListAndConversion!BW84,3)="Dil",LEFT(ListAndConversion!BW84,3)="Poo"),ListAndConversion!$BT$4,IF(LEFT(ListAndConversion!BW84,3)="Sou",INDEX(ListAndConversion!$AT$4:$AV$387,MATCH(ListAndConversion!BV84,ListAndConversion!$AV$4:$AV$387,0),1),""))</f>
        <v/>
      </c>
      <c r="B82" s="555" t="str">
        <f ca="1">IF(OR(LEFT(ListAndConversion!BW84,3)="Dil",LEFT(ListAndConversion!BW84,3)="Poo"),ListAndConversion!BU84,IF(LEFT(ListAndConversion!BW84,3)="Sou",INDEX(ListAndConversion!$AT$4:$AV$387,MATCH(ListAndConversion!BV84,ListAndConversion!$AV$4:$AV$387,0),2),""))</f>
        <v/>
      </c>
      <c r="C82" s="555" t="str">
        <f ca="1">IF(ListAndConversion!BZ84&lt;&gt;"-",ListAndConversion!BZ84,"")</f>
        <v/>
      </c>
      <c r="D82" s="555" t="str">
        <f ca="1">IF(ListAndConversion!BW84&lt;&gt;"-",ListAndConversion!BW84,"")</f>
        <v/>
      </c>
      <c r="E82" s="555" t="str">
        <f ca="1">IF(ListAndConversion!BX84&lt;&gt;"-",ListAndConversion!BX84,"")</f>
        <v/>
      </c>
      <c r="F82" s="565" t="str">
        <f ca="1">IF(ListAndConversion!BY84&lt;&gt;"-",ListAndConversion!BY84,"")</f>
        <v/>
      </c>
      <c r="G82" s="565" t="str">
        <f ca="1">IF(ListAndConversion!CB84&lt;&gt;"-",ListAndConversion!CB84,"")</f>
        <v/>
      </c>
      <c r="H82" s="565" t="str">
        <f ca="1">IF(ListAndConversion!CC84&lt;&gt;"-",ListAndConversion!CC84,"")</f>
        <v/>
      </c>
      <c r="I82" s="565" t="str">
        <f ca="1">IF(ListAndConversion!CC84&lt;&gt;"-","Microfuge1","")</f>
        <v/>
      </c>
      <c r="J82" s="583" t="str">
        <f ca="1">IF(ListAndConversion!CD84&lt;&gt;"-",ListAndConversion!CD84,"")</f>
        <v/>
      </c>
      <c r="K82" s="577" t="str">
        <f t="shared" ca="1" si="1"/>
        <v/>
      </c>
    </row>
    <row r="83" spans="1:11" x14ac:dyDescent="0.65">
      <c r="A83" s="554" t="str">
        <f ca="1">IF(OR(LEFT(ListAndConversion!BW85,3)="Dil",LEFT(ListAndConversion!BW85,3)="Poo"),ListAndConversion!$BT$4,IF(LEFT(ListAndConversion!BW85,3)="Sou",INDEX(ListAndConversion!$AT$4:$AV$387,MATCH(ListAndConversion!BV85,ListAndConversion!$AV$4:$AV$387,0),1),""))</f>
        <v/>
      </c>
      <c r="B83" s="555" t="str">
        <f ca="1">IF(OR(LEFT(ListAndConversion!BW85,3)="Dil",LEFT(ListAndConversion!BW85,3)="Poo"),ListAndConversion!BU85,IF(LEFT(ListAndConversion!BW85,3)="Sou",INDEX(ListAndConversion!$AT$4:$AV$387,MATCH(ListAndConversion!BV85,ListAndConversion!$AV$4:$AV$387,0),2),""))</f>
        <v/>
      </c>
      <c r="C83" s="555" t="str">
        <f ca="1">IF(ListAndConversion!BZ85&lt;&gt;"-",ListAndConversion!BZ85,"")</f>
        <v/>
      </c>
      <c r="D83" s="555" t="str">
        <f ca="1">IF(ListAndConversion!BW85&lt;&gt;"-",ListAndConversion!BW85,"")</f>
        <v/>
      </c>
      <c r="E83" s="555" t="str">
        <f ca="1">IF(ListAndConversion!BX85&lt;&gt;"-",ListAndConversion!BX85,"")</f>
        <v/>
      </c>
      <c r="F83" s="565" t="str">
        <f ca="1">IF(ListAndConversion!BY85&lt;&gt;"-",ListAndConversion!BY85,"")</f>
        <v/>
      </c>
      <c r="G83" s="565" t="str">
        <f ca="1">IF(ListAndConversion!CB85&lt;&gt;"-",ListAndConversion!CB85,"")</f>
        <v/>
      </c>
      <c r="H83" s="565" t="str">
        <f ca="1">IF(ListAndConversion!CC85&lt;&gt;"-",ListAndConversion!CC85,"")</f>
        <v/>
      </c>
      <c r="I83" s="565" t="str">
        <f ca="1">IF(ListAndConversion!CC85&lt;&gt;"-","Microfuge1","")</f>
        <v/>
      </c>
      <c r="J83" s="583" t="str">
        <f ca="1">IF(ListAndConversion!CD85&lt;&gt;"-",ListAndConversion!CD85,"")</f>
        <v/>
      </c>
      <c r="K83" s="577" t="str">
        <f t="shared" ca="1" si="1"/>
        <v/>
      </c>
    </row>
    <row r="84" spans="1:11" x14ac:dyDescent="0.65">
      <c r="A84" s="554" t="str">
        <f ca="1">IF(OR(LEFT(ListAndConversion!BW86,3)="Dil",LEFT(ListAndConversion!BW86,3)="Poo"),ListAndConversion!$BT$4,IF(LEFT(ListAndConversion!BW86,3)="Sou",INDEX(ListAndConversion!$AT$4:$AV$387,MATCH(ListAndConversion!BV86,ListAndConversion!$AV$4:$AV$387,0),1),""))</f>
        <v/>
      </c>
      <c r="B84" s="555" t="str">
        <f ca="1">IF(OR(LEFT(ListAndConversion!BW86,3)="Dil",LEFT(ListAndConversion!BW86,3)="Poo"),ListAndConversion!BU86,IF(LEFT(ListAndConversion!BW86,3)="Sou",INDEX(ListAndConversion!$AT$4:$AV$387,MATCH(ListAndConversion!BV86,ListAndConversion!$AV$4:$AV$387,0),2),""))</f>
        <v/>
      </c>
      <c r="C84" s="555" t="str">
        <f ca="1">IF(ListAndConversion!BZ86&lt;&gt;"-",ListAndConversion!BZ86,"")</f>
        <v/>
      </c>
      <c r="D84" s="555" t="str">
        <f ca="1">IF(ListAndConversion!BW86&lt;&gt;"-",ListAndConversion!BW86,"")</f>
        <v/>
      </c>
      <c r="E84" s="555" t="str">
        <f ca="1">IF(ListAndConversion!BX86&lt;&gt;"-",ListAndConversion!BX86,"")</f>
        <v/>
      </c>
      <c r="F84" s="565" t="str">
        <f ca="1">IF(ListAndConversion!BY86&lt;&gt;"-",ListAndConversion!BY86,"")</f>
        <v/>
      </c>
      <c r="G84" s="565" t="str">
        <f ca="1">IF(ListAndConversion!CB86&lt;&gt;"-",ListAndConversion!CB86,"")</f>
        <v/>
      </c>
      <c r="H84" s="565" t="str">
        <f ca="1">IF(ListAndConversion!CC86&lt;&gt;"-",ListAndConversion!CC86,"")</f>
        <v/>
      </c>
      <c r="I84" s="565" t="str">
        <f ca="1">IF(ListAndConversion!CC86&lt;&gt;"-","Microfuge1","")</f>
        <v/>
      </c>
      <c r="J84" s="583" t="str">
        <f ca="1">IF(ListAndConversion!CD86&lt;&gt;"-",ListAndConversion!CD86,"")</f>
        <v/>
      </c>
      <c r="K84" s="577" t="str">
        <f t="shared" ca="1" si="1"/>
        <v/>
      </c>
    </row>
    <row r="85" spans="1:11" x14ac:dyDescent="0.65">
      <c r="A85" s="554" t="str">
        <f ca="1">IF(OR(LEFT(ListAndConversion!BW87,3)="Dil",LEFT(ListAndConversion!BW87,3)="Poo"),ListAndConversion!$BT$4,IF(LEFT(ListAndConversion!BW87,3)="Sou",INDEX(ListAndConversion!$AT$4:$AV$387,MATCH(ListAndConversion!BV87,ListAndConversion!$AV$4:$AV$387,0),1),""))</f>
        <v/>
      </c>
      <c r="B85" s="555" t="str">
        <f ca="1">IF(OR(LEFT(ListAndConversion!BW87,3)="Dil",LEFT(ListAndConversion!BW87,3)="Poo"),ListAndConversion!BU87,IF(LEFT(ListAndConversion!BW87,3)="Sou",INDEX(ListAndConversion!$AT$4:$AV$387,MATCH(ListAndConversion!BV87,ListAndConversion!$AV$4:$AV$387,0),2),""))</f>
        <v/>
      </c>
      <c r="C85" s="555" t="str">
        <f ca="1">IF(ListAndConversion!BZ87&lt;&gt;"-",ListAndConversion!BZ87,"")</f>
        <v/>
      </c>
      <c r="D85" s="555" t="str">
        <f ca="1">IF(ListAndConversion!BW87&lt;&gt;"-",ListAndConversion!BW87,"")</f>
        <v/>
      </c>
      <c r="E85" s="555" t="str">
        <f ca="1">IF(ListAndConversion!BX87&lt;&gt;"-",ListAndConversion!BX87,"")</f>
        <v/>
      </c>
      <c r="F85" s="565" t="str">
        <f ca="1">IF(ListAndConversion!BY87&lt;&gt;"-",ListAndConversion!BY87,"")</f>
        <v/>
      </c>
      <c r="G85" s="565" t="str">
        <f ca="1">IF(ListAndConversion!CB87&lt;&gt;"-",ListAndConversion!CB87,"")</f>
        <v/>
      </c>
      <c r="H85" s="565" t="str">
        <f ca="1">IF(ListAndConversion!CC87&lt;&gt;"-",ListAndConversion!CC87,"")</f>
        <v/>
      </c>
      <c r="I85" s="565" t="str">
        <f ca="1">IF(ListAndConversion!CC87&lt;&gt;"-","Microfuge1","")</f>
        <v/>
      </c>
      <c r="J85" s="583" t="str">
        <f ca="1">IF(ListAndConversion!CD87&lt;&gt;"-",ListAndConversion!CD87,"")</f>
        <v/>
      </c>
      <c r="K85" s="577" t="str">
        <f t="shared" ca="1" si="1"/>
        <v/>
      </c>
    </row>
    <row r="86" spans="1:11" x14ac:dyDescent="0.65">
      <c r="A86" s="554" t="str">
        <f ca="1">IF(OR(LEFT(ListAndConversion!BW88,3)="Dil",LEFT(ListAndConversion!BW88,3)="Poo"),ListAndConversion!$BT$4,IF(LEFT(ListAndConversion!BW88,3)="Sou",INDEX(ListAndConversion!$AT$4:$AV$387,MATCH(ListAndConversion!BV88,ListAndConversion!$AV$4:$AV$387,0),1),""))</f>
        <v/>
      </c>
      <c r="B86" s="555" t="str">
        <f ca="1">IF(OR(LEFT(ListAndConversion!BW88,3)="Dil",LEFT(ListAndConversion!BW88,3)="Poo"),ListAndConversion!BU88,IF(LEFT(ListAndConversion!BW88,3)="Sou",INDEX(ListAndConversion!$AT$4:$AV$387,MATCH(ListAndConversion!BV88,ListAndConversion!$AV$4:$AV$387,0),2),""))</f>
        <v/>
      </c>
      <c r="C86" s="555" t="str">
        <f ca="1">IF(ListAndConversion!BZ88&lt;&gt;"-",ListAndConversion!BZ88,"")</f>
        <v/>
      </c>
      <c r="D86" s="555" t="str">
        <f ca="1">IF(ListAndConversion!BW88&lt;&gt;"-",ListAndConversion!BW88,"")</f>
        <v/>
      </c>
      <c r="E86" s="555" t="str">
        <f ca="1">IF(ListAndConversion!BX88&lt;&gt;"-",ListAndConversion!BX88,"")</f>
        <v/>
      </c>
      <c r="F86" s="565" t="str">
        <f ca="1">IF(ListAndConversion!BY88&lt;&gt;"-",ListAndConversion!BY88,"")</f>
        <v/>
      </c>
      <c r="G86" s="565" t="str">
        <f ca="1">IF(ListAndConversion!CB88&lt;&gt;"-",ListAndConversion!CB88,"")</f>
        <v/>
      </c>
      <c r="H86" s="565" t="str">
        <f ca="1">IF(ListAndConversion!CC88&lt;&gt;"-",ListAndConversion!CC88,"")</f>
        <v/>
      </c>
      <c r="I86" s="565" t="str">
        <f ca="1">IF(ListAndConversion!CC88&lt;&gt;"-","Microfuge1","")</f>
        <v/>
      </c>
      <c r="J86" s="583" t="str">
        <f ca="1">IF(ListAndConversion!CD88&lt;&gt;"-",ListAndConversion!CD88,"")</f>
        <v/>
      </c>
      <c r="K86" s="577" t="str">
        <f t="shared" ca="1" si="1"/>
        <v/>
      </c>
    </row>
    <row r="87" spans="1:11" x14ac:dyDescent="0.65">
      <c r="A87" s="554" t="str">
        <f ca="1">IF(OR(LEFT(ListAndConversion!BW89,3)="Dil",LEFT(ListAndConversion!BW89,3)="Poo"),ListAndConversion!$BT$4,IF(LEFT(ListAndConversion!BW89,3)="Sou",INDEX(ListAndConversion!$AT$4:$AV$387,MATCH(ListAndConversion!BV89,ListAndConversion!$AV$4:$AV$387,0),1),""))</f>
        <v/>
      </c>
      <c r="B87" s="555" t="str">
        <f ca="1">IF(OR(LEFT(ListAndConversion!BW89,3)="Dil",LEFT(ListAndConversion!BW89,3)="Poo"),ListAndConversion!BU89,IF(LEFT(ListAndConversion!BW89,3)="Sou",INDEX(ListAndConversion!$AT$4:$AV$387,MATCH(ListAndConversion!BV89,ListAndConversion!$AV$4:$AV$387,0),2),""))</f>
        <v/>
      </c>
      <c r="C87" s="555" t="str">
        <f ca="1">IF(ListAndConversion!BZ89&lt;&gt;"-",ListAndConversion!BZ89,"")</f>
        <v/>
      </c>
      <c r="D87" s="555" t="str">
        <f ca="1">IF(ListAndConversion!BW89&lt;&gt;"-",ListAndConversion!BW89,"")</f>
        <v/>
      </c>
      <c r="E87" s="555" t="str">
        <f ca="1">IF(ListAndConversion!BX89&lt;&gt;"-",ListAndConversion!BX89,"")</f>
        <v/>
      </c>
      <c r="F87" s="565" t="str">
        <f ca="1">IF(ListAndConversion!BY89&lt;&gt;"-",ListAndConversion!BY89,"")</f>
        <v/>
      </c>
      <c r="G87" s="565" t="str">
        <f ca="1">IF(ListAndConversion!CB89&lt;&gt;"-",ListAndConversion!CB89,"")</f>
        <v/>
      </c>
      <c r="H87" s="565" t="str">
        <f ca="1">IF(ListAndConversion!CC89&lt;&gt;"-",ListAndConversion!CC89,"")</f>
        <v/>
      </c>
      <c r="I87" s="565" t="str">
        <f ca="1">IF(ListAndConversion!CC89&lt;&gt;"-","Microfuge1","")</f>
        <v/>
      </c>
      <c r="J87" s="583" t="str">
        <f ca="1">IF(ListAndConversion!CD89&lt;&gt;"-",ListAndConversion!CD89,"")</f>
        <v/>
      </c>
      <c r="K87" s="577" t="str">
        <f t="shared" ca="1" si="1"/>
        <v/>
      </c>
    </row>
    <row r="88" spans="1:11" x14ac:dyDescent="0.65">
      <c r="A88" s="554" t="str">
        <f ca="1">IF(OR(LEFT(ListAndConversion!BW90,3)="Dil",LEFT(ListAndConversion!BW90,3)="Poo"),ListAndConversion!$BT$4,IF(LEFT(ListAndConversion!BW90,3)="Sou",INDEX(ListAndConversion!$AT$4:$AV$387,MATCH(ListAndConversion!BV90,ListAndConversion!$AV$4:$AV$387,0),1),""))</f>
        <v/>
      </c>
      <c r="B88" s="555" t="str">
        <f ca="1">IF(OR(LEFT(ListAndConversion!BW90,3)="Dil",LEFT(ListAndConversion!BW90,3)="Poo"),ListAndConversion!BU90,IF(LEFT(ListAndConversion!BW90,3)="Sou",INDEX(ListAndConversion!$AT$4:$AV$387,MATCH(ListAndConversion!BV90,ListAndConversion!$AV$4:$AV$387,0),2),""))</f>
        <v/>
      </c>
      <c r="C88" s="555" t="str">
        <f ca="1">IF(ListAndConversion!BZ90&lt;&gt;"-",ListAndConversion!BZ90,"")</f>
        <v/>
      </c>
      <c r="D88" s="555" t="str">
        <f ca="1">IF(ListAndConversion!BW90&lt;&gt;"-",ListAndConversion!BW90,"")</f>
        <v/>
      </c>
      <c r="E88" s="555" t="str">
        <f ca="1">IF(ListAndConversion!BX90&lt;&gt;"-",ListAndConversion!BX90,"")</f>
        <v/>
      </c>
      <c r="F88" s="565" t="str">
        <f ca="1">IF(ListAndConversion!BY90&lt;&gt;"-",ListAndConversion!BY90,"")</f>
        <v/>
      </c>
      <c r="G88" s="565" t="str">
        <f ca="1">IF(ListAndConversion!CB90&lt;&gt;"-",ListAndConversion!CB90,"")</f>
        <v/>
      </c>
      <c r="H88" s="565" t="str">
        <f ca="1">IF(ListAndConversion!CC90&lt;&gt;"-",ListAndConversion!CC90,"")</f>
        <v/>
      </c>
      <c r="I88" s="565" t="str">
        <f ca="1">IF(ListAndConversion!CC90&lt;&gt;"-","Microfuge1","")</f>
        <v/>
      </c>
      <c r="J88" s="583" t="str">
        <f ca="1">IF(ListAndConversion!CD90&lt;&gt;"-",ListAndConversion!CD90,"")</f>
        <v/>
      </c>
      <c r="K88" s="577" t="str">
        <f t="shared" ca="1" si="1"/>
        <v/>
      </c>
    </row>
    <row r="89" spans="1:11" x14ac:dyDescent="0.65">
      <c r="A89" s="554" t="str">
        <f ca="1">IF(OR(LEFT(ListAndConversion!BW91,3)="Dil",LEFT(ListAndConversion!BW91,3)="Poo"),ListAndConversion!$BT$4,IF(LEFT(ListAndConversion!BW91,3)="Sou",INDEX(ListAndConversion!$AT$4:$AV$387,MATCH(ListAndConversion!BV91,ListAndConversion!$AV$4:$AV$387,0),1),""))</f>
        <v/>
      </c>
      <c r="B89" s="555" t="str">
        <f ca="1">IF(OR(LEFT(ListAndConversion!BW91,3)="Dil",LEFT(ListAndConversion!BW91,3)="Poo"),ListAndConversion!BU91,IF(LEFT(ListAndConversion!BW91,3)="Sou",INDEX(ListAndConversion!$AT$4:$AV$387,MATCH(ListAndConversion!BV91,ListAndConversion!$AV$4:$AV$387,0),2),""))</f>
        <v/>
      </c>
      <c r="C89" s="555" t="str">
        <f ca="1">IF(ListAndConversion!BZ91&lt;&gt;"-",ListAndConversion!BZ91,"")</f>
        <v/>
      </c>
      <c r="D89" s="555" t="str">
        <f ca="1">IF(ListAndConversion!BW91&lt;&gt;"-",ListAndConversion!BW91,"")</f>
        <v/>
      </c>
      <c r="E89" s="555" t="str">
        <f ca="1">IF(ListAndConversion!BX91&lt;&gt;"-",ListAndConversion!BX91,"")</f>
        <v/>
      </c>
      <c r="F89" s="565" t="str">
        <f ca="1">IF(ListAndConversion!BY91&lt;&gt;"-",ListAndConversion!BY91,"")</f>
        <v/>
      </c>
      <c r="G89" s="565" t="str">
        <f ca="1">IF(ListAndConversion!CB91&lt;&gt;"-",ListAndConversion!CB91,"")</f>
        <v/>
      </c>
      <c r="H89" s="565" t="str">
        <f ca="1">IF(ListAndConversion!CC91&lt;&gt;"-",ListAndConversion!CC91,"")</f>
        <v/>
      </c>
      <c r="I89" s="565" t="str">
        <f ca="1">IF(ListAndConversion!CC91&lt;&gt;"-","Microfuge1","")</f>
        <v/>
      </c>
      <c r="J89" s="583" t="str">
        <f ca="1">IF(ListAndConversion!CD91&lt;&gt;"-",ListAndConversion!CD91,"")</f>
        <v/>
      </c>
      <c r="K89" s="577" t="str">
        <f t="shared" ca="1" si="1"/>
        <v/>
      </c>
    </row>
    <row r="90" spans="1:11" x14ac:dyDescent="0.65">
      <c r="A90" s="554" t="str">
        <f ca="1">IF(OR(LEFT(ListAndConversion!BW92,3)="Dil",LEFT(ListAndConversion!BW92,3)="Poo"),ListAndConversion!$BT$4,IF(LEFT(ListAndConversion!BW92,3)="Sou",INDEX(ListAndConversion!$AT$4:$AV$387,MATCH(ListAndConversion!BV92,ListAndConversion!$AV$4:$AV$387,0),1),""))</f>
        <v/>
      </c>
      <c r="B90" s="555" t="str">
        <f ca="1">IF(OR(LEFT(ListAndConversion!BW92,3)="Dil",LEFT(ListAndConversion!BW92,3)="Poo"),ListAndConversion!BU92,IF(LEFT(ListAndConversion!BW92,3)="Sou",INDEX(ListAndConversion!$AT$4:$AV$387,MATCH(ListAndConversion!BV92,ListAndConversion!$AV$4:$AV$387,0),2),""))</f>
        <v/>
      </c>
      <c r="C90" s="555" t="str">
        <f ca="1">IF(ListAndConversion!BZ92&lt;&gt;"-",ListAndConversion!BZ92,"")</f>
        <v/>
      </c>
      <c r="D90" s="555" t="str">
        <f ca="1">IF(ListAndConversion!BW92&lt;&gt;"-",ListAndConversion!BW92,"")</f>
        <v/>
      </c>
      <c r="E90" s="555" t="str">
        <f ca="1">IF(ListAndConversion!BX92&lt;&gt;"-",ListAndConversion!BX92,"")</f>
        <v/>
      </c>
      <c r="F90" s="565" t="str">
        <f ca="1">IF(ListAndConversion!BY92&lt;&gt;"-",ListAndConversion!BY92,"")</f>
        <v/>
      </c>
      <c r="G90" s="565" t="str">
        <f ca="1">IF(ListAndConversion!CB92&lt;&gt;"-",ListAndConversion!CB92,"")</f>
        <v/>
      </c>
      <c r="H90" s="565" t="str">
        <f ca="1">IF(ListAndConversion!CC92&lt;&gt;"-",ListAndConversion!CC92,"")</f>
        <v/>
      </c>
      <c r="I90" s="565" t="str">
        <f ca="1">IF(ListAndConversion!CC92&lt;&gt;"-","Microfuge1","")</f>
        <v/>
      </c>
      <c r="J90" s="583" t="str">
        <f ca="1">IF(ListAndConversion!CD92&lt;&gt;"-",ListAndConversion!CD92,"")</f>
        <v/>
      </c>
      <c r="K90" s="577" t="str">
        <f t="shared" ca="1" si="1"/>
        <v/>
      </c>
    </row>
    <row r="91" spans="1:11" x14ac:dyDescent="0.65">
      <c r="A91" s="554" t="str">
        <f ca="1">IF(OR(LEFT(ListAndConversion!BW93,3)="Dil",LEFT(ListAndConversion!BW93,3)="Poo"),ListAndConversion!$BT$4,IF(LEFT(ListAndConversion!BW93,3)="Sou",INDEX(ListAndConversion!$AT$4:$AV$387,MATCH(ListAndConversion!BV93,ListAndConversion!$AV$4:$AV$387,0),1),""))</f>
        <v/>
      </c>
      <c r="B91" s="555" t="str">
        <f ca="1">IF(OR(LEFT(ListAndConversion!BW93,3)="Dil",LEFT(ListAndConversion!BW93,3)="Poo"),ListAndConversion!BU93,IF(LEFT(ListAndConversion!BW93,3)="Sou",INDEX(ListAndConversion!$AT$4:$AV$387,MATCH(ListAndConversion!BV93,ListAndConversion!$AV$4:$AV$387,0),2),""))</f>
        <v/>
      </c>
      <c r="C91" s="555" t="str">
        <f ca="1">IF(ListAndConversion!BZ93&lt;&gt;"-",ListAndConversion!BZ93,"")</f>
        <v/>
      </c>
      <c r="D91" s="555" t="str">
        <f ca="1">IF(ListAndConversion!BW93&lt;&gt;"-",ListAndConversion!BW93,"")</f>
        <v/>
      </c>
      <c r="E91" s="555" t="str">
        <f ca="1">IF(ListAndConversion!BX93&lt;&gt;"-",ListAndConversion!BX93,"")</f>
        <v/>
      </c>
      <c r="F91" s="565" t="str">
        <f ca="1">IF(ListAndConversion!BY93&lt;&gt;"-",ListAndConversion!BY93,"")</f>
        <v/>
      </c>
      <c r="G91" s="565" t="str">
        <f ca="1">IF(ListAndConversion!CB93&lt;&gt;"-",ListAndConversion!CB93,"")</f>
        <v/>
      </c>
      <c r="H91" s="565" t="str">
        <f ca="1">IF(ListAndConversion!CC93&lt;&gt;"-",ListAndConversion!CC93,"")</f>
        <v/>
      </c>
      <c r="I91" s="565" t="str">
        <f ca="1">IF(ListAndConversion!CC93&lt;&gt;"-","Microfuge1","")</f>
        <v/>
      </c>
      <c r="J91" s="583" t="str">
        <f ca="1">IF(ListAndConversion!CD93&lt;&gt;"-",ListAndConversion!CD93,"")</f>
        <v/>
      </c>
      <c r="K91" s="577" t="str">
        <f t="shared" ca="1" si="1"/>
        <v/>
      </c>
    </row>
    <row r="92" spans="1:11" x14ac:dyDescent="0.65">
      <c r="A92" s="554" t="str">
        <f ca="1">IF(OR(LEFT(ListAndConversion!BW94,3)="Dil",LEFT(ListAndConversion!BW94,3)="Poo"),ListAndConversion!$BT$4,IF(LEFT(ListAndConversion!BW94,3)="Sou",INDEX(ListAndConversion!$AT$4:$AV$387,MATCH(ListAndConversion!BV94,ListAndConversion!$AV$4:$AV$387,0),1),""))</f>
        <v/>
      </c>
      <c r="B92" s="555" t="str">
        <f ca="1">IF(OR(LEFT(ListAndConversion!BW94,3)="Dil",LEFT(ListAndConversion!BW94,3)="Poo"),ListAndConversion!BU94,IF(LEFT(ListAndConversion!BW94,3)="Sou",INDEX(ListAndConversion!$AT$4:$AV$387,MATCH(ListAndConversion!BV94,ListAndConversion!$AV$4:$AV$387,0),2),""))</f>
        <v/>
      </c>
      <c r="C92" s="555" t="str">
        <f ca="1">IF(ListAndConversion!BZ94&lt;&gt;"-",ListAndConversion!BZ94,"")</f>
        <v/>
      </c>
      <c r="D92" s="555" t="str">
        <f ca="1">IF(ListAndConversion!BW94&lt;&gt;"-",ListAndConversion!BW94,"")</f>
        <v/>
      </c>
      <c r="E92" s="555" t="str">
        <f ca="1">IF(ListAndConversion!BX94&lt;&gt;"-",ListAndConversion!BX94,"")</f>
        <v/>
      </c>
      <c r="F92" s="565" t="str">
        <f ca="1">IF(ListAndConversion!BY94&lt;&gt;"-",ListAndConversion!BY94,"")</f>
        <v/>
      </c>
      <c r="G92" s="565" t="str">
        <f ca="1">IF(ListAndConversion!CB94&lt;&gt;"-",ListAndConversion!CB94,"")</f>
        <v/>
      </c>
      <c r="H92" s="565" t="str">
        <f ca="1">IF(ListAndConversion!CC94&lt;&gt;"-",ListAndConversion!CC94,"")</f>
        <v/>
      </c>
      <c r="I92" s="565" t="str">
        <f ca="1">IF(ListAndConversion!CC94&lt;&gt;"-","Microfuge1","")</f>
        <v/>
      </c>
      <c r="J92" s="583" t="str">
        <f ca="1">IF(ListAndConversion!CD94&lt;&gt;"-",ListAndConversion!CD94,"")</f>
        <v/>
      </c>
      <c r="K92" s="577" t="str">
        <f t="shared" ca="1" si="1"/>
        <v/>
      </c>
    </row>
    <row r="93" spans="1:11" x14ac:dyDescent="0.65">
      <c r="A93" s="554" t="str">
        <f ca="1">IF(OR(LEFT(ListAndConversion!BW95,3)="Dil",LEFT(ListAndConversion!BW95,3)="Poo"),ListAndConversion!$BT$4,IF(LEFT(ListAndConversion!BW95,3)="Sou",INDEX(ListAndConversion!$AT$4:$AV$387,MATCH(ListAndConversion!BV95,ListAndConversion!$AV$4:$AV$387,0),1),""))</f>
        <v/>
      </c>
      <c r="B93" s="555" t="str">
        <f ca="1">IF(OR(LEFT(ListAndConversion!BW95,3)="Dil",LEFT(ListAndConversion!BW95,3)="Poo"),ListAndConversion!BU95,IF(LEFT(ListAndConversion!BW95,3)="Sou",INDEX(ListAndConversion!$AT$4:$AV$387,MATCH(ListAndConversion!BV95,ListAndConversion!$AV$4:$AV$387,0),2),""))</f>
        <v/>
      </c>
      <c r="C93" s="555" t="str">
        <f ca="1">IF(ListAndConversion!BZ95&lt;&gt;"-",ListAndConversion!BZ95,"")</f>
        <v/>
      </c>
      <c r="D93" s="555" t="str">
        <f ca="1">IF(ListAndConversion!BW95&lt;&gt;"-",ListAndConversion!BW95,"")</f>
        <v/>
      </c>
      <c r="E93" s="555" t="str">
        <f ca="1">IF(ListAndConversion!BX95&lt;&gt;"-",ListAndConversion!BX95,"")</f>
        <v/>
      </c>
      <c r="F93" s="565" t="str">
        <f ca="1">IF(ListAndConversion!BY95&lt;&gt;"-",ListAndConversion!BY95,"")</f>
        <v/>
      </c>
      <c r="G93" s="565" t="str">
        <f ca="1">IF(ListAndConversion!CB95&lt;&gt;"-",ListAndConversion!CB95,"")</f>
        <v/>
      </c>
      <c r="H93" s="565" t="str">
        <f ca="1">IF(ListAndConversion!CC95&lt;&gt;"-",ListAndConversion!CC95,"")</f>
        <v/>
      </c>
      <c r="I93" s="565" t="str">
        <f ca="1">IF(ListAndConversion!CC95&lt;&gt;"-","Microfuge1","")</f>
        <v/>
      </c>
      <c r="J93" s="583" t="str">
        <f ca="1">IF(ListAndConversion!CD95&lt;&gt;"-",ListAndConversion!CD95,"")</f>
        <v/>
      </c>
      <c r="K93" s="577" t="str">
        <f t="shared" ca="1" si="1"/>
        <v/>
      </c>
    </row>
    <row r="94" spans="1:11" x14ac:dyDescent="0.65">
      <c r="A94" s="554" t="str">
        <f ca="1">IF(OR(LEFT(ListAndConversion!BW96,3)="Dil",LEFT(ListAndConversion!BW96,3)="Poo"),ListAndConversion!$BT$4,IF(LEFT(ListAndConversion!BW96,3)="Sou",INDEX(ListAndConversion!$AT$4:$AV$387,MATCH(ListAndConversion!BV96,ListAndConversion!$AV$4:$AV$387,0),1),""))</f>
        <v/>
      </c>
      <c r="B94" s="555" t="str">
        <f ca="1">IF(OR(LEFT(ListAndConversion!BW96,3)="Dil",LEFT(ListAndConversion!BW96,3)="Poo"),ListAndConversion!BU96,IF(LEFT(ListAndConversion!BW96,3)="Sou",INDEX(ListAndConversion!$AT$4:$AV$387,MATCH(ListAndConversion!BV96,ListAndConversion!$AV$4:$AV$387,0),2),""))</f>
        <v/>
      </c>
      <c r="C94" s="555" t="str">
        <f ca="1">IF(ListAndConversion!BZ96&lt;&gt;"-",ListAndConversion!BZ96,"")</f>
        <v/>
      </c>
      <c r="D94" s="555" t="str">
        <f ca="1">IF(ListAndConversion!BW96&lt;&gt;"-",ListAndConversion!BW96,"")</f>
        <v/>
      </c>
      <c r="E94" s="555" t="str">
        <f ca="1">IF(ListAndConversion!BX96&lt;&gt;"-",ListAndConversion!BX96,"")</f>
        <v/>
      </c>
      <c r="F94" s="565" t="str">
        <f ca="1">IF(ListAndConversion!BY96&lt;&gt;"-",ListAndConversion!BY96,"")</f>
        <v/>
      </c>
      <c r="G94" s="565" t="str">
        <f ca="1">IF(ListAndConversion!CB96&lt;&gt;"-",ListAndConversion!CB96,"")</f>
        <v/>
      </c>
      <c r="H94" s="565" t="str">
        <f ca="1">IF(ListAndConversion!CC96&lt;&gt;"-",ListAndConversion!CC96,"")</f>
        <v/>
      </c>
      <c r="I94" s="565" t="str">
        <f ca="1">IF(ListAndConversion!CC96&lt;&gt;"-","Microfuge1","")</f>
        <v/>
      </c>
      <c r="J94" s="583" t="str">
        <f ca="1">IF(ListAndConversion!CD96&lt;&gt;"-",ListAndConversion!CD96,"")</f>
        <v/>
      </c>
      <c r="K94" s="577" t="str">
        <f t="shared" ca="1" si="1"/>
        <v/>
      </c>
    </row>
    <row r="95" spans="1:11" x14ac:dyDescent="0.65">
      <c r="A95" s="554" t="str">
        <f ca="1">IF(OR(LEFT(ListAndConversion!BW97,3)="Dil",LEFT(ListAndConversion!BW97,3)="Poo"),ListAndConversion!$BT$4,IF(LEFT(ListAndConversion!BW97,3)="Sou",INDEX(ListAndConversion!$AT$4:$AV$387,MATCH(ListAndConversion!BV97,ListAndConversion!$AV$4:$AV$387,0),1),""))</f>
        <v/>
      </c>
      <c r="B95" s="555" t="str">
        <f ca="1">IF(OR(LEFT(ListAndConversion!BW97,3)="Dil",LEFT(ListAndConversion!BW97,3)="Poo"),ListAndConversion!BU97,IF(LEFT(ListAndConversion!BW97,3)="Sou",INDEX(ListAndConversion!$AT$4:$AV$387,MATCH(ListAndConversion!BV97,ListAndConversion!$AV$4:$AV$387,0),2),""))</f>
        <v/>
      </c>
      <c r="C95" s="555" t="str">
        <f ca="1">IF(ListAndConversion!BZ97&lt;&gt;"-",ListAndConversion!BZ97,"")</f>
        <v/>
      </c>
      <c r="D95" s="555" t="str">
        <f ca="1">IF(ListAndConversion!BW97&lt;&gt;"-",ListAndConversion!BW97,"")</f>
        <v/>
      </c>
      <c r="E95" s="555" t="str">
        <f ca="1">IF(ListAndConversion!BX97&lt;&gt;"-",ListAndConversion!BX97,"")</f>
        <v/>
      </c>
      <c r="F95" s="565" t="str">
        <f ca="1">IF(ListAndConversion!BY97&lt;&gt;"-",ListAndConversion!BY97,"")</f>
        <v/>
      </c>
      <c r="G95" s="565" t="str">
        <f ca="1">IF(ListAndConversion!CB97&lt;&gt;"-",ListAndConversion!CB97,"")</f>
        <v/>
      </c>
      <c r="H95" s="565" t="str">
        <f ca="1">IF(ListAndConversion!CC97&lt;&gt;"-",ListAndConversion!CC97,"")</f>
        <v/>
      </c>
      <c r="I95" s="565" t="str">
        <f ca="1">IF(ListAndConversion!CC97&lt;&gt;"-","Microfuge1","")</f>
        <v/>
      </c>
      <c r="J95" s="583" t="str">
        <f ca="1">IF(ListAndConversion!CD97&lt;&gt;"-",ListAndConversion!CD97,"")</f>
        <v/>
      </c>
      <c r="K95" s="577" t="str">
        <f t="shared" ca="1" si="1"/>
        <v/>
      </c>
    </row>
    <row r="96" spans="1:11" x14ac:dyDescent="0.65">
      <c r="A96" s="554" t="str">
        <f ca="1">IF(OR(LEFT(ListAndConversion!BW98,3)="Dil",LEFT(ListAndConversion!BW98,3)="Poo"),ListAndConversion!$BT$4,IF(LEFT(ListAndConversion!BW98,3)="Sou",INDEX(ListAndConversion!$AT$4:$AV$387,MATCH(ListAndConversion!BV98,ListAndConversion!$AV$4:$AV$387,0),1),""))</f>
        <v/>
      </c>
      <c r="B96" s="555" t="str">
        <f ca="1">IF(OR(LEFT(ListAndConversion!BW98,3)="Dil",LEFT(ListAndConversion!BW98,3)="Poo"),ListAndConversion!BU98,IF(LEFT(ListAndConversion!BW98,3)="Sou",INDEX(ListAndConversion!$AT$4:$AV$387,MATCH(ListAndConversion!BV98,ListAndConversion!$AV$4:$AV$387,0),2),""))</f>
        <v/>
      </c>
      <c r="C96" s="555" t="str">
        <f ca="1">IF(ListAndConversion!BZ98&lt;&gt;"-",ListAndConversion!BZ98,"")</f>
        <v/>
      </c>
      <c r="D96" s="555" t="str">
        <f ca="1">IF(ListAndConversion!BW98&lt;&gt;"-",ListAndConversion!BW98,"")</f>
        <v/>
      </c>
      <c r="E96" s="555" t="str">
        <f ca="1">IF(ListAndConversion!BX98&lt;&gt;"-",ListAndConversion!BX98,"")</f>
        <v/>
      </c>
      <c r="F96" s="565" t="str">
        <f ca="1">IF(ListAndConversion!BY98&lt;&gt;"-",ListAndConversion!BY98,"")</f>
        <v/>
      </c>
      <c r="G96" s="565" t="str">
        <f ca="1">IF(ListAndConversion!CB98&lt;&gt;"-",ListAndConversion!CB98,"")</f>
        <v/>
      </c>
      <c r="H96" s="565" t="str">
        <f ca="1">IF(ListAndConversion!CC98&lt;&gt;"-",ListAndConversion!CC98,"")</f>
        <v/>
      </c>
      <c r="I96" s="565" t="str">
        <f ca="1">IF(ListAndConversion!CC98&lt;&gt;"-","Microfuge1","")</f>
        <v/>
      </c>
      <c r="J96" s="583" t="str">
        <f ca="1">IF(ListAndConversion!CD98&lt;&gt;"-",ListAndConversion!CD98,"")</f>
        <v/>
      </c>
      <c r="K96" s="577" t="str">
        <f t="shared" ca="1" si="1"/>
        <v/>
      </c>
    </row>
    <row r="97" spans="1:11" x14ac:dyDescent="0.65">
      <c r="A97" s="554" t="str">
        <f ca="1">IF(OR(LEFT(ListAndConversion!BW99,3)="Dil",LEFT(ListAndConversion!BW99,3)="Poo"),ListAndConversion!$BT$4,IF(LEFT(ListAndConversion!BW99,3)="Sou",INDEX(ListAndConversion!$AT$4:$AV$387,MATCH(ListAndConversion!BV99,ListAndConversion!$AV$4:$AV$387,0),1),""))</f>
        <v/>
      </c>
      <c r="B97" s="555" t="str">
        <f ca="1">IF(OR(LEFT(ListAndConversion!BW99,3)="Dil",LEFT(ListAndConversion!BW99,3)="Poo"),ListAndConversion!BU99,IF(LEFT(ListAndConversion!BW99,3)="Sou",INDEX(ListAndConversion!$AT$4:$AV$387,MATCH(ListAndConversion!BV99,ListAndConversion!$AV$4:$AV$387,0),2),""))</f>
        <v/>
      </c>
      <c r="C97" s="555" t="str">
        <f ca="1">IF(ListAndConversion!BZ99&lt;&gt;"-",ListAndConversion!BZ99,"")</f>
        <v/>
      </c>
      <c r="D97" s="555" t="str">
        <f ca="1">IF(ListAndConversion!BW99&lt;&gt;"-",ListAndConversion!BW99,"")</f>
        <v/>
      </c>
      <c r="E97" s="555" t="str">
        <f ca="1">IF(ListAndConversion!BX99&lt;&gt;"-",ListAndConversion!BX99,"")</f>
        <v/>
      </c>
      <c r="F97" s="565" t="str">
        <f ca="1">IF(ListAndConversion!BY99&lt;&gt;"-",ListAndConversion!BY99,"")</f>
        <v/>
      </c>
      <c r="G97" s="565" t="str">
        <f ca="1">IF(ListAndConversion!CB99&lt;&gt;"-",ListAndConversion!CB99,"")</f>
        <v/>
      </c>
      <c r="H97" s="565" t="str">
        <f ca="1">IF(ListAndConversion!CC99&lt;&gt;"-",ListAndConversion!CC99,"")</f>
        <v/>
      </c>
      <c r="I97" s="565" t="str">
        <f ca="1">IF(ListAndConversion!CC99&lt;&gt;"-","Microfuge1","")</f>
        <v/>
      </c>
      <c r="J97" s="583" t="str">
        <f ca="1">IF(ListAndConversion!CD99&lt;&gt;"-",ListAndConversion!CD99,"")</f>
        <v/>
      </c>
      <c r="K97" s="577" t="str">
        <f t="shared" ca="1" si="1"/>
        <v/>
      </c>
    </row>
    <row r="98" spans="1:11" x14ac:dyDescent="0.65">
      <c r="A98" s="554" t="str">
        <f ca="1">IF(OR(LEFT(ListAndConversion!BW100,3)="Dil",LEFT(ListAndConversion!BW100,3)="Poo"),ListAndConversion!$BT$4,IF(LEFT(ListAndConversion!BW100,3)="Sou",INDEX(ListAndConversion!$AT$4:$AV$387,MATCH(ListAndConversion!BV100,ListAndConversion!$AV$4:$AV$387,0),1),""))</f>
        <v/>
      </c>
      <c r="B98" s="555" t="str">
        <f ca="1">IF(OR(LEFT(ListAndConversion!BW100,3)="Dil",LEFT(ListAndConversion!BW100,3)="Poo"),ListAndConversion!BU100,IF(LEFT(ListAndConversion!BW100,3)="Sou",INDEX(ListAndConversion!$AT$4:$AV$387,MATCH(ListAndConversion!BV100,ListAndConversion!$AV$4:$AV$387,0),2),""))</f>
        <v/>
      </c>
      <c r="C98" s="555" t="str">
        <f ca="1">IF(ListAndConversion!BZ100&lt;&gt;"-",ListAndConversion!BZ100,"")</f>
        <v/>
      </c>
      <c r="D98" s="555" t="str">
        <f ca="1">IF(ListAndConversion!BW100&lt;&gt;"-",ListAndConversion!BW100,"")</f>
        <v/>
      </c>
      <c r="E98" s="555" t="str">
        <f ca="1">IF(ListAndConversion!BX100&lt;&gt;"-",ListAndConversion!BX100,"")</f>
        <v/>
      </c>
      <c r="F98" s="565" t="str">
        <f ca="1">IF(ListAndConversion!BY100&lt;&gt;"-",ListAndConversion!BY100,"")</f>
        <v/>
      </c>
      <c r="G98" s="565" t="str">
        <f ca="1">IF(ListAndConversion!CB100&lt;&gt;"-",ListAndConversion!CB100,"")</f>
        <v/>
      </c>
      <c r="H98" s="565" t="str">
        <f ca="1">IF(ListAndConversion!CC100&lt;&gt;"-",ListAndConversion!CC100,"")</f>
        <v/>
      </c>
      <c r="I98" s="565" t="str">
        <f ca="1">IF(ListAndConversion!CC100&lt;&gt;"-","Microfuge1","")</f>
        <v/>
      </c>
      <c r="J98" s="583" t="str">
        <f ca="1">IF(ListAndConversion!CD100&lt;&gt;"-",ListAndConversion!CD100,"")</f>
        <v/>
      </c>
      <c r="K98" s="577" t="str">
        <f t="shared" ca="1" si="1"/>
        <v/>
      </c>
    </row>
    <row r="99" spans="1:11" x14ac:dyDescent="0.65">
      <c r="A99" s="554" t="str">
        <f ca="1">IF(OR(LEFT(ListAndConversion!BW101,3)="Dil",LEFT(ListAndConversion!BW101,3)="Poo"),ListAndConversion!$BT$4,IF(LEFT(ListAndConversion!BW101,3)="Sou",INDEX(ListAndConversion!$AT$4:$AV$387,MATCH(ListAndConversion!BV101,ListAndConversion!$AV$4:$AV$387,0),1),""))</f>
        <v/>
      </c>
      <c r="B99" s="555" t="str">
        <f ca="1">IF(OR(LEFT(ListAndConversion!BW101,3)="Dil",LEFT(ListAndConversion!BW101,3)="Poo"),ListAndConversion!BU101,IF(LEFT(ListAndConversion!BW101,3)="Sou",INDEX(ListAndConversion!$AT$4:$AV$387,MATCH(ListAndConversion!BV101,ListAndConversion!$AV$4:$AV$387,0),2),""))</f>
        <v/>
      </c>
      <c r="C99" s="555" t="str">
        <f ca="1">IF(ListAndConversion!BZ101&lt;&gt;"-",ListAndConversion!BZ101,"")</f>
        <v/>
      </c>
      <c r="D99" s="555" t="str">
        <f ca="1">IF(ListAndConversion!BW101&lt;&gt;"-",ListAndConversion!BW101,"")</f>
        <v/>
      </c>
      <c r="E99" s="555" t="str">
        <f ca="1">IF(ListAndConversion!BX101&lt;&gt;"-",ListAndConversion!BX101,"")</f>
        <v/>
      </c>
      <c r="F99" s="565" t="str">
        <f ca="1">IF(ListAndConversion!BY101&lt;&gt;"-",ListAndConversion!BY101,"")</f>
        <v/>
      </c>
      <c r="G99" s="565" t="str">
        <f ca="1">IF(ListAndConversion!CB101&lt;&gt;"-",ListAndConversion!CB101,"")</f>
        <v/>
      </c>
      <c r="H99" s="565" t="str">
        <f ca="1">IF(ListAndConversion!CC101&lt;&gt;"-",ListAndConversion!CC101,"")</f>
        <v/>
      </c>
      <c r="I99" s="565" t="str">
        <f ca="1">IF(ListAndConversion!CC101&lt;&gt;"-","Microfuge1","")</f>
        <v/>
      </c>
      <c r="J99" s="583" t="str">
        <f ca="1">IF(ListAndConversion!CD101&lt;&gt;"-",ListAndConversion!CD101,"")</f>
        <v/>
      </c>
      <c r="K99" s="577" t="str">
        <f t="shared" ca="1" si="1"/>
        <v/>
      </c>
    </row>
    <row r="100" spans="1:11" x14ac:dyDescent="0.65">
      <c r="A100" s="554" t="str">
        <f ca="1">IF(OR(LEFT(ListAndConversion!BW102,3)="Dil",LEFT(ListAndConversion!BW102,3)="Poo"),ListAndConversion!$BT$4,IF(LEFT(ListAndConversion!BW102,3)="Sou",INDEX(ListAndConversion!$AT$4:$AV$387,MATCH(ListAndConversion!BV102,ListAndConversion!$AV$4:$AV$387,0),1),""))</f>
        <v/>
      </c>
      <c r="B100" s="555" t="str">
        <f ca="1">IF(OR(LEFT(ListAndConversion!BW102,3)="Dil",LEFT(ListAndConversion!BW102,3)="Poo"),ListAndConversion!BU102,IF(LEFT(ListAndConversion!BW102,3)="Sou",INDEX(ListAndConversion!$AT$4:$AV$387,MATCH(ListAndConversion!BV102,ListAndConversion!$AV$4:$AV$387,0),2),""))</f>
        <v/>
      </c>
      <c r="C100" s="555" t="str">
        <f ca="1">IF(ListAndConversion!BZ102&lt;&gt;"-",ListAndConversion!BZ102,"")</f>
        <v/>
      </c>
      <c r="D100" s="555" t="str">
        <f ca="1">IF(ListAndConversion!BW102&lt;&gt;"-",ListAndConversion!BW102,"")</f>
        <v/>
      </c>
      <c r="E100" s="555" t="str">
        <f ca="1">IF(ListAndConversion!BX102&lt;&gt;"-",ListAndConversion!BX102,"")</f>
        <v/>
      </c>
      <c r="F100" s="565" t="str">
        <f ca="1">IF(ListAndConversion!BY102&lt;&gt;"-",ListAndConversion!BY102,"")</f>
        <v/>
      </c>
      <c r="G100" s="565" t="str">
        <f ca="1">IF(ListAndConversion!CB102&lt;&gt;"-",ListAndConversion!CB102,"")</f>
        <v/>
      </c>
      <c r="H100" s="565" t="str">
        <f ca="1">IF(ListAndConversion!CC102&lt;&gt;"-",ListAndConversion!CC102,"")</f>
        <v/>
      </c>
      <c r="I100" s="565" t="str">
        <f ca="1">IF(ListAndConversion!CC102&lt;&gt;"-","Microfuge1","")</f>
        <v/>
      </c>
      <c r="J100" s="583" t="str">
        <f ca="1">IF(ListAndConversion!CD102&lt;&gt;"-",ListAndConversion!CD102,"")</f>
        <v/>
      </c>
      <c r="K100" s="577" t="str">
        <f t="shared" ca="1" si="1"/>
        <v/>
      </c>
    </row>
    <row r="101" spans="1:11" x14ac:dyDescent="0.65">
      <c r="A101" s="554" t="str">
        <f ca="1">IF(OR(LEFT(ListAndConversion!BW103,3)="Dil",LEFT(ListAndConversion!BW103,3)="Poo"),ListAndConversion!$BT$4,IF(LEFT(ListAndConversion!BW103,3)="Sou",INDEX(ListAndConversion!$AT$4:$AV$387,MATCH(ListAndConversion!BV103,ListAndConversion!$AV$4:$AV$387,0),1),""))</f>
        <v/>
      </c>
      <c r="B101" s="555" t="str">
        <f ca="1">IF(OR(LEFT(ListAndConversion!BW103,3)="Dil",LEFT(ListAndConversion!BW103,3)="Poo"),ListAndConversion!BU103,IF(LEFT(ListAndConversion!BW103,3)="Sou",INDEX(ListAndConversion!$AT$4:$AV$387,MATCH(ListAndConversion!BV103,ListAndConversion!$AV$4:$AV$387,0),2),""))</f>
        <v/>
      </c>
      <c r="C101" s="555" t="str">
        <f ca="1">IF(ListAndConversion!BZ103&lt;&gt;"-",ListAndConversion!BZ103,"")</f>
        <v/>
      </c>
      <c r="D101" s="555" t="str">
        <f ca="1">IF(ListAndConversion!BW103&lt;&gt;"-",ListAndConversion!BW103,"")</f>
        <v/>
      </c>
      <c r="E101" s="555" t="str">
        <f ca="1">IF(ListAndConversion!BX103&lt;&gt;"-",ListAndConversion!BX103,"")</f>
        <v/>
      </c>
      <c r="F101" s="565" t="str">
        <f ca="1">IF(ListAndConversion!BY103&lt;&gt;"-",ListAndConversion!BY103,"")</f>
        <v/>
      </c>
      <c r="G101" s="565" t="str">
        <f ca="1">IF(ListAndConversion!CB103&lt;&gt;"-",ListAndConversion!CB103,"")</f>
        <v/>
      </c>
      <c r="H101" s="565" t="str">
        <f ca="1">IF(ListAndConversion!CC103&lt;&gt;"-",ListAndConversion!CC103,"")</f>
        <v/>
      </c>
      <c r="I101" s="565" t="str">
        <f ca="1">IF(ListAndConversion!CC103&lt;&gt;"-","Microfuge1","")</f>
        <v/>
      </c>
      <c r="J101" s="583" t="str">
        <f ca="1">IF(ListAndConversion!CD103&lt;&gt;"-",ListAndConversion!CD103,"")</f>
        <v/>
      </c>
      <c r="K101" s="577" t="str">
        <f t="shared" ca="1" si="1"/>
        <v/>
      </c>
    </row>
    <row r="102" spans="1:11" x14ac:dyDescent="0.65">
      <c r="A102" s="554" t="str">
        <f ca="1">IF(OR(LEFT(ListAndConversion!BW104,3)="Dil",LEFT(ListAndConversion!BW104,3)="Poo"),ListAndConversion!$BT$4,IF(LEFT(ListAndConversion!BW104,3)="Sou",INDEX(ListAndConversion!$AT$4:$AV$387,MATCH(ListAndConversion!BV104,ListAndConversion!$AV$4:$AV$387,0),1),""))</f>
        <v/>
      </c>
      <c r="B102" s="555" t="str">
        <f ca="1">IF(OR(LEFT(ListAndConversion!BW104,3)="Dil",LEFT(ListAndConversion!BW104,3)="Poo"),ListAndConversion!BU104,IF(LEFT(ListAndConversion!BW104,3)="Sou",INDEX(ListAndConversion!$AT$4:$AV$387,MATCH(ListAndConversion!BV104,ListAndConversion!$AV$4:$AV$387,0),2),""))</f>
        <v/>
      </c>
      <c r="C102" s="555" t="str">
        <f ca="1">IF(ListAndConversion!BZ104&lt;&gt;"-",ListAndConversion!BZ104,"")</f>
        <v/>
      </c>
      <c r="D102" s="555" t="str">
        <f ca="1">IF(ListAndConversion!BW104&lt;&gt;"-",ListAndConversion!BW104,"")</f>
        <v/>
      </c>
      <c r="E102" s="555" t="str">
        <f ca="1">IF(ListAndConversion!BX104&lt;&gt;"-",ListAndConversion!BX104,"")</f>
        <v/>
      </c>
      <c r="F102" s="565" t="str">
        <f ca="1">IF(ListAndConversion!BY104&lt;&gt;"-",ListAndConversion!BY104,"")</f>
        <v/>
      </c>
      <c r="G102" s="565" t="str">
        <f ca="1">IF(ListAndConversion!CB104&lt;&gt;"-",ListAndConversion!CB104,"")</f>
        <v/>
      </c>
      <c r="H102" s="565" t="str">
        <f ca="1">IF(ListAndConversion!CC104&lt;&gt;"-",ListAndConversion!CC104,"")</f>
        <v/>
      </c>
      <c r="I102" s="565" t="str">
        <f ca="1">IF(ListAndConversion!CC104&lt;&gt;"-","Microfuge1","")</f>
        <v/>
      </c>
      <c r="J102" s="583" t="str">
        <f ca="1">IF(ListAndConversion!CD104&lt;&gt;"-",ListAndConversion!CD104,"")</f>
        <v/>
      </c>
      <c r="K102" s="577" t="str">
        <f t="shared" ca="1" si="1"/>
        <v/>
      </c>
    </row>
    <row r="103" spans="1:11" x14ac:dyDescent="0.65">
      <c r="A103" s="554" t="str">
        <f ca="1">IF(OR(LEFT(ListAndConversion!BW105,3)="Dil",LEFT(ListAndConversion!BW105,3)="Poo"),ListAndConversion!$BT$4,IF(LEFT(ListAndConversion!BW105,3)="Sou",INDEX(ListAndConversion!$AT$4:$AV$387,MATCH(ListAndConversion!BV105,ListAndConversion!$AV$4:$AV$387,0),1),""))</f>
        <v/>
      </c>
      <c r="B103" s="555" t="str">
        <f ca="1">IF(OR(LEFT(ListAndConversion!BW105,3)="Dil",LEFT(ListAndConversion!BW105,3)="Poo"),ListAndConversion!BU105,IF(LEFT(ListAndConversion!BW105,3)="Sou",INDEX(ListAndConversion!$AT$4:$AV$387,MATCH(ListAndConversion!BV105,ListAndConversion!$AV$4:$AV$387,0),2),""))</f>
        <v/>
      </c>
      <c r="C103" s="555" t="str">
        <f ca="1">IF(ListAndConversion!BZ105&lt;&gt;"-",ListAndConversion!BZ105,"")</f>
        <v/>
      </c>
      <c r="D103" s="555" t="str">
        <f ca="1">IF(ListAndConversion!BW105&lt;&gt;"-",ListAndConversion!BW105,"")</f>
        <v/>
      </c>
      <c r="E103" s="555" t="str">
        <f ca="1">IF(ListAndConversion!BX105&lt;&gt;"-",ListAndConversion!BX105,"")</f>
        <v/>
      </c>
      <c r="F103" s="565" t="str">
        <f ca="1">IF(ListAndConversion!BY105&lt;&gt;"-",ListAndConversion!BY105,"")</f>
        <v/>
      </c>
      <c r="G103" s="565" t="str">
        <f ca="1">IF(ListAndConversion!CB105&lt;&gt;"-",ListAndConversion!CB105,"")</f>
        <v/>
      </c>
      <c r="H103" s="565" t="str">
        <f ca="1">IF(ListAndConversion!CC105&lt;&gt;"-",ListAndConversion!CC105,"")</f>
        <v/>
      </c>
      <c r="I103" s="565" t="str">
        <f ca="1">IF(ListAndConversion!CC105&lt;&gt;"-","Microfuge1","")</f>
        <v/>
      </c>
      <c r="J103" s="583" t="str">
        <f ca="1">IF(ListAndConversion!CD105&lt;&gt;"-",ListAndConversion!CD105,"")</f>
        <v/>
      </c>
      <c r="K103" s="577" t="str">
        <f t="shared" ca="1" si="1"/>
        <v/>
      </c>
    </row>
    <row r="104" spans="1:11" x14ac:dyDescent="0.65">
      <c r="A104" s="554" t="str">
        <f ca="1">IF(OR(LEFT(ListAndConversion!BW106,3)="Dil",LEFT(ListAndConversion!BW106,3)="Poo"),ListAndConversion!$BT$4,IF(LEFT(ListAndConversion!BW106,3)="Sou",INDEX(ListAndConversion!$AT$4:$AV$387,MATCH(ListAndConversion!BV106,ListAndConversion!$AV$4:$AV$387,0),1),""))</f>
        <v/>
      </c>
      <c r="B104" s="555" t="str">
        <f ca="1">IF(OR(LEFT(ListAndConversion!BW106,3)="Dil",LEFT(ListAndConversion!BW106,3)="Poo"),ListAndConversion!BU106,IF(LEFT(ListAndConversion!BW106,3)="Sou",INDEX(ListAndConversion!$AT$4:$AV$387,MATCH(ListAndConversion!BV106,ListAndConversion!$AV$4:$AV$387,0),2),""))</f>
        <v/>
      </c>
      <c r="C104" s="555" t="str">
        <f ca="1">IF(ListAndConversion!BZ106&lt;&gt;"-",ListAndConversion!BZ106,"")</f>
        <v/>
      </c>
      <c r="D104" s="555" t="str">
        <f ca="1">IF(ListAndConversion!BW106&lt;&gt;"-",ListAndConversion!BW106,"")</f>
        <v/>
      </c>
      <c r="E104" s="555" t="str">
        <f ca="1">IF(ListAndConversion!BX106&lt;&gt;"-",ListAndConversion!BX106,"")</f>
        <v/>
      </c>
      <c r="F104" s="565" t="str">
        <f ca="1">IF(ListAndConversion!BY106&lt;&gt;"-",ListAndConversion!BY106,"")</f>
        <v/>
      </c>
      <c r="G104" s="565" t="str">
        <f ca="1">IF(ListAndConversion!CB106&lt;&gt;"-",ListAndConversion!CB106,"")</f>
        <v/>
      </c>
      <c r="H104" s="565" t="str">
        <f ca="1">IF(ListAndConversion!CC106&lt;&gt;"-",ListAndConversion!CC106,"")</f>
        <v/>
      </c>
      <c r="I104" s="565" t="str">
        <f ca="1">IF(ListAndConversion!CC106&lt;&gt;"-","Microfuge1","")</f>
        <v/>
      </c>
      <c r="J104" s="583" t="str">
        <f ca="1">IF(ListAndConversion!CD106&lt;&gt;"-",ListAndConversion!CD106,"")</f>
        <v/>
      </c>
      <c r="K104" s="577" t="str">
        <f t="shared" ca="1" si="1"/>
        <v/>
      </c>
    </row>
    <row r="105" spans="1:11" x14ac:dyDescent="0.65">
      <c r="A105" s="554" t="str">
        <f ca="1">IF(OR(LEFT(ListAndConversion!BW107,3)="Dil",LEFT(ListAndConversion!BW107,3)="Poo"),ListAndConversion!$BT$4,IF(LEFT(ListAndConversion!BW107,3)="Sou",INDEX(ListAndConversion!$AT$4:$AV$387,MATCH(ListAndConversion!BV107,ListAndConversion!$AV$4:$AV$387,0),1),""))</f>
        <v/>
      </c>
      <c r="B105" s="555" t="str">
        <f ca="1">IF(OR(LEFT(ListAndConversion!BW107,3)="Dil",LEFT(ListAndConversion!BW107,3)="Poo"),ListAndConversion!BU107,IF(LEFT(ListAndConversion!BW107,3)="Sou",INDEX(ListAndConversion!$AT$4:$AV$387,MATCH(ListAndConversion!BV107,ListAndConversion!$AV$4:$AV$387,0),2),""))</f>
        <v/>
      </c>
      <c r="C105" s="555" t="str">
        <f ca="1">IF(ListAndConversion!BZ107&lt;&gt;"-",ListAndConversion!BZ107,"")</f>
        <v/>
      </c>
      <c r="D105" s="555" t="str">
        <f ca="1">IF(ListAndConversion!BW107&lt;&gt;"-",ListAndConversion!BW107,"")</f>
        <v/>
      </c>
      <c r="E105" s="555" t="str">
        <f ca="1">IF(ListAndConversion!BX107&lt;&gt;"-",ListAndConversion!BX107,"")</f>
        <v/>
      </c>
      <c r="F105" s="565" t="str">
        <f ca="1">IF(ListAndConversion!BY107&lt;&gt;"-",ListAndConversion!BY107,"")</f>
        <v/>
      </c>
      <c r="G105" s="565" t="str">
        <f ca="1">IF(ListAndConversion!CB107&lt;&gt;"-",ListAndConversion!CB107,"")</f>
        <v/>
      </c>
      <c r="H105" s="565" t="str">
        <f ca="1">IF(ListAndConversion!CC107&lt;&gt;"-",ListAndConversion!CC107,"")</f>
        <v/>
      </c>
      <c r="I105" s="565" t="str">
        <f ca="1">IF(ListAndConversion!CC107&lt;&gt;"-","Microfuge1","")</f>
        <v/>
      </c>
      <c r="J105" s="583" t="str">
        <f ca="1">IF(ListAndConversion!CD107&lt;&gt;"-",ListAndConversion!CD107,"")</f>
        <v/>
      </c>
      <c r="K105" s="577" t="str">
        <f t="shared" ca="1" si="1"/>
        <v/>
      </c>
    </row>
    <row r="106" spans="1:11" x14ac:dyDescent="0.65">
      <c r="A106" s="554" t="str">
        <f ca="1">IF(OR(LEFT(ListAndConversion!BW108,3)="Dil",LEFT(ListAndConversion!BW108,3)="Poo"),ListAndConversion!$BT$4,IF(LEFT(ListAndConversion!BW108,3)="Sou",INDEX(ListAndConversion!$AT$4:$AV$387,MATCH(ListAndConversion!BV108,ListAndConversion!$AV$4:$AV$387,0),1),""))</f>
        <v/>
      </c>
      <c r="B106" s="555" t="str">
        <f ca="1">IF(OR(LEFT(ListAndConversion!BW108,3)="Dil",LEFT(ListAndConversion!BW108,3)="Poo"),ListAndConversion!BU108,IF(LEFT(ListAndConversion!BW108,3)="Sou",INDEX(ListAndConversion!$AT$4:$AV$387,MATCH(ListAndConversion!BV108,ListAndConversion!$AV$4:$AV$387,0),2),""))</f>
        <v/>
      </c>
      <c r="C106" s="555" t="str">
        <f ca="1">IF(ListAndConversion!BZ108&lt;&gt;"-",ListAndConversion!BZ108,"")</f>
        <v/>
      </c>
      <c r="D106" s="555" t="str">
        <f ca="1">IF(ListAndConversion!BW108&lt;&gt;"-",ListAndConversion!BW108,"")</f>
        <v/>
      </c>
      <c r="E106" s="555" t="str">
        <f ca="1">IF(ListAndConversion!BX108&lt;&gt;"-",ListAndConversion!BX108,"")</f>
        <v/>
      </c>
      <c r="F106" s="565" t="str">
        <f ca="1">IF(ListAndConversion!BY108&lt;&gt;"-",ListAndConversion!BY108,"")</f>
        <v/>
      </c>
      <c r="G106" s="565" t="str">
        <f ca="1">IF(ListAndConversion!CB108&lt;&gt;"-",ListAndConversion!CB108,"")</f>
        <v/>
      </c>
      <c r="H106" s="565" t="str">
        <f ca="1">IF(ListAndConversion!CC108&lt;&gt;"-",ListAndConversion!CC108,"")</f>
        <v/>
      </c>
      <c r="I106" s="565" t="str">
        <f ca="1">IF(ListAndConversion!CC108&lt;&gt;"-","Microfuge1","")</f>
        <v/>
      </c>
      <c r="J106" s="583" t="str">
        <f ca="1">IF(ListAndConversion!CD108&lt;&gt;"-",ListAndConversion!CD108,"")</f>
        <v/>
      </c>
      <c r="K106" s="577" t="str">
        <f t="shared" ca="1" si="1"/>
        <v/>
      </c>
    </row>
    <row r="107" spans="1:11" x14ac:dyDescent="0.65">
      <c r="A107" s="554" t="str">
        <f ca="1">IF(OR(LEFT(ListAndConversion!BW109,3)="Dil",LEFT(ListAndConversion!BW109,3)="Poo"),ListAndConversion!$BT$4,IF(LEFT(ListAndConversion!BW109,3)="Sou",INDEX(ListAndConversion!$AT$4:$AV$387,MATCH(ListAndConversion!BV109,ListAndConversion!$AV$4:$AV$387,0),1),""))</f>
        <v/>
      </c>
      <c r="B107" s="555" t="str">
        <f ca="1">IF(OR(LEFT(ListAndConversion!BW109,3)="Dil",LEFT(ListAndConversion!BW109,3)="Poo"),ListAndConversion!BU109,IF(LEFT(ListAndConversion!BW109,3)="Sou",INDEX(ListAndConversion!$AT$4:$AV$387,MATCH(ListAndConversion!BV109,ListAndConversion!$AV$4:$AV$387,0),2),""))</f>
        <v/>
      </c>
      <c r="C107" s="555" t="str">
        <f ca="1">IF(ListAndConversion!BZ109&lt;&gt;"-",ListAndConversion!BZ109,"")</f>
        <v/>
      </c>
      <c r="D107" s="555" t="str">
        <f ca="1">IF(ListAndConversion!BW109&lt;&gt;"-",ListAndConversion!BW109,"")</f>
        <v/>
      </c>
      <c r="E107" s="555" t="str">
        <f ca="1">IF(ListAndConversion!BX109&lt;&gt;"-",ListAndConversion!BX109,"")</f>
        <v/>
      </c>
      <c r="F107" s="565" t="str">
        <f ca="1">IF(ListAndConversion!BY109&lt;&gt;"-",ListAndConversion!BY109,"")</f>
        <v/>
      </c>
      <c r="G107" s="565" t="str">
        <f ca="1">IF(ListAndConversion!CB109&lt;&gt;"-",ListAndConversion!CB109,"")</f>
        <v/>
      </c>
      <c r="H107" s="565" t="str">
        <f ca="1">IF(ListAndConversion!CC109&lt;&gt;"-",ListAndConversion!CC109,"")</f>
        <v/>
      </c>
      <c r="I107" s="565" t="str">
        <f ca="1">IF(ListAndConversion!CC109&lt;&gt;"-","Microfuge1","")</f>
        <v/>
      </c>
      <c r="J107" s="583" t="str">
        <f ca="1">IF(ListAndConversion!CD109&lt;&gt;"-",ListAndConversion!CD109,"")</f>
        <v/>
      </c>
      <c r="K107" s="577" t="str">
        <f t="shared" ca="1" si="1"/>
        <v/>
      </c>
    </row>
    <row r="108" spans="1:11" x14ac:dyDescent="0.65">
      <c r="A108" s="554" t="str">
        <f ca="1">IF(OR(LEFT(ListAndConversion!BW110,3)="Dil",LEFT(ListAndConversion!BW110,3)="Poo"),ListAndConversion!$BT$4,IF(LEFT(ListAndConversion!BW110,3)="Sou",INDEX(ListAndConversion!$AT$4:$AV$387,MATCH(ListAndConversion!BV110,ListAndConversion!$AV$4:$AV$387,0),1),""))</f>
        <v/>
      </c>
      <c r="B108" s="555" t="str">
        <f ca="1">IF(OR(LEFT(ListAndConversion!BW110,3)="Dil",LEFT(ListAndConversion!BW110,3)="Poo"),ListAndConversion!BU110,IF(LEFT(ListAndConversion!BW110,3)="Sou",INDEX(ListAndConversion!$AT$4:$AV$387,MATCH(ListAndConversion!BV110,ListAndConversion!$AV$4:$AV$387,0),2),""))</f>
        <v/>
      </c>
      <c r="C108" s="555" t="str">
        <f ca="1">IF(ListAndConversion!BZ110&lt;&gt;"-",ListAndConversion!BZ110,"")</f>
        <v/>
      </c>
      <c r="D108" s="555" t="str">
        <f ca="1">IF(ListAndConversion!BW110&lt;&gt;"-",ListAndConversion!BW110,"")</f>
        <v/>
      </c>
      <c r="E108" s="555" t="str">
        <f ca="1">IF(ListAndConversion!BX110&lt;&gt;"-",ListAndConversion!BX110,"")</f>
        <v/>
      </c>
      <c r="F108" s="565" t="str">
        <f ca="1">IF(ListAndConversion!BY110&lt;&gt;"-",ListAndConversion!BY110,"")</f>
        <v/>
      </c>
      <c r="G108" s="565" t="str">
        <f ca="1">IF(ListAndConversion!CB110&lt;&gt;"-",ListAndConversion!CB110,"")</f>
        <v/>
      </c>
      <c r="H108" s="565" t="str">
        <f ca="1">IF(ListAndConversion!CC110&lt;&gt;"-",ListAndConversion!CC110,"")</f>
        <v/>
      </c>
      <c r="I108" s="565" t="str">
        <f ca="1">IF(ListAndConversion!CC110&lt;&gt;"-","Microfuge1","")</f>
        <v/>
      </c>
      <c r="J108" s="583" t="str">
        <f ca="1">IF(ListAndConversion!CD110&lt;&gt;"-",ListAndConversion!CD110,"")</f>
        <v/>
      </c>
      <c r="K108" s="577" t="str">
        <f t="shared" ca="1" si="1"/>
        <v/>
      </c>
    </row>
    <row r="109" spans="1:11" x14ac:dyDescent="0.65">
      <c r="A109" s="554" t="str">
        <f ca="1">IF(OR(LEFT(ListAndConversion!BW111,3)="Dil",LEFT(ListAndConversion!BW111,3)="Poo"),ListAndConversion!$BT$4,IF(LEFT(ListAndConversion!BW111,3)="Sou",INDEX(ListAndConversion!$AT$4:$AV$387,MATCH(ListAndConversion!BV111,ListAndConversion!$AV$4:$AV$387,0),1),""))</f>
        <v/>
      </c>
      <c r="B109" s="555" t="str">
        <f ca="1">IF(OR(LEFT(ListAndConversion!BW111,3)="Dil",LEFT(ListAndConversion!BW111,3)="Poo"),ListAndConversion!BU111,IF(LEFT(ListAndConversion!BW111,3)="Sou",INDEX(ListAndConversion!$AT$4:$AV$387,MATCH(ListAndConversion!BV111,ListAndConversion!$AV$4:$AV$387,0),2),""))</f>
        <v/>
      </c>
      <c r="C109" s="555" t="str">
        <f ca="1">IF(ListAndConversion!BZ111&lt;&gt;"-",ListAndConversion!BZ111,"")</f>
        <v/>
      </c>
      <c r="D109" s="555" t="str">
        <f ca="1">IF(ListAndConversion!BW111&lt;&gt;"-",ListAndConversion!BW111,"")</f>
        <v/>
      </c>
      <c r="E109" s="555" t="str">
        <f ca="1">IF(ListAndConversion!BX111&lt;&gt;"-",ListAndConversion!BX111,"")</f>
        <v/>
      </c>
      <c r="F109" s="565" t="str">
        <f ca="1">IF(ListAndConversion!BY111&lt;&gt;"-",ListAndConversion!BY111,"")</f>
        <v/>
      </c>
      <c r="G109" s="565" t="str">
        <f ca="1">IF(ListAndConversion!CB111&lt;&gt;"-",ListAndConversion!CB111,"")</f>
        <v/>
      </c>
      <c r="H109" s="565" t="str">
        <f ca="1">IF(ListAndConversion!CC111&lt;&gt;"-",ListAndConversion!CC111,"")</f>
        <v/>
      </c>
      <c r="I109" s="565" t="str">
        <f ca="1">IF(ListAndConversion!CC111&lt;&gt;"-","Microfuge1","")</f>
        <v/>
      </c>
      <c r="J109" s="583" t="str">
        <f ca="1">IF(ListAndConversion!CD111&lt;&gt;"-",ListAndConversion!CD111,"")</f>
        <v/>
      </c>
      <c r="K109" s="577" t="str">
        <f t="shared" ca="1" si="1"/>
        <v/>
      </c>
    </row>
    <row r="110" spans="1:11" x14ac:dyDescent="0.65">
      <c r="A110" s="554" t="str">
        <f ca="1">IF(OR(LEFT(ListAndConversion!BW112,3)="Dil",LEFT(ListAndConversion!BW112,3)="Poo"),ListAndConversion!$BT$4,IF(LEFT(ListAndConversion!BW112,3)="Sou",INDEX(ListAndConversion!$AT$4:$AV$387,MATCH(ListAndConversion!BV112,ListAndConversion!$AV$4:$AV$387,0),1),""))</f>
        <v/>
      </c>
      <c r="B110" s="555" t="str">
        <f ca="1">IF(OR(LEFT(ListAndConversion!BW112,3)="Dil",LEFT(ListAndConversion!BW112,3)="Poo"),ListAndConversion!BU112,IF(LEFT(ListAndConversion!BW112,3)="Sou",INDEX(ListAndConversion!$AT$4:$AV$387,MATCH(ListAndConversion!BV112,ListAndConversion!$AV$4:$AV$387,0),2),""))</f>
        <v/>
      </c>
      <c r="C110" s="555" t="str">
        <f ca="1">IF(ListAndConversion!BZ112&lt;&gt;"-",ListAndConversion!BZ112,"")</f>
        <v/>
      </c>
      <c r="D110" s="555" t="str">
        <f ca="1">IF(ListAndConversion!BW112&lt;&gt;"-",ListAndConversion!BW112,"")</f>
        <v/>
      </c>
      <c r="E110" s="555" t="str">
        <f ca="1">IF(ListAndConversion!BX112&lt;&gt;"-",ListAndConversion!BX112,"")</f>
        <v/>
      </c>
      <c r="F110" s="565" t="str">
        <f ca="1">IF(ListAndConversion!BY112&lt;&gt;"-",ListAndConversion!BY112,"")</f>
        <v/>
      </c>
      <c r="G110" s="565" t="str">
        <f ca="1">IF(ListAndConversion!CB112&lt;&gt;"-",ListAndConversion!CB112,"")</f>
        <v/>
      </c>
      <c r="H110" s="565" t="str">
        <f ca="1">IF(ListAndConversion!CC112&lt;&gt;"-",ListAndConversion!CC112,"")</f>
        <v/>
      </c>
      <c r="I110" s="565" t="str">
        <f ca="1">IF(ListAndConversion!CC112&lt;&gt;"-","Microfuge1","")</f>
        <v/>
      </c>
      <c r="J110" s="583" t="str">
        <f ca="1">IF(ListAndConversion!CD112&lt;&gt;"-",ListAndConversion!CD112,"")</f>
        <v/>
      </c>
      <c r="K110" s="577" t="str">
        <f t="shared" ca="1" si="1"/>
        <v/>
      </c>
    </row>
    <row r="111" spans="1:11" x14ac:dyDescent="0.65">
      <c r="A111" s="554" t="str">
        <f ca="1">IF(OR(LEFT(ListAndConversion!BW113,3)="Dil",LEFT(ListAndConversion!BW113,3)="Poo"),ListAndConversion!$BT$4,IF(LEFT(ListAndConversion!BW113,3)="Sou",INDEX(ListAndConversion!$AT$4:$AV$387,MATCH(ListAndConversion!BV113,ListAndConversion!$AV$4:$AV$387,0),1),""))</f>
        <v/>
      </c>
      <c r="B111" s="555" t="str">
        <f ca="1">IF(OR(LEFT(ListAndConversion!BW113,3)="Dil",LEFT(ListAndConversion!BW113,3)="Poo"),ListAndConversion!BU113,IF(LEFT(ListAndConversion!BW113,3)="Sou",INDEX(ListAndConversion!$AT$4:$AV$387,MATCH(ListAndConversion!BV113,ListAndConversion!$AV$4:$AV$387,0),2),""))</f>
        <v/>
      </c>
      <c r="C111" s="555" t="str">
        <f ca="1">IF(ListAndConversion!BZ113&lt;&gt;"-",ListAndConversion!BZ113,"")</f>
        <v/>
      </c>
      <c r="D111" s="555" t="str">
        <f ca="1">IF(ListAndConversion!BW113&lt;&gt;"-",ListAndConversion!BW113,"")</f>
        <v/>
      </c>
      <c r="E111" s="555" t="str">
        <f ca="1">IF(ListAndConversion!BX113&lt;&gt;"-",ListAndConversion!BX113,"")</f>
        <v/>
      </c>
      <c r="F111" s="565" t="str">
        <f ca="1">IF(ListAndConversion!BY113&lt;&gt;"-",ListAndConversion!BY113,"")</f>
        <v/>
      </c>
      <c r="G111" s="565" t="str">
        <f ca="1">IF(ListAndConversion!CB113&lt;&gt;"-",ListAndConversion!CB113,"")</f>
        <v/>
      </c>
      <c r="H111" s="565" t="str">
        <f ca="1">IF(ListAndConversion!CC113&lt;&gt;"-",ListAndConversion!CC113,"")</f>
        <v/>
      </c>
      <c r="I111" s="565" t="str">
        <f ca="1">IF(ListAndConversion!CC113&lt;&gt;"-","Microfuge1","")</f>
        <v/>
      </c>
      <c r="J111" s="583" t="str">
        <f ca="1">IF(ListAndConversion!CD113&lt;&gt;"-",ListAndConversion!CD113,"")</f>
        <v/>
      </c>
      <c r="K111" s="577" t="str">
        <f t="shared" ca="1" si="1"/>
        <v/>
      </c>
    </row>
    <row r="112" spans="1:11" x14ac:dyDescent="0.65">
      <c r="A112" s="554" t="str">
        <f ca="1">IF(OR(LEFT(ListAndConversion!BW114,3)="Dil",LEFT(ListAndConversion!BW114,3)="Poo"),ListAndConversion!$BT$4,IF(LEFT(ListAndConversion!BW114,3)="Sou",INDEX(ListAndConversion!$AT$4:$AV$387,MATCH(ListAndConversion!BV114,ListAndConversion!$AV$4:$AV$387,0),1),""))</f>
        <v/>
      </c>
      <c r="B112" s="555" t="str">
        <f ca="1">IF(OR(LEFT(ListAndConversion!BW114,3)="Dil",LEFT(ListAndConversion!BW114,3)="Poo"),ListAndConversion!BU114,IF(LEFT(ListAndConversion!BW114,3)="Sou",INDEX(ListAndConversion!$AT$4:$AV$387,MATCH(ListAndConversion!BV114,ListAndConversion!$AV$4:$AV$387,0),2),""))</f>
        <v/>
      </c>
      <c r="C112" s="555" t="str">
        <f ca="1">IF(ListAndConversion!BZ114&lt;&gt;"-",ListAndConversion!BZ114,"")</f>
        <v/>
      </c>
      <c r="D112" s="555" t="str">
        <f ca="1">IF(ListAndConversion!BW114&lt;&gt;"-",ListAndConversion!BW114,"")</f>
        <v/>
      </c>
      <c r="E112" s="555" t="str">
        <f ca="1">IF(ListAndConversion!BX114&lt;&gt;"-",ListAndConversion!BX114,"")</f>
        <v/>
      </c>
      <c r="F112" s="565" t="str">
        <f ca="1">IF(ListAndConversion!BY114&lt;&gt;"-",ListAndConversion!BY114,"")</f>
        <v/>
      </c>
      <c r="G112" s="565" t="str">
        <f ca="1">IF(ListAndConversion!CB114&lt;&gt;"-",ListAndConversion!CB114,"")</f>
        <v/>
      </c>
      <c r="H112" s="565" t="str">
        <f ca="1">IF(ListAndConversion!CC114&lt;&gt;"-",ListAndConversion!CC114,"")</f>
        <v/>
      </c>
      <c r="I112" s="565" t="str">
        <f ca="1">IF(ListAndConversion!CC114&lt;&gt;"-","Microfuge1","")</f>
        <v/>
      </c>
      <c r="J112" s="583" t="str">
        <f ca="1">IF(ListAndConversion!CD114&lt;&gt;"-",ListAndConversion!CD114,"")</f>
        <v/>
      </c>
      <c r="K112" s="577" t="str">
        <f t="shared" ca="1" si="1"/>
        <v/>
      </c>
    </row>
    <row r="113" spans="1:11" x14ac:dyDescent="0.65">
      <c r="A113" s="554" t="str">
        <f ca="1">IF(OR(LEFT(ListAndConversion!BW115,3)="Dil",LEFT(ListAndConversion!BW115,3)="Poo"),ListAndConversion!$BT$4,IF(LEFT(ListAndConversion!BW115,3)="Sou",INDEX(ListAndConversion!$AT$4:$AV$387,MATCH(ListAndConversion!BV115,ListAndConversion!$AV$4:$AV$387,0),1),""))</f>
        <v/>
      </c>
      <c r="B113" s="555" t="str">
        <f ca="1">IF(OR(LEFT(ListAndConversion!BW115,3)="Dil",LEFT(ListAndConversion!BW115,3)="Poo"),ListAndConversion!BU115,IF(LEFT(ListAndConversion!BW115,3)="Sou",INDEX(ListAndConversion!$AT$4:$AV$387,MATCH(ListAndConversion!BV115,ListAndConversion!$AV$4:$AV$387,0),2),""))</f>
        <v/>
      </c>
      <c r="C113" s="555" t="str">
        <f ca="1">IF(ListAndConversion!BZ115&lt;&gt;"-",ListAndConversion!BZ115,"")</f>
        <v/>
      </c>
      <c r="D113" s="555" t="str">
        <f ca="1">IF(ListAndConversion!BW115&lt;&gt;"-",ListAndConversion!BW115,"")</f>
        <v/>
      </c>
      <c r="E113" s="555" t="str">
        <f ca="1">IF(ListAndConversion!BX115&lt;&gt;"-",ListAndConversion!BX115,"")</f>
        <v/>
      </c>
      <c r="F113" s="565" t="str">
        <f ca="1">IF(ListAndConversion!BY115&lt;&gt;"-",ListAndConversion!BY115,"")</f>
        <v/>
      </c>
      <c r="G113" s="565" t="str">
        <f ca="1">IF(ListAndConversion!CB115&lt;&gt;"-",ListAndConversion!CB115,"")</f>
        <v/>
      </c>
      <c r="H113" s="565" t="str">
        <f ca="1">IF(ListAndConversion!CC115&lt;&gt;"-",ListAndConversion!CC115,"")</f>
        <v/>
      </c>
      <c r="I113" s="565" t="str">
        <f ca="1">IF(ListAndConversion!CC115&lt;&gt;"-","Microfuge1","")</f>
        <v/>
      </c>
      <c r="J113" s="583" t="str">
        <f ca="1">IF(ListAndConversion!CD115&lt;&gt;"-",ListAndConversion!CD115,"")</f>
        <v/>
      </c>
      <c r="K113" s="577" t="str">
        <f t="shared" ca="1" si="1"/>
        <v/>
      </c>
    </row>
    <row r="114" spans="1:11" x14ac:dyDescent="0.65">
      <c r="A114" s="554" t="str">
        <f ca="1">IF(OR(LEFT(ListAndConversion!BW116,3)="Dil",LEFT(ListAndConversion!BW116,3)="Poo"),ListAndConversion!$BT$4,IF(LEFT(ListAndConversion!BW116,3)="Sou",INDEX(ListAndConversion!$AT$4:$AV$387,MATCH(ListAndConversion!BV116,ListAndConversion!$AV$4:$AV$387,0),1),""))</f>
        <v/>
      </c>
      <c r="B114" s="555" t="str">
        <f ca="1">IF(OR(LEFT(ListAndConversion!BW116,3)="Dil",LEFT(ListAndConversion!BW116,3)="Poo"),ListAndConversion!BU116,IF(LEFT(ListAndConversion!BW116,3)="Sou",INDEX(ListAndConversion!$AT$4:$AV$387,MATCH(ListAndConversion!BV116,ListAndConversion!$AV$4:$AV$387,0),2),""))</f>
        <v/>
      </c>
      <c r="C114" s="555" t="str">
        <f ca="1">IF(ListAndConversion!BZ116&lt;&gt;"-",ListAndConversion!BZ116,"")</f>
        <v/>
      </c>
      <c r="D114" s="555" t="str">
        <f ca="1">IF(ListAndConversion!BW116&lt;&gt;"-",ListAndConversion!BW116,"")</f>
        <v/>
      </c>
      <c r="E114" s="555" t="str">
        <f ca="1">IF(ListAndConversion!BX116&lt;&gt;"-",ListAndConversion!BX116,"")</f>
        <v/>
      </c>
      <c r="F114" s="565" t="str">
        <f ca="1">IF(ListAndConversion!BY116&lt;&gt;"-",ListAndConversion!BY116,"")</f>
        <v/>
      </c>
      <c r="G114" s="565" t="str">
        <f ca="1">IF(ListAndConversion!CB116&lt;&gt;"-",ListAndConversion!CB116,"")</f>
        <v/>
      </c>
      <c r="H114" s="565" t="str">
        <f ca="1">IF(ListAndConversion!CC116&lt;&gt;"-",ListAndConversion!CC116,"")</f>
        <v/>
      </c>
      <c r="I114" s="565" t="str">
        <f ca="1">IF(ListAndConversion!CC116&lt;&gt;"-","Microfuge1","")</f>
        <v/>
      </c>
      <c r="J114" s="583" t="str">
        <f ca="1">IF(ListAndConversion!CD116&lt;&gt;"-",ListAndConversion!CD116,"")</f>
        <v/>
      </c>
      <c r="K114" s="577" t="str">
        <f t="shared" ca="1" si="1"/>
        <v/>
      </c>
    </row>
    <row r="115" spans="1:11" x14ac:dyDescent="0.65">
      <c r="A115" s="554" t="str">
        <f ca="1">IF(OR(LEFT(ListAndConversion!BW117,3)="Dil",LEFT(ListAndConversion!BW117,3)="Poo"),ListAndConversion!$BT$4,IF(LEFT(ListAndConversion!BW117,3)="Sou",INDEX(ListAndConversion!$AT$4:$AV$387,MATCH(ListAndConversion!BV117,ListAndConversion!$AV$4:$AV$387,0),1),""))</f>
        <v/>
      </c>
      <c r="B115" s="555" t="str">
        <f ca="1">IF(OR(LEFT(ListAndConversion!BW117,3)="Dil",LEFT(ListAndConversion!BW117,3)="Poo"),ListAndConversion!BU117,IF(LEFT(ListAndConversion!BW117,3)="Sou",INDEX(ListAndConversion!$AT$4:$AV$387,MATCH(ListAndConversion!BV117,ListAndConversion!$AV$4:$AV$387,0),2),""))</f>
        <v/>
      </c>
      <c r="C115" s="555" t="str">
        <f ca="1">IF(ListAndConversion!BZ117&lt;&gt;"-",ListAndConversion!BZ117,"")</f>
        <v/>
      </c>
      <c r="D115" s="555" t="str">
        <f ca="1">IF(ListAndConversion!BW117&lt;&gt;"-",ListAndConversion!BW117,"")</f>
        <v/>
      </c>
      <c r="E115" s="555" t="str">
        <f ca="1">IF(ListAndConversion!BX117&lt;&gt;"-",ListAndConversion!BX117,"")</f>
        <v/>
      </c>
      <c r="F115" s="565" t="str">
        <f ca="1">IF(ListAndConversion!BY117&lt;&gt;"-",ListAndConversion!BY117,"")</f>
        <v/>
      </c>
      <c r="G115" s="565" t="str">
        <f ca="1">IF(ListAndConversion!CB117&lt;&gt;"-",ListAndConversion!CB117,"")</f>
        <v/>
      </c>
      <c r="H115" s="565" t="str">
        <f ca="1">IF(ListAndConversion!CC117&lt;&gt;"-",ListAndConversion!CC117,"")</f>
        <v/>
      </c>
      <c r="I115" s="565" t="str">
        <f ca="1">IF(ListAndConversion!CC117&lt;&gt;"-","Microfuge1","")</f>
        <v/>
      </c>
      <c r="J115" s="583" t="str">
        <f ca="1">IF(ListAndConversion!CD117&lt;&gt;"-",ListAndConversion!CD117,"")</f>
        <v/>
      </c>
      <c r="K115" s="577" t="str">
        <f t="shared" ca="1" si="1"/>
        <v/>
      </c>
    </row>
    <row r="116" spans="1:11" x14ac:dyDescent="0.65">
      <c r="A116" s="554" t="str">
        <f ca="1">IF(OR(LEFT(ListAndConversion!BW118,3)="Dil",LEFT(ListAndConversion!BW118,3)="Poo"),ListAndConversion!$BT$4,IF(LEFT(ListAndConversion!BW118,3)="Sou",INDEX(ListAndConversion!$AT$4:$AV$387,MATCH(ListAndConversion!BV118,ListAndConversion!$AV$4:$AV$387,0),1),""))</f>
        <v/>
      </c>
      <c r="B116" s="555" t="str">
        <f ca="1">IF(OR(LEFT(ListAndConversion!BW118,3)="Dil",LEFT(ListAndConversion!BW118,3)="Poo"),ListAndConversion!BU118,IF(LEFT(ListAndConversion!BW118,3)="Sou",INDEX(ListAndConversion!$AT$4:$AV$387,MATCH(ListAndConversion!BV118,ListAndConversion!$AV$4:$AV$387,0),2),""))</f>
        <v/>
      </c>
      <c r="C116" s="555" t="str">
        <f ca="1">IF(ListAndConversion!BZ118&lt;&gt;"-",ListAndConversion!BZ118,"")</f>
        <v/>
      </c>
      <c r="D116" s="555" t="str">
        <f ca="1">IF(ListAndConversion!BW118&lt;&gt;"-",ListAndConversion!BW118,"")</f>
        <v/>
      </c>
      <c r="E116" s="555" t="str">
        <f ca="1">IF(ListAndConversion!BX118&lt;&gt;"-",ListAndConversion!BX118,"")</f>
        <v/>
      </c>
      <c r="F116" s="565" t="str">
        <f ca="1">IF(ListAndConversion!BY118&lt;&gt;"-",ListAndConversion!BY118,"")</f>
        <v/>
      </c>
      <c r="G116" s="565" t="str">
        <f ca="1">IF(ListAndConversion!CB118&lt;&gt;"-",ListAndConversion!CB118,"")</f>
        <v/>
      </c>
      <c r="H116" s="565" t="str">
        <f ca="1">IF(ListAndConversion!CC118&lt;&gt;"-",ListAndConversion!CC118,"")</f>
        <v/>
      </c>
      <c r="I116" s="565" t="str">
        <f ca="1">IF(ListAndConversion!CC118&lt;&gt;"-","Microfuge1","")</f>
        <v/>
      </c>
      <c r="J116" s="583" t="str">
        <f ca="1">IF(ListAndConversion!CD118&lt;&gt;"-",ListAndConversion!CD118,"")</f>
        <v/>
      </c>
      <c r="K116" s="577" t="str">
        <f t="shared" ca="1" si="1"/>
        <v/>
      </c>
    </row>
    <row r="117" spans="1:11" x14ac:dyDescent="0.65">
      <c r="A117" s="554" t="str">
        <f ca="1">IF(OR(LEFT(ListAndConversion!BW119,3)="Dil",LEFT(ListAndConversion!BW119,3)="Poo"),ListAndConversion!$BT$4,IF(LEFT(ListAndConversion!BW119,3)="Sou",INDEX(ListAndConversion!$AT$4:$AV$387,MATCH(ListAndConversion!BV119,ListAndConversion!$AV$4:$AV$387,0),1),""))</f>
        <v/>
      </c>
      <c r="B117" s="555" t="str">
        <f ca="1">IF(OR(LEFT(ListAndConversion!BW119,3)="Dil",LEFT(ListAndConversion!BW119,3)="Poo"),ListAndConversion!BU119,IF(LEFT(ListAndConversion!BW119,3)="Sou",INDEX(ListAndConversion!$AT$4:$AV$387,MATCH(ListAndConversion!BV119,ListAndConversion!$AV$4:$AV$387,0),2),""))</f>
        <v/>
      </c>
      <c r="C117" s="555" t="str">
        <f ca="1">IF(ListAndConversion!BZ119&lt;&gt;"-",ListAndConversion!BZ119,"")</f>
        <v/>
      </c>
      <c r="D117" s="555" t="str">
        <f ca="1">IF(ListAndConversion!BW119&lt;&gt;"-",ListAndConversion!BW119,"")</f>
        <v/>
      </c>
      <c r="E117" s="555" t="str">
        <f ca="1">IF(ListAndConversion!BX119&lt;&gt;"-",ListAndConversion!BX119,"")</f>
        <v/>
      </c>
      <c r="F117" s="565" t="str">
        <f ca="1">IF(ListAndConversion!BY119&lt;&gt;"-",ListAndConversion!BY119,"")</f>
        <v/>
      </c>
      <c r="G117" s="565" t="str">
        <f ca="1">IF(ListAndConversion!CB119&lt;&gt;"-",ListAndConversion!CB119,"")</f>
        <v/>
      </c>
      <c r="H117" s="565" t="str">
        <f ca="1">IF(ListAndConversion!CC119&lt;&gt;"-",ListAndConversion!CC119,"")</f>
        <v/>
      </c>
      <c r="I117" s="565" t="str">
        <f ca="1">IF(ListAndConversion!CC119&lt;&gt;"-","Microfuge1","")</f>
        <v/>
      </c>
      <c r="J117" s="583" t="str">
        <f ca="1">IF(ListAndConversion!CD119&lt;&gt;"-",ListAndConversion!CD119,"")</f>
        <v/>
      </c>
      <c r="K117" s="577" t="str">
        <f t="shared" ca="1" si="1"/>
        <v/>
      </c>
    </row>
    <row r="118" spans="1:11" x14ac:dyDescent="0.65">
      <c r="A118" s="554" t="str">
        <f ca="1">IF(OR(LEFT(ListAndConversion!BW120,3)="Dil",LEFT(ListAndConversion!BW120,3)="Poo"),ListAndConversion!$BT$4,IF(LEFT(ListAndConversion!BW120,3)="Sou",INDEX(ListAndConversion!$AT$4:$AV$387,MATCH(ListAndConversion!BV120,ListAndConversion!$AV$4:$AV$387,0),1),""))</f>
        <v/>
      </c>
      <c r="B118" s="555" t="str">
        <f ca="1">IF(OR(LEFT(ListAndConversion!BW120,3)="Dil",LEFT(ListAndConversion!BW120,3)="Poo"),ListAndConversion!BU120,IF(LEFT(ListAndConversion!BW120,3)="Sou",INDEX(ListAndConversion!$AT$4:$AV$387,MATCH(ListAndConversion!BV120,ListAndConversion!$AV$4:$AV$387,0),2),""))</f>
        <v/>
      </c>
      <c r="C118" s="555" t="str">
        <f ca="1">IF(ListAndConversion!BZ120&lt;&gt;"-",ListAndConversion!BZ120,"")</f>
        <v/>
      </c>
      <c r="D118" s="555" t="str">
        <f ca="1">IF(ListAndConversion!BW120&lt;&gt;"-",ListAndConversion!BW120,"")</f>
        <v/>
      </c>
      <c r="E118" s="555" t="str">
        <f ca="1">IF(ListAndConversion!BX120&lt;&gt;"-",ListAndConversion!BX120,"")</f>
        <v/>
      </c>
      <c r="F118" s="565" t="str">
        <f ca="1">IF(ListAndConversion!BY120&lt;&gt;"-",ListAndConversion!BY120,"")</f>
        <v/>
      </c>
      <c r="G118" s="565" t="str">
        <f ca="1">IF(ListAndConversion!CB120&lt;&gt;"-",ListAndConversion!CB120,"")</f>
        <v/>
      </c>
      <c r="H118" s="565" t="str">
        <f ca="1">IF(ListAndConversion!CC120&lt;&gt;"-",ListAndConversion!CC120,"")</f>
        <v/>
      </c>
      <c r="I118" s="565" t="str">
        <f ca="1">IF(ListAndConversion!CC120&lt;&gt;"-","Microfuge1","")</f>
        <v/>
      </c>
      <c r="J118" s="583" t="str">
        <f ca="1">IF(ListAndConversion!CD120&lt;&gt;"-",ListAndConversion!CD120,"")</f>
        <v/>
      </c>
      <c r="K118" s="577" t="str">
        <f t="shared" ca="1" si="1"/>
        <v/>
      </c>
    </row>
    <row r="119" spans="1:11" x14ac:dyDescent="0.65">
      <c r="A119" s="554" t="str">
        <f ca="1">IF(OR(LEFT(ListAndConversion!BW121,3)="Dil",LEFT(ListAndConversion!BW121,3)="Poo"),ListAndConversion!$BT$4,IF(LEFT(ListAndConversion!BW121,3)="Sou",INDEX(ListAndConversion!$AT$4:$AV$387,MATCH(ListAndConversion!BV121,ListAndConversion!$AV$4:$AV$387,0),1),""))</f>
        <v/>
      </c>
      <c r="B119" s="555" t="str">
        <f ca="1">IF(OR(LEFT(ListAndConversion!BW121,3)="Dil",LEFT(ListAndConversion!BW121,3)="Poo"),ListAndConversion!BU121,IF(LEFT(ListAndConversion!BW121,3)="Sou",INDEX(ListAndConversion!$AT$4:$AV$387,MATCH(ListAndConversion!BV121,ListAndConversion!$AV$4:$AV$387,0),2),""))</f>
        <v/>
      </c>
      <c r="C119" s="555" t="str">
        <f ca="1">IF(ListAndConversion!BZ121&lt;&gt;"-",ListAndConversion!BZ121,"")</f>
        <v/>
      </c>
      <c r="D119" s="555" t="str">
        <f ca="1">IF(ListAndConversion!BW121&lt;&gt;"-",ListAndConversion!BW121,"")</f>
        <v/>
      </c>
      <c r="E119" s="555" t="str">
        <f ca="1">IF(ListAndConversion!BX121&lt;&gt;"-",ListAndConversion!BX121,"")</f>
        <v/>
      </c>
      <c r="F119" s="565" t="str">
        <f ca="1">IF(ListAndConversion!BY121&lt;&gt;"-",ListAndConversion!BY121,"")</f>
        <v/>
      </c>
      <c r="G119" s="565" t="str">
        <f ca="1">IF(ListAndConversion!CB121&lt;&gt;"-",ListAndConversion!CB121,"")</f>
        <v/>
      </c>
      <c r="H119" s="565" t="str">
        <f ca="1">IF(ListAndConversion!CC121&lt;&gt;"-",ListAndConversion!CC121,"")</f>
        <v/>
      </c>
      <c r="I119" s="565" t="str">
        <f ca="1">IF(ListAndConversion!CC121&lt;&gt;"-","Microfuge1","")</f>
        <v/>
      </c>
      <c r="J119" s="583" t="str">
        <f ca="1">IF(ListAndConversion!CD121&lt;&gt;"-",ListAndConversion!CD121,"")</f>
        <v/>
      </c>
      <c r="K119" s="577" t="str">
        <f t="shared" ca="1" si="1"/>
        <v/>
      </c>
    </row>
    <row r="120" spans="1:11" x14ac:dyDescent="0.65">
      <c r="A120" s="554" t="str">
        <f ca="1">IF(OR(LEFT(ListAndConversion!BW122,3)="Dil",LEFT(ListAndConversion!BW122,3)="Poo"),ListAndConversion!$BT$4,IF(LEFT(ListAndConversion!BW122,3)="Sou",INDEX(ListAndConversion!$AT$4:$AV$387,MATCH(ListAndConversion!BV122,ListAndConversion!$AV$4:$AV$387,0),1),""))</f>
        <v/>
      </c>
      <c r="B120" s="555" t="str">
        <f ca="1">IF(OR(LEFT(ListAndConversion!BW122,3)="Dil",LEFT(ListAndConversion!BW122,3)="Poo"),ListAndConversion!BU122,IF(LEFT(ListAndConversion!BW122,3)="Sou",INDEX(ListAndConversion!$AT$4:$AV$387,MATCH(ListAndConversion!BV122,ListAndConversion!$AV$4:$AV$387,0),2),""))</f>
        <v/>
      </c>
      <c r="C120" s="555" t="str">
        <f ca="1">IF(ListAndConversion!BZ122&lt;&gt;"-",ListAndConversion!BZ122,"")</f>
        <v/>
      </c>
      <c r="D120" s="555" t="str">
        <f ca="1">IF(ListAndConversion!BW122&lt;&gt;"-",ListAndConversion!BW122,"")</f>
        <v/>
      </c>
      <c r="E120" s="555" t="str">
        <f ca="1">IF(ListAndConversion!BX122&lt;&gt;"-",ListAndConversion!BX122,"")</f>
        <v/>
      </c>
      <c r="F120" s="565" t="str">
        <f ca="1">IF(ListAndConversion!BY122&lt;&gt;"-",ListAndConversion!BY122,"")</f>
        <v/>
      </c>
      <c r="G120" s="565" t="str">
        <f ca="1">IF(ListAndConversion!CB122&lt;&gt;"-",ListAndConversion!CB122,"")</f>
        <v/>
      </c>
      <c r="H120" s="565" t="str">
        <f ca="1">IF(ListAndConversion!CC122&lt;&gt;"-",ListAndConversion!CC122,"")</f>
        <v/>
      </c>
      <c r="I120" s="565" t="str">
        <f ca="1">IF(ListAndConversion!CC122&lt;&gt;"-","Microfuge1","")</f>
        <v/>
      </c>
      <c r="J120" s="583" t="str">
        <f ca="1">IF(ListAndConversion!CD122&lt;&gt;"-",ListAndConversion!CD122,"")</f>
        <v/>
      </c>
      <c r="K120" s="577" t="str">
        <f t="shared" ca="1" si="1"/>
        <v/>
      </c>
    </row>
    <row r="121" spans="1:11" x14ac:dyDescent="0.65">
      <c r="A121" s="554" t="str">
        <f ca="1">IF(OR(LEFT(ListAndConversion!BW123,3)="Dil",LEFT(ListAndConversion!BW123,3)="Poo"),ListAndConversion!$BT$4,IF(LEFT(ListAndConversion!BW123,3)="Sou",INDEX(ListAndConversion!$AT$4:$AV$387,MATCH(ListAndConversion!BV123,ListAndConversion!$AV$4:$AV$387,0),1),""))</f>
        <v/>
      </c>
      <c r="B121" s="555" t="str">
        <f ca="1">IF(OR(LEFT(ListAndConversion!BW123,3)="Dil",LEFT(ListAndConversion!BW123,3)="Poo"),ListAndConversion!BU123,IF(LEFT(ListAndConversion!BW123,3)="Sou",INDEX(ListAndConversion!$AT$4:$AV$387,MATCH(ListAndConversion!BV123,ListAndConversion!$AV$4:$AV$387,0),2),""))</f>
        <v/>
      </c>
      <c r="C121" s="555" t="str">
        <f ca="1">IF(ListAndConversion!BZ123&lt;&gt;"-",ListAndConversion!BZ123,"")</f>
        <v/>
      </c>
      <c r="D121" s="555" t="str">
        <f ca="1">IF(ListAndConversion!BW123&lt;&gt;"-",ListAndConversion!BW123,"")</f>
        <v/>
      </c>
      <c r="E121" s="555" t="str">
        <f ca="1">IF(ListAndConversion!BX123&lt;&gt;"-",ListAndConversion!BX123,"")</f>
        <v/>
      </c>
      <c r="F121" s="565" t="str">
        <f ca="1">IF(ListAndConversion!BY123&lt;&gt;"-",ListAndConversion!BY123,"")</f>
        <v/>
      </c>
      <c r="G121" s="565" t="str">
        <f ca="1">IF(ListAndConversion!CB123&lt;&gt;"-",ListAndConversion!CB123,"")</f>
        <v/>
      </c>
      <c r="H121" s="565" t="str">
        <f ca="1">IF(ListAndConversion!CC123&lt;&gt;"-",ListAndConversion!CC123,"")</f>
        <v/>
      </c>
      <c r="I121" s="565" t="str">
        <f ca="1">IF(ListAndConversion!CC123&lt;&gt;"-","Microfuge1","")</f>
        <v/>
      </c>
      <c r="J121" s="583" t="str">
        <f ca="1">IF(ListAndConversion!CD123&lt;&gt;"-",ListAndConversion!CD123,"")</f>
        <v/>
      </c>
      <c r="K121" s="577" t="str">
        <f t="shared" ca="1" si="1"/>
        <v/>
      </c>
    </row>
    <row r="122" spans="1:11" x14ac:dyDescent="0.65">
      <c r="A122" s="554" t="str">
        <f ca="1">IF(OR(LEFT(ListAndConversion!BW124,3)="Dil",LEFT(ListAndConversion!BW124,3)="Poo"),ListAndConversion!$BT$4,IF(LEFT(ListAndConversion!BW124,3)="Sou",INDEX(ListAndConversion!$AT$4:$AV$387,MATCH(ListAndConversion!BV124,ListAndConversion!$AV$4:$AV$387,0),1),""))</f>
        <v/>
      </c>
      <c r="B122" s="555" t="str">
        <f ca="1">IF(OR(LEFT(ListAndConversion!BW124,3)="Dil",LEFT(ListAndConversion!BW124,3)="Poo"),ListAndConversion!BU124,IF(LEFT(ListAndConversion!BW124,3)="Sou",INDEX(ListAndConversion!$AT$4:$AV$387,MATCH(ListAndConversion!BV124,ListAndConversion!$AV$4:$AV$387,0),2),""))</f>
        <v/>
      </c>
      <c r="C122" s="555" t="str">
        <f ca="1">IF(ListAndConversion!BZ124&lt;&gt;"-",ListAndConversion!BZ124,"")</f>
        <v/>
      </c>
      <c r="D122" s="555" t="str">
        <f ca="1">IF(ListAndConversion!BW124&lt;&gt;"-",ListAndConversion!BW124,"")</f>
        <v/>
      </c>
      <c r="E122" s="555" t="str">
        <f ca="1">IF(ListAndConversion!BX124&lt;&gt;"-",ListAndConversion!BX124,"")</f>
        <v/>
      </c>
      <c r="F122" s="565" t="str">
        <f ca="1">IF(ListAndConversion!BY124&lt;&gt;"-",ListAndConversion!BY124,"")</f>
        <v/>
      </c>
      <c r="G122" s="565" t="str">
        <f ca="1">IF(ListAndConversion!CB124&lt;&gt;"-",ListAndConversion!CB124,"")</f>
        <v/>
      </c>
      <c r="H122" s="565" t="str">
        <f ca="1">IF(ListAndConversion!CC124&lt;&gt;"-",ListAndConversion!CC124,"")</f>
        <v/>
      </c>
      <c r="I122" s="565" t="str">
        <f ca="1">IF(ListAndConversion!CC124&lt;&gt;"-","Microfuge1","")</f>
        <v/>
      </c>
      <c r="J122" s="583" t="str">
        <f ca="1">IF(ListAndConversion!CD124&lt;&gt;"-",ListAndConversion!CD124,"")</f>
        <v/>
      </c>
      <c r="K122" s="577" t="str">
        <f t="shared" ca="1" si="1"/>
        <v/>
      </c>
    </row>
    <row r="123" spans="1:11" x14ac:dyDescent="0.65">
      <c r="A123" s="554" t="str">
        <f ca="1">IF(OR(LEFT(ListAndConversion!BW125,3)="Dil",LEFT(ListAndConversion!BW125,3)="Poo"),ListAndConversion!$BT$4,IF(LEFT(ListAndConversion!BW125,3)="Sou",INDEX(ListAndConversion!$AT$4:$AV$387,MATCH(ListAndConversion!BV125,ListAndConversion!$AV$4:$AV$387,0),1),""))</f>
        <v/>
      </c>
      <c r="B123" s="555" t="str">
        <f ca="1">IF(OR(LEFT(ListAndConversion!BW125,3)="Dil",LEFT(ListAndConversion!BW125,3)="Poo"),ListAndConversion!BU125,IF(LEFT(ListAndConversion!BW125,3)="Sou",INDEX(ListAndConversion!$AT$4:$AV$387,MATCH(ListAndConversion!BV125,ListAndConversion!$AV$4:$AV$387,0),2),""))</f>
        <v/>
      </c>
      <c r="C123" s="555" t="str">
        <f ca="1">IF(ListAndConversion!BZ125&lt;&gt;"-",ListAndConversion!BZ125,"")</f>
        <v/>
      </c>
      <c r="D123" s="555" t="str">
        <f ca="1">IF(ListAndConversion!BW125&lt;&gt;"-",ListAndConversion!BW125,"")</f>
        <v/>
      </c>
      <c r="E123" s="555" t="str">
        <f ca="1">IF(ListAndConversion!BX125&lt;&gt;"-",ListAndConversion!BX125,"")</f>
        <v/>
      </c>
      <c r="F123" s="565" t="str">
        <f ca="1">IF(ListAndConversion!BY125&lt;&gt;"-",ListAndConversion!BY125,"")</f>
        <v/>
      </c>
      <c r="G123" s="565" t="str">
        <f ca="1">IF(ListAndConversion!CB125&lt;&gt;"-",ListAndConversion!CB125,"")</f>
        <v/>
      </c>
      <c r="H123" s="565" t="str">
        <f ca="1">IF(ListAndConversion!CC125&lt;&gt;"-",ListAndConversion!CC125,"")</f>
        <v/>
      </c>
      <c r="I123" s="565" t="str">
        <f ca="1">IF(ListAndConversion!CC125&lt;&gt;"-","Microfuge1","")</f>
        <v/>
      </c>
      <c r="J123" s="583" t="str">
        <f ca="1">IF(ListAndConversion!CD125&lt;&gt;"-",ListAndConversion!CD125,"")</f>
        <v/>
      </c>
      <c r="K123" s="577" t="str">
        <f t="shared" ca="1" si="1"/>
        <v/>
      </c>
    </row>
    <row r="124" spans="1:11" x14ac:dyDescent="0.65">
      <c r="A124" s="554" t="str">
        <f ca="1">IF(OR(LEFT(ListAndConversion!BW126,3)="Dil",LEFT(ListAndConversion!BW126,3)="Poo"),ListAndConversion!$BT$4,IF(LEFT(ListAndConversion!BW126,3)="Sou",INDEX(ListAndConversion!$AT$4:$AV$387,MATCH(ListAndConversion!BV126,ListAndConversion!$AV$4:$AV$387,0),1),""))</f>
        <v/>
      </c>
      <c r="B124" s="555" t="str">
        <f ca="1">IF(OR(LEFT(ListAndConversion!BW126,3)="Dil",LEFT(ListAndConversion!BW126,3)="Poo"),ListAndConversion!BU126,IF(LEFT(ListAndConversion!BW126,3)="Sou",INDEX(ListAndConversion!$AT$4:$AV$387,MATCH(ListAndConversion!BV126,ListAndConversion!$AV$4:$AV$387,0),2),""))</f>
        <v/>
      </c>
      <c r="C124" s="555" t="str">
        <f ca="1">IF(ListAndConversion!BZ126&lt;&gt;"-",ListAndConversion!BZ126,"")</f>
        <v/>
      </c>
      <c r="D124" s="555" t="str">
        <f ca="1">IF(ListAndConversion!BW126&lt;&gt;"-",ListAndConversion!BW126,"")</f>
        <v/>
      </c>
      <c r="E124" s="555" t="str">
        <f ca="1">IF(ListAndConversion!BX126&lt;&gt;"-",ListAndConversion!BX126,"")</f>
        <v/>
      </c>
      <c r="F124" s="565" t="str">
        <f ca="1">IF(ListAndConversion!BY126&lt;&gt;"-",ListAndConversion!BY126,"")</f>
        <v/>
      </c>
      <c r="G124" s="565" t="str">
        <f ca="1">IF(ListAndConversion!CB126&lt;&gt;"-",ListAndConversion!CB126,"")</f>
        <v/>
      </c>
      <c r="H124" s="565" t="str">
        <f ca="1">IF(ListAndConversion!CC126&lt;&gt;"-",ListAndConversion!CC126,"")</f>
        <v/>
      </c>
      <c r="I124" s="565" t="str">
        <f ca="1">IF(ListAndConversion!CC126&lt;&gt;"-","Microfuge1","")</f>
        <v/>
      </c>
      <c r="J124" s="583" t="str">
        <f ca="1">IF(ListAndConversion!CD126&lt;&gt;"-",ListAndConversion!CD126,"")</f>
        <v/>
      </c>
      <c r="K124" s="577" t="str">
        <f t="shared" ca="1" si="1"/>
        <v/>
      </c>
    </row>
    <row r="125" spans="1:11" x14ac:dyDescent="0.65">
      <c r="A125" s="554" t="str">
        <f ca="1">IF(OR(LEFT(ListAndConversion!BW127,3)="Dil",LEFT(ListAndConversion!BW127,3)="Poo"),ListAndConversion!$BT$4,IF(LEFT(ListAndConversion!BW127,3)="Sou",INDEX(ListAndConversion!$AT$4:$AV$387,MATCH(ListAndConversion!BV127,ListAndConversion!$AV$4:$AV$387,0),1),""))</f>
        <v/>
      </c>
      <c r="B125" s="555" t="str">
        <f ca="1">IF(OR(LEFT(ListAndConversion!BW127,3)="Dil",LEFT(ListAndConversion!BW127,3)="Poo"),ListAndConversion!BU127,IF(LEFT(ListAndConversion!BW127,3)="Sou",INDEX(ListAndConversion!$AT$4:$AV$387,MATCH(ListAndConversion!BV127,ListAndConversion!$AV$4:$AV$387,0),2),""))</f>
        <v/>
      </c>
      <c r="C125" s="555" t="str">
        <f ca="1">IF(ListAndConversion!BZ127&lt;&gt;"-",ListAndConversion!BZ127,"")</f>
        <v/>
      </c>
      <c r="D125" s="555" t="str">
        <f ca="1">IF(ListAndConversion!BW127&lt;&gt;"-",ListAndConversion!BW127,"")</f>
        <v/>
      </c>
      <c r="E125" s="555" t="str">
        <f ca="1">IF(ListAndConversion!BX127&lt;&gt;"-",ListAndConversion!BX127,"")</f>
        <v/>
      </c>
      <c r="F125" s="565" t="str">
        <f ca="1">IF(ListAndConversion!BY127&lt;&gt;"-",ListAndConversion!BY127,"")</f>
        <v/>
      </c>
      <c r="G125" s="565" t="str">
        <f ca="1">IF(ListAndConversion!CB127&lt;&gt;"-",ListAndConversion!CB127,"")</f>
        <v/>
      </c>
      <c r="H125" s="565" t="str">
        <f ca="1">IF(ListAndConversion!CC127&lt;&gt;"-",ListAndConversion!CC127,"")</f>
        <v/>
      </c>
      <c r="I125" s="565" t="str">
        <f ca="1">IF(ListAndConversion!CC127&lt;&gt;"-","Microfuge1","")</f>
        <v/>
      </c>
      <c r="J125" s="583" t="str">
        <f ca="1">IF(ListAndConversion!CD127&lt;&gt;"-",ListAndConversion!CD127,"")</f>
        <v/>
      </c>
      <c r="K125" s="577" t="str">
        <f t="shared" ca="1" si="1"/>
        <v/>
      </c>
    </row>
    <row r="126" spans="1:11" x14ac:dyDescent="0.65">
      <c r="A126" s="554" t="str">
        <f ca="1">IF(OR(LEFT(ListAndConversion!BW128,3)="Dil",LEFT(ListAndConversion!BW128,3)="Poo"),ListAndConversion!$BT$4,IF(LEFT(ListAndConversion!BW128,3)="Sou",INDEX(ListAndConversion!$AT$4:$AV$387,MATCH(ListAndConversion!BV128,ListAndConversion!$AV$4:$AV$387,0),1),""))</f>
        <v/>
      </c>
      <c r="B126" s="555" t="str">
        <f ca="1">IF(OR(LEFT(ListAndConversion!BW128,3)="Dil",LEFT(ListAndConversion!BW128,3)="Poo"),ListAndConversion!BU128,IF(LEFT(ListAndConversion!BW128,3)="Sou",INDEX(ListAndConversion!$AT$4:$AV$387,MATCH(ListAndConversion!BV128,ListAndConversion!$AV$4:$AV$387,0),2),""))</f>
        <v/>
      </c>
      <c r="C126" s="555" t="str">
        <f ca="1">IF(ListAndConversion!BZ128&lt;&gt;"-",ListAndConversion!BZ128,"")</f>
        <v/>
      </c>
      <c r="D126" s="555" t="str">
        <f ca="1">IF(ListAndConversion!BW128&lt;&gt;"-",ListAndConversion!BW128,"")</f>
        <v/>
      </c>
      <c r="E126" s="555" t="str">
        <f ca="1">IF(ListAndConversion!BX128&lt;&gt;"-",ListAndConversion!BX128,"")</f>
        <v/>
      </c>
      <c r="F126" s="565" t="str">
        <f ca="1">IF(ListAndConversion!BY128&lt;&gt;"-",ListAndConversion!BY128,"")</f>
        <v/>
      </c>
      <c r="G126" s="565" t="str">
        <f ca="1">IF(ListAndConversion!CB128&lt;&gt;"-",ListAndConversion!CB128,"")</f>
        <v/>
      </c>
      <c r="H126" s="565" t="str">
        <f ca="1">IF(ListAndConversion!CC128&lt;&gt;"-",ListAndConversion!CC128,"")</f>
        <v/>
      </c>
      <c r="I126" s="565" t="str">
        <f ca="1">IF(ListAndConversion!CC128&lt;&gt;"-","Microfuge1","")</f>
        <v/>
      </c>
      <c r="J126" s="583" t="str">
        <f ca="1">IF(ListAndConversion!CD128&lt;&gt;"-",ListAndConversion!CD128,"")</f>
        <v/>
      </c>
      <c r="K126" s="577" t="str">
        <f t="shared" ca="1" si="1"/>
        <v/>
      </c>
    </row>
    <row r="127" spans="1:11" x14ac:dyDescent="0.65">
      <c r="A127" s="554" t="str">
        <f ca="1">IF(OR(LEFT(ListAndConversion!BW129,3)="Dil",LEFT(ListAndConversion!BW129,3)="Poo"),ListAndConversion!$BT$4,IF(LEFT(ListAndConversion!BW129,3)="Sou",INDEX(ListAndConversion!$AT$4:$AV$387,MATCH(ListAndConversion!BV129,ListAndConversion!$AV$4:$AV$387,0),1),""))</f>
        <v/>
      </c>
      <c r="B127" s="555" t="str">
        <f ca="1">IF(OR(LEFT(ListAndConversion!BW129,3)="Dil",LEFT(ListAndConversion!BW129,3)="Poo"),ListAndConversion!BU129,IF(LEFT(ListAndConversion!BW129,3)="Sou",INDEX(ListAndConversion!$AT$4:$AV$387,MATCH(ListAndConversion!BV129,ListAndConversion!$AV$4:$AV$387,0),2),""))</f>
        <v/>
      </c>
      <c r="C127" s="555" t="str">
        <f ca="1">IF(ListAndConversion!BZ129&lt;&gt;"-",ListAndConversion!BZ129,"")</f>
        <v/>
      </c>
      <c r="D127" s="555" t="str">
        <f ca="1">IF(ListAndConversion!BW129&lt;&gt;"-",ListAndConversion!BW129,"")</f>
        <v/>
      </c>
      <c r="E127" s="555" t="str">
        <f ca="1">IF(ListAndConversion!BX129&lt;&gt;"-",ListAndConversion!BX129,"")</f>
        <v/>
      </c>
      <c r="F127" s="565" t="str">
        <f ca="1">IF(ListAndConversion!BY129&lt;&gt;"-",ListAndConversion!BY129,"")</f>
        <v/>
      </c>
      <c r="G127" s="565" t="str">
        <f ca="1">IF(ListAndConversion!CB129&lt;&gt;"-",ListAndConversion!CB129,"")</f>
        <v/>
      </c>
      <c r="H127" s="565" t="str">
        <f ca="1">IF(ListAndConversion!CC129&lt;&gt;"-",ListAndConversion!CC129,"")</f>
        <v/>
      </c>
      <c r="I127" s="565" t="str">
        <f ca="1">IF(ListAndConversion!CC129&lt;&gt;"-","Microfuge1","")</f>
        <v/>
      </c>
      <c r="J127" s="583" t="str">
        <f ca="1">IF(ListAndConversion!CD129&lt;&gt;"-",ListAndConversion!CD129,"")</f>
        <v/>
      </c>
      <c r="K127" s="577" t="str">
        <f t="shared" ca="1" si="1"/>
        <v/>
      </c>
    </row>
    <row r="128" spans="1:11" x14ac:dyDescent="0.65">
      <c r="A128" s="554" t="str">
        <f ca="1">IF(OR(LEFT(ListAndConversion!BW130,3)="Dil",LEFT(ListAndConversion!BW130,3)="Poo"),ListAndConversion!$BT$4,IF(LEFT(ListAndConversion!BW130,3)="Sou",INDEX(ListAndConversion!$AT$4:$AV$387,MATCH(ListAndConversion!BV130,ListAndConversion!$AV$4:$AV$387,0),1),""))</f>
        <v/>
      </c>
      <c r="B128" s="555" t="str">
        <f ca="1">IF(OR(LEFT(ListAndConversion!BW130,3)="Dil",LEFT(ListAndConversion!BW130,3)="Poo"),ListAndConversion!BU130,IF(LEFT(ListAndConversion!BW130,3)="Sou",INDEX(ListAndConversion!$AT$4:$AV$387,MATCH(ListAndConversion!BV130,ListAndConversion!$AV$4:$AV$387,0),2),""))</f>
        <v/>
      </c>
      <c r="C128" s="555" t="str">
        <f ca="1">IF(ListAndConversion!BZ130&lt;&gt;"-",ListAndConversion!BZ130,"")</f>
        <v/>
      </c>
      <c r="D128" s="555" t="str">
        <f ca="1">IF(ListAndConversion!BW130&lt;&gt;"-",ListAndConversion!BW130,"")</f>
        <v/>
      </c>
      <c r="E128" s="555" t="str">
        <f ca="1">IF(ListAndConversion!BX130&lt;&gt;"-",ListAndConversion!BX130,"")</f>
        <v/>
      </c>
      <c r="F128" s="565" t="str">
        <f ca="1">IF(ListAndConversion!BY130&lt;&gt;"-",ListAndConversion!BY130,"")</f>
        <v/>
      </c>
      <c r="G128" s="565" t="str">
        <f ca="1">IF(ListAndConversion!CB130&lt;&gt;"-",ListAndConversion!CB130,"")</f>
        <v/>
      </c>
      <c r="H128" s="565" t="str">
        <f ca="1">IF(ListAndConversion!CC130&lt;&gt;"-",ListAndConversion!CC130,"")</f>
        <v/>
      </c>
      <c r="I128" s="565" t="str">
        <f ca="1">IF(ListAndConversion!CC130&lt;&gt;"-","Microfuge1","")</f>
        <v/>
      </c>
      <c r="J128" s="583" t="str">
        <f ca="1">IF(ListAndConversion!CD130&lt;&gt;"-",ListAndConversion!CD130,"")</f>
        <v/>
      </c>
      <c r="K128" s="577" t="str">
        <f t="shared" ca="1" si="1"/>
        <v/>
      </c>
    </row>
    <row r="129" spans="1:11" x14ac:dyDescent="0.65">
      <c r="A129" s="554" t="str">
        <f ca="1">IF(OR(LEFT(ListAndConversion!BW131,3)="Dil",LEFT(ListAndConversion!BW131,3)="Poo"),ListAndConversion!$BT$4,IF(LEFT(ListAndConversion!BW131,3)="Sou",INDEX(ListAndConversion!$AT$4:$AV$387,MATCH(ListAndConversion!BV131,ListAndConversion!$AV$4:$AV$387,0),1),""))</f>
        <v/>
      </c>
      <c r="B129" s="555" t="str">
        <f ca="1">IF(OR(LEFT(ListAndConversion!BW131,3)="Dil",LEFT(ListAndConversion!BW131,3)="Poo"),ListAndConversion!BU131,IF(LEFT(ListAndConversion!BW131,3)="Sou",INDEX(ListAndConversion!$AT$4:$AV$387,MATCH(ListAndConversion!BV131,ListAndConversion!$AV$4:$AV$387,0),2),""))</f>
        <v/>
      </c>
      <c r="C129" s="555" t="str">
        <f ca="1">IF(ListAndConversion!BZ131&lt;&gt;"-",ListAndConversion!BZ131,"")</f>
        <v/>
      </c>
      <c r="D129" s="555" t="str">
        <f ca="1">IF(ListAndConversion!BW131&lt;&gt;"-",ListAndConversion!BW131,"")</f>
        <v/>
      </c>
      <c r="E129" s="555" t="str">
        <f ca="1">IF(ListAndConversion!BX131&lt;&gt;"-",ListAndConversion!BX131,"")</f>
        <v/>
      </c>
      <c r="F129" s="565" t="str">
        <f ca="1">IF(ListAndConversion!BY131&lt;&gt;"-",ListAndConversion!BY131,"")</f>
        <v/>
      </c>
      <c r="G129" s="565" t="str">
        <f ca="1">IF(ListAndConversion!CB131&lt;&gt;"-",ListAndConversion!CB131,"")</f>
        <v/>
      </c>
      <c r="H129" s="565" t="str">
        <f ca="1">IF(ListAndConversion!CC131&lt;&gt;"-",ListAndConversion!CC131,"")</f>
        <v/>
      </c>
      <c r="I129" s="565" t="str">
        <f ca="1">IF(ListAndConversion!CC131&lt;&gt;"-","Microfuge1","")</f>
        <v/>
      </c>
      <c r="J129" s="583" t="str">
        <f ca="1">IF(ListAndConversion!CD131&lt;&gt;"-",ListAndConversion!CD131,"")</f>
        <v/>
      </c>
      <c r="K129" s="577" t="str">
        <f t="shared" ca="1" si="1"/>
        <v/>
      </c>
    </row>
    <row r="130" spans="1:11" x14ac:dyDescent="0.65">
      <c r="A130" s="554" t="str">
        <f ca="1">IF(OR(LEFT(ListAndConversion!BW132,3)="Dil",LEFT(ListAndConversion!BW132,3)="Poo"),ListAndConversion!$BT$4,IF(LEFT(ListAndConversion!BW132,3)="Sou",INDEX(ListAndConversion!$AT$4:$AV$387,MATCH(ListAndConversion!BV132,ListAndConversion!$AV$4:$AV$387,0),1),""))</f>
        <v/>
      </c>
      <c r="B130" s="555" t="str">
        <f ca="1">IF(OR(LEFT(ListAndConversion!BW132,3)="Dil",LEFT(ListAndConversion!BW132,3)="Poo"),ListAndConversion!BU132,IF(LEFT(ListAndConversion!BW132,3)="Sou",INDEX(ListAndConversion!$AT$4:$AV$387,MATCH(ListAndConversion!BV132,ListAndConversion!$AV$4:$AV$387,0),2),""))</f>
        <v/>
      </c>
      <c r="C130" s="555" t="str">
        <f ca="1">IF(ListAndConversion!BZ132&lt;&gt;"-",ListAndConversion!BZ132,"")</f>
        <v/>
      </c>
      <c r="D130" s="555" t="str">
        <f ca="1">IF(ListAndConversion!BW132&lt;&gt;"-",ListAndConversion!BW132,"")</f>
        <v/>
      </c>
      <c r="E130" s="555" t="str">
        <f ca="1">IF(ListAndConversion!BX132&lt;&gt;"-",ListAndConversion!BX132,"")</f>
        <v/>
      </c>
      <c r="F130" s="565" t="str">
        <f ca="1">IF(ListAndConversion!BY132&lt;&gt;"-",ListAndConversion!BY132,"")</f>
        <v/>
      </c>
      <c r="G130" s="565" t="str">
        <f ca="1">IF(ListAndConversion!CB132&lt;&gt;"-",ListAndConversion!CB132,"")</f>
        <v/>
      </c>
      <c r="H130" s="565" t="str">
        <f ca="1">IF(ListAndConversion!CC132&lt;&gt;"-",ListAndConversion!CC132,"")</f>
        <v/>
      </c>
      <c r="I130" s="565" t="str">
        <f ca="1">IF(ListAndConversion!CC132&lt;&gt;"-","Microfuge1","")</f>
        <v/>
      </c>
      <c r="J130" s="583" t="str">
        <f ca="1">IF(ListAndConversion!CD132&lt;&gt;"-",ListAndConversion!CD132,"")</f>
        <v/>
      </c>
      <c r="K130" s="577" t="str">
        <f t="shared" ref="K130:K193" ca="1" si="2">IF(LEFT(D130,4)="Pool",15,IF(D130="","",0))</f>
        <v/>
      </c>
    </row>
    <row r="131" spans="1:11" x14ac:dyDescent="0.65">
      <c r="A131" s="554" t="str">
        <f ca="1">IF(OR(LEFT(ListAndConversion!BW133,3)="Dil",LEFT(ListAndConversion!BW133,3)="Poo"),ListAndConversion!$BT$4,IF(LEFT(ListAndConversion!BW133,3)="Sou",INDEX(ListAndConversion!$AT$4:$AV$387,MATCH(ListAndConversion!BV133,ListAndConversion!$AV$4:$AV$387,0),1),""))</f>
        <v/>
      </c>
      <c r="B131" s="555" t="str">
        <f ca="1">IF(OR(LEFT(ListAndConversion!BW133,3)="Dil",LEFT(ListAndConversion!BW133,3)="Poo"),ListAndConversion!BU133,IF(LEFT(ListAndConversion!BW133,3)="Sou",INDEX(ListAndConversion!$AT$4:$AV$387,MATCH(ListAndConversion!BV133,ListAndConversion!$AV$4:$AV$387,0),2),""))</f>
        <v/>
      </c>
      <c r="C131" s="555" t="str">
        <f ca="1">IF(ListAndConversion!BZ133&lt;&gt;"-",ListAndConversion!BZ133,"")</f>
        <v/>
      </c>
      <c r="D131" s="555" t="str">
        <f ca="1">IF(ListAndConversion!BW133&lt;&gt;"-",ListAndConversion!BW133,"")</f>
        <v/>
      </c>
      <c r="E131" s="555" t="str">
        <f ca="1">IF(ListAndConversion!BX133&lt;&gt;"-",ListAndConversion!BX133,"")</f>
        <v/>
      </c>
      <c r="F131" s="565" t="str">
        <f ca="1">IF(ListAndConversion!BY133&lt;&gt;"-",ListAndConversion!BY133,"")</f>
        <v/>
      </c>
      <c r="G131" s="565" t="str">
        <f ca="1">IF(ListAndConversion!CB133&lt;&gt;"-",ListAndConversion!CB133,"")</f>
        <v/>
      </c>
      <c r="H131" s="565" t="str">
        <f ca="1">IF(ListAndConversion!CC133&lt;&gt;"-",ListAndConversion!CC133,"")</f>
        <v/>
      </c>
      <c r="I131" s="565" t="str">
        <f ca="1">IF(ListAndConversion!CC133&lt;&gt;"-","Microfuge1","")</f>
        <v/>
      </c>
      <c r="J131" s="583" t="str">
        <f ca="1">IF(ListAndConversion!CD133&lt;&gt;"-",ListAndConversion!CD133,"")</f>
        <v/>
      </c>
      <c r="K131" s="577" t="str">
        <f t="shared" ca="1" si="2"/>
        <v/>
      </c>
    </row>
    <row r="132" spans="1:11" x14ac:dyDescent="0.65">
      <c r="A132" s="554" t="str">
        <f ca="1">IF(OR(LEFT(ListAndConversion!BW134,3)="Dil",LEFT(ListAndConversion!BW134,3)="Poo"),ListAndConversion!$BT$4,IF(LEFT(ListAndConversion!BW134,3)="Sou",INDEX(ListAndConversion!$AT$4:$AV$387,MATCH(ListAndConversion!BV134,ListAndConversion!$AV$4:$AV$387,0),1),""))</f>
        <v/>
      </c>
      <c r="B132" s="555" t="str">
        <f ca="1">IF(OR(LEFT(ListAndConversion!BW134,3)="Dil",LEFT(ListAndConversion!BW134,3)="Poo"),ListAndConversion!BU134,IF(LEFT(ListAndConversion!BW134,3)="Sou",INDEX(ListAndConversion!$AT$4:$AV$387,MATCH(ListAndConversion!BV134,ListAndConversion!$AV$4:$AV$387,0),2),""))</f>
        <v/>
      </c>
      <c r="C132" s="555" t="str">
        <f ca="1">IF(ListAndConversion!BZ134&lt;&gt;"-",ListAndConversion!BZ134,"")</f>
        <v/>
      </c>
      <c r="D132" s="555" t="str">
        <f ca="1">IF(ListAndConversion!BW134&lt;&gt;"-",ListAndConversion!BW134,"")</f>
        <v/>
      </c>
      <c r="E132" s="555" t="str">
        <f ca="1">IF(ListAndConversion!BX134&lt;&gt;"-",ListAndConversion!BX134,"")</f>
        <v/>
      </c>
      <c r="F132" s="565" t="str">
        <f ca="1">IF(ListAndConversion!BY134&lt;&gt;"-",ListAndConversion!BY134,"")</f>
        <v/>
      </c>
      <c r="G132" s="565" t="str">
        <f ca="1">IF(ListAndConversion!CB134&lt;&gt;"-",ListAndConversion!CB134,"")</f>
        <v/>
      </c>
      <c r="H132" s="565" t="str">
        <f ca="1">IF(ListAndConversion!CC134&lt;&gt;"-",ListAndConversion!CC134,"")</f>
        <v/>
      </c>
      <c r="I132" s="565" t="str">
        <f ca="1">IF(ListAndConversion!CC134&lt;&gt;"-","Microfuge1","")</f>
        <v/>
      </c>
      <c r="J132" s="583" t="str">
        <f ca="1">IF(ListAndConversion!CD134&lt;&gt;"-",ListAndConversion!CD134,"")</f>
        <v/>
      </c>
      <c r="K132" s="577" t="str">
        <f t="shared" ca="1" si="2"/>
        <v/>
      </c>
    </row>
    <row r="133" spans="1:11" x14ac:dyDescent="0.65">
      <c r="A133" s="554" t="str">
        <f ca="1">IF(OR(LEFT(ListAndConversion!BW135,3)="Dil",LEFT(ListAndConversion!BW135,3)="Poo"),ListAndConversion!$BT$4,IF(LEFT(ListAndConversion!BW135,3)="Sou",INDEX(ListAndConversion!$AT$4:$AV$387,MATCH(ListAndConversion!BV135,ListAndConversion!$AV$4:$AV$387,0),1),""))</f>
        <v/>
      </c>
      <c r="B133" s="555" t="str">
        <f ca="1">IF(OR(LEFT(ListAndConversion!BW135,3)="Dil",LEFT(ListAndConversion!BW135,3)="Poo"),ListAndConversion!BU135,IF(LEFT(ListAndConversion!BW135,3)="Sou",INDEX(ListAndConversion!$AT$4:$AV$387,MATCH(ListAndConversion!BV135,ListAndConversion!$AV$4:$AV$387,0),2),""))</f>
        <v/>
      </c>
      <c r="C133" s="555" t="str">
        <f ca="1">IF(ListAndConversion!BZ135&lt;&gt;"-",ListAndConversion!BZ135,"")</f>
        <v/>
      </c>
      <c r="D133" s="555" t="str">
        <f ca="1">IF(ListAndConversion!BW135&lt;&gt;"-",ListAndConversion!BW135,"")</f>
        <v/>
      </c>
      <c r="E133" s="555" t="str">
        <f ca="1">IF(ListAndConversion!BX135&lt;&gt;"-",ListAndConversion!BX135,"")</f>
        <v/>
      </c>
      <c r="F133" s="565" t="str">
        <f ca="1">IF(ListAndConversion!BY135&lt;&gt;"-",ListAndConversion!BY135,"")</f>
        <v/>
      </c>
      <c r="G133" s="565" t="str">
        <f ca="1">IF(ListAndConversion!CB135&lt;&gt;"-",ListAndConversion!CB135,"")</f>
        <v/>
      </c>
      <c r="H133" s="565" t="str">
        <f ca="1">IF(ListAndConversion!CC135&lt;&gt;"-",ListAndConversion!CC135,"")</f>
        <v/>
      </c>
      <c r="I133" s="565" t="str">
        <f ca="1">IF(ListAndConversion!CC135&lt;&gt;"-","Microfuge1","")</f>
        <v/>
      </c>
      <c r="J133" s="583" t="str">
        <f ca="1">IF(ListAndConversion!CD135&lt;&gt;"-",ListAndConversion!CD135,"")</f>
        <v/>
      </c>
      <c r="K133" s="577" t="str">
        <f t="shared" ca="1" si="2"/>
        <v/>
      </c>
    </row>
    <row r="134" spans="1:11" x14ac:dyDescent="0.65">
      <c r="A134" s="554" t="str">
        <f ca="1">IF(OR(LEFT(ListAndConversion!BW136,3)="Dil",LEFT(ListAndConversion!BW136,3)="Poo"),ListAndConversion!$BT$4,IF(LEFT(ListAndConversion!BW136,3)="Sou",INDEX(ListAndConversion!$AT$4:$AV$387,MATCH(ListAndConversion!BV136,ListAndConversion!$AV$4:$AV$387,0),1),""))</f>
        <v/>
      </c>
      <c r="B134" s="555" t="str">
        <f ca="1">IF(OR(LEFT(ListAndConversion!BW136,3)="Dil",LEFT(ListAndConversion!BW136,3)="Poo"),ListAndConversion!BU136,IF(LEFT(ListAndConversion!BW136,3)="Sou",INDEX(ListAndConversion!$AT$4:$AV$387,MATCH(ListAndConversion!BV136,ListAndConversion!$AV$4:$AV$387,0),2),""))</f>
        <v/>
      </c>
      <c r="C134" s="555" t="str">
        <f ca="1">IF(ListAndConversion!BZ136&lt;&gt;"-",ListAndConversion!BZ136,"")</f>
        <v/>
      </c>
      <c r="D134" s="555" t="str">
        <f ca="1">IF(ListAndConversion!BW136&lt;&gt;"-",ListAndConversion!BW136,"")</f>
        <v/>
      </c>
      <c r="E134" s="555" t="str">
        <f ca="1">IF(ListAndConversion!BX136&lt;&gt;"-",ListAndConversion!BX136,"")</f>
        <v/>
      </c>
      <c r="F134" s="565" t="str">
        <f ca="1">IF(ListAndConversion!BY136&lt;&gt;"-",ListAndConversion!BY136,"")</f>
        <v/>
      </c>
      <c r="G134" s="565" t="str">
        <f ca="1">IF(ListAndConversion!CB136&lt;&gt;"-",ListAndConversion!CB136,"")</f>
        <v/>
      </c>
      <c r="H134" s="565" t="str">
        <f ca="1">IF(ListAndConversion!CC136&lt;&gt;"-",ListAndConversion!CC136,"")</f>
        <v/>
      </c>
      <c r="I134" s="565" t="str">
        <f ca="1">IF(ListAndConversion!CC136&lt;&gt;"-","Microfuge1","")</f>
        <v/>
      </c>
      <c r="J134" s="583" t="str">
        <f ca="1">IF(ListAndConversion!CD136&lt;&gt;"-",ListAndConversion!CD136,"")</f>
        <v/>
      </c>
      <c r="K134" s="577" t="str">
        <f t="shared" ca="1" si="2"/>
        <v/>
      </c>
    </row>
    <row r="135" spans="1:11" x14ac:dyDescent="0.65">
      <c r="A135" s="554" t="str">
        <f ca="1">IF(OR(LEFT(ListAndConversion!BW137,3)="Dil",LEFT(ListAndConversion!BW137,3)="Poo"),ListAndConversion!$BT$4,IF(LEFT(ListAndConversion!BW137,3)="Sou",INDEX(ListAndConversion!$AT$4:$AV$387,MATCH(ListAndConversion!BV137,ListAndConversion!$AV$4:$AV$387,0),1),""))</f>
        <v/>
      </c>
      <c r="B135" s="555" t="str">
        <f ca="1">IF(OR(LEFT(ListAndConversion!BW137,3)="Dil",LEFT(ListAndConversion!BW137,3)="Poo"),ListAndConversion!BU137,IF(LEFT(ListAndConversion!BW137,3)="Sou",INDEX(ListAndConversion!$AT$4:$AV$387,MATCH(ListAndConversion!BV137,ListAndConversion!$AV$4:$AV$387,0),2),""))</f>
        <v/>
      </c>
      <c r="C135" s="555" t="str">
        <f ca="1">IF(ListAndConversion!BZ137&lt;&gt;"-",ListAndConversion!BZ137,"")</f>
        <v/>
      </c>
      <c r="D135" s="555" t="str">
        <f ca="1">IF(ListAndConversion!BW137&lt;&gt;"-",ListAndConversion!BW137,"")</f>
        <v/>
      </c>
      <c r="E135" s="555" t="str">
        <f ca="1">IF(ListAndConversion!BX137&lt;&gt;"-",ListAndConversion!BX137,"")</f>
        <v/>
      </c>
      <c r="F135" s="565" t="str">
        <f ca="1">IF(ListAndConversion!BY137&lt;&gt;"-",ListAndConversion!BY137,"")</f>
        <v/>
      </c>
      <c r="G135" s="565" t="str">
        <f ca="1">IF(ListAndConversion!CB137&lt;&gt;"-",ListAndConversion!CB137,"")</f>
        <v/>
      </c>
      <c r="H135" s="565" t="str">
        <f ca="1">IF(ListAndConversion!CC137&lt;&gt;"-",ListAndConversion!CC137,"")</f>
        <v/>
      </c>
      <c r="I135" s="565" t="str">
        <f ca="1">IF(ListAndConversion!CC137&lt;&gt;"-","Microfuge1","")</f>
        <v/>
      </c>
      <c r="J135" s="583" t="str">
        <f ca="1">IF(ListAndConversion!CD137&lt;&gt;"-",ListAndConversion!CD137,"")</f>
        <v/>
      </c>
      <c r="K135" s="577" t="str">
        <f t="shared" ca="1" si="2"/>
        <v/>
      </c>
    </row>
    <row r="136" spans="1:11" x14ac:dyDescent="0.65">
      <c r="A136" s="554" t="str">
        <f ca="1">IF(OR(LEFT(ListAndConversion!BW138,3)="Dil",LEFT(ListAndConversion!BW138,3)="Poo"),ListAndConversion!$BT$4,IF(LEFT(ListAndConversion!BW138,3)="Sou",INDEX(ListAndConversion!$AT$4:$AV$387,MATCH(ListAndConversion!BV138,ListAndConversion!$AV$4:$AV$387,0),1),""))</f>
        <v/>
      </c>
      <c r="B136" s="555" t="str">
        <f ca="1">IF(OR(LEFT(ListAndConversion!BW138,3)="Dil",LEFT(ListAndConversion!BW138,3)="Poo"),ListAndConversion!BU138,IF(LEFT(ListAndConversion!BW138,3)="Sou",INDEX(ListAndConversion!$AT$4:$AV$387,MATCH(ListAndConversion!BV138,ListAndConversion!$AV$4:$AV$387,0),2),""))</f>
        <v/>
      </c>
      <c r="C136" s="555" t="str">
        <f ca="1">IF(ListAndConversion!BZ138&lt;&gt;"-",ListAndConversion!BZ138,"")</f>
        <v/>
      </c>
      <c r="D136" s="555" t="str">
        <f ca="1">IF(ListAndConversion!BW138&lt;&gt;"-",ListAndConversion!BW138,"")</f>
        <v/>
      </c>
      <c r="E136" s="555" t="str">
        <f ca="1">IF(ListAndConversion!BX138&lt;&gt;"-",ListAndConversion!BX138,"")</f>
        <v/>
      </c>
      <c r="F136" s="565" t="str">
        <f ca="1">IF(ListAndConversion!BY138&lt;&gt;"-",ListAndConversion!BY138,"")</f>
        <v/>
      </c>
      <c r="G136" s="565" t="str">
        <f ca="1">IF(ListAndConversion!CB138&lt;&gt;"-",ListAndConversion!CB138,"")</f>
        <v/>
      </c>
      <c r="H136" s="565" t="str">
        <f ca="1">IF(ListAndConversion!CC138&lt;&gt;"-",ListAndConversion!CC138,"")</f>
        <v/>
      </c>
      <c r="I136" s="565" t="str">
        <f ca="1">IF(ListAndConversion!CC138&lt;&gt;"-","Microfuge1","")</f>
        <v/>
      </c>
      <c r="J136" s="583" t="str">
        <f ca="1">IF(ListAndConversion!CD138&lt;&gt;"-",ListAndConversion!CD138,"")</f>
        <v/>
      </c>
      <c r="K136" s="577" t="str">
        <f t="shared" ca="1" si="2"/>
        <v/>
      </c>
    </row>
    <row r="137" spans="1:11" x14ac:dyDescent="0.65">
      <c r="A137" s="554" t="str">
        <f ca="1">IF(OR(LEFT(ListAndConversion!BW139,3)="Dil",LEFT(ListAndConversion!BW139,3)="Poo"),ListAndConversion!$BT$4,IF(LEFT(ListAndConversion!BW139,3)="Sou",INDEX(ListAndConversion!$AT$4:$AV$387,MATCH(ListAndConversion!BV139,ListAndConversion!$AV$4:$AV$387,0),1),""))</f>
        <v/>
      </c>
      <c r="B137" s="555" t="str">
        <f ca="1">IF(OR(LEFT(ListAndConversion!BW139,3)="Dil",LEFT(ListAndConversion!BW139,3)="Poo"),ListAndConversion!BU139,IF(LEFT(ListAndConversion!BW139,3)="Sou",INDEX(ListAndConversion!$AT$4:$AV$387,MATCH(ListAndConversion!BV139,ListAndConversion!$AV$4:$AV$387,0),2),""))</f>
        <v/>
      </c>
      <c r="C137" s="555" t="str">
        <f ca="1">IF(ListAndConversion!BZ139&lt;&gt;"-",ListAndConversion!BZ139,"")</f>
        <v/>
      </c>
      <c r="D137" s="555" t="str">
        <f ca="1">IF(ListAndConversion!BW139&lt;&gt;"-",ListAndConversion!BW139,"")</f>
        <v/>
      </c>
      <c r="E137" s="555" t="str">
        <f ca="1">IF(ListAndConversion!BX139&lt;&gt;"-",ListAndConversion!BX139,"")</f>
        <v/>
      </c>
      <c r="F137" s="565" t="str">
        <f ca="1">IF(ListAndConversion!BY139&lt;&gt;"-",ListAndConversion!BY139,"")</f>
        <v/>
      </c>
      <c r="G137" s="565" t="str">
        <f ca="1">IF(ListAndConversion!CB139&lt;&gt;"-",ListAndConversion!CB139,"")</f>
        <v/>
      </c>
      <c r="H137" s="565" t="str">
        <f ca="1">IF(ListAndConversion!CC139&lt;&gt;"-",ListAndConversion!CC139,"")</f>
        <v/>
      </c>
      <c r="I137" s="565" t="str">
        <f ca="1">IF(ListAndConversion!CC139&lt;&gt;"-","Microfuge1","")</f>
        <v/>
      </c>
      <c r="J137" s="583" t="str">
        <f ca="1">IF(ListAndConversion!CD139&lt;&gt;"-",ListAndConversion!CD139,"")</f>
        <v/>
      </c>
      <c r="K137" s="577" t="str">
        <f t="shared" ca="1" si="2"/>
        <v/>
      </c>
    </row>
    <row r="138" spans="1:11" x14ac:dyDescent="0.65">
      <c r="A138" s="554" t="str">
        <f ca="1">IF(OR(LEFT(ListAndConversion!BW140,3)="Dil",LEFT(ListAndConversion!BW140,3)="Poo"),ListAndConversion!$BT$4,IF(LEFT(ListAndConversion!BW140,3)="Sou",INDEX(ListAndConversion!$AT$4:$AV$387,MATCH(ListAndConversion!BV140,ListAndConversion!$AV$4:$AV$387,0),1),""))</f>
        <v/>
      </c>
      <c r="B138" s="555" t="str">
        <f ca="1">IF(OR(LEFT(ListAndConversion!BW140,3)="Dil",LEFT(ListAndConversion!BW140,3)="Poo"),ListAndConversion!BU140,IF(LEFT(ListAndConversion!BW140,3)="Sou",INDEX(ListAndConversion!$AT$4:$AV$387,MATCH(ListAndConversion!BV140,ListAndConversion!$AV$4:$AV$387,0),2),""))</f>
        <v/>
      </c>
      <c r="C138" s="555" t="str">
        <f ca="1">IF(ListAndConversion!BZ140&lt;&gt;"-",ListAndConversion!BZ140,"")</f>
        <v/>
      </c>
      <c r="D138" s="555" t="str">
        <f ca="1">IF(ListAndConversion!BW140&lt;&gt;"-",ListAndConversion!BW140,"")</f>
        <v/>
      </c>
      <c r="E138" s="555" t="str">
        <f ca="1">IF(ListAndConversion!BX140&lt;&gt;"-",ListAndConversion!BX140,"")</f>
        <v/>
      </c>
      <c r="F138" s="565" t="str">
        <f ca="1">IF(ListAndConversion!BY140&lt;&gt;"-",ListAndConversion!BY140,"")</f>
        <v/>
      </c>
      <c r="G138" s="565" t="str">
        <f ca="1">IF(ListAndConversion!CB140&lt;&gt;"-",ListAndConversion!CB140,"")</f>
        <v/>
      </c>
      <c r="H138" s="565" t="str">
        <f ca="1">IF(ListAndConversion!CC140&lt;&gt;"-",ListAndConversion!CC140,"")</f>
        <v/>
      </c>
      <c r="I138" s="565" t="str">
        <f ca="1">IF(ListAndConversion!CC140&lt;&gt;"-","Microfuge1","")</f>
        <v/>
      </c>
      <c r="J138" s="583" t="str">
        <f ca="1">IF(ListAndConversion!CD140&lt;&gt;"-",ListAndConversion!CD140,"")</f>
        <v/>
      </c>
      <c r="K138" s="577" t="str">
        <f t="shared" ca="1" si="2"/>
        <v/>
      </c>
    </row>
    <row r="139" spans="1:11" x14ac:dyDescent="0.65">
      <c r="A139" s="554" t="str">
        <f ca="1">IF(OR(LEFT(ListAndConversion!BW141,3)="Dil",LEFT(ListAndConversion!BW141,3)="Poo"),ListAndConversion!$BT$4,IF(LEFT(ListAndConversion!BW141,3)="Sou",INDEX(ListAndConversion!$AT$4:$AV$387,MATCH(ListAndConversion!BV141,ListAndConversion!$AV$4:$AV$387,0),1),""))</f>
        <v/>
      </c>
      <c r="B139" s="555" t="str">
        <f ca="1">IF(OR(LEFT(ListAndConversion!BW141,3)="Dil",LEFT(ListAndConversion!BW141,3)="Poo"),ListAndConversion!BU141,IF(LEFT(ListAndConversion!BW141,3)="Sou",INDEX(ListAndConversion!$AT$4:$AV$387,MATCH(ListAndConversion!BV141,ListAndConversion!$AV$4:$AV$387,0),2),""))</f>
        <v/>
      </c>
      <c r="C139" s="555" t="str">
        <f ca="1">IF(ListAndConversion!BZ141&lt;&gt;"-",ListAndConversion!BZ141,"")</f>
        <v/>
      </c>
      <c r="D139" s="555" t="str">
        <f ca="1">IF(ListAndConversion!BW141&lt;&gt;"-",ListAndConversion!BW141,"")</f>
        <v/>
      </c>
      <c r="E139" s="555" t="str">
        <f ca="1">IF(ListAndConversion!BX141&lt;&gt;"-",ListAndConversion!BX141,"")</f>
        <v/>
      </c>
      <c r="F139" s="565" t="str">
        <f ca="1">IF(ListAndConversion!BY141&lt;&gt;"-",ListAndConversion!BY141,"")</f>
        <v/>
      </c>
      <c r="G139" s="565" t="str">
        <f ca="1">IF(ListAndConversion!CB141&lt;&gt;"-",ListAndConversion!CB141,"")</f>
        <v/>
      </c>
      <c r="H139" s="565" t="str">
        <f ca="1">IF(ListAndConversion!CC141&lt;&gt;"-",ListAndConversion!CC141,"")</f>
        <v/>
      </c>
      <c r="I139" s="565" t="str">
        <f ca="1">IF(ListAndConversion!CC141&lt;&gt;"-","Microfuge1","")</f>
        <v/>
      </c>
      <c r="J139" s="583" t="str">
        <f ca="1">IF(ListAndConversion!CD141&lt;&gt;"-",ListAndConversion!CD141,"")</f>
        <v/>
      </c>
      <c r="K139" s="577" t="str">
        <f t="shared" ca="1" si="2"/>
        <v/>
      </c>
    </row>
    <row r="140" spans="1:11" x14ac:dyDescent="0.65">
      <c r="A140" s="554" t="str">
        <f ca="1">IF(OR(LEFT(ListAndConversion!BW142,3)="Dil",LEFT(ListAndConversion!BW142,3)="Poo"),ListAndConversion!$BT$4,IF(LEFT(ListAndConversion!BW142,3)="Sou",INDEX(ListAndConversion!$AT$4:$AV$387,MATCH(ListAndConversion!BV142,ListAndConversion!$AV$4:$AV$387,0),1),""))</f>
        <v/>
      </c>
      <c r="B140" s="555" t="str">
        <f ca="1">IF(OR(LEFT(ListAndConversion!BW142,3)="Dil",LEFT(ListAndConversion!BW142,3)="Poo"),ListAndConversion!BU142,IF(LEFT(ListAndConversion!BW142,3)="Sou",INDEX(ListAndConversion!$AT$4:$AV$387,MATCH(ListAndConversion!BV142,ListAndConversion!$AV$4:$AV$387,0),2),""))</f>
        <v/>
      </c>
      <c r="C140" s="555" t="str">
        <f ca="1">IF(ListAndConversion!BZ142&lt;&gt;"-",ListAndConversion!BZ142,"")</f>
        <v/>
      </c>
      <c r="D140" s="555" t="str">
        <f ca="1">IF(ListAndConversion!BW142&lt;&gt;"-",ListAndConversion!BW142,"")</f>
        <v/>
      </c>
      <c r="E140" s="555" t="str">
        <f ca="1">IF(ListAndConversion!BX142&lt;&gt;"-",ListAndConversion!BX142,"")</f>
        <v/>
      </c>
      <c r="F140" s="565" t="str">
        <f ca="1">IF(ListAndConversion!BY142&lt;&gt;"-",ListAndConversion!BY142,"")</f>
        <v/>
      </c>
      <c r="G140" s="565" t="str">
        <f ca="1">IF(ListAndConversion!CB142&lt;&gt;"-",ListAndConversion!CB142,"")</f>
        <v/>
      </c>
      <c r="H140" s="565" t="str">
        <f ca="1">IF(ListAndConversion!CC142&lt;&gt;"-",ListAndConversion!CC142,"")</f>
        <v/>
      </c>
      <c r="I140" s="565" t="str">
        <f ca="1">IF(ListAndConversion!CC142&lt;&gt;"-","Microfuge1","")</f>
        <v/>
      </c>
      <c r="J140" s="583" t="str">
        <f ca="1">IF(ListAndConversion!CD142&lt;&gt;"-",ListAndConversion!CD142,"")</f>
        <v/>
      </c>
      <c r="K140" s="577" t="str">
        <f t="shared" ca="1" si="2"/>
        <v/>
      </c>
    </row>
    <row r="141" spans="1:11" x14ac:dyDescent="0.65">
      <c r="A141" s="554" t="str">
        <f ca="1">IF(OR(LEFT(ListAndConversion!BW143,3)="Dil",LEFT(ListAndConversion!BW143,3)="Poo"),ListAndConversion!$BT$4,IF(LEFT(ListAndConversion!BW143,3)="Sou",INDEX(ListAndConversion!$AT$4:$AV$387,MATCH(ListAndConversion!BV143,ListAndConversion!$AV$4:$AV$387,0),1),""))</f>
        <v/>
      </c>
      <c r="B141" s="555" t="str">
        <f ca="1">IF(OR(LEFT(ListAndConversion!BW143,3)="Dil",LEFT(ListAndConversion!BW143,3)="Poo"),ListAndConversion!BU143,IF(LEFT(ListAndConversion!BW143,3)="Sou",INDEX(ListAndConversion!$AT$4:$AV$387,MATCH(ListAndConversion!BV143,ListAndConversion!$AV$4:$AV$387,0),2),""))</f>
        <v/>
      </c>
      <c r="C141" s="555" t="str">
        <f ca="1">IF(ListAndConversion!BZ143&lt;&gt;"-",ListAndConversion!BZ143,"")</f>
        <v/>
      </c>
      <c r="D141" s="555" t="str">
        <f ca="1">IF(ListAndConversion!BW143&lt;&gt;"-",ListAndConversion!BW143,"")</f>
        <v/>
      </c>
      <c r="E141" s="555" t="str">
        <f ca="1">IF(ListAndConversion!BX143&lt;&gt;"-",ListAndConversion!BX143,"")</f>
        <v/>
      </c>
      <c r="F141" s="565" t="str">
        <f ca="1">IF(ListAndConversion!BY143&lt;&gt;"-",ListAndConversion!BY143,"")</f>
        <v/>
      </c>
      <c r="G141" s="565" t="str">
        <f ca="1">IF(ListAndConversion!CB143&lt;&gt;"-",ListAndConversion!CB143,"")</f>
        <v/>
      </c>
      <c r="H141" s="565" t="str">
        <f ca="1">IF(ListAndConversion!CC143&lt;&gt;"-",ListAndConversion!CC143,"")</f>
        <v/>
      </c>
      <c r="I141" s="565" t="str">
        <f ca="1">IF(ListAndConversion!CC143&lt;&gt;"-","Microfuge1","")</f>
        <v/>
      </c>
      <c r="J141" s="583" t="str">
        <f ca="1">IF(ListAndConversion!CD143&lt;&gt;"-",ListAndConversion!CD143,"")</f>
        <v/>
      </c>
      <c r="K141" s="577" t="str">
        <f t="shared" ca="1" si="2"/>
        <v/>
      </c>
    </row>
    <row r="142" spans="1:11" x14ac:dyDescent="0.65">
      <c r="A142" s="554" t="str">
        <f ca="1">IF(OR(LEFT(ListAndConversion!BW144,3)="Dil",LEFT(ListAndConversion!BW144,3)="Poo"),ListAndConversion!$BT$4,IF(LEFT(ListAndConversion!BW144,3)="Sou",INDEX(ListAndConversion!$AT$4:$AV$387,MATCH(ListAndConversion!BV144,ListAndConversion!$AV$4:$AV$387,0),1),""))</f>
        <v/>
      </c>
      <c r="B142" s="555" t="str">
        <f ca="1">IF(OR(LEFT(ListAndConversion!BW144,3)="Dil",LEFT(ListAndConversion!BW144,3)="Poo"),ListAndConversion!BU144,IF(LEFT(ListAndConversion!BW144,3)="Sou",INDEX(ListAndConversion!$AT$4:$AV$387,MATCH(ListAndConversion!BV144,ListAndConversion!$AV$4:$AV$387,0),2),""))</f>
        <v/>
      </c>
      <c r="C142" s="555" t="str">
        <f ca="1">IF(ListAndConversion!BZ144&lt;&gt;"-",ListAndConversion!BZ144,"")</f>
        <v/>
      </c>
      <c r="D142" s="555" t="str">
        <f ca="1">IF(ListAndConversion!BW144&lt;&gt;"-",ListAndConversion!BW144,"")</f>
        <v/>
      </c>
      <c r="E142" s="555" t="str">
        <f ca="1">IF(ListAndConversion!BX144&lt;&gt;"-",ListAndConversion!BX144,"")</f>
        <v/>
      </c>
      <c r="F142" s="565" t="str">
        <f ca="1">IF(ListAndConversion!BY144&lt;&gt;"-",ListAndConversion!BY144,"")</f>
        <v/>
      </c>
      <c r="G142" s="565" t="str">
        <f ca="1">IF(ListAndConversion!CB144&lt;&gt;"-",ListAndConversion!CB144,"")</f>
        <v/>
      </c>
      <c r="H142" s="565" t="str">
        <f ca="1">IF(ListAndConversion!CC144&lt;&gt;"-",ListAndConversion!CC144,"")</f>
        <v/>
      </c>
      <c r="I142" s="565" t="str">
        <f ca="1">IF(ListAndConversion!CC144&lt;&gt;"-","Microfuge1","")</f>
        <v/>
      </c>
      <c r="J142" s="583" t="str">
        <f ca="1">IF(ListAndConversion!CD144&lt;&gt;"-",ListAndConversion!CD144,"")</f>
        <v/>
      </c>
      <c r="K142" s="577" t="str">
        <f t="shared" ca="1" si="2"/>
        <v/>
      </c>
    </row>
    <row r="143" spans="1:11" x14ac:dyDescent="0.65">
      <c r="A143" s="554" t="str">
        <f ca="1">IF(OR(LEFT(ListAndConversion!BW145,3)="Dil",LEFT(ListAndConversion!BW145,3)="Poo"),ListAndConversion!$BT$4,IF(LEFT(ListAndConversion!BW145,3)="Sou",INDEX(ListAndConversion!$AT$4:$AV$387,MATCH(ListAndConversion!BV145,ListAndConversion!$AV$4:$AV$387,0),1),""))</f>
        <v/>
      </c>
      <c r="B143" s="555" t="str">
        <f ca="1">IF(OR(LEFT(ListAndConversion!BW145,3)="Dil",LEFT(ListAndConversion!BW145,3)="Poo"),ListAndConversion!BU145,IF(LEFT(ListAndConversion!BW145,3)="Sou",INDEX(ListAndConversion!$AT$4:$AV$387,MATCH(ListAndConversion!BV145,ListAndConversion!$AV$4:$AV$387,0),2),""))</f>
        <v/>
      </c>
      <c r="C143" s="555" t="str">
        <f ca="1">IF(ListAndConversion!BZ145&lt;&gt;"-",ListAndConversion!BZ145,"")</f>
        <v/>
      </c>
      <c r="D143" s="555" t="str">
        <f ca="1">IF(ListAndConversion!BW145&lt;&gt;"-",ListAndConversion!BW145,"")</f>
        <v/>
      </c>
      <c r="E143" s="555" t="str">
        <f ca="1">IF(ListAndConversion!BX145&lt;&gt;"-",ListAndConversion!BX145,"")</f>
        <v/>
      </c>
      <c r="F143" s="565" t="str">
        <f ca="1">IF(ListAndConversion!BY145&lt;&gt;"-",ListAndConversion!BY145,"")</f>
        <v/>
      </c>
      <c r="G143" s="565" t="str">
        <f ca="1">IF(ListAndConversion!CB145&lt;&gt;"-",ListAndConversion!CB145,"")</f>
        <v/>
      </c>
      <c r="H143" s="565" t="str">
        <f ca="1">IF(ListAndConversion!CC145&lt;&gt;"-",ListAndConversion!CC145,"")</f>
        <v/>
      </c>
      <c r="I143" s="565" t="str">
        <f ca="1">IF(ListAndConversion!CC145&lt;&gt;"-","Microfuge1","")</f>
        <v/>
      </c>
      <c r="J143" s="583" t="str">
        <f ca="1">IF(ListAndConversion!CD145&lt;&gt;"-",ListAndConversion!CD145,"")</f>
        <v/>
      </c>
      <c r="K143" s="577" t="str">
        <f t="shared" ca="1" si="2"/>
        <v/>
      </c>
    </row>
    <row r="144" spans="1:11" x14ac:dyDescent="0.65">
      <c r="A144" s="554" t="str">
        <f ca="1">IF(OR(LEFT(ListAndConversion!BW146,3)="Dil",LEFT(ListAndConversion!BW146,3)="Poo"),ListAndConversion!$BT$4,IF(LEFT(ListAndConversion!BW146,3)="Sou",INDEX(ListAndConversion!$AT$4:$AV$387,MATCH(ListAndConversion!BV146,ListAndConversion!$AV$4:$AV$387,0),1),""))</f>
        <v/>
      </c>
      <c r="B144" s="555" t="str">
        <f ca="1">IF(OR(LEFT(ListAndConversion!BW146,3)="Dil",LEFT(ListAndConversion!BW146,3)="Poo"),ListAndConversion!BU146,IF(LEFT(ListAndConversion!BW146,3)="Sou",INDEX(ListAndConversion!$AT$4:$AV$387,MATCH(ListAndConversion!BV146,ListAndConversion!$AV$4:$AV$387,0),2),""))</f>
        <v/>
      </c>
      <c r="C144" s="555" t="str">
        <f ca="1">IF(ListAndConversion!BZ146&lt;&gt;"-",ListAndConversion!BZ146,"")</f>
        <v/>
      </c>
      <c r="D144" s="555" t="str">
        <f ca="1">IF(ListAndConversion!BW146&lt;&gt;"-",ListAndConversion!BW146,"")</f>
        <v/>
      </c>
      <c r="E144" s="555" t="str">
        <f ca="1">IF(ListAndConversion!BX146&lt;&gt;"-",ListAndConversion!BX146,"")</f>
        <v/>
      </c>
      <c r="F144" s="565" t="str">
        <f ca="1">IF(ListAndConversion!BY146&lt;&gt;"-",ListAndConversion!BY146,"")</f>
        <v/>
      </c>
      <c r="G144" s="565" t="str">
        <f ca="1">IF(ListAndConversion!CB146&lt;&gt;"-",ListAndConversion!CB146,"")</f>
        <v/>
      </c>
      <c r="H144" s="565" t="str">
        <f ca="1">IF(ListAndConversion!CC146&lt;&gt;"-",ListAndConversion!CC146,"")</f>
        <v/>
      </c>
      <c r="I144" s="565" t="str">
        <f ca="1">IF(ListAndConversion!CC146&lt;&gt;"-","Microfuge1","")</f>
        <v/>
      </c>
      <c r="J144" s="583" t="str">
        <f ca="1">IF(ListAndConversion!CD146&lt;&gt;"-",ListAndConversion!CD146,"")</f>
        <v/>
      </c>
      <c r="K144" s="577" t="str">
        <f t="shared" ca="1" si="2"/>
        <v/>
      </c>
    </row>
    <row r="145" spans="1:11" x14ac:dyDescent="0.65">
      <c r="A145" s="554" t="str">
        <f ca="1">IF(OR(LEFT(ListAndConversion!BW147,3)="Dil",LEFT(ListAndConversion!BW147,3)="Poo"),ListAndConversion!$BT$4,IF(LEFT(ListAndConversion!BW147,3)="Sou",INDEX(ListAndConversion!$AT$4:$AV$387,MATCH(ListAndConversion!BV147,ListAndConversion!$AV$4:$AV$387,0),1),""))</f>
        <v/>
      </c>
      <c r="B145" s="555" t="str">
        <f ca="1">IF(OR(LEFT(ListAndConversion!BW147,3)="Dil",LEFT(ListAndConversion!BW147,3)="Poo"),ListAndConversion!BU147,IF(LEFT(ListAndConversion!BW147,3)="Sou",INDEX(ListAndConversion!$AT$4:$AV$387,MATCH(ListAndConversion!BV147,ListAndConversion!$AV$4:$AV$387,0),2),""))</f>
        <v/>
      </c>
      <c r="C145" s="555" t="str">
        <f ca="1">IF(ListAndConversion!BZ147&lt;&gt;"-",ListAndConversion!BZ147,"")</f>
        <v/>
      </c>
      <c r="D145" s="555" t="str">
        <f ca="1">IF(ListAndConversion!BW147&lt;&gt;"-",ListAndConversion!BW147,"")</f>
        <v/>
      </c>
      <c r="E145" s="555" t="str">
        <f ca="1">IF(ListAndConversion!BX147&lt;&gt;"-",ListAndConversion!BX147,"")</f>
        <v/>
      </c>
      <c r="F145" s="565" t="str">
        <f ca="1">IF(ListAndConversion!BY147&lt;&gt;"-",ListAndConversion!BY147,"")</f>
        <v/>
      </c>
      <c r="G145" s="565" t="str">
        <f ca="1">IF(ListAndConversion!CB147&lt;&gt;"-",ListAndConversion!CB147,"")</f>
        <v/>
      </c>
      <c r="H145" s="565" t="str">
        <f ca="1">IF(ListAndConversion!CC147&lt;&gt;"-",ListAndConversion!CC147,"")</f>
        <v/>
      </c>
      <c r="I145" s="565" t="str">
        <f ca="1">IF(ListAndConversion!CC147&lt;&gt;"-","Microfuge1","")</f>
        <v/>
      </c>
      <c r="J145" s="583" t="str">
        <f ca="1">IF(ListAndConversion!CD147&lt;&gt;"-",ListAndConversion!CD147,"")</f>
        <v/>
      </c>
      <c r="K145" s="577" t="str">
        <f t="shared" ca="1" si="2"/>
        <v/>
      </c>
    </row>
    <row r="146" spans="1:11" x14ac:dyDescent="0.65">
      <c r="A146" s="554" t="str">
        <f ca="1">IF(OR(LEFT(ListAndConversion!BW148,3)="Dil",LEFT(ListAndConversion!BW148,3)="Poo"),ListAndConversion!$BT$4,IF(LEFT(ListAndConversion!BW148,3)="Sou",INDEX(ListAndConversion!$AT$4:$AV$387,MATCH(ListAndConversion!BV148,ListAndConversion!$AV$4:$AV$387,0),1),""))</f>
        <v/>
      </c>
      <c r="B146" s="555" t="str">
        <f ca="1">IF(OR(LEFT(ListAndConversion!BW148,3)="Dil",LEFT(ListAndConversion!BW148,3)="Poo"),ListAndConversion!BU148,IF(LEFT(ListAndConversion!BW148,3)="Sou",INDEX(ListAndConversion!$AT$4:$AV$387,MATCH(ListAndConversion!BV148,ListAndConversion!$AV$4:$AV$387,0),2),""))</f>
        <v/>
      </c>
      <c r="C146" s="555" t="str">
        <f ca="1">IF(ListAndConversion!BZ148&lt;&gt;"-",ListAndConversion!BZ148,"")</f>
        <v/>
      </c>
      <c r="D146" s="555" t="str">
        <f ca="1">IF(ListAndConversion!BW148&lt;&gt;"-",ListAndConversion!BW148,"")</f>
        <v/>
      </c>
      <c r="E146" s="555" t="str">
        <f ca="1">IF(ListAndConversion!BX148&lt;&gt;"-",ListAndConversion!BX148,"")</f>
        <v/>
      </c>
      <c r="F146" s="565" t="str">
        <f ca="1">IF(ListAndConversion!BY148&lt;&gt;"-",ListAndConversion!BY148,"")</f>
        <v/>
      </c>
      <c r="G146" s="565" t="str">
        <f ca="1">IF(ListAndConversion!CB148&lt;&gt;"-",ListAndConversion!CB148,"")</f>
        <v/>
      </c>
      <c r="H146" s="565" t="str">
        <f ca="1">IF(ListAndConversion!CC148&lt;&gt;"-",ListAndConversion!CC148,"")</f>
        <v/>
      </c>
      <c r="I146" s="565" t="str">
        <f ca="1">IF(ListAndConversion!CC148&lt;&gt;"-","Microfuge1","")</f>
        <v/>
      </c>
      <c r="J146" s="583" t="str">
        <f ca="1">IF(ListAndConversion!CD148&lt;&gt;"-",ListAndConversion!CD148,"")</f>
        <v/>
      </c>
      <c r="K146" s="577" t="str">
        <f t="shared" ca="1" si="2"/>
        <v/>
      </c>
    </row>
    <row r="147" spans="1:11" x14ac:dyDescent="0.65">
      <c r="A147" s="554" t="str">
        <f ca="1">IF(OR(LEFT(ListAndConversion!BW149,3)="Dil",LEFT(ListAndConversion!BW149,3)="Poo"),ListAndConversion!$BT$4,IF(LEFT(ListAndConversion!BW149,3)="Sou",INDEX(ListAndConversion!$AT$4:$AV$387,MATCH(ListAndConversion!BV149,ListAndConversion!$AV$4:$AV$387,0),1),""))</f>
        <v/>
      </c>
      <c r="B147" s="555" t="str">
        <f ca="1">IF(OR(LEFT(ListAndConversion!BW149,3)="Dil",LEFT(ListAndConversion!BW149,3)="Poo"),ListAndConversion!BU149,IF(LEFT(ListAndConversion!BW149,3)="Sou",INDEX(ListAndConversion!$AT$4:$AV$387,MATCH(ListAndConversion!BV149,ListAndConversion!$AV$4:$AV$387,0),2),""))</f>
        <v/>
      </c>
      <c r="C147" s="555" t="str">
        <f ca="1">IF(ListAndConversion!BZ149&lt;&gt;"-",ListAndConversion!BZ149,"")</f>
        <v/>
      </c>
      <c r="D147" s="555" t="str">
        <f ca="1">IF(ListAndConversion!BW149&lt;&gt;"-",ListAndConversion!BW149,"")</f>
        <v/>
      </c>
      <c r="E147" s="555" t="str">
        <f ca="1">IF(ListAndConversion!BX149&lt;&gt;"-",ListAndConversion!BX149,"")</f>
        <v/>
      </c>
      <c r="F147" s="565" t="str">
        <f ca="1">IF(ListAndConversion!BY149&lt;&gt;"-",ListAndConversion!BY149,"")</f>
        <v/>
      </c>
      <c r="G147" s="565" t="str">
        <f ca="1">IF(ListAndConversion!CB149&lt;&gt;"-",ListAndConversion!CB149,"")</f>
        <v/>
      </c>
      <c r="H147" s="565" t="str">
        <f ca="1">IF(ListAndConversion!CC149&lt;&gt;"-",ListAndConversion!CC149,"")</f>
        <v/>
      </c>
      <c r="I147" s="565" t="str">
        <f ca="1">IF(ListAndConversion!CC149&lt;&gt;"-","Microfuge1","")</f>
        <v/>
      </c>
      <c r="J147" s="583" t="str">
        <f ca="1">IF(ListAndConversion!CD149&lt;&gt;"-",ListAndConversion!CD149,"")</f>
        <v/>
      </c>
      <c r="K147" s="577" t="str">
        <f t="shared" ca="1" si="2"/>
        <v/>
      </c>
    </row>
    <row r="148" spans="1:11" x14ac:dyDescent="0.65">
      <c r="A148" s="554" t="str">
        <f ca="1">IF(OR(LEFT(ListAndConversion!BW150,3)="Dil",LEFT(ListAndConversion!BW150,3)="Poo"),ListAndConversion!$BT$4,IF(LEFT(ListAndConversion!BW150,3)="Sou",INDEX(ListAndConversion!$AT$4:$AV$387,MATCH(ListAndConversion!BV150,ListAndConversion!$AV$4:$AV$387,0),1),""))</f>
        <v/>
      </c>
      <c r="B148" s="555" t="str">
        <f ca="1">IF(OR(LEFT(ListAndConversion!BW150,3)="Dil",LEFT(ListAndConversion!BW150,3)="Poo"),ListAndConversion!BU150,IF(LEFT(ListAndConversion!BW150,3)="Sou",INDEX(ListAndConversion!$AT$4:$AV$387,MATCH(ListAndConversion!BV150,ListAndConversion!$AV$4:$AV$387,0),2),""))</f>
        <v/>
      </c>
      <c r="C148" s="555" t="str">
        <f ca="1">IF(ListAndConversion!BZ150&lt;&gt;"-",ListAndConversion!BZ150,"")</f>
        <v/>
      </c>
      <c r="D148" s="555" t="str">
        <f ca="1">IF(ListAndConversion!BW150&lt;&gt;"-",ListAndConversion!BW150,"")</f>
        <v/>
      </c>
      <c r="E148" s="555" t="str">
        <f ca="1">IF(ListAndConversion!BX150&lt;&gt;"-",ListAndConversion!BX150,"")</f>
        <v/>
      </c>
      <c r="F148" s="565" t="str">
        <f ca="1">IF(ListAndConversion!BY150&lt;&gt;"-",ListAndConversion!BY150,"")</f>
        <v/>
      </c>
      <c r="G148" s="565" t="str">
        <f ca="1">IF(ListAndConversion!CB150&lt;&gt;"-",ListAndConversion!CB150,"")</f>
        <v/>
      </c>
      <c r="H148" s="565" t="str">
        <f ca="1">IF(ListAndConversion!CC150&lt;&gt;"-",ListAndConversion!CC150,"")</f>
        <v/>
      </c>
      <c r="I148" s="565" t="str">
        <f ca="1">IF(ListAndConversion!CC150&lt;&gt;"-","Microfuge1","")</f>
        <v/>
      </c>
      <c r="J148" s="583" t="str">
        <f ca="1">IF(ListAndConversion!CD150&lt;&gt;"-",ListAndConversion!CD150,"")</f>
        <v/>
      </c>
      <c r="K148" s="577" t="str">
        <f t="shared" ca="1" si="2"/>
        <v/>
      </c>
    </row>
    <row r="149" spans="1:11" x14ac:dyDescent="0.65">
      <c r="A149" s="554" t="str">
        <f ca="1">IF(OR(LEFT(ListAndConversion!BW151,3)="Dil",LEFT(ListAndConversion!BW151,3)="Poo"),ListAndConversion!$BT$4,IF(LEFT(ListAndConversion!BW151,3)="Sou",INDEX(ListAndConversion!$AT$4:$AV$387,MATCH(ListAndConversion!BV151,ListAndConversion!$AV$4:$AV$387,0),1),""))</f>
        <v/>
      </c>
      <c r="B149" s="555" t="str">
        <f ca="1">IF(OR(LEFT(ListAndConversion!BW151,3)="Dil",LEFT(ListAndConversion!BW151,3)="Poo"),ListAndConversion!BU151,IF(LEFT(ListAndConversion!BW151,3)="Sou",INDEX(ListAndConversion!$AT$4:$AV$387,MATCH(ListAndConversion!BV151,ListAndConversion!$AV$4:$AV$387,0),2),""))</f>
        <v/>
      </c>
      <c r="C149" s="555" t="str">
        <f ca="1">IF(ListAndConversion!BZ151&lt;&gt;"-",ListAndConversion!BZ151,"")</f>
        <v/>
      </c>
      <c r="D149" s="555" t="str">
        <f ca="1">IF(ListAndConversion!BW151&lt;&gt;"-",ListAndConversion!BW151,"")</f>
        <v/>
      </c>
      <c r="E149" s="555" t="str">
        <f ca="1">IF(ListAndConversion!BX151&lt;&gt;"-",ListAndConversion!BX151,"")</f>
        <v/>
      </c>
      <c r="F149" s="565" t="str">
        <f ca="1">IF(ListAndConversion!BY151&lt;&gt;"-",ListAndConversion!BY151,"")</f>
        <v/>
      </c>
      <c r="G149" s="565" t="str">
        <f ca="1">IF(ListAndConversion!CB151&lt;&gt;"-",ListAndConversion!CB151,"")</f>
        <v/>
      </c>
      <c r="H149" s="565" t="str">
        <f ca="1">IF(ListAndConversion!CC151&lt;&gt;"-",ListAndConversion!CC151,"")</f>
        <v/>
      </c>
      <c r="I149" s="565" t="str">
        <f ca="1">IF(ListAndConversion!CC151&lt;&gt;"-","Microfuge1","")</f>
        <v/>
      </c>
      <c r="J149" s="583" t="str">
        <f ca="1">IF(ListAndConversion!CD151&lt;&gt;"-",ListAndConversion!CD151,"")</f>
        <v/>
      </c>
      <c r="K149" s="577" t="str">
        <f t="shared" ca="1" si="2"/>
        <v/>
      </c>
    </row>
    <row r="150" spans="1:11" x14ac:dyDescent="0.65">
      <c r="A150" s="554" t="str">
        <f ca="1">IF(OR(LEFT(ListAndConversion!BW152,3)="Dil",LEFT(ListAndConversion!BW152,3)="Poo"),ListAndConversion!$BT$4,IF(LEFT(ListAndConversion!BW152,3)="Sou",INDEX(ListAndConversion!$AT$4:$AV$387,MATCH(ListAndConversion!BV152,ListAndConversion!$AV$4:$AV$387,0),1),""))</f>
        <v/>
      </c>
      <c r="B150" s="555" t="str">
        <f ca="1">IF(OR(LEFT(ListAndConversion!BW152,3)="Dil",LEFT(ListAndConversion!BW152,3)="Poo"),ListAndConversion!BU152,IF(LEFT(ListAndConversion!BW152,3)="Sou",INDEX(ListAndConversion!$AT$4:$AV$387,MATCH(ListAndConversion!BV152,ListAndConversion!$AV$4:$AV$387,0),2),""))</f>
        <v/>
      </c>
      <c r="C150" s="555" t="str">
        <f ca="1">IF(ListAndConversion!BZ152&lt;&gt;"-",ListAndConversion!BZ152,"")</f>
        <v/>
      </c>
      <c r="D150" s="555" t="str">
        <f ca="1">IF(ListAndConversion!BW152&lt;&gt;"-",ListAndConversion!BW152,"")</f>
        <v/>
      </c>
      <c r="E150" s="555" t="str">
        <f ca="1">IF(ListAndConversion!BX152&lt;&gt;"-",ListAndConversion!BX152,"")</f>
        <v/>
      </c>
      <c r="F150" s="565" t="str">
        <f ca="1">IF(ListAndConversion!BY152&lt;&gt;"-",ListAndConversion!BY152,"")</f>
        <v/>
      </c>
      <c r="G150" s="565" t="str">
        <f ca="1">IF(ListAndConversion!CB152&lt;&gt;"-",ListAndConversion!CB152,"")</f>
        <v/>
      </c>
      <c r="H150" s="565" t="str">
        <f ca="1">IF(ListAndConversion!CC152&lt;&gt;"-",ListAndConversion!CC152,"")</f>
        <v/>
      </c>
      <c r="I150" s="565" t="str">
        <f ca="1">IF(ListAndConversion!CC152&lt;&gt;"-","Microfuge1","")</f>
        <v/>
      </c>
      <c r="J150" s="583" t="str">
        <f ca="1">IF(ListAndConversion!CD152&lt;&gt;"-",ListAndConversion!CD152,"")</f>
        <v/>
      </c>
      <c r="K150" s="577" t="str">
        <f t="shared" ca="1" si="2"/>
        <v/>
      </c>
    </row>
    <row r="151" spans="1:11" x14ac:dyDescent="0.65">
      <c r="A151" s="554" t="str">
        <f ca="1">IF(OR(LEFT(ListAndConversion!BW153,3)="Dil",LEFT(ListAndConversion!BW153,3)="Poo"),ListAndConversion!$BT$4,IF(LEFT(ListAndConversion!BW153,3)="Sou",INDEX(ListAndConversion!$AT$4:$AV$387,MATCH(ListAndConversion!BV153,ListAndConversion!$AV$4:$AV$387,0),1),""))</f>
        <v/>
      </c>
      <c r="B151" s="555" t="str">
        <f ca="1">IF(OR(LEFT(ListAndConversion!BW153,3)="Dil",LEFT(ListAndConversion!BW153,3)="Poo"),ListAndConversion!BU153,IF(LEFT(ListAndConversion!BW153,3)="Sou",INDEX(ListAndConversion!$AT$4:$AV$387,MATCH(ListAndConversion!BV153,ListAndConversion!$AV$4:$AV$387,0),2),""))</f>
        <v/>
      </c>
      <c r="C151" s="555" t="str">
        <f ca="1">IF(ListAndConversion!BZ153&lt;&gt;"-",ListAndConversion!BZ153,"")</f>
        <v/>
      </c>
      <c r="D151" s="555" t="str">
        <f ca="1">IF(ListAndConversion!BW153&lt;&gt;"-",ListAndConversion!BW153,"")</f>
        <v/>
      </c>
      <c r="E151" s="555" t="str">
        <f ca="1">IF(ListAndConversion!BX153&lt;&gt;"-",ListAndConversion!BX153,"")</f>
        <v/>
      </c>
      <c r="F151" s="565" t="str">
        <f ca="1">IF(ListAndConversion!BY153&lt;&gt;"-",ListAndConversion!BY153,"")</f>
        <v/>
      </c>
      <c r="G151" s="565" t="str">
        <f ca="1">IF(ListAndConversion!CB153&lt;&gt;"-",ListAndConversion!CB153,"")</f>
        <v/>
      </c>
      <c r="H151" s="565" t="str">
        <f ca="1">IF(ListAndConversion!CC153&lt;&gt;"-",ListAndConversion!CC153,"")</f>
        <v/>
      </c>
      <c r="I151" s="565" t="str">
        <f ca="1">IF(ListAndConversion!CC153&lt;&gt;"-","Microfuge1","")</f>
        <v/>
      </c>
      <c r="J151" s="583" t="str">
        <f ca="1">IF(ListAndConversion!CD153&lt;&gt;"-",ListAndConversion!CD153,"")</f>
        <v/>
      </c>
      <c r="K151" s="577" t="str">
        <f t="shared" ca="1" si="2"/>
        <v/>
      </c>
    </row>
    <row r="152" spans="1:11" x14ac:dyDescent="0.65">
      <c r="A152" s="554" t="str">
        <f ca="1">IF(OR(LEFT(ListAndConversion!BW154,3)="Dil",LEFT(ListAndConversion!BW154,3)="Poo"),ListAndConversion!$BT$4,IF(LEFT(ListAndConversion!BW154,3)="Sou",INDEX(ListAndConversion!$AT$4:$AV$387,MATCH(ListAndConversion!BV154,ListAndConversion!$AV$4:$AV$387,0),1),""))</f>
        <v/>
      </c>
      <c r="B152" s="555" t="str">
        <f ca="1">IF(OR(LEFT(ListAndConversion!BW154,3)="Dil",LEFT(ListAndConversion!BW154,3)="Poo"),ListAndConversion!BU154,IF(LEFT(ListAndConversion!BW154,3)="Sou",INDEX(ListAndConversion!$AT$4:$AV$387,MATCH(ListAndConversion!BV154,ListAndConversion!$AV$4:$AV$387,0),2),""))</f>
        <v/>
      </c>
      <c r="C152" s="555" t="str">
        <f ca="1">IF(ListAndConversion!BZ154&lt;&gt;"-",ListAndConversion!BZ154,"")</f>
        <v/>
      </c>
      <c r="D152" s="555" t="str">
        <f ca="1">IF(ListAndConversion!BW154&lt;&gt;"-",ListAndConversion!BW154,"")</f>
        <v/>
      </c>
      <c r="E152" s="555" t="str">
        <f ca="1">IF(ListAndConversion!BX154&lt;&gt;"-",ListAndConversion!BX154,"")</f>
        <v/>
      </c>
      <c r="F152" s="565" t="str">
        <f ca="1">IF(ListAndConversion!BY154&lt;&gt;"-",ListAndConversion!BY154,"")</f>
        <v/>
      </c>
      <c r="G152" s="565" t="str">
        <f ca="1">IF(ListAndConversion!CB154&lt;&gt;"-",ListAndConversion!CB154,"")</f>
        <v/>
      </c>
      <c r="H152" s="565" t="str">
        <f ca="1">IF(ListAndConversion!CC154&lt;&gt;"-",ListAndConversion!CC154,"")</f>
        <v/>
      </c>
      <c r="I152" s="565" t="str">
        <f ca="1">IF(ListAndConversion!CC154&lt;&gt;"-","Microfuge1","")</f>
        <v/>
      </c>
      <c r="J152" s="583" t="str">
        <f ca="1">IF(ListAndConversion!CD154&lt;&gt;"-",ListAndConversion!CD154,"")</f>
        <v/>
      </c>
      <c r="K152" s="577" t="str">
        <f t="shared" ca="1" si="2"/>
        <v/>
      </c>
    </row>
    <row r="153" spans="1:11" x14ac:dyDescent="0.65">
      <c r="A153" s="554" t="str">
        <f ca="1">IF(OR(LEFT(ListAndConversion!BW155,3)="Dil",LEFT(ListAndConversion!BW155,3)="Poo"),ListAndConversion!$BT$4,IF(LEFT(ListAndConversion!BW155,3)="Sou",INDEX(ListAndConversion!$AT$4:$AV$387,MATCH(ListAndConversion!BV155,ListAndConversion!$AV$4:$AV$387,0),1),""))</f>
        <v/>
      </c>
      <c r="B153" s="555" t="str">
        <f ca="1">IF(OR(LEFT(ListAndConversion!BW155,3)="Dil",LEFT(ListAndConversion!BW155,3)="Poo"),ListAndConversion!BU155,IF(LEFT(ListAndConversion!BW155,3)="Sou",INDEX(ListAndConversion!$AT$4:$AV$387,MATCH(ListAndConversion!BV155,ListAndConversion!$AV$4:$AV$387,0),2),""))</f>
        <v/>
      </c>
      <c r="C153" s="555" t="str">
        <f ca="1">IF(ListAndConversion!BZ155&lt;&gt;"-",ListAndConversion!BZ155,"")</f>
        <v/>
      </c>
      <c r="D153" s="555" t="str">
        <f ca="1">IF(ListAndConversion!BW155&lt;&gt;"-",ListAndConversion!BW155,"")</f>
        <v/>
      </c>
      <c r="E153" s="555" t="str">
        <f ca="1">IF(ListAndConversion!BX155&lt;&gt;"-",ListAndConversion!BX155,"")</f>
        <v/>
      </c>
      <c r="F153" s="565" t="str">
        <f ca="1">IF(ListAndConversion!BY155&lt;&gt;"-",ListAndConversion!BY155,"")</f>
        <v/>
      </c>
      <c r="G153" s="565" t="str">
        <f ca="1">IF(ListAndConversion!CB155&lt;&gt;"-",ListAndConversion!CB155,"")</f>
        <v/>
      </c>
      <c r="H153" s="565" t="str">
        <f ca="1">IF(ListAndConversion!CC155&lt;&gt;"-",ListAndConversion!CC155,"")</f>
        <v/>
      </c>
      <c r="I153" s="565" t="str">
        <f ca="1">IF(ListAndConversion!CC155&lt;&gt;"-","Microfuge1","")</f>
        <v/>
      </c>
      <c r="J153" s="583" t="str">
        <f ca="1">IF(ListAndConversion!CD155&lt;&gt;"-",ListAndConversion!CD155,"")</f>
        <v/>
      </c>
      <c r="K153" s="577" t="str">
        <f t="shared" ca="1" si="2"/>
        <v/>
      </c>
    </row>
    <row r="154" spans="1:11" x14ac:dyDescent="0.65">
      <c r="A154" s="554" t="str">
        <f ca="1">IF(OR(LEFT(ListAndConversion!BW156,3)="Dil",LEFT(ListAndConversion!BW156,3)="Poo"),ListAndConversion!$BT$4,IF(LEFT(ListAndConversion!BW156,3)="Sou",INDEX(ListAndConversion!$AT$4:$AV$387,MATCH(ListAndConversion!BV156,ListAndConversion!$AV$4:$AV$387,0),1),""))</f>
        <v/>
      </c>
      <c r="B154" s="555" t="str">
        <f ca="1">IF(OR(LEFT(ListAndConversion!BW156,3)="Dil",LEFT(ListAndConversion!BW156,3)="Poo"),ListAndConversion!BU156,IF(LEFT(ListAndConversion!BW156,3)="Sou",INDEX(ListAndConversion!$AT$4:$AV$387,MATCH(ListAndConversion!BV156,ListAndConversion!$AV$4:$AV$387,0),2),""))</f>
        <v/>
      </c>
      <c r="C154" s="555" t="str">
        <f ca="1">IF(ListAndConversion!BZ156&lt;&gt;"-",ListAndConversion!BZ156,"")</f>
        <v/>
      </c>
      <c r="D154" s="555" t="str">
        <f ca="1">IF(ListAndConversion!BW156&lt;&gt;"-",ListAndConversion!BW156,"")</f>
        <v/>
      </c>
      <c r="E154" s="555" t="str">
        <f ca="1">IF(ListAndConversion!BX156&lt;&gt;"-",ListAndConversion!BX156,"")</f>
        <v/>
      </c>
      <c r="F154" s="565" t="str">
        <f ca="1">IF(ListAndConversion!BY156&lt;&gt;"-",ListAndConversion!BY156,"")</f>
        <v/>
      </c>
      <c r="G154" s="565" t="str">
        <f ca="1">IF(ListAndConversion!CB156&lt;&gt;"-",ListAndConversion!CB156,"")</f>
        <v/>
      </c>
      <c r="H154" s="565" t="str">
        <f ca="1">IF(ListAndConversion!CC156&lt;&gt;"-",ListAndConversion!CC156,"")</f>
        <v/>
      </c>
      <c r="I154" s="565" t="str">
        <f ca="1">IF(ListAndConversion!CC156&lt;&gt;"-","Microfuge1","")</f>
        <v/>
      </c>
      <c r="J154" s="583" t="str">
        <f ca="1">IF(ListAndConversion!CD156&lt;&gt;"-",ListAndConversion!CD156,"")</f>
        <v/>
      </c>
      <c r="K154" s="577" t="str">
        <f t="shared" ca="1" si="2"/>
        <v/>
      </c>
    </row>
    <row r="155" spans="1:11" x14ac:dyDescent="0.65">
      <c r="A155" s="554" t="str">
        <f ca="1">IF(OR(LEFT(ListAndConversion!BW157,3)="Dil",LEFT(ListAndConversion!BW157,3)="Poo"),ListAndConversion!$BT$4,IF(LEFT(ListAndConversion!BW157,3)="Sou",INDEX(ListAndConversion!$AT$4:$AV$387,MATCH(ListAndConversion!BV157,ListAndConversion!$AV$4:$AV$387,0),1),""))</f>
        <v/>
      </c>
      <c r="B155" s="555" t="str">
        <f ca="1">IF(OR(LEFT(ListAndConversion!BW157,3)="Dil",LEFT(ListAndConversion!BW157,3)="Poo"),ListAndConversion!BU157,IF(LEFT(ListAndConversion!BW157,3)="Sou",INDEX(ListAndConversion!$AT$4:$AV$387,MATCH(ListAndConversion!BV157,ListAndConversion!$AV$4:$AV$387,0),2),""))</f>
        <v/>
      </c>
      <c r="C155" s="555" t="str">
        <f ca="1">IF(ListAndConversion!BZ157&lt;&gt;"-",ListAndConversion!BZ157,"")</f>
        <v/>
      </c>
      <c r="D155" s="555" t="str">
        <f ca="1">IF(ListAndConversion!BW157&lt;&gt;"-",ListAndConversion!BW157,"")</f>
        <v/>
      </c>
      <c r="E155" s="555" t="str">
        <f ca="1">IF(ListAndConversion!BX157&lt;&gt;"-",ListAndConversion!BX157,"")</f>
        <v/>
      </c>
      <c r="F155" s="565" t="str">
        <f ca="1">IF(ListAndConversion!BY157&lt;&gt;"-",ListAndConversion!BY157,"")</f>
        <v/>
      </c>
      <c r="G155" s="565" t="str">
        <f ca="1">IF(ListAndConversion!CB157&lt;&gt;"-",ListAndConversion!CB157,"")</f>
        <v/>
      </c>
      <c r="H155" s="565" t="str">
        <f ca="1">IF(ListAndConversion!CC157&lt;&gt;"-",ListAndConversion!CC157,"")</f>
        <v/>
      </c>
      <c r="I155" s="565" t="str">
        <f ca="1">IF(ListAndConversion!CC157&lt;&gt;"-","Microfuge1","")</f>
        <v/>
      </c>
      <c r="J155" s="583" t="str">
        <f ca="1">IF(ListAndConversion!CD157&lt;&gt;"-",ListAndConversion!CD157,"")</f>
        <v/>
      </c>
      <c r="K155" s="577" t="str">
        <f t="shared" ca="1" si="2"/>
        <v/>
      </c>
    </row>
    <row r="156" spans="1:11" x14ac:dyDescent="0.65">
      <c r="A156" s="554" t="str">
        <f ca="1">IF(OR(LEFT(ListAndConversion!BW158,3)="Dil",LEFT(ListAndConversion!BW158,3)="Poo"),ListAndConversion!$BT$4,IF(LEFT(ListAndConversion!BW158,3)="Sou",INDEX(ListAndConversion!$AT$4:$AV$387,MATCH(ListAndConversion!BV158,ListAndConversion!$AV$4:$AV$387,0),1),""))</f>
        <v/>
      </c>
      <c r="B156" s="555" t="str">
        <f ca="1">IF(OR(LEFT(ListAndConversion!BW158,3)="Dil",LEFT(ListAndConversion!BW158,3)="Poo"),ListAndConversion!BU158,IF(LEFT(ListAndConversion!BW158,3)="Sou",INDEX(ListAndConversion!$AT$4:$AV$387,MATCH(ListAndConversion!BV158,ListAndConversion!$AV$4:$AV$387,0),2),""))</f>
        <v/>
      </c>
      <c r="C156" s="555" t="str">
        <f ca="1">IF(ListAndConversion!BZ158&lt;&gt;"-",ListAndConversion!BZ158,"")</f>
        <v/>
      </c>
      <c r="D156" s="555" t="str">
        <f ca="1">IF(ListAndConversion!BW158&lt;&gt;"-",ListAndConversion!BW158,"")</f>
        <v/>
      </c>
      <c r="E156" s="555" t="str">
        <f ca="1">IF(ListAndConversion!BX158&lt;&gt;"-",ListAndConversion!BX158,"")</f>
        <v/>
      </c>
      <c r="F156" s="565" t="str">
        <f ca="1">IF(ListAndConversion!BY158&lt;&gt;"-",ListAndConversion!BY158,"")</f>
        <v/>
      </c>
      <c r="G156" s="565" t="str">
        <f ca="1">IF(ListAndConversion!CB158&lt;&gt;"-",ListAndConversion!CB158,"")</f>
        <v/>
      </c>
      <c r="H156" s="565" t="str">
        <f ca="1">IF(ListAndConversion!CC158&lt;&gt;"-",ListAndConversion!CC158,"")</f>
        <v/>
      </c>
      <c r="I156" s="565" t="str">
        <f ca="1">IF(ListAndConversion!CC158&lt;&gt;"-","Microfuge1","")</f>
        <v/>
      </c>
      <c r="J156" s="583" t="str">
        <f ca="1">IF(ListAndConversion!CD158&lt;&gt;"-",ListAndConversion!CD158,"")</f>
        <v/>
      </c>
      <c r="K156" s="577" t="str">
        <f t="shared" ca="1" si="2"/>
        <v/>
      </c>
    </row>
    <row r="157" spans="1:11" x14ac:dyDescent="0.65">
      <c r="A157" s="554" t="str">
        <f ca="1">IF(OR(LEFT(ListAndConversion!BW159,3)="Dil",LEFT(ListAndConversion!BW159,3)="Poo"),ListAndConversion!$BT$4,IF(LEFT(ListAndConversion!BW159,3)="Sou",INDEX(ListAndConversion!$AT$4:$AV$387,MATCH(ListAndConversion!BV159,ListAndConversion!$AV$4:$AV$387,0),1),""))</f>
        <v/>
      </c>
      <c r="B157" s="555" t="str">
        <f ca="1">IF(OR(LEFT(ListAndConversion!BW159,3)="Dil",LEFT(ListAndConversion!BW159,3)="Poo"),ListAndConversion!BU159,IF(LEFT(ListAndConversion!BW159,3)="Sou",INDEX(ListAndConversion!$AT$4:$AV$387,MATCH(ListAndConversion!BV159,ListAndConversion!$AV$4:$AV$387,0),2),""))</f>
        <v/>
      </c>
      <c r="C157" s="555" t="str">
        <f ca="1">IF(ListAndConversion!BZ159&lt;&gt;"-",ListAndConversion!BZ159,"")</f>
        <v/>
      </c>
      <c r="D157" s="555" t="str">
        <f ca="1">IF(ListAndConversion!BW159&lt;&gt;"-",ListAndConversion!BW159,"")</f>
        <v/>
      </c>
      <c r="E157" s="555" t="str">
        <f ca="1">IF(ListAndConversion!BX159&lt;&gt;"-",ListAndConversion!BX159,"")</f>
        <v/>
      </c>
      <c r="F157" s="565" t="str">
        <f ca="1">IF(ListAndConversion!BY159&lt;&gt;"-",ListAndConversion!BY159,"")</f>
        <v/>
      </c>
      <c r="G157" s="565" t="str">
        <f ca="1">IF(ListAndConversion!CB159&lt;&gt;"-",ListAndConversion!CB159,"")</f>
        <v/>
      </c>
      <c r="H157" s="565" t="str">
        <f ca="1">IF(ListAndConversion!CC159&lt;&gt;"-",ListAndConversion!CC159,"")</f>
        <v/>
      </c>
      <c r="I157" s="565" t="str">
        <f ca="1">IF(ListAndConversion!CC159&lt;&gt;"-","Microfuge1","")</f>
        <v/>
      </c>
      <c r="J157" s="583" t="str">
        <f ca="1">IF(ListAndConversion!CD159&lt;&gt;"-",ListAndConversion!CD159,"")</f>
        <v/>
      </c>
      <c r="K157" s="577" t="str">
        <f t="shared" ca="1" si="2"/>
        <v/>
      </c>
    </row>
    <row r="158" spans="1:11" x14ac:dyDescent="0.65">
      <c r="A158" s="554" t="str">
        <f ca="1">IF(OR(LEFT(ListAndConversion!BW160,3)="Dil",LEFT(ListAndConversion!BW160,3)="Poo"),ListAndConversion!$BT$4,IF(LEFT(ListAndConversion!BW160,3)="Sou",INDEX(ListAndConversion!$AT$4:$AV$387,MATCH(ListAndConversion!BV160,ListAndConversion!$AV$4:$AV$387,0),1),""))</f>
        <v/>
      </c>
      <c r="B158" s="555" t="str">
        <f ca="1">IF(OR(LEFT(ListAndConversion!BW160,3)="Dil",LEFT(ListAndConversion!BW160,3)="Poo"),ListAndConversion!BU160,IF(LEFT(ListAndConversion!BW160,3)="Sou",INDEX(ListAndConversion!$AT$4:$AV$387,MATCH(ListAndConversion!BV160,ListAndConversion!$AV$4:$AV$387,0),2),""))</f>
        <v/>
      </c>
      <c r="C158" s="555" t="str">
        <f ca="1">IF(ListAndConversion!BZ160&lt;&gt;"-",ListAndConversion!BZ160,"")</f>
        <v/>
      </c>
      <c r="D158" s="555" t="str">
        <f ca="1">IF(ListAndConversion!BW160&lt;&gt;"-",ListAndConversion!BW160,"")</f>
        <v/>
      </c>
      <c r="E158" s="555" t="str">
        <f ca="1">IF(ListAndConversion!BX160&lt;&gt;"-",ListAndConversion!BX160,"")</f>
        <v/>
      </c>
      <c r="F158" s="565" t="str">
        <f ca="1">IF(ListAndConversion!BY160&lt;&gt;"-",ListAndConversion!BY160,"")</f>
        <v/>
      </c>
      <c r="G158" s="565" t="str">
        <f ca="1">IF(ListAndConversion!CB160&lt;&gt;"-",ListAndConversion!CB160,"")</f>
        <v/>
      </c>
      <c r="H158" s="565" t="str">
        <f ca="1">IF(ListAndConversion!CC160&lt;&gt;"-",ListAndConversion!CC160,"")</f>
        <v/>
      </c>
      <c r="I158" s="565" t="str">
        <f ca="1">IF(ListAndConversion!CC160&lt;&gt;"-","Microfuge1","")</f>
        <v/>
      </c>
      <c r="J158" s="583" t="str">
        <f ca="1">IF(ListAndConversion!CD160&lt;&gt;"-",ListAndConversion!CD160,"")</f>
        <v/>
      </c>
      <c r="K158" s="577" t="str">
        <f t="shared" ca="1" si="2"/>
        <v/>
      </c>
    </row>
    <row r="159" spans="1:11" x14ac:dyDescent="0.65">
      <c r="A159" s="554" t="str">
        <f ca="1">IF(OR(LEFT(ListAndConversion!BW161,3)="Dil",LEFT(ListAndConversion!BW161,3)="Poo"),ListAndConversion!$BT$4,IF(LEFT(ListAndConversion!BW161,3)="Sou",INDEX(ListAndConversion!$AT$4:$AV$387,MATCH(ListAndConversion!BV161,ListAndConversion!$AV$4:$AV$387,0),1),""))</f>
        <v/>
      </c>
      <c r="B159" s="555" t="str">
        <f ca="1">IF(OR(LEFT(ListAndConversion!BW161,3)="Dil",LEFT(ListAndConversion!BW161,3)="Poo"),ListAndConversion!BU161,IF(LEFT(ListAndConversion!BW161,3)="Sou",INDEX(ListAndConversion!$AT$4:$AV$387,MATCH(ListAndConversion!BV161,ListAndConversion!$AV$4:$AV$387,0),2),""))</f>
        <v/>
      </c>
      <c r="C159" s="555" t="str">
        <f ca="1">IF(ListAndConversion!BZ161&lt;&gt;"-",ListAndConversion!BZ161,"")</f>
        <v/>
      </c>
      <c r="D159" s="555" t="str">
        <f ca="1">IF(ListAndConversion!BW161&lt;&gt;"-",ListAndConversion!BW161,"")</f>
        <v/>
      </c>
      <c r="E159" s="555" t="str">
        <f ca="1">IF(ListAndConversion!BX161&lt;&gt;"-",ListAndConversion!BX161,"")</f>
        <v/>
      </c>
      <c r="F159" s="565" t="str">
        <f ca="1">IF(ListAndConversion!BY161&lt;&gt;"-",ListAndConversion!BY161,"")</f>
        <v/>
      </c>
      <c r="G159" s="565" t="str">
        <f ca="1">IF(ListAndConversion!CB161&lt;&gt;"-",ListAndConversion!CB161,"")</f>
        <v/>
      </c>
      <c r="H159" s="565" t="str">
        <f ca="1">IF(ListAndConversion!CC161&lt;&gt;"-",ListAndConversion!CC161,"")</f>
        <v/>
      </c>
      <c r="I159" s="565" t="str">
        <f ca="1">IF(ListAndConversion!CC161&lt;&gt;"-","Microfuge1","")</f>
        <v/>
      </c>
      <c r="J159" s="583" t="str">
        <f ca="1">IF(ListAndConversion!CD161&lt;&gt;"-",ListAndConversion!CD161,"")</f>
        <v/>
      </c>
      <c r="K159" s="577" t="str">
        <f t="shared" ca="1" si="2"/>
        <v/>
      </c>
    </row>
    <row r="160" spans="1:11" x14ac:dyDescent="0.65">
      <c r="A160" s="554" t="str">
        <f ca="1">IF(OR(LEFT(ListAndConversion!BW162,3)="Dil",LEFT(ListAndConversion!BW162,3)="Poo"),ListAndConversion!$BT$4,IF(LEFT(ListAndConversion!BW162,3)="Sou",INDEX(ListAndConversion!$AT$4:$AV$387,MATCH(ListAndConversion!BV162,ListAndConversion!$AV$4:$AV$387,0),1),""))</f>
        <v/>
      </c>
      <c r="B160" s="555" t="str">
        <f ca="1">IF(OR(LEFT(ListAndConversion!BW162,3)="Dil",LEFT(ListAndConversion!BW162,3)="Poo"),ListAndConversion!BU162,IF(LEFT(ListAndConversion!BW162,3)="Sou",INDEX(ListAndConversion!$AT$4:$AV$387,MATCH(ListAndConversion!BV162,ListAndConversion!$AV$4:$AV$387,0),2),""))</f>
        <v/>
      </c>
      <c r="C160" s="555" t="str">
        <f ca="1">IF(ListAndConversion!BZ162&lt;&gt;"-",ListAndConversion!BZ162,"")</f>
        <v/>
      </c>
      <c r="D160" s="555" t="str">
        <f ca="1">IF(ListAndConversion!BW162&lt;&gt;"-",ListAndConversion!BW162,"")</f>
        <v/>
      </c>
      <c r="E160" s="555" t="str">
        <f ca="1">IF(ListAndConversion!BX162&lt;&gt;"-",ListAndConversion!BX162,"")</f>
        <v/>
      </c>
      <c r="F160" s="565" t="str">
        <f ca="1">IF(ListAndConversion!BY162&lt;&gt;"-",ListAndConversion!BY162,"")</f>
        <v/>
      </c>
      <c r="G160" s="565" t="str">
        <f ca="1">IF(ListAndConversion!CB162&lt;&gt;"-",ListAndConversion!CB162,"")</f>
        <v/>
      </c>
      <c r="H160" s="565" t="str">
        <f ca="1">IF(ListAndConversion!CC162&lt;&gt;"-",ListAndConversion!CC162,"")</f>
        <v/>
      </c>
      <c r="I160" s="565" t="str">
        <f ca="1">IF(ListAndConversion!CC162&lt;&gt;"-","Microfuge1","")</f>
        <v/>
      </c>
      <c r="J160" s="583" t="str">
        <f ca="1">IF(ListAndConversion!CD162&lt;&gt;"-",ListAndConversion!CD162,"")</f>
        <v/>
      </c>
      <c r="K160" s="577" t="str">
        <f t="shared" ca="1" si="2"/>
        <v/>
      </c>
    </row>
    <row r="161" spans="1:11" x14ac:dyDescent="0.65">
      <c r="A161" s="554" t="str">
        <f ca="1">IF(OR(LEFT(ListAndConversion!BW163,3)="Dil",LEFT(ListAndConversion!BW163,3)="Poo"),ListAndConversion!$BT$4,IF(LEFT(ListAndConversion!BW163,3)="Sou",INDEX(ListAndConversion!$AT$4:$AV$387,MATCH(ListAndConversion!BV163,ListAndConversion!$AV$4:$AV$387,0),1),""))</f>
        <v/>
      </c>
      <c r="B161" s="555" t="str">
        <f ca="1">IF(OR(LEFT(ListAndConversion!BW163,3)="Dil",LEFT(ListAndConversion!BW163,3)="Poo"),ListAndConversion!BU163,IF(LEFT(ListAndConversion!BW163,3)="Sou",INDEX(ListAndConversion!$AT$4:$AV$387,MATCH(ListAndConversion!BV163,ListAndConversion!$AV$4:$AV$387,0),2),""))</f>
        <v/>
      </c>
      <c r="C161" s="555" t="str">
        <f ca="1">IF(ListAndConversion!BZ163&lt;&gt;"-",ListAndConversion!BZ163,"")</f>
        <v/>
      </c>
      <c r="D161" s="555" t="str">
        <f ca="1">IF(ListAndConversion!BW163&lt;&gt;"-",ListAndConversion!BW163,"")</f>
        <v/>
      </c>
      <c r="E161" s="555" t="str">
        <f ca="1">IF(ListAndConversion!BX163&lt;&gt;"-",ListAndConversion!BX163,"")</f>
        <v/>
      </c>
      <c r="F161" s="565" t="str">
        <f ca="1">IF(ListAndConversion!BY163&lt;&gt;"-",ListAndConversion!BY163,"")</f>
        <v/>
      </c>
      <c r="G161" s="565" t="str">
        <f ca="1">IF(ListAndConversion!CB163&lt;&gt;"-",ListAndConversion!CB163,"")</f>
        <v/>
      </c>
      <c r="H161" s="565" t="str">
        <f ca="1">IF(ListAndConversion!CC163&lt;&gt;"-",ListAndConversion!CC163,"")</f>
        <v/>
      </c>
      <c r="I161" s="565" t="str">
        <f ca="1">IF(ListAndConversion!CC163&lt;&gt;"-","Microfuge1","")</f>
        <v/>
      </c>
      <c r="J161" s="583" t="str">
        <f ca="1">IF(ListAndConversion!CD163&lt;&gt;"-",ListAndConversion!CD163,"")</f>
        <v/>
      </c>
      <c r="K161" s="577" t="str">
        <f t="shared" ca="1" si="2"/>
        <v/>
      </c>
    </row>
    <row r="162" spans="1:11" x14ac:dyDescent="0.65">
      <c r="A162" s="554" t="str">
        <f ca="1">IF(OR(LEFT(ListAndConversion!BW164,3)="Dil",LEFT(ListAndConversion!BW164,3)="Poo"),ListAndConversion!$BT$4,IF(LEFT(ListAndConversion!BW164,3)="Sou",INDEX(ListAndConversion!$AT$4:$AV$387,MATCH(ListAndConversion!BV164,ListAndConversion!$AV$4:$AV$387,0),1),""))</f>
        <v/>
      </c>
      <c r="B162" s="555" t="str">
        <f ca="1">IF(OR(LEFT(ListAndConversion!BW164,3)="Dil",LEFT(ListAndConversion!BW164,3)="Poo"),ListAndConversion!BU164,IF(LEFT(ListAndConversion!BW164,3)="Sou",INDEX(ListAndConversion!$AT$4:$AV$387,MATCH(ListAndConversion!BV164,ListAndConversion!$AV$4:$AV$387,0),2),""))</f>
        <v/>
      </c>
      <c r="C162" s="555" t="str">
        <f ca="1">IF(ListAndConversion!BZ164&lt;&gt;"-",ListAndConversion!BZ164,"")</f>
        <v/>
      </c>
      <c r="D162" s="555" t="str">
        <f ca="1">IF(ListAndConversion!BW164&lt;&gt;"-",ListAndConversion!BW164,"")</f>
        <v/>
      </c>
      <c r="E162" s="555" t="str">
        <f ca="1">IF(ListAndConversion!BX164&lt;&gt;"-",ListAndConversion!BX164,"")</f>
        <v/>
      </c>
      <c r="F162" s="565" t="str">
        <f ca="1">IF(ListAndConversion!BY164&lt;&gt;"-",ListAndConversion!BY164,"")</f>
        <v/>
      </c>
      <c r="G162" s="565" t="str">
        <f ca="1">IF(ListAndConversion!CB164&lt;&gt;"-",ListAndConversion!CB164,"")</f>
        <v/>
      </c>
      <c r="H162" s="565" t="str">
        <f ca="1">IF(ListAndConversion!CC164&lt;&gt;"-",ListAndConversion!CC164,"")</f>
        <v/>
      </c>
      <c r="I162" s="565" t="str">
        <f ca="1">IF(ListAndConversion!CC164&lt;&gt;"-","Microfuge1","")</f>
        <v/>
      </c>
      <c r="J162" s="583" t="str">
        <f ca="1">IF(ListAndConversion!CD164&lt;&gt;"-",ListAndConversion!CD164,"")</f>
        <v/>
      </c>
      <c r="K162" s="577" t="str">
        <f t="shared" ca="1" si="2"/>
        <v/>
      </c>
    </row>
    <row r="163" spans="1:11" x14ac:dyDescent="0.65">
      <c r="A163" s="554" t="str">
        <f ca="1">IF(OR(LEFT(ListAndConversion!BW165,3)="Dil",LEFT(ListAndConversion!BW165,3)="Poo"),ListAndConversion!$BT$4,IF(LEFT(ListAndConversion!BW165,3)="Sou",INDEX(ListAndConversion!$AT$4:$AV$387,MATCH(ListAndConversion!BV165,ListAndConversion!$AV$4:$AV$387,0),1),""))</f>
        <v/>
      </c>
      <c r="B163" s="555" t="str">
        <f ca="1">IF(OR(LEFT(ListAndConversion!BW165,3)="Dil",LEFT(ListAndConversion!BW165,3)="Poo"),ListAndConversion!BU165,IF(LEFT(ListAndConversion!BW165,3)="Sou",INDEX(ListAndConversion!$AT$4:$AV$387,MATCH(ListAndConversion!BV165,ListAndConversion!$AV$4:$AV$387,0),2),""))</f>
        <v/>
      </c>
      <c r="C163" s="555" t="str">
        <f ca="1">IF(ListAndConversion!BZ165&lt;&gt;"-",ListAndConversion!BZ165,"")</f>
        <v/>
      </c>
      <c r="D163" s="555" t="str">
        <f ca="1">IF(ListAndConversion!BW165&lt;&gt;"-",ListAndConversion!BW165,"")</f>
        <v/>
      </c>
      <c r="E163" s="555" t="str">
        <f ca="1">IF(ListAndConversion!BX165&lt;&gt;"-",ListAndConversion!BX165,"")</f>
        <v/>
      </c>
      <c r="F163" s="565" t="str">
        <f ca="1">IF(ListAndConversion!BY165&lt;&gt;"-",ListAndConversion!BY165,"")</f>
        <v/>
      </c>
      <c r="G163" s="565" t="str">
        <f ca="1">IF(ListAndConversion!CB165&lt;&gt;"-",ListAndConversion!CB165,"")</f>
        <v/>
      </c>
      <c r="H163" s="565" t="str">
        <f ca="1">IF(ListAndConversion!CC165&lt;&gt;"-",ListAndConversion!CC165,"")</f>
        <v/>
      </c>
      <c r="I163" s="565" t="str">
        <f ca="1">IF(ListAndConversion!CC165&lt;&gt;"-","Microfuge1","")</f>
        <v/>
      </c>
      <c r="J163" s="583" t="str">
        <f ca="1">IF(ListAndConversion!CD165&lt;&gt;"-",ListAndConversion!CD165,"")</f>
        <v/>
      </c>
      <c r="K163" s="577" t="str">
        <f t="shared" ca="1" si="2"/>
        <v/>
      </c>
    </row>
    <row r="164" spans="1:11" x14ac:dyDescent="0.65">
      <c r="A164" s="554" t="str">
        <f ca="1">IF(OR(LEFT(ListAndConversion!BW166,3)="Dil",LEFT(ListAndConversion!BW166,3)="Poo"),ListAndConversion!$BT$4,IF(LEFT(ListAndConversion!BW166,3)="Sou",INDEX(ListAndConversion!$AT$4:$AV$387,MATCH(ListAndConversion!BV166,ListAndConversion!$AV$4:$AV$387,0),1),""))</f>
        <v/>
      </c>
      <c r="B164" s="555" t="str">
        <f ca="1">IF(OR(LEFT(ListAndConversion!BW166,3)="Dil",LEFT(ListAndConversion!BW166,3)="Poo"),ListAndConversion!BU166,IF(LEFT(ListAndConversion!BW166,3)="Sou",INDEX(ListAndConversion!$AT$4:$AV$387,MATCH(ListAndConversion!BV166,ListAndConversion!$AV$4:$AV$387,0),2),""))</f>
        <v/>
      </c>
      <c r="C164" s="555" t="str">
        <f ca="1">IF(ListAndConversion!BZ166&lt;&gt;"-",ListAndConversion!BZ166,"")</f>
        <v/>
      </c>
      <c r="D164" s="555" t="str">
        <f ca="1">IF(ListAndConversion!BW166&lt;&gt;"-",ListAndConversion!BW166,"")</f>
        <v/>
      </c>
      <c r="E164" s="555" t="str">
        <f ca="1">IF(ListAndConversion!BX166&lt;&gt;"-",ListAndConversion!BX166,"")</f>
        <v/>
      </c>
      <c r="F164" s="565" t="str">
        <f ca="1">IF(ListAndConversion!BY166&lt;&gt;"-",ListAndConversion!BY166,"")</f>
        <v/>
      </c>
      <c r="G164" s="565" t="str">
        <f ca="1">IF(ListAndConversion!CB166&lt;&gt;"-",ListAndConversion!CB166,"")</f>
        <v/>
      </c>
      <c r="H164" s="565" t="str">
        <f ca="1">IF(ListAndConversion!CC166&lt;&gt;"-",ListAndConversion!CC166,"")</f>
        <v/>
      </c>
      <c r="I164" s="565" t="str">
        <f ca="1">IF(ListAndConversion!CC166&lt;&gt;"-","Microfuge1","")</f>
        <v/>
      </c>
      <c r="J164" s="583" t="str">
        <f ca="1">IF(ListAndConversion!CD166&lt;&gt;"-",ListAndConversion!CD166,"")</f>
        <v/>
      </c>
      <c r="K164" s="577" t="str">
        <f t="shared" ca="1" si="2"/>
        <v/>
      </c>
    </row>
    <row r="165" spans="1:11" x14ac:dyDescent="0.65">
      <c r="A165" s="554" t="str">
        <f ca="1">IF(OR(LEFT(ListAndConversion!BW167,3)="Dil",LEFT(ListAndConversion!BW167,3)="Poo"),ListAndConversion!$BT$4,IF(LEFT(ListAndConversion!BW167,3)="Sou",INDEX(ListAndConversion!$AT$4:$AV$387,MATCH(ListAndConversion!BV167,ListAndConversion!$AV$4:$AV$387,0),1),""))</f>
        <v/>
      </c>
      <c r="B165" s="555" t="str">
        <f ca="1">IF(OR(LEFT(ListAndConversion!BW167,3)="Dil",LEFT(ListAndConversion!BW167,3)="Poo"),ListAndConversion!BU167,IF(LEFT(ListAndConversion!BW167,3)="Sou",INDEX(ListAndConversion!$AT$4:$AV$387,MATCH(ListAndConversion!BV167,ListAndConversion!$AV$4:$AV$387,0),2),""))</f>
        <v/>
      </c>
      <c r="C165" s="555" t="str">
        <f ca="1">IF(ListAndConversion!BZ167&lt;&gt;"-",ListAndConversion!BZ167,"")</f>
        <v/>
      </c>
      <c r="D165" s="555" t="str">
        <f ca="1">IF(ListAndConversion!BW167&lt;&gt;"-",ListAndConversion!BW167,"")</f>
        <v/>
      </c>
      <c r="E165" s="555" t="str">
        <f ca="1">IF(ListAndConversion!BX167&lt;&gt;"-",ListAndConversion!BX167,"")</f>
        <v/>
      </c>
      <c r="F165" s="565" t="str">
        <f ca="1">IF(ListAndConversion!BY167&lt;&gt;"-",ListAndConversion!BY167,"")</f>
        <v/>
      </c>
      <c r="G165" s="565" t="str">
        <f ca="1">IF(ListAndConversion!CB167&lt;&gt;"-",ListAndConversion!CB167,"")</f>
        <v/>
      </c>
      <c r="H165" s="565" t="str">
        <f ca="1">IF(ListAndConversion!CC167&lt;&gt;"-",ListAndConversion!CC167,"")</f>
        <v/>
      </c>
      <c r="I165" s="565" t="str">
        <f ca="1">IF(ListAndConversion!CC167&lt;&gt;"-","Microfuge1","")</f>
        <v/>
      </c>
      <c r="J165" s="583" t="str">
        <f ca="1">IF(ListAndConversion!CD167&lt;&gt;"-",ListAndConversion!CD167,"")</f>
        <v/>
      </c>
      <c r="K165" s="577" t="str">
        <f t="shared" ca="1" si="2"/>
        <v/>
      </c>
    </row>
    <row r="166" spans="1:11" x14ac:dyDescent="0.65">
      <c r="A166" s="554" t="str">
        <f ca="1">IF(OR(LEFT(ListAndConversion!BW168,3)="Dil",LEFT(ListAndConversion!BW168,3)="Poo"),ListAndConversion!$BT$4,IF(LEFT(ListAndConversion!BW168,3)="Sou",INDEX(ListAndConversion!$AT$4:$AV$387,MATCH(ListAndConversion!BV168,ListAndConversion!$AV$4:$AV$387,0),1),""))</f>
        <v/>
      </c>
      <c r="B166" s="555" t="str">
        <f ca="1">IF(OR(LEFT(ListAndConversion!BW168,3)="Dil",LEFT(ListAndConversion!BW168,3)="Poo"),ListAndConversion!BU168,IF(LEFT(ListAndConversion!BW168,3)="Sou",INDEX(ListAndConversion!$AT$4:$AV$387,MATCH(ListAndConversion!BV168,ListAndConversion!$AV$4:$AV$387,0),2),""))</f>
        <v/>
      </c>
      <c r="C166" s="555" t="str">
        <f ca="1">IF(ListAndConversion!BZ168&lt;&gt;"-",ListAndConversion!BZ168,"")</f>
        <v/>
      </c>
      <c r="D166" s="555" t="str">
        <f ca="1">IF(ListAndConversion!BW168&lt;&gt;"-",ListAndConversion!BW168,"")</f>
        <v/>
      </c>
      <c r="E166" s="555" t="str">
        <f ca="1">IF(ListAndConversion!BX168&lt;&gt;"-",ListAndConversion!BX168,"")</f>
        <v/>
      </c>
      <c r="F166" s="565" t="str">
        <f ca="1">IF(ListAndConversion!BY168&lt;&gt;"-",ListAndConversion!BY168,"")</f>
        <v/>
      </c>
      <c r="G166" s="565" t="str">
        <f ca="1">IF(ListAndConversion!CB168&lt;&gt;"-",ListAndConversion!CB168,"")</f>
        <v/>
      </c>
      <c r="H166" s="565" t="str">
        <f ca="1">IF(ListAndConversion!CC168&lt;&gt;"-",ListAndConversion!CC168,"")</f>
        <v/>
      </c>
      <c r="I166" s="565" t="str">
        <f ca="1">IF(ListAndConversion!CC168&lt;&gt;"-","Microfuge1","")</f>
        <v/>
      </c>
      <c r="J166" s="583" t="str">
        <f ca="1">IF(ListAndConversion!CD168&lt;&gt;"-",ListAndConversion!CD168,"")</f>
        <v/>
      </c>
      <c r="K166" s="577" t="str">
        <f t="shared" ca="1" si="2"/>
        <v/>
      </c>
    </row>
    <row r="167" spans="1:11" x14ac:dyDescent="0.65">
      <c r="A167" s="554" t="str">
        <f ca="1">IF(OR(LEFT(ListAndConversion!BW169,3)="Dil",LEFT(ListAndConversion!BW169,3)="Poo"),ListAndConversion!$BT$4,IF(LEFT(ListAndConversion!BW169,3)="Sou",INDEX(ListAndConversion!$AT$4:$AV$387,MATCH(ListAndConversion!BV169,ListAndConversion!$AV$4:$AV$387,0),1),""))</f>
        <v/>
      </c>
      <c r="B167" s="555" t="str">
        <f ca="1">IF(OR(LEFT(ListAndConversion!BW169,3)="Dil",LEFT(ListAndConversion!BW169,3)="Poo"),ListAndConversion!BU169,IF(LEFT(ListAndConversion!BW169,3)="Sou",INDEX(ListAndConversion!$AT$4:$AV$387,MATCH(ListAndConversion!BV169,ListAndConversion!$AV$4:$AV$387,0),2),""))</f>
        <v/>
      </c>
      <c r="C167" s="555" t="str">
        <f ca="1">IF(ListAndConversion!BZ169&lt;&gt;"-",ListAndConversion!BZ169,"")</f>
        <v/>
      </c>
      <c r="D167" s="555" t="str">
        <f ca="1">IF(ListAndConversion!BW169&lt;&gt;"-",ListAndConversion!BW169,"")</f>
        <v/>
      </c>
      <c r="E167" s="555" t="str">
        <f ca="1">IF(ListAndConversion!BX169&lt;&gt;"-",ListAndConversion!BX169,"")</f>
        <v/>
      </c>
      <c r="F167" s="565" t="str">
        <f ca="1">IF(ListAndConversion!BY169&lt;&gt;"-",ListAndConversion!BY169,"")</f>
        <v/>
      </c>
      <c r="G167" s="565" t="str">
        <f ca="1">IF(ListAndConversion!CB169&lt;&gt;"-",ListAndConversion!CB169,"")</f>
        <v/>
      </c>
      <c r="H167" s="565" t="str">
        <f ca="1">IF(ListAndConversion!CC169&lt;&gt;"-",ListAndConversion!CC169,"")</f>
        <v/>
      </c>
      <c r="I167" s="565" t="str">
        <f ca="1">IF(ListAndConversion!CC169&lt;&gt;"-","Microfuge1","")</f>
        <v/>
      </c>
      <c r="J167" s="583" t="str">
        <f ca="1">IF(ListAndConversion!CD169&lt;&gt;"-",ListAndConversion!CD169,"")</f>
        <v/>
      </c>
      <c r="K167" s="577" t="str">
        <f t="shared" ca="1" si="2"/>
        <v/>
      </c>
    </row>
    <row r="168" spans="1:11" x14ac:dyDescent="0.65">
      <c r="A168" s="554" t="str">
        <f ca="1">IF(OR(LEFT(ListAndConversion!BW170,3)="Dil",LEFT(ListAndConversion!BW170,3)="Poo"),ListAndConversion!$BT$4,IF(LEFT(ListAndConversion!BW170,3)="Sou",INDEX(ListAndConversion!$AT$4:$AV$387,MATCH(ListAndConversion!BV170,ListAndConversion!$AV$4:$AV$387,0),1),""))</f>
        <v/>
      </c>
      <c r="B168" s="555" t="str">
        <f ca="1">IF(OR(LEFT(ListAndConversion!BW170,3)="Dil",LEFT(ListAndConversion!BW170,3)="Poo"),ListAndConversion!BU170,IF(LEFT(ListAndConversion!BW170,3)="Sou",INDEX(ListAndConversion!$AT$4:$AV$387,MATCH(ListAndConversion!BV170,ListAndConversion!$AV$4:$AV$387,0),2),""))</f>
        <v/>
      </c>
      <c r="C168" s="555" t="str">
        <f ca="1">IF(ListAndConversion!BZ170&lt;&gt;"-",ListAndConversion!BZ170,"")</f>
        <v/>
      </c>
      <c r="D168" s="555" t="str">
        <f ca="1">IF(ListAndConversion!BW170&lt;&gt;"-",ListAndConversion!BW170,"")</f>
        <v/>
      </c>
      <c r="E168" s="555" t="str">
        <f ca="1">IF(ListAndConversion!BX170&lt;&gt;"-",ListAndConversion!BX170,"")</f>
        <v/>
      </c>
      <c r="F168" s="565" t="str">
        <f ca="1">IF(ListAndConversion!BY170&lt;&gt;"-",ListAndConversion!BY170,"")</f>
        <v/>
      </c>
      <c r="G168" s="565" t="str">
        <f ca="1">IF(ListAndConversion!CB170&lt;&gt;"-",ListAndConversion!CB170,"")</f>
        <v/>
      </c>
      <c r="H168" s="565" t="str">
        <f ca="1">IF(ListAndConversion!CC170&lt;&gt;"-",ListAndConversion!CC170,"")</f>
        <v/>
      </c>
      <c r="I168" s="565" t="str">
        <f ca="1">IF(ListAndConversion!CC170&lt;&gt;"-","Microfuge1","")</f>
        <v/>
      </c>
      <c r="J168" s="583" t="str">
        <f ca="1">IF(ListAndConversion!CD170&lt;&gt;"-",ListAndConversion!CD170,"")</f>
        <v/>
      </c>
      <c r="K168" s="577" t="str">
        <f t="shared" ca="1" si="2"/>
        <v/>
      </c>
    </row>
    <row r="169" spans="1:11" x14ac:dyDescent="0.65">
      <c r="A169" s="554" t="str">
        <f ca="1">IF(OR(LEFT(ListAndConversion!BW171,3)="Dil",LEFT(ListAndConversion!BW171,3)="Poo"),ListAndConversion!$BT$4,IF(LEFT(ListAndConversion!BW171,3)="Sou",INDEX(ListAndConversion!$AT$4:$AV$387,MATCH(ListAndConversion!BV171,ListAndConversion!$AV$4:$AV$387,0),1),""))</f>
        <v/>
      </c>
      <c r="B169" s="555" t="str">
        <f ca="1">IF(OR(LEFT(ListAndConversion!BW171,3)="Dil",LEFT(ListAndConversion!BW171,3)="Poo"),ListAndConversion!BU171,IF(LEFT(ListAndConversion!BW171,3)="Sou",INDEX(ListAndConversion!$AT$4:$AV$387,MATCH(ListAndConversion!BV171,ListAndConversion!$AV$4:$AV$387,0),2),""))</f>
        <v/>
      </c>
      <c r="C169" s="555" t="str">
        <f ca="1">IF(ListAndConversion!BZ171&lt;&gt;"-",ListAndConversion!BZ171,"")</f>
        <v/>
      </c>
      <c r="D169" s="555" t="str">
        <f ca="1">IF(ListAndConversion!BW171&lt;&gt;"-",ListAndConversion!BW171,"")</f>
        <v/>
      </c>
      <c r="E169" s="555" t="str">
        <f ca="1">IF(ListAndConversion!BX171&lt;&gt;"-",ListAndConversion!BX171,"")</f>
        <v/>
      </c>
      <c r="F169" s="565" t="str">
        <f ca="1">IF(ListAndConversion!BY171&lt;&gt;"-",ListAndConversion!BY171,"")</f>
        <v/>
      </c>
      <c r="G169" s="565" t="str">
        <f ca="1">IF(ListAndConversion!CB171&lt;&gt;"-",ListAndConversion!CB171,"")</f>
        <v/>
      </c>
      <c r="H169" s="565" t="str">
        <f ca="1">IF(ListAndConversion!CC171&lt;&gt;"-",ListAndConversion!CC171,"")</f>
        <v/>
      </c>
      <c r="I169" s="565" t="str">
        <f ca="1">IF(ListAndConversion!CC171&lt;&gt;"-","Microfuge1","")</f>
        <v/>
      </c>
      <c r="J169" s="583" t="str">
        <f ca="1">IF(ListAndConversion!CD171&lt;&gt;"-",ListAndConversion!CD171,"")</f>
        <v/>
      </c>
      <c r="K169" s="577" t="str">
        <f t="shared" ca="1" si="2"/>
        <v/>
      </c>
    </row>
    <row r="170" spans="1:11" x14ac:dyDescent="0.65">
      <c r="A170" s="554" t="str">
        <f ca="1">IF(OR(LEFT(ListAndConversion!BW172,3)="Dil",LEFT(ListAndConversion!BW172,3)="Poo"),ListAndConversion!$BT$4,IF(LEFT(ListAndConversion!BW172,3)="Sou",INDEX(ListAndConversion!$AT$4:$AV$387,MATCH(ListAndConversion!BV172,ListAndConversion!$AV$4:$AV$387,0),1),""))</f>
        <v/>
      </c>
      <c r="B170" s="555" t="str">
        <f ca="1">IF(OR(LEFT(ListAndConversion!BW172,3)="Dil",LEFT(ListAndConversion!BW172,3)="Poo"),ListAndConversion!BU172,IF(LEFT(ListAndConversion!BW172,3)="Sou",INDEX(ListAndConversion!$AT$4:$AV$387,MATCH(ListAndConversion!BV172,ListAndConversion!$AV$4:$AV$387,0),2),""))</f>
        <v/>
      </c>
      <c r="C170" s="555" t="str">
        <f ca="1">IF(ListAndConversion!BZ172&lt;&gt;"-",ListAndConversion!BZ172,"")</f>
        <v/>
      </c>
      <c r="D170" s="555" t="str">
        <f ca="1">IF(ListAndConversion!BW172&lt;&gt;"-",ListAndConversion!BW172,"")</f>
        <v/>
      </c>
      <c r="E170" s="555" t="str">
        <f ca="1">IF(ListAndConversion!BX172&lt;&gt;"-",ListAndConversion!BX172,"")</f>
        <v/>
      </c>
      <c r="F170" s="565" t="str">
        <f ca="1">IF(ListAndConversion!BY172&lt;&gt;"-",ListAndConversion!BY172,"")</f>
        <v/>
      </c>
      <c r="G170" s="565" t="str">
        <f ca="1">IF(ListAndConversion!CB172&lt;&gt;"-",ListAndConversion!CB172,"")</f>
        <v/>
      </c>
      <c r="H170" s="565" t="str">
        <f ca="1">IF(ListAndConversion!CC172&lt;&gt;"-",ListAndConversion!CC172,"")</f>
        <v/>
      </c>
      <c r="I170" s="565" t="str">
        <f ca="1">IF(ListAndConversion!CC172&lt;&gt;"-","Microfuge1","")</f>
        <v/>
      </c>
      <c r="J170" s="583" t="str">
        <f ca="1">IF(ListAndConversion!CD172&lt;&gt;"-",ListAndConversion!CD172,"")</f>
        <v/>
      </c>
      <c r="K170" s="577" t="str">
        <f t="shared" ca="1" si="2"/>
        <v/>
      </c>
    </row>
    <row r="171" spans="1:11" x14ac:dyDescent="0.65">
      <c r="A171" s="554" t="str">
        <f ca="1">IF(OR(LEFT(ListAndConversion!BW173,3)="Dil",LEFT(ListAndConversion!BW173,3)="Poo"),ListAndConversion!$BT$4,IF(LEFT(ListAndConversion!BW173,3)="Sou",INDEX(ListAndConversion!$AT$4:$AV$387,MATCH(ListAndConversion!BV173,ListAndConversion!$AV$4:$AV$387,0),1),""))</f>
        <v/>
      </c>
      <c r="B171" s="555" t="str">
        <f ca="1">IF(OR(LEFT(ListAndConversion!BW173,3)="Dil",LEFT(ListAndConversion!BW173,3)="Poo"),ListAndConversion!BU173,IF(LEFT(ListAndConversion!BW173,3)="Sou",INDEX(ListAndConversion!$AT$4:$AV$387,MATCH(ListAndConversion!BV173,ListAndConversion!$AV$4:$AV$387,0),2),""))</f>
        <v/>
      </c>
      <c r="C171" s="555" t="str">
        <f ca="1">IF(ListAndConversion!BZ173&lt;&gt;"-",ListAndConversion!BZ173,"")</f>
        <v/>
      </c>
      <c r="D171" s="555" t="str">
        <f ca="1">IF(ListAndConversion!BW173&lt;&gt;"-",ListAndConversion!BW173,"")</f>
        <v/>
      </c>
      <c r="E171" s="555" t="str">
        <f ca="1">IF(ListAndConversion!BX173&lt;&gt;"-",ListAndConversion!BX173,"")</f>
        <v/>
      </c>
      <c r="F171" s="565" t="str">
        <f ca="1">IF(ListAndConversion!BY173&lt;&gt;"-",ListAndConversion!BY173,"")</f>
        <v/>
      </c>
      <c r="G171" s="565" t="str">
        <f ca="1">IF(ListAndConversion!CB173&lt;&gt;"-",ListAndConversion!CB173,"")</f>
        <v/>
      </c>
      <c r="H171" s="565" t="str">
        <f ca="1">IF(ListAndConversion!CC173&lt;&gt;"-",ListAndConversion!CC173,"")</f>
        <v/>
      </c>
      <c r="I171" s="565" t="str">
        <f ca="1">IF(ListAndConversion!CC173&lt;&gt;"-","Microfuge1","")</f>
        <v/>
      </c>
      <c r="J171" s="583" t="str">
        <f ca="1">IF(ListAndConversion!CD173&lt;&gt;"-",ListAndConversion!CD173,"")</f>
        <v/>
      </c>
      <c r="K171" s="577" t="str">
        <f t="shared" ca="1" si="2"/>
        <v/>
      </c>
    </row>
    <row r="172" spans="1:11" x14ac:dyDescent="0.65">
      <c r="A172" s="554" t="str">
        <f ca="1">IF(OR(LEFT(ListAndConversion!BW174,3)="Dil",LEFT(ListAndConversion!BW174,3)="Poo"),ListAndConversion!$BT$4,IF(LEFT(ListAndConversion!BW174,3)="Sou",INDEX(ListAndConversion!$AT$4:$AV$387,MATCH(ListAndConversion!BV174,ListAndConversion!$AV$4:$AV$387,0),1),""))</f>
        <v/>
      </c>
      <c r="B172" s="555" t="str">
        <f ca="1">IF(OR(LEFT(ListAndConversion!BW174,3)="Dil",LEFT(ListAndConversion!BW174,3)="Poo"),ListAndConversion!BU174,IF(LEFT(ListAndConversion!BW174,3)="Sou",INDEX(ListAndConversion!$AT$4:$AV$387,MATCH(ListAndConversion!BV174,ListAndConversion!$AV$4:$AV$387,0),2),""))</f>
        <v/>
      </c>
      <c r="C172" s="555" t="str">
        <f ca="1">IF(ListAndConversion!BZ174&lt;&gt;"-",ListAndConversion!BZ174,"")</f>
        <v/>
      </c>
      <c r="D172" s="555" t="str">
        <f ca="1">IF(ListAndConversion!BW174&lt;&gt;"-",ListAndConversion!BW174,"")</f>
        <v/>
      </c>
      <c r="E172" s="555" t="str">
        <f ca="1">IF(ListAndConversion!BX174&lt;&gt;"-",ListAndConversion!BX174,"")</f>
        <v/>
      </c>
      <c r="F172" s="565" t="str">
        <f ca="1">IF(ListAndConversion!BY174&lt;&gt;"-",ListAndConversion!BY174,"")</f>
        <v/>
      </c>
      <c r="G172" s="565" t="str">
        <f ca="1">IF(ListAndConversion!CB174&lt;&gt;"-",ListAndConversion!CB174,"")</f>
        <v/>
      </c>
      <c r="H172" s="565" t="str">
        <f ca="1">IF(ListAndConversion!CC174&lt;&gt;"-",ListAndConversion!CC174,"")</f>
        <v/>
      </c>
      <c r="I172" s="565" t="str">
        <f ca="1">IF(ListAndConversion!CC174&lt;&gt;"-","Microfuge1","")</f>
        <v/>
      </c>
      <c r="J172" s="583" t="str">
        <f ca="1">IF(ListAndConversion!CD174&lt;&gt;"-",ListAndConversion!CD174,"")</f>
        <v/>
      </c>
      <c r="K172" s="577" t="str">
        <f t="shared" ca="1" si="2"/>
        <v/>
      </c>
    </row>
    <row r="173" spans="1:11" x14ac:dyDescent="0.65">
      <c r="A173" s="554" t="str">
        <f ca="1">IF(OR(LEFT(ListAndConversion!BW175,3)="Dil",LEFT(ListAndConversion!BW175,3)="Poo"),ListAndConversion!$BT$4,IF(LEFT(ListAndConversion!BW175,3)="Sou",INDEX(ListAndConversion!$AT$4:$AV$387,MATCH(ListAndConversion!BV175,ListAndConversion!$AV$4:$AV$387,0),1),""))</f>
        <v/>
      </c>
      <c r="B173" s="555" t="str">
        <f ca="1">IF(OR(LEFT(ListAndConversion!BW175,3)="Dil",LEFT(ListAndConversion!BW175,3)="Poo"),ListAndConversion!BU175,IF(LEFT(ListAndConversion!BW175,3)="Sou",INDEX(ListAndConversion!$AT$4:$AV$387,MATCH(ListAndConversion!BV175,ListAndConversion!$AV$4:$AV$387,0),2),""))</f>
        <v/>
      </c>
      <c r="C173" s="555" t="str">
        <f ca="1">IF(ListAndConversion!BZ175&lt;&gt;"-",ListAndConversion!BZ175,"")</f>
        <v/>
      </c>
      <c r="D173" s="555" t="str">
        <f ca="1">IF(ListAndConversion!BW175&lt;&gt;"-",ListAndConversion!BW175,"")</f>
        <v/>
      </c>
      <c r="E173" s="555" t="str">
        <f ca="1">IF(ListAndConversion!BX175&lt;&gt;"-",ListAndConversion!BX175,"")</f>
        <v/>
      </c>
      <c r="F173" s="565" t="str">
        <f ca="1">IF(ListAndConversion!BY175&lt;&gt;"-",ListAndConversion!BY175,"")</f>
        <v/>
      </c>
      <c r="G173" s="565" t="str">
        <f ca="1">IF(ListAndConversion!CB175&lt;&gt;"-",ListAndConversion!CB175,"")</f>
        <v/>
      </c>
      <c r="H173" s="565" t="str">
        <f ca="1">IF(ListAndConversion!CC175&lt;&gt;"-",ListAndConversion!CC175,"")</f>
        <v/>
      </c>
      <c r="I173" s="565" t="str">
        <f ca="1">IF(ListAndConversion!CC175&lt;&gt;"-","Microfuge1","")</f>
        <v/>
      </c>
      <c r="J173" s="583" t="str">
        <f ca="1">IF(ListAndConversion!CD175&lt;&gt;"-",ListAndConversion!CD175,"")</f>
        <v/>
      </c>
      <c r="K173" s="577" t="str">
        <f t="shared" ca="1" si="2"/>
        <v/>
      </c>
    </row>
    <row r="174" spans="1:11" x14ac:dyDescent="0.65">
      <c r="A174" s="554" t="str">
        <f ca="1">IF(OR(LEFT(ListAndConversion!BW176,3)="Dil",LEFT(ListAndConversion!BW176,3)="Poo"),ListAndConversion!$BT$4,IF(LEFT(ListAndConversion!BW176,3)="Sou",INDEX(ListAndConversion!$AT$4:$AV$387,MATCH(ListAndConversion!BV176,ListAndConversion!$AV$4:$AV$387,0),1),""))</f>
        <v/>
      </c>
      <c r="B174" s="555" t="str">
        <f ca="1">IF(OR(LEFT(ListAndConversion!BW176,3)="Dil",LEFT(ListAndConversion!BW176,3)="Poo"),ListAndConversion!BU176,IF(LEFT(ListAndConversion!BW176,3)="Sou",INDEX(ListAndConversion!$AT$4:$AV$387,MATCH(ListAndConversion!BV176,ListAndConversion!$AV$4:$AV$387,0),2),""))</f>
        <v/>
      </c>
      <c r="C174" s="555" t="str">
        <f ca="1">IF(ListAndConversion!BZ176&lt;&gt;"-",ListAndConversion!BZ176,"")</f>
        <v/>
      </c>
      <c r="D174" s="555" t="str">
        <f ca="1">IF(ListAndConversion!BW176&lt;&gt;"-",ListAndConversion!BW176,"")</f>
        <v/>
      </c>
      <c r="E174" s="555" t="str">
        <f ca="1">IF(ListAndConversion!BX176&lt;&gt;"-",ListAndConversion!BX176,"")</f>
        <v/>
      </c>
      <c r="F174" s="565" t="str">
        <f ca="1">IF(ListAndConversion!BY176&lt;&gt;"-",ListAndConversion!BY176,"")</f>
        <v/>
      </c>
      <c r="G174" s="565" t="str">
        <f ca="1">IF(ListAndConversion!CB176&lt;&gt;"-",ListAndConversion!CB176,"")</f>
        <v/>
      </c>
      <c r="H174" s="565" t="str">
        <f ca="1">IF(ListAndConversion!CC176&lt;&gt;"-",ListAndConversion!CC176,"")</f>
        <v/>
      </c>
      <c r="I174" s="565" t="str">
        <f ca="1">IF(ListAndConversion!CC176&lt;&gt;"-","Microfuge1","")</f>
        <v/>
      </c>
      <c r="J174" s="583" t="str">
        <f ca="1">IF(ListAndConversion!CD176&lt;&gt;"-",ListAndConversion!CD176,"")</f>
        <v/>
      </c>
      <c r="K174" s="577" t="str">
        <f t="shared" ca="1" si="2"/>
        <v/>
      </c>
    </row>
    <row r="175" spans="1:11" x14ac:dyDescent="0.65">
      <c r="A175" s="554" t="str">
        <f ca="1">IF(OR(LEFT(ListAndConversion!BW177,3)="Dil",LEFT(ListAndConversion!BW177,3)="Poo"),ListAndConversion!$BT$4,IF(LEFT(ListAndConversion!BW177,3)="Sou",INDEX(ListAndConversion!$AT$4:$AV$387,MATCH(ListAndConversion!BV177,ListAndConversion!$AV$4:$AV$387,0),1),""))</f>
        <v/>
      </c>
      <c r="B175" s="555" t="str">
        <f ca="1">IF(OR(LEFT(ListAndConversion!BW177,3)="Dil",LEFT(ListAndConversion!BW177,3)="Poo"),ListAndConversion!BU177,IF(LEFT(ListAndConversion!BW177,3)="Sou",INDEX(ListAndConversion!$AT$4:$AV$387,MATCH(ListAndConversion!BV177,ListAndConversion!$AV$4:$AV$387,0),2),""))</f>
        <v/>
      </c>
      <c r="C175" s="555" t="str">
        <f ca="1">IF(ListAndConversion!BZ177&lt;&gt;"-",ListAndConversion!BZ177,"")</f>
        <v/>
      </c>
      <c r="D175" s="555" t="str">
        <f ca="1">IF(ListAndConversion!BW177&lt;&gt;"-",ListAndConversion!BW177,"")</f>
        <v/>
      </c>
      <c r="E175" s="555" t="str">
        <f ca="1">IF(ListAndConversion!BX177&lt;&gt;"-",ListAndConversion!BX177,"")</f>
        <v/>
      </c>
      <c r="F175" s="565" t="str">
        <f ca="1">IF(ListAndConversion!BY177&lt;&gt;"-",ListAndConversion!BY177,"")</f>
        <v/>
      </c>
      <c r="G175" s="565" t="str">
        <f ca="1">IF(ListAndConversion!CB177&lt;&gt;"-",ListAndConversion!CB177,"")</f>
        <v/>
      </c>
      <c r="H175" s="565" t="str">
        <f ca="1">IF(ListAndConversion!CC177&lt;&gt;"-",ListAndConversion!CC177,"")</f>
        <v/>
      </c>
      <c r="I175" s="565" t="str">
        <f ca="1">IF(ListAndConversion!CC177&lt;&gt;"-","Microfuge1","")</f>
        <v/>
      </c>
      <c r="J175" s="583" t="str">
        <f ca="1">IF(ListAndConversion!CD177&lt;&gt;"-",ListAndConversion!CD177,"")</f>
        <v/>
      </c>
      <c r="K175" s="577" t="str">
        <f t="shared" ca="1" si="2"/>
        <v/>
      </c>
    </row>
    <row r="176" spans="1:11" x14ac:dyDescent="0.65">
      <c r="A176" s="554" t="str">
        <f ca="1">IF(OR(LEFT(ListAndConversion!BW178,3)="Dil",LEFT(ListAndConversion!BW178,3)="Poo"),ListAndConversion!$BT$4,IF(LEFT(ListAndConversion!BW178,3)="Sou",INDEX(ListAndConversion!$AT$4:$AV$387,MATCH(ListAndConversion!BV178,ListAndConversion!$AV$4:$AV$387,0),1),""))</f>
        <v/>
      </c>
      <c r="B176" s="555" t="str">
        <f ca="1">IF(OR(LEFT(ListAndConversion!BW178,3)="Dil",LEFT(ListAndConversion!BW178,3)="Poo"),ListAndConversion!BU178,IF(LEFT(ListAndConversion!BW178,3)="Sou",INDEX(ListAndConversion!$AT$4:$AV$387,MATCH(ListAndConversion!BV178,ListAndConversion!$AV$4:$AV$387,0),2),""))</f>
        <v/>
      </c>
      <c r="C176" s="555" t="str">
        <f ca="1">IF(ListAndConversion!BZ178&lt;&gt;"-",ListAndConversion!BZ178,"")</f>
        <v/>
      </c>
      <c r="D176" s="555" t="str">
        <f ca="1">IF(ListAndConversion!BW178&lt;&gt;"-",ListAndConversion!BW178,"")</f>
        <v/>
      </c>
      <c r="E176" s="555" t="str">
        <f ca="1">IF(ListAndConversion!BX178&lt;&gt;"-",ListAndConversion!BX178,"")</f>
        <v/>
      </c>
      <c r="F176" s="565" t="str">
        <f ca="1">IF(ListAndConversion!BY178&lt;&gt;"-",ListAndConversion!BY178,"")</f>
        <v/>
      </c>
      <c r="G176" s="565" t="str">
        <f ca="1">IF(ListAndConversion!CB178&lt;&gt;"-",ListAndConversion!CB178,"")</f>
        <v/>
      </c>
      <c r="H176" s="565" t="str">
        <f ca="1">IF(ListAndConversion!CC178&lt;&gt;"-",ListAndConversion!CC178,"")</f>
        <v/>
      </c>
      <c r="I176" s="565" t="str">
        <f ca="1">IF(ListAndConversion!CC178&lt;&gt;"-","Microfuge1","")</f>
        <v/>
      </c>
      <c r="J176" s="583" t="str">
        <f ca="1">IF(ListAndConversion!CD178&lt;&gt;"-",ListAndConversion!CD178,"")</f>
        <v/>
      </c>
      <c r="K176" s="577" t="str">
        <f t="shared" ca="1" si="2"/>
        <v/>
      </c>
    </row>
    <row r="177" spans="1:11" x14ac:dyDescent="0.65">
      <c r="A177" s="554" t="str">
        <f ca="1">IF(OR(LEFT(ListAndConversion!BW179,3)="Dil",LEFT(ListAndConversion!BW179,3)="Poo"),ListAndConversion!$BT$4,IF(LEFT(ListAndConversion!BW179,3)="Sou",INDEX(ListAndConversion!$AT$4:$AV$387,MATCH(ListAndConversion!BV179,ListAndConversion!$AV$4:$AV$387,0),1),""))</f>
        <v/>
      </c>
      <c r="B177" s="555" t="str">
        <f ca="1">IF(OR(LEFT(ListAndConversion!BW179,3)="Dil",LEFT(ListAndConversion!BW179,3)="Poo"),ListAndConversion!BU179,IF(LEFT(ListAndConversion!BW179,3)="Sou",INDEX(ListAndConversion!$AT$4:$AV$387,MATCH(ListAndConversion!BV179,ListAndConversion!$AV$4:$AV$387,0),2),""))</f>
        <v/>
      </c>
      <c r="C177" s="555" t="str">
        <f ca="1">IF(ListAndConversion!BZ179&lt;&gt;"-",ListAndConversion!BZ179,"")</f>
        <v/>
      </c>
      <c r="D177" s="555" t="str">
        <f ca="1">IF(ListAndConversion!BW179&lt;&gt;"-",ListAndConversion!BW179,"")</f>
        <v/>
      </c>
      <c r="E177" s="555" t="str">
        <f ca="1">IF(ListAndConversion!BX179&lt;&gt;"-",ListAndConversion!BX179,"")</f>
        <v/>
      </c>
      <c r="F177" s="565" t="str">
        <f ca="1">IF(ListAndConversion!BY179&lt;&gt;"-",ListAndConversion!BY179,"")</f>
        <v/>
      </c>
      <c r="G177" s="565" t="str">
        <f ca="1">IF(ListAndConversion!CB179&lt;&gt;"-",ListAndConversion!CB179,"")</f>
        <v/>
      </c>
      <c r="H177" s="565" t="str">
        <f ca="1">IF(ListAndConversion!CC179&lt;&gt;"-",ListAndConversion!CC179,"")</f>
        <v/>
      </c>
      <c r="I177" s="565" t="str">
        <f ca="1">IF(ListAndConversion!CC179&lt;&gt;"-","Microfuge1","")</f>
        <v/>
      </c>
      <c r="J177" s="583" t="str">
        <f ca="1">IF(ListAndConversion!CD179&lt;&gt;"-",ListAndConversion!CD179,"")</f>
        <v/>
      </c>
      <c r="K177" s="577" t="str">
        <f t="shared" ca="1" si="2"/>
        <v/>
      </c>
    </row>
    <row r="178" spans="1:11" x14ac:dyDescent="0.65">
      <c r="A178" s="554" t="str">
        <f ca="1">IF(OR(LEFT(ListAndConversion!BW180,3)="Dil",LEFT(ListAndConversion!BW180,3)="Poo"),ListAndConversion!$BT$4,IF(LEFT(ListAndConversion!BW180,3)="Sou",INDEX(ListAndConversion!$AT$4:$AV$387,MATCH(ListAndConversion!BV180,ListAndConversion!$AV$4:$AV$387,0),1),""))</f>
        <v/>
      </c>
      <c r="B178" s="555" t="str">
        <f ca="1">IF(OR(LEFT(ListAndConversion!BW180,3)="Dil",LEFT(ListAndConversion!BW180,3)="Poo"),ListAndConversion!BU180,IF(LEFT(ListAndConversion!BW180,3)="Sou",INDEX(ListAndConversion!$AT$4:$AV$387,MATCH(ListAndConversion!BV180,ListAndConversion!$AV$4:$AV$387,0),2),""))</f>
        <v/>
      </c>
      <c r="C178" s="555" t="str">
        <f ca="1">IF(ListAndConversion!BZ180&lt;&gt;"-",ListAndConversion!BZ180,"")</f>
        <v/>
      </c>
      <c r="D178" s="555" t="str">
        <f ca="1">IF(ListAndConversion!BW180&lt;&gt;"-",ListAndConversion!BW180,"")</f>
        <v/>
      </c>
      <c r="E178" s="555" t="str">
        <f ca="1">IF(ListAndConversion!BX180&lt;&gt;"-",ListAndConversion!BX180,"")</f>
        <v/>
      </c>
      <c r="F178" s="565" t="str">
        <f ca="1">IF(ListAndConversion!BY180&lt;&gt;"-",ListAndConversion!BY180,"")</f>
        <v/>
      </c>
      <c r="G178" s="565" t="str">
        <f ca="1">IF(ListAndConversion!CB180&lt;&gt;"-",ListAndConversion!CB180,"")</f>
        <v/>
      </c>
      <c r="H178" s="565" t="str">
        <f ca="1">IF(ListAndConversion!CC180&lt;&gt;"-",ListAndConversion!CC180,"")</f>
        <v/>
      </c>
      <c r="I178" s="565" t="str">
        <f ca="1">IF(ListAndConversion!CC180&lt;&gt;"-","Microfuge1","")</f>
        <v/>
      </c>
      <c r="J178" s="583" t="str">
        <f ca="1">IF(ListAndConversion!CD180&lt;&gt;"-",ListAndConversion!CD180,"")</f>
        <v/>
      </c>
      <c r="K178" s="577" t="str">
        <f t="shared" ca="1" si="2"/>
        <v/>
      </c>
    </row>
    <row r="179" spans="1:11" x14ac:dyDescent="0.65">
      <c r="A179" s="554" t="str">
        <f ca="1">IF(OR(LEFT(ListAndConversion!BW181,3)="Dil",LEFT(ListAndConversion!BW181,3)="Poo"),ListAndConversion!$BT$4,IF(LEFT(ListAndConversion!BW181,3)="Sou",INDEX(ListAndConversion!$AT$4:$AV$387,MATCH(ListAndConversion!BV181,ListAndConversion!$AV$4:$AV$387,0),1),""))</f>
        <v/>
      </c>
      <c r="B179" s="555" t="str">
        <f ca="1">IF(OR(LEFT(ListAndConversion!BW181,3)="Dil",LEFT(ListAndConversion!BW181,3)="Poo"),ListAndConversion!BU181,IF(LEFT(ListAndConversion!BW181,3)="Sou",INDEX(ListAndConversion!$AT$4:$AV$387,MATCH(ListAndConversion!BV181,ListAndConversion!$AV$4:$AV$387,0),2),""))</f>
        <v/>
      </c>
      <c r="C179" s="555" t="str">
        <f ca="1">IF(ListAndConversion!BZ181&lt;&gt;"-",ListAndConversion!BZ181,"")</f>
        <v/>
      </c>
      <c r="D179" s="555" t="str">
        <f ca="1">IF(ListAndConversion!BW181&lt;&gt;"-",ListAndConversion!BW181,"")</f>
        <v/>
      </c>
      <c r="E179" s="555" t="str">
        <f ca="1">IF(ListAndConversion!BX181&lt;&gt;"-",ListAndConversion!BX181,"")</f>
        <v/>
      </c>
      <c r="F179" s="565" t="str">
        <f ca="1">IF(ListAndConversion!BY181&lt;&gt;"-",ListAndConversion!BY181,"")</f>
        <v/>
      </c>
      <c r="G179" s="565" t="str">
        <f ca="1">IF(ListAndConversion!CB181&lt;&gt;"-",ListAndConversion!CB181,"")</f>
        <v/>
      </c>
      <c r="H179" s="565" t="str">
        <f ca="1">IF(ListAndConversion!CC181&lt;&gt;"-",ListAndConversion!CC181,"")</f>
        <v/>
      </c>
      <c r="I179" s="565" t="str">
        <f ca="1">IF(ListAndConversion!CC181&lt;&gt;"-","Microfuge1","")</f>
        <v/>
      </c>
      <c r="J179" s="583" t="str">
        <f ca="1">IF(ListAndConversion!CD181&lt;&gt;"-",ListAndConversion!CD181,"")</f>
        <v/>
      </c>
      <c r="K179" s="577" t="str">
        <f t="shared" ca="1" si="2"/>
        <v/>
      </c>
    </row>
    <row r="180" spans="1:11" x14ac:dyDescent="0.65">
      <c r="A180" s="554" t="str">
        <f ca="1">IF(OR(LEFT(ListAndConversion!BW182,3)="Dil",LEFT(ListAndConversion!BW182,3)="Poo"),ListAndConversion!$BT$4,IF(LEFT(ListAndConversion!BW182,3)="Sou",INDEX(ListAndConversion!$AT$4:$AV$387,MATCH(ListAndConversion!BV182,ListAndConversion!$AV$4:$AV$387,0),1),""))</f>
        <v/>
      </c>
      <c r="B180" s="555" t="str">
        <f ca="1">IF(OR(LEFT(ListAndConversion!BW182,3)="Dil",LEFT(ListAndConversion!BW182,3)="Poo"),ListAndConversion!BU182,IF(LEFT(ListAndConversion!BW182,3)="Sou",INDEX(ListAndConversion!$AT$4:$AV$387,MATCH(ListAndConversion!BV182,ListAndConversion!$AV$4:$AV$387,0),2),""))</f>
        <v/>
      </c>
      <c r="C180" s="555" t="str">
        <f ca="1">IF(ListAndConversion!BZ182&lt;&gt;"-",ListAndConversion!BZ182,"")</f>
        <v/>
      </c>
      <c r="D180" s="555" t="str">
        <f ca="1">IF(ListAndConversion!BW182&lt;&gt;"-",ListAndConversion!BW182,"")</f>
        <v/>
      </c>
      <c r="E180" s="555" t="str">
        <f ca="1">IF(ListAndConversion!BX182&lt;&gt;"-",ListAndConversion!BX182,"")</f>
        <v/>
      </c>
      <c r="F180" s="565" t="str">
        <f ca="1">IF(ListAndConversion!BY182&lt;&gt;"-",ListAndConversion!BY182,"")</f>
        <v/>
      </c>
      <c r="G180" s="565" t="str">
        <f ca="1">IF(ListAndConversion!CB182&lt;&gt;"-",ListAndConversion!CB182,"")</f>
        <v/>
      </c>
      <c r="H180" s="565" t="str">
        <f ca="1">IF(ListAndConversion!CC182&lt;&gt;"-",ListAndConversion!CC182,"")</f>
        <v/>
      </c>
      <c r="I180" s="565" t="str">
        <f ca="1">IF(ListAndConversion!CC182&lt;&gt;"-","Microfuge1","")</f>
        <v/>
      </c>
      <c r="J180" s="583" t="str">
        <f ca="1">IF(ListAndConversion!CD182&lt;&gt;"-",ListAndConversion!CD182,"")</f>
        <v/>
      </c>
      <c r="K180" s="577" t="str">
        <f t="shared" ca="1" si="2"/>
        <v/>
      </c>
    </row>
    <row r="181" spans="1:11" x14ac:dyDescent="0.65">
      <c r="A181" s="554" t="str">
        <f ca="1">IF(OR(LEFT(ListAndConversion!BW183,3)="Dil",LEFT(ListAndConversion!BW183,3)="Poo"),ListAndConversion!$BT$4,IF(LEFT(ListAndConversion!BW183,3)="Sou",INDEX(ListAndConversion!$AT$4:$AV$387,MATCH(ListAndConversion!BV183,ListAndConversion!$AV$4:$AV$387,0),1),""))</f>
        <v/>
      </c>
      <c r="B181" s="555" t="str">
        <f ca="1">IF(OR(LEFT(ListAndConversion!BW183,3)="Dil",LEFT(ListAndConversion!BW183,3)="Poo"),ListAndConversion!BU183,IF(LEFT(ListAndConversion!BW183,3)="Sou",INDEX(ListAndConversion!$AT$4:$AV$387,MATCH(ListAndConversion!BV183,ListAndConversion!$AV$4:$AV$387,0),2),""))</f>
        <v/>
      </c>
      <c r="C181" s="555" t="str">
        <f ca="1">IF(ListAndConversion!BZ183&lt;&gt;"-",ListAndConversion!BZ183,"")</f>
        <v/>
      </c>
      <c r="D181" s="555" t="str">
        <f ca="1">IF(ListAndConversion!BW183&lt;&gt;"-",ListAndConversion!BW183,"")</f>
        <v/>
      </c>
      <c r="E181" s="555" t="str">
        <f ca="1">IF(ListAndConversion!BX183&lt;&gt;"-",ListAndConversion!BX183,"")</f>
        <v/>
      </c>
      <c r="F181" s="565" t="str">
        <f ca="1">IF(ListAndConversion!BY183&lt;&gt;"-",ListAndConversion!BY183,"")</f>
        <v/>
      </c>
      <c r="G181" s="565" t="str">
        <f ca="1">IF(ListAndConversion!CB183&lt;&gt;"-",ListAndConversion!CB183,"")</f>
        <v/>
      </c>
      <c r="H181" s="565" t="str">
        <f ca="1">IF(ListAndConversion!CC183&lt;&gt;"-",ListAndConversion!CC183,"")</f>
        <v/>
      </c>
      <c r="I181" s="565" t="str">
        <f ca="1">IF(ListAndConversion!CC183&lt;&gt;"-","Microfuge1","")</f>
        <v/>
      </c>
      <c r="J181" s="583" t="str">
        <f ca="1">IF(ListAndConversion!CD183&lt;&gt;"-",ListAndConversion!CD183,"")</f>
        <v/>
      </c>
      <c r="K181" s="577" t="str">
        <f t="shared" ca="1" si="2"/>
        <v/>
      </c>
    </row>
    <row r="182" spans="1:11" x14ac:dyDescent="0.65">
      <c r="A182" s="554" t="str">
        <f ca="1">IF(OR(LEFT(ListAndConversion!BW184,3)="Dil",LEFT(ListAndConversion!BW184,3)="Poo"),ListAndConversion!$BT$4,IF(LEFT(ListAndConversion!BW184,3)="Sou",INDEX(ListAndConversion!$AT$4:$AV$387,MATCH(ListAndConversion!BV184,ListAndConversion!$AV$4:$AV$387,0),1),""))</f>
        <v/>
      </c>
      <c r="B182" s="555" t="str">
        <f ca="1">IF(OR(LEFT(ListAndConversion!BW184,3)="Dil",LEFT(ListAndConversion!BW184,3)="Poo"),ListAndConversion!BU184,IF(LEFT(ListAndConversion!BW184,3)="Sou",INDEX(ListAndConversion!$AT$4:$AV$387,MATCH(ListAndConversion!BV184,ListAndConversion!$AV$4:$AV$387,0),2),""))</f>
        <v/>
      </c>
      <c r="C182" s="555" t="str">
        <f ca="1">IF(ListAndConversion!BZ184&lt;&gt;"-",ListAndConversion!BZ184,"")</f>
        <v/>
      </c>
      <c r="D182" s="555" t="str">
        <f ca="1">IF(ListAndConversion!BW184&lt;&gt;"-",ListAndConversion!BW184,"")</f>
        <v/>
      </c>
      <c r="E182" s="555" t="str">
        <f ca="1">IF(ListAndConversion!BX184&lt;&gt;"-",ListAndConversion!BX184,"")</f>
        <v/>
      </c>
      <c r="F182" s="565" t="str">
        <f ca="1">IF(ListAndConversion!BY184&lt;&gt;"-",ListAndConversion!BY184,"")</f>
        <v/>
      </c>
      <c r="G182" s="565" t="str">
        <f ca="1">IF(ListAndConversion!CB184&lt;&gt;"-",ListAndConversion!CB184,"")</f>
        <v/>
      </c>
      <c r="H182" s="565" t="str">
        <f ca="1">IF(ListAndConversion!CC184&lt;&gt;"-",ListAndConversion!CC184,"")</f>
        <v/>
      </c>
      <c r="I182" s="565" t="str">
        <f ca="1">IF(ListAndConversion!CC184&lt;&gt;"-","Microfuge1","")</f>
        <v/>
      </c>
      <c r="J182" s="583" t="str">
        <f ca="1">IF(ListAndConversion!CD184&lt;&gt;"-",ListAndConversion!CD184,"")</f>
        <v/>
      </c>
      <c r="K182" s="577" t="str">
        <f t="shared" ca="1" si="2"/>
        <v/>
      </c>
    </row>
    <row r="183" spans="1:11" x14ac:dyDescent="0.65">
      <c r="A183" s="554" t="str">
        <f ca="1">IF(OR(LEFT(ListAndConversion!BW185,3)="Dil",LEFT(ListAndConversion!BW185,3)="Poo"),ListAndConversion!$BT$4,IF(LEFT(ListAndConversion!BW185,3)="Sou",INDEX(ListAndConversion!$AT$4:$AV$387,MATCH(ListAndConversion!BV185,ListAndConversion!$AV$4:$AV$387,0),1),""))</f>
        <v/>
      </c>
      <c r="B183" s="555" t="str">
        <f ca="1">IF(OR(LEFT(ListAndConversion!BW185,3)="Dil",LEFT(ListAndConversion!BW185,3)="Poo"),ListAndConversion!BU185,IF(LEFT(ListAndConversion!BW185,3)="Sou",INDEX(ListAndConversion!$AT$4:$AV$387,MATCH(ListAndConversion!BV185,ListAndConversion!$AV$4:$AV$387,0),2),""))</f>
        <v/>
      </c>
      <c r="C183" s="555" t="str">
        <f ca="1">IF(ListAndConversion!BZ185&lt;&gt;"-",ListAndConversion!BZ185,"")</f>
        <v/>
      </c>
      <c r="D183" s="555" t="str">
        <f ca="1">IF(ListAndConversion!BW185&lt;&gt;"-",ListAndConversion!BW185,"")</f>
        <v/>
      </c>
      <c r="E183" s="555" t="str">
        <f ca="1">IF(ListAndConversion!BX185&lt;&gt;"-",ListAndConversion!BX185,"")</f>
        <v/>
      </c>
      <c r="F183" s="565" t="str">
        <f ca="1">IF(ListAndConversion!BY185&lt;&gt;"-",ListAndConversion!BY185,"")</f>
        <v/>
      </c>
      <c r="G183" s="565" t="str">
        <f ca="1">IF(ListAndConversion!CB185&lt;&gt;"-",ListAndConversion!CB185,"")</f>
        <v/>
      </c>
      <c r="H183" s="565" t="str">
        <f ca="1">IF(ListAndConversion!CC185&lt;&gt;"-",ListAndConversion!CC185,"")</f>
        <v/>
      </c>
      <c r="I183" s="565" t="str">
        <f ca="1">IF(ListAndConversion!CC185&lt;&gt;"-","Microfuge1","")</f>
        <v/>
      </c>
      <c r="J183" s="583" t="str">
        <f ca="1">IF(ListAndConversion!CD185&lt;&gt;"-",ListAndConversion!CD185,"")</f>
        <v/>
      </c>
      <c r="K183" s="577" t="str">
        <f t="shared" ca="1" si="2"/>
        <v/>
      </c>
    </row>
    <row r="184" spans="1:11" x14ac:dyDescent="0.65">
      <c r="A184" s="554" t="str">
        <f ca="1">IF(OR(LEFT(ListAndConversion!BW186,3)="Dil",LEFT(ListAndConversion!BW186,3)="Poo"),ListAndConversion!$BT$4,IF(LEFT(ListAndConversion!BW186,3)="Sou",INDEX(ListAndConversion!$AT$4:$AV$387,MATCH(ListAndConversion!BV186,ListAndConversion!$AV$4:$AV$387,0),1),""))</f>
        <v/>
      </c>
      <c r="B184" s="555" t="str">
        <f ca="1">IF(OR(LEFT(ListAndConversion!BW186,3)="Dil",LEFT(ListAndConversion!BW186,3)="Poo"),ListAndConversion!BU186,IF(LEFT(ListAndConversion!BW186,3)="Sou",INDEX(ListAndConversion!$AT$4:$AV$387,MATCH(ListAndConversion!BV186,ListAndConversion!$AV$4:$AV$387,0),2),""))</f>
        <v/>
      </c>
      <c r="C184" s="555" t="str">
        <f ca="1">IF(ListAndConversion!BZ186&lt;&gt;"-",ListAndConversion!BZ186,"")</f>
        <v/>
      </c>
      <c r="D184" s="555" t="str">
        <f ca="1">IF(ListAndConversion!BW186&lt;&gt;"-",ListAndConversion!BW186,"")</f>
        <v/>
      </c>
      <c r="E184" s="555" t="str">
        <f ca="1">IF(ListAndConversion!BX186&lt;&gt;"-",ListAndConversion!BX186,"")</f>
        <v/>
      </c>
      <c r="F184" s="565" t="str">
        <f ca="1">IF(ListAndConversion!BY186&lt;&gt;"-",ListAndConversion!BY186,"")</f>
        <v/>
      </c>
      <c r="G184" s="565" t="str">
        <f ca="1">IF(ListAndConversion!CB186&lt;&gt;"-",ListAndConversion!CB186,"")</f>
        <v/>
      </c>
      <c r="H184" s="565" t="str">
        <f ca="1">IF(ListAndConversion!CC186&lt;&gt;"-",ListAndConversion!CC186,"")</f>
        <v/>
      </c>
      <c r="I184" s="565" t="str">
        <f ca="1">IF(ListAndConversion!CC186&lt;&gt;"-","Microfuge1","")</f>
        <v/>
      </c>
      <c r="J184" s="583" t="str">
        <f ca="1">IF(ListAndConversion!CD186&lt;&gt;"-",ListAndConversion!CD186,"")</f>
        <v/>
      </c>
      <c r="K184" s="577" t="str">
        <f t="shared" ca="1" si="2"/>
        <v/>
      </c>
    </row>
    <row r="185" spans="1:11" x14ac:dyDescent="0.65">
      <c r="A185" s="554" t="str">
        <f ca="1">IF(OR(LEFT(ListAndConversion!BW187,3)="Dil",LEFT(ListAndConversion!BW187,3)="Poo"),ListAndConversion!$BT$4,IF(LEFT(ListAndConversion!BW187,3)="Sou",INDEX(ListAndConversion!$AT$4:$AV$387,MATCH(ListAndConversion!BV187,ListAndConversion!$AV$4:$AV$387,0),1),""))</f>
        <v/>
      </c>
      <c r="B185" s="555" t="str">
        <f ca="1">IF(OR(LEFT(ListAndConversion!BW187,3)="Dil",LEFT(ListAndConversion!BW187,3)="Poo"),ListAndConversion!BU187,IF(LEFT(ListAndConversion!BW187,3)="Sou",INDEX(ListAndConversion!$AT$4:$AV$387,MATCH(ListAndConversion!BV187,ListAndConversion!$AV$4:$AV$387,0),2),""))</f>
        <v/>
      </c>
      <c r="C185" s="555" t="str">
        <f ca="1">IF(ListAndConversion!BZ187&lt;&gt;"-",ListAndConversion!BZ187,"")</f>
        <v/>
      </c>
      <c r="D185" s="555" t="str">
        <f ca="1">IF(ListAndConversion!BW187&lt;&gt;"-",ListAndConversion!BW187,"")</f>
        <v/>
      </c>
      <c r="E185" s="555" t="str">
        <f ca="1">IF(ListAndConversion!BX187&lt;&gt;"-",ListAndConversion!BX187,"")</f>
        <v/>
      </c>
      <c r="F185" s="565" t="str">
        <f ca="1">IF(ListAndConversion!BY187&lt;&gt;"-",ListAndConversion!BY187,"")</f>
        <v/>
      </c>
      <c r="G185" s="565" t="str">
        <f ca="1">IF(ListAndConversion!CB187&lt;&gt;"-",ListAndConversion!CB187,"")</f>
        <v/>
      </c>
      <c r="H185" s="565" t="str">
        <f ca="1">IF(ListAndConversion!CC187&lt;&gt;"-",ListAndConversion!CC187,"")</f>
        <v/>
      </c>
      <c r="I185" s="565" t="str">
        <f ca="1">IF(ListAndConversion!CC187&lt;&gt;"-","Microfuge1","")</f>
        <v/>
      </c>
      <c r="J185" s="583" t="str">
        <f ca="1">IF(ListAndConversion!CD187&lt;&gt;"-",ListAndConversion!CD187,"")</f>
        <v/>
      </c>
      <c r="K185" s="577" t="str">
        <f t="shared" ca="1" si="2"/>
        <v/>
      </c>
    </row>
    <row r="186" spans="1:11" x14ac:dyDescent="0.65">
      <c r="A186" s="554" t="str">
        <f ca="1">IF(OR(LEFT(ListAndConversion!BW188,3)="Dil",LEFT(ListAndConversion!BW188,3)="Poo"),ListAndConversion!$BT$4,IF(LEFT(ListAndConversion!BW188,3)="Sou",INDEX(ListAndConversion!$AT$4:$AV$387,MATCH(ListAndConversion!BV188,ListAndConversion!$AV$4:$AV$387,0),1),""))</f>
        <v/>
      </c>
      <c r="B186" s="555" t="str">
        <f ca="1">IF(OR(LEFT(ListAndConversion!BW188,3)="Dil",LEFT(ListAndConversion!BW188,3)="Poo"),ListAndConversion!BU188,IF(LEFT(ListAndConversion!BW188,3)="Sou",INDEX(ListAndConversion!$AT$4:$AV$387,MATCH(ListAndConversion!BV188,ListAndConversion!$AV$4:$AV$387,0),2),""))</f>
        <v/>
      </c>
      <c r="C186" s="555" t="str">
        <f ca="1">IF(ListAndConversion!BZ188&lt;&gt;"-",ListAndConversion!BZ188,"")</f>
        <v/>
      </c>
      <c r="D186" s="555" t="str">
        <f ca="1">IF(ListAndConversion!BW188&lt;&gt;"-",ListAndConversion!BW188,"")</f>
        <v/>
      </c>
      <c r="E186" s="555" t="str">
        <f ca="1">IF(ListAndConversion!BX188&lt;&gt;"-",ListAndConversion!BX188,"")</f>
        <v/>
      </c>
      <c r="F186" s="565" t="str">
        <f ca="1">IF(ListAndConversion!BY188&lt;&gt;"-",ListAndConversion!BY188,"")</f>
        <v/>
      </c>
      <c r="G186" s="565" t="str">
        <f ca="1">IF(ListAndConversion!CB188&lt;&gt;"-",ListAndConversion!CB188,"")</f>
        <v/>
      </c>
      <c r="H186" s="565" t="str">
        <f ca="1">IF(ListAndConversion!CC188&lt;&gt;"-",ListAndConversion!CC188,"")</f>
        <v/>
      </c>
      <c r="I186" s="565" t="str">
        <f ca="1">IF(ListAndConversion!CC188&lt;&gt;"-","Microfuge1","")</f>
        <v/>
      </c>
      <c r="J186" s="583" t="str">
        <f ca="1">IF(ListAndConversion!CD188&lt;&gt;"-",ListAndConversion!CD188,"")</f>
        <v/>
      </c>
      <c r="K186" s="577" t="str">
        <f t="shared" ca="1" si="2"/>
        <v/>
      </c>
    </row>
    <row r="187" spans="1:11" x14ac:dyDescent="0.65">
      <c r="A187" s="554" t="str">
        <f ca="1">IF(OR(LEFT(ListAndConversion!BW189,3)="Dil",LEFT(ListAndConversion!BW189,3)="Poo"),ListAndConversion!$BT$4,IF(LEFT(ListAndConversion!BW189,3)="Sou",INDEX(ListAndConversion!$AT$4:$AV$387,MATCH(ListAndConversion!BV189,ListAndConversion!$AV$4:$AV$387,0),1),""))</f>
        <v/>
      </c>
      <c r="B187" s="555" t="str">
        <f ca="1">IF(OR(LEFT(ListAndConversion!BW189,3)="Dil",LEFT(ListAndConversion!BW189,3)="Poo"),ListAndConversion!BU189,IF(LEFT(ListAndConversion!BW189,3)="Sou",INDEX(ListAndConversion!$AT$4:$AV$387,MATCH(ListAndConversion!BV189,ListAndConversion!$AV$4:$AV$387,0),2),""))</f>
        <v/>
      </c>
      <c r="C187" s="555" t="str">
        <f ca="1">IF(ListAndConversion!BZ189&lt;&gt;"-",ListAndConversion!BZ189,"")</f>
        <v/>
      </c>
      <c r="D187" s="555" t="str">
        <f ca="1">IF(ListAndConversion!BW189&lt;&gt;"-",ListAndConversion!BW189,"")</f>
        <v/>
      </c>
      <c r="E187" s="555" t="str">
        <f ca="1">IF(ListAndConversion!BX189&lt;&gt;"-",ListAndConversion!BX189,"")</f>
        <v/>
      </c>
      <c r="F187" s="565" t="str">
        <f ca="1">IF(ListAndConversion!BY189&lt;&gt;"-",ListAndConversion!BY189,"")</f>
        <v/>
      </c>
      <c r="G187" s="565" t="str">
        <f ca="1">IF(ListAndConversion!CB189&lt;&gt;"-",ListAndConversion!CB189,"")</f>
        <v/>
      </c>
      <c r="H187" s="565" t="str">
        <f ca="1">IF(ListAndConversion!CC189&lt;&gt;"-",ListAndConversion!CC189,"")</f>
        <v/>
      </c>
      <c r="I187" s="565" t="str">
        <f ca="1">IF(ListAndConversion!CC189&lt;&gt;"-","Microfuge1","")</f>
        <v/>
      </c>
      <c r="J187" s="583" t="str">
        <f ca="1">IF(ListAndConversion!CD189&lt;&gt;"-",ListAndConversion!CD189,"")</f>
        <v/>
      </c>
      <c r="K187" s="577" t="str">
        <f t="shared" ca="1" si="2"/>
        <v/>
      </c>
    </row>
    <row r="188" spans="1:11" x14ac:dyDescent="0.65">
      <c r="A188" s="554" t="str">
        <f ca="1">IF(OR(LEFT(ListAndConversion!BW190,3)="Dil",LEFT(ListAndConversion!BW190,3)="Poo"),ListAndConversion!$BT$4,IF(LEFT(ListAndConversion!BW190,3)="Sou",INDEX(ListAndConversion!$AT$4:$AV$387,MATCH(ListAndConversion!BV190,ListAndConversion!$AV$4:$AV$387,0),1),""))</f>
        <v/>
      </c>
      <c r="B188" s="555" t="str">
        <f ca="1">IF(OR(LEFT(ListAndConversion!BW190,3)="Dil",LEFT(ListAndConversion!BW190,3)="Poo"),ListAndConversion!BU190,IF(LEFT(ListAndConversion!BW190,3)="Sou",INDEX(ListAndConversion!$AT$4:$AV$387,MATCH(ListAndConversion!BV190,ListAndConversion!$AV$4:$AV$387,0),2),""))</f>
        <v/>
      </c>
      <c r="C188" s="555" t="str">
        <f ca="1">IF(ListAndConversion!BZ190&lt;&gt;"-",ListAndConversion!BZ190,"")</f>
        <v/>
      </c>
      <c r="D188" s="555" t="str">
        <f ca="1">IF(ListAndConversion!BW190&lt;&gt;"-",ListAndConversion!BW190,"")</f>
        <v/>
      </c>
      <c r="E188" s="555" t="str">
        <f ca="1">IF(ListAndConversion!BX190&lt;&gt;"-",ListAndConversion!BX190,"")</f>
        <v/>
      </c>
      <c r="F188" s="565" t="str">
        <f ca="1">IF(ListAndConversion!BY190&lt;&gt;"-",ListAndConversion!BY190,"")</f>
        <v/>
      </c>
      <c r="G188" s="565" t="str">
        <f ca="1">IF(ListAndConversion!CB190&lt;&gt;"-",ListAndConversion!CB190,"")</f>
        <v/>
      </c>
      <c r="H188" s="565" t="str">
        <f ca="1">IF(ListAndConversion!CC190&lt;&gt;"-",ListAndConversion!CC190,"")</f>
        <v/>
      </c>
      <c r="I188" s="565" t="str">
        <f ca="1">IF(ListAndConversion!CC190&lt;&gt;"-","Microfuge1","")</f>
        <v/>
      </c>
      <c r="J188" s="583" t="str">
        <f ca="1">IF(ListAndConversion!CD190&lt;&gt;"-",ListAndConversion!CD190,"")</f>
        <v/>
      </c>
      <c r="K188" s="577" t="str">
        <f t="shared" ca="1" si="2"/>
        <v/>
      </c>
    </row>
    <row r="189" spans="1:11" x14ac:dyDescent="0.65">
      <c r="A189" s="554" t="str">
        <f ca="1">IF(OR(LEFT(ListAndConversion!BW191,3)="Dil",LEFT(ListAndConversion!BW191,3)="Poo"),ListAndConversion!$BT$4,IF(LEFT(ListAndConversion!BW191,3)="Sou",INDEX(ListAndConversion!$AT$4:$AV$387,MATCH(ListAndConversion!BV191,ListAndConversion!$AV$4:$AV$387,0),1),""))</f>
        <v/>
      </c>
      <c r="B189" s="555" t="str">
        <f ca="1">IF(OR(LEFT(ListAndConversion!BW191,3)="Dil",LEFT(ListAndConversion!BW191,3)="Poo"),ListAndConversion!BU191,IF(LEFT(ListAndConversion!BW191,3)="Sou",INDEX(ListAndConversion!$AT$4:$AV$387,MATCH(ListAndConversion!BV191,ListAndConversion!$AV$4:$AV$387,0),2),""))</f>
        <v/>
      </c>
      <c r="C189" s="555" t="str">
        <f ca="1">IF(ListAndConversion!BZ191&lt;&gt;"-",ListAndConversion!BZ191,"")</f>
        <v/>
      </c>
      <c r="D189" s="555" t="str">
        <f ca="1">IF(ListAndConversion!BW191&lt;&gt;"-",ListAndConversion!BW191,"")</f>
        <v/>
      </c>
      <c r="E189" s="555" t="str">
        <f ca="1">IF(ListAndConversion!BX191&lt;&gt;"-",ListAndConversion!BX191,"")</f>
        <v/>
      </c>
      <c r="F189" s="565" t="str">
        <f ca="1">IF(ListAndConversion!BY191&lt;&gt;"-",ListAndConversion!BY191,"")</f>
        <v/>
      </c>
      <c r="G189" s="565" t="str">
        <f ca="1">IF(ListAndConversion!CB191&lt;&gt;"-",ListAndConversion!CB191,"")</f>
        <v/>
      </c>
      <c r="H189" s="565" t="str">
        <f ca="1">IF(ListAndConversion!CC191&lt;&gt;"-",ListAndConversion!CC191,"")</f>
        <v/>
      </c>
      <c r="I189" s="565" t="str">
        <f ca="1">IF(ListAndConversion!CC191&lt;&gt;"-","Microfuge1","")</f>
        <v/>
      </c>
      <c r="J189" s="583" t="str">
        <f ca="1">IF(ListAndConversion!CD191&lt;&gt;"-",ListAndConversion!CD191,"")</f>
        <v/>
      </c>
      <c r="K189" s="577" t="str">
        <f t="shared" ca="1" si="2"/>
        <v/>
      </c>
    </row>
    <row r="190" spans="1:11" x14ac:dyDescent="0.65">
      <c r="A190" s="554" t="str">
        <f ca="1">IF(OR(LEFT(ListAndConversion!BW192,3)="Dil",LEFT(ListAndConversion!BW192,3)="Poo"),ListAndConversion!$BT$4,IF(LEFT(ListAndConversion!BW192,3)="Sou",INDEX(ListAndConversion!$AT$4:$AV$387,MATCH(ListAndConversion!BV192,ListAndConversion!$AV$4:$AV$387,0),1),""))</f>
        <v/>
      </c>
      <c r="B190" s="555" t="str">
        <f ca="1">IF(OR(LEFT(ListAndConversion!BW192,3)="Dil",LEFT(ListAndConversion!BW192,3)="Poo"),ListAndConversion!BU192,IF(LEFT(ListAndConversion!BW192,3)="Sou",INDEX(ListAndConversion!$AT$4:$AV$387,MATCH(ListAndConversion!BV192,ListAndConversion!$AV$4:$AV$387,0),2),""))</f>
        <v/>
      </c>
      <c r="C190" s="555" t="str">
        <f ca="1">IF(ListAndConversion!BZ192&lt;&gt;"-",ListAndConversion!BZ192,"")</f>
        <v/>
      </c>
      <c r="D190" s="555" t="str">
        <f ca="1">IF(ListAndConversion!BW192&lt;&gt;"-",ListAndConversion!BW192,"")</f>
        <v/>
      </c>
      <c r="E190" s="555" t="str">
        <f ca="1">IF(ListAndConversion!BX192&lt;&gt;"-",ListAndConversion!BX192,"")</f>
        <v/>
      </c>
      <c r="F190" s="565" t="str">
        <f ca="1">IF(ListAndConversion!BY192&lt;&gt;"-",ListAndConversion!BY192,"")</f>
        <v/>
      </c>
      <c r="G190" s="565" t="str">
        <f ca="1">IF(ListAndConversion!CB192&lt;&gt;"-",ListAndConversion!CB192,"")</f>
        <v/>
      </c>
      <c r="H190" s="565" t="str">
        <f ca="1">IF(ListAndConversion!CC192&lt;&gt;"-",ListAndConversion!CC192,"")</f>
        <v/>
      </c>
      <c r="I190" s="565" t="str">
        <f ca="1">IF(ListAndConversion!CC192&lt;&gt;"-","Microfuge1","")</f>
        <v/>
      </c>
      <c r="J190" s="583" t="str">
        <f ca="1">IF(ListAndConversion!CD192&lt;&gt;"-",ListAndConversion!CD192,"")</f>
        <v/>
      </c>
      <c r="K190" s="577" t="str">
        <f t="shared" ca="1" si="2"/>
        <v/>
      </c>
    </row>
    <row r="191" spans="1:11" x14ac:dyDescent="0.65">
      <c r="A191" s="554" t="str">
        <f ca="1">IF(OR(LEFT(ListAndConversion!BW193,3)="Dil",LEFT(ListAndConversion!BW193,3)="Poo"),ListAndConversion!$BT$4,IF(LEFT(ListAndConversion!BW193,3)="Sou",INDEX(ListAndConversion!$AT$4:$AV$387,MATCH(ListAndConversion!BV193,ListAndConversion!$AV$4:$AV$387,0),1),""))</f>
        <v/>
      </c>
      <c r="B191" s="555" t="str">
        <f ca="1">IF(OR(LEFT(ListAndConversion!BW193,3)="Dil",LEFT(ListAndConversion!BW193,3)="Poo"),ListAndConversion!BU193,IF(LEFT(ListAndConversion!BW193,3)="Sou",INDEX(ListAndConversion!$AT$4:$AV$387,MATCH(ListAndConversion!BV193,ListAndConversion!$AV$4:$AV$387,0),2),""))</f>
        <v/>
      </c>
      <c r="C191" s="555" t="str">
        <f ca="1">IF(ListAndConversion!BZ193&lt;&gt;"-",ListAndConversion!BZ193,"")</f>
        <v/>
      </c>
      <c r="D191" s="555" t="str">
        <f ca="1">IF(ListAndConversion!BW193&lt;&gt;"-",ListAndConversion!BW193,"")</f>
        <v/>
      </c>
      <c r="E191" s="555" t="str">
        <f ca="1">IF(ListAndConversion!BX193&lt;&gt;"-",ListAndConversion!BX193,"")</f>
        <v/>
      </c>
      <c r="F191" s="565" t="str">
        <f ca="1">IF(ListAndConversion!BY193&lt;&gt;"-",ListAndConversion!BY193,"")</f>
        <v/>
      </c>
      <c r="G191" s="565" t="str">
        <f ca="1">IF(ListAndConversion!CB193&lt;&gt;"-",ListAndConversion!CB193,"")</f>
        <v/>
      </c>
      <c r="H191" s="565" t="str">
        <f ca="1">IF(ListAndConversion!CC193&lt;&gt;"-",ListAndConversion!CC193,"")</f>
        <v/>
      </c>
      <c r="I191" s="565" t="str">
        <f ca="1">IF(ListAndConversion!CC193&lt;&gt;"-","Microfuge1","")</f>
        <v/>
      </c>
      <c r="J191" s="583" t="str">
        <f ca="1">IF(ListAndConversion!CD193&lt;&gt;"-",ListAndConversion!CD193,"")</f>
        <v/>
      </c>
      <c r="K191" s="577" t="str">
        <f t="shared" ca="1" si="2"/>
        <v/>
      </c>
    </row>
    <row r="192" spans="1:11" x14ac:dyDescent="0.65">
      <c r="A192" s="554" t="str">
        <f ca="1">IF(OR(LEFT(ListAndConversion!BW194,3)="Dil",LEFT(ListAndConversion!BW194,3)="Poo"),ListAndConversion!$BT$4,IF(LEFT(ListAndConversion!BW194,3)="Sou",INDEX(ListAndConversion!$AT$4:$AV$387,MATCH(ListAndConversion!BV194,ListAndConversion!$AV$4:$AV$387,0),1),""))</f>
        <v/>
      </c>
      <c r="B192" s="555" t="str">
        <f ca="1">IF(OR(LEFT(ListAndConversion!BW194,3)="Dil",LEFT(ListAndConversion!BW194,3)="Poo"),ListAndConversion!BU194,IF(LEFT(ListAndConversion!BW194,3)="Sou",INDEX(ListAndConversion!$AT$4:$AV$387,MATCH(ListAndConversion!BV194,ListAndConversion!$AV$4:$AV$387,0),2),""))</f>
        <v/>
      </c>
      <c r="C192" s="555" t="str">
        <f ca="1">IF(ListAndConversion!BZ194&lt;&gt;"-",ListAndConversion!BZ194,"")</f>
        <v/>
      </c>
      <c r="D192" s="555" t="str">
        <f ca="1">IF(ListAndConversion!BW194&lt;&gt;"-",ListAndConversion!BW194,"")</f>
        <v/>
      </c>
      <c r="E192" s="555" t="str">
        <f ca="1">IF(ListAndConversion!BX194&lt;&gt;"-",ListAndConversion!BX194,"")</f>
        <v/>
      </c>
      <c r="F192" s="565" t="str">
        <f ca="1">IF(ListAndConversion!BY194&lt;&gt;"-",ListAndConversion!BY194,"")</f>
        <v/>
      </c>
      <c r="G192" s="565" t="str">
        <f ca="1">IF(ListAndConversion!CB194&lt;&gt;"-",ListAndConversion!CB194,"")</f>
        <v/>
      </c>
      <c r="H192" s="565" t="str">
        <f ca="1">IF(ListAndConversion!CC194&lt;&gt;"-",ListAndConversion!CC194,"")</f>
        <v/>
      </c>
      <c r="I192" s="565" t="str">
        <f ca="1">IF(ListAndConversion!CC194&lt;&gt;"-","Microfuge1","")</f>
        <v/>
      </c>
      <c r="J192" s="583" t="str">
        <f ca="1">IF(ListAndConversion!CD194&lt;&gt;"-",ListAndConversion!CD194,"")</f>
        <v/>
      </c>
      <c r="K192" s="577" t="str">
        <f t="shared" ca="1" si="2"/>
        <v/>
      </c>
    </row>
    <row r="193" spans="1:11" x14ac:dyDescent="0.65">
      <c r="A193" s="554" t="str">
        <f ca="1">IF(OR(LEFT(ListAndConversion!BW195,3)="Dil",LEFT(ListAndConversion!BW195,3)="Poo"),ListAndConversion!$BT$4,IF(LEFT(ListAndConversion!BW195,3)="Sou",INDEX(ListAndConversion!$AT$4:$AV$387,MATCH(ListAndConversion!BV195,ListAndConversion!$AV$4:$AV$387,0),1),""))</f>
        <v/>
      </c>
      <c r="B193" s="555" t="str">
        <f ca="1">IF(OR(LEFT(ListAndConversion!BW195,3)="Dil",LEFT(ListAndConversion!BW195,3)="Poo"),ListAndConversion!BU195,IF(LEFT(ListAndConversion!BW195,3)="Sou",INDEX(ListAndConversion!$AT$4:$AV$387,MATCH(ListAndConversion!BV195,ListAndConversion!$AV$4:$AV$387,0),2),""))</f>
        <v/>
      </c>
      <c r="C193" s="555" t="str">
        <f ca="1">IF(ListAndConversion!BZ195&lt;&gt;"-",ListAndConversion!BZ195,"")</f>
        <v/>
      </c>
      <c r="D193" s="555" t="str">
        <f ca="1">IF(ListAndConversion!BW195&lt;&gt;"-",ListAndConversion!BW195,"")</f>
        <v/>
      </c>
      <c r="E193" s="555" t="str">
        <f ca="1">IF(ListAndConversion!BX195&lt;&gt;"-",ListAndConversion!BX195,"")</f>
        <v/>
      </c>
      <c r="F193" s="565" t="str">
        <f ca="1">IF(ListAndConversion!BY195&lt;&gt;"-",ListAndConversion!BY195,"")</f>
        <v/>
      </c>
      <c r="G193" s="565" t="str">
        <f ca="1">IF(ListAndConversion!CB195&lt;&gt;"-",ListAndConversion!CB195,"")</f>
        <v/>
      </c>
      <c r="H193" s="565" t="str">
        <f ca="1">IF(ListAndConversion!CC195&lt;&gt;"-",ListAndConversion!CC195,"")</f>
        <v/>
      </c>
      <c r="I193" s="565" t="str">
        <f ca="1">IF(ListAndConversion!CC195&lt;&gt;"-","Microfuge1","")</f>
        <v/>
      </c>
      <c r="J193" s="583" t="str">
        <f ca="1">IF(ListAndConversion!CD195&lt;&gt;"-",ListAndConversion!CD195,"")</f>
        <v/>
      </c>
      <c r="K193" s="577" t="str">
        <f t="shared" ca="1" si="2"/>
        <v/>
      </c>
    </row>
    <row r="194" spans="1:11" x14ac:dyDescent="0.65">
      <c r="A194" s="554" t="str">
        <f ca="1">IF(OR(LEFT(ListAndConversion!BW196,3)="Dil",LEFT(ListAndConversion!BW196,3)="Poo"),ListAndConversion!$BT$4,IF(LEFT(ListAndConversion!BW196,3)="Sou",INDEX(ListAndConversion!$AT$4:$AV$387,MATCH(ListAndConversion!BV196,ListAndConversion!$AV$4:$AV$387,0),1),""))</f>
        <v/>
      </c>
      <c r="B194" s="555" t="str">
        <f ca="1">IF(OR(LEFT(ListAndConversion!BW196,3)="Dil",LEFT(ListAndConversion!BW196,3)="Poo"),ListAndConversion!BU196,IF(LEFT(ListAndConversion!BW196,3)="Sou",INDEX(ListAndConversion!$AT$4:$AV$387,MATCH(ListAndConversion!BV196,ListAndConversion!$AV$4:$AV$387,0),2),""))</f>
        <v/>
      </c>
      <c r="C194" s="555" t="str">
        <f ca="1">IF(ListAndConversion!BZ196&lt;&gt;"-",ListAndConversion!BZ196,"")</f>
        <v/>
      </c>
      <c r="D194" s="555" t="str">
        <f ca="1">IF(ListAndConversion!BW196&lt;&gt;"-",ListAndConversion!BW196,"")</f>
        <v/>
      </c>
      <c r="E194" s="555" t="str">
        <f ca="1">IF(ListAndConversion!BX196&lt;&gt;"-",ListAndConversion!BX196,"")</f>
        <v/>
      </c>
      <c r="F194" s="565" t="str">
        <f ca="1">IF(ListAndConversion!BY196&lt;&gt;"-",ListAndConversion!BY196,"")</f>
        <v/>
      </c>
      <c r="G194" s="565" t="str">
        <f ca="1">IF(ListAndConversion!CB196&lt;&gt;"-",ListAndConversion!CB196,"")</f>
        <v/>
      </c>
      <c r="H194" s="565" t="str">
        <f ca="1">IF(ListAndConversion!CC196&lt;&gt;"-",ListAndConversion!CC196,"")</f>
        <v/>
      </c>
      <c r="I194" s="565" t="str">
        <f ca="1">IF(ListAndConversion!CC196&lt;&gt;"-","Microfuge1","")</f>
        <v/>
      </c>
      <c r="J194" s="583" t="str">
        <f ca="1">IF(ListAndConversion!CD196&lt;&gt;"-",ListAndConversion!CD196,"")</f>
        <v/>
      </c>
      <c r="K194" s="577" t="str">
        <f t="shared" ref="K194:K257" ca="1" si="3">IF(LEFT(D194,4)="Pool",15,IF(D194="","",0))</f>
        <v/>
      </c>
    </row>
    <row r="195" spans="1:11" x14ac:dyDescent="0.65">
      <c r="A195" s="554" t="str">
        <f ca="1">IF(OR(LEFT(ListAndConversion!BW197,3)="Dil",LEFT(ListAndConversion!BW197,3)="Poo"),ListAndConversion!$BT$4,IF(LEFT(ListAndConversion!BW197,3)="Sou",INDEX(ListAndConversion!$AT$4:$AV$387,MATCH(ListAndConversion!BV197,ListAndConversion!$AV$4:$AV$387,0),1),""))</f>
        <v/>
      </c>
      <c r="B195" s="555" t="str">
        <f ca="1">IF(OR(LEFT(ListAndConversion!BW197,3)="Dil",LEFT(ListAndConversion!BW197,3)="Poo"),ListAndConversion!BU197,IF(LEFT(ListAndConversion!BW197,3)="Sou",INDEX(ListAndConversion!$AT$4:$AV$387,MATCH(ListAndConversion!BV197,ListAndConversion!$AV$4:$AV$387,0),2),""))</f>
        <v/>
      </c>
      <c r="C195" s="555" t="str">
        <f ca="1">IF(ListAndConversion!BZ197&lt;&gt;"-",ListAndConversion!BZ197,"")</f>
        <v/>
      </c>
      <c r="D195" s="555" t="str">
        <f ca="1">IF(ListAndConversion!BW197&lt;&gt;"-",ListAndConversion!BW197,"")</f>
        <v/>
      </c>
      <c r="E195" s="555" t="str">
        <f ca="1">IF(ListAndConversion!BX197&lt;&gt;"-",ListAndConversion!BX197,"")</f>
        <v/>
      </c>
      <c r="F195" s="565" t="str">
        <f ca="1">IF(ListAndConversion!BY197&lt;&gt;"-",ListAndConversion!BY197,"")</f>
        <v/>
      </c>
      <c r="G195" s="565" t="str">
        <f ca="1">IF(ListAndConversion!CB197&lt;&gt;"-",ListAndConversion!CB197,"")</f>
        <v/>
      </c>
      <c r="H195" s="565" t="str">
        <f ca="1">IF(ListAndConversion!CC197&lt;&gt;"-",ListAndConversion!CC197,"")</f>
        <v/>
      </c>
      <c r="I195" s="565" t="str">
        <f ca="1">IF(ListAndConversion!CC197&lt;&gt;"-","Microfuge1","")</f>
        <v/>
      </c>
      <c r="J195" s="583" t="str">
        <f ca="1">IF(ListAndConversion!CD197&lt;&gt;"-",ListAndConversion!CD197,"")</f>
        <v/>
      </c>
      <c r="K195" s="577" t="str">
        <f t="shared" ca="1" si="3"/>
        <v/>
      </c>
    </row>
    <row r="196" spans="1:11" x14ac:dyDescent="0.65">
      <c r="A196" s="554" t="str">
        <f ca="1">IF(OR(LEFT(ListAndConversion!BW198,3)="Dil",LEFT(ListAndConversion!BW198,3)="Poo"),ListAndConversion!$BT$4,IF(LEFT(ListAndConversion!BW198,3)="Sou",INDEX(ListAndConversion!$AT$4:$AV$387,MATCH(ListAndConversion!BV198,ListAndConversion!$AV$4:$AV$387,0),1),""))</f>
        <v/>
      </c>
      <c r="B196" s="555" t="str">
        <f ca="1">IF(OR(LEFT(ListAndConversion!BW198,3)="Dil",LEFT(ListAndConversion!BW198,3)="Poo"),ListAndConversion!BU198,IF(LEFT(ListAndConversion!BW198,3)="Sou",INDEX(ListAndConversion!$AT$4:$AV$387,MATCH(ListAndConversion!BV198,ListAndConversion!$AV$4:$AV$387,0),2),""))</f>
        <v/>
      </c>
      <c r="C196" s="555" t="str">
        <f ca="1">IF(ListAndConversion!BZ198&lt;&gt;"-",ListAndConversion!BZ198,"")</f>
        <v/>
      </c>
      <c r="D196" s="555" t="str">
        <f ca="1">IF(ListAndConversion!BW198&lt;&gt;"-",ListAndConversion!BW198,"")</f>
        <v/>
      </c>
      <c r="E196" s="555" t="str">
        <f ca="1">IF(ListAndConversion!BX198&lt;&gt;"-",ListAndConversion!BX198,"")</f>
        <v/>
      </c>
      <c r="F196" s="565" t="str">
        <f ca="1">IF(ListAndConversion!BY198&lt;&gt;"-",ListAndConversion!BY198,"")</f>
        <v/>
      </c>
      <c r="G196" s="565" t="str">
        <f ca="1">IF(ListAndConversion!CB198&lt;&gt;"-",ListAndConversion!CB198,"")</f>
        <v/>
      </c>
      <c r="H196" s="565" t="str">
        <f ca="1">IF(ListAndConversion!CC198&lt;&gt;"-",ListAndConversion!CC198,"")</f>
        <v/>
      </c>
      <c r="I196" s="565" t="str">
        <f ca="1">IF(ListAndConversion!CC198&lt;&gt;"-","Microfuge1","")</f>
        <v/>
      </c>
      <c r="J196" s="583" t="str">
        <f ca="1">IF(ListAndConversion!CD198&lt;&gt;"-",ListAndConversion!CD198,"")</f>
        <v/>
      </c>
      <c r="K196" s="577" t="str">
        <f t="shared" ca="1" si="3"/>
        <v/>
      </c>
    </row>
    <row r="197" spans="1:11" x14ac:dyDescent="0.65">
      <c r="A197" s="554" t="str">
        <f ca="1">IF(OR(LEFT(ListAndConversion!BW199,3)="Dil",LEFT(ListAndConversion!BW199,3)="Poo"),ListAndConversion!$BT$4,IF(LEFT(ListAndConversion!BW199,3)="Sou",INDEX(ListAndConversion!$AT$4:$AV$387,MATCH(ListAndConversion!BV199,ListAndConversion!$AV$4:$AV$387,0),1),""))</f>
        <v/>
      </c>
      <c r="B197" s="555" t="str">
        <f ca="1">IF(OR(LEFT(ListAndConversion!BW199,3)="Dil",LEFT(ListAndConversion!BW199,3)="Poo"),ListAndConversion!BU199,IF(LEFT(ListAndConversion!BW199,3)="Sou",INDEX(ListAndConversion!$AT$4:$AV$387,MATCH(ListAndConversion!BV199,ListAndConversion!$AV$4:$AV$387,0),2),""))</f>
        <v/>
      </c>
      <c r="C197" s="555" t="str">
        <f ca="1">IF(ListAndConversion!BZ199&lt;&gt;"-",ListAndConversion!BZ199,"")</f>
        <v/>
      </c>
      <c r="D197" s="555" t="str">
        <f ca="1">IF(ListAndConversion!BW199&lt;&gt;"-",ListAndConversion!BW199,"")</f>
        <v/>
      </c>
      <c r="E197" s="555" t="str">
        <f ca="1">IF(ListAndConversion!BX199&lt;&gt;"-",ListAndConversion!BX199,"")</f>
        <v/>
      </c>
      <c r="F197" s="565" t="str">
        <f ca="1">IF(ListAndConversion!BY199&lt;&gt;"-",ListAndConversion!BY199,"")</f>
        <v/>
      </c>
      <c r="G197" s="565" t="str">
        <f ca="1">IF(ListAndConversion!CB199&lt;&gt;"-",ListAndConversion!CB199,"")</f>
        <v/>
      </c>
      <c r="H197" s="565" t="str">
        <f ca="1">IF(ListAndConversion!CC199&lt;&gt;"-",ListAndConversion!CC199,"")</f>
        <v/>
      </c>
      <c r="I197" s="565" t="str">
        <f ca="1">IF(ListAndConversion!CC199&lt;&gt;"-","Microfuge1","")</f>
        <v/>
      </c>
      <c r="J197" s="583" t="str">
        <f ca="1">IF(ListAndConversion!CD199&lt;&gt;"-",ListAndConversion!CD199,"")</f>
        <v/>
      </c>
      <c r="K197" s="577" t="str">
        <f t="shared" ca="1" si="3"/>
        <v/>
      </c>
    </row>
    <row r="198" spans="1:11" x14ac:dyDescent="0.65">
      <c r="A198" s="554" t="str">
        <f ca="1">IF(OR(LEFT(ListAndConversion!BW200,3)="Dil",LEFT(ListAndConversion!BW200,3)="Poo"),ListAndConversion!$BT$4,IF(LEFT(ListAndConversion!BW200,3)="Sou",INDEX(ListAndConversion!$AT$4:$AV$387,MATCH(ListAndConversion!BV200,ListAndConversion!$AV$4:$AV$387,0),1),""))</f>
        <v/>
      </c>
      <c r="B198" s="555" t="str">
        <f ca="1">IF(OR(LEFT(ListAndConversion!BW200,3)="Dil",LEFT(ListAndConversion!BW200,3)="Poo"),ListAndConversion!BU200,IF(LEFT(ListAndConversion!BW200,3)="Sou",INDEX(ListAndConversion!$AT$4:$AV$387,MATCH(ListAndConversion!BV200,ListAndConversion!$AV$4:$AV$387,0),2),""))</f>
        <v/>
      </c>
      <c r="C198" s="555" t="str">
        <f ca="1">IF(ListAndConversion!BZ200&lt;&gt;"-",ListAndConversion!BZ200,"")</f>
        <v/>
      </c>
      <c r="D198" s="555" t="str">
        <f ca="1">IF(ListAndConversion!BW200&lt;&gt;"-",ListAndConversion!BW200,"")</f>
        <v/>
      </c>
      <c r="E198" s="555" t="str">
        <f ca="1">IF(ListAndConversion!BX200&lt;&gt;"-",ListAndConversion!BX200,"")</f>
        <v/>
      </c>
      <c r="F198" s="565" t="str">
        <f ca="1">IF(ListAndConversion!BY200&lt;&gt;"-",ListAndConversion!BY200,"")</f>
        <v/>
      </c>
      <c r="G198" s="565" t="str">
        <f ca="1">IF(ListAndConversion!CB200&lt;&gt;"-",ListAndConversion!CB200,"")</f>
        <v/>
      </c>
      <c r="H198" s="565" t="str">
        <f ca="1">IF(ListAndConversion!CC200&lt;&gt;"-",ListAndConversion!CC200,"")</f>
        <v/>
      </c>
      <c r="I198" s="565" t="str">
        <f ca="1">IF(ListAndConversion!CC200&lt;&gt;"-","Microfuge1","")</f>
        <v/>
      </c>
      <c r="J198" s="583" t="str">
        <f ca="1">IF(ListAndConversion!CD200&lt;&gt;"-",ListAndConversion!CD200,"")</f>
        <v/>
      </c>
      <c r="K198" s="577" t="str">
        <f t="shared" ca="1" si="3"/>
        <v/>
      </c>
    </row>
    <row r="199" spans="1:11" x14ac:dyDescent="0.65">
      <c r="A199" s="554" t="str">
        <f ca="1">IF(OR(LEFT(ListAndConversion!BW201,3)="Dil",LEFT(ListAndConversion!BW201,3)="Poo"),ListAndConversion!$BT$4,IF(LEFT(ListAndConversion!BW201,3)="Sou",INDEX(ListAndConversion!$AT$4:$AV$387,MATCH(ListAndConversion!BV201,ListAndConversion!$AV$4:$AV$387,0),1),""))</f>
        <v/>
      </c>
      <c r="B199" s="555" t="str">
        <f ca="1">IF(OR(LEFT(ListAndConversion!BW201,3)="Dil",LEFT(ListAndConversion!BW201,3)="Poo"),ListAndConversion!BU201,IF(LEFT(ListAndConversion!BW201,3)="Sou",INDEX(ListAndConversion!$AT$4:$AV$387,MATCH(ListAndConversion!BV201,ListAndConversion!$AV$4:$AV$387,0),2),""))</f>
        <v/>
      </c>
      <c r="C199" s="555" t="str">
        <f ca="1">IF(ListAndConversion!BZ201&lt;&gt;"-",ListAndConversion!BZ201,"")</f>
        <v/>
      </c>
      <c r="D199" s="555" t="str">
        <f ca="1">IF(ListAndConversion!BW201&lt;&gt;"-",ListAndConversion!BW201,"")</f>
        <v/>
      </c>
      <c r="E199" s="555" t="str">
        <f ca="1">IF(ListAndConversion!BX201&lt;&gt;"-",ListAndConversion!BX201,"")</f>
        <v/>
      </c>
      <c r="F199" s="565" t="str">
        <f ca="1">IF(ListAndConversion!BY201&lt;&gt;"-",ListAndConversion!BY201,"")</f>
        <v/>
      </c>
      <c r="G199" s="565" t="str">
        <f ca="1">IF(ListAndConversion!CB201&lt;&gt;"-",ListAndConversion!CB201,"")</f>
        <v/>
      </c>
      <c r="H199" s="565" t="str">
        <f ca="1">IF(ListAndConversion!CC201&lt;&gt;"-",ListAndConversion!CC201,"")</f>
        <v/>
      </c>
      <c r="I199" s="565" t="str">
        <f ca="1">IF(ListAndConversion!CC201&lt;&gt;"-","Microfuge1","")</f>
        <v/>
      </c>
      <c r="J199" s="583" t="str">
        <f ca="1">IF(ListAndConversion!CD201&lt;&gt;"-",ListAndConversion!CD201,"")</f>
        <v/>
      </c>
      <c r="K199" s="577" t="str">
        <f t="shared" ca="1" si="3"/>
        <v/>
      </c>
    </row>
    <row r="200" spans="1:11" x14ac:dyDescent="0.65">
      <c r="A200" s="554" t="str">
        <f ca="1">IF(OR(LEFT(ListAndConversion!BW202,3)="Dil",LEFT(ListAndConversion!BW202,3)="Poo"),ListAndConversion!$BT$4,IF(LEFT(ListAndConversion!BW202,3)="Sou",INDEX(ListAndConversion!$AT$4:$AV$387,MATCH(ListAndConversion!BV202,ListAndConversion!$AV$4:$AV$387,0),1),""))</f>
        <v/>
      </c>
      <c r="B200" s="555" t="str">
        <f ca="1">IF(OR(LEFT(ListAndConversion!BW202,3)="Dil",LEFT(ListAndConversion!BW202,3)="Poo"),ListAndConversion!BU202,IF(LEFT(ListAndConversion!BW202,3)="Sou",INDEX(ListAndConversion!$AT$4:$AV$387,MATCH(ListAndConversion!BV202,ListAndConversion!$AV$4:$AV$387,0),2),""))</f>
        <v/>
      </c>
      <c r="C200" s="555" t="str">
        <f ca="1">IF(ListAndConversion!BZ202&lt;&gt;"-",ListAndConversion!BZ202,"")</f>
        <v/>
      </c>
      <c r="D200" s="555" t="str">
        <f ca="1">IF(ListAndConversion!BW202&lt;&gt;"-",ListAndConversion!BW202,"")</f>
        <v/>
      </c>
      <c r="E200" s="555" t="str">
        <f ca="1">IF(ListAndConversion!BX202&lt;&gt;"-",ListAndConversion!BX202,"")</f>
        <v/>
      </c>
      <c r="F200" s="565" t="str">
        <f ca="1">IF(ListAndConversion!BY202&lt;&gt;"-",ListAndConversion!BY202,"")</f>
        <v/>
      </c>
      <c r="G200" s="565" t="str">
        <f ca="1">IF(ListAndConversion!CB202&lt;&gt;"-",ListAndConversion!CB202,"")</f>
        <v/>
      </c>
      <c r="H200" s="565" t="str">
        <f ca="1">IF(ListAndConversion!CC202&lt;&gt;"-",ListAndConversion!CC202,"")</f>
        <v/>
      </c>
      <c r="I200" s="565" t="str">
        <f ca="1">IF(ListAndConversion!CC202&lt;&gt;"-","Microfuge1","")</f>
        <v/>
      </c>
      <c r="J200" s="583" t="str">
        <f ca="1">IF(ListAndConversion!CD202&lt;&gt;"-",ListAndConversion!CD202,"")</f>
        <v/>
      </c>
      <c r="K200" s="577" t="str">
        <f t="shared" ca="1" si="3"/>
        <v/>
      </c>
    </row>
    <row r="201" spans="1:11" x14ac:dyDescent="0.65">
      <c r="A201" s="554" t="str">
        <f ca="1">IF(OR(LEFT(ListAndConversion!BW203,3)="Dil",LEFT(ListAndConversion!BW203,3)="Poo"),ListAndConversion!$BT$4,IF(LEFT(ListAndConversion!BW203,3)="Sou",INDEX(ListAndConversion!$AT$4:$AV$387,MATCH(ListAndConversion!BV203,ListAndConversion!$AV$4:$AV$387,0),1),""))</f>
        <v/>
      </c>
      <c r="B201" s="555" t="str">
        <f ca="1">IF(OR(LEFT(ListAndConversion!BW203,3)="Dil",LEFT(ListAndConversion!BW203,3)="Poo"),ListAndConversion!BU203,IF(LEFT(ListAndConversion!BW203,3)="Sou",INDEX(ListAndConversion!$AT$4:$AV$387,MATCH(ListAndConversion!BV203,ListAndConversion!$AV$4:$AV$387,0),2),""))</f>
        <v/>
      </c>
      <c r="C201" s="555" t="str">
        <f ca="1">IF(ListAndConversion!BZ203&lt;&gt;"-",ListAndConversion!BZ203,"")</f>
        <v/>
      </c>
      <c r="D201" s="555" t="str">
        <f ca="1">IF(ListAndConversion!BW203&lt;&gt;"-",ListAndConversion!BW203,"")</f>
        <v/>
      </c>
      <c r="E201" s="555" t="str">
        <f ca="1">IF(ListAndConversion!BX203&lt;&gt;"-",ListAndConversion!BX203,"")</f>
        <v/>
      </c>
      <c r="F201" s="565" t="str">
        <f ca="1">IF(ListAndConversion!BY203&lt;&gt;"-",ListAndConversion!BY203,"")</f>
        <v/>
      </c>
      <c r="G201" s="565" t="str">
        <f ca="1">IF(ListAndConversion!CB203&lt;&gt;"-",ListAndConversion!CB203,"")</f>
        <v/>
      </c>
      <c r="H201" s="565" t="str">
        <f ca="1">IF(ListAndConversion!CC203&lt;&gt;"-",ListAndConversion!CC203,"")</f>
        <v/>
      </c>
      <c r="I201" s="565" t="str">
        <f ca="1">IF(ListAndConversion!CC203&lt;&gt;"-","Microfuge1","")</f>
        <v/>
      </c>
      <c r="J201" s="583" t="str">
        <f ca="1">IF(ListAndConversion!CD203&lt;&gt;"-",ListAndConversion!CD203,"")</f>
        <v/>
      </c>
      <c r="K201" s="577" t="str">
        <f t="shared" ca="1" si="3"/>
        <v/>
      </c>
    </row>
    <row r="202" spans="1:11" x14ac:dyDescent="0.65">
      <c r="A202" s="554" t="str">
        <f ca="1">IF(OR(LEFT(ListAndConversion!BW204,3)="Dil",LEFT(ListAndConversion!BW204,3)="Poo"),ListAndConversion!$BT$4,IF(LEFT(ListAndConversion!BW204,3)="Sou",INDEX(ListAndConversion!$AT$4:$AV$387,MATCH(ListAndConversion!BV204,ListAndConversion!$AV$4:$AV$387,0),1),""))</f>
        <v/>
      </c>
      <c r="B202" s="555" t="str">
        <f ca="1">IF(OR(LEFT(ListAndConversion!BW204,3)="Dil",LEFT(ListAndConversion!BW204,3)="Poo"),ListAndConversion!BU204,IF(LEFT(ListAndConversion!BW204,3)="Sou",INDEX(ListAndConversion!$AT$4:$AV$387,MATCH(ListAndConversion!BV204,ListAndConversion!$AV$4:$AV$387,0),2),""))</f>
        <v/>
      </c>
      <c r="C202" s="555" t="str">
        <f ca="1">IF(ListAndConversion!BZ204&lt;&gt;"-",ListAndConversion!BZ204,"")</f>
        <v/>
      </c>
      <c r="D202" s="555" t="str">
        <f ca="1">IF(ListAndConversion!BW204&lt;&gt;"-",ListAndConversion!BW204,"")</f>
        <v/>
      </c>
      <c r="E202" s="555" t="str">
        <f ca="1">IF(ListAndConversion!BX204&lt;&gt;"-",ListAndConversion!BX204,"")</f>
        <v/>
      </c>
      <c r="F202" s="565" t="str">
        <f ca="1">IF(ListAndConversion!BY204&lt;&gt;"-",ListAndConversion!BY204,"")</f>
        <v/>
      </c>
      <c r="G202" s="565" t="str">
        <f ca="1">IF(ListAndConversion!CB204&lt;&gt;"-",ListAndConversion!CB204,"")</f>
        <v/>
      </c>
      <c r="H202" s="565" t="str">
        <f ca="1">IF(ListAndConversion!CC204&lt;&gt;"-",ListAndConversion!CC204,"")</f>
        <v/>
      </c>
      <c r="I202" s="565" t="str">
        <f ca="1">IF(ListAndConversion!CC204&lt;&gt;"-","Microfuge1","")</f>
        <v/>
      </c>
      <c r="J202" s="583" t="str">
        <f ca="1">IF(ListAndConversion!CD204&lt;&gt;"-",ListAndConversion!CD204,"")</f>
        <v/>
      </c>
      <c r="K202" s="577" t="str">
        <f t="shared" ca="1" si="3"/>
        <v/>
      </c>
    </row>
    <row r="203" spans="1:11" x14ac:dyDescent="0.65">
      <c r="A203" s="554" t="str">
        <f ca="1">IF(OR(LEFT(ListAndConversion!BW205,3)="Dil",LEFT(ListAndConversion!BW205,3)="Poo"),ListAndConversion!$BT$4,IF(LEFT(ListAndConversion!BW205,3)="Sou",INDEX(ListAndConversion!$AT$4:$AV$387,MATCH(ListAndConversion!BV205,ListAndConversion!$AV$4:$AV$387,0),1),""))</f>
        <v/>
      </c>
      <c r="B203" s="555" t="str">
        <f ca="1">IF(OR(LEFT(ListAndConversion!BW205,3)="Dil",LEFT(ListAndConversion!BW205,3)="Poo"),ListAndConversion!BU205,IF(LEFT(ListAndConversion!BW205,3)="Sou",INDEX(ListAndConversion!$AT$4:$AV$387,MATCH(ListAndConversion!BV205,ListAndConversion!$AV$4:$AV$387,0),2),""))</f>
        <v/>
      </c>
      <c r="C203" s="555" t="str">
        <f ca="1">IF(ListAndConversion!BZ205&lt;&gt;"-",ListAndConversion!BZ205,"")</f>
        <v/>
      </c>
      <c r="D203" s="555" t="str">
        <f ca="1">IF(ListAndConversion!BW205&lt;&gt;"-",ListAndConversion!BW205,"")</f>
        <v/>
      </c>
      <c r="E203" s="555" t="str">
        <f ca="1">IF(ListAndConversion!BX205&lt;&gt;"-",ListAndConversion!BX205,"")</f>
        <v/>
      </c>
      <c r="F203" s="565" t="str">
        <f ca="1">IF(ListAndConversion!BY205&lt;&gt;"-",ListAndConversion!BY205,"")</f>
        <v/>
      </c>
      <c r="G203" s="565" t="str">
        <f ca="1">IF(ListAndConversion!CB205&lt;&gt;"-",ListAndConversion!CB205,"")</f>
        <v/>
      </c>
      <c r="H203" s="565" t="str">
        <f ca="1">IF(ListAndConversion!CC205&lt;&gt;"-",ListAndConversion!CC205,"")</f>
        <v/>
      </c>
      <c r="I203" s="565" t="str">
        <f ca="1">IF(ListAndConversion!CC205&lt;&gt;"-","Microfuge1","")</f>
        <v/>
      </c>
      <c r="J203" s="583" t="str">
        <f ca="1">IF(ListAndConversion!CD205&lt;&gt;"-",ListAndConversion!CD205,"")</f>
        <v/>
      </c>
      <c r="K203" s="577" t="str">
        <f t="shared" ca="1" si="3"/>
        <v/>
      </c>
    </row>
    <row r="204" spans="1:11" x14ac:dyDescent="0.65">
      <c r="A204" s="554" t="str">
        <f ca="1">IF(OR(LEFT(ListAndConversion!BW206,3)="Dil",LEFT(ListAndConversion!BW206,3)="Poo"),ListAndConversion!$BT$4,IF(LEFT(ListAndConversion!BW206,3)="Sou",INDEX(ListAndConversion!$AT$4:$AV$387,MATCH(ListAndConversion!BV206,ListAndConversion!$AV$4:$AV$387,0),1),""))</f>
        <v/>
      </c>
      <c r="B204" s="555" t="str">
        <f ca="1">IF(OR(LEFT(ListAndConversion!BW206,3)="Dil",LEFT(ListAndConversion!BW206,3)="Poo"),ListAndConversion!BU206,IF(LEFT(ListAndConversion!BW206,3)="Sou",INDEX(ListAndConversion!$AT$4:$AV$387,MATCH(ListAndConversion!BV206,ListAndConversion!$AV$4:$AV$387,0),2),""))</f>
        <v/>
      </c>
      <c r="C204" s="555" t="str">
        <f ca="1">IF(ListAndConversion!BZ206&lt;&gt;"-",ListAndConversion!BZ206,"")</f>
        <v/>
      </c>
      <c r="D204" s="555" t="str">
        <f ca="1">IF(ListAndConversion!BW206&lt;&gt;"-",ListAndConversion!BW206,"")</f>
        <v/>
      </c>
      <c r="E204" s="555" t="str">
        <f ca="1">IF(ListAndConversion!BX206&lt;&gt;"-",ListAndConversion!BX206,"")</f>
        <v/>
      </c>
      <c r="F204" s="565" t="str">
        <f ca="1">IF(ListAndConversion!BY206&lt;&gt;"-",ListAndConversion!BY206,"")</f>
        <v/>
      </c>
      <c r="G204" s="565" t="str">
        <f ca="1">IF(ListAndConversion!CB206&lt;&gt;"-",ListAndConversion!CB206,"")</f>
        <v/>
      </c>
      <c r="H204" s="565" t="str">
        <f ca="1">IF(ListAndConversion!CC206&lt;&gt;"-",ListAndConversion!CC206,"")</f>
        <v/>
      </c>
      <c r="I204" s="565" t="str">
        <f ca="1">IF(ListAndConversion!CC206&lt;&gt;"-","Microfuge1","")</f>
        <v/>
      </c>
      <c r="J204" s="583" t="str">
        <f ca="1">IF(ListAndConversion!CD206&lt;&gt;"-",ListAndConversion!CD206,"")</f>
        <v/>
      </c>
      <c r="K204" s="577" t="str">
        <f t="shared" ca="1" si="3"/>
        <v/>
      </c>
    </row>
    <row r="205" spans="1:11" x14ac:dyDescent="0.65">
      <c r="A205" s="554" t="str">
        <f ca="1">IF(OR(LEFT(ListAndConversion!BW207,3)="Dil",LEFT(ListAndConversion!BW207,3)="Poo"),ListAndConversion!$BT$4,IF(LEFT(ListAndConversion!BW207,3)="Sou",INDEX(ListAndConversion!$AT$4:$AV$387,MATCH(ListAndConversion!BV207,ListAndConversion!$AV$4:$AV$387,0),1),""))</f>
        <v/>
      </c>
      <c r="B205" s="555" t="str">
        <f ca="1">IF(OR(LEFT(ListAndConversion!BW207,3)="Dil",LEFT(ListAndConversion!BW207,3)="Poo"),ListAndConversion!BU207,IF(LEFT(ListAndConversion!BW207,3)="Sou",INDEX(ListAndConversion!$AT$4:$AV$387,MATCH(ListAndConversion!BV207,ListAndConversion!$AV$4:$AV$387,0),2),""))</f>
        <v/>
      </c>
      <c r="C205" s="555" t="str">
        <f ca="1">IF(ListAndConversion!BZ207&lt;&gt;"-",ListAndConversion!BZ207,"")</f>
        <v/>
      </c>
      <c r="D205" s="555" t="str">
        <f ca="1">IF(ListAndConversion!BW207&lt;&gt;"-",ListAndConversion!BW207,"")</f>
        <v/>
      </c>
      <c r="E205" s="555" t="str">
        <f ca="1">IF(ListAndConversion!BX207&lt;&gt;"-",ListAndConversion!BX207,"")</f>
        <v/>
      </c>
      <c r="F205" s="565" t="str">
        <f ca="1">IF(ListAndConversion!BY207&lt;&gt;"-",ListAndConversion!BY207,"")</f>
        <v/>
      </c>
      <c r="G205" s="565" t="str">
        <f ca="1">IF(ListAndConversion!CB207&lt;&gt;"-",ListAndConversion!CB207,"")</f>
        <v/>
      </c>
      <c r="H205" s="565" t="str">
        <f ca="1">IF(ListAndConversion!CC207&lt;&gt;"-",ListAndConversion!CC207,"")</f>
        <v/>
      </c>
      <c r="I205" s="565" t="str">
        <f ca="1">IF(ListAndConversion!CC207&lt;&gt;"-","Microfuge1","")</f>
        <v/>
      </c>
      <c r="J205" s="583" t="str">
        <f ca="1">IF(ListAndConversion!CD207&lt;&gt;"-",ListAndConversion!CD207,"")</f>
        <v/>
      </c>
      <c r="K205" s="577" t="str">
        <f t="shared" ca="1" si="3"/>
        <v/>
      </c>
    </row>
    <row r="206" spans="1:11" x14ac:dyDescent="0.65">
      <c r="A206" s="554" t="str">
        <f ca="1">IF(OR(LEFT(ListAndConversion!BW208,3)="Dil",LEFT(ListAndConversion!BW208,3)="Poo"),ListAndConversion!$BT$4,IF(LEFT(ListAndConversion!BW208,3)="Sou",INDEX(ListAndConversion!$AT$4:$AV$387,MATCH(ListAndConversion!BV208,ListAndConversion!$AV$4:$AV$387,0),1),""))</f>
        <v/>
      </c>
      <c r="B206" s="555" t="str">
        <f ca="1">IF(OR(LEFT(ListAndConversion!BW208,3)="Dil",LEFT(ListAndConversion!BW208,3)="Poo"),ListAndConversion!BU208,IF(LEFT(ListAndConversion!BW208,3)="Sou",INDEX(ListAndConversion!$AT$4:$AV$387,MATCH(ListAndConversion!BV208,ListAndConversion!$AV$4:$AV$387,0),2),""))</f>
        <v/>
      </c>
      <c r="C206" s="555" t="str">
        <f ca="1">IF(ListAndConversion!BZ208&lt;&gt;"-",ListAndConversion!BZ208,"")</f>
        <v/>
      </c>
      <c r="D206" s="555" t="str">
        <f ca="1">IF(ListAndConversion!BW208&lt;&gt;"-",ListAndConversion!BW208,"")</f>
        <v/>
      </c>
      <c r="E206" s="555" t="str">
        <f ca="1">IF(ListAndConversion!BX208&lt;&gt;"-",ListAndConversion!BX208,"")</f>
        <v/>
      </c>
      <c r="F206" s="565" t="str">
        <f ca="1">IF(ListAndConversion!BY208&lt;&gt;"-",ListAndConversion!BY208,"")</f>
        <v/>
      </c>
      <c r="G206" s="565" t="str">
        <f ca="1">IF(ListAndConversion!CB208&lt;&gt;"-",ListAndConversion!CB208,"")</f>
        <v/>
      </c>
      <c r="H206" s="565" t="str">
        <f ca="1">IF(ListAndConversion!CC208&lt;&gt;"-",ListAndConversion!CC208,"")</f>
        <v/>
      </c>
      <c r="I206" s="565" t="str">
        <f ca="1">IF(ListAndConversion!CC208&lt;&gt;"-","Microfuge1","")</f>
        <v/>
      </c>
      <c r="J206" s="583" t="str">
        <f ca="1">IF(ListAndConversion!CD208&lt;&gt;"-",ListAndConversion!CD208,"")</f>
        <v/>
      </c>
      <c r="K206" s="577" t="str">
        <f t="shared" ca="1" si="3"/>
        <v/>
      </c>
    </row>
    <row r="207" spans="1:11" x14ac:dyDescent="0.65">
      <c r="A207" s="554" t="str">
        <f ca="1">IF(OR(LEFT(ListAndConversion!BW209,3)="Dil",LEFT(ListAndConversion!BW209,3)="Poo"),ListAndConversion!$BT$4,IF(LEFT(ListAndConversion!BW209,3)="Sou",INDEX(ListAndConversion!$AT$4:$AV$387,MATCH(ListAndConversion!BV209,ListAndConversion!$AV$4:$AV$387,0),1),""))</f>
        <v/>
      </c>
      <c r="B207" s="555" t="str">
        <f ca="1">IF(OR(LEFT(ListAndConversion!BW209,3)="Dil",LEFT(ListAndConversion!BW209,3)="Poo"),ListAndConversion!BU209,IF(LEFT(ListAndConversion!BW209,3)="Sou",INDEX(ListAndConversion!$AT$4:$AV$387,MATCH(ListAndConversion!BV209,ListAndConversion!$AV$4:$AV$387,0),2),""))</f>
        <v/>
      </c>
      <c r="C207" s="555" t="str">
        <f ca="1">IF(ListAndConversion!BZ209&lt;&gt;"-",ListAndConversion!BZ209,"")</f>
        <v/>
      </c>
      <c r="D207" s="555" t="str">
        <f ca="1">IF(ListAndConversion!BW209&lt;&gt;"-",ListAndConversion!BW209,"")</f>
        <v/>
      </c>
      <c r="E207" s="555" t="str">
        <f ca="1">IF(ListAndConversion!BX209&lt;&gt;"-",ListAndConversion!BX209,"")</f>
        <v/>
      </c>
      <c r="F207" s="565" t="str">
        <f ca="1">IF(ListAndConversion!BY209&lt;&gt;"-",ListAndConversion!BY209,"")</f>
        <v/>
      </c>
      <c r="G207" s="565" t="str">
        <f ca="1">IF(ListAndConversion!CB209&lt;&gt;"-",ListAndConversion!CB209,"")</f>
        <v/>
      </c>
      <c r="H207" s="565" t="str">
        <f ca="1">IF(ListAndConversion!CC209&lt;&gt;"-",ListAndConversion!CC209,"")</f>
        <v/>
      </c>
      <c r="I207" s="565" t="str">
        <f ca="1">IF(ListAndConversion!CC209&lt;&gt;"-","Microfuge1","")</f>
        <v/>
      </c>
      <c r="J207" s="583" t="str">
        <f ca="1">IF(ListAndConversion!CD209&lt;&gt;"-",ListAndConversion!CD209,"")</f>
        <v/>
      </c>
      <c r="K207" s="577" t="str">
        <f t="shared" ca="1" si="3"/>
        <v/>
      </c>
    </row>
    <row r="208" spans="1:11" x14ac:dyDescent="0.65">
      <c r="A208" s="554" t="str">
        <f ca="1">IF(OR(LEFT(ListAndConversion!BW210,3)="Dil",LEFT(ListAndConversion!BW210,3)="Poo"),ListAndConversion!$BT$4,IF(LEFT(ListAndConversion!BW210,3)="Sou",INDEX(ListAndConversion!$AT$4:$AV$387,MATCH(ListAndConversion!BV210,ListAndConversion!$AV$4:$AV$387,0),1),""))</f>
        <v/>
      </c>
      <c r="B208" s="555" t="str">
        <f ca="1">IF(OR(LEFT(ListAndConversion!BW210,3)="Dil",LEFT(ListAndConversion!BW210,3)="Poo"),ListAndConversion!BU210,IF(LEFT(ListAndConversion!BW210,3)="Sou",INDEX(ListAndConversion!$AT$4:$AV$387,MATCH(ListAndConversion!BV210,ListAndConversion!$AV$4:$AV$387,0),2),""))</f>
        <v/>
      </c>
      <c r="C208" s="555" t="str">
        <f ca="1">IF(ListAndConversion!BZ210&lt;&gt;"-",ListAndConversion!BZ210,"")</f>
        <v/>
      </c>
      <c r="D208" s="555" t="str">
        <f ca="1">IF(ListAndConversion!BW210&lt;&gt;"-",ListAndConversion!BW210,"")</f>
        <v/>
      </c>
      <c r="E208" s="555" t="str">
        <f ca="1">IF(ListAndConversion!BX210&lt;&gt;"-",ListAndConversion!BX210,"")</f>
        <v/>
      </c>
      <c r="F208" s="565" t="str">
        <f ca="1">IF(ListAndConversion!BY210&lt;&gt;"-",ListAndConversion!BY210,"")</f>
        <v/>
      </c>
      <c r="G208" s="565" t="str">
        <f ca="1">IF(ListAndConversion!CB210&lt;&gt;"-",ListAndConversion!CB210,"")</f>
        <v/>
      </c>
      <c r="H208" s="565" t="str">
        <f ca="1">IF(ListAndConversion!CC210&lt;&gt;"-",ListAndConversion!CC210,"")</f>
        <v/>
      </c>
      <c r="I208" s="565" t="str">
        <f ca="1">IF(ListAndConversion!CC210&lt;&gt;"-","Microfuge1","")</f>
        <v/>
      </c>
      <c r="J208" s="583" t="str">
        <f ca="1">IF(ListAndConversion!CD210&lt;&gt;"-",ListAndConversion!CD210,"")</f>
        <v/>
      </c>
      <c r="K208" s="577" t="str">
        <f t="shared" ca="1" si="3"/>
        <v/>
      </c>
    </row>
    <row r="209" spans="1:11" x14ac:dyDescent="0.65">
      <c r="A209" s="554" t="str">
        <f ca="1">IF(OR(LEFT(ListAndConversion!BW211,3)="Dil",LEFT(ListAndConversion!BW211,3)="Poo"),ListAndConversion!$BT$4,IF(LEFT(ListAndConversion!BW211,3)="Sou",INDEX(ListAndConversion!$AT$4:$AV$387,MATCH(ListAndConversion!BV211,ListAndConversion!$AV$4:$AV$387,0),1),""))</f>
        <v/>
      </c>
      <c r="B209" s="555" t="str">
        <f ca="1">IF(OR(LEFT(ListAndConversion!BW211,3)="Dil",LEFT(ListAndConversion!BW211,3)="Poo"),ListAndConversion!BU211,IF(LEFT(ListAndConversion!BW211,3)="Sou",INDEX(ListAndConversion!$AT$4:$AV$387,MATCH(ListAndConversion!BV211,ListAndConversion!$AV$4:$AV$387,0),2),""))</f>
        <v/>
      </c>
      <c r="C209" s="555" t="str">
        <f ca="1">IF(ListAndConversion!BZ211&lt;&gt;"-",ListAndConversion!BZ211,"")</f>
        <v/>
      </c>
      <c r="D209" s="555" t="str">
        <f ca="1">IF(ListAndConversion!BW211&lt;&gt;"-",ListAndConversion!BW211,"")</f>
        <v/>
      </c>
      <c r="E209" s="555" t="str">
        <f ca="1">IF(ListAndConversion!BX211&lt;&gt;"-",ListAndConversion!BX211,"")</f>
        <v/>
      </c>
      <c r="F209" s="565" t="str">
        <f ca="1">IF(ListAndConversion!BY211&lt;&gt;"-",ListAndConversion!BY211,"")</f>
        <v/>
      </c>
      <c r="G209" s="565" t="str">
        <f ca="1">IF(ListAndConversion!CB211&lt;&gt;"-",ListAndConversion!CB211,"")</f>
        <v/>
      </c>
      <c r="H209" s="565" t="str">
        <f ca="1">IF(ListAndConversion!CC211&lt;&gt;"-",ListAndConversion!CC211,"")</f>
        <v/>
      </c>
      <c r="I209" s="565" t="str">
        <f ca="1">IF(ListAndConversion!CC211&lt;&gt;"-","Microfuge1","")</f>
        <v/>
      </c>
      <c r="J209" s="583" t="str">
        <f ca="1">IF(ListAndConversion!CD211&lt;&gt;"-",ListAndConversion!CD211,"")</f>
        <v/>
      </c>
      <c r="K209" s="577" t="str">
        <f t="shared" ca="1" si="3"/>
        <v/>
      </c>
    </row>
    <row r="210" spans="1:11" x14ac:dyDescent="0.65">
      <c r="A210" s="554" t="str">
        <f ca="1">IF(OR(LEFT(ListAndConversion!BW212,3)="Dil",LEFT(ListAndConversion!BW212,3)="Poo"),ListAndConversion!$BT$4,IF(LEFT(ListAndConversion!BW212,3)="Sou",INDEX(ListAndConversion!$AT$4:$AV$387,MATCH(ListAndConversion!BV212,ListAndConversion!$AV$4:$AV$387,0),1),""))</f>
        <v/>
      </c>
      <c r="B210" s="555" t="str">
        <f ca="1">IF(OR(LEFT(ListAndConversion!BW212,3)="Dil",LEFT(ListAndConversion!BW212,3)="Poo"),ListAndConversion!BU212,IF(LEFT(ListAndConversion!BW212,3)="Sou",INDEX(ListAndConversion!$AT$4:$AV$387,MATCH(ListAndConversion!BV212,ListAndConversion!$AV$4:$AV$387,0),2),""))</f>
        <v/>
      </c>
      <c r="C210" s="555" t="str">
        <f ca="1">IF(ListAndConversion!BZ212&lt;&gt;"-",ListAndConversion!BZ212,"")</f>
        <v/>
      </c>
      <c r="D210" s="555" t="str">
        <f ca="1">IF(ListAndConversion!BW212&lt;&gt;"-",ListAndConversion!BW212,"")</f>
        <v/>
      </c>
      <c r="E210" s="555" t="str">
        <f ca="1">IF(ListAndConversion!BX212&lt;&gt;"-",ListAndConversion!BX212,"")</f>
        <v/>
      </c>
      <c r="F210" s="565" t="str">
        <f ca="1">IF(ListAndConversion!BY212&lt;&gt;"-",ListAndConversion!BY212,"")</f>
        <v/>
      </c>
      <c r="G210" s="565" t="str">
        <f ca="1">IF(ListAndConversion!CB212&lt;&gt;"-",ListAndConversion!CB212,"")</f>
        <v/>
      </c>
      <c r="H210" s="565" t="str">
        <f ca="1">IF(ListAndConversion!CC212&lt;&gt;"-",ListAndConversion!CC212,"")</f>
        <v/>
      </c>
      <c r="I210" s="565" t="str">
        <f ca="1">IF(ListAndConversion!CC212&lt;&gt;"-","Microfuge1","")</f>
        <v/>
      </c>
      <c r="J210" s="583" t="str">
        <f ca="1">IF(ListAndConversion!CD212&lt;&gt;"-",ListAndConversion!CD212,"")</f>
        <v/>
      </c>
      <c r="K210" s="577" t="str">
        <f t="shared" ca="1" si="3"/>
        <v/>
      </c>
    </row>
    <row r="211" spans="1:11" x14ac:dyDescent="0.65">
      <c r="A211" s="554" t="str">
        <f ca="1">IF(OR(LEFT(ListAndConversion!BW213,3)="Dil",LEFT(ListAndConversion!BW213,3)="Poo"),ListAndConversion!$BT$4,IF(LEFT(ListAndConversion!BW213,3)="Sou",INDEX(ListAndConversion!$AT$4:$AV$387,MATCH(ListAndConversion!BV213,ListAndConversion!$AV$4:$AV$387,0),1),""))</f>
        <v/>
      </c>
      <c r="B211" s="555" t="str">
        <f ca="1">IF(OR(LEFT(ListAndConversion!BW213,3)="Dil",LEFT(ListAndConversion!BW213,3)="Poo"),ListAndConversion!BU213,IF(LEFT(ListAndConversion!BW213,3)="Sou",INDEX(ListAndConversion!$AT$4:$AV$387,MATCH(ListAndConversion!BV213,ListAndConversion!$AV$4:$AV$387,0),2),""))</f>
        <v/>
      </c>
      <c r="C211" s="555" t="str">
        <f ca="1">IF(ListAndConversion!BZ213&lt;&gt;"-",ListAndConversion!BZ213,"")</f>
        <v/>
      </c>
      <c r="D211" s="555" t="str">
        <f ca="1">IF(ListAndConversion!BW213&lt;&gt;"-",ListAndConversion!BW213,"")</f>
        <v/>
      </c>
      <c r="E211" s="555" t="str">
        <f ca="1">IF(ListAndConversion!BX213&lt;&gt;"-",ListAndConversion!BX213,"")</f>
        <v/>
      </c>
      <c r="F211" s="565" t="str">
        <f ca="1">IF(ListAndConversion!BY213&lt;&gt;"-",ListAndConversion!BY213,"")</f>
        <v/>
      </c>
      <c r="G211" s="565" t="str">
        <f ca="1">IF(ListAndConversion!CB213&lt;&gt;"-",ListAndConversion!CB213,"")</f>
        <v/>
      </c>
      <c r="H211" s="565" t="str">
        <f ca="1">IF(ListAndConversion!CC213&lt;&gt;"-",ListAndConversion!CC213,"")</f>
        <v/>
      </c>
      <c r="I211" s="565" t="str">
        <f ca="1">IF(ListAndConversion!CC213&lt;&gt;"-","Microfuge1","")</f>
        <v/>
      </c>
      <c r="J211" s="583" t="str">
        <f ca="1">IF(ListAndConversion!CD213&lt;&gt;"-",ListAndConversion!CD213,"")</f>
        <v/>
      </c>
      <c r="K211" s="577" t="str">
        <f t="shared" ca="1" si="3"/>
        <v/>
      </c>
    </row>
    <row r="212" spans="1:11" x14ac:dyDescent="0.65">
      <c r="A212" s="554" t="str">
        <f ca="1">IF(OR(LEFT(ListAndConversion!BW214,3)="Dil",LEFT(ListAndConversion!BW214,3)="Poo"),ListAndConversion!$BT$4,IF(LEFT(ListAndConversion!BW214,3)="Sou",INDEX(ListAndConversion!$AT$4:$AV$387,MATCH(ListAndConversion!BV214,ListAndConversion!$AV$4:$AV$387,0),1),""))</f>
        <v/>
      </c>
      <c r="B212" s="555" t="str">
        <f ca="1">IF(OR(LEFT(ListAndConversion!BW214,3)="Dil",LEFT(ListAndConversion!BW214,3)="Poo"),ListAndConversion!BU214,IF(LEFT(ListAndConversion!BW214,3)="Sou",INDEX(ListAndConversion!$AT$4:$AV$387,MATCH(ListAndConversion!BV214,ListAndConversion!$AV$4:$AV$387,0),2),""))</f>
        <v/>
      </c>
      <c r="C212" s="555" t="str">
        <f ca="1">IF(ListAndConversion!BZ214&lt;&gt;"-",ListAndConversion!BZ214,"")</f>
        <v/>
      </c>
      <c r="D212" s="555" t="str">
        <f ca="1">IF(ListAndConversion!BW214&lt;&gt;"-",ListAndConversion!BW214,"")</f>
        <v/>
      </c>
      <c r="E212" s="555" t="str">
        <f ca="1">IF(ListAndConversion!BX214&lt;&gt;"-",ListAndConversion!BX214,"")</f>
        <v/>
      </c>
      <c r="F212" s="565" t="str">
        <f ca="1">IF(ListAndConversion!BY214&lt;&gt;"-",ListAndConversion!BY214,"")</f>
        <v/>
      </c>
      <c r="G212" s="565" t="str">
        <f ca="1">IF(ListAndConversion!CB214&lt;&gt;"-",ListAndConversion!CB214,"")</f>
        <v/>
      </c>
      <c r="H212" s="565" t="str">
        <f ca="1">IF(ListAndConversion!CC214&lt;&gt;"-",ListAndConversion!CC214,"")</f>
        <v/>
      </c>
      <c r="I212" s="565" t="str">
        <f ca="1">IF(ListAndConversion!CC214&lt;&gt;"-","Microfuge1","")</f>
        <v/>
      </c>
      <c r="J212" s="583" t="str">
        <f ca="1">IF(ListAndConversion!CD214&lt;&gt;"-",ListAndConversion!CD214,"")</f>
        <v/>
      </c>
      <c r="K212" s="577" t="str">
        <f t="shared" ca="1" si="3"/>
        <v/>
      </c>
    </row>
    <row r="213" spans="1:11" x14ac:dyDescent="0.65">
      <c r="A213" s="554" t="str">
        <f ca="1">IF(OR(LEFT(ListAndConversion!BW215,3)="Dil",LEFT(ListAndConversion!BW215,3)="Poo"),ListAndConversion!$BT$4,IF(LEFT(ListAndConversion!BW215,3)="Sou",INDEX(ListAndConversion!$AT$4:$AV$387,MATCH(ListAndConversion!BV215,ListAndConversion!$AV$4:$AV$387,0),1),""))</f>
        <v/>
      </c>
      <c r="B213" s="555" t="str">
        <f ca="1">IF(OR(LEFT(ListAndConversion!BW215,3)="Dil",LEFT(ListAndConversion!BW215,3)="Poo"),ListAndConversion!BU215,IF(LEFT(ListAndConversion!BW215,3)="Sou",INDEX(ListAndConversion!$AT$4:$AV$387,MATCH(ListAndConversion!BV215,ListAndConversion!$AV$4:$AV$387,0),2),""))</f>
        <v/>
      </c>
      <c r="C213" s="555" t="str">
        <f ca="1">IF(ListAndConversion!BZ215&lt;&gt;"-",ListAndConversion!BZ215,"")</f>
        <v/>
      </c>
      <c r="D213" s="555" t="str">
        <f ca="1">IF(ListAndConversion!BW215&lt;&gt;"-",ListAndConversion!BW215,"")</f>
        <v/>
      </c>
      <c r="E213" s="555" t="str">
        <f ca="1">IF(ListAndConversion!BX215&lt;&gt;"-",ListAndConversion!BX215,"")</f>
        <v/>
      </c>
      <c r="F213" s="565" t="str">
        <f ca="1">IF(ListAndConversion!BY215&lt;&gt;"-",ListAndConversion!BY215,"")</f>
        <v/>
      </c>
      <c r="G213" s="565" t="str">
        <f ca="1">IF(ListAndConversion!CB215&lt;&gt;"-",ListAndConversion!CB215,"")</f>
        <v/>
      </c>
      <c r="H213" s="565" t="str">
        <f ca="1">IF(ListAndConversion!CC215&lt;&gt;"-",ListAndConversion!CC215,"")</f>
        <v/>
      </c>
      <c r="I213" s="565" t="str">
        <f ca="1">IF(ListAndConversion!CC215&lt;&gt;"-","Microfuge1","")</f>
        <v/>
      </c>
      <c r="J213" s="583" t="str">
        <f ca="1">IF(ListAndConversion!CD215&lt;&gt;"-",ListAndConversion!CD215,"")</f>
        <v/>
      </c>
      <c r="K213" s="577" t="str">
        <f t="shared" ca="1" si="3"/>
        <v/>
      </c>
    </row>
    <row r="214" spans="1:11" x14ac:dyDescent="0.65">
      <c r="A214" s="554" t="str">
        <f ca="1">IF(OR(LEFT(ListAndConversion!BW216,3)="Dil",LEFT(ListAndConversion!BW216,3)="Poo"),ListAndConversion!$BT$4,IF(LEFT(ListAndConversion!BW216,3)="Sou",INDEX(ListAndConversion!$AT$4:$AV$387,MATCH(ListAndConversion!BV216,ListAndConversion!$AV$4:$AV$387,0),1),""))</f>
        <v/>
      </c>
      <c r="B214" s="555" t="str">
        <f ca="1">IF(OR(LEFT(ListAndConversion!BW216,3)="Dil",LEFT(ListAndConversion!BW216,3)="Poo"),ListAndConversion!BU216,IF(LEFT(ListAndConversion!BW216,3)="Sou",INDEX(ListAndConversion!$AT$4:$AV$387,MATCH(ListAndConversion!BV216,ListAndConversion!$AV$4:$AV$387,0),2),""))</f>
        <v/>
      </c>
      <c r="C214" s="555" t="str">
        <f ca="1">IF(ListAndConversion!BZ216&lt;&gt;"-",ListAndConversion!BZ216,"")</f>
        <v/>
      </c>
      <c r="D214" s="555" t="str">
        <f ca="1">IF(ListAndConversion!BW216&lt;&gt;"-",ListAndConversion!BW216,"")</f>
        <v/>
      </c>
      <c r="E214" s="555" t="str">
        <f ca="1">IF(ListAndConversion!BX216&lt;&gt;"-",ListAndConversion!BX216,"")</f>
        <v/>
      </c>
      <c r="F214" s="565" t="str">
        <f ca="1">IF(ListAndConversion!BY216&lt;&gt;"-",ListAndConversion!BY216,"")</f>
        <v/>
      </c>
      <c r="G214" s="565" t="str">
        <f ca="1">IF(ListAndConversion!CB216&lt;&gt;"-",ListAndConversion!CB216,"")</f>
        <v/>
      </c>
      <c r="H214" s="565" t="str">
        <f ca="1">IF(ListAndConversion!CC216&lt;&gt;"-",ListAndConversion!CC216,"")</f>
        <v/>
      </c>
      <c r="I214" s="565" t="str">
        <f ca="1">IF(ListAndConversion!CC216&lt;&gt;"-","Microfuge1","")</f>
        <v/>
      </c>
      <c r="J214" s="583" t="str">
        <f ca="1">IF(ListAndConversion!CD216&lt;&gt;"-",ListAndConversion!CD216,"")</f>
        <v/>
      </c>
      <c r="K214" s="577" t="str">
        <f t="shared" ca="1" si="3"/>
        <v/>
      </c>
    </row>
    <row r="215" spans="1:11" x14ac:dyDescent="0.65">
      <c r="A215" s="554" t="str">
        <f ca="1">IF(OR(LEFT(ListAndConversion!BW217,3)="Dil",LEFT(ListAndConversion!BW217,3)="Poo"),ListAndConversion!$BT$4,IF(LEFT(ListAndConversion!BW217,3)="Sou",INDEX(ListAndConversion!$AT$4:$AV$387,MATCH(ListAndConversion!BV217,ListAndConversion!$AV$4:$AV$387,0),1),""))</f>
        <v/>
      </c>
      <c r="B215" s="555" t="str">
        <f ca="1">IF(OR(LEFT(ListAndConversion!BW217,3)="Dil",LEFT(ListAndConversion!BW217,3)="Poo"),ListAndConversion!BU217,IF(LEFT(ListAndConversion!BW217,3)="Sou",INDEX(ListAndConversion!$AT$4:$AV$387,MATCH(ListAndConversion!BV217,ListAndConversion!$AV$4:$AV$387,0),2),""))</f>
        <v/>
      </c>
      <c r="C215" s="555" t="str">
        <f ca="1">IF(ListAndConversion!BZ217&lt;&gt;"-",ListAndConversion!BZ217,"")</f>
        <v/>
      </c>
      <c r="D215" s="555" t="str">
        <f ca="1">IF(ListAndConversion!BW217&lt;&gt;"-",ListAndConversion!BW217,"")</f>
        <v/>
      </c>
      <c r="E215" s="555" t="str">
        <f ca="1">IF(ListAndConversion!BX217&lt;&gt;"-",ListAndConversion!BX217,"")</f>
        <v/>
      </c>
      <c r="F215" s="565" t="str">
        <f ca="1">IF(ListAndConversion!BY217&lt;&gt;"-",ListAndConversion!BY217,"")</f>
        <v/>
      </c>
      <c r="G215" s="565" t="str">
        <f ca="1">IF(ListAndConversion!CB217&lt;&gt;"-",ListAndConversion!CB217,"")</f>
        <v/>
      </c>
      <c r="H215" s="565" t="str">
        <f ca="1">IF(ListAndConversion!CC217&lt;&gt;"-",ListAndConversion!CC217,"")</f>
        <v/>
      </c>
      <c r="I215" s="565" t="str">
        <f ca="1">IF(ListAndConversion!CC217&lt;&gt;"-","Microfuge1","")</f>
        <v/>
      </c>
      <c r="J215" s="583" t="str">
        <f ca="1">IF(ListAndConversion!CD217&lt;&gt;"-",ListAndConversion!CD217,"")</f>
        <v/>
      </c>
      <c r="K215" s="577" t="str">
        <f t="shared" ca="1" si="3"/>
        <v/>
      </c>
    </row>
    <row r="216" spans="1:11" x14ac:dyDescent="0.65">
      <c r="A216" s="554" t="str">
        <f ca="1">IF(OR(LEFT(ListAndConversion!BW218,3)="Dil",LEFT(ListAndConversion!BW218,3)="Poo"),ListAndConversion!$BT$4,IF(LEFT(ListAndConversion!BW218,3)="Sou",INDEX(ListAndConversion!$AT$4:$AV$387,MATCH(ListAndConversion!BV218,ListAndConversion!$AV$4:$AV$387,0),1),""))</f>
        <v/>
      </c>
      <c r="B216" s="555" t="str">
        <f ca="1">IF(OR(LEFT(ListAndConversion!BW218,3)="Dil",LEFT(ListAndConversion!BW218,3)="Poo"),ListAndConversion!BU218,IF(LEFT(ListAndConversion!BW218,3)="Sou",INDEX(ListAndConversion!$AT$4:$AV$387,MATCH(ListAndConversion!BV218,ListAndConversion!$AV$4:$AV$387,0),2),""))</f>
        <v/>
      </c>
      <c r="C216" s="555" t="str">
        <f ca="1">IF(ListAndConversion!BZ218&lt;&gt;"-",ListAndConversion!BZ218,"")</f>
        <v/>
      </c>
      <c r="D216" s="555" t="str">
        <f ca="1">IF(ListAndConversion!BW218&lt;&gt;"-",ListAndConversion!BW218,"")</f>
        <v/>
      </c>
      <c r="E216" s="555" t="str">
        <f ca="1">IF(ListAndConversion!BX218&lt;&gt;"-",ListAndConversion!BX218,"")</f>
        <v/>
      </c>
      <c r="F216" s="565" t="str">
        <f ca="1">IF(ListAndConversion!BY218&lt;&gt;"-",ListAndConversion!BY218,"")</f>
        <v/>
      </c>
      <c r="G216" s="565" t="str">
        <f ca="1">IF(ListAndConversion!CB218&lt;&gt;"-",ListAndConversion!CB218,"")</f>
        <v/>
      </c>
      <c r="H216" s="565" t="str">
        <f ca="1">IF(ListAndConversion!CC218&lt;&gt;"-",ListAndConversion!CC218,"")</f>
        <v/>
      </c>
      <c r="I216" s="565" t="str">
        <f ca="1">IF(ListAndConversion!CC218&lt;&gt;"-","Microfuge1","")</f>
        <v/>
      </c>
      <c r="J216" s="583" t="str">
        <f ca="1">IF(ListAndConversion!CD218&lt;&gt;"-",ListAndConversion!CD218,"")</f>
        <v/>
      </c>
      <c r="K216" s="577" t="str">
        <f t="shared" ca="1" si="3"/>
        <v/>
      </c>
    </row>
    <row r="217" spans="1:11" x14ac:dyDescent="0.65">
      <c r="A217" s="554" t="str">
        <f ca="1">IF(OR(LEFT(ListAndConversion!BW219,3)="Dil",LEFT(ListAndConversion!BW219,3)="Poo"),ListAndConversion!$BT$4,IF(LEFT(ListAndConversion!BW219,3)="Sou",INDEX(ListAndConversion!$AT$4:$AV$387,MATCH(ListAndConversion!BV219,ListAndConversion!$AV$4:$AV$387,0),1),""))</f>
        <v/>
      </c>
      <c r="B217" s="555" t="str">
        <f ca="1">IF(OR(LEFT(ListAndConversion!BW219,3)="Dil",LEFT(ListAndConversion!BW219,3)="Poo"),ListAndConversion!BU219,IF(LEFT(ListAndConversion!BW219,3)="Sou",INDEX(ListAndConversion!$AT$4:$AV$387,MATCH(ListAndConversion!BV219,ListAndConversion!$AV$4:$AV$387,0),2),""))</f>
        <v/>
      </c>
      <c r="C217" s="555" t="str">
        <f ca="1">IF(ListAndConversion!BZ219&lt;&gt;"-",ListAndConversion!BZ219,"")</f>
        <v/>
      </c>
      <c r="D217" s="555" t="str">
        <f ca="1">IF(ListAndConversion!BW219&lt;&gt;"-",ListAndConversion!BW219,"")</f>
        <v/>
      </c>
      <c r="E217" s="555" t="str">
        <f ca="1">IF(ListAndConversion!BX219&lt;&gt;"-",ListAndConversion!BX219,"")</f>
        <v/>
      </c>
      <c r="F217" s="565" t="str">
        <f ca="1">IF(ListAndConversion!BY219&lt;&gt;"-",ListAndConversion!BY219,"")</f>
        <v/>
      </c>
      <c r="G217" s="565" t="str">
        <f ca="1">IF(ListAndConversion!CB219&lt;&gt;"-",ListAndConversion!CB219,"")</f>
        <v/>
      </c>
      <c r="H217" s="565" t="str">
        <f ca="1">IF(ListAndConversion!CC219&lt;&gt;"-",ListAndConversion!CC219,"")</f>
        <v/>
      </c>
      <c r="I217" s="565" t="str">
        <f ca="1">IF(ListAndConversion!CC219&lt;&gt;"-","Microfuge1","")</f>
        <v/>
      </c>
      <c r="J217" s="583" t="str">
        <f ca="1">IF(ListAndConversion!CD219&lt;&gt;"-",ListAndConversion!CD219,"")</f>
        <v/>
      </c>
      <c r="K217" s="577" t="str">
        <f t="shared" ca="1" si="3"/>
        <v/>
      </c>
    </row>
    <row r="218" spans="1:11" x14ac:dyDescent="0.65">
      <c r="A218" s="554" t="str">
        <f ca="1">IF(OR(LEFT(ListAndConversion!BW220,3)="Dil",LEFT(ListAndConversion!BW220,3)="Poo"),ListAndConversion!$BT$4,IF(LEFT(ListAndConversion!BW220,3)="Sou",INDEX(ListAndConversion!$AT$4:$AV$387,MATCH(ListAndConversion!BV220,ListAndConversion!$AV$4:$AV$387,0),1),""))</f>
        <v/>
      </c>
      <c r="B218" s="555" t="str">
        <f ca="1">IF(OR(LEFT(ListAndConversion!BW220,3)="Dil",LEFT(ListAndConversion!BW220,3)="Poo"),ListAndConversion!BU220,IF(LEFT(ListAndConversion!BW220,3)="Sou",INDEX(ListAndConversion!$AT$4:$AV$387,MATCH(ListAndConversion!BV220,ListAndConversion!$AV$4:$AV$387,0),2),""))</f>
        <v/>
      </c>
      <c r="C218" s="555" t="str">
        <f ca="1">IF(ListAndConversion!BZ220&lt;&gt;"-",ListAndConversion!BZ220,"")</f>
        <v/>
      </c>
      <c r="D218" s="555" t="str">
        <f ca="1">IF(ListAndConversion!BW220&lt;&gt;"-",ListAndConversion!BW220,"")</f>
        <v/>
      </c>
      <c r="E218" s="555" t="str">
        <f ca="1">IF(ListAndConversion!BX220&lt;&gt;"-",ListAndConversion!BX220,"")</f>
        <v/>
      </c>
      <c r="F218" s="565" t="str">
        <f ca="1">IF(ListAndConversion!BY220&lt;&gt;"-",ListAndConversion!BY220,"")</f>
        <v/>
      </c>
      <c r="G218" s="565" t="str">
        <f ca="1">IF(ListAndConversion!CB220&lt;&gt;"-",ListAndConversion!CB220,"")</f>
        <v/>
      </c>
      <c r="H218" s="565" t="str">
        <f ca="1">IF(ListAndConversion!CC220&lt;&gt;"-",ListAndConversion!CC220,"")</f>
        <v/>
      </c>
      <c r="I218" s="565" t="str">
        <f ca="1">IF(ListAndConversion!CC220&lt;&gt;"-","Microfuge1","")</f>
        <v/>
      </c>
      <c r="J218" s="583" t="str">
        <f ca="1">IF(ListAndConversion!CD220&lt;&gt;"-",ListAndConversion!CD220,"")</f>
        <v/>
      </c>
      <c r="K218" s="577" t="str">
        <f t="shared" ca="1" si="3"/>
        <v/>
      </c>
    </row>
    <row r="219" spans="1:11" x14ac:dyDescent="0.65">
      <c r="A219" s="554" t="str">
        <f ca="1">IF(OR(LEFT(ListAndConversion!BW221,3)="Dil",LEFT(ListAndConversion!BW221,3)="Poo"),ListAndConversion!$BT$4,IF(LEFT(ListAndConversion!BW221,3)="Sou",INDEX(ListAndConversion!$AT$4:$AV$387,MATCH(ListAndConversion!BV221,ListAndConversion!$AV$4:$AV$387,0),1),""))</f>
        <v/>
      </c>
      <c r="B219" s="555" t="str">
        <f ca="1">IF(OR(LEFT(ListAndConversion!BW221,3)="Dil",LEFT(ListAndConversion!BW221,3)="Poo"),ListAndConversion!BU221,IF(LEFT(ListAndConversion!BW221,3)="Sou",INDEX(ListAndConversion!$AT$4:$AV$387,MATCH(ListAndConversion!BV221,ListAndConversion!$AV$4:$AV$387,0),2),""))</f>
        <v/>
      </c>
      <c r="C219" s="555" t="str">
        <f ca="1">IF(ListAndConversion!BZ221&lt;&gt;"-",ListAndConversion!BZ221,"")</f>
        <v/>
      </c>
      <c r="D219" s="555" t="str">
        <f ca="1">IF(ListAndConversion!BW221&lt;&gt;"-",ListAndConversion!BW221,"")</f>
        <v/>
      </c>
      <c r="E219" s="555" t="str">
        <f ca="1">IF(ListAndConversion!BX221&lt;&gt;"-",ListAndConversion!BX221,"")</f>
        <v/>
      </c>
      <c r="F219" s="565" t="str">
        <f ca="1">IF(ListAndConversion!BY221&lt;&gt;"-",ListAndConversion!BY221,"")</f>
        <v/>
      </c>
      <c r="G219" s="565" t="str">
        <f ca="1">IF(ListAndConversion!CB221&lt;&gt;"-",ListAndConversion!CB221,"")</f>
        <v/>
      </c>
      <c r="H219" s="565" t="str">
        <f ca="1">IF(ListAndConversion!CC221&lt;&gt;"-",ListAndConversion!CC221,"")</f>
        <v/>
      </c>
      <c r="I219" s="565" t="str">
        <f ca="1">IF(ListAndConversion!CC221&lt;&gt;"-","Microfuge1","")</f>
        <v/>
      </c>
      <c r="J219" s="583" t="str">
        <f ca="1">IF(ListAndConversion!CD221&lt;&gt;"-",ListAndConversion!CD221,"")</f>
        <v/>
      </c>
      <c r="K219" s="577" t="str">
        <f t="shared" ca="1" si="3"/>
        <v/>
      </c>
    </row>
    <row r="220" spans="1:11" x14ac:dyDescent="0.65">
      <c r="A220" s="554" t="str">
        <f ca="1">IF(OR(LEFT(ListAndConversion!BW222,3)="Dil",LEFT(ListAndConversion!BW222,3)="Poo"),ListAndConversion!$BT$4,IF(LEFT(ListAndConversion!BW222,3)="Sou",INDEX(ListAndConversion!$AT$4:$AV$387,MATCH(ListAndConversion!BV222,ListAndConversion!$AV$4:$AV$387,0),1),""))</f>
        <v/>
      </c>
      <c r="B220" s="555" t="str">
        <f ca="1">IF(OR(LEFT(ListAndConversion!BW222,3)="Dil",LEFT(ListAndConversion!BW222,3)="Poo"),ListAndConversion!BU222,IF(LEFT(ListAndConversion!BW222,3)="Sou",INDEX(ListAndConversion!$AT$4:$AV$387,MATCH(ListAndConversion!BV222,ListAndConversion!$AV$4:$AV$387,0),2),""))</f>
        <v/>
      </c>
      <c r="C220" s="555" t="str">
        <f ca="1">IF(ListAndConversion!BZ222&lt;&gt;"-",ListAndConversion!BZ222,"")</f>
        <v/>
      </c>
      <c r="D220" s="555" t="str">
        <f ca="1">IF(ListAndConversion!BW222&lt;&gt;"-",ListAndConversion!BW222,"")</f>
        <v/>
      </c>
      <c r="E220" s="555" t="str">
        <f ca="1">IF(ListAndConversion!BX222&lt;&gt;"-",ListAndConversion!BX222,"")</f>
        <v/>
      </c>
      <c r="F220" s="565" t="str">
        <f ca="1">IF(ListAndConversion!BY222&lt;&gt;"-",ListAndConversion!BY222,"")</f>
        <v/>
      </c>
      <c r="G220" s="565" t="str">
        <f ca="1">IF(ListAndConversion!CB222&lt;&gt;"-",ListAndConversion!CB222,"")</f>
        <v/>
      </c>
      <c r="H220" s="565" t="str">
        <f ca="1">IF(ListAndConversion!CC222&lt;&gt;"-",ListAndConversion!CC222,"")</f>
        <v/>
      </c>
      <c r="I220" s="565" t="str">
        <f ca="1">IF(ListAndConversion!CC222&lt;&gt;"-","Microfuge1","")</f>
        <v/>
      </c>
      <c r="J220" s="583" t="str">
        <f ca="1">IF(ListAndConversion!CD222&lt;&gt;"-",ListAndConversion!CD222,"")</f>
        <v/>
      </c>
      <c r="K220" s="577" t="str">
        <f t="shared" ca="1" si="3"/>
        <v/>
      </c>
    </row>
    <row r="221" spans="1:11" x14ac:dyDescent="0.65">
      <c r="A221" s="554" t="str">
        <f ca="1">IF(OR(LEFT(ListAndConversion!BW223,3)="Dil",LEFT(ListAndConversion!BW223,3)="Poo"),ListAndConversion!$BT$4,IF(LEFT(ListAndConversion!BW223,3)="Sou",INDEX(ListAndConversion!$AT$4:$AV$387,MATCH(ListAndConversion!BV223,ListAndConversion!$AV$4:$AV$387,0),1),""))</f>
        <v/>
      </c>
      <c r="B221" s="555" t="str">
        <f ca="1">IF(OR(LEFT(ListAndConversion!BW223,3)="Dil",LEFT(ListAndConversion!BW223,3)="Poo"),ListAndConversion!BU223,IF(LEFT(ListAndConversion!BW223,3)="Sou",INDEX(ListAndConversion!$AT$4:$AV$387,MATCH(ListAndConversion!BV223,ListAndConversion!$AV$4:$AV$387,0),2),""))</f>
        <v/>
      </c>
      <c r="C221" s="555" t="str">
        <f ca="1">IF(ListAndConversion!BZ223&lt;&gt;"-",ListAndConversion!BZ223,"")</f>
        <v/>
      </c>
      <c r="D221" s="555" t="str">
        <f ca="1">IF(ListAndConversion!BW223&lt;&gt;"-",ListAndConversion!BW223,"")</f>
        <v/>
      </c>
      <c r="E221" s="555" t="str">
        <f ca="1">IF(ListAndConversion!BX223&lt;&gt;"-",ListAndConversion!BX223,"")</f>
        <v/>
      </c>
      <c r="F221" s="565" t="str">
        <f ca="1">IF(ListAndConversion!BY223&lt;&gt;"-",ListAndConversion!BY223,"")</f>
        <v/>
      </c>
      <c r="G221" s="565" t="str">
        <f ca="1">IF(ListAndConversion!CB223&lt;&gt;"-",ListAndConversion!CB223,"")</f>
        <v/>
      </c>
      <c r="H221" s="565" t="str">
        <f ca="1">IF(ListAndConversion!CC223&lt;&gt;"-",ListAndConversion!CC223,"")</f>
        <v/>
      </c>
      <c r="I221" s="565" t="str">
        <f ca="1">IF(ListAndConversion!CC223&lt;&gt;"-","Microfuge1","")</f>
        <v/>
      </c>
      <c r="J221" s="583" t="str">
        <f ca="1">IF(ListAndConversion!CD223&lt;&gt;"-",ListAndConversion!CD223,"")</f>
        <v/>
      </c>
      <c r="K221" s="577" t="str">
        <f t="shared" ca="1" si="3"/>
        <v/>
      </c>
    </row>
    <row r="222" spans="1:11" x14ac:dyDescent="0.65">
      <c r="A222" s="554" t="str">
        <f ca="1">IF(OR(LEFT(ListAndConversion!BW224,3)="Dil",LEFT(ListAndConversion!BW224,3)="Poo"),ListAndConversion!$BT$4,IF(LEFT(ListAndConversion!BW224,3)="Sou",INDEX(ListAndConversion!$AT$4:$AV$387,MATCH(ListAndConversion!BV224,ListAndConversion!$AV$4:$AV$387,0),1),""))</f>
        <v/>
      </c>
      <c r="B222" s="555" t="str">
        <f ca="1">IF(OR(LEFT(ListAndConversion!BW224,3)="Dil",LEFT(ListAndConversion!BW224,3)="Poo"),ListAndConversion!BU224,IF(LEFT(ListAndConversion!BW224,3)="Sou",INDEX(ListAndConversion!$AT$4:$AV$387,MATCH(ListAndConversion!BV224,ListAndConversion!$AV$4:$AV$387,0),2),""))</f>
        <v/>
      </c>
      <c r="C222" s="555" t="str">
        <f ca="1">IF(ListAndConversion!BZ224&lt;&gt;"-",ListAndConversion!BZ224,"")</f>
        <v/>
      </c>
      <c r="D222" s="555" t="str">
        <f ca="1">IF(ListAndConversion!BW224&lt;&gt;"-",ListAndConversion!BW224,"")</f>
        <v/>
      </c>
      <c r="E222" s="555" t="str">
        <f ca="1">IF(ListAndConversion!BX224&lt;&gt;"-",ListAndConversion!BX224,"")</f>
        <v/>
      </c>
      <c r="F222" s="565" t="str">
        <f ca="1">IF(ListAndConversion!BY224&lt;&gt;"-",ListAndConversion!BY224,"")</f>
        <v/>
      </c>
      <c r="G222" s="565" t="str">
        <f ca="1">IF(ListAndConversion!CB224&lt;&gt;"-",ListAndConversion!CB224,"")</f>
        <v/>
      </c>
      <c r="H222" s="565" t="str">
        <f ca="1">IF(ListAndConversion!CC224&lt;&gt;"-",ListAndConversion!CC224,"")</f>
        <v/>
      </c>
      <c r="I222" s="565" t="str">
        <f ca="1">IF(ListAndConversion!CC224&lt;&gt;"-","Microfuge1","")</f>
        <v/>
      </c>
      <c r="J222" s="583" t="str">
        <f ca="1">IF(ListAndConversion!CD224&lt;&gt;"-",ListAndConversion!CD224,"")</f>
        <v/>
      </c>
      <c r="K222" s="577" t="str">
        <f t="shared" ca="1" si="3"/>
        <v/>
      </c>
    </row>
    <row r="223" spans="1:11" x14ac:dyDescent="0.65">
      <c r="A223" s="554" t="str">
        <f ca="1">IF(OR(LEFT(ListAndConversion!BW225,3)="Dil",LEFT(ListAndConversion!BW225,3)="Poo"),ListAndConversion!$BT$4,IF(LEFT(ListAndConversion!BW225,3)="Sou",INDEX(ListAndConversion!$AT$4:$AV$387,MATCH(ListAndConversion!BV225,ListAndConversion!$AV$4:$AV$387,0),1),""))</f>
        <v/>
      </c>
      <c r="B223" s="555" t="str">
        <f ca="1">IF(OR(LEFT(ListAndConversion!BW225,3)="Dil",LEFT(ListAndConversion!BW225,3)="Poo"),ListAndConversion!BU225,IF(LEFT(ListAndConversion!BW225,3)="Sou",INDEX(ListAndConversion!$AT$4:$AV$387,MATCH(ListAndConversion!BV225,ListAndConversion!$AV$4:$AV$387,0),2),""))</f>
        <v/>
      </c>
      <c r="C223" s="555" t="str">
        <f ca="1">IF(ListAndConversion!BZ225&lt;&gt;"-",ListAndConversion!BZ225,"")</f>
        <v/>
      </c>
      <c r="D223" s="555" t="str">
        <f ca="1">IF(ListAndConversion!BW225&lt;&gt;"-",ListAndConversion!BW225,"")</f>
        <v/>
      </c>
      <c r="E223" s="555" t="str">
        <f ca="1">IF(ListAndConversion!BX225&lt;&gt;"-",ListAndConversion!BX225,"")</f>
        <v/>
      </c>
      <c r="F223" s="565" t="str">
        <f ca="1">IF(ListAndConversion!BY225&lt;&gt;"-",ListAndConversion!BY225,"")</f>
        <v/>
      </c>
      <c r="G223" s="565" t="str">
        <f ca="1">IF(ListAndConversion!CB225&lt;&gt;"-",ListAndConversion!CB225,"")</f>
        <v/>
      </c>
      <c r="H223" s="565" t="str">
        <f ca="1">IF(ListAndConversion!CC225&lt;&gt;"-",ListAndConversion!CC225,"")</f>
        <v/>
      </c>
      <c r="I223" s="565" t="str">
        <f ca="1">IF(ListAndConversion!CC225&lt;&gt;"-","Microfuge1","")</f>
        <v/>
      </c>
      <c r="J223" s="583" t="str">
        <f ca="1">IF(ListAndConversion!CD225&lt;&gt;"-",ListAndConversion!CD225,"")</f>
        <v/>
      </c>
      <c r="K223" s="577" t="str">
        <f t="shared" ca="1" si="3"/>
        <v/>
      </c>
    </row>
    <row r="224" spans="1:11" x14ac:dyDescent="0.65">
      <c r="A224" s="554" t="str">
        <f ca="1">IF(OR(LEFT(ListAndConversion!BW226,3)="Dil",LEFT(ListAndConversion!BW226,3)="Poo"),ListAndConversion!$BT$4,IF(LEFT(ListAndConversion!BW226,3)="Sou",INDEX(ListAndConversion!$AT$4:$AV$387,MATCH(ListAndConversion!BV226,ListAndConversion!$AV$4:$AV$387,0),1),""))</f>
        <v/>
      </c>
      <c r="B224" s="555" t="str">
        <f ca="1">IF(OR(LEFT(ListAndConversion!BW226,3)="Dil",LEFT(ListAndConversion!BW226,3)="Poo"),ListAndConversion!BU226,IF(LEFT(ListAndConversion!BW226,3)="Sou",INDEX(ListAndConversion!$AT$4:$AV$387,MATCH(ListAndConversion!BV226,ListAndConversion!$AV$4:$AV$387,0),2),""))</f>
        <v/>
      </c>
      <c r="C224" s="555" t="str">
        <f ca="1">IF(ListAndConversion!BZ226&lt;&gt;"-",ListAndConversion!BZ226,"")</f>
        <v/>
      </c>
      <c r="D224" s="555" t="str">
        <f ca="1">IF(ListAndConversion!BW226&lt;&gt;"-",ListAndConversion!BW226,"")</f>
        <v/>
      </c>
      <c r="E224" s="555" t="str">
        <f ca="1">IF(ListAndConversion!BX226&lt;&gt;"-",ListAndConversion!BX226,"")</f>
        <v/>
      </c>
      <c r="F224" s="565" t="str">
        <f ca="1">IF(ListAndConversion!BY226&lt;&gt;"-",ListAndConversion!BY226,"")</f>
        <v/>
      </c>
      <c r="G224" s="565" t="str">
        <f ca="1">IF(ListAndConversion!CB226&lt;&gt;"-",ListAndConversion!CB226,"")</f>
        <v/>
      </c>
      <c r="H224" s="565" t="str">
        <f ca="1">IF(ListAndConversion!CC226&lt;&gt;"-",ListAndConversion!CC226,"")</f>
        <v/>
      </c>
      <c r="I224" s="565" t="str">
        <f ca="1">IF(ListAndConversion!CC226&lt;&gt;"-","Microfuge1","")</f>
        <v/>
      </c>
      <c r="J224" s="583" t="str">
        <f ca="1">IF(ListAndConversion!CD226&lt;&gt;"-",ListAndConversion!CD226,"")</f>
        <v/>
      </c>
      <c r="K224" s="577" t="str">
        <f t="shared" ca="1" si="3"/>
        <v/>
      </c>
    </row>
    <row r="225" spans="1:11" x14ac:dyDescent="0.65">
      <c r="A225" s="554" t="str">
        <f ca="1">IF(OR(LEFT(ListAndConversion!BW227,3)="Dil",LEFT(ListAndConversion!BW227,3)="Poo"),ListAndConversion!$BT$4,IF(LEFT(ListAndConversion!BW227,3)="Sou",INDEX(ListAndConversion!$AT$4:$AV$387,MATCH(ListAndConversion!BV227,ListAndConversion!$AV$4:$AV$387,0),1),""))</f>
        <v/>
      </c>
      <c r="B225" s="555" t="str">
        <f ca="1">IF(OR(LEFT(ListAndConversion!BW227,3)="Dil",LEFT(ListAndConversion!BW227,3)="Poo"),ListAndConversion!BU227,IF(LEFT(ListAndConversion!BW227,3)="Sou",INDEX(ListAndConversion!$AT$4:$AV$387,MATCH(ListAndConversion!BV227,ListAndConversion!$AV$4:$AV$387,0),2),""))</f>
        <v/>
      </c>
      <c r="C225" s="555" t="str">
        <f ca="1">IF(ListAndConversion!BZ227&lt;&gt;"-",ListAndConversion!BZ227,"")</f>
        <v/>
      </c>
      <c r="D225" s="555" t="str">
        <f ca="1">IF(ListAndConversion!BW227&lt;&gt;"-",ListAndConversion!BW227,"")</f>
        <v/>
      </c>
      <c r="E225" s="555" t="str">
        <f ca="1">IF(ListAndConversion!BX227&lt;&gt;"-",ListAndConversion!BX227,"")</f>
        <v/>
      </c>
      <c r="F225" s="565" t="str">
        <f ca="1">IF(ListAndConversion!BY227&lt;&gt;"-",ListAndConversion!BY227,"")</f>
        <v/>
      </c>
      <c r="G225" s="565" t="str">
        <f ca="1">IF(ListAndConversion!CB227&lt;&gt;"-",ListAndConversion!CB227,"")</f>
        <v/>
      </c>
      <c r="H225" s="565" t="str">
        <f ca="1">IF(ListAndConversion!CC227&lt;&gt;"-",ListAndConversion!CC227,"")</f>
        <v/>
      </c>
      <c r="I225" s="565" t="str">
        <f ca="1">IF(ListAndConversion!CC227&lt;&gt;"-","Microfuge1","")</f>
        <v/>
      </c>
      <c r="J225" s="583" t="str">
        <f ca="1">IF(ListAndConversion!CD227&lt;&gt;"-",ListAndConversion!CD227,"")</f>
        <v/>
      </c>
      <c r="K225" s="577" t="str">
        <f t="shared" ca="1" si="3"/>
        <v/>
      </c>
    </row>
    <row r="226" spans="1:11" x14ac:dyDescent="0.65">
      <c r="A226" s="554" t="str">
        <f ca="1">IF(OR(LEFT(ListAndConversion!BW228,3)="Dil",LEFT(ListAndConversion!BW228,3)="Poo"),ListAndConversion!$BT$4,IF(LEFT(ListAndConversion!BW228,3)="Sou",INDEX(ListAndConversion!$AT$4:$AV$387,MATCH(ListAndConversion!BV228,ListAndConversion!$AV$4:$AV$387,0),1),""))</f>
        <v/>
      </c>
      <c r="B226" s="555" t="str">
        <f ca="1">IF(OR(LEFT(ListAndConversion!BW228,3)="Dil",LEFT(ListAndConversion!BW228,3)="Poo"),ListAndConversion!BU228,IF(LEFT(ListAndConversion!BW228,3)="Sou",INDEX(ListAndConversion!$AT$4:$AV$387,MATCH(ListAndConversion!BV228,ListAndConversion!$AV$4:$AV$387,0),2),""))</f>
        <v/>
      </c>
      <c r="C226" s="555" t="str">
        <f ca="1">IF(ListAndConversion!BZ228&lt;&gt;"-",ListAndConversion!BZ228,"")</f>
        <v/>
      </c>
      <c r="D226" s="555" t="str">
        <f ca="1">IF(ListAndConversion!BW228&lt;&gt;"-",ListAndConversion!BW228,"")</f>
        <v/>
      </c>
      <c r="E226" s="555" t="str">
        <f ca="1">IF(ListAndConversion!BX228&lt;&gt;"-",ListAndConversion!BX228,"")</f>
        <v/>
      </c>
      <c r="F226" s="565" t="str">
        <f ca="1">IF(ListAndConversion!BY228&lt;&gt;"-",ListAndConversion!BY228,"")</f>
        <v/>
      </c>
      <c r="G226" s="565" t="str">
        <f ca="1">IF(ListAndConversion!CB228&lt;&gt;"-",ListAndConversion!CB228,"")</f>
        <v/>
      </c>
      <c r="H226" s="565" t="str">
        <f ca="1">IF(ListAndConversion!CC228&lt;&gt;"-",ListAndConversion!CC228,"")</f>
        <v/>
      </c>
      <c r="I226" s="565" t="str">
        <f ca="1">IF(ListAndConversion!CC228&lt;&gt;"-","Microfuge1","")</f>
        <v/>
      </c>
      <c r="J226" s="583" t="str">
        <f ca="1">IF(ListAndConversion!CD228&lt;&gt;"-",ListAndConversion!CD228,"")</f>
        <v/>
      </c>
      <c r="K226" s="577" t="str">
        <f t="shared" ca="1" si="3"/>
        <v/>
      </c>
    </row>
    <row r="227" spans="1:11" x14ac:dyDescent="0.65">
      <c r="A227" s="554" t="str">
        <f ca="1">IF(OR(LEFT(ListAndConversion!BW229,3)="Dil",LEFT(ListAndConversion!BW229,3)="Poo"),ListAndConversion!$BT$4,IF(LEFT(ListAndConversion!BW229,3)="Sou",INDEX(ListAndConversion!$AT$4:$AV$387,MATCH(ListAndConversion!BV229,ListAndConversion!$AV$4:$AV$387,0),1),""))</f>
        <v/>
      </c>
      <c r="B227" s="555" t="str">
        <f ca="1">IF(OR(LEFT(ListAndConversion!BW229,3)="Dil",LEFT(ListAndConversion!BW229,3)="Poo"),ListAndConversion!BU229,IF(LEFT(ListAndConversion!BW229,3)="Sou",INDEX(ListAndConversion!$AT$4:$AV$387,MATCH(ListAndConversion!BV229,ListAndConversion!$AV$4:$AV$387,0),2),""))</f>
        <v/>
      </c>
      <c r="C227" s="555" t="str">
        <f ca="1">IF(ListAndConversion!BZ229&lt;&gt;"-",ListAndConversion!BZ229,"")</f>
        <v/>
      </c>
      <c r="D227" s="555" t="str">
        <f ca="1">IF(ListAndConversion!BW229&lt;&gt;"-",ListAndConversion!BW229,"")</f>
        <v/>
      </c>
      <c r="E227" s="555" t="str">
        <f ca="1">IF(ListAndConversion!BX229&lt;&gt;"-",ListAndConversion!BX229,"")</f>
        <v/>
      </c>
      <c r="F227" s="565" t="str">
        <f ca="1">IF(ListAndConversion!BY229&lt;&gt;"-",ListAndConversion!BY229,"")</f>
        <v/>
      </c>
      <c r="G227" s="565" t="str">
        <f ca="1">IF(ListAndConversion!CB229&lt;&gt;"-",ListAndConversion!CB229,"")</f>
        <v/>
      </c>
      <c r="H227" s="565" t="str">
        <f ca="1">IF(ListAndConversion!CC229&lt;&gt;"-",ListAndConversion!CC229,"")</f>
        <v/>
      </c>
      <c r="I227" s="565" t="str">
        <f ca="1">IF(ListAndConversion!CC229&lt;&gt;"-","Microfuge1","")</f>
        <v/>
      </c>
      <c r="J227" s="583" t="str">
        <f ca="1">IF(ListAndConversion!CD229&lt;&gt;"-",ListAndConversion!CD229,"")</f>
        <v/>
      </c>
      <c r="K227" s="577" t="str">
        <f t="shared" ca="1" si="3"/>
        <v/>
      </c>
    </row>
    <row r="228" spans="1:11" x14ac:dyDescent="0.65">
      <c r="A228" s="554" t="str">
        <f ca="1">IF(OR(LEFT(ListAndConversion!BW230,3)="Dil",LEFT(ListAndConversion!BW230,3)="Poo"),ListAndConversion!$BT$4,IF(LEFT(ListAndConversion!BW230,3)="Sou",INDEX(ListAndConversion!$AT$4:$AV$387,MATCH(ListAndConversion!BV230,ListAndConversion!$AV$4:$AV$387,0),1),""))</f>
        <v/>
      </c>
      <c r="B228" s="555" t="str">
        <f ca="1">IF(OR(LEFT(ListAndConversion!BW230,3)="Dil",LEFT(ListAndConversion!BW230,3)="Poo"),ListAndConversion!BU230,IF(LEFT(ListAndConversion!BW230,3)="Sou",INDEX(ListAndConversion!$AT$4:$AV$387,MATCH(ListAndConversion!BV230,ListAndConversion!$AV$4:$AV$387,0),2),""))</f>
        <v/>
      </c>
      <c r="C228" s="555" t="str">
        <f ca="1">IF(ListAndConversion!BZ230&lt;&gt;"-",ListAndConversion!BZ230,"")</f>
        <v/>
      </c>
      <c r="D228" s="555" t="str">
        <f ca="1">IF(ListAndConversion!BW230&lt;&gt;"-",ListAndConversion!BW230,"")</f>
        <v/>
      </c>
      <c r="E228" s="555" t="str">
        <f ca="1">IF(ListAndConversion!BX230&lt;&gt;"-",ListAndConversion!BX230,"")</f>
        <v/>
      </c>
      <c r="F228" s="565" t="str">
        <f ca="1">IF(ListAndConversion!BY230&lt;&gt;"-",ListAndConversion!BY230,"")</f>
        <v/>
      </c>
      <c r="G228" s="565" t="str">
        <f ca="1">IF(ListAndConversion!CB230&lt;&gt;"-",ListAndConversion!CB230,"")</f>
        <v/>
      </c>
      <c r="H228" s="565" t="str">
        <f ca="1">IF(ListAndConversion!CC230&lt;&gt;"-",ListAndConversion!CC230,"")</f>
        <v/>
      </c>
      <c r="I228" s="565" t="str">
        <f ca="1">IF(ListAndConversion!CC230&lt;&gt;"-","Microfuge1","")</f>
        <v/>
      </c>
      <c r="J228" s="583" t="str">
        <f ca="1">IF(ListAndConversion!CD230&lt;&gt;"-",ListAndConversion!CD230,"")</f>
        <v/>
      </c>
      <c r="K228" s="577" t="str">
        <f t="shared" ca="1" si="3"/>
        <v/>
      </c>
    </row>
    <row r="229" spans="1:11" x14ac:dyDescent="0.65">
      <c r="A229" s="554" t="str">
        <f ca="1">IF(OR(LEFT(ListAndConversion!BW231,3)="Dil",LEFT(ListAndConversion!BW231,3)="Poo"),ListAndConversion!$BT$4,IF(LEFT(ListAndConversion!BW231,3)="Sou",INDEX(ListAndConversion!$AT$4:$AV$387,MATCH(ListAndConversion!BV231,ListAndConversion!$AV$4:$AV$387,0),1),""))</f>
        <v/>
      </c>
      <c r="B229" s="555" t="str">
        <f ca="1">IF(OR(LEFT(ListAndConversion!BW231,3)="Dil",LEFT(ListAndConversion!BW231,3)="Poo"),ListAndConversion!BU231,IF(LEFT(ListAndConversion!BW231,3)="Sou",INDEX(ListAndConversion!$AT$4:$AV$387,MATCH(ListAndConversion!BV231,ListAndConversion!$AV$4:$AV$387,0),2),""))</f>
        <v/>
      </c>
      <c r="C229" s="555" t="str">
        <f ca="1">IF(ListAndConversion!BZ231&lt;&gt;"-",ListAndConversion!BZ231,"")</f>
        <v/>
      </c>
      <c r="D229" s="555" t="str">
        <f ca="1">IF(ListAndConversion!BW231&lt;&gt;"-",ListAndConversion!BW231,"")</f>
        <v/>
      </c>
      <c r="E229" s="555" t="str">
        <f ca="1">IF(ListAndConversion!BX231&lt;&gt;"-",ListAndConversion!BX231,"")</f>
        <v/>
      </c>
      <c r="F229" s="565" t="str">
        <f ca="1">IF(ListAndConversion!BY231&lt;&gt;"-",ListAndConversion!BY231,"")</f>
        <v/>
      </c>
      <c r="G229" s="565" t="str">
        <f ca="1">IF(ListAndConversion!CB231&lt;&gt;"-",ListAndConversion!CB231,"")</f>
        <v/>
      </c>
      <c r="H229" s="565" t="str">
        <f ca="1">IF(ListAndConversion!CC231&lt;&gt;"-",ListAndConversion!CC231,"")</f>
        <v/>
      </c>
      <c r="I229" s="565" t="str">
        <f ca="1">IF(ListAndConversion!CC231&lt;&gt;"-","Microfuge1","")</f>
        <v/>
      </c>
      <c r="J229" s="583" t="str">
        <f ca="1">IF(ListAndConversion!CD231&lt;&gt;"-",ListAndConversion!CD231,"")</f>
        <v/>
      </c>
      <c r="K229" s="577" t="str">
        <f t="shared" ca="1" si="3"/>
        <v/>
      </c>
    </row>
    <row r="230" spans="1:11" x14ac:dyDescent="0.65">
      <c r="A230" s="554" t="str">
        <f ca="1">IF(OR(LEFT(ListAndConversion!BW232,3)="Dil",LEFT(ListAndConversion!BW232,3)="Poo"),ListAndConversion!$BT$4,IF(LEFT(ListAndConversion!BW232,3)="Sou",INDEX(ListAndConversion!$AT$4:$AV$387,MATCH(ListAndConversion!BV232,ListAndConversion!$AV$4:$AV$387,0),1),""))</f>
        <v/>
      </c>
      <c r="B230" s="555" t="str">
        <f ca="1">IF(OR(LEFT(ListAndConversion!BW232,3)="Dil",LEFT(ListAndConversion!BW232,3)="Poo"),ListAndConversion!BU232,IF(LEFT(ListAndConversion!BW232,3)="Sou",INDEX(ListAndConversion!$AT$4:$AV$387,MATCH(ListAndConversion!BV232,ListAndConversion!$AV$4:$AV$387,0),2),""))</f>
        <v/>
      </c>
      <c r="C230" s="555" t="str">
        <f ca="1">IF(ListAndConversion!BZ232&lt;&gt;"-",ListAndConversion!BZ232,"")</f>
        <v/>
      </c>
      <c r="D230" s="555" t="str">
        <f ca="1">IF(ListAndConversion!BW232&lt;&gt;"-",ListAndConversion!BW232,"")</f>
        <v/>
      </c>
      <c r="E230" s="555" t="str">
        <f ca="1">IF(ListAndConversion!BX232&lt;&gt;"-",ListAndConversion!BX232,"")</f>
        <v/>
      </c>
      <c r="F230" s="565" t="str">
        <f ca="1">IF(ListAndConversion!BY232&lt;&gt;"-",ListAndConversion!BY232,"")</f>
        <v/>
      </c>
      <c r="G230" s="565" t="str">
        <f ca="1">IF(ListAndConversion!CB232&lt;&gt;"-",ListAndConversion!CB232,"")</f>
        <v/>
      </c>
      <c r="H230" s="565" t="str">
        <f ca="1">IF(ListAndConversion!CC232&lt;&gt;"-",ListAndConversion!CC232,"")</f>
        <v/>
      </c>
      <c r="I230" s="565" t="str">
        <f ca="1">IF(ListAndConversion!CC232&lt;&gt;"-","Microfuge1","")</f>
        <v/>
      </c>
      <c r="J230" s="583" t="str">
        <f ca="1">IF(ListAndConversion!CD232&lt;&gt;"-",ListAndConversion!CD232,"")</f>
        <v/>
      </c>
      <c r="K230" s="577" t="str">
        <f t="shared" ca="1" si="3"/>
        <v/>
      </c>
    </row>
    <row r="231" spans="1:11" x14ac:dyDescent="0.65">
      <c r="A231" s="554" t="str">
        <f ca="1">IF(OR(LEFT(ListAndConversion!BW233,3)="Dil",LEFT(ListAndConversion!BW233,3)="Poo"),ListAndConversion!$BT$4,IF(LEFT(ListAndConversion!BW233,3)="Sou",INDEX(ListAndConversion!$AT$4:$AV$387,MATCH(ListAndConversion!BV233,ListAndConversion!$AV$4:$AV$387,0),1),""))</f>
        <v/>
      </c>
      <c r="B231" s="555" t="str">
        <f ca="1">IF(OR(LEFT(ListAndConversion!BW233,3)="Dil",LEFT(ListAndConversion!BW233,3)="Poo"),ListAndConversion!BU233,IF(LEFT(ListAndConversion!BW233,3)="Sou",INDEX(ListAndConversion!$AT$4:$AV$387,MATCH(ListAndConversion!BV233,ListAndConversion!$AV$4:$AV$387,0),2),""))</f>
        <v/>
      </c>
      <c r="C231" s="555" t="str">
        <f ca="1">IF(ListAndConversion!BZ233&lt;&gt;"-",ListAndConversion!BZ233,"")</f>
        <v/>
      </c>
      <c r="D231" s="555" t="str">
        <f ca="1">IF(ListAndConversion!BW233&lt;&gt;"-",ListAndConversion!BW233,"")</f>
        <v/>
      </c>
      <c r="E231" s="555" t="str">
        <f ca="1">IF(ListAndConversion!BX233&lt;&gt;"-",ListAndConversion!BX233,"")</f>
        <v/>
      </c>
      <c r="F231" s="565" t="str">
        <f ca="1">IF(ListAndConversion!BY233&lt;&gt;"-",ListAndConversion!BY233,"")</f>
        <v/>
      </c>
      <c r="G231" s="565" t="str">
        <f ca="1">IF(ListAndConversion!CB233&lt;&gt;"-",ListAndConversion!CB233,"")</f>
        <v/>
      </c>
      <c r="H231" s="565" t="str">
        <f ca="1">IF(ListAndConversion!CC233&lt;&gt;"-",ListAndConversion!CC233,"")</f>
        <v/>
      </c>
      <c r="I231" s="565" t="str">
        <f ca="1">IF(ListAndConversion!CC233&lt;&gt;"-","Microfuge1","")</f>
        <v/>
      </c>
      <c r="J231" s="583" t="str">
        <f ca="1">IF(ListAndConversion!CD233&lt;&gt;"-",ListAndConversion!CD233,"")</f>
        <v/>
      </c>
      <c r="K231" s="577" t="str">
        <f t="shared" ca="1" si="3"/>
        <v/>
      </c>
    </row>
    <row r="232" spans="1:11" x14ac:dyDescent="0.65">
      <c r="A232" s="554" t="str">
        <f ca="1">IF(OR(LEFT(ListAndConversion!BW234,3)="Dil",LEFT(ListAndConversion!BW234,3)="Poo"),ListAndConversion!$BT$4,IF(LEFT(ListAndConversion!BW234,3)="Sou",INDEX(ListAndConversion!$AT$4:$AV$387,MATCH(ListAndConversion!BV234,ListAndConversion!$AV$4:$AV$387,0),1),""))</f>
        <v/>
      </c>
      <c r="B232" s="555" t="str">
        <f ca="1">IF(OR(LEFT(ListAndConversion!BW234,3)="Dil",LEFT(ListAndConversion!BW234,3)="Poo"),ListAndConversion!BU234,IF(LEFT(ListAndConversion!BW234,3)="Sou",INDEX(ListAndConversion!$AT$4:$AV$387,MATCH(ListAndConversion!BV234,ListAndConversion!$AV$4:$AV$387,0),2),""))</f>
        <v/>
      </c>
      <c r="C232" s="555" t="str">
        <f ca="1">IF(ListAndConversion!BZ234&lt;&gt;"-",ListAndConversion!BZ234,"")</f>
        <v/>
      </c>
      <c r="D232" s="555" t="str">
        <f ca="1">IF(ListAndConversion!BW234&lt;&gt;"-",ListAndConversion!BW234,"")</f>
        <v/>
      </c>
      <c r="E232" s="555" t="str">
        <f ca="1">IF(ListAndConversion!BX234&lt;&gt;"-",ListAndConversion!BX234,"")</f>
        <v/>
      </c>
      <c r="F232" s="565" t="str">
        <f ca="1">IF(ListAndConversion!BY234&lt;&gt;"-",ListAndConversion!BY234,"")</f>
        <v/>
      </c>
      <c r="G232" s="565" t="str">
        <f ca="1">IF(ListAndConversion!CB234&lt;&gt;"-",ListAndConversion!CB234,"")</f>
        <v/>
      </c>
      <c r="H232" s="565" t="str">
        <f ca="1">IF(ListAndConversion!CC234&lt;&gt;"-",ListAndConversion!CC234,"")</f>
        <v/>
      </c>
      <c r="I232" s="565" t="str">
        <f ca="1">IF(ListAndConversion!CC234&lt;&gt;"-","Microfuge1","")</f>
        <v/>
      </c>
      <c r="J232" s="583" t="str">
        <f ca="1">IF(ListAndConversion!CD234&lt;&gt;"-",ListAndConversion!CD234,"")</f>
        <v/>
      </c>
      <c r="K232" s="577" t="str">
        <f t="shared" ca="1" si="3"/>
        <v/>
      </c>
    </row>
    <row r="233" spans="1:11" x14ac:dyDescent="0.65">
      <c r="A233" s="554" t="str">
        <f ca="1">IF(OR(LEFT(ListAndConversion!BW235,3)="Dil",LEFT(ListAndConversion!BW235,3)="Poo"),ListAndConversion!$BT$4,IF(LEFT(ListAndConversion!BW235,3)="Sou",INDEX(ListAndConversion!$AT$4:$AV$387,MATCH(ListAndConversion!BV235,ListAndConversion!$AV$4:$AV$387,0),1),""))</f>
        <v/>
      </c>
      <c r="B233" s="555" t="str">
        <f ca="1">IF(OR(LEFT(ListAndConversion!BW235,3)="Dil",LEFT(ListAndConversion!BW235,3)="Poo"),ListAndConversion!BU235,IF(LEFT(ListAndConversion!BW235,3)="Sou",INDEX(ListAndConversion!$AT$4:$AV$387,MATCH(ListAndConversion!BV235,ListAndConversion!$AV$4:$AV$387,0),2),""))</f>
        <v/>
      </c>
      <c r="C233" s="555" t="str">
        <f ca="1">IF(ListAndConversion!BZ235&lt;&gt;"-",ListAndConversion!BZ235,"")</f>
        <v/>
      </c>
      <c r="D233" s="555" t="str">
        <f ca="1">IF(ListAndConversion!BW235&lt;&gt;"-",ListAndConversion!BW235,"")</f>
        <v/>
      </c>
      <c r="E233" s="555" t="str">
        <f ca="1">IF(ListAndConversion!BX235&lt;&gt;"-",ListAndConversion!BX235,"")</f>
        <v/>
      </c>
      <c r="F233" s="565" t="str">
        <f ca="1">IF(ListAndConversion!BY235&lt;&gt;"-",ListAndConversion!BY235,"")</f>
        <v/>
      </c>
      <c r="G233" s="565" t="str">
        <f ca="1">IF(ListAndConversion!CB235&lt;&gt;"-",ListAndConversion!CB235,"")</f>
        <v/>
      </c>
      <c r="H233" s="565" t="str">
        <f ca="1">IF(ListAndConversion!CC235&lt;&gt;"-",ListAndConversion!CC235,"")</f>
        <v/>
      </c>
      <c r="I233" s="565" t="str">
        <f ca="1">IF(ListAndConversion!CC235&lt;&gt;"-","Microfuge1","")</f>
        <v/>
      </c>
      <c r="J233" s="583" t="str">
        <f ca="1">IF(ListAndConversion!CD235&lt;&gt;"-",ListAndConversion!CD235,"")</f>
        <v/>
      </c>
      <c r="K233" s="577" t="str">
        <f t="shared" ca="1" si="3"/>
        <v/>
      </c>
    </row>
    <row r="234" spans="1:11" x14ac:dyDescent="0.65">
      <c r="A234" s="554" t="str">
        <f ca="1">IF(OR(LEFT(ListAndConversion!BW236,3)="Dil",LEFT(ListAndConversion!BW236,3)="Poo"),ListAndConversion!$BT$4,IF(LEFT(ListAndConversion!BW236,3)="Sou",INDEX(ListAndConversion!$AT$4:$AV$387,MATCH(ListAndConversion!BV236,ListAndConversion!$AV$4:$AV$387,0),1),""))</f>
        <v/>
      </c>
      <c r="B234" s="555" t="str">
        <f ca="1">IF(OR(LEFT(ListAndConversion!BW236,3)="Dil",LEFT(ListAndConversion!BW236,3)="Poo"),ListAndConversion!BU236,IF(LEFT(ListAndConversion!BW236,3)="Sou",INDEX(ListAndConversion!$AT$4:$AV$387,MATCH(ListAndConversion!BV236,ListAndConversion!$AV$4:$AV$387,0),2),""))</f>
        <v/>
      </c>
      <c r="C234" s="555" t="str">
        <f ca="1">IF(ListAndConversion!BZ236&lt;&gt;"-",ListAndConversion!BZ236,"")</f>
        <v/>
      </c>
      <c r="D234" s="555" t="str">
        <f ca="1">IF(ListAndConversion!BW236&lt;&gt;"-",ListAndConversion!BW236,"")</f>
        <v/>
      </c>
      <c r="E234" s="555" t="str">
        <f ca="1">IF(ListAndConversion!BX236&lt;&gt;"-",ListAndConversion!BX236,"")</f>
        <v/>
      </c>
      <c r="F234" s="565" t="str">
        <f ca="1">IF(ListAndConversion!BY236&lt;&gt;"-",ListAndConversion!BY236,"")</f>
        <v/>
      </c>
      <c r="G234" s="565" t="str">
        <f ca="1">IF(ListAndConversion!CB236&lt;&gt;"-",ListAndConversion!CB236,"")</f>
        <v/>
      </c>
      <c r="H234" s="565" t="str">
        <f ca="1">IF(ListAndConversion!CC236&lt;&gt;"-",ListAndConversion!CC236,"")</f>
        <v/>
      </c>
      <c r="I234" s="565" t="str">
        <f ca="1">IF(ListAndConversion!CC236&lt;&gt;"-","Microfuge1","")</f>
        <v/>
      </c>
      <c r="J234" s="583" t="str">
        <f ca="1">IF(ListAndConversion!CD236&lt;&gt;"-",ListAndConversion!CD236,"")</f>
        <v/>
      </c>
      <c r="K234" s="577" t="str">
        <f t="shared" ca="1" si="3"/>
        <v/>
      </c>
    </row>
    <row r="235" spans="1:11" x14ac:dyDescent="0.65">
      <c r="A235" s="554" t="str">
        <f ca="1">IF(OR(LEFT(ListAndConversion!BW237,3)="Dil",LEFT(ListAndConversion!BW237,3)="Poo"),ListAndConversion!$BT$4,IF(LEFT(ListAndConversion!BW237,3)="Sou",INDEX(ListAndConversion!$AT$4:$AV$387,MATCH(ListAndConversion!BV237,ListAndConversion!$AV$4:$AV$387,0),1),""))</f>
        <v/>
      </c>
      <c r="B235" s="555" t="str">
        <f ca="1">IF(OR(LEFT(ListAndConversion!BW237,3)="Dil",LEFT(ListAndConversion!BW237,3)="Poo"),ListAndConversion!BU237,IF(LEFT(ListAndConversion!BW237,3)="Sou",INDEX(ListAndConversion!$AT$4:$AV$387,MATCH(ListAndConversion!BV237,ListAndConversion!$AV$4:$AV$387,0),2),""))</f>
        <v/>
      </c>
      <c r="C235" s="555" t="str">
        <f ca="1">IF(ListAndConversion!BZ237&lt;&gt;"-",ListAndConversion!BZ237,"")</f>
        <v/>
      </c>
      <c r="D235" s="555" t="str">
        <f ca="1">IF(ListAndConversion!BW237&lt;&gt;"-",ListAndConversion!BW237,"")</f>
        <v/>
      </c>
      <c r="E235" s="555" t="str">
        <f ca="1">IF(ListAndConversion!BX237&lt;&gt;"-",ListAndConversion!BX237,"")</f>
        <v/>
      </c>
      <c r="F235" s="565" t="str">
        <f ca="1">IF(ListAndConversion!BY237&lt;&gt;"-",ListAndConversion!BY237,"")</f>
        <v/>
      </c>
      <c r="G235" s="565" t="str">
        <f ca="1">IF(ListAndConversion!CB237&lt;&gt;"-",ListAndConversion!CB237,"")</f>
        <v/>
      </c>
      <c r="H235" s="565" t="str">
        <f ca="1">IF(ListAndConversion!CC237&lt;&gt;"-",ListAndConversion!CC237,"")</f>
        <v/>
      </c>
      <c r="I235" s="565" t="str">
        <f ca="1">IF(ListAndConversion!CC237&lt;&gt;"-","Microfuge1","")</f>
        <v/>
      </c>
      <c r="J235" s="583" t="str">
        <f ca="1">IF(ListAndConversion!CD237&lt;&gt;"-",ListAndConversion!CD237,"")</f>
        <v/>
      </c>
      <c r="K235" s="577" t="str">
        <f t="shared" ca="1" si="3"/>
        <v/>
      </c>
    </row>
    <row r="236" spans="1:11" x14ac:dyDescent="0.65">
      <c r="A236" s="554" t="str">
        <f ca="1">IF(OR(LEFT(ListAndConversion!BW238,3)="Dil",LEFT(ListAndConversion!BW238,3)="Poo"),ListAndConversion!$BT$4,IF(LEFT(ListAndConversion!BW238,3)="Sou",INDEX(ListAndConversion!$AT$4:$AV$387,MATCH(ListAndConversion!BV238,ListAndConversion!$AV$4:$AV$387,0),1),""))</f>
        <v/>
      </c>
      <c r="B236" s="555" t="str">
        <f ca="1">IF(OR(LEFT(ListAndConversion!BW238,3)="Dil",LEFT(ListAndConversion!BW238,3)="Poo"),ListAndConversion!BU238,IF(LEFT(ListAndConversion!BW238,3)="Sou",INDEX(ListAndConversion!$AT$4:$AV$387,MATCH(ListAndConversion!BV238,ListAndConversion!$AV$4:$AV$387,0),2),""))</f>
        <v/>
      </c>
      <c r="C236" s="555" t="str">
        <f ca="1">IF(ListAndConversion!BZ238&lt;&gt;"-",ListAndConversion!BZ238,"")</f>
        <v/>
      </c>
      <c r="D236" s="555" t="str">
        <f ca="1">IF(ListAndConversion!BW238&lt;&gt;"-",ListAndConversion!BW238,"")</f>
        <v/>
      </c>
      <c r="E236" s="555" t="str">
        <f ca="1">IF(ListAndConversion!BX238&lt;&gt;"-",ListAndConversion!BX238,"")</f>
        <v/>
      </c>
      <c r="F236" s="565" t="str">
        <f ca="1">IF(ListAndConversion!BY238&lt;&gt;"-",ListAndConversion!BY238,"")</f>
        <v/>
      </c>
      <c r="G236" s="565" t="str">
        <f ca="1">IF(ListAndConversion!CB238&lt;&gt;"-",ListAndConversion!CB238,"")</f>
        <v/>
      </c>
      <c r="H236" s="565" t="str">
        <f ca="1">IF(ListAndConversion!CC238&lt;&gt;"-",ListAndConversion!CC238,"")</f>
        <v/>
      </c>
      <c r="I236" s="565" t="str">
        <f ca="1">IF(ListAndConversion!CC238&lt;&gt;"-","Microfuge1","")</f>
        <v/>
      </c>
      <c r="J236" s="583" t="str">
        <f ca="1">IF(ListAndConversion!CD238&lt;&gt;"-",ListAndConversion!CD238,"")</f>
        <v/>
      </c>
      <c r="K236" s="577" t="str">
        <f t="shared" ca="1" si="3"/>
        <v/>
      </c>
    </row>
    <row r="237" spans="1:11" x14ac:dyDescent="0.65">
      <c r="A237" s="554" t="str">
        <f ca="1">IF(OR(LEFT(ListAndConversion!BW239,3)="Dil",LEFT(ListAndConversion!BW239,3)="Poo"),ListAndConversion!$BT$4,IF(LEFT(ListAndConversion!BW239,3)="Sou",INDEX(ListAndConversion!$AT$4:$AV$387,MATCH(ListAndConversion!BV239,ListAndConversion!$AV$4:$AV$387,0),1),""))</f>
        <v/>
      </c>
      <c r="B237" s="555" t="str">
        <f ca="1">IF(OR(LEFT(ListAndConversion!BW239,3)="Dil",LEFT(ListAndConversion!BW239,3)="Poo"),ListAndConversion!BU239,IF(LEFT(ListAndConversion!BW239,3)="Sou",INDEX(ListAndConversion!$AT$4:$AV$387,MATCH(ListAndConversion!BV239,ListAndConversion!$AV$4:$AV$387,0),2),""))</f>
        <v/>
      </c>
      <c r="C237" s="555" t="str">
        <f ca="1">IF(ListAndConversion!BZ239&lt;&gt;"-",ListAndConversion!BZ239,"")</f>
        <v/>
      </c>
      <c r="D237" s="555" t="str">
        <f ca="1">IF(ListAndConversion!BW239&lt;&gt;"-",ListAndConversion!BW239,"")</f>
        <v/>
      </c>
      <c r="E237" s="555" t="str">
        <f ca="1">IF(ListAndConversion!BX239&lt;&gt;"-",ListAndConversion!BX239,"")</f>
        <v/>
      </c>
      <c r="F237" s="565" t="str">
        <f ca="1">IF(ListAndConversion!BY239&lt;&gt;"-",ListAndConversion!BY239,"")</f>
        <v/>
      </c>
      <c r="G237" s="565" t="str">
        <f ca="1">IF(ListAndConversion!CB239&lt;&gt;"-",ListAndConversion!CB239,"")</f>
        <v/>
      </c>
      <c r="H237" s="565" t="str">
        <f ca="1">IF(ListAndConversion!CC239&lt;&gt;"-",ListAndConversion!CC239,"")</f>
        <v/>
      </c>
      <c r="I237" s="565" t="str">
        <f ca="1">IF(ListAndConversion!CC239&lt;&gt;"-","Microfuge1","")</f>
        <v/>
      </c>
      <c r="J237" s="583" t="str">
        <f ca="1">IF(ListAndConversion!CD239&lt;&gt;"-",ListAndConversion!CD239,"")</f>
        <v/>
      </c>
      <c r="K237" s="577" t="str">
        <f t="shared" ca="1" si="3"/>
        <v/>
      </c>
    </row>
    <row r="238" spans="1:11" x14ac:dyDescent="0.65">
      <c r="A238" s="554" t="str">
        <f ca="1">IF(OR(LEFT(ListAndConversion!BW240,3)="Dil",LEFT(ListAndConversion!BW240,3)="Poo"),ListAndConversion!$BT$4,IF(LEFT(ListAndConversion!BW240,3)="Sou",INDEX(ListAndConversion!$AT$4:$AV$387,MATCH(ListAndConversion!BV240,ListAndConversion!$AV$4:$AV$387,0),1),""))</f>
        <v/>
      </c>
      <c r="B238" s="555" t="str">
        <f ca="1">IF(OR(LEFT(ListAndConversion!BW240,3)="Dil",LEFT(ListAndConversion!BW240,3)="Poo"),ListAndConversion!BU240,IF(LEFT(ListAndConversion!BW240,3)="Sou",INDEX(ListAndConversion!$AT$4:$AV$387,MATCH(ListAndConversion!BV240,ListAndConversion!$AV$4:$AV$387,0),2),""))</f>
        <v/>
      </c>
      <c r="C238" s="555" t="str">
        <f ca="1">IF(ListAndConversion!BZ240&lt;&gt;"-",ListAndConversion!BZ240,"")</f>
        <v/>
      </c>
      <c r="D238" s="555" t="str">
        <f ca="1">IF(ListAndConversion!BW240&lt;&gt;"-",ListAndConversion!BW240,"")</f>
        <v/>
      </c>
      <c r="E238" s="555" t="str">
        <f ca="1">IF(ListAndConversion!BX240&lt;&gt;"-",ListAndConversion!BX240,"")</f>
        <v/>
      </c>
      <c r="F238" s="565" t="str">
        <f ca="1">IF(ListAndConversion!BY240&lt;&gt;"-",ListAndConversion!BY240,"")</f>
        <v/>
      </c>
      <c r="G238" s="565" t="str">
        <f ca="1">IF(ListAndConversion!CB240&lt;&gt;"-",ListAndConversion!CB240,"")</f>
        <v/>
      </c>
      <c r="H238" s="565" t="str">
        <f ca="1">IF(ListAndConversion!CC240&lt;&gt;"-",ListAndConversion!CC240,"")</f>
        <v/>
      </c>
      <c r="I238" s="565" t="str">
        <f ca="1">IF(ListAndConversion!CC240&lt;&gt;"-","Microfuge1","")</f>
        <v/>
      </c>
      <c r="J238" s="583" t="str">
        <f ca="1">IF(ListAndConversion!CD240&lt;&gt;"-",ListAndConversion!CD240,"")</f>
        <v/>
      </c>
      <c r="K238" s="577" t="str">
        <f t="shared" ca="1" si="3"/>
        <v/>
      </c>
    </row>
    <row r="239" spans="1:11" x14ac:dyDescent="0.65">
      <c r="A239" s="554" t="str">
        <f ca="1">IF(OR(LEFT(ListAndConversion!BW241,3)="Dil",LEFT(ListAndConversion!BW241,3)="Poo"),ListAndConversion!$BT$4,IF(LEFT(ListAndConversion!BW241,3)="Sou",INDEX(ListAndConversion!$AT$4:$AV$387,MATCH(ListAndConversion!BV241,ListAndConversion!$AV$4:$AV$387,0),1),""))</f>
        <v/>
      </c>
      <c r="B239" s="555" t="str">
        <f ca="1">IF(OR(LEFT(ListAndConversion!BW241,3)="Dil",LEFT(ListAndConversion!BW241,3)="Poo"),ListAndConversion!BU241,IF(LEFT(ListAndConversion!BW241,3)="Sou",INDEX(ListAndConversion!$AT$4:$AV$387,MATCH(ListAndConversion!BV241,ListAndConversion!$AV$4:$AV$387,0),2),""))</f>
        <v/>
      </c>
      <c r="C239" s="555" t="str">
        <f ca="1">IF(ListAndConversion!BZ241&lt;&gt;"-",ListAndConversion!BZ241,"")</f>
        <v/>
      </c>
      <c r="D239" s="555" t="str">
        <f ca="1">IF(ListAndConversion!BW241&lt;&gt;"-",ListAndConversion!BW241,"")</f>
        <v/>
      </c>
      <c r="E239" s="555" t="str">
        <f ca="1">IF(ListAndConversion!BX241&lt;&gt;"-",ListAndConversion!BX241,"")</f>
        <v/>
      </c>
      <c r="F239" s="565" t="str">
        <f ca="1">IF(ListAndConversion!BY241&lt;&gt;"-",ListAndConversion!BY241,"")</f>
        <v/>
      </c>
      <c r="G239" s="565" t="str">
        <f ca="1">IF(ListAndConversion!CB241&lt;&gt;"-",ListAndConversion!CB241,"")</f>
        <v/>
      </c>
      <c r="H239" s="565" t="str">
        <f ca="1">IF(ListAndConversion!CC241&lt;&gt;"-",ListAndConversion!CC241,"")</f>
        <v/>
      </c>
      <c r="I239" s="565" t="str">
        <f ca="1">IF(ListAndConversion!CC241&lt;&gt;"-","Microfuge1","")</f>
        <v/>
      </c>
      <c r="J239" s="583" t="str">
        <f ca="1">IF(ListAndConversion!CD241&lt;&gt;"-",ListAndConversion!CD241,"")</f>
        <v/>
      </c>
      <c r="K239" s="577" t="str">
        <f t="shared" ca="1" si="3"/>
        <v/>
      </c>
    </row>
    <row r="240" spans="1:11" x14ac:dyDescent="0.65">
      <c r="A240" s="554" t="str">
        <f ca="1">IF(OR(LEFT(ListAndConversion!BW242,3)="Dil",LEFT(ListAndConversion!BW242,3)="Poo"),ListAndConversion!$BT$4,IF(LEFT(ListAndConversion!BW242,3)="Sou",INDEX(ListAndConversion!$AT$4:$AV$387,MATCH(ListAndConversion!BV242,ListAndConversion!$AV$4:$AV$387,0),1),""))</f>
        <v/>
      </c>
      <c r="B240" s="555" t="str">
        <f ca="1">IF(OR(LEFT(ListAndConversion!BW242,3)="Dil",LEFT(ListAndConversion!BW242,3)="Poo"),ListAndConversion!BU242,IF(LEFT(ListAndConversion!BW242,3)="Sou",INDEX(ListAndConversion!$AT$4:$AV$387,MATCH(ListAndConversion!BV242,ListAndConversion!$AV$4:$AV$387,0),2),""))</f>
        <v/>
      </c>
      <c r="C240" s="555" t="str">
        <f ca="1">IF(ListAndConversion!BZ242&lt;&gt;"-",ListAndConversion!BZ242,"")</f>
        <v/>
      </c>
      <c r="D240" s="555" t="str">
        <f ca="1">IF(ListAndConversion!BW242&lt;&gt;"-",ListAndConversion!BW242,"")</f>
        <v/>
      </c>
      <c r="E240" s="555" t="str">
        <f ca="1">IF(ListAndConversion!BX242&lt;&gt;"-",ListAndConversion!BX242,"")</f>
        <v/>
      </c>
      <c r="F240" s="565" t="str">
        <f ca="1">IF(ListAndConversion!BY242&lt;&gt;"-",ListAndConversion!BY242,"")</f>
        <v/>
      </c>
      <c r="G240" s="565" t="str">
        <f ca="1">IF(ListAndConversion!CB242&lt;&gt;"-",ListAndConversion!CB242,"")</f>
        <v/>
      </c>
      <c r="H240" s="565" t="str">
        <f ca="1">IF(ListAndConversion!CC242&lt;&gt;"-",ListAndConversion!CC242,"")</f>
        <v/>
      </c>
      <c r="I240" s="565" t="str">
        <f ca="1">IF(ListAndConversion!CC242&lt;&gt;"-","Microfuge1","")</f>
        <v/>
      </c>
      <c r="J240" s="583" t="str">
        <f ca="1">IF(ListAndConversion!CD242&lt;&gt;"-",ListAndConversion!CD242,"")</f>
        <v/>
      </c>
      <c r="K240" s="577" t="str">
        <f t="shared" ca="1" si="3"/>
        <v/>
      </c>
    </row>
    <row r="241" spans="1:11" x14ac:dyDescent="0.65">
      <c r="A241" s="554" t="str">
        <f ca="1">IF(OR(LEFT(ListAndConversion!BW243,3)="Dil",LEFT(ListAndConversion!BW243,3)="Poo"),ListAndConversion!$BT$4,IF(LEFT(ListAndConversion!BW243,3)="Sou",INDEX(ListAndConversion!$AT$4:$AV$387,MATCH(ListAndConversion!BV243,ListAndConversion!$AV$4:$AV$387,0),1),""))</f>
        <v/>
      </c>
      <c r="B241" s="555" t="str">
        <f ca="1">IF(OR(LEFT(ListAndConversion!BW243,3)="Dil",LEFT(ListAndConversion!BW243,3)="Poo"),ListAndConversion!BU243,IF(LEFT(ListAndConversion!BW243,3)="Sou",INDEX(ListAndConversion!$AT$4:$AV$387,MATCH(ListAndConversion!BV243,ListAndConversion!$AV$4:$AV$387,0),2),""))</f>
        <v/>
      </c>
      <c r="C241" s="555" t="str">
        <f ca="1">IF(ListAndConversion!BZ243&lt;&gt;"-",ListAndConversion!BZ243,"")</f>
        <v/>
      </c>
      <c r="D241" s="555" t="str">
        <f ca="1">IF(ListAndConversion!BW243&lt;&gt;"-",ListAndConversion!BW243,"")</f>
        <v/>
      </c>
      <c r="E241" s="555" t="str">
        <f ca="1">IF(ListAndConversion!BX243&lt;&gt;"-",ListAndConversion!BX243,"")</f>
        <v/>
      </c>
      <c r="F241" s="565" t="str">
        <f ca="1">IF(ListAndConversion!BY243&lt;&gt;"-",ListAndConversion!BY243,"")</f>
        <v/>
      </c>
      <c r="G241" s="565" t="str">
        <f ca="1">IF(ListAndConversion!CB243&lt;&gt;"-",ListAndConversion!CB243,"")</f>
        <v/>
      </c>
      <c r="H241" s="565" t="str">
        <f ca="1">IF(ListAndConversion!CC243&lt;&gt;"-",ListAndConversion!CC243,"")</f>
        <v/>
      </c>
      <c r="I241" s="565" t="str">
        <f ca="1">IF(ListAndConversion!CC243&lt;&gt;"-","Microfuge1","")</f>
        <v/>
      </c>
      <c r="J241" s="583" t="str">
        <f ca="1">IF(ListAndConversion!CD243&lt;&gt;"-",ListAndConversion!CD243,"")</f>
        <v/>
      </c>
      <c r="K241" s="577" t="str">
        <f t="shared" ca="1" si="3"/>
        <v/>
      </c>
    </row>
    <row r="242" spans="1:11" x14ac:dyDescent="0.65">
      <c r="A242" s="554" t="str">
        <f ca="1">IF(OR(LEFT(ListAndConversion!BW244,3)="Dil",LEFT(ListAndConversion!BW244,3)="Poo"),ListAndConversion!$BT$4,IF(LEFT(ListAndConversion!BW244,3)="Sou",INDEX(ListAndConversion!$AT$4:$AV$387,MATCH(ListAndConversion!BV244,ListAndConversion!$AV$4:$AV$387,0),1),""))</f>
        <v/>
      </c>
      <c r="B242" s="555" t="str">
        <f ca="1">IF(OR(LEFT(ListAndConversion!BW244,3)="Dil",LEFT(ListAndConversion!BW244,3)="Poo"),ListAndConversion!BU244,IF(LEFT(ListAndConversion!BW244,3)="Sou",INDEX(ListAndConversion!$AT$4:$AV$387,MATCH(ListAndConversion!BV244,ListAndConversion!$AV$4:$AV$387,0),2),""))</f>
        <v/>
      </c>
      <c r="C242" s="555" t="str">
        <f ca="1">IF(ListAndConversion!BZ244&lt;&gt;"-",ListAndConversion!BZ244,"")</f>
        <v/>
      </c>
      <c r="D242" s="555" t="str">
        <f ca="1">IF(ListAndConversion!BW244&lt;&gt;"-",ListAndConversion!BW244,"")</f>
        <v/>
      </c>
      <c r="E242" s="555" t="str">
        <f ca="1">IF(ListAndConversion!BX244&lt;&gt;"-",ListAndConversion!BX244,"")</f>
        <v/>
      </c>
      <c r="F242" s="565" t="str">
        <f ca="1">IF(ListAndConversion!BY244&lt;&gt;"-",ListAndConversion!BY244,"")</f>
        <v/>
      </c>
      <c r="G242" s="565" t="str">
        <f ca="1">IF(ListAndConversion!CB244&lt;&gt;"-",ListAndConversion!CB244,"")</f>
        <v/>
      </c>
      <c r="H242" s="565" t="str">
        <f ca="1">IF(ListAndConversion!CC244&lt;&gt;"-",ListAndConversion!CC244,"")</f>
        <v/>
      </c>
      <c r="I242" s="565" t="str">
        <f ca="1">IF(ListAndConversion!CC244&lt;&gt;"-","Microfuge1","")</f>
        <v/>
      </c>
      <c r="J242" s="583" t="str">
        <f ca="1">IF(ListAndConversion!CD244&lt;&gt;"-",ListAndConversion!CD244,"")</f>
        <v/>
      </c>
      <c r="K242" s="577" t="str">
        <f t="shared" ca="1" si="3"/>
        <v/>
      </c>
    </row>
    <row r="243" spans="1:11" x14ac:dyDescent="0.65">
      <c r="A243" s="554" t="str">
        <f ca="1">IF(OR(LEFT(ListAndConversion!BW245,3)="Dil",LEFT(ListAndConversion!BW245,3)="Poo"),ListAndConversion!$BT$4,IF(LEFT(ListAndConversion!BW245,3)="Sou",INDEX(ListAndConversion!$AT$4:$AV$387,MATCH(ListAndConversion!BV245,ListAndConversion!$AV$4:$AV$387,0),1),""))</f>
        <v/>
      </c>
      <c r="B243" s="555" t="str">
        <f ca="1">IF(OR(LEFT(ListAndConversion!BW245,3)="Dil",LEFT(ListAndConversion!BW245,3)="Poo"),ListAndConversion!BU245,IF(LEFT(ListAndConversion!BW245,3)="Sou",INDEX(ListAndConversion!$AT$4:$AV$387,MATCH(ListAndConversion!BV245,ListAndConversion!$AV$4:$AV$387,0),2),""))</f>
        <v/>
      </c>
      <c r="C243" s="555" t="str">
        <f ca="1">IF(ListAndConversion!BZ245&lt;&gt;"-",ListAndConversion!BZ245,"")</f>
        <v/>
      </c>
      <c r="D243" s="555" t="str">
        <f ca="1">IF(ListAndConversion!BW245&lt;&gt;"-",ListAndConversion!BW245,"")</f>
        <v/>
      </c>
      <c r="E243" s="555" t="str">
        <f ca="1">IF(ListAndConversion!BX245&lt;&gt;"-",ListAndConversion!BX245,"")</f>
        <v/>
      </c>
      <c r="F243" s="565" t="str">
        <f ca="1">IF(ListAndConversion!BY245&lt;&gt;"-",ListAndConversion!BY245,"")</f>
        <v/>
      </c>
      <c r="G243" s="565" t="str">
        <f ca="1">IF(ListAndConversion!CB245&lt;&gt;"-",ListAndConversion!CB245,"")</f>
        <v/>
      </c>
      <c r="H243" s="565" t="str">
        <f ca="1">IF(ListAndConversion!CC245&lt;&gt;"-",ListAndConversion!CC245,"")</f>
        <v/>
      </c>
      <c r="I243" s="565" t="str">
        <f ca="1">IF(ListAndConversion!CC245&lt;&gt;"-","Microfuge1","")</f>
        <v/>
      </c>
      <c r="J243" s="583" t="str">
        <f ca="1">IF(ListAndConversion!CD245&lt;&gt;"-",ListAndConversion!CD245,"")</f>
        <v/>
      </c>
      <c r="K243" s="577" t="str">
        <f t="shared" ca="1" si="3"/>
        <v/>
      </c>
    </row>
    <row r="244" spans="1:11" x14ac:dyDescent="0.65">
      <c r="A244" s="554" t="str">
        <f ca="1">IF(OR(LEFT(ListAndConversion!BW246,3)="Dil",LEFT(ListAndConversion!BW246,3)="Poo"),ListAndConversion!$BT$4,IF(LEFT(ListAndConversion!BW246,3)="Sou",INDEX(ListAndConversion!$AT$4:$AV$387,MATCH(ListAndConversion!BV246,ListAndConversion!$AV$4:$AV$387,0),1),""))</f>
        <v/>
      </c>
      <c r="B244" s="555" t="str">
        <f ca="1">IF(OR(LEFT(ListAndConversion!BW246,3)="Dil",LEFT(ListAndConversion!BW246,3)="Poo"),ListAndConversion!BU246,IF(LEFT(ListAndConversion!BW246,3)="Sou",INDEX(ListAndConversion!$AT$4:$AV$387,MATCH(ListAndConversion!BV246,ListAndConversion!$AV$4:$AV$387,0),2),""))</f>
        <v/>
      </c>
      <c r="C244" s="555" t="str">
        <f ca="1">IF(ListAndConversion!BZ246&lt;&gt;"-",ListAndConversion!BZ246,"")</f>
        <v/>
      </c>
      <c r="D244" s="555" t="str">
        <f ca="1">IF(ListAndConversion!BW246&lt;&gt;"-",ListAndConversion!BW246,"")</f>
        <v/>
      </c>
      <c r="E244" s="555" t="str">
        <f ca="1">IF(ListAndConversion!BX246&lt;&gt;"-",ListAndConversion!BX246,"")</f>
        <v/>
      </c>
      <c r="F244" s="565" t="str">
        <f ca="1">IF(ListAndConversion!BY246&lt;&gt;"-",ListAndConversion!BY246,"")</f>
        <v/>
      </c>
      <c r="G244" s="565" t="str">
        <f ca="1">IF(ListAndConversion!CB246&lt;&gt;"-",ListAndConversion!CB246,"")</f>
        <v/>
      </c>
      <c r="H244" s="565" t="str">
        <f ca="1">IF(ListAndConversion!CC246&lt;&gt;"-",ListAndConversion!CC246,"")</f>
        <v/>
      </c>
      <c r="I244" s="565" t="str">
        <f ca="1">IF(ListAndConversion!CC246&lt;&gt;"-","Microfuge1","")</f>
        <v/>
      </c>
      <c r="J244" s="583" t="str">
        <f ca="1">IF(ListAndConversion!CD246&lt;&gt;"-",ListAndConversion!CD246,"")</f>
        <v/>
      </c>
      <c r="K244" s="577" t="str">
        <f t="shared" ca="1" si="3"/>
        <v/>
      </c>
    </row>
    <row r="245" spans="1:11" x14ac:dyDescent="0.65">
      <c r="A245" s="554" t="str">
        <f ca="1">IF(OR(LEFT(ListAndConversion!BW247,3)="Dil",LEFT(ListAndConversion!BW247,3)="Poo"),ListAndConversion!$BT$4,IF(LEFT(ListAndConversion!BW247,3)="Sou",INDEX(ListAndConversion!$AT$4:$AV$387,MATCH(ListAndConversion!BV247,ListAndConversion!$AV$4:$AV$387,0),1),""))</f>
        <v/>
      </c>
      <c r="B245" s="555" t="str">
        <f ca="1">IF(OR(LEFT(ListAndConversion!BW247,3)="Dil",LEFT(ListAndConversion!BW247,3)="Poo"),ListAndConversion!BU247,IF(LEFT(ListAndConversion!BW247,3)="Sou",INDEX(ListAndConversion!$AT$4:$AV$387,MATCH(ListAndConversion!BV247,ListAndConversion!$AV$4:$AV$387,0),2),""))</f>
        <v/>
      </c>
      <c r="C245" s="555" t="str">
        <f ca="1">IF(ListAndConversion!BZ247&lt;&gt;"-",ListAndConversion!BZ247,"")</f>
        <v/>
      </c>
      <c r="D245" s="555" t="str">
        <f ca="1">IF(ListAndConversion!BW247&lt;&gt;"-",ListAndConversion!BW247,"")</f>
        <v/>
      </c>
      <c r="E245" s="555" t="str">
        <f ca="1">IF(ListAndConversion!BX247&lt;&gt;"-",ListAndConversion!BX247,"")</f>
        <v/>
      </c>
      <c r="F245" s="565" t="str">
        <f ca="1">IF(ListAndConversion!BY247&lt;&gt;"-",ListAndConversion!BY247,"")</f>
        <v/>
      </c>
      <c r="G245" s="565" t="str">
        <f ca="1">IF(ListAndConversion!CB247&lt;&gt;"-",ListAndConversion!CB247,"")</f>
        <v/>
      </c>
      <c r="H245" s="565" t="str">
        <f ca="1">IF(ListAndConversion!CC247&lt;&gt;"-",ListAndConversion!CC247,"")</f>
        <v/>
      </c>
      <c r="I245" s="565" t="str">
        <f ca="1">IF(ListAndConversion!CC247&lt;&gt;"-","Microfuge1","")</f>
        <v/>
      </c>
      <c r="J245" s="583" t="str">
        <f ca="1">IF(ListAndConversion!CD247&lt;&gt;"-",ListAndConversion!CD247,"")</f>
        <v/>
      </c>
      <c r="K245" s="577" t="str">
        <f t="shared" ca="1" si="3"/>
        <v/>
      </c>
    </row>
    <row r="246" spans="1:11" x14ac:dyDescent="0.65">
      <c r="A246" s="554" t="str">
        <f ca="1">IF(OR(LEFT(ListAndConversion!BW248,3)="Dil",LEFT(ListAndConversion!BW248,3)="Poo"),ListAndConversion!$BT$4,IF(LEFT(ListAndConversion!BW248,3)="Sou",INDEX(ListAndConversion!$AT$4:$AV$387,MATCH(ListAndConversion!BV248,ListAndConversion!$AV$4:$AV$387,0),1),""))</f>
        <v/>
      </c>
      <c r="B246" s="555" t="str">
        <f ca="1">IF(OR(LEFT(ListAndConversion!BW248,3)="Dil",LEFT(ListAndConversion!BW248,3)="Poo"),ListAndConversion!BU248,IF(LEFT(ListAndConversion!BW248,3)="Sou",INDEX(ListAndConversion!$AT$4:$AV$387,MATCH(ListAndConversion!BV248,ListAndConversion!$AV$4:$AV$387,0),2),""))</f>
        <v/>
      </c>
      <c r="C246" s="555" t="str">
        <f ca="1">IF(ListAndConversion!BZ248&lt;&gt;"-",ListAndConversion!BZ248,"")</f>
        <v/>
      </c>
      <c r="D246" s="555" t="str">
        <f ca="1">IF(ListAndConversion!BW248&lt;&gt;"-",ListAndConversion!BW248,"")</f>
        <v/>
      </c>
      <c r="E246" s="555" t="str">
        <f ca="1">IF(ListAndConversion!BX248&lt;&gt;"-",ListAndConversion!BX248,"")</f>
        <v/>
      </c>
      <c r="F246" s="565" t="str">
        <f ca="1">IF(ListAndConversion!BY248&lt;&gt;"-",ListAndConversion!BY248,"")</f>
        <v/>
      </c>
      <c r="G246" s="565" t="str">
        <f ca="1">IF(ListAndConversion!CB248&lt;&gt;"-",ListAndConversion!CB248,"")</f>
        <v/>
      </c>
      <c r="H246" s="565" t="str">
        <f ca="1">IF(ListAndConversion!CC248&lt;&gt;"-",ListAndConversion!CC248,"")</f>
        <v/>
      </c>
      <c r="I246" s="565" t="str">
        <f ca="1">IF(ListAndConversion!CC248&lt;&gt;"-","Microfuge1","")</f>
        <v/>
      </c>
      <c r="J246" s="583" t="str">
        <f ca="1">IF(ListAndConversion!CD248&lt;&gt;"-",ListAndConversion!CD248,"")</f>
        <v/>
      </c>
      <c r="K246" s="577" t="str">
        <f t="shared" ca="1" si="3"/>
        <v/>
      </c>
    </row>
    <row r="247" spans="1:11" x14ac:dyDescent="0.65">
      <c r="A247" s="554" t="str">
        <f ca="1">IF(OR(LEFT(ListAndConversion!BW249,3)="Dil",LEFT(ListAndConversion!BW249,3)="Poo"),ListAndConversion!$BT$4,IF(LEFT(ListAndConversion!BW249,3)="Sou",INDEX(ListAndConversion!$AT$4:$AV$387,MATCH(ListAndConversion!BV249,ListAndConversion!$AV$4:$AV$387,0),1),""))</f>
        <v/>
      </c>
      <c r="B247" s="555" t="str">
        <f ca="1">IF(OR(LEFT(ListAndConversion!BW249,3)="Dil",LEFT(ListAndConversion!BW249,3)="Poo"),ListAndConversion!BU249,IF(LEFT(ListAndConversion!BW249,3)="Sou",INDEX(ListAndConversion!$AT$4:$AV$387,MATCH(ListAndConversion!BV249,ListAndConversion!$AV$4:$AV$387,0),2),""))</f>
        <v/>
      </c>
      <c r="C247" s="555" t="str">
        <f ca="1">IF(ListAndConversion!BZ249&lt;&gt;"-",ListAndConversion!BZ249,"")</f>
        <v/>
      </c>
      <c r="D247" s="555" t="str">
        <f ca="1">IF(ListAndConversion!BW249&lt;&gt;"-",ListAndConversion!BW249,"")</f>
        <v/>
      </c>
      <c r="E247" s="555" t="str">
        <f ca="1">IF(ListAndConversion!BX249&lt;&gt;"-",ListAndConversion!BX249,"")</f>
        <v/>
      </c>
      <c r="F247" s="565" t="str">
        <f ca="1">IF(ListAndConversion!BY249&lt;&gt;"-",ListAndConversion!BY249,"")</f>
        <v/>
      </c>
      <c r="G247" s="565" t="str">
        <f ca="1">IF(ListAndConversion!CB249&lt;&gt;"-",ListAndConversion!CB249,"")</f>
        <v/>
      </c>
      <c r="H247" s="565" t="str">
        <f ca="1">IF(ListAndConversion!CC249&lt;&gt;"-",ListAndConversion!CC249,"")</f>
        <v/>
      </c>
      <c r="I247" s="565" t="str">
        <f ca="1">IF(ListAndConversion!CC249&lt;&gt;"-","Microfuge1","")</f>
        <v/>
      </c>
      <c r="J247" s="583" t="str">
        <f ca="1">IF(ListAndConversion!CD249&lt;&gt;"-",ListAndConversion!CD249,"")</f>
        <v/>
      </c>
      <c r="K247" s="577" t="str">
        <f t="shared" ca="1" si="3"/>
        <v/>
      </c>
    </row>
    <row r="248" spans="1:11" x14ac:dyDescent="0.65">
      <c r="A248" s="554" t="str">
        <f ca="1">IF(OR(LEFT(ListAndConversion!BW250,3)="Dil",LEFT(ListAndConversion!BW250,3)="Poo"),ListAndConversion!$BT$4,IF(LEFT(ListAndConversion!BW250,3)="Sou",INDEX(ListAndConversion!$AT$4:$AV$387,MATCH(ListAndConversion!BV250,ListAndConversion!$AV$4:$AV$387,0),1),""))</f>
        <v/>
      </c>
      <c r="B248" s="555" t="str">
        <f ca="1">IF(OR(LEFT(ListAndConversion!BW250,3)="Dil",LEFT(ListAndConversion!BW250,3)="Poo"),ListAndConversion!BU250,IF(LEFT(ListAndConversion!BW250,3)="Sou",INDEX(ListAndConversion!$AT$4:$AV$387,MATCH(ListAndConversion!BV250,ListAndConversion!$AV$4:$AV$387,0),2),""))</f>
        <v/>
      </c>
      <c r="C248" s="555" t="str">
        <f ca="1">IF(ListAndConversion!BZ250&lt;&gt;"-",ListAndConversion!BZ250,"")</f>
        <v/>
      </c>
      <c r="D248" s="555" t="str">
        <f ca="1">IF(ListAndConversion!BW250&lt;&gt;"-",ListAndConversion!BW250,"")</f>
        <v/>
      </c>
      <c r="E248" s="555" t="str">
        <f ca="1">IF(ListAndConversion!BX250&lt;&gt;"-",ListAndConversion!BX250,"")</f>
        <v/>
      </c>
      <c r="F248" s="565" t="str">
        <f ca="1">IF(ListAndConversion!BY250&lt;&gt;"-",ListAndConversion!BY250,"")</f>
        <v/>
      </c>
      <c r="G248" s="565" t="str">
        <f ca="1">IF(ListAndConversion!CB250&lt;&gt;"-",ListAndConversion!CB250,"")</f>
        <v/>
      </c>
      <c r="H248" s="565" t="str">
        <f ca="1">IF(ListAndConversion!CC250&lt;&gt;"-",ListAndConversion!CC250,"")</f>
        <v/>
      </c>
      <c r="I248" s="565" t="str">
        <f ca="1">IF(ListAndConversion!CC250&lt;&gt;"-","Microfuge1","")</f>
        <v/>
      </c>
      <c r="J248" s="583" t="str">
        <f ca="1">IF(ListAndConversion!CD250&lt;&gt;"-",ListAndConversion!CD250,"")</f>
        <v/>
      </c>
      <c r="K248" s="577" t="str">
        <f t="shared" ca="1" si="3"/>
        <v/>
      </c>
    </row>
    <row r="249" spans="1:11" x14ac:dyDescent="0.65">
      <c r="A249" s="554" t="str">
        <f ca="1">IF(OR(LEFT(ListAndConversion!BW251,3)="Dil",LEFT(ListAndConversion!BW251,3)="Poo"),ListAndConversion!$BT$4,IF(LEFT(ListAndConversion!BW251,3)="Sou",INDEX(ListAndConversion!$AT$4:$AV$387,MATCH(ListAndConversion!BV251,ListAndConversion!$AV$4:$AV$387,0),1),""))</f>
        <v/>
      </c>
      <c r="B249" s="555" t="str">
        <f ca="1">IF(OR(LEFT(ListAndConversion!BW251,3)="Dil",LEFT(ListAndConversion!BW251,3)="Poo"),ListAndConversion!BU251,IF(LEFT(ListAndConversion!BW251,3)="Sou",INDEX(ListAndConversion!$AT$4:$AV$387,MATCH(ListAndConversion!BV251,ListAndConversion!$AV$4:$AV$387,0),2),""))</f>
        <v/>
      </c>
      <c r="C249" s="555" t="str">
        <f ca="1">IF(ListAndConversion!BZ251&lt;&gt;"-",ListAndConversion!BZ251,"")</f>
        <v/>
      </c>
      <c r="D249" s="555" t="str">
        <f ca="1">IF(ListAndConversion!BW251&lt;&gt;"-",ListAndConversion!BW251,"")</f>
        <v/>
      </c>
      <c r="E249" s="555" t="str">
        <f ca="1">IF(ListAndConversion!BX251&lt;&gt;"-",ListAndConversion!BX251,"")</f>
        <v/>
      </c>
      <c r="F249" s="565" t="str">
        <f ca="1">IF(ListAndConversion!BY251&lt;&gt;"-",ListAndConversion!BY251,"")</f>
        <v/>
      </c>
      <c r="G249" s="565" t="str">
        <f ca="1">IF(ListAndConversion!CB251&lt;&gt;"-",ListAndConversion!CB251,"")</f>
        <v/>
      </c>
      <c r="H249" s="565" t="str">
        <f ca="1">IF(ListAndConversion!CC251&lt;&gt;"-",ListAndConversion!CC251,"")</f>
        <v/>
      </c>
      <c r="I249" s="565" t="str">
        <f ca="1">IF(ListAndConversion!CC251&lt;&gt;"-","Microfuge1","")</f>
        <v/>
      </c>
      <c r="J249" s="583" t="str">
        <f ca="1">IF(ListAndConversion!CD251&lt;&gt;"-",ListAndConversion!CD251,"")</f>
        <v/>
      </c>
      <c r="K249" s="577" t="str">
        <f t="shared" ca="1" si="3"/>
        <v/>
      </c>
    </row>
    <row r="250" spans="1:11" x14ac:dyDescent="0.65">
      <c r="A250" s="554" t="str">
        <f ca="1">IF(OR(LEFT(ListAndConversion!BW252,3)="Dil",LEFT(ListAndConversion!BW252,3)="Poo"),ListAndConversion!$BT$4,IF(LEFT(ListAndConversion!BW252,3)="Sou",INDEX(ListAndConversion!$AT$4:$AV$387,MATCH(ListAndConversion!BV252,ListAndConversion!$AV$4:$AV$387,0),1),""))</f>
        <v/>
      </c>
      <c r="B250" s="555" t="str">
        <f ca="1">IF(OR(LEFT(ListAndConversion!BW252,3)="Dil",LEFT(ListAndConversion!BW252,3)="Poo"),ListAndConversion!BU252,IF(LEFT(ListAndConversion!BW252,3)="Sou",INDEX(ListAndConversion!$AT$4:$AV$387,MATCH(ListAndConversion!BV252,ListAndConversion!$AV$4:$AV$387,0),2),""))</f>
        <v/>
      </c>
      <c r="C250" s="555" t="str">
        <f ca="1">IF(ListAndConversion!BZ252&lt;&gt;"-",ListAndConversion!BZ252,"")</f>
        <v/>
      </c>
      <c r="D250" s="555" t="str">
        <f ca="1">IF(ListAndConversion!BW252&lt;&gt;"-",ListAndConversion!BW252,"")</f>
        <v/>
      </c>
      <c r="E250" s="555" t="str">
        <f ca="1">IF(ListAndConversion!BX252&lt;&gt;"-",ListAndConversion!BX252,"")</f>
        <v/>
      </c>
      <c r="F250" s="565" t="str">
        <f ca="1">IF(ListAndConversion!BY252&lt;&gt;"-",ListAndConversion!BY252,"")</f>
        <v/>
      </c>
      <c r="G250" s="565" t="str">
        <f ca="1">IF(ListAndConversion!CB252&lt;&gt;"-",ListAndConversion!CB252,"")</f>
        <v/>
      </c>
      <c r="H250" s="565" t="str">
        <f ca="1">IF(ListAndConversion!CC252&lt;&gt;"-",ListAndConversion!CC252,"")</f>
        <v/>
      </c>
      <c r="I250" s="565" t="str">
        <f ca="1">IF(ListAndConversion!CC252&lt;&gt;"-","Microfuge1","")</f>
        <v/>
      </c>
      <c r="J250" s="583" t="str">
        <f ca="1">IF(ListAndConversion!CD252&lt;&gt;"-",ListAndConversion!CD252,"")</f>
        <v/>
      </c>
      <c r="K250" s="577" t="str">
        <f t="shared" ca="1" si="3"/>
        <v/>
      </c>
    </row>
    <row r="251" spans="1:11" x14ac:dyDescent="0.65">
      <c r="A251" s="554" t="str">
        <f ca="1">IF(OR(LEFT(ListAndConversion!BW253,3)="Dil",LEFT(ListAndConversion!BW253,3)="Poo"),ListAndConversion!$BT$4,IF(LEFT(ListAndConversion!BW253,3)="Sou",INDEX(ListAndConversion!$AT$4:$AV$387,MATCH(ListAndConversion!BV253,ListAndConversion!$AV$4:$AV$387,0),1),""))</f>
        <v/>
      </c>
      <c r="B251" s="555" t="str">
        <f ca="1">IF(OR(LEFT(ListAndConversion!BW253,3)="Dil",LEFT(ListAndConversion!BW253,3)="Poo"),ListAndConversion!BU253,IF(LEFT(ListAndConversion!BW253,3)="Sou",INDEX(ListAndConversion!$AT$4:$AV$387,MATCH(ListAndConversion!BV253,ListAndConversion!$AV$4:$AV$387,0),2),""))</f>
        <v/>
      </c>
      <c r="C251" s="555" t="str">
        <f ca="1">IF(ListAndConversion!BZ253&lt;&gt;"-",ListAndConversion!BZ253,"")</f>
        <v/>
      </c>
      <c r="D251" s="555" t="str">
        <f ca="1">IF(ListAndConversion!BW253&lt;&gt;"-",ListAndConversion!BW253,"")</f>
        <v/>
      </c>
      <c r="E251" s="555" t="str">
        <f ca="1">IF(ListAndConversion!BX253&lt;&gt;"-",ListAndConversion!BX253,"")</f>
        <v/>
      </c>
      <c r="F251" s="565" t="str">
        <f ca="1">IF(ListAndConversion!BY253&lt;&gt;"-",ListAndConversion!BY253,"")</f>
        <v/>
      </c>
      <c r="G251" s="565" t="str">
        <f ca="1">IF(ListAndConversion!CB253&lt;&gt;"-",ListAndConversion!CB253,"")</f>
        <v/>
      </c>
      <c r="H251" s="565" t="str">
        <f ca="1">IF(ListAndConversion!CC253&lt;&gt;"-",ListAndConversion!CC253,"")</f>
        <v/>
      </c>
      <c r="I251" s="565" t="str">
        <f ca="1">IF(ListAndConversion!CC253&lt;&gt;"-","Microfuge1","")</f>
        <v/>
      </c>
      <c r="J251" s="583" t="str">
        <f ca="1">IF(ListAndConversion!CD253&lt;&gt;"-",ListAndConversion!CD253,"")</f>
        <v/>
      </c>
      <c r="K251" s="577" t="str">
        <f t="shared" ca="1" si="3"/>
        <v/>
      </c>
    </row>
    <row r="252" spans="1:11" x14ac:dyDescent="0.65">
      <c r="A252" s="554" t="str">
        <f ca="1">IF(OR(LEFT(ListAndConversion!BW254,3)="Dil",LEFT(ListAndConversion!BW254,3)="Poo"),ListAndConversion!$BT$4,IF(LEFT(ListAndConversion!BW254,3)="Sou",INDEX(ListAndConversion!$AT$4:$AV$387,MATCH(ListAndConversion!BV254,ListAndConversion!$AV$4:$AV$387,0),1),""))</f>
        <v/>
      </c>
      <c r="B252" s="555" t="str">
        <f ca="1">IF(OR(LEFT(ListAndConversion!BW254,3)="Dil",LEFT(ListAndConversion!BW254,3)="Poo"),ListAndConversion!BU254,IF(LEFT(ListAndConversion!BW254,3)="Sou",INDEX(ListAndConversion!$AT$4:$AV$387,MATCH(ListAndConversion!BV254,ListAndConversion!$AV$4:$AV$387,0),2),""))</f>
        <v/>
      </c>
      <c r="C252" s="555" t="str">
        <f ca="1">IF(ListAndConversion!BZ254&lt;&gt;"-",ListAndConversion!BZ254,"")</f>
        <v/>
      </c>
      <c r="D252" s="555" t="str">
        <f ca="1">IF(ListAndConversion!BW254&lt;&gt;"-",ListAndConversion!BW254,"")</f>
        <v/>
      </c>
      <c r="E252" s="555" t="str">
        <f ca="1">IF(ListAndConversion!BX254&lt;&gt;"-",ListAndConversion!BX254,"")</f>
        <v/>
      </c>
      <c r="F252" s="565" t="str">
        <f ca="1">IF(ListAndConversion!BY254&lt;&gt;"-",ListAndConversion!BY254,"")</f>
        <v/>
      </c>
      <c r="G252" s="565" t="str">
        <f ca="1">IF(ListAndConversion!CB254&lt;&gt;"-",ListAndConversion!CB254,"")</f>
        <v/>
      </c>
      <c r="H252" s="565" t="str">
        <f ca="1">IF(ListAndConversion!CC254&lt;&gt;"-",ListAndConversion!CC254,"")</f>
        <v/>
      </c>
      <c r="I252" s="565" t="str">
        <f ca="1">IF(ListAndConversion!CC254&lt;&gt;"-","Microfuge1","")</f>
        <v/>
      </c>
      <c r="J252" s="583" t="str">
        <f ca="1">IF(ListAndConversion!CD254&lt;&gt;"-",ListAndConversion!CD254,"")</f>
        <v/>
      </c>
      <c r="K252" s="577" t="str">
        <f t="shared" ca="1" si="3"/>
        <v/>
      </c>
    </row>
    <row r="253" spans="1:11" x14ac:dyDescent="0.65">
      <c r="A253" s="554" t="str">
        <f ca="1">IF(OR(LEFT(ListAndConversion!BW255,3)="Dil",LEFT(ListAndConversion!BW255,3)="Poo"),ListAndConversion!$BT$4,IF(LEFT(ListAndConversion!BW255,3)="Sou",INDEX(ListAndConversion!$AT$4:$AV$387,MATCH(ListAndConversion!BV255,ListAndConversion!$AV$4:$AV$387,0),1),""))</f>
        <v/>
      </c>
      <c r="B253" s="555" t="str">
        <f ca="1">IF(OR(LEFT(ListAndConversion!BW255,3)="Dil",LEFT(ListAndConversion!BW255,3)="Poo"),ListAndConversion!BU255,IF(LEFT(ListAndConversion!BW255,3)="Sou",INDEX(ListAndConversion!$AT$4:$AV$387,MATCH(ListAndConversion!BV255,ListAndConversion!$AV$4:$AV$387,0),2),""))</f>
        <v/>
      </c>
      <c r="C253" s="555" t="str">
        <f ca="1">IF(ListAndConversion!BZ255&lt;&gt;"-",ListAndConversion!BZ255,"")</f>
        <v/>
      </c>
      <c r="D253" s="555" t="str">
        <f ca="1">IF(ListAndConversion!BW255&lt;&gt;"-",ListAndConversion!BW255,"")</f>
        <v/>
      </c>
      <c r="E253" s="555" t="str">
        <f ca="1">IF(ListAndConversion!BX255&lt;&gt;"-",ListAndConversion!BX255,"")</f>
        <v/>
      </c>
      <c r="F253" s="565" t="str">
        <f ca="1">IF(ListAndConversion!BY255&lt;&gt;"-",ListAndConversion!BY255,"")</f>
        <v/>
      </c>
      <c r="G253" s="565" t="str">
        <f ca="1">IF(ListAndConversion!CB255&lt;&gt;"-",ListAndConversion!CB255,"")</f>
        <v/>
      </c>
      <c r="H253" s="565" t="str">
        <f ca="1">IF(ListAndConversion!CC255&lt;&gt;"-",ListAndConversion!CC255,"")</f>
        <v/>
      </c>
      <c r="I253" s="565" t="str">
        <f ca="1">IF(ListAndConversion!CC255&lt;&gt;"-","Microfuge1","")</f>
        <v/>
      </c>
      <c r="J253" s="583" t="str">
        <f ca="1">IF(ListAndConversion!CD255&lt;&gt;"-",ListAndConversion!CD255,"")</f>
        <v/>
      </c>
      <c r="K253" s="577" t="str">
        <f t="shared" ca="1" si="3"/>
        <v/>
      </c>
    </row>
    <row r="254" spans="1:11" x14ac:dyDescent="0.65">
      <c r="A254" s="554" t="str">
        <f ca="1">IF(OR(LEFT(ListAndConversion!BW256,3)="Dil",LEFT(ListAndConversion!BW256,3)="Poo"),ListAndConversion!$BT$4,IF(LEFT(ListAndConversion!BW256,3)="Sou",INDEX(ListAndConversion!$AT$4:$AV$387,MATCH(ListAndConversion!BV256,ListAndConversion!$AV$4:$AV$387,0),1),""))</f>
        <v/>
      </c>
      <c r="B254" s="555" t="str">
        <f ca="1">IF(OR(LEFT(ListAndConversion!BW256,3)="Dil",LEFT(ListAndConversion!BW256,3)="Poo"),ListAndConversion!BU256,IF(LEFT(ListAndConversion!BW256,3)="Sou",INDEX(ListAndConversion!$AT$4:$AV$387,MATCH(ListAndConversion!BV256,ListAndConversion!$AV$4:$AV$387,0),2),""))</f>
        <v/>
      </c>
      <c r="C254" s="555" t="str">
        <f ca="1">IF(ListAndConversion!BZ256&lt;&gt;"-",ListAndConversion!BZ256,"")</f>
        <v/>
      </c>
      <c r="D254" s="555" t="str">
        <f ca="1">IF(ListAndConversion!BW256&lt;&gt;"-",ListAndConversion!BW256,"")</f>
        <v/>
      </c>
      <c r="E254" s="555" t="str">
        <f ca="1">IF(ListAndConversion!BX256&lt;&gt;"-",ListAndConversion!BX256,"")</f>
        <v/>
      </c>
      <c r="F254" s="565" t="str">
        <f ca="1">IF(ListAndConversion!BY256&lt;&gt;"-",ListAndConversion!BY256,"")</f>
        <v/>
      </c>
      <c r="G254" s="565" t="str">
        <f ca="1">IF(ListAndConversion!CB256&lt;&gt;"-",ListAndConversion!CB256,"")</f>
        <v/>
      </c>
      <c r="H254" s="565" t="str">
        <f ca="1">IF(ListAndConversion!CC256&lt;&gt;"-",ListAndConversion!CC256,"")</f>
        <v/>
      </c>
      <c r="I254" s="565" t="str">
        <f ca="1">IF(ListAndConversion!CC256&lt;&gt;"-","Microfuge1","")</f>
        <v/>
      </c>
      <c r="J254" s="583" t="str">
        <f ca="1">IF(ListAndConversion!CD256&lt;&gt;"-",ListAndConversion!CD256,"")</f>
        <v/>
      </c>
      <c r="K254" s="577" t="str">
        <f t="shared" ca="1" si="3"/>
        <v/>
      </c>
    </row>
    <row r="255" spans="1:11" x14ac:dyDescent="0.65">
      <c r="A255" s="554" t="str">
        <f ca="1">IF(OR(LEFT(ListAndConversion!BW257,3)="Dil",LEFT(ListAndConversion!BW257,3)="Poo"),ListAndConversion!$BT$4,IF(LEFT(ListAndConversion!BW257,3)="Sou",INDEX(ListAndConversion!$AT$4:$AV$387,MATCH(ListAndConversion!BV257,ListAndConversion!$AV$4:$AV$387,0),1),""))</f>
        <v/>
      </c>
      <c r="B255" s="555" t="str">
        <f ca="1">IF(OR(LEFT(ListAndConversion!BW257,3)="Dil",LEFT(ListAndConversion!BW257,3)="Poo"),ListAndConversion!BU257,IF(LEFT(ListAndConversion!BW257,3)="Sou",INDEX(ListAndConversion!$AT$4:$AV$387,MATCH(ListAndConversion!BV257,ListAndConversion!$AV$4:$AV$387,0),2),""))</f>
        <v/>
      </c>
      <c r="C255" s="555" t="str">
        <f ca="1">IF(ListAndConversion!BZ257&lt;&gt;"-",ListAndConversion!BZ257,"")</f>
        <v/>
      </c>
      <c r="D255" s="555" t="str">
        <f ca="1">IF(ListAndConversion!BW257&lt;&gt;"-",ListAndConversion!BW257,"")</f>
        <v/>
      </c>
      <c r="E255" s="555" t="str">
        <f ca="1">IF(ListAndConversion!BX257&lt;&gt;"-",ListAndConversion!BX257,"")</f>
        <v/>
      </c>
      <c r="F255" s="565" t="str">
        <f ca="1">IF(ListAndConversion!BY257&lt;&gt;"-",ListAndConversion!BY257,"")</f>
        <v/>
      </c>
      <c r="G255" s="565" t="str">
        <f ca="1">IF(ListAndConversion!CB257&lt;&gt;"-",ListAndConversion!CB257,"")</f>
        <v/>
      </c>
      <c r="H255" s="565" t="str">
        <f ca="1">IF(ListAndConversion!CC257&lt;&gt;"-",ListAndConversion!CC257,"")</f>
        <v/>
      </c>
      <c r="I255" s="565" t="str">
        <f ca="1">IF(ListAndConversion!CC257&lt;&gt;"-","Microfuge1","")</f>
        <v/>
      </c>
      <c r="J255" s="583" t="str">
        <f ca="1">IF(ListAndConversion!CD257&lt;&gt;"-",ListAndConversion!CD257,"")</f>
        <v/>
      </c>
      <c r="K255" s="577" t="str">
        <f t="shared" ca="1" si="3"/>
        <v/>
      </c>
    </row>
    <row r="256" spans="1:11" x14ac:dyDescent="0.65">
      <c r="A256" s="554" t="str">
        <f ca="1">IF(OR(LEFT(ListAndConversion!BW258,3)="Dil",LEFT(ListAndConversion!BW258,3)="Poo"),ListAndConversion!$BT$4,IF(LEFT(ListAndConversion!BW258,3)="Sou",INDEX(ListAndConversion!$AT$4:$AV$387,MATCH(ListAndConversion!BV258,ListAndConversion!$AV$4:$AV$387,0),1),""))</f>
        <v/>
      </c>
      <c r="B256" s="555" t="str">
        <f ca="1">IF(OR(LEFT(ListAndConversion!BW258,3)="Dil",LEFT(ListAndConversion!BW258,3)="Poo"),ListAndConversion!BU258,IF(LEFT(ListAndConversion!BW258,3)="Sou",INDEX(ListAndConversion!$AT$4:$AV$387,MATCH(ListAndConversion!BV258,ListAndConversion!$AV$4:$AV$387,0),2),""))</f>
        <v/>
      </c>
      <c r="C256" s="555" t="str">
        <f ca="1">IF(ListAndConversion!BZ258&lt;&gt;"-",ListAndConversion!BZ258,"")</f>
        <v/>
      </c>
      <c r="D256" s="555" t="str">
        <f ca="1">IF(ListAndConversion!BW258&lt;&gt;"-",ListAndConversion!BW258,"")</f>
        <v/>
      </c>
      <c r="E256" s="555" t="str">
        <f ca="1">IF(ListAndConversion!BX258&lt;&gt;"-",ListAndConversion!BX258,"")</f>
        <v/>
      </c>
      <c r="F256" s="565" t="str">
        <f ca="1">IF(ListAndConversion!BY258&lt;&gt;"-",ListAndConversion!BY258,"")</f>
        <v/>
      </c>
      <c r="G256" s="565" t="str">
        <f ca="1">IF(ListAndConversion!CB258&lt;&gt;"-",ListAndConversion!CB258,"")</f>
        <v/>
      </c>
      <c r="H256" s="565" t="str">
        <f ca="1">IF(ListAndConversion!CC258&lt;&gt;"-",ListAndConversion!CC258,"")</f>
        <v/>
      </c>
      <c r="I256" s="565" t="str">
        <f ca="1">IF(ListAndConversion!CC258&lt;&gt;"-","Microfuge1","")</f>
        <v/>
      </c>
      <c r="J256" s="583" t="str">
        <f ca="1">IF(ListAndConversion!CD258&lt;&gt;"-",ListAndConversion!CD258,"")</f>
        <v/>
      </c>
      <c r="K256" s="577" t="str">
        <f t="shared" ca="1" si="3"/>
        <v/>
      </c>
    </row>
    <row r="257" spans="1:11" x14ac:dyDescent="0.65">
      <c r="A257" s="554" t="str">
        <f ca="1">IF(OR(LEFT(ListAndConversion!BW259,3)="Dil",LEFT(ListAndConversion!BW259,3)="Poo"),ListAndConversion!$BT$4,IF(LEFT(ListAndConversion!BW259,3)="Sou",INDEX(ListAndConversion!$AT$4:$AV$387,MATCH(ListAndConversion!BV259,ListAndConversion!$AV$4:$AV$387,0),1),""))</f>
        <v/>
      </c>
      <c r="B257" s="555" t="str">
        <f ca="1">IF(OR(LEFT(ListAndConversion!BW259,3)="Dil",LEFT(ListAndConversion!BW259,3)="Poo"),ListAndConversion!BU259,IF(LEFT(ListAndConversion!BW259,3)="Sou",INDEX(ListAndConversion!$AT$4:$AV$387,MATCH(ListAndConversion!BV259,ListAndConversion!$AV$4:$AV$387,0),2),""))</f>
        <v/>
      </c>
      <c r="C257" s="555" t="str">
        <f ca="1">IF(ListAndConversion!BZ259&lt;&gt;"-",ListAndConversion!BZ259,"")</f>
        <v/>
      </c>
      <c r="D257" s="555" t="str">
        <f ca="1">IF(ListAndConversion!BW259&lt;&gt;"-",ListAndConversion!BW259,"")</f>
        <v/>
      </c>
      <c r="E257" s="555" t="str">
        <f ca="1">IF(ListAndConversion!BX259&lt;&gt;"-",ListAndConversion!BX259,"")</f>
        <v/>
      </c>
      <c r="F257" s="565" t="str">
        <f ca="1">IF(ListAndConversion!BY259&lt;&gt;"-",ListAndConversion!BY259,"")</f>
        <v/>
      </c>
      <c r="G257" s="565" t="str">
        <f ca="1">IF(ListAndConversion!CB259&lt;&gt;"-",ListAndConversion!CB259,"")</f>
        <v/>
      </c>
      <c r="H257" s="565" t="str">
        <f ca="1">IF(ListAndConversion!CC259&lt;&gt;"-",ListAndConversion!CC259,"")</f>
        <v/>
      </c>
      <c r="I257" s="565" t="str">
        <f ca="1">IF(ListAndConversion!CC259&lt;&gt;"-","Microfuge1","")</f>
        <v/>
      </c>
      <c r="J257" s="583" t="str">
        <f ca="1">IF(ListAndConversion!CD259&lt;&gt;"-",ListAndConversion!CD259,"")</f>
        <v/>
      </c>
      <c r="K257" s="577" t="str">
        <f t="shared" ca="1" si="3"/>
        <v/>
      </c>
    </row>
    <row r="258" spans="1:11" x14ac:dyDescent="0.65">
      <c r="A258" s="554" t="str">
        <f ca="1">IF(OR(LEFT(ListAndConversion!BW260,3)="Dil",LEFT(ListAndConversion!BW260,3)="Poo"),ListAndConversion!$BT$4,IF(LEFT(ListAndConversion!BW260,3)="Sou",INDEX(ListAndConversion!$AT$4:$AV$387,MATCH(ListAndConversion!BV260,ListAndConversion!$AV$4:$AV$387,0),1),""))</f>
        <v/>
      </c>
      <c r="B258" s="555" t="str">
        <f ca="1">IF(OR(LEFT(ListAndConversion!BW260,3)="Dil",LEFT(ListAndConversion!BW260,3)="Poo"),ListAndConversion!BU260,IF(LEFT(ListAndConversion!BW260,3)="Sou",INDEX(ListAndConversion!$AT$4:$AV$387,MATCH(ListAndConversion!BV260,ListAndConversion!$AV$4:$AV$387,0),2),""))</f>
        <v/>
      </c>
      <c r="C258" s="555" t="str">
        <f ca="1">IF(ListAndConversion!BZ260&lt;&gt;"-",ListAndConversion!BZ260,"")</f>
        <v/>
      </c>
      <c r="D258" s="555" t="str">
        <f ca="1">IF(ListAndConversion!BW260&lt;&gt;"-",ListAndConversion!BW260,"")</f>
        <v/>
      </c>
      <c r="E258" s="555" t="str">
        <f ca="1">IF(ListAndConversion!BX260&lt;&gt;"-",ListAndConversion!BX260,"")</f>
        <v/>
      </c>
      <c r="F258" s="565" t="str">
        <f ca="1">IF(ListAndConversion!BY260&lt;&gt;"-",ListAndConversion!BY260,"")</f>
        <v/>
      </c>
      <c r="G258" s="565" t="str">
        <f ca="1">IF(ListAndConversion!CB260&lt;&gt;"-",ListAndConversion!CB260,"")</f>
        <v/>
      </c>
      <c r="H258" s="565" t="str">
        <f ca="1">IF(ListAndConversion!CC260&lt;&gt;"-",ListAndConversion!CC260,"")</f>
        <v/>
      </c>
      <c r="I258" s="565" t="str">
        <f ca="1">IF(ListAndConversion!CC260&lt;&gt;"-","Microfuge1","")</f>
        <v/>
      </c>
      <c r="J258" s="583" t="str">
        <f ca="1">IF(ListAndConversion!CD260&lt;&gt;"-",ListAndConversion!CD260,"")</f>
        <v/>
      </c>
      <c r="K258" s="577" t="str">
        <f t="shared" ref="K258:K321" ca="1" si="4">IF(LEFT(D258,4)="Pool",15,IF(D258="","",0))</f>
        <v/>
      </c>
    </row>
    <row r="259" spans="1:11" x14ac:dyDescent="0.65">
      <c r="A259" s="554" t="str">
        <f ca="1">IF(OR(LEFT(ListAndConversion!BW261,3)="Dil",LEFT(ListAndConversion!BW261,3)="Poo"),ListAndConversion!$BT$4,IF(LEFT(ListAndConversion!BW261,3)="Sou",INDEX(ListAndConversion!$AT$4:$AV$387,MATCH(ListAndConversion!BV261,ListAndConversion!$AV$4:$AV$387,0),1),""))</f>
        <v/>
      </c>
      <c r="B259" s="555" t="str">
        <f ca="1">IF(OR(LEFT(ListAndConversion!BW261,3)="Dil",LEFT(ListAndConversion!BW261,3)="Poo"),ListAndConversion!BU261,IF(LEFT(ListAndConversion!BW261,3)="Sou",INDEX(ListAndConversion!$AT$4:$AV$387,MATCH(ListAndConversion!BV261,ListAndConversion!$AV$4:$AV$387,0),2),""))</f>
        <v/>
      </c>
      <c r="C259" s="555" t="str">
        <f ca="1">IF(ListAndConversion!BZ261&lt;&gt;"-",ListAndConversion!BZ261,"")</f>
        <v/>
      </c>
      <c r="D259" s="555" t="str">
        <f ca="1">IF(ListAndConversion!BW261&lt;&gt;"-",ListAndConversion!BW261,"")</f>
        <v/>
      </c>
      <c r="E259" s="555" t="str">
        <f ca="1">IF(ListAndConversion!BX261&lt;&gt;"-",ListAndConversion!BX261,"")</f>
        <v/>
      </c>
      <c r="F259" s="565" t="str">
        <f ca="1">IF(ListAndConversion!BY261&lt;&gt;"-",ListAndConversion!BY261,"")</f>
        <v/>
      </c>
      <c r="G259" s="565" t="str">
        <f ca="1">IF(ListAndConversion!CB261&lt;&gt;"-",ListAndConversion!CB261,"")</f>
        <v/>
      </c>
      <c r="H259" s="565" t="str">
        <f ca="1">IF(ListAndConversion!CC261&lt;&gt;"-",ListAndConversion!CC261,"")</f>
        <v/>
      </c>
      <c r="I259" s="565" t="str">
        <f ca="1">IF(ListAndConversion!CC261&lt;&gt;"-","Microfuge1","")</f>
        <v/>
      </c>
      <c r="J259" s="583" t="str">
        <f ca="1">IF(ListAndConversion!CD261&lt;&gt;"-",ListAndConversion!CD261,"")</f>
        <v/>
      </c>
      <c r="K259" s="577" t="str">
        <f t="shared" ca="1" si="4"/>
        <v/>
      </c>
    </row>
    <row r="260" spans="1:11" x14ac:dyDescent="0.65">
      <c r="A260" s="554" t="str">
        <f ca="1">IF(OR(LEFT(ListAndConversion!BW262,3)="Dil",LEFT(ListAndConversion!BW262,3)="Poo"),ListAndConversion!$BT$4,IF(LEFT(ListAndConversion!BW262,3)="Sou",INDEX(ListAndConversion!$AT$4:$AV$387,MATCH(ListAndConversion!BV262,ListAndConversion!$AV$4:$AV$387,0),1),""))</f>
        <v/>
      </c>
      <c r="B260" s="555" t="str">
        <f ca="1">IF(OR(LEFT(ListAndConversion!BW262,3)="Dil",LEFT(ListAndConversion!BW262,3)="Poo"),ListAndConversion!BU262,IF(LEFT(ListAndConversion!BW262,3)="Sou",INDEX(ListAndConversion!$AT$4:$AV$387,MATCH(ListAndConversion!BV262,ListAndConversion!$AV$4:$AV$387,0),2),""))</f>
        <v/>
      </c>
      <c r="C260" s="555" t="str">
        <f ca="1">IF(ListAndConversion!BZ262&lt;&gt;"-",ListAndConversion!BZ262,"")</f>
        <v/>
      </c>
      <c r="D260" s="555" t="str">
        <f ca="1">IF(ListAndConversion!BW262&lt;&gt;"-",ListAndConversion!BW262,"")</f>
        <v/>
      </c>
      <c r="E260" s="555" t="str">
        <f ca="1">IF(ListAndConversion!BX262&lt;&gt;"-",ListAndConversion!BX262,"")</f>
        <v/>
      </c>
      <c r="F260" s="565" t="str">
        <f ca="1">IF(ListAndConversion!BY262&lt;&gt;"-",ListAndConversion!BY262,"")</f>
        <v/>
      </c>
      <c r="G260" s="565" t="str">
        <f ca="1">IF(ListAndConversion!CB262&lt;&gt;"-",ListAndConversion!CB262,"")</f>
        <v/>
      </c>
      <c r="H260" s="565" t="str">
        <f ca="1">IF(ListAndConversion!CC262&lt;&gt;"-",ListAndConversion!CC262,"")</f>
        <v/>
      </c>
      <c r="I260" s="565" t="str">
        <f ca="1">IF(ListAndConversion!CC262&lt;&gt;"-","Microfuge1","")</f>
        <v/>
      </c>
      <c r="J260" s="583" t="str">
        <f ca="1">IF(ListAndConversion!CD262&lt;&gt;"-",ListAndConversion!CD262,"")</f>
        <v/>
      </c>
      <c r="K260" s="577" t="str">
        <f t="shared" ca="1" si="4"/>
        <v/>
      </c>
    </row>
    <row r="261" spans="1:11" x14ac:dyDescent="0.65">
      <c r="A261" s="554" t="str">
        <f ca="1">IF(OR(LEFT(ListAndConversion!BW263,3)="Dil",LEFT(ListAndConversion!BW263,3)="Poo"),ListAndConversion!$BT$4,IF(LEFT(ListAndConversion!BW263,3)="Sou",INDEX(ListAndConversion!$AT$4:$AV$387,MATCH(ListAndConversion!BV263,ListAndConversion!$AV$4:$AV$387,0),1),""))</f>
        <v/>
      </c>
      <c r="B261" s="555" t="str">
        <f ca="1">IF(OR(LEFT(ListAndConversion!BW263,3)="Dil",LEFT(ListAndConversion!BW263,3)="Poo"),ListAndConversion!BU263,IF(LEFT(ListAndConversion!BW263,3)="Sou",INDEX(ListAndConversion!$AT$4:$AV$387,MATCH(ListAndConversion!BV263,ListAndConversion!$AV$4:$AV$387,0),2),""))</f>
        <v/>
      </c>
      <c r="C261" s="555" t="str">
        <f ca="1">IF(ListAndConversion!BZ263&lt;&gt;"-",ListAndConversion!BZ263,"")</f>
        <v/>
      </c>
      <c r="D261" s="555" t="str">
        <f ca="1">IF(ListAndConversion!BW263&lt;&gt;"-",ListAndConversion!BW263,"")</f>
        <v/>
      </c>
      <c r="E261" s="555" t="str">
        <f ca="1">IF(ListAndConversion!BX263&lt;&gt;"-",ListAndConversion!BX263,"")</f>
        <v/>
      </c>
      <c r="F261" s="565" t="str">
        <f ca="1">IF(ListAndConversion!BY263&lt;&gt;"-",ListAndConversion!BY263,"")</f>
        <v/>
      </c>
      <c r="G261" s="565" t="str">
        <f ca="1">IF(ListAndConversion!CB263&lt;&gt;"-",ListAndConversion!CB263,"")</f>
        <v/>
      </c>
      <c r="H261" s="565" t="str">
        <f ca="1">IF(ListAndConversion!CC263&lt;&gt;"-",ListAndConversion!CC263,"")</f>
        <v/>
      </c>
      <c r="I261" s="565" t="str">
        <f ca="1">IF(ListAndConversion!CC263&lt;&gt;"-","Microfuge1","")</f>
        <v/>
      </c>
      <c r="J261" s="583" t="str">
        <f ca="1">IF(ListAndConversion!CD263&lt;&gt;"-",ListAndConversion!CD263,"")</f>
        <v/>
      </c>
      <c r="K261" s="577" t="str">
        <f t="shared" ca="1" si="4"/>
        <v/>
      </c>
    </row>
    <row r="262" spans="1:11" x14ac:dyDescent="0.65">
      <c r="A262" s="554" t="str">
        <f ca="1">IF(OR(LEFT(ListAndConversion!BW264,3)="Dil",LEFT(ListAndConversion!BW264,3)="Poo"),ListAndConversion!$BT$4,IF(LEFT(ListAndConversion!BW264,3)="Sou",INDEX(ListAndConversion!$AT$4:$AV$387,MATCH(ListAndConversion!BV264,ListAndConversion!$AV$4:$AV$387,0),1),""))</f>
        <v/>
      </c>
      <c r="B262" s="555" t="str">
        <f ca="1">IF(OR(LEFT(ListAndConversion!BW264,3)="Dil",LEFT(ListAndConversion!BW264,3)="Poo"),ListAndConversion!BU264,IF(LEFT(ListAndConversion!BW264,3)="Sou",INDEX(ListAndConversion!$AT$4:$AV$387,MATCH(ListAndConversion!BV264,ListAndConversion!$AV$4:$AV$387,0),2),""))</f>
        <v/>
      </c>
      <c r="C262" s="555" t="str">
        <f ca="1">IF(ListAndConversion!BZ264&lt;&gt;"-",ListAndConversion!BZ264,"")</f>
        <v/>
      </c>
      <c r="D262" s="555" t="str">
        <f ca="1">IF(ListAndConversion!BW264&lt;&gt;"-",ListAndConversion!BW264,"")</f>
        <v/>
      </c>
      <c r="E262" s="555" t="str">
        <f ca="1">IF(ListAndConversion!BX264&lt;&gt;"-",ListAndConversion!BX264,"")</f>
        <v/>
      </c>
      <c r="F262" s="565" t="str">
        <f ca="1">IF(ListAndConversion!BY264&lt;&gt;"-",ListAndConversion!BY264,"")</f>
        <v/>
      </c>
      <c r="G262" s="565" t="str">
        <f ca="1">IF(ListAndConversion!CB264&lt;&gt;"-",ListAndConversion!CB264,"")</f>
        <v/>
      </c>
      <c r="H262" s="565" t="str">
        <f ca="1">IF(ListAndConversion!CC264&lt;&gt;"-",ListAndConversion!CC264,"")</f>
        <v/>
      </c>
      <c r="I262" s="565" t="str">
        <f ca="1">IF(ListAndConversion!CC264&lt;&gt;"-","Microfuge1","")</f>
        <v/>
      </c>
      <c r="J262" s="583" t="str">
        <f ca="1">IF(ListAndConversion!CD264&lt;&gt;"-",ListAndConversion!CD264,"")</f>
        <v/>
      </c>
      <c r="K262" s="577" t="str">
        <f t="shared" ca="1" si="4"/>
        <v/>
      </c>
    </row>
    <row r="263" spans="1:11" x14ac:dyDescent="0.65">
      <c r="A263" s="554" t="str">
        <f ca="1">IF(OR(LEFT(ListAndConversion!BW265,3)="Dil",LEFT(ListAndConversion!BW265,3)="Poo"),ListAndConversion!$BT$4,IF(LEFT(ListAndConversion!BW265,3)="Sou",INDEX(ListAndConversion!$AT$4:$AV$387,MATCH(ListAndConversion!BV265,ListAndConversion!$AV$4:$AV$387,0),1),""))</f>
        <v/>
      </c>
      <c r="B263" s="555" t="str">
        <f ca="1">IF(OR(LEFT(ListAndConversion!BW265,3)="Dil",LEFT(ListAndConversion!BW265,3)="Poo"),ListAndConversion!BU265,IF(LEFT(ListAndConversion!BW265,3)="Sou",INDEX(ListAndConversion!$AT$4:$AV$387,MATCH(ListAndConversion!BV265,ListAndConversion!$AV$4:$AV$387,0),2),""))</f>
        <v/>
      </c>
      <c r="C263" s="555" t="str">
        <f ca="1">IF(ListAndConversion!BZ265&lt;&gt;"-",ListAndConversion!BZ265,"")</f>
        <v/>
      </c>
      <c r="D263" s="555" t="str">
        <f ca="1">IF(ListAndConversion!BW265&lt;&gt;"-",ListAndConversion!BW265,"")</f>
        <v/>
      </c>
      <c r="E263" s="555" t="str">
        <f ca="1">IF(ListAndConversion!BX265&lt;&gt;"-",ListAndConversion!BX265,"")</f>
        <v/>
      </c>
      <c r="F263" s="565" t="str">
        <f ca="1">IF(ListAndConversion!BY265&lt;&gt;"-",ListAndConversion!BY265,"")</f>
        <v/>
      </c>
      <c r="G263" s="565" t="str">
        <f ca="1">IF(ListAndConversion!CB265&lt;&gt;"-",ListAndConversion!CB265,"")</f>
        <v/>
      </c>
      <c r="H263" s="565" t="str">
        <f ca="1">IF(ListAndConversion!CC265&lt;&gt;"-",ListAndConversion!CC265,"")</f>
        <v/>
      </c>
      <c r="I263" s="565" t="str">
        <f ca="1">IF(ListAndConversion!CC265&lt;&gt;"-","Microfuge1","")</f>
        <v/>
      </c>
      <c r="J263" s="583" t="str">
        <f ca="1">IF(ListAndConversion!CD265&lt;&gt;"-",ListAndConversion!CD265,"")</f>
        <v/>
      </c>
      <c r="K263" s="577" t="str">
        <f t="shared" ca="1" si="4"/>
        <v/>
      </c>
    </row>
    <row r="264" spans="1:11" x14ac:dyDescent="0.65">
      <c r="A264" s="554" t="str">
        <f ca="1">IF(OR(LEFT(ListAndConversion!BW266,3)="Dil",LEFT(ListAndConversion!BW266,3)="Poo"),ListAndConversion!$BT$4,IF(LEFT(ListAndConversion!BW266,3)="Sou",INDEX(ListAndConversion!$AT$4:$AV$387,MATCH(ListAndConversion!BV266,ListAndConversion!$AV$4:$AV$387,0),1),""))</f>
        <v/>
      </c>
      <c r="B264" s="555" t="str">
        <f ca="1">IF(OR(LEFT(ListAndConversion!BW266,3)="Dil",LEFT(ListAndConversion!BW266,3)="Poo"),ListAndConversion!BU266,IF(LEFT(ListAndConversion!BW266,3)="Sou",INDEX(ListAndConversion!$AT$4:$AV$387,MATCH(ListAndConversion!BV266,ListAndConversion!$AV$4:$AV$387,0),2),""))</f>
        <v/>
      </c>
      <c r="C264" s="555" t="str">
        <f ca="1">IF(ListAndConversion!BZ266&lt;&gt;"-",ListAndConversion!BZ266,"")</f>
        <v/>
      </c>
      <c r="D264" s="555" t="str">
        <f ca="1">IF(ListAndConversion!BW266&lt;&gt;"-",ListAndConversion!BW266,"")</f>
        <v/>
      </c>
      <c r="E264" s="555" t="str">
        <f ca="1">IF(ListAndConversion!BX266&lt;&gt;"-",ListAndConversion!BX266,"")</f>
        <v/>
      </c>
      <c r="F264" s="565" t="str">
        <f ca="1">IF(ListAndConversion!BY266&lt;&gt;"-",ListAndConversion!BY266,"")</f>
        <v/>
      </c>
      <c r="G264" s="565" t="str">
        <f ca="1">IF(ListAndConversion!CB266&lt;&gt;"-",ListAndConversion!CB266,"")</f>
        <v/>
      </c>
      <c r="H264" s="565" t="str">
        <f ca="1">IF(ListAndConversion!CC266&lt;&gt;"-",ListAndConversion!CC266,"")</f>
        <v/>
      </c>
      <c r="I264" s="565" t="str">
        <f ca="1">IF(ListAndConversion!CC266&lt;&gt;"-","Microfuge1","")</f>
        <v/>
      </c>
      <c r="J264" s="583" t="str">
        <f ca="1">IF(ListAndConversion!CD266&lt;&gt;"-",ListAndConversion!CD266,"")</f>
        <v/>
      </c>
      <c r="K264" s="577" t="str">
        <f t="shared" ca="1" si="4"/>
        <v/>
      </c>
    </row>
    <row r="265" spans="1:11" x14ac:dyDescent="0.65">
      <c r="A265" s="554" t="str">
        <f ca="1">IF(OR(LEFT(ListAndConversion!BW267,3)="Dil",LEFT(ListAndConversion!BW267,3)="Poo"),ListAndConversion!$BT$4,IF(LEFT(ListAndConversion!BW267,3)="Sou",INDEX(ListAndConversion!$AT$4:$AV$387,MATCH(ListAndConversion!BV267,ListAndConversion!$AV$4:$AV$387,0),1),""))</f>
        <v/>
      </c>
      <c r="B265" s="555" t="str">
        <f ca="1">IF(OR(LEFT(ListAndConversion!BW267,3)="Dil",LEFT(ListAndConversion!BW267,3)="Poo"),ListAndConversion!BU267,IF(LEFT(ListAndConversion!BW267,3)="Sou",INDEX(ListAndConversion!$AT$4:$AV$387,MATCH(ListAndConversion!BV267,ListAndConversion!$AV$4:$AV$387,0),2),""))</f>
        <v/>
      </c>
      <c r="C265" s="555" t="str">
        <f ca="1">IF(ListAndConversion!BZ267&lt;&gt;"-",ListAndConversion!BZ267,"")</f>
        <v/>
      </c>
      <c r="D265" s="555" t="str">
        <f ca="1">IF(ListAndConversion!BW267&lt;&gt;"-",ListAndConversion!BW267,"")</f>
        <v/>
      </c>
      <c r="E265" s="555" t="str">
        <f ca="1">IF(ListAndConversion!BX267&lt;&gt;"-",ListAndConversion!BX267,"")</f>
        <v/>
      </c>
      <c r="F265" s="565" t="str">
        <f ca="1">IF(ListAndConversion!BY267&lt;&gt;"-",ListAndConversion!BY267,"")</f>
        <v/>
      </c>
      <c r="G265" s="565" t="str">
        <f ca="1">IF(ListAndConversion!CB267&lt;&gt;"-",ListAndConversion!CB267,"")</f>
        <v/>
      </c>
      <c r="H265" s="565" t="str">
        <f ca="1">IF(ListAndConversion!CC267&lt;&gt;"-",ListAndConversion!CC267,"")</f>
        <v/>
      </c>
      <c r="I265" s="565" t="str">
        <f ca="1">IF(ListAndConversion!CC267&lt;&gt;"-","Microfuge1","")</f>
        <v/>
      </c>
      <c r="J265" s="583" t="str">
        <f ca="1">IF(ListAndConversion!CD267&lt;&gt;"-",ListAndConversion!CD267,"")</f>
        <v/>
      </c>
      <c r="K265" s="577" t="str">
        <f t="shared" ca="1" si="4"/>
        <v/>
      </c>
    </row>
    <row r="266" spans="1:11" x14ac:dyDescent="0.65">
      <c r="A266" s="554" t="str">
        <f ca="1">IF(OR(LEFT(ListAndConversion!BW268,3)="Dil",LEFT(ListAndConversion!BW268,3)="Poo"),ListAndConversion!$BT$4,IF(LEFT(ListAndConversion!BW268,3)="Sou",INDEX(ListAndConversion!$AT$4:$AV$387,MATCH(ListAndConversion!BV268,ListAndConversion!$AV$4:$AV$387,0),1),""))</f>
        <v/>
      </c>
      <c r="B266" s="555" t="str">
        <f ca="1">IF(OR(LEFT(ListAndConversion!BW268,3)="Dil",LEFT(ListAndConversion!BW268,3)="Poo"),ListAndConversion!BU268,IF(LEFT(ListAndConversion!BW268,3)="Sou",INDEX(ListAndConversion!$AT$4:$AV$387,MATCH(ListAndConversion!BV268,ListAndConversion!$AV$4:$AV$387,0),2),""))</f>
        <v/>
      </c>
      <c r="C266" s="555" t="str">
        <f ca="1">IF(ListAndConversion!BZ268&lt;&gt;"-",ListAndConversion!BZ268,"")</f>
        <v/>
      </c>
      <c r="D266" s="555" t="str">
        <f ca="1">IF(ListAndConversion!BW268&lt;&gt;"-",ListAndConversion!BW268,"")</f>
        <v/>
      </c>
      <c r="E266" s="555" t="str">
        <f ca="1">IF(ListAndConversion!BX268&lt;&gt;"-",ListAndConversion!BX268,"")</f>
        <v/>
      </c>
      <c r="F266" s="565" t="str">
        <f ca="1">IF(ListAndConversion!BY268&lt;&gt;"-",ListAndConversion!BY268,"")</f>
        <v/>
      </c>
      <c r="G266" s="565" t="str">
        <f ca="1">IF(ListAndConversion!CB268&lt;&gt;"-",ListAndConversion!CB268,"")</f>
        <v/>
      </c>
      <c r="H266" s="565" t="str">
        <f ca="1">IF(ListAndConversion!CC268&lt;&gt;"-",ListAndConversion!CC268,"")</f>
        <v/>
      </c>
      <c r="I266" s="565" t="str">
        <f ca="1">IF(ListAndConversion!CC268&lt;&gt;"-","Microfuge1","")</f>
        <v/>
      </c>
      <c r="J266" s="583" t="str">
        <f ca="1">IF(ListAndConversion!CD268&lt;&gt;"-",ListAndConversion!CD268,"")</f>
        <v/>
      </c>
      <c r="K266" s="577" t="str">
        <f t="shared" ca="1" si="4"/>
        <v/>
      </c>
    </row>
    <row r="267" spans="1:11" x14ac:dyDescent="0.65">
      <c r="A267" s="554" t="str">
        <f ca="1">IF(OR(LEFT(ListAndConversion!BW269,3)="Dil",LEFT(ListAndConversion!BW269,3)="Poo"),ListAndConversion!$BT$4,IF(LEFT(ListAndConversion!BW269,3)="Sou",INDEX(ListAndConversion!$AT$4:$AV$387,MATCH(ListAndConversion!BV269,ListAndConversion!$AV$4:$AV$387,0),1),""))</f>
        <v/>
      </c>
      <c r="B267" s="555" t="str">
        <f ca="1">IF(OR(LEFT(ListAndConversion!BW269,3)="Dil",LEFT(ListAndConversion!BW269,3)="Poo"),ListAndConversion!BU269,IF(LEFT(ListAndConversion!BW269,3)="Sou",INDEX(ListAndConversion!$AT$4:$AV$387,MATCH(ListAndConversion!BV269,ListAndConversion!$AV$4:$AV$387,0),2),""))</f>
        <v/>
      </c>
      <c r="C267" s="555" t="str">
        <f ca="1">IF(ListAndConversion!BZ269&lt;&gt;"-",ListAndConversion!BZ269,"")</f>
        <v/>
      </c>
      <c r="D267" s="555" t="str">
        <f ca="1">IF(ListAndConversion!BW269&lt;&gt;"-",ListAndConversion!BW269,"")</f>
        <v/>
      </c>
      <c r="E267" s="555" t="str">
        <f ca="1">IF(ListAndConversion!BX269&lt;&gt;"-",ListAndConversion!BX269,"")</f>
        <v/>
      </c>
      <c r="F267" s="565" t="str">
        <f ca="1">IF(ListAndConversion!BY269&lt;&gt;"-",ListAndConversion!BY269,"")</f>
        <v/>
      </c>
      <c r="G267" s="565" t="str">
        <f ca="1">IF(ListAndConversion!CB269&lt;&gt;"-",ListAndConversion!CB269,"")</f>
        <v/>
      </c>
      <c r="H267" s="565" t="str">
        <f ca="1">IF(ListAndConversion!CC269&lt;&gt;"-",ListAndConversion!CC269,"")</f>
        <v/>
      </c>
      <c r="I267" s="565" t="str">
        <f ca="1">IF(ListAndConversion!CC269&lt;&gt;"-","Microfuge1","")</f>
        <v/>
      </c>
      <c r="J267" s="583" t="str">
        <f ca="1">IF(ListAndConversion!CD269&lt;&gt;"-",ListAndConversion!CD269,"")</f>
        <v/>
      </c>
      <c r="K267" s="577" t="str">
        <f t="shared" ca="1" si="4"/>
        <v/>
      </c>
    </row>
    <row r="268" spans="1:11" x14ac:dyDescent="0.65">
      <c r="A268" s="554" t="str">
        <f ca="1">IF(OR(LEFT(ListAndConversion!BW270,3)="Dil",LEFT(ListAndConversion!BW270,3)="Poo"),ListAndConversion!$BT$4,IF(LEFT(ListAndConversion!BW270,3)="Sou",INDEX(ListAndConversion!$AT$4:$AV$387,MATCH(ListAndConversion!BV270,ListAndConversion!$AV$4:$AV$387,0),1),""))</f>
        <v/>
      </c>
      <c r="B268" s="555" t="str">
        <f ca="1">IF(OR(LEFT(ListAndConversion!BW270,3)="Dil",LEFT(ListAndConversion!BW270,3)="Poo"),ListAndConversion!BU270,IF(LEFT(ListAndConversion!BW270,3)="Sou",INDEX(ListAndConversion!$AT$4:$AV$387,MATCH(ListAndConversion!BV270,ListAndConversion!$AV$4:$AV$387,0),2),""))</f>
        <v/>
      </c>
      <c r="C268" s="555" t="str">
        <f ca="1">IF(ListAndConversion!BZ270&lt;&gt;"-",ListAndConversion!BZ270,"")</f>
        <v/>
      </c>
      <c r="D268" s="555" t="str">
        <f ca="1">IF(ListAndConversion!BW270&lt;&gt;"-",ListAndConversion!BW270,"")</f>
        <v/>
      </c>
      <c r="E268" s="555" t="str">
        <f ca="1">IF(ListAndConversion!BX270&lt;&gt;"-",ListAndConversion!BX270,"")</f>
        <v/>
      </c>
      <c r="F268" s="565" t="str">
        <f ca="1">IF(ListAndConversion!BY270&lt;&gt;"-",ListAndConversion!BY270,"")</f>
        <v/>
      </c>
      <c r="G268" s="565" t="str">
        <f ca="1">IF(ListAndConversion!CB270&lt;&gt;"-",ListAndConversion!CB270,"")</f>
        <v/>
      </c>
      <c r="H268" s="565" t="str">
        <f ca="1">IF(ListAndConversion!CC270&lt;&gt;"-",ListAndConversion!CC270,"")</f>
        <v/>
      </c>
      <c r="I268" s="565" t="str">
        <f ca="1">IF(ListAndConversion!CC270&lt;&gt;"-","Microfuge1","")</f>
        <v/>
      </c>
      <c r="J268" s="583" t="str">
        <f ca="1">IF(ListAndConversion!CD270&lt;&gt;"-",ListAndConversion!CD270,"")</f>
        <v/>
      </c>
      <c r="K268" s="577" t="str">
        <f t="shared" ca="1" si="4"/>
        <v/>
      </c>
    </row>
    <row r="269" spans="1:11" x14ac:dyDescent="0.65">
      <c r="A269" s="554" t="str">
        <f ca="1">IF(OR(LEFT(ListAndConversion!BW271,3)="Dil",LEFT(ListAndConversion!BW271,3)="Poo"),ListAndConversion!$BT$4,IF(LEFT(ListAndConversion!BW271,3)="Sou",INDEX(ListAndConversion!$AT$4:$AV$387,MATCH(ListAndConversion!BV271,ListAndConversion!$AV$4:$AV$387,0),1),""))</f>
        <v/>
      </c>
      <c r="B269" s="555" t="str">
        <f ca="1">IF(OR(LEFT(ListAndConversion!BW271,3)="Dil",LEFT(ListAndConversion!BW271,3)="Poo"),ListAndConversion!BU271,IF(LEFT(ListAndConversion!BW271,3)="Sou",INDEX(ListAndConversion!$AT$4:$AV$387,MATCH(ListAndConversion!BV271,ListAndConversion!$AV$4:$AV$387,0),2),""))</f>
        <v/>
      </c>
      <c r="C269" s="555" t="str">
        <f ca="1">IF(ListAndConversion!BZ271&lt;&gt;"-",ListAndConversion!BZ271,"")</f>
        <v/>
      </c>
      <c r="D269" s="555" t="str">
        <f ca="1">IF(ListAndConversion!BW271&lt;&gt;"-",ListAndConversion!BW271,"")</f>
        <v/>
      </c>
      <c r="E269" s="555" t="str">
        <f ca="1">IF(ListAndConversion!BX271&lt;&gt;"-",ListAndConversion!BX271,"")</f>
        <v/>
      </c>
      <c r="F269" s="565" t="str">
        <f ca="1">IF(ListAndConversion!BY271&lt;&gt;"-",ListAndConversion!BY271,"")</f>
        <v/>
      </c>
      <c r="G269" s="565" t="str">
        <f ca="1">IF(ListAndConversion!CB271&lt;&gt;"-",ListAndConversion!CB271,"")</f>
        <v/>
      </c>
      <c r="H269" s="565" t="str">
        <f ca="1">IF(ListAndConversion!CC271&lt;&gt;"-",ListAndConversion!CC271,"")</f>
        <v/>
      </c>
      <c r="I269" s="565" t="str">
        <f ca="1">IF(ListAndConversion!CC271&lt;&gt;"-","Microfuge1","")</f>
        <v/>
      </c>
      <c r="J269" s="583" t="str">
        <f ca="1">IF(ListAndConversion!CD271&lt;&gt;"-",ListAndConversion!CD271,"")</f>
        <v/>
      </c>
      <c r="K269" s="577" t="str">
        <f t="shared" ca="1" si="4"/>
        <v/>
      </c>
    </row>
    <row r="270" spans="1:11" x14ac:dyDescent="0.65">
      <c r="A270" s="554" t="str">
        <f ca="1">IF(OR(LEFT(ListAndConversion!BW272,3)="Dil",LEFT(ListAndConversion!BW272,3)="Poo"),ListAndConversion!$BT$4,IF(LEFT(ListAndConversion!BW272,3)="Sou",INDEX(ListAndConversion!$AT$4:$AV$387,MATCH(ListAndConversion!BV272,ListAndConversion!$AV$4:$AV$387,0),1),""))</f>
        <v/>
      </c>
      <c r="B270" s="555" t="str">
        <f ca="1">IF(OR(LEFT(ListAndConversion!BW272,3)="Dil",LEFT(ListAndConversion!BW272,3)="Poo"),ListAndConversion!BU272,IF(LEFT(ListAndConversion!BW272,3)="Sou",INDEX(ListAndConversion!$AT$4:$AV$387,MATCH(ListAndConversion!BV272,ListAndConversion!$AV$4:$AV$387,0),2),""))</f>
        <v/>
      </c>
      <c r="C270" s="555" t="str">
        <f ca="1">IF(ListAndConversion!BZ272&lt;&gt;"-",ListAndConversion!BZ272,"")</f>
        <v/>
      </c>
      <c r="D270" s="555" t="str">
        <f ca="1">IF(ListAndConversion!BW272&lt;&gt;"-",ListAndConversion!BW272,"")</f>
        <v/>
      </c>
      <c r="E270" s="555" t="str">
        <f ca="1">IF(ListAndConversion!BX272&lt;&gt;"-",ListAndConversion!BX272,"")</f>
        <v/>
      </c>
      <c r="F270" s="565" t="str">
        <f ca="1">IF(ListAndConversion!BY272&lt;&gt;"-",ListAndConversion!BY272,"")</f>
        <v/>
      </c>
      <c r="G270" s="565" t="str">
        <f ca="1">IF(ListAndConversion!CB272&lt;&gt;"-",ListAndConversion!CB272,"")</f>
        <v/>
      </c>
      <c r="H270" s="565" t="str">
        <f ca="1">IF(ListAndConversion!CC272&lt;&gt;"-",ListAndConversion!CC272,"")</f>
        <v/>
      </c>
      <c r="I270" s="565" t="str">
        <f ca="1">IF(ListAndConversion!CC272&lt;&gt;"-","Microfuge1","")</f>
        <v/>
      </c>
      <c r="J270" s="583" t="str">
        <f ca="1">IF(ListAndConversion!CD272&lt;&gt;"-",ListAndConversion!CD272,"")</f>
        <v/>
      </c>
      <c r="K270" s="577" t="str">
        <f t="shared" ca="1" si="4"/>
        <v/>
      </c>
    </row>
    <row r="271" spans="1:11" x14ac:dyDescent="0.65">
      <c r="A271" s="554" t="str">
        <f ca="1">IF(OR(LEFT(ListAndConversion!BW273,3)="Dil",LEFT(ListAndConversion!BW273,3)="Poo"),ListAndConversion!$BT$4,IF(LEFT(ListAndConversion!BW273,3)="Sou",INDEX(ListAndConversion!$AT$4:$AV$387,MATCH(ListAndConversion!BV273,ListAndConversion!$AV$4:$AV$387,0),1),""))</f>
        <v/>
      </c>
      <c r="B271" s="555" t="str">
        <f ca="1">IF(OR(LEFT(ListAndConversion!BW273,3)="Dil",LEFT(ListAndConversion!BW273,3)="Poo"),ListAndConversion!BU273,IF(LEFT(ListAndConversion!BW273,3)="Sou",INDEX(ListAndConversion!$AT$4:$AV$387,MATCH(ListAndConversion!BV273,ListAndConversion!$AV$4:$AV$387,0),2),""))</f>
        <v/>
      </c>
      <c r="C271" s="555" t="str">
        <f ca="1">IF(ListAndConversion!BZ273&lt;&gt;"-",ListAndConversion!BZ273,"")</f>
        <v/>
      </c>
      <c r="D271" s="555" t="str">
        <f ca="1">IF(ListAndConversion!BW273&lt;&gt;"-",ListAndConversion!BW273,"")</f>
        <v/>
      </c>
      <c r="E271" s="555" t="str">
        <f ca="1">IF(ListAndConversion!BX273&lt;&gt;"-",ListAndConversion!BX273,"")</f>
        <v/>
      </c>
      <c r="F271" s="565" t="str">
        <f ca="1">IF(ListAndConversion!BY273&lt;&gt;"-",ListAndConversion!BY273,"")</f>
        <v/>
      </c>
      <c r="G271" s="565" t="str">
        <f ca="1">IF(ListAndConversion!CB273&lt;&gt;"-",ListAndConversion!CB273,"")</f>
        <v/>
      </c>
      <c r="H271" s="565" t="str">
        <f ca="1">IF(ListAndConversion!CC273&lt;&gt;"-",ListAndConversion!CC273,"")</f>
        <v/>
      </c>
      <c r="I271" s="565" t="str">
        <f ca="1">IF(ListAndConversion!CC273&lt;&gt;"-","Microfuge1","")</f>
        <v/>
      </c>
      <c r="J271" s="583" t="str">
        <f ca="1">IF(ListAndConversion!CD273&lt;&gt;"-",ListAndConversion!CD273,"")</f>
        <v/>
      </c>
      <c r="K271" s="577" t="str">
        <f t="shared" ca="1" si="4"/>
        <v/>
      </c>
    </row>
    <row r="272" spans="1:11" x14ac:dyDescent="0.65">
      <c r="A272" s="554" t="str">
        <f ca="1">IF(OR(LEFT(ListAndConversion!BW274,3)="Dil",LEFT(ListAndConversion!BW274,3)="Poo"),ListAndConversion!$BT$4,IF(LEFT(ListAndConversion!BW274,3)="Sou",INDEX(ListAndConversion!$AT$4:$AV$387,MATCH(ListAndConversion!BV274,ListAndConversion!$AV$4:$AV$387,0),1),""))</f>
        <v/>
      </c>
      <c r="B272" s="555" t="str">
        <f ca="1">IF(OR(LEFT(ListAndConversion!BW274,3)="Dil",LEFT(ListAndConversion!BW274,3)="Poo"),ListAndConversion!BU274,IF(LEFT(ListAndConversion!BW274,3)="Sou",INDEX(ListAndConversion!$AT$4:$AV$387,MATCH(ListAndConversion!BV274,ListAndConversion!$AV$4:$AV$387,0),2),""))</f>
        <v/>
      </c>
      <c r="C272" s="555" t="str">
        <f ca="1">IF(ListAndConversion!BZ274&lt;&gt;"-",ListAndConversion!BZ274,"")</f>
        <v/>
      </c>
      <c r="D272" s="555" t="str">
        <f ca="1">IF(ListAndConversion!BW274&lt;&gt;"-",ListAndConversion!BW274,"")</f>
        <v/>
      </c>
      <c r="E272" s="555" t="str">
        <f ca="1">IF(ListAndConversion!BX274&lt;&gt;"-",ListAndConversion!BX274,"")</f>
        <v/>
      </c>
      <c r="F272" s="565" t="str">
        <f ca="1">IF(ListAndConversion!BY274&lt;&gt;"-",ListAndConversion!BY274,"")</f>
        <v/>
      </c>
      <c r="G272" s="565" t="str">
        <f ca="1">IF(ListAndConversion!CB274&lt;&gt;"-",ListAndConversion!CB274,"")</f>
        <v/>
      </c>
      <c r="H272" s="565" t="str">
        <f ca="1">IF(ListAndConversion!CC274&lt;&gt;"-",ListAndConversion!CC274,"")</f>
        <v/>
      </c>
      <c r="I272" s="565" t="str">
        <f ca="1">IF(ListAndConversion!CC274&lt;&gt;"-","Microfuge1","")</f>
        <v/>
      </c>
      <c r="J272" s="583" t="str">
        <f ca="1">IF(ListAndConversion!CD274&lt;&gt;"-",ListAndConversion!CD274,"")</f>
        <v/>
      </c>
      <c r="K272" s="577" t="str">
        <f t="shared" ca="1" si="4"/>
        <v/>
      </c>
    </row>
    <row r="273" spans="1:11" x14ac:dyDescent="0.65">
      <c r="A273" s="554" t="str">
        <f ca="1">IF(OR(LEFT(ListAndConversion!BW275,3)="Dil",LEFT(ListAndConversion!BW275,3)="Poo"),ListAndConversion!$BT$4,IF(LEFT(ListAndConversion!BW275,3)="Sou",INDEX(ListAndConversion!$AT$4:$AV$387,MATCH(ListAndConversion!BV275,ListAndConversion!$AV$4:$AV$387,0),1),""))</f>
        <v/>
      </c>
      <c r="B273" s="555" t="str">
        <f ca="1">IF(OR(LEFT(ListAndConversion!BW275,3)="Dil",LEFT(ListAndConversion!BW275,3)="Poo"),ListAndConversion!BU275,IF(LEFT(ListAndConversion!BW275,3)="Sou",INDEX(ListAndConversion!$AT$4:$AV$387,MATCH(ListAndConversion!BV275,ListAndConversion!$AV$4:$AV$387,0),2),""))</f>
        <v/>
      </c>
      <c r="C273" s="555" t="str">
        <f ca="1">IF(ListAndConversion!BZ275&lt;&gt;"-",ListAndConversion!BZ275,"")</f>
        <v/>
      </c>
      <c r="D273" s="555" t="str">
        <f ca="1">IF(ListAndConversion!BW275&lt;&gt;"-",ListAndConversion!BW275,"")</f>
        <v/>
      </c>
      <c r="E273" s="555" t="str">
        <f ca="1">IF(ListAndConversion!BX275&lt;&gt;"-",ListAndConversion!BX275,"")</f>
        <v/>
      </c>
      <c r="F273" s="565" t="str">
        <f ca="1">IF(ListAndConversion!BY275&lt;&gt;"-",ListAndConversion!BY275,"")</f>
        <v/>
      </c>
      <c r="G273" s="565" t="str">
        <f ca="1">IF(ListAndConversion!CB275&lt;&gt;"-",ListAndConversion!CB275,"")</f>
        <v/>
      </c>
      <c r="H273" s="565" t="str">
        <f ca="1">IF(ListAndConversion!CC275&lt;&gt;"-",ListAndConversion!CC275,"")</f>
        <v/>
      </c>
      <c r="I273" s="565" t="str">
        <f ca="1">IF(ListAndConversion!CC275&lt;&gt;"-","Microfuge1","")</f>
        <v/>
      </c>
      <c r="J273" s="583" t="str">
        <f ca="1">IF(ListAndConversion!CD275&lt;&gt;"-",ListAndConversion!CD275,"")</f>
        <v/>
      </c>
      <c r="K273" s="577" t="str">
        <f t="shared" ca="1" si="4"/>
        <v/>
      </c>
    </row>
    <row r="274" spans="1:11" x14ac:dyDescent="0.65">
      <c r="A274" s="554" t="str">
        <f ca="1">IF(OR(LEFT(ListAndConversion!BW276,3)="Dil",LEFT(ListAndConversion!BW276,3)="Poo"),ListAndConversion!$BT$4,IF(LEFT(ListAndConversion!BW276,3)="Sou",INDEX(ListAndConversion!$AT$4:$AV$387,MATCH(ListAndConversion!BV276,ListAndConversion!$AV$4:$AV$387,0),1),""))</f>
        <v/>
      </c>
      <c r="B274" s="555" t="str">
        <f ca="1">IF(OR(LEFT(ListAndConversion!BW276,3)="Dil",LEFT(ListAndConversion!BW276,3)="Poo"),ListAndConversion!BU276,IF(LEFT(ListAndConversion!BW276,3)="Sou",INDEX(ListAndConversion!$AT$4:$AV$387,MATCH(ListAndConversion!BV276,ListAndConversion!$AV$4:$AV$387,0),2),""))</f>
        <v/>
      </c>
      <c r="C274" s="555" t="str">
        <f ca="1">IF(ListAndConversion!BZ276&lt;&gt;"-",ListAndConversion!BZ276,"")</f>
        <v/>
      </c>
      <c r="D274" s="555" t="str">
        <f ca="1">IF(ListAndConversion!BW276&lt;&gt;"-",ListAndConversion!BW276,"")</f>
        <v/>
      </c>
      <c r="E274" s="555" t="str">
        <f ca="1">IF(ListAndConversion!BX276&lt;&gt;"-",ListAndConversion!BX276,"")</f>
        <v/>
      </c>
      <c r="F274" s="565" t="str">
        <f ca="1">IF(ListAndConversion!BY276&lt;&gt;"-",ListAndConversion!BY276,"")</f>
        <v/>
      </c>
      <c r="G274" s="565" t="str">
        <f ca="1">IF(ListAndConversion!CB276&lt;&gt;"-",ListAndConversion!CB276,"")</f>
        <v/>
      </c>
      <c r="H274" s="565" t="str">
        <f ca="1">IF(ListAndConversion!CC276&lt;&gt;"-",ListAndConversion!CC276,"")</f>
        <v/>
      </c>
      <c r="I274" s="565" t="str">
        <f ca="1">IF(ListAndConversion!CC276&lt;&gt;"-","Microfuge1","")</f>
        <v/>
      </c>
      <c r="J274" s="583" t="str">
        <f ca="1">IF(ListAndConversion!CD276&lt;&gt;"-",ListAndConversion!CD276,"")</f>
        <v/>
      </c>
      <c r="K274" s="577" t="str">
        <f t="shared" ca="1" si="4"/>
        <v/>
      </c>
    </row>
    <row r="275" spans="1:11" x14ac:dyDescent="0.65">
      <c r="A275" s="554" t="str">
        <f ca="1">IF(OR(LEFT(ListAndConversion!BW277,3)="Dil",LEFT(ListAndConversion!BW277,3)="Poo"),ListAndConversion!$BT$4,IF(LEFT(ListAndConversion!BW277,3)="Sou",INDEX(ListAndConversion!$AT$4:$AV$387,MATCH(ListAndConversion!BV277,ListAndConversion!$AV$4:$AV$387,0),1),""))</f>
        <v/>
      </c>
      <c r="B275" s="555" t="str">
        <f ca="1">IF(OR(LEFT(ListAndConversion!BW277,3)="Dil",LEFT(ListAndConversion!BW277,3)="Poo"),ListAndConversion!BU277,IF(LEFT(ListAndConversion!BW277,3)="Sou",INDEX(ListAndConversion!$AT$4:$AV$387,MATCH(ListAndConversion!BV277,ListAndConversion!$AV$4:$AV$387,0),2),""))</f>
        <v/>
      </c>
      <c r="C275" s="555" t="str">
        <f ca="1">IF(ListAndConversion!BZ277&lt;&gt;"-",ListAndConversion!BZ277,"")</f>
        <v/>
      </c>
      <c r="D275" s="555" t="str">
        <f ca="1">IF(ListAndConversion!BW277&lt;&gt;"-",ListAndConversion!BW277,"")</f>
        <v/>
      </c>
      <c r="E275" s="555" t="str">
        <f ca="1">IF(ListAndConversion!BX277&lt;&gt;"-",ListAndConversion!BX277,"")</f>
        <v/>
      </c>
      <c r="F275" s="565" t="str">
        <f ca="1">IF(ListAndConversion!BY277&lt;&gt;"-",ListAndConversion!BY277,"")</f>
        <v/>
      </c>
      <c r="G275" s="565" t="str">
        <f ca="1">IF(ListAndConversion!CB277&lt;&gt;"-",ListAndConversion!CB277,"")</f>
        <v/>
      </c>
      <c r="H275" s="565" t="str">
        <f ca="1">IF(ListAndConversion!CC277&lt;&gt;"-",ListAndConversion!CC277,"")</f>
        <v/>
      </c>
      <c r="I275" s="565" t="str">
        <f ca="1">IF(ListAndConversion!CC277&lt;&gt;"-","Microfuge1","")</f>
        <v/>
      </c>
      <c r="J275" s="583" t="str">
        <f ca="1">IF(ListAndConversion!CD277&lt;&gt;"-",ListAndConversion!CD277,"")</f>
        <v/>
      </c>
      <c r="K275" s="577" t="str">
        <f t="shared" ca="1" si="4"/>
        <v/>
      </c>
    </row>
    <row r="276" spans="1:11" x14ac:dyDescent="0.65">
      <c r="A276" s="554" t="str">
        <f ca="1">IF(OR(LEFT(ListAndConversion!BW278,3)="Dil",LEFT(ListAndConversion!BW278,3)="Poo"),ListAndConversion!$BT$4,IF(LEFT(ListAndConversion!BW278,3)="Sou",INDEX(ListAndConversion!$AT$4:$AV$387,MATCH(ListAndConversion!BV278,ListAndConversion!$AV$4:$AV$387,0),1),""))</f>
        <v/>
      </c>
      <c r="B276" s="555" t="str">
        <f ca="1">IF(OR(LEFT(ListAndConversion!BW278,3)="Dil",LEFT(ListAndConversion!BW278,3)="Poo"),ListAndConversion!BU278,IF(LEFT(ListAndConversion!BW278,3)="Sou",INDEX(ListAndConversion!$AT$4:$AV$387,MATCH(ListAndConversion!BV278,ListAndConversion!$AV$4:$AV$387,0),2),""))</f>
        <v/>
      </c>
      <c r="C276" s="555" t="str">
        <f ca="1">IF(ListAndConversion!BZ278&lt;&gt;"-",ListAndConversion!BZ278,"")</f>
        <v/>
      </c>
      <c r="D276" s="555" t="str">
        <f ca="1">IF(ListAndConversion!BW278&lt;&gt;"-",ListAndConversion!BW278,"")</f>
        <v/>
      </c>
      <c r="E276" s="555" t="str">
        <f ca="1">IF(ListAndConversion!BX278&lt;&gt;"-",ListAndConversion!BX278,"")</f>
        <v/>
      </c>
      <c r="F276" s="565" t="str">
        <f ca="1">IF(ListAndConversion!BY278&lt;&gt;"-",ListAndConversion!BY278,"")</f>
        <v/>
      </c>
      <c r="G276" s="565" t="str">
        <f ca="1">IF(ListAndConversion!CB278&lt;&gt;"-",ListAndConversion!CB278,"")</f>
        <v/>
      </c>
      <c r="H276" s="565" t="str">
        <f ca="1">IF(ListAndConversion!CC278&lt;&gt;"-",ListAndConversion!CC278,"")</f>
        <v/>
      </c>
      <c r="I276" s="565" t="str">
        <f ca="1">IF(ListAndConversion!CC278&lt;&gt;"-","Microfuge1","")</f>
        <v/>
      </c>
      <c r="J276" s="583" t="str">
        <f ca="1">IF(ListAndConversion!CD278&lt;&gt;"-",ListAndConversion!CD278,"")</f>
        <v/>
      </c>
      <c r="K276" s="577" t="str">
        <f t="shared" ca="1" si="4"/>
        <v/>
      </c>
    </row>
    <row r="277" spans="1:11" x14ac:dyDescent="0.65">
      <c r="A277" s="554" t="str">
        <f ca="1">IF(OR(LEFT(ListAndConversion!BW279,3)="Dil",LEFT(ListAndConversion!BW279,3)="Poo"),ListAndConversion!$BT$4,IF(LEFT(ListAndConversion!BW279,3)="Sou",INDEX(ListAndConversion!$AT$4:$AV$387,MATCH(ListAndConversion!BV279,ListAndConversion!$AV$4:$AV$387,0),1),""))</f>
        <v/>
      </c>
      <c r="B277" s="555" t="str">
        <f ca="1">IF(OR(LEFT(ListAndConversion!BW279,3)="Dil",LEFT(ListAndConversion!BW279,3)="Poo"),ListAndConversion!BU279,IF(LEFT(ListAndConversion!BW279,3)="Sou",INDEX(ListAndConversion!$AT$4:$AV$387,MATCH(ListAndConversion!BV279,ListAndConversion!$AV$4:$AV$387,0),2),""))</f>
        <v/>
      </c>
      <c r="C277" s="555" t="str">
        <f ca="1">IF(ListAndConversion!BZ279&lt;&gt;"-",ListAndConversion!BZ279,"")</f>
        <v/>
      </c>
      <c r="D277" s="555" t="str">
        <f ca="1">IF(ListAndConversion!BW279&lt;&gt;"-",ListAndConversion!BW279,"")</f>
        <v/>
      </c>
      <c r="E277" s="555" t="str">
        <f ca="1">IF(ListAndConversion!BX279&lt;&gt;"-",ListAndConversion!BX279,"")</f>
        <v/>
      </c>
      <c r="F277" s="565" t="str">
        <f ca="1">IF(ListAndConversion!BY279&lt;&gt;"-",ListAndConversion!BY279,"")</f>
        <v/>
      </c>
      <c r="G277" s="565" t="str">
        <f ca="1">IF(ListAndConversion!CB279&lt;&gt;"-",ListAndConversion!CB279,"")</f>
        <v/>
      </c>
      <c r="H277" s="565" t="str">
        <f ca="1">IF(ListAndConversion!CC279&lt;&gt;"-",ListAndConversion!CC279,"")</f>
        <v/>
      </c>
      <c r="I277" s="565" t="str">
        <f ca="1">IF(ListAndConversion!CC279&lt;&gt;"-","Microfuge1","")</f>
        <v/>
      </c>
      <c r="J277" s="583" t="str">
        <f ca="1">IF(ListAndConversion!CD279&lt;&gt;"-",ListAndConversion!CD279,"")</f>
        <v/>
      </c>
      <c r="K277" s="577" t="str">
        <f t="shared" ca="1" si="4"/>
        <v/>
      </c>
    </row>
    <row r="278" spans="1:11" x14ac:dyDescent="0.65">
      <c r="A278" s="554" t="str">
        <f ca="1">IF(OR(LEFT(ListAndConversion!BW280,3)="Dil",LEFT(ListAndConversion!BW280,3)="Poo"),ListAndConversion!$BT$4,IF(LEFT(ListAndConversion!BW280,3)="Sou",INDEX(ListAndConversion!$AT$4:$AV$387,MATCH(ListAndConversion!BV280,ListAndConversion!$AV$4:$AV$387,0),1),""))</f>
        <v/>
      </c>
      <c r="B278" s="555" t="str">
        <f ca="1">IF(OR(LEFT(ListAndConversion!BW280,3)="Dil",LEFT(ListAndConversion!BW280,3)="Poo"),ListAndConversion!BU280,IF(LEFT(ListAndConversion!BW280,3)="Sou",INDEX(ListAndConversion!$AT$4:$AV$387,MATCH(ListAndConversion!BV280,ListAndConversion!$AV$4:$AV$387,0),2),""))</f>
        <v/>
      </c>
      <c r="C278" s="555" t="str">
        <f ca="1">IF(ListAndConversion!BZ280&lt;&gt;"-",ListAndConversion!BZ280,"")</f>
        <v/>
      </c>
      <c r="D278" s="555" t="str">
        <f ca="1">IF(ListAndConversion!BW280&lt;&gt;"-",ListAndConversion!BW280,"")</f>
        <v/>
      </c>
      <c r="E278" s="555" t="str">
        <f ca="1">IF(ListAndConversion!BX280&lt;&gt;"-",ListAndConversion!BX280,"")</f>
        <v/>
      </c>
      <c r="F278" s="565" t="str">
        <f ca="1">IF(ListAndConversion!BY280&lt;&gt;"-",ListAndConversion!BY280,"")</f>
        <v/>
      </c>
      <c r="G278" s="565" t="str">
        <f ca="1">IF(ListAndConversion!CB280&lt;&gt;"-",ListAndConversion!CB280,"")</f>
        <v/>
      </c>
      <c r="H278" s="565" t="str">
        <f ca="1">IF(ListAndConversion!CC280&lt;&gt;"-",ListAndConversion!CC280,"")</f>
        <v/>
      </c>
      <c r="I278" s="565" t="str">
        <f ca="1">IF(ListAndConversion!CC280&lt;&gt;"-","Microfuge1","")</f>
        <v/>
      </c>
      <c r="J278" s="583" t="str">
        <f ca="1">IF(ListAndConversion!CD280&lt;&gt;"-",ListAndConversion!CD280,"")</f>
        <v/>
      </c>
      <c r="K278" s="577" t="str">
        <f t="shared" ca="1" si="4"/>
        <v/>
      </c>
    </row>
    <row r="279" spans="1:11" x14ac:dyDescent="0.65">
      <c r="A279" s="554" t="str">
        <f ca="1">IF(OR(LEFT(ListAndConversion!BW281,3)="Dil",LEFT(ListAndConversion!BW281,3)="Poo"),ListAndConversion!$BT$4,IF(LEFT(ListAndConversion!BW281,3)="Sou",INDEX(ListAndConversion!$AT$4:$AV$387,MATCH(ListAndConversion!BV281,ListAndConversion!$AV$4:$AV$387,0),1),""))</f>
        <v/>
      </c>
      <c r="B279" s="555" t="str">
        <f ca="1">IF(OR(LEFT(ListAndConversion!BW281,3)="Dil",LEFT(ListAndConversion!BW281,3)="Poo"),ListAndConversion!BU281,IF(LEFT(ListAndConversion!BW281,3)="Sou",INDEX(ListAndConversion!$AT$4:$AV$387,MATCH(ListAndConversion!BV281,ListAndConversion!$AV$4:$AV$387,0),2),""))</f>
        <v/>
      </c>
      <c r="C279" s="555" t="str">
        <f ca="1">IF(ListAndConversion!BZ281&lt;&gt;"-",ListAndConversion!BZ281,"")</f>
        <v/>
      </c>
      <c r="D279" s="555" t="str">
        <f ca="1">IF(ListAndConversion!BW281&lt;&gt;"-",ListAndConversion!BW281,"")</f>
        <v/>
      </c>
      <c r="E279" s="555" t="str">
        <f ca="1">IF(ListAndConversion!BX281&lt;&gt;"-",ListAndConversion!BX281,"")</f>
        <v/>
      </c>
      <c r="F279" s="565" t="str">
        <f ca="1">IF(ListAndConversion!BY281&lt;&gt;"-",ListAndConversion!BY281,"")</f>
        <v/>
      </c>
      <c r="G279" s="565" t="str">
        <f ca="1">IF(ListAndConversion!CB281&lt;&gt;"-",ListAndConversion!CB281,"")</f>
        <v/>
      </c>
      <c r="H279" s="565" t="str">
        <f ca="1">IF(ListAndConversion!CC281&lt;&gt;"-",ListAndConversion!CC281,"")</f>
        <v/>
      </c>
      <c r="I279" s="565" t="str">
        <f ca="1">IF(ListAndConversion!CC281&lt;&gt;"-","Microfuge1","")</f>
        <v/>
      </c>
      <c r="J279" s="583" t="str">
        <f ca="1">IF(ListAndConversion!CD281&lt;&gt;"-",ListAndConversion!CD281,"")</f>
        <v/>
      </c>
      <c r="K279" s="577" t="str">
        <f t="shared" ca="1" si="4"/>
        <v/>
      </c>
    </row>
    <row r="280" spans="1:11" x14ac:dyDescent="0.65">
      <c r="A280" s="554" t="str">
        <f ca="1">IF(OR(LEFT(ListAndConversion!BW282,3)="Dil",LEFT(ListAndConversion!BW282,3)="Poo"),ListAndConversion!$BT$4,IF(LEFT(ListAndConversion!BW282,3)="Sou",INDEX(ListAndConversion!$AT$4:$AV$387,MATCH(ListAndConversion!BV282,ListAndConversion!$AV$4:$AV$387,0),1),""))</f>
        <v/>
      </c>
      <c r="B280" s="555" t="str">
        <f ca="1">IF(OR(LEFT(ListAndConversion!BW282,3)="Dil",LEFT(ListAndConversion!BW282,3)="Poo"),ListAndConversion!BU282,IF(LEFT(ListAndConversion!BW282,3)="Sou",INDEX(ListAndConversion!$AT$4:$AV$387,MATCH(ListAndConversion!BV282,ListAndConversion!$AV$4:$AV$387,0),2),""))</f>
        <v/>
      </c>
      <c r="C280" s="555" t="str">
        <f ca="1">IF(ListAndConversion!BZ282&lt;&gt;"-",ListAndConversion!BZ282,"")</f>
        <v/>
      </c>
      <c r="D280" s="555" t="str">
        <f ca="1">IF(ListAndConversion!BW282&lt;&gt;"-",ListAndConversion!BW282,"")</f>
        <v/>
      </c>
      <c r="E280" s="555" t="str">
        <f ca="1">IF(ListAndConversion!BX282&lt;&gt;"-",ListAndConversion!BX282,"")</f>
        <v/>
      </c>
      <c r="F280" s="565" t="str">
        <f ca="1">IF(ListAndConversion!BY282&lt;&gt;"-",ListAndConversion!BY282,"")</f>
        <v/>
      </c>
      <c r="G280" s="565" t="str">
        <f ca="1">IF(ListAndConversion!CB282&lt;&gt;"-",ListAndConversion!CB282,"")</f>
        <v/>
      </c>
      <c r="H280" s="565" t="str">
        <f ca="1">IF(ListAndConversion!CC282&lt;&gt;"-",ListAndConversion!CC282,"")</f>
        <v/>
      </c>
      <c r="I280" s="565" t="str">
        <f ca="1">IF(ListAndConversion!CC282&lt;&gt;"-","Microfuge1","")</f>
        <v/>
      </c>
      <c r="J280" s="583" t="str">
        <f ca="1">IF(ListAndConversion!CD282&lt;&gt;"-",ListAndConversion!CD282,"")</f>
        <v/>
      </c>
      <c r="K280" s="577" t="str">
        <f t="shared" ca="1" si="4"/>
        <v/>
      </c>
    </row>
    <row r="281" spans="1:11" x14ac:dyDescent="0.65">
      <c r="A281" s="554" t="str">
        <f ca="1">IF(OR(LEFT(ListAndConversion!BW283,3)="Dil",LEFT(ListAndConversion!BW283,3)="Poo"),ListAndConversion!$BT$4,IF(LEFT(ListAndConversion!BW283,3)="Sou",INDEX(ListAndConversion!$AT$4:$AV$387,MATCH(ListAndConversion!BV283,ListAndConversion!$AV$4:$AV$387,0),1),""))</f>
        <v/>
      </c>
      <c r="B281" s="555" t="str">
        <f ca="1">IF(OR(LEFT(ListAndConversion!BW283,3)="Dil",LEFT(ListAndConversion!BW283,3)="Poo"),ListAndConversion!BU283,IF(LEFT(ListAndConversion!BW283,3)="Sou",INDEX(ListAndConversion!$AT$4:$AV$387,MATCH(ListAndConversion!BV283,ListAndConversion!$AV$4:$AV$387,0),2),""))</f>
        <v/>
      </c>
      <c r="C281" s="555" t="str">
        <f ca="1">IF(ListAndConversion!BZ283&lt;&gt;"-",ListAndConversion!BZ283,"")</f>
        <v/>
      </c>
      <c r="D281" s="555" t="str">
        <f ca="1">IF(ListAndConversion!BW283&lt;&gt;"-",ListAndConversion!BW283,"")</f>
        <v/>
      </c>
      <c r="E281" s="555" t="str">
        <f ca="1">IF(ListAndConversion!BX283&lt;&gt;"-",ListAndConversion!BX283,"")</f>
        <v/>
      </c>
      <c r="F281" s="565" t="str">
        <f ca="1">IF(ListAndConversion!BY283&lt;&gt;"-",ListAndConversion!BY283,"")</f>
        <v/>
      </c>
      <c r="G281" s="565" t="str">
        <f ca="1">IF(ListAndConversion!CB283&lt;&gt;"-",ListAndConversion!CB283,"")</f>
        <v/>
      </c>
      <c r="H281" s="565" t="str">
        <f ca="1">IF(ListAndConversion!CC283&lt;&gt;"-",ListAndConversion!CC283,"")</f>
        <v/>
      </c>
      <c r="I281" s="565" t="str">
        <f ca="1">IF(ListAndConversion!CC283&lt;&gt;"-","Microfuge1","")</f>
        <v/>
      </c>
      <c r="J281" s="583" t="str">
        <f ca="1">IF(ListAndConversion!CD283&lt;&gt;"-",ListAndConversion!CD283,"")</f>
        <v/>
      </c>
      <c r="K281" s="577" t="str">
        <f t="shared" ca="1" si="4"/>
        <v/>
      </c>
    </row>
    <row r="282" spans="1:11" x14ac:dyDescent="0.65">
      <c r="A282" s="554" t="str">
        <f ca="1">IF(OR(LEFT(ListAndConversion!BW284,3)="Dil",LEFT(ListAndConversion!BW284,3)="Poo"),ListAndConversion!$BT$4,IF(LEFT(ListAndConversion!BW284,3)="Sou",INDEX(ListAndConversion!$AT$4:$AV$387,MATCH(ListAndConversion!BV284,ListAndConversion!$AV$4:$AV$387,0),1),""))</f>
        <v/>
      </c>
      <c r="B282" s="555" t="str">
        <f ca="1">IF(OR(LEFT(ListAndConversion!BW284,3)="Dil",LEFT(ListAndConversion!BW284,3)="Poo"),ListAndConversion!BU284,IF(LEFT(ListAndConversion!BW284,3)="Sou",INDEX(ListAndConversion!$AT$4:$AV$387,MATCH(ListAndConversion!BV284,ListAndConversion!$AV$4:$AV$387,0),2),""))</f>
        <v/>
      </c>
      <c r="C282" s="555" t="str">
        <f ca="1">IF(ListAndConversion!BZ284&lt;&gt;"-",ListAndConversion!BZ284,"")</f>
        <v/>
      </c>
      <c r="D282" s="555" t="str">
        <f ca="1">IF(ListAndConversion!BW284&lt;&gt;"-",ListAndConversion!BW284,"")</f>
        <v/>
      </c>
      <c r="E282" s="555" t="str">
        <f ca="1">IF(ListAndConversion!BX284&lt;&gt;"-",ListAndConversion!BX284,"")</f>
        <v/>
      </c>
      <c r="F282" s="565" t="str">
        <f ca="1">IF(ListAndConversion!BY284&lt;&gt;"-",ListAndConversion!BY284,"")</f>
        <v/>
      </c>
      <c r="G282" s="565" t="str">
        <f ca="1">IF(ListAndConversion!CB284&lt;&gt;"-",ListAndConversion!CB284,"")</f>
        <v/>
      </c>
      <c r="H282" s="565" t="str">
        <f ca="1">IF(ListAndConversion!CC284&lt;&gt;"-",ListAndConversion!CC284,"")</f>
        <v/>
      </c>
      <c r="I282" s="565" t="str">
        <f ca="1">IF(ListAndConversion!CC284&lt;&gt;"-","Microfuge1","")</f>
        <v/>
      </c>
      <c r="J282" s="583" t="str">
        <f ca="1">IF(ListAndConversion!CD284&lt;&gt;"-",ListAndConversion!CD284,"")</f>
        <v/>
      </c>
      <c r="K282" s="577" t="str">
        <f t="shared" ca="1" si="4"/>
        <v/>
      </c>
    </row>
    <row r="283" spans="1:11" x14ac:dyDescent="0.65">
      <c r="A283" s="554" t="str">
        <f ca="1">IF(OR(LEFT(ListAndConversion!BW285,3)="Dil",LEFT(ListAndConversion!BW285,3)="Poo"),ListAndConversion!$BT$4,IF(LEFT(ListAndConversion!BW285,3)="Sou",INDEX(ListAndConversion!$AT$4:$AV$387,MATCH(ListAndConversion!BV285,ListAndConversion!$AV$4:$AV$387,0),1),""))</f>
        <v/>
      </c>
      <c r="B283" s="555" t="str">
        <f ca="1">IF(OR(LEFT(ListAndConversion!BW285,3)="Dil",LEFT(ListAndConversion!BW285,3)="Poo"),ListAndConversion!BU285,IF(LEFT(ListAndConversion!BW285,3)="Sou",INDEX(ListAndConversion!$AT$4:$AV$387,MATCH(ListAndConversion!BV285,ListAndConversion!$AV$4:$AV$387,0),2),""))</f>
        <v/>
      </c>
      <c r="C283" s="555" t="str">
        <f ca="1">IF(ListAndConversion!BZ285&lt;&gt;"-",ListAndConversion!BZ285,"")</f>
        <v/>
      </c>
      <c r="D283" s="555" t="str">
        <f ca="1">IF(ListAndConversion!BW285&lt;&gt;"-",ListAndConversion!BW285,"")</f>
        <v/>
      </c>
      <c r="E283" s="555" t="str">
        <f ca="1">IF(ListAndConversion!BX285&lt;&gt;"-",ListAndConversion!BX285,"")</f>
        <v/>
      </c>
      <c r="F283" s="565" t="str">
        <f ca="1">IF(ListAndConversion!BY285&lt;&gt;"-",ListAndConversion!BY285,"")</f>
        <v/>
      </c>
      <c r="G283" s="565" t="str">
        <f ca="1">IF(ListAndConversion!CB285&lt;&gt;"-",ListAndConversion!CB285,"")</f>
        <v/>
      </c>
      <c r="H283" s="565" t="str">
        <f ca="1">IF(ListAndConversion!CC285&lt;&gt;"-",ListAndConversion!CC285,"")</f>
        <v/>
      </c>
      <c r="I283" s="565" t="str">
        <f ca="1">IF(ListAndConversion!CC285&lt;&gt;"-","Microfuge1","")</f>
        <v/>
      </c>
      <c r="J283" s="583" t="str">
        <f ca="1">IF(ListAndConversion!CD285&lt;&gt;"-",ListAndConversion!CD285,"")</f>
        <v/>
      </c>
      <c r="K283" s="577" t="str">
        <f t="shared" ca="1" si="4"/>
        <v/>
      </c>
    </row>
    <row r="284" spans="1:11" x14ac:dyDescent="0.65">
      <c r="A284" s="554" t="str">
        <f ca="1">IF(OR(LEFT(ListAndConversion!BW286,3)="Dil",LEFT(ListAndConversion!BW286,3)="Poo"),ListAndConversion!$BT$4,IF(LEFT(ListAndConversion!BW286,3)="Sou",INDEX(ListAndConversion!$AT$4:$AV$387,MATCH(ListAndConversion!BV286,ListAndConversion!$AV$4:$AV$387,0),1),""))</f>
        <v/>
      </c>
      <c r="B284" s="555" t="str">
        <f ca="1">IF(OR(LEFT(ListAndConversion!BW286,3)="Dil",LEFT(ListAndConversion!BW286,3)="Poo"),ListAndConversion!BU286,IF(LEFT(ListAndConversion!BW286,3)="Sou",INDEX(ListAndConversion!$AT$4:$AV$387,MATCH(ListAndConversion!BV286,ListAndConversion!$AV$4:$AV$387,0),2),""))</f>
        <v/>
      </c>
      <c r="C284" s="555" t="str">
        <f ca="1">IF(ListAndConversion!BZ286&lt;&gt;"-",ListAndConversion!BZ286,"")</f>
        <v/>
      </c>
      <c r="D284" s="555" t="str">
        <f ca="1">IF(ListAndConversion!BW286&lt;&gt;"-",ListAndConversion!BW286,"")</f>
        <v/>
      </c>
      <c r="E284" s="555" t="str">
        <f ca="1">IF(ListAndConversion!BX286&lt;&gt;"-",ListAndConversion!BX286,"")</f>
        <v/>
      </c>
      <c r="F284" s="565" t="str">
        <f ca="1">IF(ListAndConversion!BY286&lt;&gt;"-",ListAndConversion!BY286,"")</f>
        <v/>
      </c>
      <c r="G284" s="565" t="str">
        <f ca="1">IF(ListAndConversion!CB286&lt;&gt;"-",ListAndConversion!CB286,"")</f>
        <v/>
      </c>
      <c r="H284" s="565" t="str">
        <f ca="1">IF(ListAndConversion!CC286&lt;&gt;"-",ListAndConversion!CC286,"")</f>
        <v/>
      </c>
      <c r="I284" s="565" t="str">
        <f ca="1">IF(ListAndConversion!CC286&lt;&gt;"-","Microfuge1","")</f>
        <v/>
      </c>
      <c r="J284" s="583" t="str">
        <f ca="1">IF(ListAndConversion!CD286&lt;&gt;"-",ListAndConversion!CD286,"")</f>
        <v/>
      </c>
      <c r="K284" s="577" t="str">
        <f t="shared" ca="1" si="4"/>
        <v/>
      </c>
    </row>
    <row r="285" spans="1:11" x14ac:dyDescent="0.65">
      <c r="A285" s="554" t="str">
        <f ca="1">IF(OR(LEFT(ListAndConversion!BW287,3)="Dil",LEFT(ListAndConversion!BW287,3)="Poo"),ListAndConversion!$BT$4,IF(LEFT(ListAndConversion!BW287,3)="Sou",INDEX(ListAndConversion!$AT$4:$AV$387,MATCH(ListAndConversion!BV287,ListAndConversion!$AV$4:$AV$387,0),1),""))</f>
        <v/>
      </c>
      <c r="B285" s="555" t="str">
        <f ca="1">IF(OR(LEFT(ListAndConversion!BW287,3)="Dil",LEFT(ListAndConversion!BW287,3)="Poo"),ListAndConversion!BU287,IF(LEFT(ListAndConversion!BW287,3)="Sou",INDEX(ListAndConversion!$AT$4:$AV$387,MATCH(ListAndConversion!BV287,ListAndConversion!$AV$4:$AV$387,0),2),""))</f>
        <v/>
      </c>
      <c r="C285" s="555" t="str">
        <f ca="1">IF(ListAndConversion!BZ287&lt;&gt;"-",ListAndConversion!BZ287,"")</f>
        <v/>
      </c>
      <c r="D285" s="555" t="str">
        <f ca="1">IF(ListAndConversion!BW287&lt;&gt;"-",ListAndConversion!BW287,"")</f>
        <v/>
      </c>
      <c r="E285" s="555" t="str">
        <f ca="1">IF(ListAndConversion!BX287&lt;&gt;"-",ListAndConversion!BX287,"")</f>
        <v/>
      </c>
      <c r="F285" s="565" t="str">
        <f ca="1">IF(ListAndConversion!BY287&lt;&gt;"-",ListAndConversion!BY287,"")</f>
        <v/>
      </c>
      <c r="G285" s="565" t="str">
        <f ca="1">IF(ListAndConversion!CB287&lt;&gt;"-",ListAndConversion!CB287,"")</f>
        <v/>
      </c>
      <c r="H285" s="565" t="str">
        <f ca="1">IF(ListAndConversion!CC287&lt;&gt;"-",ListAndConversion!CC287,"")</f>
        <v/>
      </c>
      <c r="I285" s="565" t="str">
        <f ca="1">IF(ListAndConversion!CC287&lt;&gt;"-","Microfuge1","")</f>
        <v/>
      </c>
      <c r="J285" s="583" t="str">
        <f ca="1">IF(ListAndConversion!CD287&lt;&gt;"-",ListAndConversion!CD287,"")</f>
        <v/>
      </c>
      <c r="K285" s="577" t="str">
        <f t="shared" ca="1" si="4"/>
        <v/>
      </c>
    </row>
    <row r="286" spans="1:11" x14ac:dyDescent="0.65">
      <c r="A286" s="554" t="str">
        <f ca="1">IF(OR(LEFT(ListAndConversion!BW288,3)="Dil",LEFT(ListAndConversion!BW288,3)="Poo"),ListAndConversion!$BT$4,IF(LEFT(ListAndConversion!BW288,3)="Sou",INDEX(ListAndConversion!$AT$4:$AV$387,MATCH(ListAndConversion!BV288,ListAndConversion!$AV$4:$AV$387,0),1),""))</f>
        <v/>
      </c>
      <c r="B286" s="555" t="str">
        <f ca="1">IF(OR(LEFT(ListAndConversion!BW288,3)="Dil",LEFT(ListAndConversion!BW288,3)="Poo"),ListAndConversion!BU288,IF(LEFT(ListAndConversion!BW288,3)="Sou",INDEX(ListAndConversion!$AT$4:$AV$387,MATCH(ListAndConversion!BV288,ListAndConversion!$AV$4:$AV$387,0),2),""))</f>
        <v/>
      </c>
      <c r="C286" s="555" t="str">
        <f ca="1">IF(ListAndConversion!BZ288&lt;&gt;"-",ListAndConversion!BZ288,"")</f>
        <v/>
      </c>
      <c r="D286" s="555" t="str">
        <f ca="1">IF(ListAndConversion!BW288&lt;&gt;"-",ListAndConversion!BW288,"")</f>
        <v/>
      </c>
      <c r="E286" s="555" t="str">
        <f ca="1">IF(ListAndConversion!BX288&lt;&gt;"-",ListAndConversion!BX288,"")</f>
        <v/>
      </c>
      <c r="F286" s="565" t="str">
        <f ca="1">IF(ListAndConversion!BY288&lt;&gt;"-",ListAndConversion!BY288,"")</f>
        <v/>
      </c>
      <c r="G286" s="565" t="str">
        <f ca="1">IF(ListAndConversion!CB288&lt;&gt;"-",ListAndConversion!CB288,"")</f>
        <v/>
      </c>
      <c r="H286" s="565" t="str">
        <f ca="1">IF(ListAndConversion!CC288&lt;&gt;"-",ListAndConversion!CC288,"")</f>
        <v/>
      </c>
      <c r="I286" s="565" t="str">
        <f ca="1">IF(ListAndConversion!CC288&lt;&gt;"-","Microfuge1","")</f>
        <v/>
      </c>
      <c r="J286" s="583" t="str">
        <f ca="1">IF(ListAndConversion!CD288&lt;&gt;"-",ListAndConversion!CD288,"")</f>
        <v/>
      </c>
      <c r="K286" s="577" t="str">
        <f t="shared" ca="1" si="4"/>
        <v/>
      </c>
    </row>
    <row r="287" spans="1:11" x14ac:dyDescent="0.65">
      <c r="A287" s="554" t="str">
        <f ca="1">IF(OR(LEFT(ListAndConversion!BW289,3)="Dil",LEFT(ListAndConversion!BW289,3)="Poo"),ListAndConversion!$BT$4,IF(LEFT(ListAndConversion!BW289,3)="Sou",INDEX(ListAndConversion!$AT$4:$AV$387,MATCH(ListAndConversion!BV289,ListAndConversion!$AV$4:$AV$387,0),1),""))</f>
        <v/>
      </c>
      <c r="B287" s="555" t="str">
        <f ca="1">IF(OR(LEFT(ListAndConversion!BW289,3)="Dil",LEFT(ListAndConversion!BW289,3)="Poo"),ListAndConversion!BU289,IF(LEFT(ListAndConversion!BW289,3)="Sou",INDEX(ListAndConversion!$AT$4:$AV$387,MATCH(ListAndConversion!BV289,ListAndConversion!$AV$4:$AV$387,0),2),""))</f>
        <v/>
      </c>
      <c r="C287" s="555" t="str">
        <f ca="1">IF(ListAndConversion!BZ289&lt;&gt;"-",ListAndConversion!BZ289,"")</f>
        <v/>
      </c>
      <c r="D287" s="555" t="str">
        <f ca="1">IF(ListAndConversion!BW289&lt;&gt;"-",ListAndConversion!BW289,"")</f>
        <v/>
      </c>
      <c r="E287" s="555" t="str">
        <f ca="1">IF(ListAndConversion!BX289&lt;&gt;"-",ListAndConversion!BX289,"")</f>
        <v/>
      </c>
      <c r="F287" s="565" t="str">
        <f ca="1">IF(ListAndConversion!BY289&lt;&gt;"-",ListAndConversion!BY289,"")</f>
        <v/>
      </c>
      <c r="G287" s="565" t="str">
        <f ca="1">IF(ListAndConversion!CB289&lt;&gt;"-",ListAndConversion!CB289,"")</f>
        <v/>
      </c>
      <c r="H287" s="565" t="str">
        <f ca="1">IF(ListAndConversion!CC289&lt;&gt;"-",ListAndConversion!CC289,"")</f>
        <v/>
      </c>
      <c r="I287" s="565" t="str">
        <f ca="1">IF(ListAndConversion!CC289&lt;&gt;"-","Microfuge1","")</f>
        <v/>
      </c>
      <c r="J287" s="583" t="str">
        <f ca="1">IF(ListAndConversion!CD289&lt;&gt;"-",ListAndConversion!CD289,"")</f>
        <v/>
      </c>
      <c r="K287" s="577" t="str">
        <f t="shared" ca="1" si="4"/>
        <v/>
      </c>
    </row>
    <row r="288" spans="1:11" x14ac:dyDescent="0.65">
      <c r="A288" s="554" t="str">
        <f ca="1">IF(OR(LEFT(ListAndConversion!BW290,3)="Dil",LEFT(ListAndConversion!BW290,3)="Poo"),ListAndConversion!$BT$4,IF(LEFT(ListAndConversion!BW290,3)="Sou",INDEX(ListAndConversion!$AT$4:$AV$387,MATCH(ListAndConversion!BV290,ListAndConversion!$AV$4:$AV$387,0),1),""))</f>
        <v/>
      </c>
      <c r="B288" s="555" t="str">
        <f ca="1">IF(OR(LEFT(ListAndConversion!BW290,3)="Dil",LEFT(ListAndConversion!BW290,3)="Poo"),ListAndConversion!BU290,IF(LEFT(ListAndConversion!BW290,3)="Sou",INDEX(ListAndConversion!$AT$4:$AV$387,MATCH(ListAndConversion!BV290,ListAndConversion!$AV$4:$AV$387,0),2),""))</f>
        <v/>
      </c>
      <c r="C288" s="555" t="str">
        <f ca="1">IF(ListAndConversion!BZ290&lt;&gt;"-",ListAndConversion!BZ290,"")</f>
        <v/>
      </c>
      <c r="D288" s="555" t="str">
        <f ca="1">IF(ListAndConversion!BW290&lt;&gt;"-",ListAndConversion!BW290,"")</f>
        <v/>
      </c>
      <c r="E288" s="555" t="str">
        <f ca="1">IF(ListAndConversion!BX290&lt;&gt;"-",ListAndConversion!BX290,"")</f>
        <v/>
      </c>
      <c r="F288" s="565" t="str">
        <f ca="1">IF(ListAndConversion!BY290&lt;&gt;"-",ListAndConversion!BY290,"")</f>
        <v/>
      </c>
      <c r="G288" s="565" t="str">
        <f ca="1">IF(ListAndConversion!CB290&lt;&gt;"-",ListAndConversion!CB290,"")</f>
        <v/>
      </c>
      <c r="H288" s="565" t="str">
        <f ca="1">IF(ListAndConversion!CC290&lt;&gt;"-",ListAndConversion!CC290,"")</f>
        <v/>
      </c>
      <c r="I288" s="565" t="str">
        <f ca="1">IF(ListAndConversion!CC290&lt;&gt;"-","Microfuge1","")</f>
        <v/>
      </c>
      <c r="J288" s="583" t="str">
        <f ca="1">IF(ListAndConversion!CD290&lt;&gt;"-",ListAndConversion!CD290,"")</f>
        <v/>
      </c>
      <c r="K288" s="577" t="str">
        <f t="shared" ca="1" si="4"/>
        <v/>
      </c>
    </row>
    <row r="289" spans="1:11" x14ac:dyDescent="0.65">
      <c r="A289" s="554" t="str">
        <f ca="1">IF(OR(LEFT(ListAndConversion!BW291,3)="Dil",LEFT(ListAndConversion!BW291,3)="Poo"),ListAndConversion!$BT$4,IF(LEFT(ListAndConversion!BW291,3)="Sou",INDEX(ListAndConversion!$AT$4:$AV$387,MATCH(ListAndConversion!BV291,ListAndConversion!$AV$4:$AV$387,0),1),""))</f>
        <v/>
      </c>
      <c r="B289" s="555" t="str">
        <f ca="1">IF(OR(LEFT(ListAndConversion!BW291,3)="Dil",LEFT(ListAndConversion!BW291,3)="Poo"),ListAndConversion!BU291,IF(LEFT(ListAndConversion!BW291,3)="Sou",INDEX(ListAndConversion!$AT$4:$AV$387,MATCH(ListAndConversion!BV291,ListAndConversion!$AV$4:$AV$387,0),2),""))</f>
        <v/>
      </c>
      <c r="C289" s="555" t="str">
        <f ca="1">IF(ListAndConversion!BZ291&lt;&gt;"-",ListAndConversion!BZ291,"")</f>
        <v/>
      </c>
      <c r="D289" s="555" t="str">
        <f ca="1">IF(ListAndConversion!BW291&lt;&gt;"-",ListAndConversion!BW291,"")</f>
        <v/>
      </c>
      <c r="E289" s="555" t="str">
        <f ca="1">IF(ListAndConversion!BX291&lt;&gt;"-",ListAndConversion!BX291,"")</f>
        <v/>
      </c>
      <c r="F289" s="565" t="str">
        <f ca="1">IF(ListAndConversion!BY291&lt;&gt;"-",ListAndConversion!BY291,"")</f>
        <v/>
      </c>
      <c r="G289" s="565" t="str">
        <f ca="1">IF(ListAndConversion!CB291&lt;&gt;"-",ListAndConversion!CB291,"")</f>
        <v/>
      </c>
      <c r="H289" s="565" t="str">
        <f ca="1">IF(ListAndConversion!CC291&lt;&gt;"-",ListAndConversion!CC291,"")</f>
        <v/>
      </c>
      <c r="I289" s="565" t="str">
        <f ca="1">IF(ListAndConversion!CC291&lt;&gt;"-","Microfuge1","")</f>
        <v/>
      </c>
      <c r="J289" s="583" t="str">
        <f ca="1">IF(ListAndConversion!CD291&lt;&gt;"-",ListAndConversion!CD291,"")</f>
        <v/>
      </c>
      <c r="K289" s="577" t="str">
        <f t="shared" ca="1" si="4"/>
        <v/>
      </c>
    </row>
    <row r="290" spans="1:11" x14ac:dyDescent="0.65">
      <c r="A290" s="554" t="str">
        <f ca="1">IF(OR(LEFT(ListAndConversion!BW292,3)="Dil",LEFT(ListAndConversion!BW292,3)="Poo"),ListAndConversion!$BT$4,IF(LEFT(ListAndConversion!BW292,3)="Sou",INDEX(ListAndConversion!$AT$4:$AV$387,MATCH(ListAndConversion!BV292,ListAndConversion!$AV$4:$AV$387,0),1),""))</f>
        <v/>
      </c>
      <c r="B290" s="555" t="str">
        <f ca="1">IF(OR(LEFT(ListAndConversion!BW292,3)="Dil",LEFT(ListAndConversion!BW292,3)="Poo"),ListAndConversion!BU292,IF(LEFT(ListAndConversion!BW292,3)="Sou",INDEX(ListAndConversion!$AT$4:$AV$387,MATCH(ListAndConversion!BV292,ListAndConversion!$AV$4:$AV$387,0),2),""))</f>
        <v/>
      </c>
      <c r="C290" s="555" t="str">
        <f ca="1">IF(ListAndConversion!BZ292&lt;&gt;"-",ListAndConversion!BZ292,"")</f>
        <v/>
      </c>
      <c r="D290" s="555" t="str">
        <f ca="1">IF(ListAndConversion!BW292&lt;&gt;"-",ListAndConversion!BW292,"")</f>
        <v/>
      </c>
      <c r="E290" s="555" t="str">
        <f ca="1">IF(ListAndConversion!BX292&lt;&gt;"-",ListAndConversion!BX292,"")</f>
        <v/>
      </c>
      <c r="F290" s="565" t="str">
        <f ca="1">IF(ListAndConversion!BY292&lt;&gt;"-",ListAndConversion!BY292,"")</f>
        <v/>
      </c>
      <c r="G290" s="565" t="str">
        <f ca="1">IF(ListAndConversion!CB292&lt;&gt;"-",ListAndConversion!CB292,"")</f>
        <v/>
      </c>
      <c r="H290" s="565" t="str">
        <f ca="1">IF(ListAndConversion!CC292&lt;&gt;"-",ListAndConversion!CC292,"")</f>
        <v/>
      </c>
      <c r="I290" s="565" t="str">
        <f ca="1">IF(ListAndConversion!CC292&lt;&gt;"-","Microfuge1","")</f>
        <v/>
      </c>
      <c r="J290" s="583" t="str">
        <f ca="1">IF(ListAndConversion!CD292&lt;&gt;"-",ListAndConversion!CD292,"")</f>
        <v/>
      </c>
      <c r="K290" s="577" t="str">
        <f t="shared" ca="1" si="4"/>
        <v/>
      </c>
    </row>
    <row r="291" spans="1:11" x14ac:dyDescent="0.65">
      <c r="A291" s="554" t="str">
        <f ca="1">IF(OR(LEFT(ListAndConversion!BW293,3)="Dil",LEFT(ListAndConversion!BW293,3)="Poo"),ListAndConversion!$BT$4,IF(LEFT(ListAndConversion!BW293,3)="Sou",INDEX(ListAndConversion!$AT$4:$AV$387,MATCH(ListAndConversion!BV293,ListAndConversion!$AV$4:$AV$387,0),1),""))</f>
        <v/>
      </c>
      <c r="B291" s="555" t="str">
        <f ca="1">IF(OR(LEFT(ListAndConversion!BW293,3)="Dil",LEFT(ListAndConversion!BW293,3)="Poo"),ListAndConversion!BU293,IF(LEFT(ListAndConversion!BW293,3)="Sou",INDEX(ListAndConversion!$AT$4:$AV$387,MATCH(ListAndConversion!BV293,ListAndConversion!$AV$4:$AV$387,0),2),""))</f>
        <v/>
      </c>
      <c r="C291" s="555" t="str">
        <f ca="1">IF(ListAndConversion!BZ293&lt;&gt;"-",ListAndConversion!BZ293,"")</f>
        <v/>
      </c>
      <c r="D291" s="555" t="str">
        <f ca="1">IF(ListAndConversion!BW293&lt;&gt;"-",ListAndConversion!BW293,"")</f>
        <v/>
      </c>
      <c r="E291" s="555" t="str">
        <f ca="1">IF(ListAndConversion!BX293&lt;&gt;"-",ListAndConversion!BX293,"")</f>
        <v/>
      </c>
      <c r="F291" s="565" t="str">
        <f ca="1">IF(ListAndConversion!BY293&lt;&gt;"-",ListAndConversion!BY293,"")</f>
        <v/>
      </c>
      <c r="G291" s="565" t="str">
        <f ca="1">IF(ListAndConversion!CB293&lt;&gt;"-",ListAndConversion!CB293,"")</f>
        <v/>
      </c>
      <c r="H291" s="565" t="str">
        <f ca="1">IF(ListAndConversion!CC293&lt;&gt;"-",ListAndConversion!CC293,"")</f>
        <v/>
      </c>
      <c r="I291" s="565" t="str">
        <f ca="1">IF(ListAndConversion!CC293&lt;&gt;"-","Microfuge1","")</f>
        <v/>
      </c>
      <c r="J291" s="583" t="str">
        <f ca="1">IF(ListAndConversion!CD293&lt;&gt;"-",ListAndConversion!CD293,"")</f>
        <v/>
      </c>
      <c r="K291" s="577" t="str">
        <f t="shared" ca="1" si="4"/>
        <v/>
      </c>
    </row>
    <row r="292" spans="1:11" x14ac:dyDescent="0.65">
      <c r="A292" s="554" t="str">
        <f ca="1">IF(OR(LEFT(ListAndConversion!BW294,3)="Dil",LEFT(ListAndConversion!BW294,3)="Poo"),ListAndConversion!$BT$4,IF(LEFT(ListAndConversion!BW294,3)="Sou",INDEX(ListAndConversion!$AT$4:$AV$387,MATCH(ListAndConversion!BV294,ListAndConversion!$AV$4:$AV$387,0),1),""))</f>
        <v/>
      </c>
      <c r="B292" s="555" t="str">
        <f ca="1">IF(OR(LEFT(ListAndConversion!BW294,3)="Dil",LEFT(ListAndConversion!BW294,3)="Poo"),ListAndConversion!BU294,IF(LEFT(ListAndConversion!BW294,3)="Sou",INDEX(ListAndConversion!$AT$4:$AV$387,MATCH(ListAndConversion!BV294,ListAndConversion!$AV$4:$AV$387,0),2),""))</f>
        <v/>
      </c>
      <c r="C292" s="555" t="str">
        <f ca="1">IF(ListAndConversion!BZ294&lt;&gt;"-",ListAndConversion!BZ294,"")</f>
        <v/>
      </c>
      <c r="D292" s="555" t="str">
        <f ca="1">IF(ListAndConversion!BW294&lt;&gt;"-",ListAndConversion!BW294,"")</f>
        <v/>
      </c>
      <c r="E292" s="555" t="str">
        <f ca="1">IF(ListAndConversion!BX294&lt;&gt;"-",ListAndConversion!BX294,"")</f>
        <v/>
      </c>
      <c r="F292" s="565" t="str">
        <f ca="1">IF(ListAndConversion!BY294&lt;&gt;"-",ListAndConversion!BY294,"")</f>
        <v/>
      </c>
      <c r="G292" s="565" t="str">
        <f ca="1">IF(ListAndConversion!CB294&lt;&gt;"-",ListAndConversion!CB294,"")</f>
        <v/>
      </c>
      <c r="H292" s="565" t="str">
        <f ca="1">IF(ListAndConversion!CC294&lt;&gt;"-",ListAndConversion!CC294,"")</f>
        <v/>
      </c>
      <c r="I292" s="565" t="str">
        <f ca="1">IF(ListAndConversion!CC294&lt;&gt;"-","Microfuge1","")</f>
        <v/>
      </c>
      <c r="J292" s="583" t="str">
        <f ca="1">IF(ListAndConversion!CD294&lt;&gt;"-",ListAndConversion!CD294,"")</f>
        <v/>
      </c>
      <c r="K292" s="577" t="str">
        <f t="shared" ca="1" si="4"/>
        <v/>
      </c>
    </row>
    <row r="293" spans="1:11" x14ac:dyDescent="0.65">
      <c r="A293" s="554" t="str">
        <f ca="1">IF(OR(LEFT(ListAndConversion!BW295,3)="Dil",LEFT(ListAndConversion!BW295,3)="Poo"),ListAndConversion!$BT$4,IF(LEFT(ListAndConversion!BW295,3)="Sou",INDEX(ListAndConversion!$AT$4:$AV$387,MATCH(ListAndConversion!BV295,ListAndConversion!$AV$4:$AV$387,0),1),""))</f>
        <v/>
      </c>
      <c r="B293" s="555" t="str">
        <f ca="1">IF(OR(LEFT(ListAndConversion!BW295,3)="Dil",LEFT(ListAndConversion!BW295,3)="Poo"),ListAndConversion!BU295,IF(LEFT(ListAndConversion!BW295,3)="Sou",INDEX(ListAndConversion!$AT$4:$AV$387,MATCH(ListAndConversion!BV295,ListAndConversion!$AV$4:$AV$387,0),2),""))</f>
        <v/>
      </c>
      <c r="C293" s="555" t="str">
        <f ca="1">IF(ListAndConversion!BZ295&lt;&gt;"-",ListAndConversion!BZ295,"")</f>
        <v/>
      </c>
      <c r="D293" s="555" t="str">
        <f ca="1">IF(ListAndConversion!BW295&lt;&gt;"-",ListAndConversion!BW295,"")</f>
        <v/>
      </c>
      <c r="E293" s="555" t="str">
        <f ca="1">IF(ListAndConversion!BX295&lt;&gt;"-",ListAndConversion!BX295,"")</f>
        <v/>
      </c>
      <c r="F293" s="565" t="str">
        <f ca="1">IF(ListAndConversion!BY295&lt;&gt;"-",ListAndConversion!BY295,"")</f>
        <v/>
      </c>
      <c r="G293" s="565" t="str">
        <f ca="1">IF(ListAndConversion!CB295&lt;&gt;"-",ListAndConversion!CB295,"")</f>
        <v/>
      </c>
      <c r="H293" s="565" t="str">
        <f ca="1">IF(ListAndConversion!CC295&lt;&gt;"-",ListAndConversion!CC295,"")</f>
        <v/>
      </c>
      <c r="I293" s="565" t="str">
        <f ca="1">IF(ListAndConversion!CC295&lt;&gt;"-","Microfuge1","")</f>
        <v/>
      </c>
      <c r="J293" s="583" t="str">
        <f ca="1">IF(ListAndConversion!CD295&lt;&gt;"-",ListAndConversion!CD295,"")</f>
        <v/>
      </c>
      <c r="K293" s="577" t="str">
        <f t="shared" ca="1" si="4"/>
        <v/>
      </c>
    </row>
    <row r="294" spans="1:11" x14ac:dyDescent="0.65">
      <c r="A294" s="554" t="str">
        <f ca="1">IF(OR(LEFT(ListAndConversion!BW296,3)="Dil",LEFT(ListAndConversion!BW296,3)="Poo"),ListAndConversion!$BT$4,IF(LEFT(ListAndConversion!BW296,3)="Sou",INDEX(ListAndConversion!$AT$4:$AV$387,MATCH(ListAndConversion!BV296,ListAndConversion!$AV$4:$AV$387,0),1),""))</f>
        <v/>
      </c>
      <c r="B294" s="555" t="str">
        <f ca="1">IF(OR(LEFT(ListAndConversion!BW296,3)="Dil",LEFT(ListAndConversion!BW296,3)="Poo"),ListAndConversion!BU296,IF(LEFT(ListAndConversion!BW296,3)="Sou",INDEX(ListAndConversion!$AT$4:$AV$387,MATCH(ListAndConversion!BV296,ListAndConversion!$AV$4:$AV$387,0),2),""))</f>
        <v/>
      </c>
      <c r="C294" s="555" t="str">
        <f ca="1">IF(ListAndConversion!BZ296&lt;&gt;"-",ListAndConversion!BZ296,"")</f>
        <v/>
      </c>
      <c r="D294" s="555" t="str">
        <f ca="1">IF(ListAndConversion!BW296&lt;&gt;"-",ListAndConversion!BW296,"")</f>
        <v/>
      </c>
      <c r="E294" s="555" t="str">
        <f ca="1">IF(ListAndConversion!BX296&lt;&gt;"-",ListAndConversion!BX296,"")</f>
        <v/>
      </c>
      <c r="F294" s="565" t="str">
        <f ca="1">IF(ListAndConversion!BY296&lt;&gt;"-",ListAndConversion!BY296,"")</f>
        <v/>
      </c>
      <c r="G294" s="565" t="str">
        <f ca="1">IF(ListAndConversion!CB296&lt;&gt;"-",ListAndConversion!CB296,"")</f>
        <v/>
      </c>
      <c r="H294" s="565" t="str">
        <f ca="1">IF(ListAndConversion!CC296&lt;&gt;"-",ListAndConversion!CC296,"")</f>
        <v/>
      </c>
      <c r="I294" s="565" t="str">
        <f ca="1">IF(ListAndConversion!CC296&lt;&gt;"-","Microfuge1","")</f>
        <v/>
      </c>
      <c r="J294" s="583" t="str">
        <f ca="1">IF(ListAndConversion!CD296&lt;&gt;"-",ListAndConversion!CD296,"")</f>
        <v/>
      </c>
      <c r="K294" s="577" t="str">
        <f t="shared" ca="1" si="4"/>
        <v/>
      </c>
    </row>
    <row r="295" spans="1:11" x14ac:dyDescent="0.65">
      <c r="A295" s="554" t="str">
        <f ca="1">IF(OR(LEFT(ListAndConversion!BW297,3)="Dil",LEFT(ListAndConversion!BW297,3)="Poo"),ListAndConversion!$BT$4,IF(LEFT(ListAndConversion!BW297,3)="Sou",INDEX(ListAndConversion!$AT$4:$AV$387,MATCH(ListAndConversion!BV297,ListAndConversion!$AV$4:$AV$387,0),1),""))</f>
        <v/>
      </c>
      <c r="B295" s="555" t="str">
        <f ca="1">IF(OR(LEFT(ListAndConversion!BW297,3)="Dil",LEFT(ListAndConversion!BW297,3)="Poo"),ListAndConversion!BU297,IF(LEFT(ListAndConversion!BW297,3)="Sou",INDEX(ListAndConversion!$AT$4:$AV$387,MATCH(ListAndConversion!BV297,ListAndConversion!$AV$4:$AV$387,0),2),""))</f>
        <v/>
      </c>
      <c r="C295" s="555" t="str">
        <f ca="1">IF(ListAndConversion!BZ297&lt;&gt;"-",ListAndConversion!BZ297,"")</f>
        <v/>
      </c>
      <c r="D295" s="555" t="str">
        <f ca="1">IF(ListAndConversion!BW297&lt;&gt;"-",ListAndConversion!BW297,"")</f>
        <v/>
      </c>
      <c r="E295" s="555" t="str">
        <f ca="1">IF(ListAndConversion!BX297&lt;&gt;"-",ListAndConversion!BX297,"")</f>
        <v/>
      </c>
      <c r="F295" s="565" t="str">
        <f ca="1">IF(ListAndConversion!BY297&lt;&gt;"-",ListAndConversion!BY297,"")</f>
        <v/>
      </c>
      <c r="G295" s="565" t="str">
        <f ca="1">IF(ListAndConversion!CB297&lt;&gt;"-",ListAndConversion!CB297,"")</f>
        <v/>
      </c>
      <c r="H295" s="565" t="str">
        <f ca="1">IF(ListAndConversion!CC297&lt;&gt;"-",ListAndConversion!CC297,"")</f>
        <v/>
      </c>
      <c r="I295" s="565" t="str">
        <f ca="1">IF(ListAndConversion!CC297&lt;&gt;"-","Microfuge1","")</f>
        <v/>
      </c>
      <c r="J295" s="583" t="str">
        <f ca="1">IF(ListAndConversion!CD297&lt;&gt;"-",ListAndConversion!CD297,"")</f>
        <v/>
      </c>
      <c r="K295" s="577" t="str">
        <f t="shared" ca="1" si="4"/>
        <v/>
      </c>
    </row>
    <row r="296" spans="1:11" x14ac:dyDescent="0.65">
      <c r="A296" s="554" t="str">
        <f ca="1">IF(OR(LEFT(ListAndConversion!BW298,3)="Dil",LEFT(ListAndConversion!BW298,3)="Poo"),ListAndConversion!$BT$4,IF(LEFT(ListAndConversion!BW298,3)="Sou",INDEX(ListAndConversion!$AT$4:$AV$387,MATCH(ListAndConversion!BV298,ListAndConversion!$AV$4:$AV$387,0),1),""))</f>
        <v/>
      </c>
      <c r="B296" s="555" t="str">
        <f ca="1">IF(OR(LEFT(ListAndConversion!BW298,3)="Dil",LEFT(ListAndConversion!BW298,3)="Poo"),ListAndConversion!BU298,IF(LEFT(ListAndConversion!BW298,3)="Sou",INDEX(ListAndConversion!$AT$4:$AV$387,MATCH(ListAndConversion!BV298,ListAndConversion!$AV$4:$AV$387,0),2),""))</f>
        <v/>
      </c>
      <c r="C296" s="555" t="str">
        <f ca="1">IF(ListAndConversion!BZ298&lt;&gt;"-",ListAndConversion!BZ298,"")</f>
        <v/>
      </c>
      <c r="D296" s="555" t="str">
        <f ca="1">IF(ListAndConversion!BW298&lt;&gt;"-",ListAndConversion!BW298,"")</f>
        <v/>
      </c>
      <c r="E296" s="555" t="str">
        <f ca="1">IF(ListAndConversion!BX298&lt;&gt;"-",ListAndConversion!BX298,"")</f>
        <v/>
      </c>
      <c r="F296" s="565" t="str">
        <f ca="1">IF(ListAndConversion!BY298&lt;&gt;"-",ListAndConversion!BY298,"")</f>
        <v/>
      </c>
      <c r="G296" s="565" t="str">
        <f ca="1">IF(ListAndConversion!CB298&lt;&gt;"-",ListAndConversion!CB298,"")</f>
        <v/>
      </c>
      <c r="H296" s="565" t="str">
        <f ca="1">IF(ListAndConversion!CC298&lt;&gt;"-",ListAndConversion!CC298,"")</f>
        <v/>
      </c>
      <c r="I296" s="565" t="str">
        <f ca="1">IF(ListAndConversion!CC298&lt;&gt;"-","Microfuge1","")</f>
        <v/>
      </c>
      <c r="J296" s="583" t="str">
        <f ca="1">IF(ListAndConversion!CD298&lt;&gt;"-",ListAndConversion!CD298,"")</f>
        <v/>
      </c>
      <c r="K296" s="577" t="str">
        <f t="shared" ca="1" si="4"/>
        <v/>
      </c>
    </row>
    <row r="297" spans="1:11" x14ac:dyDescent="0.65">
      <c r="A297" s="554" t="str">
        <f ca="1">IF(OR(LEFT(ListAndConversion!BW299,3)="Dil",LEFT(ListAndConversion!BW299,3)="Poo"),ListAndConversion!$BT$4,IF(LEFT(ListAndConversion!BW299,3)="Sou",INDEX(ListAndConversion!$AT$4:$AV$387,MATCH(ListAndConversion!BV299,ListAndConversion!$AV$4:$AV$387,0),1),""))</f>
        <v/>
      </c>
      <c r="B297" s="555" t="str">
        <f ca="1">IF(OR(LEFT(ListAndConversion!BW299,3)="Dil",LEFT(ListAndConversion!BW299,3)="Poo"),ListAndConversion!BU299,IF(LEFT(ListAndConversion!BW299,3)="Sou",INDEX(ListAndConversion!$AT$4:$AV$387,MATCH(ListAndConversion!BV299,ListAndConversion!$AV$4:$AV$387,0),2),""))</f>
        <v/>
      </c>
      <c r="C297" s="555" t="str">
        <f ca="1">IF(ListAndConversion!BZ299&lt;&gt;"-",ListAndConversion!BZ299,"")</f>
        <v/>
      </c>
      <c r="D297" s="555" t="str">
        <f ca="1">IF(ListAndConversion!BW299&lt;&gt;"-",ListAndConversion!BW299,"")</f>
        <v/>
      </c>
      <c r="E297" s="555" t="str">
        <f ca="1">IF(ListAndConversion!BX299&lt;&gt;"-",ListAndConversion!BX299,"")</f>
        <v/>
      </c>
      <c r="F297" s="565" t="str">
        <f ca="1">IF(ListAndConversion!BY299&lt;&gt;"-",ListAndConversion!BY299,"")</f>
        <v/>
      </c>
      <c r="G297" s="565" t="str">
        <f ca="1">IF(ListAndConversion!CB299&lt;&gt;"-",ListAndConversion!CB299,"")</f>
        <v/>
      </c>
      <c r="H297" s="565" t="str">
        <f ca="1">IF(ListAndConversion!CC299&lt;&gt;"-",ListAndConversion!CC299,"")</f>
        <v/>
      </c>
      <c r="I297" s="565" t="str">
        <f ca="1">IF(ListAndConversion!CC299&lt;&gt;"-","Microfuge1","")</f>
        <v/>
      </c>
      <c r="J297" s="583" t="str">
        <f ca="1">IF(ListAndConversion!CD299&lt;&gt;"-",ListAndConversion!CD299,"")</f>
        <v/>
      </c>
      <c r="K297" s="577" t="str">
        <f t="shared" ca="1" si="4"/>
        <v/>
      </c>
    </row>
    <row r="298" spans="1:11" x14ac:dyDescent="0.65">
      <c r="A298" s="554" t="str">
        <f ca="1">IF(OR(LEFT(ListAndConversion!BW300,3)="Dil",LEFT(ListAndConversion!BW300,3)="Poo"),ListAndConversion!$BT$4,IF(LEFT(ListAndConversion!BW300,3)="Sou",INDEX(ListAndConversion!$AT$4:$AV$387,MATCH(ListAndConversion!BV300,ListAndConversion!$AV$4:$AV$387,0),1),""))</f>
        <v/>
      </c>
      <c r="B298" s="555" t="str">
        <f ca="1">IF(OR(LEFT(ListAndConversion!BW300,3)="Dil",LEFT(ListAndConversion!BW300,3)="Poo"),ListAndConversion!BU300,IF(LEFT(ListAndConversion!BW300,3)="Sou",INDEX(ListAndConversion!$AT$4:$AV$387,MATCH(ListAndConversion!BV300,ListAndConversion!$AV$4:$AV$387,0),2),""))</f>
        <v/>
      </c>
      <c r="C298" s="555" t="str">
        <f ca="1">IF(ListAndConversion!BZ300&lt;&gt;"-",ListAndConversion!BZ300,"")</f>
        <v/>
      </c>
      <c r="D298" s="555" t="str">
        <f ca="1">IF(ListAndConversion!BW300&lt;&gt;"-",ListAndConversion!BW300,"")</f>
        <v/>
      </c>
      <c r="E298" s="555" t="str">
        <f ca="1">IF(ListAndConversion!BX300&lt;&gt;"-",ListAndConversion!BX300,"")</f>
        <v/>
      </c>
      <c r="F298" s="565" t="str">
        <f ca="1">IF(ListAndConversion!BY300&lt;&gt;"-",ListAndConversion!BY300,"")</f>
        <v/>
      </c>
      <c r="G298" s="565" t="str">
        <f ca="1">IF(ListAndConversion!CB300&lt;&gt;"-",ListAndConversion!CB300,"")</f>
        <v/>
      </c>
      <c r="H298" s="565" t="str">
        <f ca="1">IF(ListAndConversion!CC300&lt;&gt;"-",ListAndConversion!CC300,"")</f>
        <v/>
      </c>
      <c r="I298" s="565" t="str">
        <f ca="1">IF(ListAndConversion!CC300&lt;&gt;"-","Microfuge1","")</f>
        <v/>
      </c>
      <c r="J298" s="583" t="str">
        <f ca="1">IF(ListAndConversion!CD300&lt;&gt;"-",ListAndConversion!CD300,"")</f>
        <v/>
      </c>
      <c r="K298" s="577" t="str">
        <f t="shared" ca="1" si="4"/>
        <v/>
      </c>
    </row>
    <row r="299" spans="1:11" x14ac:dyDescent="0.65">
      <c r="A299" s="554" t="str">
        <f ca="1">IF(OR(LEFT(ListAndConversion!BW301,3)="Dil",LEFT(ListAndConversion!BW301,3)="Poo"),ListAndConversion!$BT$4,IF(LEFT(ListAndConversion!BW301,3)="Sou",INDEX(ListAndConversion!$AT$4:$AV$387,MATCH(ListAndConversion!BV301,ListAndConversion!$AV$4:$AV$387,0),1),""))</f>
        <v/>
      </c>
      <c r="B299" s="555" t="str">
        <f ca="1">IF(OR(LEFT(ListAndConversion!BW301,3)="Dil",LEFT(ListAndConversion!BW301,3)="Poo"),ListAndConversion!BU301,IF(LEFT(ListAndConversion!BW301,3)="Sou",INDEX(ListAndConversion!$AT$4:$AV$387,MATCH(ListAndConversion!BV301,ListAndConversion!$AV$4:$AV$387,0),2),""))</f>
        <v/>
      </c>
      <c r="C299" s="555" t="str">
        <f ca="1">IF(ListAndConversion!BZ301&lt;&gt;"-",ListAndConversion!BZ301,"")</f>
        <v/>
      </c>
      <c r="D299" s="555" t="str">
        <f ca="1">IF(ListAndConversion!BW301&lt;&gt;"-",ListAndConversion!BW301,"")</f>
        <v/>
      </c>
      <c r="E299" s="555" t="str">
        <f ca="1">IF(ListAndConversion!BX301&lt;&gt;"-",ListAndConversion!BX301,"")</f>
        <v/>
      </c>
      <c r="F299" s="565" t="str">
        <f ca="1">IF(ListAndConversion!BY301&lt;&gt;"-",ListAndConversion!BY301,"")</f>
        <v/>
      </c>
      <c r="G299" s="565" t="str">
        <f ca="1">IF(ListAndConversion!CB301&lt;&gt;"-",ListAndConversion!CB301,"")</f>
        <v/>
      </c>
      <c r="H299" s="565" t="str">
        <f ca="1">IF(ListAndConversion!CC301&lt;&gt;"-",ListAndConversion!CC301,"")</f>
        <v/>
      </c>
      <c r="I299" s="565" t="str">
        <f ca="1">IF(ListAndConversion!CC301&lt;&gt;"-","Microfuge1","")</f>
        <v/>
      </c>
      <c r="J299" s="583" t="str">
        <f ca="1">IF(ListAndConversion!CD301&lt;&gt;"-",ListAndConversion!CD301,"")</f>
        <v/>
      </c>
      <c r="K299" s="577" t="str">
        <f t="shared" ca="1" si="4"/>
        <v/>
      </c>
    </row>
    <row r="300" spans="1:11" x14ac:dyDescent="0.65">
      <c r="A300" s="554" t="str">
        <f ca="1">IF(OR(LEFT(ListAndConversion!BW302,3)="Dil",LEFT(ListAndConversion!BW302,3)="Poo"),ListAndConversion!$BT$4,IF(LEFT(ListAndConversion!BW302,3)="Sou",INDEX(ListAndConversion!$AT$4:$AV$387,MATCH(ListAndConversion!BV302,ListAndConversion!$AV$4:$AV$387,0),1),""))</f>
        <v/>
      </c>
      <c r="B300" s="555" t="str">
        <f ca="1">IF(OR(LEFT(ListAndConversion!BW302,3)="Dil",LEFT(ListAndConversion!BW302,3)="Poo"),ListAndConversion!BU302,IF(LEFT(ListAndConversion!BW302,3)="Sou",INDEX(ListAndConversion!$AT$4:$AV$387,MATCH(ListAndConversion!BV302,ListAndConversion!$AV$4:$AV$387,0),2),""))</f>
        <v/>
      </c>
      <c r="C300" s="555" t="str">
        <f ca="1">IF(ListAndConversion!BZ302&lt;&gt;"-",ListAndConversion!BZ302,"")</f>
        <v/>
      </c>
      <c r="D300" s="555" t="str">
        <f ca="1">IF(ListAndConversion!BW302&lt;&gt;"-",ListAndConversion!BW302,"")</f>
        <v/>
      </c>
      <c r="E300" s="555" t="str">
        <f ca="1">IF(ListAndConversion!BX302&lt;&gt;"-",ListAndConversion!BX302,"")</f>
        <v/>
      </c>
      <c r="F300" s="565" t="str">
        <f ca="1">IF(ListAndConversion!BY302&lt;&gt;"-",ListAndConversion!BY302,"")</f>
        <v/>
      </c>
      <c r="G300" s="565" t="str">
        <f ca="1">IF(ListAndConversion!CB302&lt;&gt;"-",ListAndConversion!CB302,"")</f>
        <v/>
      </c>
      <c r="H300" s="565" t="str">
        <f ca="1">IF(ListAndConversion!CC302&lt;&gt;"-",ListAndConversion!CC302,"")</f>
        <v/>
      </c>
      <c r="I300" s="565" t="str">
        <f ca="1">IF(ListAndConversion!CC302&lt;&gt;"-","Microfuge1","")</f>
        <v/>
      </c>
      <c r="J300" s="583" t="str">
        <f ca="1">IF(ListAndConversion!CD302&lt;&gt;"-",ListAndConversion!CD302,"")</f>
        <v/>
      </c>
      <c r="K300" s="577" t="str">
        <f t="shared" ca="1" si="4"/>
        <v/>
      </c>
    </row>
    <row r="301" spans="1:11" x14ac:dyDescent="0.65">
      <c r="A301" s="554" t="str">
        <f ca="1">IF(OR(LEFT(ListAndConversion!BW303,3)="Dil",LEFT(ListAndConversion!BW303,3)="Poo"),ListAndConversion!$BT$4,IF(LEFT(ListAndConversion!BW303,3)="Sou",INDEX(ListAndConversion!$AT$4:$AV$387,MATCH(ListAndConversion!BV303,ListAndConversion!$AV$4:$AV$387,0),1),""))</f>
        <v/>
      </c>
      <c r="B301" s="555" t="str">
        <f ca="1">IF(OR(LEFT(ListAndConversion!BW303,3)="Dil",LEFT(ListAndConversion!BW303,3)="Poo"),ListAndConversion!BU303,IF(LEFT(ListAndConversion!BW303,3)="Sou",INDEX(ListAndConversion!$AT$4:$AV$387,MATCH(ListAndConversion!BV303,ListAndConversion!$AV$4:$AV$387,0),2),""))</f>
        <v/>
      </c>
      <c r="C301" s="555" t="str">
        <f ca="1">IF(ListAndConversion!BZ303&lt;&gt;"-",ListAndConversion!BZ303,"")</f>
        <v/>
      </c>
      <c r="D301" s="555" t="str">
        <f ca="1">IF(ListAndConversion!BW303&lt;&gt;"-",ListAndConversion!BW303,"")</f>
        <v/>
      </c>
      <c r="E301" s="555" t="str">
        <f ca="1">IF(ListAndConversion!BX303&lt;&gt;"-",ListAndConversion!BX303,"")</f>
        <v/>
      </c>
      <c r="F301" s="565" t="str">
        <f ca="1">IF(ListAndConversion!BY303&lt;&gt;"-",ListAndConversion!BY303,"")</f>
        <v/>
      </c>
      <c r="G301" s="565" t="str">
        <f ca="1">IF(ListAndConversion!CB303&lt;&gt;"-",ListAndConversion!CB303,"")</f>
        <v/>
      </c>
      <c r="H301" s="565" t="str">
        <f ca="1">IF(ListAndConversion!CC303&lt;&gt;"-",ListAndConversion!CC303,"")</f>
        <v/>
      </c>
      <c r="I301" s="565" t="str">
        <f ca="1">IF(ListAndConversion!CC303&lt;&gt;"-","Microfuge1","")</f>
        <v/>
      </c>
      <c r="J301" s="583" t="str">
        <f ca="1">IF(ListAndConversion!CD303&lt;&gt;"-",ListAndConversion!CD303,"")</f>
        <v/>
      </c>
      <c r="K301" s="577" t="str">
        <f t="shared" ca="1" si="4"/>
        <v/>
      </c>
    </row>
    <row r="302" spans="1:11" x14ac:dyDescent="0.65">
      <c r="A302" s="554" t="str">
        <f ca="1">IF(OR(LEFT(ListAndConversion!BW304,3)="Dil",LEFT(ListAndConversion!BW304,3)="Poo"),ListAndConversion!$BT$4,IF(LEFT(ListAndConversion!BW304,3)="Sou",INDEX(ListAndConversion!$AT$4:$AV$387,MATCH(ListAndConversion!BV304,ListAndConversion!$AV$4:$AV$387,0),1),""))</f>
        <v/>
      </c>
      <c r="B302" s="555" t="str">
        <f ca="1">IF(OR(LEFT(ListAndConversion!BW304,3)="Dil",LEFT(ListAndConversion!BW304,3)="Poo"),ListAndConversion!BU304,IF(LEFT(ListAndConversion!BW304,3)="Sou",INDEX(ListAndConversion!$AT$4:$AV$387,MATCH(ListAndConversion!BV304,ListAndConversion!$AV$4:$AV$387,0),2),""))</f>
        <v/>
      </c>
      <c r="C302" s="555" t="str">
        <f ca="1">IF(ListAndConversion!BZ304&lt;&gt;"-",ListAndConversion!BZ304,"")</f>
        <v/>
      </c>
      <c r="D302" s="555" t="str">
        <f ca="1">IF(ListAndConversion!BW304&lt;&gt;"-",ListAndConversion!BW304,"")</f>
        <v/>
      </c>
      <c r="E302" s="555" t="str">
        <f ca="1">IF(ListAndConversion!BX304&lt;&gt;"-",ListAndConversion!BX304,"")</f>
        <v/>
      </c>
      <c r="F302" s="565" t="str">
        <f ca="1">IF(ListAndConversion!BY304&lt;&gt;"-",ListAndConversion!BY304,"")</f>
        <v/>
      </c>
      <c r="G302" s="565" t="str">
        <f ca="1">IF(ListAndConversion!CB304&lt;&gt;"-",ListAndConversion!CB304,"")</f>
        <v/>
      </c>
      <c r="H302" s="565" t="str">
        <f ca="1">IF(ListAndConversion!CC304&lt;&gt;"-",ListAndConversion!CC304,"")</f>
        <v/>
      </c>
      <c r="I302" s="565" t="str">
        <f ca="1">IF(ListAndConversion!CC304&lt;&gt;"-","Microfuge1","")</f>
        <v/>
      </c>
      <c r="J302" s="583" t="str">
        <f ca="1">IF(ListAndConversion!CD304&lt;&gt;"-",ListAndConversion!CD304,"")</f>
        <v/>
      </c>
      <c r="K302" s="577" t="str">
        <f t="shared" ca="1" si="4"/>
        <v/>
      </c>
    </row>
    <row r="303" spans="1:11" x14ac:dyDescent="0.65">
      <c r="A303" s="554" t="str">
        <f ca="1">IF(OR(LEFT(ListAndConversion!BW305,3)="Dil",LEFT(ListAndConversion!BW305,3)="Poo"),ListAndConversion!$BT$4,IF(LEFT(ListAndConversion!BW305,3)="Sou",INDEX(ListAndConversion!$AT$4:$AV$387,MATCH(ListAndConversion!BV305,ListAndConversion!$AV$4:$AV$387,0),1),""))</f>
        <v/>
      </c>
      <c r="B303" s="555" t="str">
        <f ca="1">IF(OR(LEFT(ListAndConversion!BW305,3)="Dil",LEFT(ListAndConversion!BW305,3)="Poo"),ListAndConversion!BU305,IF(LEFT(ListAndConversion!BW305,3)="Sou",INDEX(ListAndConversion!$AT$4:$AV$387,MATCH(ListAndConversion!BV305,ListAndConversion!$AV$4:$AV$387,0),2),""))</f>
        <v/>
      </c>
      <c r="C303" s="555" t="str">
        <f ca="1">IF(ListAndConversion!BZ305&lt;&gt;"-",ListAndConversion!BZ305,"")</f>
        <v/>
      </c>
      <c r="D303" s="555" t="str">
        <f ca="1">IF(ListAndConversion!BW305&lt;&gt;"-",ListAndConversion!BW305,"")</f>
        <v/>
      </c>
      <c r="E303" s="555" t="str">
        <f ca="1">IF(ListAndConversion!BX305&lt;&gt;"-",ListAndConversion!BX305,"")</f>
        <v/>
      </c>
      <c r="F303" s="565" t="str">
        <f ca="1">IF(ListAndConversion!BY305&lt;&gt;"-",ListAndConversion!BY305,"")</f>
        <v/>
      </c>
      <c r="G303" s="565" t="str">
        <f ca="1">IF(ListAndConversion!CB305&lt;&gt;"-",ListAndConversion!CB305,"")</f>
        <v/>
      </c>
      <c r="H303" s="565" t="str">
        <f ca="1">IF(ListAndConversion!CC305&lt;&gt;"-",ListAndConversion!CC305,"")</f>
        <v/>
      </c>
      <c r="I303" s="565" t="str">
        <f ca="1">IF(ListAndConversion!CC305&lt;&gt;"-","Microfuge1","")</f>
        <v/>
      </c>
      <c r="J303" s="583" t="str">
        <f ca="1">IF(ListAndConversion!CD305&lt;&gt;"-",ListAndConversion!CD305,"")</f>
        <v/>
      </c>
      <c r="K303" s="577" t="str">
        <f t="shared" ca="1" si="4"/>
        <v/>
      </c>
    </row>
    <row r="304" spans="1:11" x14ac:dyDescent="0.65">
      <c r="A304" s="554" t="str">
        <f ca="1">IF(OR(LEFT(ListAndConversion!BW306,3)="Dil",LEFT(ListAndConversion!BW306,3)="Poo"),ListAndConversion!$BT$4,IF(LEFT(ListAndConversion!BW306,3)="Sou",INDEX(ListAndConversion!$AT$4:$AV$387,MATCH(ListAndConversion!BV306,ListAndConversion!$AV$4:$AV$387,0),1),""))</f>
        <v/>
      </c>
      <c r="B304" s="555" t="str">
        <f ca="1">IF(OR(LEFT(ListAndConversion!BW306,3)="Dil",LEFT(ListAndConversion!BW306,3)="Poo"),ListAndConversion!BU306,IF(LEFT(ListAndConversion!BW306,3)="Sou",INDEX(ListAndConversion!$AT$4:$AV$387,MATCH(ListAndConversion!BV306,ListAndConversion!$AV$4:$AV$387,0),2),""))</f>
        <v/>
      </c>
      <c r="C304" s="555" t="str">
        <f ca="1">IF(ListAndConversion!BZ306&lt;&gt;"-",ListAndConversion!BZ306,"")</f>
        <v/>
      </c>
      <c r="D304" s="555" t="str">
        <f ca="1">IF(ListAndConversion!BW306&lt;&gt;"-",ListAndConversion!BW306,"")</f>
        <v/>
      </c>
      <c r="E304" s="555" t="str">
        <f ca="1">IF(ListAndConversion!BX306&lt;&gt;"-",ListAndConversion!BX306,"")</f>
        <v/>
      </c>
      <c r="F304" s="565" t="str">
        <f ca="1">IF(ListAndConversion!BY306&lt;&gt;"-",ListAndConversion!BY306,"")</f>
        <v/>
      </c>
      <c r="G304" s="565" t="str">
        <f ca="1">IF(ListAndConversion!CB306&lt;&gt;"-",ListAndConversion!CB306,"")</f>
        <v/>
      </c>
      <c r="H304" s="565" t="str">
        <f ca="1">IF(ListAndConversion!CC306&lt;&gt;"-",ListAndConversion!CC306,"")</f>
        <v/>
      </c>
      <c r="I304" s="565" t="str">
        <f ca="1">IF(ListAndConversion!CC306&lt;&gt;"-","Microfuge1","")</f>
        <v/>
      </c>
      <c r="J304" s="583" t="str">
        <f ca="1">IF(ListAndConversion!CD306&lt;&gt;"-",ListAndConversion!CD306,"")</f>
        <v/>
      </c>
      <c r="K304" s="577" t="str">
        <f t="shared" ca="1" si="4"/>
        <v/>
      </c>
    </row>
    <row r="305" spans="1:11" x14ac:dyDescent="0.65">
      <c r="A305" s="554" t="str">
        <f ca="1">IF(OR(LEFT(ListAndConversion!BW307,3)="Dil",LEFT(ListAndConversion!BW307,3)="Poo"),ListAndConversion!$BT$4,IF(LEFT(ListAndConversion!BW307,3)="Sou",INDEX(ListAndConversion!$AT$4:$AV$387,MATCH(ListAndConversion!BV307,ListAndConversion!$AV$4:$AV$387,0),1),""))</f>
        <v/>
      </c>
      <c r="B305" s="555" t="str">
        <f ca="1">IF(OR(LEFT(ListAndConversion!BW307,3)="Dil",LEFT(ListAndConversion!BW307,3)="Poo"),ListAndConversion!BU307,IF(LEFT(ListAndConversion!BW307,3)="Sou",INDEX(ListAndConversion!$AT$4:$AV$387,MATCH(ListAndConversion!BV307,ListAndConversion!$AV$4:$AV$387,0),2),""))</f>
        <v/>
      </c>
      <c r="C305" s="555" t="str">
        <f ca="1">IF(ListAndConversion!BZ307&lt;&gt;"-",ListAndConversion!BZ307,"")</f>
        <v/>
      </c>
      <c r="D305" s="555" t="str">
        <f ca="1">IF(ListAndConversion!BW307&lt;&gt;"-",ListAndConversion!BW307,"")</f>
        <v/>
      </c>
      <c r="E305" s="555" t="str">
        <f ca="1">IF(ListAndConversion!BX307&lt;&gt;"-",ListAndConversion!BX307,"")</f>
        <v/>
      </c>
      <c r="F305" s="565" t="str">
        <f ca="1">IF(ListAndConversion!BY307&lt;&gt;"-",ListAndConversion!BY307,"")</f>
        <v/>
      </c>
      <c r="G305" s="565" t="str">
        <f ca="1">IF(ListAndConversion!CB307&lt;&gt;"-",ListAndConversion!CB307,"")</f>
        <v/>
      </c>
      <c r="H305" s="565" t="str">
        <f ca="1">IF(ListAndConversion!CC307&lt;&gt;"-",ListAndConversion!CC307,"")</f>
        <v/>
      </c>
      <c r="I305" s="565" t="str">
        <f ca="1">IF(ListAndConversion!CC307&lt;&gt;"-","Microfuge1","")</f>
        <v/>
      </c>
      <c r="J305" s="583" t="str">
        <f ca="1">IF(ListAndConversion!CD307&lt;&gt;"-",ListAndConversion!CD307,"")</f>
        <v/>
      </c>
      <c r="K305" s="577" t="str">
        <f t="shared" ca="1" si="4"/>
        <v/>
      </c>
    </row>
    <row r="306" spans="1:11" x14ac:dyDescent="0.65">
      <c r="A306" s="554" t="str">
        <f ca="1">IF(OR(LEFT(ListAndConversion!BW308,3)="Dil",LEFT(ListAndConversion!BW308,3)="Poo"),ListAndConversion!$BT$4,IF(LEFT(ListAndConversion!BW308,3)="Sou",INDEX(ListAndConversion!$AT$4:$AV$387,MATCH(ListAndConversion!BV308,ListAndConversion!$AV$4:$AV$387,0),1),""))</f>
        <v/>
      </c>
      <c r="B306" s="555" t="str">
        <f ca="1">IF(OR(LEFT(ListAndConversion!BW308,3)="Dil",LEFT(ListAndConversion!BW308,3)="Poo"),ListAndConversion!BU308,IF(LEFT(ListAndConversion!BW308,3)="Sou",INDEX(ListAndConversion!$AT$4:$AV$387,MATCH(ListAndConversion!BV308,ListAndConversion!$AV$4:$AV$387,0),2),""))</f>
        <v/>
      </c>
      <c r="C306" s="555" t="str">
        <f ca="1">IF(ListAndConversion!BZ308&lt;&gt;"-",ListAndConversion!BZ308,"")</f>
        <v/>
      </c>
      <c r="D306" s="555" t="str">
        <f ca="1">IF(ListAndConversion!BW308&lt;&gt;"-",ListAndConversion!BW308,"")</f>
        <v/>
      </c>
      <c r="E306" s="555" t="str">
        <f ca="1">IF(ListAndConversion!BX308&lt;&gt;"-",ListAndConversion!BX308,"")</f>
        <v/>
      </c>
      <c r="F306" s="565" t="str">
        <f ca="1">IF(ListAndConversion!BY308&lt;&gt;"-",ListAndConversion!BY308,"")</f>
        <v/>
      </c>
      <c r="G306" s="565" t="str">
        <f ca="1">IF(ListAndConversion!CB308&lt;&gt;"-",ListAndConversion!CB308,"")</f>
        <v/>
      </c>
      <c r="H306" s="565" t="str">
        <f ca="1">IF(ListAndConversion!CC308&lt;&gt;"-",ListAndConversion!CC308,"")</f>
        <v/>
      </c>
      <c r="I306" s="565" t="str">
        <f ca="1">IF(ListAndConversion!CC308&lt;&gt;"-","Microfuge1","")</f>
        <v/>
      </c>
      <c r="J306" s="583" t="str">
        <f ca="1">IF(ListAndConversion!CD308&lt;&gt;"-",ListAndConversion!CD308,"")</f>
        <v/>
      </c>
      <c r="K306" s="577" t="str">
        <f t="shared" ca="1" si="4"/>
        <v/>
      </c>
    </row>
    <row r="307" spans="1:11" x14ac:dyDescent="0.65">
      <c r="A307" s="554" t="str">
        <f ca="1">IF(OR(LEFT(ListAndConversion!BW309,3)="Dil",LEFT(ListAndConversion!BW309,3)="Poo"),ListAndConversion!$BT$4,IF(LEFT(ListAndConversion!BW309,3)="Sou",INDEX(ListAndConversion!$AT$4:$AV$387,MATCH(ListAndConversion!BV309,ListAndConversion!$AV$4:$AV$387,0),1),""))</f>
        <v/>
      </c>
      <c r="B307" s="555" t="str">
        <f ca="1">IF(OR(LEFT(ListAndConversion!BW309,3)="Dil",LEFT(ListAndConversion!BW309,3)="Poo"),ListAndConversion!BU309,IF(LEFT(ListAndConversion!BW309,3)="Sou",INDEX(ListAndConversion!$AT$4:$AV$387,MATCH(ListAndConversion!BV309,ListAndConversion!$AV$4:$AV$387,0),2),""))</f>
        <v/>
      </c>
      <c r="C307" s="555" t="str">
        <f ca="1">IF(ListAndConversion!BZ309&lt;&gt;"-",ListAndConversion!BZ309,"")</f>
        <v/>
      </c>
      <c r="D307" s="555" t="str">
        <f ca="1">IF(ListAndConversion!BW309&lt;&gt;"-",ListAndConversion!BW309,"")</f>
        <v/>
      </c>
      <c r="E307" s="555" t="str">
        <f ca="1">IF(ListAndConversion!BX309&lt;&gt;"-",ListAndConversion!BX309,"")</f>
        <v/>
      </c>
      <c r="F307" s="565" t="str">
        <f ca="1">IF(ListAndConversion!BY309&lt;&gt;"-",ListAndConversion!BY309,"")</f>
        <v/>
      </c>
      <c r="G307" s="565" t="str">
        <f ca="1">IF(ListAndConversion!CB309&lt;&gt;"-",ListAndConversion!CB309,"")</f>
        <v/>
      </c>
      <c r="H307" s="565" t="str">
        <f ca="1">IF(ListAndConversion!CC309&lt;&gt;"-",ListAndConversion!CC309,"")</f>
        <v/>
      </c>
      <c r="I307" s="565" t="str">
        <f ca="1">IF(ListAndConversion!CC309&lt;&gt;"-","Microfuge1","")</f>
        <v/>
      </c>
      <c r="J307" s="583" t="str">
        <f ca="1">IF(ListAndConversion!CD309&lt;&gt;"-",ListAndConversion!CD309,"")</f>
        <v/>
      </c>
      <c r="K307" s="577" t="str">
        <f t="shared" ca="1" si="4"/>
        <v/>
      </c>
    </row>
    <row r="308" spans="1:11" x14ac:dyDescent="0.65">
      <c r="A308" s="554" t="str">
        <f ca="1">IF(OR(LEFT(ListAndConversion!BW310,3)="Dil",LEFT(ListAndConversion!BW310,3)="Poo"),ListAndConversion!$BT$4,IF(LEFT(ListAndConversion!BW310,3)="Sou",INDEX(ListAndConversion!$AT$4:$AV$387,MATCH(ListAndConversion!BV310,ListAndConversion!$AV$4:$AV$387,0),1),""))</f>
        <v/>
      </c>
      <c r="B308" s="555" t="str">
        <f ca="1">IF(OR(LEFT(ListAndConversion!BW310,3)="Dil",LEFT(ListAndConversion!BW310,3)="Poo"),ListAndConversion!BU310,IF(LEFT(ListAndConversion!BW310,3)="Sou",INDEX(ListAndConversion!$AT$4:$AV$387,MATCH(ListAndConversion!BV310,ListAndConversion!$AV$4:$AV$387,0),2),""))</f>
        <v/>
      </c>
      <c r="C308" s="555" t="str">
        <f ca="1">IF(ListAndConversion!BZ310&lt;&gt;"-",ListAndConversion!BZ310,"")</f>
        <v/>
      </c>
      <c r="D308" s="555" t="str">
        <f ca="1">IF(ListAndConversion!BW310&lt;&gt;"-",ListAndConversion!BW310,"")</f>
        <v/>
      </c>
      <c r="E308" s="555" t="str">
        <f ca="1">IF(ListAndConversion!BX310&lt;&gt;"-",ListAndConversion!BX310,"")</f>
        <v/>
      </c>
      <c r="F308" s="565" t="str">
        <f ca="1">IF(ListAndConversion!BY310&lt;&gt;"-",ListAndConversion!BY310,"")</f>
        <v/>
      </c>
      <c r="G308" s="565" t="str">
        <f ca="1">IF(ListAndConversion!CB310&lt;&gt;"-",ListAndConversion!CB310,"")</f>
        <v/>
      </c>
      <c r="H308" s="565" t="str">
        <f ca="1">IF(ListAndConversion!CC310&lt;&gt;"-",ListAndConversion!CC310,"")</f>
        <v/>
      </c>
      <c r="I308" s="565" t="str">
        <f ca="1">IF(ListAndConversion!CC310&lt;&gt;"-","Microfuge1","")</f>
        <v/>
      </c>
      <c r="J308" s="583" t="str">
        <f ca="1">IF(ListAndConversion!CD310&lt;&gt;"-",ListAndConversion!CD310,"")</f>
        <v/>
      </c>
      <c r="K308" s="577" t="str">
        <f t="shared" ca="1" si="4"/>
        <v/>
      </c>
    </row>
    <row r="309" spans="1:11" x14ac:dyDescent="0.65">
      <c r="A309" s="554" t="str">
        <f ca="1">IF(OR(LEFT(ListAndConversion!BW311,3)="Dil",LEFT(ListAndConversion!BW311,3)="Poo"),ListAndConversion!$BT$4,IF(LEFT(ListAndConversion!BW311,3)="Sou",INDEX(ListAndConversion!$AT$4:$AV$387,MATCH(ListAndConversion!BV311,ListAndConversion!$AV$4:$AV$387,0),1),""))</f>
        <v/>
      </c>
      <c r="B309" s="555" t="str">
        <f ca="1">IF(OR(LEFT(ListAndConversion!BW311,3)="Dil",LEFT(ListAndConversion!BW311,3)="Poo"),ListAndConversion!BU311,IF(LEFT(ListAndConversion!BW311,3)="Sou",INDEX(ListAndConversion!$AT$4:$AV$387,MATCH(ListAndConversion!BV311,ListAndConversion!$AV$4:$AV$387,0),2),""))</f>
        <v/>
      </c>
      <c r="C309" s="555" t="str">
        <f ca="1">IF(ListAndConversion!BZ311&lt;&gt;"-",ListAndConversion!BZ311,"")</f>
        <v/>
      </c>
      <c r="D309" s="555" t="str">
        <f ca="1">IF(ListAndConversion!BW311&lt;&gt;"-",ListAndConversion!BW311,"")</f>
        <v/>
      </c>
      <c r="E309" s="555" t="str">
        <f ca="1">IF(ListAndConversion!BX311&lt;&gt;"-",ListAndConversion!BX311,"")</f>
        <v/>
      </c>
      <c r="F309" s="565" t="str">
        <f ca="1">IF(ListAndConversion!BY311&lt;&gt;"-",ListAndConversion!BY311,"")</f>
        <v/>
      </c>
      <c r="G309" s="565" t="str">
        <f ca="1">IF(ListAndConversion!CB311&lt;&gt;"-",ListAndConversion!CB311,"")</f>
        <v/>
      </c>
      <c r="H309" s="565" t="str">
        <f ca="1">IF(ListAndConversion!CC311&lt;&gt;"-",ListAndConversion!CC311,"")</f>
        <v/>
      </c>
      <c r="I309" s="565" t="str">
        <f ca="1">IF(ListAndConversion!CC311&lt;&gt;"-","Microfuge1","")</f>
        <v/>
      </c>
      <c r="J309" s="583" t="str">
        <f ca="1">IF(ListAndConversion!CD311&lt;&gt;"-",ListAndConversion!CD311,"")</f>
        <v/>
      </c>
      <c r="K309" s="577" t="str">
        <f t="shared" ca="1" si="4"/>
        <v/>
      </c>
    </row>
    <row r="310" spans="1:11" x14ac:dyDescent="0.65">
      <c r="A310" s="554" t="str">
        <f ca="1">IF(OR(LEFT(ListAndConversion!BW312,3)="Dil",LEFT(ListAndConversion!BW312,3)="Poo"),ListAndConversion!$BT$4,IF(LEFT(ListAndConversion!BW312,3)="Sou",INDEX(ListAndConversion!$AT$4:$AV$387,MATCH(ListAndConversion!BV312,ListAndConversion!$AV$4:$AV$387,0),1),""))</f>
        <v/>
      </c>
      <c r="B310" s="555" t="str">
        <f ca="1">IF(OR(LEFT(ListAndConversion!BW312,3)="Dil",LEFT(ListAndConversion!BW312,3)="Poo"),ListAndConversion!BU312,IF(LEFT(ListAndConversion!BW312,3)="Sou",INDEX(ListAndConversion!$AT$4:$AV$387,MATCH(ListAndConversion!BV312,ListAndConversion!$AV$4:$AV$387,0),2),""))</f>
        <v/>
      </c>
      <c r="C310" s="555" t="str">
        <f ca="1">IF(ListAndConversion!BZ312&lt;&gt;"-",ListAndConversion!BZ312,"")</f>
        <v/>
      </c>
      <c r="D310" s="555" t="str">
        <f ca="1">IF(ListAndConversion!BW312&lt;&gt;"-",ListAndConversion!BW312,"")</f>
        <v/>
      </c>
      <c r="E310" s="555" t="str">
        <f ca="1">IF(ListAndConversion!BX312&lt;&gt;"-",ListAndConversion!BX312,"")</f>
        <v/>
      </c>
      <c r="F310" s="565" t="str">
        <f ca="1">IF(ListAndConversion!BY312&lt;&gt;"-",ListAndConversion!BY312,"")</f>
        <v/>
      </c>
      <c r="G310" s="565" t="str">
        <f ca="1">IF(ListAndConversion!CB312&lt;&gt;"-",ListAndConversion!CB312,"")</f>
        <v/>
      </c>
      <c r="H310" s="565" t="str">
        <f ca="1">IF(ListAndConversion!CC312&lt;&gt;"-",ListAndConversion!CC312,"")</f>
        <v/>
      </c>
      <c r="I310" s="565" t="str">
        <f ca="1">IF(ListAndConversion!CC312&lt;&gt;"-","Microfuge1","")</f>
        <v/>
      </c>
      <c r="J310" s="583" t="str">
        <f ca="1">IF(ListAndConversion!CD312&lt;&gt;"-",ListAndConversion!CD312,"")</f>
        <v/>
      </c>
      <c r="K310" s="577" t="str">
        <f t="shared" ca="1" si="4"/>
        <v/>
      </c>
    </row>
    <row r="311" spans="1:11" x14ac:dyDescent="0.65">
      <c r="A311" s="554" t="str">
        <f ca="1">IF(OR(LEFT(ListAndConversion!BW313,3)="Dil",LEFT(ListAndConversion!BW313,3)="Poo"),ListAndConversion!$BT$4,IF(LEFT(ListAndConversion!BW313,3)="Sou",INDEX(ListAndConversion!$AT$4:$AV$387,MATCH(ListAndConversion!BV313,ListAndConversion!$AV$4:$AV$387,0),1),""))</f>
        <v/>
      </c>
      <c r="B311" s="555" t="str">
        <f ca="1">IF(OR(LEFT(ListAndConversion!BW313,3)="Dil",LEFT(ListAndConversion!BW313,3)="Poo"),ListAndConversion!BU313,IF(LEFT(ListAndConversion!BW313,3)="Sou",INDEX(ListAndConversion!$AT$4:$AV$387,MATCH(ListAndConversion!BV313,ListAndConversion!$AV$4:$AV$387,0),2),""))</f>
        <v/>
      </c>
      <c r="C311" s="555" t="str">
        <f ca="1">IF(ListAndConversion!BZ313&lt;&gt;"-",ListAndConversion!BZ313,"")</f>
        <v/>
      </c>
      <c r="D311" s="555" t="str">
        <f ca="1">IF(ListAndConversion!BW313&lt;&gt;"-",ListAndConversion!BW313,"")</f>
        <v/>
      </c>
      <c r="E311" s="555" t="str">
        <f ca="1">IF(ListAndConversion!BX313&lt;&gt;"-",ListAndConversion!BX313,"")</f>
        <v/>
      </c>
      <c r="F311" s="565" t="str">
        <f ca="1">IF(ListAndConversion!BY313&lt;&gt;"-",ListAndConversion!BY313,"")</f>
        <v/>
      </c>
      <c r="G311" s="565" t="str">
        <f ca="1">IF(ListAndConversion!CB313&lt;&gt;"-",ListAndConversion!CB313,"")</f>
        <v/>
      </c>
      <c r="H311" s="565" t="str">
        <f ca="1">IF(ListAndConversion!CC313&lt;&gt;"-",ListAndConversion!CC313,"")</f>
        <v/>
      </c>
      <c r="I311" s="565" t="str">
        <f ca="1">IF(ListAndConversion!CC313&lt;&gt;"-","Microfuge1","")</f>
        <v/>
      </c>
      <c r="J311" s="583" t="str">
        <f ca="1">IF(ListAndConversion!CD313&lt;&gt;"-",ListAndConversion!CD313,"")</f>
        <v/>
      </c>
      <c r="K311" s="577" t="str">
        <f t="shared" ca="1" si="4"/>
        <v/>
      </c>
    </row>
    <row r="312" spans="1:11" x14ac:dyDescent="0.65">
      <c r="A312" s="554" t="str">
        <f ca="1">IF(OR(LEFT(ListAndConversion!BW314,3)="Dil",LEFT(ListAndConversion!BW314,3)="Poo"),ListAndConversion!$BT$4,IF(LEFT(ListAndConversion!BW314,3)="Sou",INDEX(ListAndConversion!$AT$4:$AV$387,MATCH(ListAndConversion!BV314,ListAndConversion!$AV$4:$AV$387,0),1),""))</f>
        <v/>
      </c>
      <c r="B312" s="555" t="str">
        <f ca="1">IF(OR(LEFT(ListAndConversion!BW314,3)="Dil",LEFT(ListAndConversion!BW314,3)="Poo"),ListAndConversion!BU314,IF(LEFT(ListAndConversion!BW314,3)="Sou",INDEX(ListAndConversion!$AT$4:$AV$387,MATCH(ListAndConversion!BV314,ListAndConversion!$AV$4:$AV$387,0),2),""))</f>
        <v/>
      </c>
      <c r="C312" s="555" t="str">
        <f ca="1">IF(ListAndConversion!BZ314&lt;&gt;"-",ListAndConversion!BZ314,"")</f>
        <v/>
      </c>
      <c r="D312" s="555" t="str">
        <f ca="1">IF(ListAndConversion!BW314&lt;&gt;"-",ListAndConversion!BW314,"")</f>
        <v/>
      </c>
      <c r="E312" s="555" t="str">
        <f ca="1">IF(ListAndConversion!BX314&lt;&gt;"-",ListAndConversion!BX314,"")</f>
        <v/>
      </c>
      <c r="F312" s="565" t="str">
        <f ca="1">IF(ListAndConversion!BY314&lt;&gt;"-",ListAndConversion!BY314,"")</f>
        <v/>
      </c>
      <c r="G312" s="565" t="str">
        <f ca="1">IF(ListAndConversion!CB314&lt;&gt;"-",ListAndConversion!CB314,"")</f>
        <v/>
      </c>
      <c r="H312" s="565" t="str">
        <f ca="1">IF(ListAndConversion!CC314&lt;&gt;"-",ListAndConversion!CC314,"")</f>
        <v/>
      </c>
      <c r="I312" s="565" t="str">
        <f ca="1">IF(ListAndConversion!CC314&lt;&gt;"-","Microfuge1","")</f>
        <v/>
      </c>
      <c r="J312" s="583" t="str">
        <f ca="1">IF(ListAndConversion!CD314&lt;&gt;"-",ListAndConversion!CD314,"")</f>
        <v/>
      </c>
      <c r="K312" s="577" t="str">
        <f t="shared" ca="1" si="4"/>
        <v/>
      </c>
    </row>
    <row r="313" spans="1:11" x14ac:dyDescent="0.65">
      <c r="A313" s="554" t="str">
        <f ca="1">IF(OR(LEFT(ListAndConversion!BW315,3)="Dil",LEFT(ListAndConversion!BW315,3)="Poo"),ListAndConversion!$BT$4,IF(LEFT(ListAndConversion!BW315,3)="Sou",INDEX(ListAndConversion!$AT$4:$AV$387,MATCH(ListAndConversion!BV315,ListAndConversion!$AV$4:$AV$387,0),1),""))</f>
        <v/>
      </c>
      <c r="B313" s="555" t="str">
        <f ca="1">IF(OR(LEFT(ListAndConversion!BW315,3)="Dil",LEFT(ListAndConversion!BW315,3)="Poo"),ListAndConversion!BU315,IF(LEFT(ListAndConversion!BW315,3)="Sou",INDEX(ListAndConversion!$AT$4:$AV$387,MATCH(ListAndConversion!BV315,ListAndConversion!$AV$4:$AV$387,0),2),""))</f>
        <v/>
      </c>
      <c r="C313" s="555" t="str">
        <f ca="1">IF(ListAndConversion!BZ315&lt;&gt;"-",ListAndConversion!BZ315,"")</f>
        <v/>
      </c>
      <c r="D313" s="555" t="str">
        <f ca="1">IF(ListAndConversion!BW315&lt;&gt;"-",ListAndConversion!BW315,"")</f>
        <v/>
      </c>
      <c r="E313" s="555" t="str">
        <f ca="1">IF(ListAndConversion!BX315&lt;&gt;"-",ListAndConversion!BX315,"")</f>
        <v/>
      </c>
      <c r="F313" s="565" t="str">
        <f ca="1">IF(ListAndConversion!BY315&lt;&gt;"-",ListAndConversion!BY315,"")</f>
        <v/>
      </c>
      <c r="G313" s="565" t="str">
        <f ca="1">IF(ListAndConversion!CB315&lt;&gt;"-",ListAndConversion!CB315,"")</f>
        <v/>
      </c>
      <c r="H313" s="565" t="str">
        <f ca="1">IF(ListAndConversion!CC315&lt;&gt;"-",ListAndConversion!CC315,"")</f>
        <v/>
      </c>
      <c r="I313" s="565" t="str">
        <f ca="1">IF(ListAndConversion!CC315&lt;&gt;"-","Microfuge1","")</f>
        <v/>
      </c>
      <c r="J313" s="583" t="str">
        <f ca="1">IF(ListAndConversion!CD315&lt;&gt;"-",ListAndConversion!CD315,"")</f>
        <v/>
      </c>
      <c r="K313" s="577" t="str">
        <f t="shared" ca="1" si="4"/>
        <v/>
      </c>
    </row>
    <row r="314" spans="1:11" x14ac:dyDescent="0.65">
      <c r="A314" s="554" t="str">
        <f ca="1">IF(OR(LEFT(ListAndConversion!BW316,3)="Dil",LEFT(ListAndConversion!BW316,3)="Poo"),ListAndConversion!$BT$4,IF(LEFT(ListAndConversion!BW316,3)="Sou",INDEX(ListAndConversion!$AT$4:$AV$387,MATCH(ListAndConversion!BV316,ListAndConversion!$AV$4:$AV$387,0),1),""))</f>
        <v/>
      </c>
      <c r="B314" s="555" t="str">
        <f ca="1">IF(OR(LEFT(ListAndConversion!BW316,3)="Dil",LEFT(ListAndConversion!BW316,3)="Poo"),ListAndConversion!BU316,IF(LEFT(ListAndConversion!BW316,3)="Sou",INDEX(ListAndConversion!$AT$4:$AV$387,MATCH(ListAndConversion!BV316,ListAndConversion!$AV$4:$AV$387,0),2),""))</f>
        <v/>
      </c>
      <c r="C314" s="555" t="str">
        <f ca="1">IF(ListAndConversion!BZ316&lt;&gt;"-",ListAndConversion!BZ316,"")</f>
        <v/>
      </c>
      <c r="D314" s="555" t="str">
        <f ca="1">IF(ListAndConversion!BW316&lt;&gt;"-",ListAndConversion!BW316,"")</f>
        <v/>
      </c>
      <c r="E314" s="555" t="str">
        <f ca="1">IF(ListAndConversion!BX316&lt;&gt;"-",ListAndConversion!BX316,"")</f>
        <v/>
      </c>
      <c r="F314" s="565" t="str">
        <f ca="1">IF(ListAndConversion!BY316&lt;&gt;"-",ListAndConversion!BY316,"")</f>
        <v/>
      </c>
      <c r="G314" s="565" t="str">
        <f ca="1">IF(ListAndConversion!CB316&lt;&gt;"-",ListAndConversion!CB316,"")</f>
        <v/>
      </c>
      <c r="H314" s="565" t="str">
        <f ca="1">IF(ListAndConversion!CC316&lt;&gt;"-",ListAndConversion!CC316,"")</f>
        <v/>
      </c>
      <c r="I314" s="565" t="str">
        <f ca="1">IF(ListAndConversion!CC316&lt;&gt;"-","Microfuge1","")</f>
        <v/>
      </c>
      <c r="J314" s="583" t="str">
        <f ca="1">IF(ListAndConversion!CD316&lt;&gt;"-",ListAndConversion!CD316,"")</f>
        <v/>
      </c>
      <c r="K314" s="577" t="str">
        <f t="shared" ca="1" si="4"/>
        <v/>
      </c>
    </row>
    <row r="315" spans="1:11" x14ac:dyDescent="0.65">
      <c r="A315" s="554" t="str">
        <f ca="1">IF(OR(LEFT(ListAndConversion!BW317,3)="Dil",LEFT(ListAndConversion!BW317,3)="Poo"),ListAndConversion!$BT$4,IF(LEFT(ListAndConversion!BW317,3)="Sou",INDEX(ListAndConversion!$AT$4:$AV$387,MATCH(ListAndConversion!BV317,ListAndConversion!$AV$4:$AV$387,0),1),""))</f>
        <v/>
      </c>
      <c r="B315" s="555" t="str">
        <f ca="1">IF(OR(LEFT(ListAndConversion!BW317,3)="Dil",LEFT(ListAndConversion!BW317,3)="Poo"),ListAndConversion!BU317,IF(LEFT(ListAndConversion!BW317,3)="Sou",INDEX(ListAndConversion!$AT$4:$AV$387,MATCH(ListAndConversion!BV317,ListAndConversion!$AV$4:$AV$387,0),2),""))</f>
        <v/>
      </c>
      <c r="C315" s="555" t="str">
        <f ca="1">IF(ListAndConversion!BZ317&lt;&gt;"-",ListAndConversion!BZ317,"")</f>
        <v/>
      </c>
      <c r="D315" s="555" t="str">
        <f ca="1">IF(ListAndConversion!BW317&lt;&gt;"-",ListAndConversion!BW317,"")</f>
        <v/>
      </c>
      <c r="E315" s="555" t="str">
        <f ca="1">IF(ListAndConversion!BX317&lt;&gt;"-",ListAndConversion!BX317,"")</f>
        <v/>
      </c>
      <c r="F315" s="565" t="str">
        <f ca="1">IF(ListAndConversion!BY317&lt;&gt;"-",ListAndConversion!BY317,"")</f>
        <v/>
      </c>
      <c r="G315" s="565" t="str">
        <f ca="1">IF(ListAndConversion!CB317&lt;&gt;"-",ListAndConversion!CB317,"")</f>
        <v/>
      </c>
      <c r="H315" s="565" t="str">
        <f ca="1">IF(ListAndConversion!CC317&lt;&gt;"-",ListAndConversion!CC317,"")</f>
        <v/>
      </c>
      <c r="I315" s="565" t="str">
        <f ca="1">IF(ListAndConversion!CC317&lt;&gt;"-","Microfuge1","")</f>
        <v/>
      </c>
      <c r="J315" s="583" t="str">
        <f ca="1">IF(ListAndConversion!CD317&lt;&gt;"-",ListAndConversion!CD317,"")</f>
        <v/>
      </c>
      <c r="K315" s="577" t="str">
        <f t="shared" ca="1" si="4"/>
        <v/>
      </c>
    </row>
    <row r="316" spans="1:11" x14ac:dyDescent="0.65">
      <c r="A316" s="554" t="str">
        <f ca="1">IF(OR(LEFT(ListAndConversion!BW318,3)="Dil",LEFT(ListAndConversion!BW318,3)="Poo"),ListAndConversion!$BT$4,IF(LEFT(ListAndConversion!BW318,3)="Sou",INDEX(ListAndConversion!$AT$4:$AV$387,MATCH(ListAndConversion!BV318,ListAndConversion!$AV$4:$AV$387,0),1),""))</f>
        <v/>
      </c>
      <c r="B316" s="555" t="str">
        <f ca="1">IF(OR(LEFT(ListAndConversion!BW318,3)="Dil",LEFT(ListAndConversion!BW318,3)="Poo"),ListAndConversion!BU318,IF(LEFT(ListAndConversion!BW318,3)="Sou",INDEX(ListAndConversion!$AT$4:$AV$387,MATCH(ListAndConversion!BV318,ListAndConversion!$AV$4:$AV$387,0),2),""))</f>
        <v/>
      </c>
      <c r="C316" s="555" t="str">
        <f ca="1">IF(ListAndConversion!BZ318&lt;&gt;"-",ListAndConversion!BZ318,"")</f>
        <v/>
      </c>
      <c r="D316" s="555" t="str">
        <f ca="1">IF(ListAndConversion!BW318&lt;&gt;"-",ListAndConversion!BW318,"")</f>
        <v/>
      </c>
      <c r="E316" s="555" t="str">
        <f ca="1">IF(ListAndConversion!BX318&lt;&gt;"-",ListAndConversion!BX318,"")</f>
        <v/>
      </c>
      <c r="F316" s="565" t="str">
        <f ca="1">IF(ListAndConversion!BY318&lt;&gt;"-",ListAndConversion!BY318,"")</f>
        <v/>
      </c>
      <c r="G316" s="565" t="str">
        <f ca="1">IF(ListAndConversion!CB318&lt;&gt;"-",ListAndConversion!CB318,"")</f>
        <v/>
      </c>
      <c r="H316" s="565" t="str">
        <f ca="1">IF(ListAndConversion!CC318&lt;&gt;"-",ListAndConversion!CC318,"")</f>
        <v/>
      </c>
      <c r="I316" s="565" t="str">
        <f ca="1">IF(ListAndConversion!CC318&lt;&gt;"-","Microfuge1","")</f>
        <v/>
      </c>
      <c r="J316" s="583" t="str">
        <f ca="1">IF(ListAndConversion!CD318&lt;&gt;"-",ListAndConversion!CD318,"")</f>
        <v/>
      </c>
      <c r="K316" s="577" t="str">
        <f t="shared" ca="1" si="4"/>
        <v/>
      </c>
    </row>
    <row r="317" spans="1:11" x14ac:dyDescent="0.65">
      <c r="A317" s="554" t="str">
        <f ca="1">IF(OR(LEFT(ListAndConversion!BW319,3)="Dil",LEFT(ListAndConversion!BW319,3)="Poo"),ListAndConversion!$BT$4,IF(LEFT(ListAndConversion!BW319,3)="Sou",INDEX(ListAndConversion!$AT$4:$AV$387,MATCH(ListAndConversion!BV319,ListAndConversion!$AV$4:$AV$387,0),1),""))</f>
        <v/>
      </c>
      <c r="B317" s="555" t="str">
        <f ca="1">IF(OR(LEFT(ListAndConversion!BW319,3)="Dil",LEFT(ListAndConversion!BW319,3)="Poo"),ListAndConversion!BU319,IF(LEFT(ListAndConversion!BW319,3)="Sou",INDEX(ListAndConversion!$AT$4:$AV$387,MATCH(ListAndConversion!BV319,ListAndConversion!$AV$4:$AV$387,0),2),""))</f>
        <v/>
      </c>
      <c r="C317" s="555" t="str">
        <f ca="1">IF(ListAndConversion!BZ319&lt;&gt;"-",ListAndConversion!BZ319,"")</f>
        <v/>
      </c>
      <c r="D317" s="555" t="str">
        <f ca="1">IF(ListAndConversion!BW319&lt;&gt;"-",ListAndConversion!BW319,"")</f>
        <v/>
      </c>
      <c r="E317" s="555" t="str">
        <f ca="1">IF(ListAndConversion!BX319&lt;&gt;"-",ListAndConversion!BX319,"")</f>
        <v/>
      </c>
      <c r="F317" s="565" t="str">
        <f ca="1">IF(ListAndConversion!BY319&lt;&gt;"-",ListAndConversion!BY319,"")</f>
        <v/>
      </c>
      <c r="G317" s="565" t="str">
        <f ca="1">IF(ListAndConversion!CB319&lt;&gt;"-",ListAndConversion!CB319,"")</f>
        <v/>
      </c>
      <c r="H317" s="565" t="str">
        <f ca="1">IF(ListAndConversion!CC319&lt;&gt;"-",ListAndConversion!CC319,"")</f>
        <v/>
      </c>
      <c r="I317" s="565" t="str">
        <f ca="1">IF(ListAndConversion!CC319&lt;&gt;"-","Microfuge1","")</f>
        <v/>
      </c>
      <c r="J317" s="583" t="str">
        <f ca="1">IF(ListAndConversion!CD319&lt;&gt;"-",ListAndConversion!CD319,"")</f>
        <v/>
      </c>
      <c r="K317" s="577" t="str">
        <f t="shared" ca="1" si="4"/>
        <v/>
      </c>
    </row>
    <row r="318" spans="1:11" x14ac:dyDescent="0.65">
      <c r="A318" s="554" t="str">
        <f ca="1">IF(OR(LEFT(ListAndConversion!BW320,3)="Dil",LEFT(ListAndConversion!BW320,3)="Poo"),ListAndConversion!$BT$4,IF(LEFT(ListAndConversion!BW320,3)="Sou",INDEX(ListAndConversion!$AT$4:$AV$387,MATCH(ListAndConversion!BV320,ListAndConversion!$AV$4:$AV$387,0),1),""))</f>
        <v/>
      </c>
      <c r="B318" s="555" t="str">
        <f ca="1">IF(OR(LEFT(ListAndConversion!BW320,3)="Dil",LEFT(ListAndConversion!BW320,3)="Poo"),ListAndConversion!BU320,IF(LEFT(ListAndConversion!BW320,3)="Sou",INDEX(ListAndConversion!$AT$4:$AV$387,MATCH(ListAndConversion!BV320,ListAndConversion!$AV$4:$AV$387,0),2),""))</f>
        <v/>
      </c>
      <c r="C318" s="555" t="str">
        <f ca="1">IF(ListAndConversion!BZ320&lt;&gt;"-",ListAndConversion!BZ320,"")</f>
        <v/>
      </c>
      <c r="D318" s="555" t="str">
        <f ca="1">IF(ListAndConversion!BW320&lt;&gt;"-",ListAndConversion!BW320,"")</f>
        <v/>
      </c>
      <c r="E318" s="555" t="str">
        <f ca="1">IF(ListAndConversion!BX320&lt;&gt;"-",ListAndConversion!BX320,"")</f>
        <v/>
      </c>
      <c r="F318" s="565" t="str">
        <f ca="1">IF(ListAndConversion!BY320&lt;&gt;"-",ListAndConversion!BY320,"")</f>
        <v/>
      </c>
      <c r="G318" s="565" t="str">
        <f ca="1">IF(ListAndConversion!CB320&lt;&gt;"-",ListAndConversion!CB320,"")</f>
        <v/>
      </c>
      <c r="H318" s="565" t="str">
        <f ca="1">IF(ListAndConversion!CC320&lt;&gt;"-",ListAndConversion!CC320,"")</f>
        <v/>
      </c>
      <c r="I318" s="565" t="str">
        <f ca="1">IF(ListAndConversion!CC320&lt;&gt;"-","Microfuge1","")</f>
        <v/>
      </c>
      <c r="J318" s="583" t="str">
        <f ca="1">IF(ListAndConversion!CD320&lt;&gt;"-",ListAndConversion!CD320,"")</f>
        <v/>
      </c>
      <c r="K318" s="577" t="str">
        <f t="shared" ca="1" si="4"/>
        <v/>
      </c>
    </row>
    <row r="319" spans="1:11" x14ac:dyDescent="0.65">
      <c r="A319" s="554" t="str">
        <f ca="1">IF(OR(LEFT(ListAndConversion!BW321,3)="Dil",LEFT(ListAndConversion!BW321,3)="Poo"),ListAndConversion!$BT$4,IF(LEFT(ListAndConversion!BW321,3)="Sou",INDEX(ListAndConversion!$AT$4:$AV$387,MATCH(ListAndConversion!BV321,ListAndConversion!$AV$4:$AV$387,0),1),""))</f>
        <v/>
      </c>
      <c r="B319" s="555" t="str">
        <f ca="1">IF(OR(LEFT(ListAndConversion!BW321,3)="Dil",LEFT(ListAndConversion!BW321,3)="Poo"),ListAndConversion!BU321,IF(LEFT(ListAndConversion!BW321,3)="Sou",INDEX(ListAndConversion!$AT$4:$AV$387,MATCH(ListAndConversion!BV321,ListAndConversion!$AV$4:$AV$387,0),2),""))</f>
        <v/>
      </c>
      <c r="C319" s="555" t="str">
        <f ca="1">IF(ListAndConversion!BZ321&lt;&gt;"-",ListAndConversion!BZ321,"")</f>
        <v/>
      </c>
      <c r="D319" s="555" t="str">
        <f ca="1">IF(ListAndConversion!BW321&lt;&gt;"-",ListAndConversion!BW321,"")</f>
        <v/>
      </c>
      <c r="E319" s="555" t="str">
        <f ca="1">IF(ListAndConversion!BX321&lt;&gt;"-",ListAndConversion!BX321,"")</f>
        <v/>
      </c>
      <c r="F319" s="565" t="str">
        <f ca="1">IF(ListAndConversion!BY321&lt;&gt;"-",ListAndConversion!BY321,"")</f>
        <v/>
      </c>
      <c r="G319" s="565" t="str">
        <f ca="1">IF(ListAndConversion!CB321&lt;&gt;"-",ListAndConversion!CB321,"")</f>
        <v/>
      </c>
      <c r="H319" s="565" t="str">
        <f ca="1">IF(ListAndConversion!CC321&lt;&gt;"-",ListAndConversion!CC321,"")</f>
        <v/>
      </c>
      <c r="I319" s="565" t="str">
        <f ca="1">IF(ListAndConversion!CC321&lt;&gt;"-","Microfuge1","")</f>
        <v/>
      </c>
      <c r="J319" s="583" t="str">
        <f ca="1">IF(ListAndConversion!CD321&lt;&gt;"-",ListAndConversion!CD321,"")</f>
        <v/>
      </c>
      <c r="K319" s="577" t="str">
        <f t="shared" ca="1" si="4"/>
        <v/>
      </c>
    </row>
    <row r="320" spans="1:11" x14ac:dyDescent="0.65">
      <c r="A320" s="554" t="str">
        <f ca="1">IF(OR(LEFT(ListAndConversion!BW322,3)="Dil",LEFT(ListAndConversion!BW322,3)="Poo"),ListAndConversion!$BT$4,IF(LEFT(ListAndConversion!BW322,3)="Sou",INDEX(ListAndConversion!$AT$4:$AV$387,MATCH(ListAndConversion!BV322,ListAndConversion!$AV$4:$AV$387,0),1),""))</f>
        <v/>
      </c>
      <c r="B320" s="555" t="str">
        <f ca="1">IF(OR(LEFT(ListAndConversion!BW322,3)="Dil",LEFT(ListAndConversion!BW322,3)="Poo"),ListAndConversion!BU322,IF(LEFT(ListAndConversion!BW322,3)="Sou",INDEX(ListAndConversion!$AT$4:$AV$387,MATCH(ListAndConversion!BV322,ListAndConversion!$AV$4:$AV$387,0),2),""))</f>
        <v/>
      </c>
      <c r="C320" s="555" t="str">
        <f ca="1">IF(ListAndConversion!BZ322&lt;&gt;"-",ListAndConversion!BZ322,"")</f>
        <v/>
      </c>
      <c r="D320" s="555" t="str">
        <f ca="1">IF(ListAndConversion!BW322&lt;&gt;"-",ListAndConversion!BW322,"")</f>
        <v/>
      </c>
      <c r="E320" s="555" t="str">
        <f ca="1">IF(ListAndConversion!BX322&lt;&gt;"-",ListAndConversion!BX322,"")</f>
        <v/>
      </c>
      <c r="F320" s="565" t="str">
        <f ca="1">IF(ListAndConversion!BY322&lt;&gt;"-",ListAndConversion!BY322,"")</f>
        <v/>
      </c>
      <c r="G320" s="565" t="str">
        <f ca="1">IF(ListAndConversion!CB322&lt;&gt;"-",ListAndConversion!CB322,"")</f>
        <v/>
      </c>
      <c r="H320" s="565" t="str">
        <f ca="1">IF(ListAndConversion!CC322&lt;&gt;"-",ListAndConversion!CC322,"")</f>
        <v/>
      </c>
      <c r="I320" s="565" t="str">
        <f ca="1">IF(ListAndConversion!CC322&lt;&gt;"-","Microfuge1","")</f>
        <v/>
      </c>
      <c r="J320" s="583" t="str">
        <f ca="1">IF(ListAndConversion!CD322&lt;&gt;"-",ListAndConversion!CD322,"")</f>
        <v/>
      </c>
      <c r="K320" s="577" t="str">
        <f t="shared" ca="1" si="4"/>
        <v/>
      </c>
    </row>
    <row r="321" spans="1:11" x14ac:dyDescent="0.65">
      <c r="A321" s="554" t="str">
        <f ca="1">IF(OR(LEFT(ListAndConversion!BW323,3)="Dil",LEFT(ListAndConversion!BW323,3)="Poo"),ListAndConversion!$BT$4,IF(LEFT(ListAndConversion!BW323,3)="Sou",INDEX(ListAndConversion!$AT$4:$AV$387,MATCH(ListAndConversion!BV323,ListAndConversion!$AV$4:$AV$387,0),1),""))</f>
        <v/>
      </c>
      <c r="B321" s="555" t="str">
        <f ca="1">IF(OR(LEFT(ListAndConversion!BW323,3)="Dil",LEFT(ListAndConversion!BW323,3)="Poo"),ListAndConversion!BU323,IF(LEFT(ListAndConversion!BW323,3)="Sou",INDEX(ListAndConversion!$AT$4:$AV$387,MATCH(ListAndConversion!BV323,ListAndConversion!$AV$4:$AV$387,0),2),""))</f>
        <v/>
      </c>
      <c r="C321" s="555" t="str">
        <f ca="1">IF(ListAndConversion!BZ323&lt;&gt;"-",ListAndConversion!BZ323,"")</f>
        <v/>
      </c>
      <c r="D321" s="555" t="str">
        <f ca="1">IF(ListAndConversion!BW323&lt;&gt;"-",ListAndConversion!BW323,"")</f>
        <v/>
      </c>
      <c r="E321" s="555" t="str">
        <f ca="1">IF(ListAndConversion!BX323&lt;&gt;"-",ListAndConversion!BX323,"")</f>
        <v/>
      </c>
      <c r="F321" s="565" t="str">
        <f ca="1">IF(ListAndConversion!BY323&lt;&gt;"-",ListAndConversion!BY323,"")</f>
        <v/>
      </c>
      <c r="G321" s="565" t="str">
        <f ca="1">IF(ListAndConversion!CB323&lt;&gt;"-",ListAndConversion!CB323,"")</f>
        <v/>
      </c>
      <c r="H321" s="565" t="str">
        <f ca="1">IF(ListAndConversion!CC323&lt;&gt;"-",ListAndConversion!CC323,"")</f>
        <v/>
      </c>
      <c r="I321" s="565" t="str">
        <f ca="1">IF(ListAndConversion!CC323&lt;&gt;"-","Microfuge1","")</f>
        <v/>
      </c>
      <c r="J321" s="583" t="str">
        <f ca="1">IF(ListAndConversion!CD323&lt;&gt;"-",ListAndConversion!CD323,"")</f>
        <v/>
      </c>
      <c r="K321" s="577" t="str">
        <f t="shared" ca="1" si="4"/>
        <v/>
      </c>
    </row>
    <row r="322" spans="1:11" x14ac:dyDescent="0.65">
      <c r="A322" s="554" t="str">
        <f ca="1">IF(OR(LEFT(ListAndConversion!BW324,3)="Dil",LEFT(ListAndConversion!BW324,3)="Poo"),ListAndConversion!$BT$4,IF(LEFT(ListAndConversion!BW324,3)="Sou",INDEX(ListAndConversion!$AT$4:$AV$387,MATCH(ListAndConversion!BV324,ListAndConversion!$AV$4:$AV$387,0),1),""))</f>
        <v/>
      </c>
      <c r="B322" s="555" t="str">
        <f ca="1">IF(OR(LEFT(ListAndConversion!BW324,3)="Dil",LEFT(ListAndConversion!BW324,3)="Poo"),ListAndConversion!BU324,IF(LEFT(ListAndConversion!BW324,3)="Sou",INDEX(ListAndConversion!$AT$4:$AV$387,MATCH(ListAndConversion!BV324,ListAndConversion!$AV$4:$AV$387,0),2),""))</f>
        <v/>
      </c>
      <c r="C322" s="555" t="str">
        <f ca="1">IF(ListAndConversion!BZ324&lt;&gt;"-",ListAndConversion!BZ324,"")</f>
        <v/>
      </c>
      <c r="D322" s="555" t="str">
        <f ca="1">IF(ListAndConversion!BW324&lt;&gt;"-",ListAndConversion!BW324,"")</f>
        <v/>
      </c>
      <c r="E322" s="555" t="str">
        <f ca="1">IF(ListAndConversion!BX324&lt;&gt;"-",ListAndConversion!BX324,"")</f>
        <v/>
      </c>
      <c r="F322" s="565" t="str">
        <f ca="1">IF(ListAndConversion!BY324&lt;&gt;"-",ListAndConversion!BY324,"")</f>
        <v/>
      </c>
      <c r="G322" s="565" t="str">
        <f ca="1">IF(ListAndConversion!CB324&lt;&gt;"-",ListAndConversion!CB324,"")</f>
        <v/>
      </c>
      <c r="H322" s="565" t="str">
        <f ca="1">IF(ListAndConversion!CC324&lt;&gt;"-",ListAndConversion!CC324,"")</f>
        <v/>
      </c>
      <c r="I322" s="565" t="str">
        <f ca="1">IF(ListAndConversion!CC324&lt;&gt;"-","Microfuge1","")</f>
        <v/>
      </c>
      <c r="J322" s="583" t="str">
        <f ca="1">IF(ListAndConversion!CD324&lt;&gt;"-",ListAndConversion!CD324,"")</f>
        <v/>
      </c>
      <c r="K322" s="577" t="str">
        <f t="shared" ref="K322:K385" ca="1" si="5">IF(LEFT(D322,4)="Pool",15,IF(D322="","",0))</f>
        <v/>
      </c>
    </row>
    <row r="323" spans="1:11" x14ac:dyDescent="0.65">
      <c r="A323" s="554" t="str">
        <f ca="1">IF(OR(LEFT(ListAndConversion!BW325,3)="Dil",LEFT(ListAndConversion!BW325,3)="Poo"),ListAndConversion!$BT$4,IF(LEFT(ListAndConversion!BW325,3)="Sou",INDEX(ListAndConversion!$AT$4:$AV$387,MATCH(ListAndConversion!BV325,ListAndConversion!$AV$4:$AV$387,0),1),""))</f>
        <v/>
      </c>
      <c r="B323" s="555" t="str">
        <f ca="1">IF(OR(LEFT(ListAndConversion!BW325,3)="Dil",LEFT(ListAndConversion!BW325,3)="Poo"),ListAndConversion!BU325,IF(LEFT(ListAndConversion!BW325,3)="Sou",INDEX(ListAndConversion!$AT$4:$AV$387,MATCH(ListAndConversion!BV325,ListAndConversion!$AV$4:$AV$387,0),2),""))</f>
        <v/>
      </c>
      <c r="C323" s="555" t="str">
        <f ca="1">IF(ListAndConversion!BZ325&lt;&gt;"-",ListAndConversion!BZ325,"")</f>
        <v/>
      </c>
      <c r="D323" s="555" t="str">
        <f ca="1">IF(ListAndConversion!BW325&lt;&gt;"-",ListAndConversion!BW325,"")</f>
        <v/>
      </c>
      <c r="E323" s="555" t="str">
        <f ca="1">IF(ListAndConversion!BX325&lt;&gt;"-",ListAndConversion!BX325,"")</f>
        <v/>
      </c>
      <c r="F323" s="565" t="str">
        <f ca="1">IF(ListAndConversion!BY325&lt;&gt;"-",ListAndConversion!BY325,"")</f>
        <v/>
      </c>
      <c r="G323" s="565" t="str">
        <f ca="1">IF(ListAndConversion!CB325&lt;&gt;"-",ListAndConversion!CB325,"")</f>
        <v/>
      </c>
      <c r="H323" s="565" t="str">
        <f ca="1">IF(ListAndConversion!CC325&lt;&gt;"-",ListAndConversion!CC325,"")</f>
        <v/>
      </c>
      <c r="I323" s="565" t="str">
        <f ca="1">IF(ListAndConversion!CC325&lt;&gt;"-","Microfuge1","")</f>
        <v/>
      </c>
      <c r="J323" s="583" t="str">
        <f ca="1">IF(ListAndConversion!CD325&lt;&gt;"-",ListAndConversion!CD325,"")</f>
        <v/>
      </c>
      <c r="K323" s="577" t="str">
        <f t="shared" ca="1" si="5"/>
        <v/>
      </c>
    </row>
    <row r="324" spans="1:11" x14ac:dyDescent="0.65">
      <c r="A324" s="554" t="str">
        <f ca="1">IF(OR(LEFT(ListAndConversion!BW326,3)="Dil",LEFT(ListAndConversion!BW326,3)="Poo"),ListAndConversion!$BT$4,IF(LEFT(ListAndConversion!BW326,3)="Sou",INDEX(ListAndConversion!$AT$4:$AV$387,MATCH(ListAndConversion!BV326,ListAndConversion!$AV$4:$AV$387,0),1),""))</f>
        <v/>
      </c>
      <c r="B324" s="555" t="str">
        <f ca="1">IF(OR(LEFT(ListAndConversion!BW326,3)="Dil",LEFT(ListAndConversion!BW326,3)="Poo"),ListAndConversion!BU326,IF(LEFT(ListAndConversion!BW326,3)="Sou",INDEX(ListAndConversion!$AT$4:$AV$387,MATCH(ListAndConversion!BV326,ListAndConversion!$AV$4:$AV$387,0),2),""))</f>
        <v/>
      </c>
      <c r="C324" s="555" t="str">
        <f ca="1">IF(ListAndConversion!BZ326&lt;&gt;"-",ListAndConversion!BZ326,"")</f>
        <v/>
      </c>
      <c r="D324" s="555" t="str">
        <f ca="1">IF(ListAndConversion!BW326&lt;&gt;"-",ListAndConversion!BW326,"")</f>
        <v/>
      </c>
      <c r="E324" s="555" t="str">
        <f ca="1">IF(ListAndConversion!BX326&lt;&gt;"-",ListAndConversion!BX326,"")</f>
        <v/>
      </c>
      <c r="F324" s="565" t="str">
        <f ca="1">IF(ListAndConversion!BY326&lt;&gt;"-",ListAndConversion!BY326,"")</f>
        <v/>
      </c>
      <c r="G324" s="565" t="str">
        <f ca="1">IF(ListAndConversion!CB326&lt;&gt;"-",ListAndConversion!CB326,"")</f>
        <v/>
      </c>
      <c r="H324" s="565" t="str">
        <f ca="1">IF(ListAndConversion!CC326&lt;&gt;"-",ListAndConversion!CC326,"")</f>
        <v/>
      </c>
      <c r="I324" s="565" t="str">
        <f ca="1">IF(ListAndConversion!CC326&lt;&gt;"-","Microfuge1","")</f>
        <v/>
      </c>
      <c r="J324" s="583" t="str">
        <f ca="1">IF(ListAndConversion!CD326&lt;&gt;"-",ListAndConversion!CD326,"")</f>
        <v/>
      </c>
      <c r="K324" s="577" t="str">
        <f t="shared" ca="1" si="5"/>
        <v/>
      </c>
    </row>
    <row r="325" spans="1:11" x14ac:dyDescent="0.65">
      <c r="A325" s="554" t="str">
        <f ca="1">IF(OR(LEFT(ListAndConversion!BW327,3)="Dil",LEFT(ListAndConversion!BW327,3)="Poo"),ListAndConversion!$BT$4,IF(LEFT(ListAndConversion!BW327,3)="Sou",INDEX(ListAndConversion!$AT$4:$AV$387,MATCH(ListAndConversion!BV327,ListAndConversion!$AV$4:$AV$387,0),1),""))</f>
        <v/>
      </c>
      <c r="B325" s="555" t="str">
        <f ca="1">IF(OR(LEFT(ListAndConversion!BW327,3)="Dil",LEFT(ListAndConversion!BW327,3)="Poo"),ListAndConversion!BU327,IF(LEFT(ListAndConversion!BW327,3)="Sou",INDEX(ListAndConversion!$AT$4:$AV$387,MATCH(ListAndConversion!BV327,ListAndConversion!$AV$4:$AV$387,0),2),""))</f>
        <v/>
      </c>
      <c r="C325" s="555" t="str">
        <f ca="1">IF(ListAndConversion!BZ327&lt;&gt;"-",ListAndConversion!BZ327,"")</f>
        <v/>
      </c>
      <c r="D325" s="555" t="str">
        <f ca="1">IF(ListAndConversion!BW327&lt;&gt;"-",ListAndConversion!BW327,"")</f>
        <v/>
      </c>
      <c r="E325" s="555" t="str">
        <f ca="1">IF(ListAndConversion!BX327&lt;&gt;"-",ListAndConversion!BX327,"")</f>
        <v/>
      </c>
      <c r="F325" s="565" t="str">
        <f ca="1">IF(ListAndConversion!BY327&lt;&gt;"-",ListAndConversion!BY327,"")</f>
        <v/>
      </c>
      <c r="G325" s="565" t="str">
        <f ca="1">IF(ListAndConversion!CB327&lt;&gt;"-",ListAndConversion!CB327,"")</f>
        <v/>
      </c>
      <c r="H325" s="565" t="str">
        <f ca="1">IF(ListAndConversion!CC327&lt;&gt;"-",ListAndConversion!CC327,"")</f>
        <v/>
      </c>
      <c r="I325" s="565" t="str">
        <f ca="1">IF(ListAndConversion!CC327&lt;&gt;"-","Microfuge1","")</f>
        <v/>
      </c>
      <c r="J325" s="583" t="str">
        <f ca="1">IF(ListAndConversion!CD327&lt;&gt;"-",ListAndConversion!CD327,"")</f>
        <v/>
      </c>
      <c r="K325" s="577" t="str">
        <f t="shared" ca="1" si="5"/>
        <v/>
      </c>
    </row>
    <row r="326" spans="1:11" x14ac:dyDescent="0.65">
      <c r="A326" s="554" t="str">
        <f ca="1">IF(OR(LEFT(ListAndConversion!BW328,3)="Dil",LEFT(ListAndConversion!BW328,3)="Poo"),ListAndConversion!$BT$4,IF(LEFT(ListAndConversion!BW328,3)="Sou",INDEX(ListAndConversion!$AT$4:$AV$387,MATCH(ListAndConversion!BV328,ListAndConversion!$AV$4:$AV$387,0),1),""))</f>
        <v/>
      </c>
      <c r="B326" s="555" t="str">
        <f ca="1">IF(OR(LEFT(ListAndConversion!BW328,3)="Dil",LEFT(ListAndConversion!BW328,3)="Poo"),ListAndConversion!BU328,IF(LEFT(ListAndConversion!BW328,3)="Sou",INDEX(ListAndConversion!$AT$4:$AV$387,MATCH(ListAndConversion!BV328,ListAndConversion!$AV$4:$AV$387,0),2),""))</f>
        <v/>
      </c>
      <c r="C326" s="555" t="str">
        <f ca="1">IF(ListAndConversion!BZ328&lt;&gt;"-",ListAndConversion!BZ328,"")</f>
        <v/>
      </c>
      <c r="D326" s="555" t="str">
        <f ca="1">IF(ListAndConversion!BW328&lt;&gt;"-",ListAndConversion!BW328,"")</f>
        <v/>
      </c>
      <c r="E326" s="555" t="str">
        <f ca="1">IF(ListAndConversion!BX328&lt;&gt;"-",ListAndConversion!BX328,"")</f>
        <v/>
      </c>
      <c r="F326" s="565" t="str">
        <f ca="1">IF(ListAndConversion!BY328&lt;&gt;"-",ListAndConversion!BY328,"")</f>
        <v/>
      </c>
      <c r="G326" s="565" t="str">
        <f ca="1">IF(ListAndConversion!CB328&lt;&gt;"-",ListAndConversion!CB328,"")</f>
        <v/>
      </c>
      <c r="H326" s="565" t="str">
        <f ca="1">IF(ListAndConversion!CC328&lt;&gt;"-",ListAndConversion!CC328,"")</f>
        <v/>
      </c>
      <c r="I326" s="565" t="str">
        <f ca="1">IF(ListAndConversion!CC328&lt;&gt;"-","Microfuge1","")</f>
        <v/>
      </c>
      <c r="J326" s="583" t="str">
        <f ca="1">IF(ListAndConversion!CD328&lt;&gt;"-",ListAndConversion!CD328,"")</f>
        <v/>
      </c>
      <c r="K326" s="577" t="str">
        <f t="shared" ca="1" si="5"/>
        <v/>
      </c>
    </row>
    <row r="327" spans="1:11" x14ac:dyDescent="0.65">
      <c r="A327" s="554" t="str">
        <f ca="1">IF(OR(LEFT(ListAndConversion!BW329,3)="Dil",LEFT(ListAndConversion!BW329,3)="Poo"),ListAndConversion!$BT$4,IF(LEFT(ListAndConversion!BW329,3)="Sou",INDEX(ListAndConversion!$AT$4:$AV$387,MATCH(ListAndConversion!BV329,ListAndConversion!$AV$4:$AV$387,0),1),""))</f>
        <v/>
      </c>
      <c r="B327" s="555" t="str">
        <f ca="1">IF(OR(LEFT(ListAndConversion!BW329,3)="Dil",LEFT(ListAndConversion!BW329,3)="Poo"),ListAndConversion!BU329,IF(LEFT(ListAndConversion!BW329,3)="Sou",INDEX(ListAndConversion!$AT$4:$AV$387,MATCH(ListAndConversion!BV329,ListAndConversion!$AV$4:$AV$387,0),2),""))</f>
        <v/>
      </c>
      <c r="C327" s="555" t="str">
        <f ca="1">IF(ListAndConversion!BZ329&lt;&gt;"-",ListAndConversion!BZ329,"")</f>
        <v/>
      </c>
      <c r="D327" s="555" t="str">
        <f ca="1">IF(ListAndConversion!BW329&lt;&gt;"-",ListAndConversion!BW329,"")</f>
        <v/>
      </c>
      <c r="E327" s="555" t="str">
        <f ca="1">IF(ListAndConversion!BX329&lt;&gt;"-",ListAndConversion!BX329,"")</f>
        <v/>
      </c>
      <c r="F327" s="565" t="str">
        <f ca="1">IF(ListAndConversion!BY329&lt;&gt;"-",ListAndConversion!BY329,"")</f>
        <v/>
      </c>
      <c r="G327" s="565" t="str">
        <f ca="1">IF(ListAndConversion!CB329&lt;&gt;"-",ListAndConversion!CB329,"")</f>
        <v/>
      </c>
      <c r="H327" s="565" t="str">
        <f ca="1">IF(ListAndConversion!CC329&lt;&gt;"-",ListAndConversion!CC329,"")</f>
        <v/>
      </c>
      <c r="I327" s="565" t="str">
        <f ca="1">IF(ListAndConversion!CC329&lt;&gt;"-","Microfuge1","")</f>
        <v/>
      </c>
      <c r="J327" s="583" t="str">
        <f ca="1">IF(ListAndConversion!CD329&lt;&gt;"-",ListAndConversion!CD329,"")</f>
        <v/>
      </c>
      <c r="K327" s="577" t="str">
        <f t="shared" ca="1" si="5"/>
        <v/>
      </c>
    </row>
    <row r="328" spans="1:11" x14ac:dyDescent="0.65">
      <c r="A328" s="554" t="str">
        <f ca="1">IF(OR(LEFT(ListAndConversion!BW330,3)="Dil",LEFT(ListAndConversion!BW330,3)="Poo"),ListAndConversion!$BT$4,IF(LEFT(ListAndConversion!BW330,3)="Sou",INDEX(ListAndConversion!$AT$4:$AV$387,MATCH(ListAndConversion!BV330,ListAndConversion!$AV$4:$AV$387,0),1),""))</f>
        <v/>
      </c>
      <c r="B328" s="555" t="str">
        <f ca="1">IF(OR(LEFT(ListAndConversion!BW330,3)="Dil",LEFT(ListAndConversion!BW330,3)="Poo"),ListAndConversion!BU330,IF(LEFT(ListAndConversion!BW330,3)="Sou",INDEX(ListAndConversion!$AT$4:$AV$387,MATCH(ListAndConversion!BV330,ListAndConversion!$AV$4:$AV$387,0),2),""))</f>
        <v/>
      </c>
      <c r="C328" s="555" t="str">
        <f ca="1">IF(ListAndConversion!BZ330&lt;&gt;"-",ListAndConversion!BZ330,"")</f>
        <v/>
      </c>
      <c r="D328" s="555" t="str">
        <f ca="1">IF(ListAndConversion!BW330&lt;&gt;"-",ListAndConversion!BW330,"")</f>
        <v/>
      </c>
      <c r="E328" s="555" t="str">
        <f ca="1">IF(ListAndConversion!BX330&lt;&gt;"-",ListAndConversion!BX330,"")</f>
        <v/>
      </c>
      <c r="F328" s="565" t="str">
        <f ca="1">IF(ListAndConversion!BY330&lt;&gt;"-",ListAndConversion!BY330,"")</f>
        <v/>
      </c>
      <c r="G328" s="565" t="str">
        <f ca="1">IF(ListAndConversion!CB330&lt;&gt;"-",ListAndConversion!CB330,"")</f>
        <v/>
      </c>
      <c r="H328" s="565" t="str">
        <f ca="1">IF(ListAndConversion!CC330&lt;&gt;"-",ListAndConversion!CC330,"")</f>
        <v/>
      </c>
      <c r="I328" s="565" t="str">
        <f ca="1">IF(ListAndConversion!CC330&lt;&gt;"-","Microfuge1","")</f>
        <v/>
      </c>
      <c r="J328" s="583" t="str">
        <f ca="1">IF(ListAndConversion!CD330&lt;&gt;"-",ListAndConversion!CD330,"")</f>
        <v/>
      </c>
      <c r="K328" s="577" t="str">
        <f t="shared" ca="1" si="5"/>
        <v/>
      </c>
    </row>
    <row r="329" spans="1:11" x14ac:dyDescent="0.65">
      <c r="A329" s="554" t="str">
        <f ca="1">IF(OR(LEFT(ListAndConversion!BW331,3)="Dil",LEFT(ListAndConversion!BW331,3)="Poo"),ListAndConversion!$BT$4,IF(LEFT(ListAndConversion!BW331,3)="Sou",INDEX(ListAndConversion!$AT$4:$AV$387,MATCH(ListAndConversion!BV331,ListAndConversion!$AV$4:$AV$387,0),1),""))</f>
        <v/>
      </c>
      <c r="B329" s="555" t="str">
        <f ca="1">IF(OR(LEFT(ListAndConversion!BW331,3)="Dil",LEFT(ListAndConversion!BW331,3)="Poo"),ListAndConversion!BU331,IF(LEFT(ListAndConversion!BW331,3)="Sou",INDEX(ListAndConversion!$AT$4:$AV$387,MATCH(ListAndConversion!BV331,ListAndConversion!$AV$4:$AV$387,0),2),""))</f>
        <v/>
      </c>
      <c r="C329" s="555" t="str">
        <f ca="1">IF(ListAndConversion!BZ331&lt;&gt;"-",ListAndConversion!BZ331,"")</f>
        <v/>
      </c>
      <c r="D329" s="555" t="str">
        <f ca="1">IF(ListAndConversion!BW331&lt;&gt;"-",ListAndConversion!BW331,"")</f>
        <v/>
      </c>
      <c r="E329" s="555" t="str">
        <f ca="1">IF(ListAndConversion!BX331&lt;&gt;"-",ListAndConversion!BX331,"")</f>
        <v/>
      </c>
      <c r="F329" s="565" t="str">
        <f ca="1">IF(ListAndConversion!BY331&lt;&gt;"-",ListAndConversion!BY331,"")</f>
        <v/>
      </c>
      <c r="G329" s="565" t="str">
        <f ca="1">IF(ListAndConversion!CB331&lt;&gt;"-",ListAndConversion!CB331,"")</f>
        <v/>
      </c>
      <c r="H329" s="565" t="str">
        <f ca="1">IF(ListAndConversion!CC331&lt;&gt;"-",ListAndConversion!CC331,"")</f>
        <v/>
      </c>
      <c r="I329" s="565" t="str">
        <f ca="1">IF(ListAndConversion!CC331&lt;&gt;"-","Microfuge1","")</f>
        <v/>
      </c>
      <c r="J329" s="583" t="str">
        <f ca="1">IF(ListAndConversion!CD331&lt;&gt;"-",ListAndConversion!CD331,"")</f>
        <v/>
      </c>
      <c r="K329" s="577" t="str">
        <f t="shared" ca="1" si="5"/>
        <v/>
      </c>
    </row>
    <row r="330" spans="1:11" x14ac:dyDescent="0.65">
      <c r="A330" s="554" t="str">
        <f ca="1">IF(OR(LEFT(ListAndConversion!BW332,3)="Dil",LEFT(ListAndConversion!BW332,3)="Poo"),ListAndConversion!$BT$4,IF(LEFT(ListAndConversion!BW332,3)="Sou",INDEX(ListAndConversion!$AT$4:$AV$387,MATCH(ListAndConversion!BV332,ListAndConversion!$AV$4:$AV$387,0),1),""))</f>
        <v/>
      </c>
      <c r="B330" s="555" t="str">
        <f ca="1">IF(OR(LEFT(ListAndConversion!BW332,3)="Dil",LEFT(ListAndConversion!BW332,3)="Poo"),ListAndConversion!BU332,IF(LEFT(ListAndConversion!BW332,3)="Sou",INDEX(ListAndConversion!$AT$4:$AV$387,MATCH(ListAndConversion!BV332,ListAndConversion!$AV$4:$AV$387,0),2),""))</f>
        <v/>
      </c>
      <c r="C330" s="555" t="str">
        <f ca="1">IF(ListAndConversion!BZ332&lt;&gt;"-",ListAndConversion!BZ332,"")</f>
        <v/>
      </c>
      <c r="D330" s="555" t="str">
        <f ca="1">IF(ListAndConversion!BW332&lt;&gt;"-",ListAndConversion!BW332,"")</f>
        <v/>
      </c>
      <c r="E330" s="555" t="str">
        <f ca="1">IF(ListAndConversion!BX332&lt;&gt;"-",ListAndConversion!BX332,"")</f>
        <v/>
      </c>
      <c r="F330" s="565" t="str">
        <f ca="1">IF(ListAndConversion!BY332&lt;&gt;"-",ListAndConversion!BY332,"")</f>
        <v/>
      </c>
      <c r="G330" s="565" t="str">
        <f ca="1">IF(ListAndConversion!CB332&lt;&gt;"-",ListAndConversion!CB332,"")</f>
        <v/>
      </c>
      <c r="H330" s="565" t="str">
        <f ca="1">IF(ListAndConversion!CC332&lt;&gt;"-",ListAndConversion!CC332,"")</f>
        <v/>
      </c>
      <c r="I330" s="565" t="str">
        <f ca="1">IF(ListAndConversion!CC332&lt;&gt;"-","Microfuge1","")</f>
        <v/>
      </c>
      <c r="J330" s="583" t="str">
        <f ca="1">IF(ListAndConversion!CD332&lt;&gt;"-",ListAndConversion!CD332,"")</f>
        <v/>
      </c>
      <c r="K330" s="577" t="str">
        <f t="shared" ca="1" si="5"/>
        <v/>
      </c>
    </row>
    <row r="331" spans="1:11" x14ac:dyDescent="0.65">
      <c r="A331" s="554" t="str">
        <f ca="1">IF(OR(LEFT(ListAndConversion!BW333,3)="Dil",LEFT(ListAndConversion!BW333,3)="Poo"),ListAndConversion!$BT$4,IF(LEFT(ListAndConversion!BW333,3)="Sou",INDEX(ListAndConversion!$AT$4:$AV$387,MATCH(ListAndConversion!BV333,ListAndConversion!$AV$4:$AV$387,0),1),""))</f>
        <v/>
      </c>
      <c r="B331" s="555" t="str">
        <f ca="1">IF(OR(LEFT(ListAndConversion!BW333,3)="Dil",LEFT(ListAndConversion!BW333,3)="Poo"),ListAndConversion!BU333,IF(LEFT(ListAndConversion!BW333,3)="Sou",INDEX(ListAndConversion!$AT$4:$AV$387,MATCH(ListAndConversion!BV333,ListAndConversion!$AV$4:$AV$387,0),2),""))</f>
        <v/>
      </c>
      <c r="C331" s="555" t="str">
        <f ca="1">IF(ListAndConversion!BZ333&lt;&gt;"-",ListAndConversion!BZ333,"")</f>
        <v/>
      </c>
      <c r="D331" s="555" t="str">
        <f ca="1">IF(ListAndConversion!BW333&lt;&gt;"-",ListAndConversion!BW333,"")</f>
        <v/>
      </c>
      <c r="E331" s="555" t="str">
        <f ca="1">IF(ListAndConversion!BX333&lt;&gt;"-",ListAndConversion!BX333,"")</f>
        <v/>
      </c>
      <c r="F331" s="565" t="str">
        <f ca="1">IF(ListAndConversion!BY333&lt;&gt;"-",ListAndConversion!BY333,"")</f>
        <v/>
      </c>
      <c r="G331" s="565" t="str">
        <f ca="1">IF(ListAndConversion!CB333&lt;&gt;"-",ListAndConversion!CB333,"")</f>
        <v/>
      </c>
      <c r="H331" s="565" t="str">
        <f ca="1">IF(ListAndConversion!CC333&lt;&gt;"-",ListAndConversion!CC333,"")</f>
        <v/>
      </c>
      <c r="I331" s="565" t="str">
        <f ca="1">IF(ListAndConversion!CC333&lt;&gt;"-","Microfuge1","")</f>
        <v/>
      </c>
      <c r="J331" s="583" t="str">
        <f ca="1">IF(ListAndConversion!CD333&lt;&gt;"-",ListAndConversion!CD333,"")</f>
        <v/>
      </c>
      <c r="K331" s="577" t="str">
        <f t="shared" ca="1" si="5"/>
        <v/>
      </c>
    </row>
    <row r="332" spans="1:11" x14ac:dyDescent="0.65">
      <c r="A332" s="554" t="str">
        <f ca="1">IF(OR(LEFT(ListAndConversion!BW334,3)="Dil",LEFT(ListAndConversion!BW334,3)="Poo"),ListAndConversion!$BT$4,IF(LEFT(ListAndConversion!BW334,3)="Sou",INDEX(ListAndConversion!$AT$4:$AV$387,MATCH(ListAndConversion!BV334,ListAndConversion!$AV$4:$AV$387,0),1),""))</f>
        <v/>
      </c>
      <c r="B332" s="555" t="str">
        <f ca="1">IF(OR(LEFT(ListAndConversion!BW334,3)="Dil",LEFT(ListAndConversion!BW334,3)="Poo"),ListAndConversion!BU334,IF(LEFT(ListAndConversion!BW334,3)="Sou",INDEX(ListAndConversion!$AT$4:$AV$387,MATCH(ListAndConversion!BV334,ListAndConversion!$AV$4:$AV$387,0),2),""))</f>
        <v/>
      </c>
      <c r="C332" s="555" t="str">
        <f ca="1">IF(ListAndConversion!BZ334&lt;&gt;"-",ListAndConversion!BZ334,"")</f>
        <v/>
      </c>
      <c r="D332" s="555" t="str">
        <f ca="1">IF(ListAndConversion!BW334&lt;&gt;"-",ListAndConversion!BW334,"")</f>
        <v/>
      </c>
      <c r="E332" s="555" t="str">
        <f ca="1">IF(ListAndConversion!BX334&lt;&gt;"-",ListAndConversion!BX334,"")</f>
        <v/>
      </c>
      <c r="F332" s="565" t="str">
        <f ca="1">IF(ListAndConversion!BY334&lt;&gt;"-",ListAndConversion!BY334,"")</f>
        <v/>
      </c>
      <c r="G332" s="565" t="str">
        <f ca="1">IF(ListAndConversion!CB334&lt;&gt;"-",ListAndConversion!CB334,"")</f>
        <v/>
      </c>
      <c r="H332" s="565" t="str">
        <f ca="1">IF(ListAndConversion!CC334&lt;&gt;"-",ListAndConversion!CC334,"")</f>
        <v/>
      </c>
      <c r="I332" s="565" t="str">
        <f ca="1">IF(ListAndConversion!CC334&lt;&gt;"-","Microfuge1","")</f>
        <v/>
      </c>
      <c r="J332" s="583" t="str">
        <f ca="1">IF(ListAndConversion!CD334&lt;&gt;"-",ListAndConversion!CD334,"")</f>
        <v/>
      </c>
      <c r="K332" s="577" t="str">
        <f t="shared" ca="1" si="5"/>
        <v/>
      </c>
    </row>
    <row r="333" spans="1:11" x14ac:dyDescent="0.65">
      <c r="A333" s="554" t="str">
        <f ca="1">IF(OR(LEFT(ListAndConversion!BW335,3)="Dil",LEFT(ListAndConversion!BW335,3)="Poo"),ListAndConversion!$BT$4,IF(LEFT(ListAndConversion!BW335,3)="Sou",INDEX(ListAndConversion!$AT$4:$AV$387,MATCH(ListAndConversion!BV335,ListAndConversion!$AV$4:$AV$387,0),1),""))</f>
        <v/>
      </c>
      <c r="B333" s="555" t="str">
        <f ca="1">IF(OR(LEFT(ListAndConversion!BW335,3)="Dil",LEFT(ListAndConversion!BW335,3)="Poo"),ListAndConversion!BU335,IF(LEFT(ListAndConversion!BW335,3)="Sou",INDEX(ListAndConversion!$AT$4:$AV$387,MATCH(ListAndConversion!BV335,ListAndConversion!$AV$4:$AV$387,0),2),""))</f>
        <v/>
      </c>
      <c r="C333" s="555" t="str">
        <f ca="1">IF(ListAndConversion!BZ335&lt;&gt;"-",ListAndConversion!BZ335,"")</f>
        <v/>
      </c>
      <c r="D333" s="555" t="str">
        <f ca="1">IF(ListAndConversion!BW335&lt;&gt;"-",ListAndConversion!BW335,"")</f>
        <v/>
      </c>
      <c r="E333" s="555" t="str">
        <f ca="1">IF(ListAndConversion!BX335&lt;&gt;"-",ListAndConversion!BX335,"")</f>
        <v/>
      </c>
      <c r="F333" s="565" t="str">
        <f ca="1">IF(ListAndConversion!BY335&lt;&gt;"-",ListAndConversion!BY335,"")</f>
        <v/>
      </c>
      <c r="G333" s="565" t="str">
        <f ca="1">IF(ListAndConversion!CB335&lt;&gt;"-",ListAndConversion!CB335,"")</f>
        <v/>
      </c>
      <c r="H333" s="565" t="str">
        <f ca="1">IF(ListAndConversion!CC335&lt;&gt;"-",ListAndConversion!CC335,"")</f>
        <v/>
      </c>
      <c r="I333" s="565" t="str">
        <f ca="1">IF(ListAndConversion!CC335&lt;&gt;"-","Microfuge1","")</f>
        <v/>
      </c>
      <c r="J333" s="583" t="str">
        <f ca="1">IF(ListAndConversion!CD335&lt;&gt;"-",ListAndConversion!CD335,"")</f>
        <v/>
      </c>
      <c r="K333" s="577" t="str">
        <f t="shared" ca="1" si="5"/>
        <v/>
      </c>
    </row>
    <row r="334" spans="1:11" x14ac:dyDescent="0.65">
      <c r="A334" s="554" t="str">
        <f ca="1">IF(OR(LEFT(ListAndConversion!BW336,3)="Dil",LEFT(ListAndConversion!BW336,3)="Poo"),ListAndConversion!$BT$4,IF(LEFT(ListAndConversion!BW336,3)="Sou",INDEX(ListAndConversion!$AT$4:$AV$387,MATCH(ListAndConversion!BV336,ListAndConversion!$AV$4:$AV$387,0),1),""))</f>
        <v/>
      </c>
      <c r="B334" s="555" t="str">
        <f ca="1">IF(OR(LEFT(ListAndConversion!BW336,3)="Dil",LEFT(ListAndConversion!BW336,3)="Poo"),ListAndConversion!BU336,IF(LEFT(ListAndConversion!BW336,3)="Sou",INDEX(ListAndConversion!$AT$4:$AV$387,MATCH(ListAndConversion!BV336,ListAndConversion!$AV$4:$AV$387,0),2),""))</f>
        <v/>
      </c>
      <c r="C334" s="555" t="str">
        <f ca="1">IF(ListAndConversion!BZ336&lt;&gt;"-",ListAndConversion!BZ336,"")</f>
        <v/>
      </c>
      <c r="D334" s="555" t="str">
        <f ca="1">IF(ListAndConversion!BW336&lt;&gt;"-",ListAndConversion!BW336,"")</f>
        <v/>
      </c>
      <c r="E334" s="555" t="str">
        <f ca="1">IF(ListAndConversion!BX336&lt;&gt;"-",ListAndConversion!BX336,"")</f>
        <v/>
      </c>
      <c r="F334" s="565" t="str">
        <f ca="1">IF(ListAndConversion!BY336&lt;&gt;"-",ListAndConversion!BY336,"")</f>
        <v/>
      </c>
      <c r="G334" s="565" t="str">
        <f ca="1">IF(ListAndConversion!CB336&lt;&gt;"-",ListAndConversion!CB336,"")</f>
        <v/>
      </c>
      <c r="H334" s="565" t="str">
        <f ca="1">IF(ListAndConversion!CC336&lt;&gt;"-",ListAndConversion!CC336,"")</f>
        <v/>
      </c>
      <c r="I334" s="565" t="str">
        <f ca="1">IF(ListAndConversion!CC336&lt;&gt;"-","Microfuge1","")</f>
        <v/>
      </c>
      <c r="J334" s="583" t="str">
        <f ca="1">IF(ListAndConversion!CD336&lt;&gt;"-",ListAndConversion!CD336,"")</f>
        <v/>
      </c>
      <c r="K334" s="577" t="str">
        <f t="shared" ca="1" si="5"/>
        <v/>
      </c>
    </row>
    <row r="335" spans="1:11" x14ac:dyDescent="0.65">
      <c r="A335" s="554" t="str">
        <f ca="1">IF(OR(LEFT(ListAndConversion!BW337,3)="Dil",LEFT(ListAndConversion!BW337,3)="Poo"),ListAndConversion!$BT$4,IF(LEFT(ListAndConversion!BW337,3)="Sou",INDEX(ListAndConversion!$AT$4:$AV$387,MATCH(ListAndConversion!BV337,ListAndConversion!$AV$4:$AV$387,0),1),""))</f>
        <v/>
      </c>
      <c r="B335" s="555" t="str">
        <f ca="1">IF(OR(LEFT(ListAndConversion!BW337,3)="Dil",LEFT(ListAndConversion!BW337,3)="Poo"),ListAndConversion!BU337,IF(LEFT(ListAndConversion!BW337,3)="Sou",INDEX(ListAndConversion!$AT$4:$AV$387,MATCH(ListAndConversion!BV337,ListAndConversion!$AV$4:$AV$387,0),2),""))</f>
        <v/>
      </c>
      <c r="C335" s="555" t="str">
        <f ca="1">IF(ListAndConversion!BZ337&lt;&gt;"-",ListAndConversion!BZ337,"")</f>
        <v/>
      </c>
      <c r="D335" s="555" t="str">
        <f ca="1">IF(ListAndConversion!BW337&lt;&gt;"-",ListAndConversion!BW337,"")</f>
        <v/>
      </c>
      <c r="E335" s="555" t="str">
        <f ca="1">IF(ListAndConversion!BX337&lt;&gt;"-",ListAndConversion!BX337,"")</f>
        <v/>
      </c>
      <c r="F335" s="565" t="str">
        <f ca="1">IF(ListAndConversion!BY337&lt;&gt;"-",ListAndConversion!BY337,"")</f>
        <v/>
      </c>
      <c r="G335" s="565" t="str">
        <f ca="1">IF(ListAndConversion!CB337&lt;&gt;"-",ListAndConversion!CB337,"")</f>
        <v/>
      </c>
      <c r="H335" s="565" t="str">
        <f ca="1">IF(ListAndConversion!CC337&lt;&gt;"-",ListAndConversion!CC337,"")</f>
        <v/>
      </c>
      <c r="I335" s="565" t="str">
        <f ca="1">IF(ListAndConversion!CC337&lt;&gt;"-","Microfuge1","")</f>
        <v/>
      </c>
      <c r="J335" s="583" t="str">
        <f ca="1">IF(ListAndConversion!CD337&lt;&gt;"-",ListAndConversion!CD337,"")</f>
        <v/>
      </c>
      <c r="K335" s="577" t="str">
        <f t="shared" ca="1" si="5"/>
        <v/>
      </c>
    </row>
    <row r="336" spans="1:11" x14ac:dyDescent="0.65">
      <c r="A336" s="554" t="str">
        <f ca="1">IF(OR(LEFT(ListAndConversion!BW338,3)="Dil",LEFT(ListAndConversion!BW338,3)="Poo"),ListAndConversion!$BT$4,IF(LEFT(ListAndConversion!BW338,3)="Sou",INDEX(ListAndConversion!$AT$4:$AV$387,MATCH(ListAndConversion!BV338,ListAndConversion!$AV$4:$AV$387,0),1),""))</f>
        <v/>
      </c>
      <c r="B336" s="555" t="str">
        <f ca="1">IF(OR(LEFT(ListAndConversion!BW338,3)="Dil",LEFT(ListAndConversion!BW338,3)="Poo"),ListAndConversion!BU338,IF(LEFT(ListAndConversion!BW338,3)="Sou",INDEX(ListAndConversion!$AT$4:$AV$387,MATCH(ListAndConversion!BV338,ListAndConversion!$AV$4:$AV$387,0),2),""))</f>
        <v/>
      </c>
      <c r="C336" s="555" t="str">
        <f ca="1">IF(ListAndConversion!BZ338&lt;&gt;"-",ListAndConversion!BZ338,"")</f>
        <v/>
      </c>
      <c r="D336" s="555" t="str">
        <f ca="1">IF(ListAndConversion!BW338&lt;&gt;"-",ListAndConversion!BW338,"")</f>
        <v/>
      </c>
      <c r="E336" s="555" t="str">
        <f ca="1">IF(ListAndConversion!BX338&lt;&gt;"-",ListAndConversion!BX338,"")</f>
        <v/>
      </c>
      <c r="F336" s="565" t="str">
        <f ca="1">IF(ListAndConversion!BY338&lt;&gt;"-",ListAndConversion!BY338,"")</f>
        <v/>
      </c>
      <c r="G336" s="565" t="str">
        <f ca="1">IF(ListAndConversion!CB338&lt;&gt;"-",ListAndConversion!CB338,"")</f>
        <v/>
      </c>
      <c r="H336" s="565" t="str">
        <f ca="1">IF(ListAndConversion!CC338&lt;&gt;"-",ListAndConversion!CC338,"")</f>
        <v/>
      </c>
      <c r="I336" s="565" t="str">
        <f ca="1">IF(ListAndConversion!CC338&lt;&gt;"-","Microfuge1","")</f>
        <v/>
      </c>
      <c r="J336" s="583" t="str">
        <f ca="1">IF(ListAndConversion!CD338&lt;&gt;"-",ListAndConversion!CD338,"")</f>
        <v/>
      </c>
      <c r="K336" s="577" t="str">
        <f t="shared" ca="1" si="5"/>
        <v/>
      </c>
    </row>
    <row r="337" spans="1:11" x14ac:dyDescent="0.65">
      <c r="A337" s="554" t="str">
        <f ca="1">IF(OR(LEFT(ListAndConversion!BW339,3)="Dil",LEFT(ListAndConversion!BW339,3)="Poo"),ListAndConversion!$BT$4,IF(LEFT(ListAndConversion!BW339,3)="Sou",INDEX(ListAndConversion!$AT$4:$AV$387,MATCH(ListAndConversion!BV339,ListAndConversion!$AV$4:$AV$387,0),1),""))</f>
        <v/>
      </c>
      <c r="B337" s="555" t="str">
        <f ca="1">IF(OR(LEFT(ListAndConversion!BW339,3)="Dil",LEFT(ListAndConversion!BW339,3)="Poo"),ListAndConversion!BU339,IF(LEFT(ListAndConversion!BW339,3)="Sou",INDEX(ListAndConversion!$AT$4:$AV$387,MATCH(ListAndConversion!BV339,ListAndConversion!$AV$4:$AV$387,0),2),""))</f>
        <v/>
      </c>
      <c r="C337" s="555" t="str">
        <f ca="1">IF(ListAndConversion!BZ339&lt;&gt;"-",ListAndConversion!BZ339,"")</f>
        <v/>
      </c>
      <c r="D337" s="555" t="str">
        <f ca="1">IF(ListAndConversion!BW339&lt;&gt;"-",ListAndConversion!BW339,"")</f>
        <v/>
      </c>
      <c r="E337" s="555" t="str">
        <f ca="1">IF(ListAndConversion!BX339&lt;&gt;"-",ListAndConversion!BX339,"")</f>
        <v/>
      </c>
      <c r="F337" s="565" t="str">
        <f ca="1">IF(ListAndConversion!BY339&lt;&gt;"-",ListAndConversion!BY339,"")</f>
        <v/>
      </c>
      <c r="G337" s="565" t="str">
        <f ca="1">IF(ListAndConversion!CB339&lt;&gt;"-",ListAndConversion!CB339,"")</f>
        <v/>
      </c>
      <c r="H337" s="565" t="str">
        <f ca="1">IF(ListAndConversion!CC339&lt;&gt;"-",ListAndConversion!CC339,"")</f>
        <v/>
      </c>
      <c r="I337" s="565" t="str">
        <f ca="1">IF(ListAndConversion!CC339&lt;&gt;"-","Microfuge1","")</f>
        <v/>
      </c>
      <c r="J337" s="583" t="str">
        <f ca="1">IF(ListAndConversion!CD339&lt;&gt;"-",ListAndConversion!CD339,"")</f>
        <v/>
      </c>
      <c r="K337" s="577" t="str">
        <f t="shared" ca="1" si="5"/>
        <v/>
      </c>
    </row>
    <row r="338" spans="1:11" x14ac:dyDescent="0.65">
      <c r="A338" s="554" t="str">
        <f ca="1">IF(OR(LEFT(ListAndConversion!BW340,3)="Dil",LEFT(ListAndConversion!BW340,3)="Poo"),ListAndConversion!$BT$4,IF(LEFT(ListAndConversion!BW340,3)="Sou",INDEX(ListAndConversion!$AT$4:$AV$387,MATCH(ListAndConversion!BV340,ListAndConversion!$AV$4:$AV$387,0),1),""))</f>
        <v/>
      </c>
      <c r="B338" s="555" t="str">
        <f ca="1">IF(OR(LEFT(ListAndConversion!BW340,3)="Dil",LEFT(ListAndConversion!BW340,3)="Poo"),ListAndConversion!BU340,IF(LEFT(ListAndConversion!BW340,3)="Sou",INDEX(ListAndConversion!$AT$4:$AV$387,MATCH(ListAndConversion!BV340,ListAndConversion!$AV$4:$AV$387,0),2),""))</f>
        <v/>
      </c>
      <c r="C338" s="555" t="str">
        <f ca="1">IF(ListAndConversion!BZ340&lt;&gt;"-",ListAndConversion!BZ340,"")</f>
        <v/>
      </c>
      <c r="D338" s="555" t="str">
        <f ca="1">IF(ListAndConversion!BW340&lt;&gt;"-",ListAndConversion!BW340,"")</f>
        <v/>
      </c>
      <c r="E338" s="555" t="str">
        <f ca="1">IF(ListAndConversion!BX340&lt;&gt;"-",ListAndConversion!BX340,"")</f>
        <v/>
      </c>
      <c r="F338" s="565" t="str">
        <f ca="1">IF(ListAndConversion!BY340&lt;&gt;"-",ListAndConversion!BY340,"")</f>
        <v/>
      </c>
      <c r="G338" s="565" t="str">
        <f ca="1">IF(ListAndConversion!CB340&lt;&gt;"-",ListAndConversion!CB340,"")</f>
        <v/>
      </c>
      <c r="H338" s="565" t="str">
        <f ca="1">IF(ListAndConversion!CC340&lt;&gt;"-",ListAndConversion!CC340,"")</f>
        <v/>
      </c>
      <c r="I338" s="565" t="str">
        <f ca="1">IF(ListAndConversion!CC340&lt;&gt;"-","Microfuge1","")</f>
        <v/>
      </c>
      <c r="J338" s="583" t="str">
        <f ca="1">IF(ListAndConversion!CD340&lt;&gt;"-",ListAndConversion!CD340,"")</f>
        <v/>
      </c>
      <c r="K338" s="577" t="str">
        <f t="shared" ca="1" si="5"/>
        <v/>
      </c>
    </row>
    <row r="339" spans="1:11" x14ac:dyDescent="0.65">
      <c r="A339" s="554" t="str">
        <f ca="1">IF(OR(LEFT(ListAndConversion!BW341,3)="Dil",LEFT(ListAndConversion!BW341,3)="Poo"),ListAndConversion!$BT$4,IF(LEFT(ListAndConversion!BW341,3)="Sou",INDEX(ListAndConversion!$AT$4:$AV$387,MATCH(ListAndConversion!BV341,ListAndConversion!$AV$4:$AV$387,0),1),""))</f>
        <v/>
      </c>
      <c r="B339" s="555" t="str">
        <f ca="1">IF(OR(LEFT(ListAndConversion!BW341,3)="Dil",LEFT(ListAndConversion!BW341,3)="Poo"),ListAndConversion!BU341,IF(LEFT(ListAndConversion!BW341,3)="Sou",INDEX(ListAndConversion!$AT$4:$AV$387,MATCH(ListAndConversion!BV341,ListAndConversion!$AV$4:$AV$387,0),2),""))</f>
        <v/>
      </c>
      <c r="C339" s="555" t="str">
        <f ca="1">IF(ListAndConversion!BZ341&lt;&gt;"-",ListAndConversion!BZ341,"")</f>
        <v/>
      </c>
      <c r="D339" s="555" t="str">
        <f ca="1">IF(ListAndConversion!BW341&lt;&gt;"-",ListAndConversion!BW341,"")</f>
        <v/>
      </c>
      <c r="E339" s="555" t="str">
        <f ca="1">IF(ListAndConversion!BX341&lt;&gt;"-",ListAndConversion!BX341,"")</f>
        <v/>
      </c>
      <c r="F339" s="565" t="str">
        <f ca="1">IF(ListAndConversion!BY341&lt;&gt;"-",ListAndConversion!BY341,"")</f>
        <v/>
      </c>
      <c r="G339" s="565" t="str">
        <f ca="1">IF(ListAndConversion!CB341&lt;&gt;"-",ListAndConversion!CB341,"")</f>
        <v/>
      </c>
      <c r="H339" s="565" t="str">
        <f ca="1">IF(ListAndConversion!CC341&lt;&gt;"-",ListAndConversion!CC341,"")</f>
        <v/>
      </c>
      <c r="I339" s="565" t="str">
        <f ca="1">IF(ListAndConversion!CC341&lt;&gt;"-","Microfuge1","")</f>
        <v/>
      </c>
      <c r="J339" s="583" t="str">
        <f ca="1">IF(ListAndConversion!CD341&lt;&gt;"-",ListAndConversion!CD341,"")</f>
        <v/>
      </c>
      <c r="K339" s="577" t="str">
        <f t="shared" ca="1" si="5"/>
        <v/>
      </c>
    </row>
    <row r="340" spans="1:11" x14ac:dyDescent="0.65">
      <c r="A340" s="554" t="str">
        <f ca="1">IF(OR(LEFT(ListAndConversion!BW342,3)="Dil",LEFT(ListAndConversion!BW342,3)="Poo"),ListAndConversion!$BT$4,IF(LEFT(ListAndConversion!BW342,3)="Sou",INDEX(ListAndConversion!$AT$4:$AV$387,MATCH(ListAndConversion!BV342,ListAndConversion!$AV$4:$AV$387,0),1),""))</f>
        <v/>
      </c>
      <c r="B340" s="555" t="str">
        <f ca="1">IF(OR(LEFT(ListAndConversion!BW342,3)="Dil",LEFT(ListAndConversion!BW342,3)="Poo"),ListAndConversion!BU342,IF(LEFT(ListAndConversion!BW342,3)="Sou",INDEX(ListAndConversion!$AT$4:$AV$387,MATCH(ListAndConversion!BV342,ListAndConversion!$AV$4:$AV$387,0),2),""))</f>
        <v/>
      </c>
      <c r="C340" s="555" t="str">
        <f ca="1">IF(ListAndConversion!BZ342&lt;&gt;"-",ListAndConversion!BZ342,"")</f>
        <v/>
      </c>
      <c r="D340" s="555" t="str">
        <f ca="1">IF(ListAndConversion!BW342&lt;&gt;"-",ListAndConversion!BW342,"")</f>
        <v/>
      </c>
      <c r="E340" s="555" t="str">
        <f ca="1">IF(ListAndConversion!BX342&lt;&gt;"-",ListAndConversion!BX342,"")</f>
        <v/>
      </c>
      <c r="F340" s="565" t="str">
        <f ca="1">IF(ListAndConversion!BY342&lt;&gt;"-",ListAndConversion!BY342,"")</f>
        <v/>
      </c>
      <c r="G340" s="565" t="str">
        <f ca="1">IF(ListAndConversion!CB342&lt;&gt;"-",ListAndConversion!CB342,"")</f>
        <v/>
      </c>
      <c r="H340" s="565" t="str">
        <f ca="1">IF(ListAndConversion!CC342&lt;&gt;"-",ListAndConversion!CC342,"")</f>
        <v/>
      </c>
      <c r="I340" s="565" t="str">
        <f ca="1">IF(ListAndConversion!CC342&lt;&gt;"-","Microfuge1","")</f>
        <v/>
      </c>
      <c r="J340" s="583" t="str">
        <f ca="1">IF(ListAndConversion!CD342&lt;&gt;"-",ListAndConversion!CD342,"")</f>
        <v/>
      </c>
      <c r="K340" s="577" t="str">
        <f t="shared" ca="1" si="5"/>
        <v/>
      </c>
    </row>
    <row r="341" spans="1:11" x14ac:dyDescent="0.65">
      <c r="A341" s="554" t="str">
        <f ca="1">IF(OR(LEFT(ListAndConversion!BW343,3)="Dil",LEFT(ListAndConversion!BW343,3)="Poo"),ListAndConversion!$BT$4,IF(LEFT(ListAndConversion!BW343,3)="Sou",INDEX(ListAndConversion!$AT$4:$AV$387,MATCH(ListAndConversion!BV343,ListAndConversion!$AV$4:$AV$387,0),1),""))</f>
        <v/>
      </c>
      <c r="B341" s="555" t="str">
        <f ca="1">IF(OR(LEFT(ListAndConversion!BW343,3)="Dil",LEFT(ListAndConversion!BW343,3)="Poo"),ListAndConversion!BU343,IF(LEFT(ListAndConversion!BW343,3)="Sou",INDEX(ListAndConversion!$AT$4:$AV$387,MATCH(ListAndConversion!BV343,ListAndConversion!$AV$4:$AV$387,0),2),""))</f>
        <v/>
      </c>
      <c r="C341" s="555" t="str">
        <f ca="1">IF(ListAndConversion!BZ343&lt;&gt;"-",ListAndConversion!BZ343,"")</f>
        <v/>
      </c>
      <c r="D341" s="555" t="str">
        <f ca="1">IF(ListAndConversion!BW343&lt;&gt;"-",ListAndConversion!BW343,"")</f>
        <v/>
      </c>
      <c r="E341" s="555" t="str">
        <f ca="1">IF(ListAndConversion!BX343&lt;&gt;"-",ListAndConversion!BX343,"")</f>
        <v/>
      </c>
      <c r="F341" s="565" t="str">
        <f ca="1">IF(ListAndConversion!BY343&lt;&gt;"-",ListAndConversion!BY343,"")</f>
        <v/>
      </c>
      <c r="G341" s="565" t="str">
        <f ca="1">IF(ListAndConversion!CB343&lt;&gt;"-",ListAndConversion!CB343,"")</f>
        <v/>
      </c>
      <c r="H341" s="565" t="str">
        <f ca="1">IF(ListAndConversion!CC343&lt;&gt;"-",ListAndConversion!CC343,"")</f>
        <v/>
      </c>
      <c r="I341" s="565" t="str">
        <f ca="1">IF(ListAndConversion!CC343&lt;&gt;"-","Microfuge1","")</f>
        <v/>
      </c>
      <c r="J341" s="583" t="str">
        <f ca="1">IF(ListAndConversion!CD343&lt;&gt;"-",ListAndConversion!CD343,"")</f>
        <v/>
      </c>
      <c r="K341" s="577" t="str">
        <f t="shared" ca="1" si="5"/>
        <v/>
      </c>
    </row>
    <row r="342" spans="1:11" x14ac:dyDescent="0.65">
      <c r="A342" s="554" t="str">
        <f ca="1">IF(OR(LEFT(ListAndConversion!BW344,3)="Dil",LEFT(ListAndConversion!BW344,3)="Poo"),ListAndConversion!$BT$4,IF(LEFT(ListAndConversion!BW344,3)="Sou",INDEX(ListAndConversion!$AT$4:$AV$387,MATCH(ListAndConversion!BV344,ListAndConversion!$AV$4:$AV$387,0),1),""))</f>
        <v/>
      </c>
      <c r="B342" s="555" t="str">
        <f ca="1">IF(OR(LEFT(ListAndConversion!BW344,3)="Dil",LEFT(ListAndConversion!BW344,3)="Poo"),ListAndConversion!BU344,IF(LEFT(ListAndConversion!BW344,3)="Sou",INDEX(ListAndConversion!$AT$4:$AV$387,MATCH(ListAndConversion!BV344,ListAndConversion!$AV$4:$AV$387,0),2),""))</f>
        <v/>
      </c>
      <c r="C342" s="555" t="str">
        <f ca="1">IF(ListAndConversion!BZ344&lt;&gt;"-",ListAndConversion!BZ344,"")</f>
        <v/>
      </c>
      <c r="D342" s="555" t="str">
        <f ca="1">IF(ListAndConversion!BW344&lt;&gt;"-",ListAndConversion!BW344,"")</f>
        <v/>
      </c>
      <c r="E342" s="555" t="str">
        <f ca="1">IF(ListAndConversion!BX344&lt;&gt;"-",ListAndConversion!BX344,"")</f>
        <v/>
      </c>
      <c r="F342" s="565" t="str">
        <f ca="1">IF(ListAndConversion!BY344&lt;&gt;"-",ListAndConversion!BY344,"")</f>
        <v/>
      </c>
      <c r="G342" s="565" t="str">
        <f ca="1">IF(ListAndConversion!CB344&lt;&gt;"-",ListAndConversion!CB344,"")</f>
        <v/>
      </c>
      <c r="H342" s="565" t="str">
        <f ca="1">IF(ListAndConversion!CC344&lt;&gt;"-",ListAndConversion!CC344,"")</f>
        <v/>
      </c>
      <c r="I342" s="565" t="str">
        <f ca="1">IF(ListAndConversion!CC344&lt;&gt;"-","Microfuge1","")</f>
        <v/>
      </c>
      <c r="J342" s="583" t="str">
        <f ca="1">IF(ListAndConversion!CD344&lt;&gt;"-",ListAndConversion!CD344,"")</f>
        <v/>
      </c>
      <c r="K342" s="577" t="str">
        <f t="shared" ca="1" si="5"/>
        <v/>
      </c>
    </row>
    <row r="343" spans="1:11" x14ac:dyDescent="0.65">
      <c r="A343" s="554" t="str">
        <f ca="1">IF(OR(LEFT(ListAndConversion!BW345,3)="Dil",LEFT(ListAndConversion!BW345,3)="Poo"),ListAndConversion!$BT$4,IF(LEFT(ListAndConversion!BW345,3)="Sou",INDEX(ListAndConversion!$AT$4:$AV$387,MATCH(ListAndConversion!BV345,ListAndConversion!$AV$4:$AV$387,0),1),""))</f>
        <v/>
      </c>
      <c r="B343" s="555" t="str">
        <f ca="1">IF(OR(LEFT(ListAndConversion!BW345,3)="Dil",LEFT(ListAndConversion!BW345,3)="Poo"),ListAndConversion!BU345,IF(LEFT(ListAndConversion!BW345,3)="Sou",INDEX(ListAndConversion!$AT$4:$AV$387,MATCH(ListAndConversion!BV345,ListAndConversion!$AV$4:$AV$387,0),2),""))</f>
        <v/>
      </c>
      <c r="C343" s="555" t="str">
        <f ca="1">IF(ListAndConversion!BZ345&lt;&gt;"-",ListAndConversion!BZ345,"")</f>
        <v/>
      </c>
      <c r="D343" s="555" t="str">
        <f ca="1">IF(ListAndConversion!BW345&lt;&gt;"-",ListAndConversion!BW345,"")</f>
        <v/>
      </c>
      <c r="E343" s="555" t="str">
        <f ca="1">IF(ListAndConversion!BX345&lt;&gt;"-",ListAndConversion!BX345,"")</f>
        <v/>
      </c>
      <c r="F343" s="565" t="str">
        <f ca="1">IF(ListAndConversion!BY345&lt;&gt;"-",ListAndConversion!BY345,"")</f>
        <v/>
      </c>
      <c r="G343" s="565" t="str">
        <f ca="1">IF(ListAndConversion!CB345&lt;&gt;"-",ListAndConversion!CB345,"")</f>
        <v/>
      </c>
      <c r="H343" s="565" t="str">
        <f ca="1">IF(ListAndConversion!CC345&lt;&gt;"-",ListAndConversion!CC345,"")</f>
        <v/>
      </c>
      <c r="I343" s="565" t="str">
        <f ca="1">IF(ListAndConversion!CC345&lt;&gt;"-","Microfuge1","")</f>
        <v/>
      </c>
      <c r="J343" s="583" t="str">
        <f ca="1">IF(ListAndConversion!CD345&lt;&gt;"-",ListAndConversion!CD345,"")</f>
        <v/>
      </c>
      <c r="K343" s="577" t="str">
        <f t="shared" ca="1" si="5"/>
        <v/>
      </c>
    </row>
    <row r="344" spans="1:11" x14ac:dyDescent="0.65">
      <c r="A344" s="554" t="str">
        <f ca="1">IF(OR(LEFT(ListAndConversion!BW346,3)="Dil",LEFT(ListAndConversion!BW346,3)="Poo"),ListAndConversion!$BT$4,IF(LEFT(ListAndConversion!BW346,3)="Sou",INDEX(ListAndConversion!$AT$4:$AV$387,MATCH(ListAndConversion!BV346,ListAndConversion!$AV$4:$AV$387,0),1),""))</f>
        <v/>
      </c>
      <c r="B344" s="555" t="str">
        <f ca="1">IF(OR(LEFT(ListAndConversion!BW346,3)="Dil",LEFT(ListAndConversion!BW346,3)="Poo"),ListAndConversion!BU346,IF(LEFT(ListAndConversion!BW346,3)="Sou",INDEX(ListAndConversion!$AT$4:$AV$387,MATCH(ListAndConversion!BV346,ListAndConversion!$AV$4:$AV$387,0),2),""))</f>
        <v/>
      </c>
      <c r="C344" s="555" t="str">
        <f ca="1">IF(ListAndConversion!BZ346&lt;&gt;"-",ListAndConversion!BZ346,"")</f>
        <v/>
      </c>
      <c r="D344" s="555" t="str">
        <f ca="1">IF(ListAndConversion!BW346&lt;&gt;"-",ListAndConversion!BW346,"")</f>
        <v/>
      </c>
      <c r="E344" s="555" t="str">
        <f ca="1">IF(ListAndConversion!BX346&lt;&gt;"-",ListAndConversion!BX346,"")</f>
        <v/>
      </c>
      <c r="F344" s="565" t="str">
        <f ca="1">IF(ListAndConversion!BY346&lt;&gt;"-",ListAndConversion!BY346,"")</f>
        <v/>
      </c>
      <c r="G344" s="565" t="str">
        <f ca="1">IF(ListAndConversion!CB346&lt;&gt;"-",ListAndConversion!CB346,"")</f>
        <v/>
      </c>
      <c r="H344" s="565" t="str">
        <f ca="1">IF(ListAndConversion!CC346&lt;&gt;"-",ListAndConversion!CC346,"")</f>
        <v/>
      </c>
      <c r="I344" s="565" t="str">
        <f ca="1">IF(ListAndConversion!CC346&lt;&gt;"-","Microfuge1","")</f>
        <v/>
      </c>
      <c r="J344" s="583" t="str">
        <f ca="1">IF(ListAndConversion!CD346&lt;&gt;"-",ListAndConversion!CD346,"")</f>
        <v/>
      </c>
      <c r="K344" s="577" t="str">
        <f t="shared" ca="1" si="5"/>
        <v/>
      </c>
    </row>
    <row r="345" spans="1:11" x14ac:dyDescent="0.65">
      <c r="A345" s="554" t="str">
        <f ca="1">IF(OR(LEFT(ListAndConversion!BW347,3)="Dil",LEFT(ListAndConversion!BW347,3)="Poo"),ListAndConversion!$BT$4,IF(LEFT(ListAndConversion!BW347,3)="Sou",INDEX(ListAndConversion!$AT$4:$AV$387,MATCH(ListAndConversion!BV347,ListAndConversion!$AV$4:$AV$387,0),1),""))</f>
        <v/>
      </c>
      <c r="B345" s="555" t="str">
        <f ca="1">IF(OR(LEFT(ListAndConversion!BW347,3)="Dil",LEFT(ListAndConversion!BW347,3)="Poo"),ListAndConversion!BU347,IF(LEFT(ListAndConversion!BW347,3)="Sou",INDEX(ListAndConversion!$AT$4:$AV$387,MATCH(ListAndConversion!BV347,ListAndConversion!$AV$4:$AV$387,0),2),""))</f>
        <v/>
      </c>
      <c r="C345" s="555" t="str">
        <f ca="1">IF(ListAndConversion!BZ347&lt;&gt;"-",ListAndConversion!BZ347,"")</f>
        <v/>
      </c>
      <c r="D345" s="555" t="str">
        <f ca="1">IF(ListAndConversion!BW347&lt;&gt;"-",ListAndConversion!BW347,"")</f>
        <v/>
      </c>
      <c r="E345" s="555" t="str">
        <f ca="1">IF(ListAndConversion!BX347&lt;&gt;"-",ListAndConversion!BX347,"")</f>
        <v/>
      </c>
      <c r="F345" s="565" t="str">
        <f ca="1">IF(ListAndConversion!BY347&lt;&gt;"-",ListAndConversion!BY347,"")</f>
        <v/>
      </c>
      <c r="G345" s="565" t="str">
        <f ca="1">IF(ListAndConversion!CB347&lt;&gt;"-",ListAndConversion!CB347,"")</f>
        <v/>
      </c>
      <c r="H345" s="565" t="str">
        <f ca="1">IF(ListAndConversion!CC347&lt;&gt;"-",ListAndConversion!CC347,"")</f>
        <v/>
      </c>
      <c r="I345" s="565" t="str">
        <f ca="1">IF(ListAndConversion!CC347&lt;&gt;"-","Microfuge1","")</f>
        <v/>
      </c>
      <c r="J345" s="583" t="str">
        <f ca="1">IF(ListAndConversion!CD347&lt;&gt;"-",ListAndConversion!CD347,"")</f>
        <v/>
      </c>
      <c r="K345" s="577" t="str">
        <f t="shared" ca="1" si="5"/>
        <v/>
      </c>
    </row>
    <row r="346" spans="1:11" x14ac:dyDescent="0.65">
      <c r="A346" s="554" t="str">
        <f ca="1">IF(OR(LEFT(ListAndConversion!BW348,3)="Dil",LEFT(ListAndConversion!BW348,3)="Poo"),ListAndConversion!$BT$4,IF(LEFT(ListAndConversion!BW348,3)="Sou",INDEX(ListAndConversion!$AT$4:$AV$387,MATCH(ListAndConversion!BV348,ListAndConversion!$AV$4:$AV$387,0),1),""))</f>
        <v/>
      </c>
      <c r="B346" s="555" t="str">
        <f ca="1">IF(OR(LEFT(ListAndConversion!BW348,3)="Dil",LEFT(ListAndConversion!BW348,3)="Poo"),ListAndConversion!BU348,IF(LEFT(ListAndConversion!BW348,3)="Sou",INDEX(ListAndConversion!$AT$4:$AV$387,MATCH(ListAndConversion!BV348,ListAndConversion!$AV$4:$AV$387,0),2),""))</f>
        <v/>
      </c>
      <c r="C346" s="555" t="str">
        <f ca="1">IF(ListAndConversion!BZ348&lt;&gt;"-",ListAndConversion!BZ348,"")</f>
        <v/>
      </c>
      <c r="D346" s="555" t="str">
        <f ca="1">IF(ListAndConversion!BW348&lt;&gt;"-",ListAndConversion!BW348,"")</f>
        <v/>
      </c>
      <c r="E346" s="555" t="str">
        <f ca="1">IF(ListAndConversion!BX348&lt;&gt;"-",ListAndConversion!BX348,"")</f>
        <v/>
      </c>
      <c r="F346" s="565" t="str">
        <f ca="1">IF(ListAndConversion!BY348&lt;&gt;"-",ListAndConversion!BY348,"")</f>
        <v/>
      </c>
      <c r="G346" s="565" t="str">
        <f ca="1">IF(ListAndConversion!CB348&lt;&gt;"-",ListAndConversion!CB348,"")</f>
        <v/>
      </c>
      <c r="H346" s="565" t="str">
        <f ca="1">IF(ListAndConversion!CC348&lt;&gt;"-",ListAndConversion!CC348,"")</f>
        <v/>
      </c>
      <c r="I346" s="565" t="str">
        <f ca="1">IF(ListAndConversion!CC348&lt;&gt;"-","Microfuge1","")</f>
        <v/>
      </c>
      <c r="J346" s="583" t="str">
        <f ca="1">IF(ListAndConversion!CD348&lt;&gt;"-",ListAndConversion!CD348,"")</f>
        <v/>
      </c>
      <c r="K346" s="577" t="str">
        <f t="shared" ca="1" si="5"/>
        <v/>
      </c>
    </row>
    <row r="347" spans="1:11" x14ac:dyDescent="0.65">
      <c r="A347" s="554" t="str">
        <f ca="1">IF(OR(LEFT(ListAndConversion!BW349,3)="Dil",LEFT(ListAndConversion!BW349,3)="Poo"),ListAndConversion!$BT$4,IF(LEFT(ListAndConversion!BW349,3)="Sou",INDEX(ListAndConversion!$AT$4:$AV$387,MATCH(ListAndConversion!BV349,ListAndConversion!$AV$4:$AV$387,0),1),""))</f>
        <v/>
      </c>
      <c r="B347" s="555" t="str">
        <f ca="1">IF(OR(LEFT(ListAndConversion!BW349,3)="Dil",LEFT(ListAndConversion!BW349,3)="Poo"),ListAndConversion!BU349,IF(LEFT(ListAndConversion!BW349,3)="Sou",INDEX(ListAndConversion!$AT$4:$AV$387,MATCH(ListAndConversion!BV349,ListAndConversion!$AV$4:$AV$387,0),2),""))</f>
        <v/>
      </c>
      <c r="C347" s="555" t="str">
        <f ca="1">IF(ListAndConversion!BZ349&lt;&gt;"-",ListAndConversion!BZ349,"")</f>
        <v/>
      </c>
      <c r="D347" s="555" t="str">
        <f ca="1">IF(ListAndConversion!BW349&lt;&gt;"-",ListAndConversion!BW349,"")</f>
        <v/>
      </c>
      <c r="E347" s="555" t="str">
        <f ca="1">IF(ListAndConversion!BX349&lt;&gt;"-",ListAndConversion!BX349,"")</f>
        <v/>
      </c>
      <c r="F347" s="565" t="str">
        <f ca="1">IF(ListAndConversion!BY349&lt;&gt;"-",ListAndConversion!BY349,"")</f>
        <v/>
      </c>
      <c r="G347" s="565" t="str">
        <f ca="1">IF(ListAndConversion!CB349&lt;&gt;"-",ListAndConversion!CB349,"")</f>
        <v/>
      </c>
      <c r="H347" s="565" t="str">
        <f ca="1">IF(ListAndConversion!CC349&lt;&gt;"-",ListAndConversion!CC349,"")</f>
        <v/>
      </c>
      <c r="I347" s="565" t="str">
        <f ca="1">IF(ListAndConversion!CC349&lt;&gt;"-","Microfuge1","")</f>
        <v/>
      </c>
      <c r="J347" s="583" t="str">
        <f ca="1">IF(ListAndConversion!CD349&lt;&gt;"-",ListAndConversion!CD349,"")</f>
        <v/>
      </c>
      <c r="K347" s="577" t="str">
        <f t="shared" ca="1" si="5"/>
        <v/>
      </c>
    </row>
    <row r="348" spans="1:11" x14ac:dyDescent="0.65">
      <c r="A348" s="554" t="str">
        <f ca="1">IF(OR(LEFT(ListAndConversion!BW350,3)="Dil",LEFT(ListAndConversion!BW350,3)="Poo"),ListAndConversion!$BT$4,IF(LEFT(ListAndConversion!BW350,3)="Sou",INDEX(ListAndConversion!$AT$4:$AV$387,MATCH(ListAndConversion!BV350,ListAndConversion!$AV$4:$AV$387,0),1),""))</f>
        <v/>
      </c>
      <c r="B348" s="555" t="str">
        <f ca="1">IF(OR(LEFT(ListAndConversion!BW350,3)="Dil",LEFT(ListAndConversion!BW350,3)="Poo"),ListAndConversion!BU350,IF(LEFT(ListAndConversion!BW350,3)="Sou",INDEX(ListAndConversion!$AT$4:$AV$387,MATCH(ListAndConversion!BV350,ListAndConversion!$AV$4:$AV$387,0),2),""))</f>
        <v/>
      </c>
      <c r="C348" s="555" t="str">
        <f ca="1">IF(ListAndConversion!BZ350&lt;&gt;"-",ListAndConversion!BZ350,"")</f>
        <v/>
      </c>
      <c r="D348" s="555" t="str">
        <f ca="1">IF(ListAndConversion!BW350&lt;&gt;"-",ListAndConversion!BW350,"")</f>
        <v/>
      </c>
      <c r="E348" s="555" t="str">
        <f ca="1">IF(ListAndConversion!BX350&lt;&gt;"-",ListAndConversion!BX350,"")</f>
        <v/>
      </c>
      <c r="F348" s="565" t="str">
        <f ca="1">IF(ListAndConversion!BY350&lt;&gt;"-",ListAndConversion!BY350,"")</f>
        <v/>
      </c>
      <c r="G348" s="565" t="str">
        <f ca="1">IF(ListAndConversion!CB350&lt;&gt;"-",ListAndConversion!CB350,"")</f>
        <v/>
      </c>
      <c r="H348" s="565" t="str">
        <f ca="1">IF(ListAndConversion!CC350&lt;&gt;"-",ListAndConversion!CC350,"")</f>
        <v/>
      </c>
      <c r="I348" s="565" t="str">
        <f ca="1">IF(ListAndConversion!CC350&lt;&gt;"-","Microfuge1","")</f>
        <v/>
      </c>
      <c r="J348" s="583" t="str">
        <f ca="1">IF(ListAndConversion!CD350&lt;&gt;"-",ListAndConversion!CD350,"")</f>
        <v/>
      </c>
      <c r="K348" s="577" t="str">
        <f t="shared" ca="1" si="5"/>
        <v/>
      </c>
    </row>
    <row r="349" spans="1:11" x14ac:dyDescent="0.65">
      <c r="A349" s="554" t="str">
        <f ca="1">IF(OR(LEFT(ListAndConversion!BW351,3)="Dil",LEFT(ListAndConversion!BW351,3)="Poo"),ListAndConversion!$BT$4,IF(LEFT(ListAndConversion!BW351,3)="Sou",INDEX(ListAndConversion!$AT$4:$AV$387,MATCH(ListAndConversion!BV351,ListAndConversion!$AV$4:$AV$387,0),1),""))</f>
        <v/>
      </c>
      <c r="B349" s="555" t="str">
        <f ca="1">IF(OR(LEFT(ListAndConversion!BW351,3)="Dil",LEFT(ListAndConversion!BW351,3)="Poo"),ListAndConversion!BU351,IF(LEFT(ListAndConversion!BW351,3)="Sou",INDEX(ListAndConversion!$AT$4:$AV$387,MATCH(ListAndConversion!BV351,ListAndConversion!$AV$4:$AV$387,0),2),""))</f>
        <v/>
      </c>
      <c r="C349" s="555" t="str">
        <f ca="1">IF(ListAndConversion!BZ351&lt;&gt;"-",ListAndConversion!BZ351,"")</f>
        <v/>
      </c>
      <c r="D349" s="555" t="str">
        <f ca="1">IF(ListAndConversion!BW351&lt;&gt;"-",ListAndConversion!BW351,"")</f>
        <v/>
      </c>
      <c r="E349" s="555" t="str">
        <f ca="1">IF(ListAndConversion!BX351&lt;&gt;"-",ListAndConversion!BX351,"")</f>
        <v/>
      </c>
      <c r="F349" s="565" t="str">
        <f ca="1">IF(ListAndConversion!BY351&lt;&gt;"-",ListAndConversion!BY351,"")</f>
        <v/>
      </c>
      <c r="G349" s="565" t="str">
        <f ca="1">IF(ListAndConversion!CB351&lt;&gt;"-",ListAndConversion!CB351,"")</f>
        <v/>
      </c>
      <c r="H349" s="565" t="str">
        <f ca="1">IF(ListAndConversion!CC351&lt;&gt;"-",ListAndConversion!CC351,"")</f>
        <v/>
      </c>
      <c r="I349" s="565" t="str">
        <f ca="1">IF(ListAndConversion!CC351&lt;&gt;"-","Microfuge1","")</f>
        <v/>
      </c>
      <c r="J349" s="583" t="str">
        <f ca="1">IF(ListAndConversion!CD351&lt;&gt;"-",ListAndConversion!CD351,"")</f>
        <v/>
      </c>
      <c r="K349" s="577" t="str">
        <f t="shared" ca="1" si="5"/>
        <v/>
      </c>
    </row>
    <row r="350" spans="1:11" x14ac:dyDescent="0.65">
      <c r="A350" s="554" t="str">
        <f ca="1">IF(OR(LEFT(ListAndConversion!BW352,3)="Dil",LEFT(ListAndConversion!BW352,3)="Poo"),ListAndConversion!$BT$4,IF(LEFT(ListAndConversion!BW352,3)="Sou",INDEX(ListAndConversion!$AT$4:$AV$387,MATCH(ListAndConversion!BV352,ListAndConversion!$AV$4:$AV$387,0),1),""))</f>
        <v/>
      </c>
      <c r="B350" s="555" t="str">
        <f ca="1">IF(OR(LEFT(ListAndConversion!BW352,3)="Dil",LEFT(ListAndConversion!BW352,3)="Poo"),ListAndConversion!BU352,IF(LEFT(ListAndConversion!BW352,3)="Sou",INDEX(ListAndConversion!$AT$4:$AV$387,MATCH(ListAndConversion!BV352,ListAndConversion!$AV$4:$AV$387,0),2),""))</f>
        <v/>
      </c>
      <c r="C350" s="555" t="str">
        <f ca="1">IF(ListAndConversion!BZ352&lt;&gt;"-",ListAndConversion!BZ352,"")</f>
        <v/>
      </c>
      <c r="D350" s="555" t="str">
        <f ca="1">IF(ListAndConversion!BW352&lt;&gt;"-",ListAndConversion!BW352,"")</f>
        <v/>
      </c>
      <c r="E350" s="555" t="str">
        <f ca="1">IF(ListAndConversion!BX352&lt;&gt;"-",ListAndConversion!BX352,"")</f>
        <v/>
      </c>
      <c r="F350" s="565" t="str">
        <f ca="1">IF(ListAndConversion!BY352&lt;&gt;"-",ListAndConversion!BY352,"")</f>
        <v/>
      </c>
      <c r="G350" s="565" t="str">
        <f ca="1">IF(ListAndConversion!CB352&lt;&gt;"-",ListAndConversion!CB352,"")</f>
        <v/>
      </c>
      <c r="H350" s="565" t="str">
        <f ca="1">IF(ListAndConversion!CC352&lt;&gt;"-",ListAndConversion!CC352,"")</f>
        <v/>
      </c>
      <c r="I350" s="565" t="str">
        <f ca="1">IF(ListAndConversion!CC352&lt;&gt;"-","Microfuge1","")</f>
        <v/>
      </c>
      <c r="J350" s="583" t="str">
        <f ca="1">IF(ListAndConversion!CD352&lt;&gt;"-",ListAndConversion!CD352,"")</f>
        <v/>
      </c>
      <c r="K350" s="577" t="str">
        <f t="shared" ca="1" si="5"/>
        <v/>
      </c>
    </row>
    <row r="351" spans="1:11" x14ac:dyDescent="0.65">
      <c r="A351" s="554" t="str">
        <f ca="1">IF(OR(LEFT(ListAndConversion!BW353,3)="Dil",LEFT(ListAndConversion!BW353,3)="Poo"),ListAndConversion!$BT$4,IF(LEFT(ListAndConversion!BW353,3)="Sou",INDEX(ListAndConversion!$AT$4:$AV$387,MATCH(ListAndConversion!BV353,ListAndConversion!$AV$4:$AV$387,0),1),""))</f>
        <v/>
      </c>
      <c r="B351" s="555" t="str">
        <f ca="1">IF(OR(LEFT(ListAndConversion!BW353,3)="Dil",LEFT(ListAndConversion!BW353,3)="Poo"),ListAndConversion!BU353,IF(LEFT(ListAndConversion!BW353,3)="Sou",INDEX(ListAndConversion!$AT$4:$AV$387,MATCH(ListAndConversion!BV353,ListAndConversion!$AV$4:$AV$387,0),2),""))</f>
        <v/>
      </c>
      <c r="C351" s="555" t="str">
        <f ca="1">IF(ListAndConversion!BZ353&lt;&gt;"-",ListAndConversion!BZ353,"")</f>
        <v/>
      </c>
      <c r="D351" s="555" t="str">
        <f ca="1">IF(ListAndConversion!BW353&lt;&gt;"-",ListAndConversion!BW353,"")</f>
        <v/>
      </c>
      <c r="E351" s="555" t="str">
        <f ca="1">IF(ListAndConversion!BX353&lt;&gt;"-",ListAndConversion!BX353,"")</f>
        <v/>
      </c>
      <c r="F351" s="565" t="str">
        <f ca="1">IF(ListAndConversion!BY353&lt;&gt;"-",ListAndConversion!BY353,"")</f>
        <v/>
      </c>
      <c r="G351" s="565" t="str">
        <f ca="1">IF(ListAndConversion!CB353&lt;&gt;"-",ListAndConversion!CB353,"")</f>
        <v/>
      </c>
      <c r="H351" s="565" t="str">
        <f ca="1">IF(ListAndConversion!CC353&lt;&gt;"-",ListAndConversion!CC353,"")</f>
        <v/>
      </c>
      <c r="I351" s="565" t="str">
        <f ca="1">IF(ListAndConversion!CC353&lt;&gt;"-","Microfuge1","")</f>
        <v/>
      </c>
      <c r="J351" s="583" t="str">
        <f ca="1">IF(ListAndConversion!CD353&lt;&gt;"-",ListAndConversion!CD353,"")</f>
        <v/>
      </c>
      <c r="K351" s="577" t="str">
        <f t="shared" ca="1" si="5"/>
        <v/>
      </c>
    </row>
    <row r="352" spans="1:11" x14ac:dyDescent="0.65">
      <c r="A352" s="554" t="str">
        <f ca="1">IF(OR(LEFT(ListAndConversion!BW354,3)="Dil",LEFT(ListAndConversion!BW354,3)="Poo"),ListAndConversion!$BT$4,IF(LEFT(ListAndConversion!BW354,3)="Sou",INDEX(ListAndConversion!$AT$4:$AV$387,MATCH(ListAndConversion!BV354,ListAndConversion!$AV$4:$AV$387,0),1),""))</f>
        <v/>
      </c>
      <c r="B352" s="555" t="str">
        <f ca="1">IF(OR(LEFT(ListAndConversion!BW354,3)="Dil",LEFT(ListAndConversion!BW354,3)="Poo"),ListAndConversion!BU354,IF(LEFT(ListAndConversion!BW354,3)="Sou",INDEX(ListAndConversion!$AT$4:$AV$387,MATCH(ListAndConversion!BV354,ListAndConversion!$AV$4:$AV$387,0),2),""))</f>
        <v/>
      </c>
      <c r="C352" s="555" t="str">
        <f ca="1">IF(ListAndConversion!BZ354&lt;&gt;"-",ListAndConversion!BZ354,"")</f>
        <v/>
      </c>
      <c r="D352" s="555" t="str">
        <f ca="1">IF(ListAndConversion!BW354&lt;&gt;"-",ListAndConversion!BW354,"")</f>
        <v/>
      </c>
      <c r="E352" s="555" t="str">
        <f ca="1">IF(ListAndConversion!BX354&lt;&gt;"-",ListAndConversion!BX354,"")</f>
        <v/>
      </c>
      <c r="F352" s="565" t="str">
        <f ca="1">IF(ListAndConversion!BY354&lt;&gt;"-",ListAndConversion!BY354,"")</f>
        <v/>
      </c>
      <c r="G352" s="565" t="str">
        <f ca="1">IF(ListAndConversion!CB354&lt;&gt;"-",ListAndConversion!CB354,"")</f>
        <v/>
      </c>
      <c r="H352" s="565" t="str">
        <f ca="1">IF(ListAndConversion!CC354&lt;&gt;"-",ListAndConversion!CC354,"")</f>
        <v/>
      </c>
      <c r="I352" s="565" t="str">
        <f ca="1">IF(ListAndConversion!CC354&lt;&gt;"-","Microfuge1","")</f>
        <v/>
      </c>
      <c r="J352" s="583" t="str">
        <f ca="1">IF(ListAndConversion!CD354&lt;&gt;"-",ListAndConversion!CD354,"")</f>
        <v/>
      </c>
      <c r="K352" s="577" t="str">
        <f t="shared" ca="1" si="5"/>
        <v/>
      </c>
    </row>
    <row r="353" spans="1:11" x14ac:dyDescent="0.65">
      <c r="A353" s="554" t="str">
        <f ca="1">IF(OR(LEFT(ListAndConversion!BW355,3)="Dil",LEFT(ListAndConversion!BW355,3)="Poo"),ListAndConversion!$BT$4,IF(LEFT(ListAndConversion!BW355,3)="Sou",INDEX(ListAndConversion!$AT$4:$AV$387,MATCH(ListAndConversion!BV355,ListAndConversion!$AV$4:$AV$387,0),1),""))</f>
        <v/>
      </c>
      <c r="B353" s="555" t="str">
        <f ca="1">IF(OR(LEFT(ListAndConversion!BW355,3)="Dil",LEFT(ListAndConversion!BW355,3)="Poo"),ListAndConversion!BU355,IF(LEFT(ListAndConversion!BW355,3)="Sou",INDEX(ListAndConversion!$AT$4:$AV$387,MATCH(ListAndConversion!BV355,ListAndConversion!$AV$4:$AV$387,0),2),""))</f>
        <v/>
      </c>
      <c r="C353" s="555" t="str">
        <f ca="1">IF(ListAndConversion!BZ355&lt;&gt;"-",ListAndConversion!BZ355,"")</f>
        <v/>
      </c>
      <c r="D353" s="555" t="str">
        <f ca="1">IF(ListAndConversion!BW355&lt;&gt;"-",ListAndConversion!BW355,"")</f>
        <v/>
      </c>
      <c r="E353" s="555" t="str">
        <f ca="1">IF(ListAndConversion!BX355&lt;&gt;"-",ListAndConversion!BX355,"")</f>
        <v/>
      </c>
      <c r="F353" s="565" t="str">
        <f ca="1">IF(ListAndConversion!BY355&lt;&gt;"-",ListAndConversion!BY355,"")</f>
        <v/>
      </c>
      <c r="G353" s="565" t="str">
        <f ca="1">IF(ListAndConversion!CB355&lt;&gt;"-",ListAndConversion!CB355,"")</f>
        <v/>
      </c>
      <c r="H353" s="565" t="str">
        <f ca="1">IF(ListAndConversion!CC355&lt;&gt;"-",ListAndConversion!CC355,"")</f>
        <v/>
      </c>
      <c r="I353" s="565" t="str">
        <f ca="1">IF(ListAndConversion!CC355&lt;&gt;"-","Microfuge1","")</f>
        <v/>
      </c>
      <c r="J353" s="583" t="str">
        <f ca="1">IF(ListAndConversion!CD355&lt;&gt;"-",ListAndConversion!CD355,"")</f>
        <v/>
      </c>
      <c r="K353" s="577" t="str">
        <f t="shared" ca="1" si="5"/>
        <v/>
      </c>
    </row>
    <row r="354" spans="1:11" x14ac:dyDescent="0.65">
      <c r="A354" s="554" t="str">
        <f ca="1">IF(OR(LEFT(ListAndConversion!BW356,3)="Dil",LEFT(ListAndConversion!BW356,3)="Poo"),ListAndConversion!$BT$4,IF(LEFT(ListAndConversion!BW356,3)="Sou",INDEX(ListAndConversion!$AT$4:$AV$387,MATCH(ListAndConversion!BV356,ListAndConversion!$AV$4:$AV$387,0),1),""))</f>
        <v/>
      </c>
      <c r="B354" s="555" t="str">
        <f ca="1">IF(OR(LEFT(ListAndConversion!BW356,3)="Dil",LEFT(ListAndConversion!BW356,3)="Poo"),ListAndConversion!BU356,IF(LEFT(ListAndConversion!BW356,3)="Sou",INDEX(ListAndConversion!$AT$4:$AV$387,MATCH(ListAndConversion!BV356,ListAndConversion!$AV$4:$AV$387,0),2),""))</f>
        <v/>
      </c>
      <c r="C354" s="555" t="str">
        <f ca="1">IF(ListAndConversion!BZ356&lt;&gt;"-",ListAndConversion!BZ356,"")</f>
        <v/>
      </c>
      <c r="D354" s="555" t="str">
        <f ca="1">IF(ListAndConversion!BW356&lt;&gt;"-",ListAndConversion!BW356,"")</f>
        <v/>
      </c>
      <c r="E354" s="555" t="str">
        <f ca="1">IF(ListAndConversion!BX356&lt;&gt;"-",ListAndConversion!BX356,"")</f>
        <v/>
      </c>
      <c r="F354" s="565" t="str">
        <f ca="1">IF(ListAndConversion!BY356&lt;&gt;"-",ListAndConversion!BY356,"")</f>
        <v/>
      </c>
      <c r="G354" s="565" t="str">
        <f ca="1">IF(ListAndConversion!CB356&lt;&gt;"-",ListAndConversion!CB356,"")</f>
        <v/>
      </c>
      <c r="H354" s="565" t="str">
        <f ca="1">IF(ListAndConversion!CC356&lt;&gt;"-",ListAndConversion!CC356,"")</f>
        <v/>
      </c>
      <c r="I354" s="565" t="str">
        <f ca="1">IF(ListAndConversion!CC356&lt;&gt;"-","Microfuge1","")</f>
        <v/>
      </c>
      <c r="J354" s="583" t="str">
        <f ca="1">IF(ListAndConversion!CD356&lt;&gt;"-",ListAndConversion!CD356,"")</f>
        <v/>
      </c>
      <c r="K354" s="577" t="str">
        <f t="shared" ca="1" si="5"/>
        <v/>
      </c>
    </row>
    <row r="355" spans="1:11" x14ac:dyDescent="0.65">
      <c r="A355" s="554" t="str">
        <f ca="1">IF(OR(LEFT(ListAndConversion!BW357,3)="Dil",LEFT(ListAndConversion!BW357,3)="Poo"),ListAndConversion!$BT$4,IF(LEFT(ListAndConversion!BW357,3)="Sou",INDEX(ListAndConversion!$AT$4:$AV$387,MATCH(ListAndConversion!BV357,ListAndConversion!$AV$4:$AV$387,0),1),""))</f>
        <v/>
      </c>
      <c r="B355" s="555" t="str">
        <f ca="1">IF(OR(LEFT(ListAndConversion!BW357,3)="Dil",LEFT(ListAndConversion!BW357,3)="Poo"),ListAndConversion!BU357,IF(LEFT(ListAndConversion!BW357,3)="Sou",INDEX(ListAndConversion!$AT$4:$AV$387,MATCH(ListAndConversion!BV357,ListAndConversion!$AV$4:$AV$387,0),2),""))</f>
        <v/>
      </c>
      <c r="C355" s="555" t="str">
        <f ca="1">IF(ListAndConversion!BZ357&lt;&gt;"-",ListAndConversion!BZ357,"")</f>
        <v/>
      </c>
      <c r="D355" s="555" t="str">
        <f ca="1">IF(ListAndConversion!BW357&lt;&gt;"-",ListAndConversion!BW357,"")</f>
        <v/>
      </c>
      <c r="E355" s="555" t="str">
        <f ca="1">IF(ListAndConversion!BX357&lt;&gt;"-",ListAndConversion!BX357,"")</f>
        <v/>
      </c>
      <c r="F355" s="565" t="str">
        <f ca="1">IF(ListAndConversion!BY357&lt;&gt;"-",ListAndConversion!BY357,"")</f>
        <v/>
      </c>
      <c r="G355" s="565" t="str">
        <f ca="1">IF(ListAndConversion!CB357&lt;&gt;"-",ListAndConversion!CB357,"")</f>
        <v/>
      </c>
      <c r="H355" s="565" t="str">
        <f ca="1">IF(ListAndConversion!CC357&lt;&gt;"-",ListAndConversion!CC357,"")</f>
        <v/>
      </c>
      <c r="I355" s="565" t="str">
        <f ca="1">IF(ListAndConversion!CC357&lt;&gt;"-","Microfuge1","")</f>
        <v/>
      </c>
      <c r="J355" s="583" t="str">
        <f ca="1">IF(ListAndConversion!CD357&lt;&gt;"-",ListAndConversion!CD357,"")</f>
        <v/>
      </c>
      <c r="K355" s="577" t="str">
        <f t="shared" ca="1" si="5"/>
        <v/>
      </c>
    </row>
    <row r="356" spans="1:11" x14ac:dyDescent="0.65">
      <c r="A356" s="554" t="str">
        <f ca="1">IF(OR(LEFT(ListAndConversion!BW358,3)="Dil",LEFT(ListAndConversion!BW358,3)="Poo"),ListAndConversion!$BT$4,IF(LEFT(ListAndConversion!BW358,3)="Sou",INDEX(ListAndConversion!$AT$4:$AV$387,MATCH(ListAndConversion!BV358,ListAndConversion!$AV$4:$AV$387,0),1),""))</f>
        <v/>
      </c>
      <c r="B356" s="555" t="str">
        <f ca="1">IF(OR(LEFT(ListAndConversion!BW358,3)="Dil",LEFT(ListAndConversion!BW358,3)="Poo"),ListAndConversion!BU358,IF(LEFT(ListAndConversion!BW358,3)="Sou",INDEX(ListAndConversion!$AT$4:$AV$387,MATCH(ListAndConversion!BV358,ListAndConversion!$AV$4:$AV$387,0),2),""))</f>
        <v/>
      </c>
      <c r="C356" s="555" t="str">
        <f ca="1">IF(ListAndConversion!BZ358&lt;&gt;"-",ListAndConversion!BZ358,"")</f>
        <v/>
      </c>
      <c r="D356" s="555" t="str">
        <f ca="1">IF(ListAndConversion!BW358&lt;&gt;"-",ListAndConversion!BW358,"")</f>
        <v/>
      </c>
      <c r="E356" s="555" t="str">
        <f ca="1">IF(ListAndConversion!BX358&lt;&gt;"-",ListAndConversion!BX358,"")</f>
        <v/>
      </c>
      <c r="F356" s="565" t="str">
        <f ca="1">IF(ListAndConversion!BY358&lt;&gt;"-",ListAndConversion!BY358,"")</f>
        <v/>
      </c>
      <c r="G356" s="565" t="str">
        <f ca="1">IF(ListAndConversion!CB358&lt;&gt;"-",ListAndConversion!CB358,"")</f>
        <v/>
      </c>
      <c r="H356" s="565" t="str">
        <f ca="1">IF(ListAndConversion!CC358&lt;&gt;"-",ListAndConversion!CC358,"")</f>
        <v/>
      </c>
      <c r="I356" s="565" t="str">
        <f ca="1">IF(ListAndConversion!CC358&lt;&gt;"-","Microfuge1","")</f>
        <v/>
      </c>
      <c r="J356" s="583" t="str">
        <f ca="1">IF(ListAndConversion!CD358&lt;&gt;"-",ListAndConversion!CD358,"")</f>
        <v/>
      </c>
      <c r="K356" s="577" t="str">
        <f t="shared" ca="1" si="5"/>
        <v/>
      </c>
    </row>
    <row r="357" spans="1:11" x14ac:dyDescent="0.65">
      <c r="A357" s="554" t="str">
        <f ca="1">IF(OR(LEFT(ListAndConversion!BW359,3)="Dil",LEFT(ListAndConversion!BW359,3)="Poo"),ListAndConversion!$BT$4,IF(LEFT(ListAndConversion!BW359,3)="Sou",INDEX(ListAndConversion!$AT$4:$AV$387,MATCH(ListAndConversion!BV359,ListAndConversion!$AV$4:$AV$387,0),1),""))</f>
        <v/>
      </c>
      <c r="B357" s="555" t="str">
        <f ca="1">IF(OR(LEFT(ListAndConversion!BW359,3)="Dil",LEFT(ListAndConversion!BW359,3)="Poo"),ListAndConversion!BU359,IF(LEFT(ListAndConversion!BW359,3)="Sou",INDEX(ListAndConversion!$AT$4:$AV$387,MATCH(ListAndConversion!BV359,ListAndConversion!$AV$4:$AV$387,0),2),""))</f>
        <v/>
      </c>
      <c r="C357" s="555" t="str">
        <f ca="1">IF(ListAndConversion!BZ359&lt;&gt;"-",ListAndConversion!BZ359,"")</f>
        <v/>
      </c>
      <c r="D357" s="555" t="str">
        <f ca="1">IF(ListAndConversion!BW359&lt;&gt;"-",ListAndConversion!BW359,"")</f>
        <v/>
      </c>
      <c r="E357" s="555" t="str">
        <f ca="1">IF(ListAndConversion!BX359&lt;&gt;"-",ListAndConversion!BX359,"")</f>
        <v/>
      </c>
      <c r="F357" s="565" t="str">
        <f ca="1">IF(ListAndConversion!BY359&lt;&gt;"-",ListAndConversion!BY359,"")</f>
        <v/>
      </c>
      <c r="G357" s="565" t="str">
        <f ca="1">IF(ListAndConversion!CB359&lt;&gt;"-",ListAndConversion!CB359,"")</f>
        <v/>
      </c>
      <c r="H357" s="565" t="str">
        <f ca="1">IF(ListAndConversion!CC359&lt;&gt;"-",ListAndConversion!CC359,"")</f>
        <v/>
      </c>
      <c r="I357" s="565" t="str">
        <f ca="1">IF(ListAndConversion!CC359&lt;&gt;"-","Microfuge1","")</f>
        <v/>
      </c>
      <c r="J357" s="583" t="str">
        <f ca="1">IF(ListAndConversion!CD359&lt;&gt;"-",ListAndConversion!CD359,"")</f>
        <v/>
      </c>
      <c r="K357" s="577" t="str">
        <f t="shared" ca="1" si="5"/>
        <v/>
      </c>
    </row>
    <row r="358" spans="1:11" x14ac:dyDescent="0.65">
      <c r="A358" s="554" t="str">
        <f ca="1">IF(OR(LEFT(ListAndConversion!BW360,3)="Dil",LEFT(ListAndConversion!BW360,3)="Poo"),ListAndConversion!$BT$4,IF(LEFT(ListAndConversion!BW360,3)="Sou",INDEX(ListAndConversion!$AT$4:$AV$387,MATCH(ListAndConversion!BV360,ListAndConversion!$AV$4:$AV$387,0),1),""))</f>
        <v/>
      </c>
      <c r="B358" s="555" t="str">
        <f ca="1">IF(OR(LEFT(ListAndConversion!BW360,3)="Dil",LEFT(ListAndConversion!BW360,3)="Poo"),ListAndConversion!BU360,IF(LEFT(ListAndConversion!BW360,3)="Sou",INDEX(ListAndConversion!$AT$4:$AV$387,MATCH(ListAndConversion!BV360,ListAndConversion!$AV$4:$AV$387,0),2),""))</f>
        <v/>
      </c>
      <c r="C358" s="555" t="str">
        <f ca="1">IF(ListAndConversion!BZ360&lt;&gt;"-",ListAndConversion!BZ360,"")</f>
        <v/>
      </c>
      <c r="D358" s="555" t="str">
        <f ca="1">IF(ListAndConversion!BW360&lt;&gt;"-",ListAndConversion!BW360,"")</f>
        <v/>
      </c>
      <c r="E358" s="555" t="str">
        <f ca="1">IF(ListAndConversion!BX360&lt;&gt;"-",ListAndConversion!BX360,"")</f>
        <v/>
      </c>
      <c r="F358" s="565" t="str">
        <f ca="1">IF(ListAndConversion!BY360&lt;&gt;"-",ListAndConversion!BY360,"")</f>
        <v/>
      </c>
      <c r="G358" s="565" t="str">
        <f ca="1">IF(ListAndConversion!CB360&lt;&gt;"-",ListAndConversion!CB360,"")</f>
        <v/>
      </c>
      <c r="H358" s="565" t="str">
        <f ca="1">IF(ListAndConversion!CC360&lt;&gt;"-",ListAndConversion!CC360,"")</f>
        <v/>
      </c>
      <c r="I358" s="565" t="str">
        <f ca="1">IF(ListAndConversion!CC360&lt;&gt;"-","Microfuge1","")</f>
        <v/>
      </c>
      <c r="J358" s="583" t="str">
        <f ca="1">IF(ListAndConversion!CD360&lt;&gt;"-",ListAndConversion!CD360,"")</f>
        <v/>
      </c>
      <c r="K358" s="577" t="str">
        <f t="shared" ca="1" si="5"/>
        <v/>
      </c>
    </row>
    <row r="359" spans="1:11" x14ac:dyDescent="0.65">
      <c r="A359" s="554" t="str">
        <f ca="1">IF(OR(LEFT(ListAndConversion!BW361,3)="Dil",LEFT(ListAndConversion!BW361,3)="Poo"),ListAndConversion!$BT$4,IF(LEFT(ListAndConversion!BW361,3)="Sou",INDEX(ListAndConversion!$AT$4:$AV$387,MATCH(ListAndConversion!BV361,ListAndConversion!$AV$4:$AV$387,0),1),""))</f>
        <v/>
      </c>
      <c r="B359" s="555" t="str">
        <f ca="1">IF(OR(LEFT(ListAndConversion!BW361,3)="Dil",LEFT(ListAndConversion!BW361,3)="Poo"),ListAndConversion!BU361,IF(LEFT(ListAndConversion!BW361,3)="Sou",INDEX(ListAndConversion!$AT$4:$AV$387,MATCH(ListAndConversion!BV361,ListAndConversion!$AV$4:$AV$387,0),2),""))</f>
        <v/>
      </c>
      <c r="C359" s="555" t="str">
        <f ca="1">IF(ListAndConversion!BZ361&lt;&gt;"-",ListAndConversion!BZ361,"")</f>
        <v/>
      </c>
      <c r="D359" s="555" t="str">
        <f ca="1">IF(ListAndConversion!BW361&lt;&gt;"-",ListAndConversion!BW361,"")</f>
        <v/>
      </c>
      <c r="E359" s="555" t="str">
        <f ca="1">IF(ListAndConversion!BX361&lt;&gt;"-",ListAndConversion!BX361,"")</f>
        <v/>
      </c>
      <c r="F359" s="565" t="str">
        <f ca="1">IF(ListAndConversion!BY361&lt;&gt;"-",ListAndConversion!BY361,"")</f>
        <v/>
      </c>
      <c r="G359" s="565" t="str">
        <f ca="1">IF(ListAndConversion!CB361&lt;&gt;"-",ListAndConversion!CB361,"")</f>
        <v/>
      </c>
      <c r="H359" s="565" t="str">
        <f ca="1">IF(ListAndConversion!CC361&lt;&gt;"-",ListAndConversion!CC361,"")</f>
        <v/>
      </c>
      <c r="I359" s="565" t="str">
        <f ca="1">IF(ListAndConversion!CC361&lt;&gt;"-","Microfuge1","")</f>
        <v/>
      </c>
      <c r="J359" s="583" t="str">
        <f ca="1">IF(ListAndConversion!CD361&lt;&gt;"-",ListAndConversion!CD361,"")</f>
        <v/>
      </c>
      <c r="K359" s="577" t="str">
        <f t="shared" ca="1" si="5"/>
        <v/>
      </c>
    </row>
    <row r="360" spans="1:11" x14ac:dyDescent="0.65">
      <c r="A360" s="554" t="str">
        <f ca="1">IF(OR(LEFT(ListAndConversion!BW362,3)="Dil",LEFT(ListAndConversion!BW362,3)="Poo"),ListAndConversion!$BT$4,IF(LEFT(ListAndConversion!BW362,3)="Sou",INDEX(ListAndConversion!$AT$4:$AV$387,MATCH(ListAndConversion!BV362,ListAndConversion!$AV$4:$AV$387,0),1),""))</f>
        <v/>
      </c>
      <c r="B360" s="555" t="str">
        <f ca="1">IF(OR(LEFT(ListAndConversion!BW362,3)="Dil",LEFT(ListAndConversion!BW362,3)="Poo"),ListAndConversion!BU362,IF(LEFT(ListAndConversion!BW362,3)="Sou",INDEX(ListAndConversion!$AT$4:$AV$387,MATCH(ListAndConversion!BV362,ListAndConversion!$AV$4:$AV$387,0),2),""))</f>
        <v/>
      </c>
      <c r="C360" s="555" t="str">
        <f ca="1">IF(ListAndConversion!BZ362&lt;&gt;"-",ListAndConversion!BZ362,"")</f>
        <v/>
      </c>
      <c r="D360" s="555" t="str">
        <f ca="1">IF(ListAndConversion!BW362&lt;&gt;"-",ListAndConversion!BW362,"")</f>
        <v/>
      </c>
      <c r="E360" s="555" t="str">
        <f ca="1">IF(ListAndConversion!BX362&lt;&gt;"-",ListAndConversion!BX362,"")</f>
        <v/>
      </c>
      <c r="F360" s="565" t="str">
        <f ca="1">IF(ListAndConversion!BY362&lt;&gt;"-",ListAndConversion!BY362,"")</f>
        <v/>
      </c>
      <c r="G360" s="565" t="str">
        <f ca="1">IF(ListAndConversion!CB362&lt;&gt;"-",ListAndConversion!CB362,"")</f>
        <v/>
      </c>
      <c r="H360" s="565" t="str">
        <f ca="1">IF(ListAndConversion!CC362&lt;&gt;"-",ListAndConversion!CC362,"")</f>
        <v/>
      </c>
      <c r="I360" s="565" t="str">
        <f ca="1">IF(ListAndConversion!CC362&lt;&gt;"-","Microfuge1","")</f>
        <v/>
      </c>
      <c r="J360" s="583" t="str">
        <f ca="1">IF(ListAndConversion!CD362&lt;&gt;"-",ListAndConversion!CD362,"")</f>
        <v/>
      </c>
      <c r="K360" s="577" t="str">
        <f t="shared" ca="1" si="5"/>
        <v/>
      </c>
    </row>
    <row r="361" spans="1:11" x14ac:dyDescent="0.65">
      <c r="A361" s="554" t="str">
        <f ca="1">IF(OR(LEFT(ListAndConversion!BW363,3)="Dil",LEFT(ListAndConversion!BW363,3)="Poo"),ListAndConversion!$BT$4,IF(LEFT(ListAndConversion!BW363,3)="Sou",INDEX(ListAndConversion!$AT$4:$AV$387,MATCH(ListAndConversion!BV363,ListAndConversion!$AV$4:$AV$387,0),1),""))</f>
        <v/>
      </c>
      <c r="B361" s="555" t="str">
        <f ca="1">IF(OR(LEFT(ListAndConversion!BW363,3)="Dil",LEFT(ListAndConversion!BW363,3)="Poo"),ListAndConversion!BU363,IF(LEFT(ListAndConversion!BW363,3)="Sou",INDEX(ListAndConversion!$AT$4:$AV$387,MATCH(ListAndConversion!BV363,ListAndConversion!$AV$4:$AV$387,0),2),""))</f>
        <v/>
      </c>
      <c r="C361" s="555" t="str">
        <f ca="1">IF(ListAndConversion!BZ363&lt;&gt;"-",ListAndConversion!BZ363,"")</f>
        <v/>
      </c>
      <c r="D361" s="555" t="str">
        <f ca="1">IF(ListAndConversion!BW363&lt;&gt;"-",ListAndConversion!BW363,"")</f>
        <v/>
      </c>
      <c r="E361" s="555" t="str">
        <f ca="1">IF(ListAndConversion!BX363&lt;&gt;"-",ListAndConversion!BX363,"")</f>
        <v/>
      </c>
      <c r="F361" s="565" t="str">
        <f ca="1">IF(ListAndConversion!BY363&lt;&gt;"-",ListAndConversion!BY363,"")</f>
        <v/>
      </c>
      <c r="G361" s="565" t="str">
        <f ca="1">IF(ListAndConversion!CB363&lt;&gt;"-",ListAndConversion!CB363,"")</f>
        <v/>
      </c>
      <c r="H361" s="565" t="str">
        <f ca="1">IF(ListAndConversion!CC363&lt;&gt;"-",ListAndConversion!CC363,"")</f>
        <v/>
      </c>
      <c r="I361" s="565" t="str">
        <f ca="1">IF(ListAndConversion!CC363&lt;&gt;"-","Microfuge1","")</f>
        <v/>
      </c>
      <c r="J361" s="583" t="str">
        <f ca="1">IF(ListAndConversion!CD363&lt;&gt;"-",ListAndConversion!CD363,"")</f>
        <v/>
      </c>
      <c r="K361" s="577" t="str">
        <f t="shared" ca="1" si="5"/>
        <v/>
      </c>
    </row>
    <row r="362" spans="1:11" x14ac:dyDescent="0.65">
      <c r="A362" s="554" t="str">
        <f ca="1">IF(OR(LEFT(ListAndConversion!BW364,3)="Dil",LEFT(ListAndConversion!BW364,3)="Poo"),ListAndConversion!$BT$4,IF(LEFT(ListAndConversion!BW364,3)="Sou",INDEX(ListAndConversion!$AT$4:$AV$387,MATCH(ListAndConversion!BV364,ListAndConversion!$AV$4:$AV$387,0),1),""))</f>
        <v/>
      </c>
      <c r="B362" s="555" t="str">
        <f ca="1">IF(OR(LEFT(ListAndConversion!BW364,3)="Dil",LEFT(ListAndConversion!BW364,3)="Poo"),ListAndConversion!BU364,IF(LEFT(ListAndConversion!BW364,3)="Sou",INDEX(ListAndConversion!$AT$4:$AV$387,MATCH(ListAndConversion!BV364,ListAndConversion!$AV$4:$AV$387,0),2),""))</f>
        <v/>
      </c>
      <c r="C362" s="555" t="str">
        <f ca="1">IF(ListAndConversion!BZ364&lt;&gt;"-",ListAndConversion!BZ364,"")</f>
        <v/>
      </c>
      <c r="D362" s="555" t="str">
        <f ca="1">IF(ListAndConversion!BW364&lt;&gt;"-",ListAndConversion!BW364,"")</f>
        <v/>
      </c>
      <c r="E362" s="555" t="str">
        <f ca="1">IF(ListAndConversion!BX364&lt;&gt;"-",ListAndConversion!BX364,"")</f>
        <v/>
      </c>
      <c r="F362" s="565" t="str">
        <f ca="1">IF(ListAndConversion!BY364&lt;&gt;"-",ListAndConversion!BY364,"")</f>
        <v/>
      </c>
      <c r="G362" s="565" t="str">
        <f ca="1">IF(ListAndConversion!CB364&lt;&gt;"-",ListAndConversion!CB364,"")</f>
        <v/>
      </c>
      <c r="H362" s="565" t="str">
        <f ca="1">IF(ListAndConversion!CC364&lt;&gt;"-",ListAndConversion!CC364,"")</f>
        <v/>
      </c>
      <c r="I362" s="565" t="str">
        <f ca="1">IF(ListAndConversion!CC364&lt;&gt;"-","Microfuge1","")</f>
        <v/>
      </c>
      <c r="J362" s="583" t="str">
        <f ca="1">IF(ListAndConversion!CD364&lt;&gt;"-",ListAndConversion!CD364,"")</f>
        <v/>
      </c>
      <c r="K362" s="577" t="str">
        <f t="shared" ca="1" si="5"/>
        <v/>
      </c>
    </row>
    <row r="363" spans="1:11" x14ac:dyDescent="0.65">
      <c r="A363" s="554" t="str">
        <f ca="1">IF(OR(LEFT(ListAndConversion!BW365,3)="Dil",LEFT(ListAndConversion!BW365,3)="Poo"),ListAndConversion!$BT$4,IF(LEFT(ListAndConversion!BW365,3)="Sou",INDEX(ListAndConversion!$AT$4:$AV$387,MATCH(ListAndConversion!BV365,ListAndConversion!$AV$4:$AV$387,0),1),""))</f>
        <v/>
      </c>
      <c r="B363" s="555" t="str">
        <f ca="1">IF(OR(LEFT(ListAndConversion!BW365,3)="Dil",LEFT(ListAndConversion!BW365,3)="Poo"),ListAndConversion!BU365,IF(LEFT(ListAndConversion!BW365,3)="Sou",INDEX(ListAndConversion!$AT$4:$AV$387,MATCH(ListAndConversion!BV365,ListAndConversion!$AV$4:$AV$387,0),2),""))</f>
        <v/>
      </c>
      <c r="C363" s="555" t="str">
        <f ca="1">IF(ListAndConversion!BZ365&lt;&gt;"-",ListAndConversion!BZ365,"")</f>
        <v/>
      </c>
      <c r="D363" s="555" t="str">
        <f ca="1">IF(ListAndConversion!BW365&lt;&gt;"-",ListAndConversion!BW365,"")</f>
        <v/>
      </c>
      <c r="E363" s="555" t="str">
        <f ca="1">IF(ListAndConversion!BX365&lt;&gt;"-",ListAndConversion!BX365,"")</f>
        <v/>
      </c>
      <c r="F363" s="565" t="str">
        <f ca="1">IF(ListAndConversion!BY365&lt;&gt;"-",ListAndConversion!BY365,"")</f>
        <v/>
      </c>
      <c r="G363" s="565" t="str">
        <f ca="1">IF(ListAndConversion!CB365&lt;&gt;"-",ListAndConversion!CB365,"")</f>
        <v/>
      </c>
      <c r="H363" s="565" t="str">
        <f ca="1">IF(ListAndConversion!CC365&lt;&gt;"-",ListAndConversion!CC365,"")</f>
        <v/>
      </c>
      <c r="I363" s="565" t="str">
        <f ca="1">IF(ListAndConversion!CC365&lt;&gt;"-","Microfuge1","")</f>
        <v/>
      </c>
      <c r="J363" s="583" t="str">
        <f ca="1">IF(ListAndConversion!CD365&lt;&gt;"-",ListAndConversion!CD365,"")</f>
        <v/>
      </c>
      <c r="K363" s="577" t="str">
        <f t="shared" ca="1" si="5"/>
        <v/>
      </c>
    </row>
    <row r="364" spans="1:11" x14ac:dyDescent="0.65">
      <c r="A364" s="554" t="str">
        <f ca="1">IF(OR(LEFT(ListAndConversion!BW366,3)="Dil",LEFT(ListAndConversion!BW366,3)="Poo"),ListAndConversion!$BT$4,IF(LEFT(ListAndConversion!BW366,3)="Sou",INDEX(ListAndConversion!$AT$4:$AV$387,MATCH(ListAndConversion!BV366,ListAndConversion!$AV$4:$AV$387,0),1),""))</f>
        <v/>
      </c>
      <c r="B364" s="555" t="str">
        <f ca="1">IF(OR(LEFT(ListAndConversion!BW366,3)="Dil",LEFT(ListAndConversion!BW366,3)="Poo"),ListAndConversion!BU366,IF(LEFT(ListAndConversion!BW366,3)="Sou",INDEX(ListAndConversion!$AT$4:$AV$387,MATCH(ListAndConversion!BV366,ListAndConversion!$AV$4:$AV$387,0),2),""))</f>
        <v/>
      </c>
      <c r="C364" s="555" t="str">
        <f ca="1">IF(ListAndConversion!BZ366&lt;&gt;"-",ListAndConversion!BZ366,"")</f>
        <v/>
      </c>
      <c r="D364" s="555" t="str">
        <f ca="1">IF(ListAndConversion!BW366&lt;&gt;"-",ListAndConversion!BW366,"")</f>
        <v/>
      </c>
      <c r="E364" s="555" t="str">
        <f ca="1">IF(ListAndConversion!BX366&lt;&gt;"-",ListAndConversion!BX366,"")</f>
        <v/>
      </c>
      <c r="F364" s="565" t="str">
        <f ca="1">IF(ListAndConversion!BY366&lt;&gt;"-",ListAndConversion!BY366,"")</f>
        <v/>
      </c>
      <c r="G364" s="565" t="str">
        <f ca="1">IF(ListAndConversion!CB366&lt;&gt;"-",ListAndConversion!CB366,"")</f>
        <v/>
      </c>
      <c r="H364" s="565" t="str">
        <f ca="1">IF(ListAndConversion!CC366&lt;&gt;"-",ListAndConversion!CC366,"")</f>
        <v/>
      </c>
      <c r="I364" s="565" t="str">
        <f ca="1">IF(ListAndConversion!CC366&lt;&gt;"-","Microfuge1","")</f>
        <v/>
      </c>
      <c r="J364" s="583" t="str">
        <f ca="1">IF(ListAndConversion!CD366&lt;&gt;"-",ListAndConversion!CD366,"")</f>
        <v/>
      </c>
      <c r="K364" s="577" t="str">
        <f t="shared" ca="1" si="5"/>
        <v/>
      </c>
    </row>
    <row r="365" spans="1:11" x14ac:dyDescent="0.65">
      <c r="A365" s="554" t="str">
        <f ca="1">IF(OR(LEFT(ListAndConversion!BW367,3)="Dil",LEFT(ListAndConversion!BW367,3)="Poo"),ListAndConversion!$BT$4,IF(LEFT(ListAndConversion!BW367,3)="Sou",INDEX(ListAndConversion!$AT$4:$AV$387,MATCH(ListAndConversion!BV367,ListAndConversion!$AV$4:$AV$387,0),1),""))</f>
        <v/>
      </c>
      <c r="B365" s="555" t="str">
        <f ca="1">IF(OR(LEFT(ListAndConversion!BW367,3)="Dil",LEFT(ListAndConversion!BW367,3)="Poo"),ListAndConversion!BU367,IF(LEFT(ListAndConversion!BW367,3)="Sou",INDEX(ListAndConversion!$AT$4:$AV$387,MATCH(ListAndConversion!BV367,ListAndConversion!$AV$4:$AV$387,0),2),""))</f>
        <v/>
      </c>
      <c r="C365" s="555" t="str">
        <f ca="1">IF(ListAndConversion!BZ367&lt;&gt;"-",ListAndConversion!BZ367,"")</f>
        <v/>
      </c>
      <c r="D365" s="555" t="str">
        <f ca="1">IF(ListAndConversion!BW367&lt;&gt;"-",ListAndConversion!BW367,"")</f>
        <v/>
      </c>
      <c r="E365" s="555" t="str">
        <f ca="1">IF(ListAndConversion!BX367&lt;&gt;"-",ListAndConversion!BX367,"")</f>
        <v/>
      </c>
      <c r="F365" s="565" t="str">
        <f ca="1">IF(ListAndConversion!BY367&lt;&gt;"-",ListAndConversion!BY367,"")</f>
        <v/>
      </c>
      <c r="G365" s="565" t="str">
        <f ca="1">IF(ListAndConversion!CB367&lt;&gt;"-",ListAndConversion!CB367,"")</f>
        <v/>
      </c>
      <c r="H365" s="565" t="str">
        <f ca="1">IF(ListAndConversion!CC367&lt;&gt;"-",ListAndConversion!CC367,"")</f>
        <v/>
      </c>
      <c r="I365" s="565" t="str">
        <f ca="1">IF(ListAndConversion!CC367&lt;&gt;"-","Microfuge1","")</f>
        <v/>
      </c>
      <c r="J365" s="583" t="str">
        <f ca="1">IF(ListAndConversion!CD367&lt;&gt;"-",ListAndConversion!CD367,"")</f>
        <v/>
      </c>
      <c r="K365" s="577" t="str">
        <f t="shared" ca="1" si="5"/>
        <v/>
      </c>
    </row>
    <row r="366" spans="1:11" x14ac:dyDescent="0.65">
      <c r="A366" s="554" t="str">
        <f ca="1">IF(OR(LEFT(ListAndConversion!BW368,3)="Dil",LEFT(ListAndConversion!BW368,3)="Poo"),ListAndConversion!$BT$4,IF(LEFT(ListAndConversion!BW368,3)="Sou",INDEX(ListAndConversion!$AT$4:$AV$387,MATCH(ListAndConversion!BV368,ListAndConversion!$AV$4:$AV$387,0),1),""))</f>
        <v/>
      </c>
      <c r="B366" s="555" t="str">
        <f ca="1">IF(OR(LEFT(ListAndConversion!BW368,3)="Dil",LEFT(ListAndConversion!BW368,3)="Poo"),ListAndConversion!BU368,IF(LEFT(ListAndConversion!BW368,3)="Sou",INDEX(ListAndConversion!$AT$4:$AV$387,MATCH(ListAndConversion!BV368,ListAndConversion!$AV$4:$AV$387,0),2),""))</f>
        <v/>
      </c>
      <c r="C366" s="555" t="str">
        <f ca="1">IF(ListAndConversion!BZ368&lt;&gt;"-",ListAndConversion!BZ368,"")</f>
        <v/>
      </c>
      <c r="D366" s="555" t="str">
        <f ca="1">IF(ListAndConversion!BW368&lt;&gt;"-",ListAndConversion!BW368,"")</f>
        <v/>
      </c>
      <c r="E366" s="555" t="str">
        <f ca="1">IF(ListAndConversion!BX368&lt;&gt;"-",ListAndConversion!BX368,"")</f>
        <v/>
      </c>
      <c r="F366" s="565" t="str">
        <f ca="1">IF(ListAndConversion!BY368&lt;&gt;"-",ListAndConversion!BY368,"")</f>
        <v/>
      </c>
      <c r="G366" s="565" t="str">
        <f ca="1">IF(ListAndConversion!CB368&lt;&gt;"-",ListAndConversion!CB368,"")</f>
        <v/>
      </c>
      <c r="H366" s="565" t="str">
        <f ca="1">IF(ListAndConversion!CC368&lt;&gt;"-",ListAndConversion!CC368,"")</f>
        <v/>
      </c>
      <c r="I366" s="565" t="str">
        <f ca="1">IF(ListAndConversion!CC368&lt;&gt;"-","Microfuge1","")</f>
        <v/>
      </c>
      <c r="J366" s="583" t="str">
        <f ca="1">IF(ListAndConversion!CD368&lt;&gt;"-",ListAndConversion!CD368,"")</f>
        <v/>
      </c>
      <c r="K366" s="577" t="str">
        <f t="shared" ca="1" si="5"/>
        <v/>
      </c>
    </row>
    <row r="367" spans="1:11" x14ac:dyDescent="0.65">
      <c r="A367" s="554" t="str">
        <f ca="1">IF(OR(LEFT(ListAndConversion!BW369,3)="Dil",LEFT(ListAndConversion!BW369,3)="Poo"),ListAndConversion!$BT$4,IF(LEFT(ListAndConversion!BW369,3)="Sou",INDEX(ListAndConversion!$AT$4:$AV$387,MATCH(ListAndConversion!BV369,ListAndConversion!$AV$4:$AV$387,0),1),""))</f>
        <v/>
      </c>
      <c r="B367" s="555" t="str">
        <f ca="1">IF(OR(LEFT(ListAndConversion!BW369,3)="Dil",LEFT(ListAndConversion!BW369,3)="Poo"),ListAndConversion!BU369,IF(LEFT(ListAndConversion!BW369,3)="Sou",INDEX(ListAndConversion!$AT$4:$AV$387,MATCH(ListAndConversion!BV369,ListAndConversion!$AV$4:$AV$387,0),2),""))</f>
        <v/>
      </c>
      <c r="C367" s="555" t="str">
        <f ca="1">IF(ListAndConversion!BZ369&lt;&gt;"-",ListAndConversion!BZ369,"")</f>
        <v/>
      </c>
      <c r="D367" s="555" t="str">
        <f ca="1">IF(ListAndConversion!BW369&lt;&gt;"-",ListAndConversion!BW369,"")</f>
        <v/>
      </c>
      <c r="E367" s="555" t="str">
        <f ca="1">IF(ListAndConversion!BX369&lt;&gt;"-",ListAndConversion!BX369,"")</f>
        <v/>
      </c>
      <c r="F367" s="565" t="str">
        <f ca="1">IF(ListAndConversion!BY369&lt;&gt;"-",ListAndConversion!BY369,"")</f>
        <v/>
      </c>
      <c r="G367" s="565" t="str">
        <f ca="1">IF(ListAndConversion!CB369&lt;&gt;"-",ListAndConversion!CB369,"")</f>
        <v/>
      </c>
      <c r="H367" s="565" t="str">
        <f ca="1">IF(ListAndConversion!CC369&lt;&gt;"-",ListAndConversion!CC369,"")</f>
        <v/>
      </c>
      <c r="I367" s="565" t="str">
        <f ca="1">IF(ListAndConversion!CC369&lt;&gt;"-","Microfuge1","")</f>
        <v/>
      </c>
      <c r="J367" s="583" t="str">
        <f ca="1">IF(ListAndConversion!CD369&lt;&gt;"-",ListAndConversion!CD369,"")</f>
        <v/>
      </c>
      <c r="K367" s="577" t="str">
        <f t="shared" ca="1" si="5"/>
        <v/>
      </c>
    </row>
    <row r="368" spans="1:11" x14ac:dyDescent="0.65">
      <c r="A368" s="554" t="str">
        <f ca="1">IF(OR(LEFT(ListAndConversion!BW370,3)="Dil",LEFT(ListAndConversion!BW370,3)="Poo"),ListAndConversion!$BT$4,IF(LEFT(ListAndConversion!BW370,3)="Sou",INDEX(ListAndConversion!$AT$4:$AV$387,MATCH(ListAndConversion!BV370,ListAndConversion!$AV$4:$AV$387,0),1),""))</f>
        <v/>
      </c>
      <c r="B368" s="555" t="str">
        <f ca="1">IF(OR(LEFT(ListAndConversion!BW370,3)="Dil",LEFT(ListAndConversion!BW370,3)="Poo"),ListAndConversion!BU370,IF(LEFT(ListAndConversion!BW370,3)="Sou",INDEX(ListAndConversion!$AT$4:$AV$387,MATCH(ListAndConversion!BV370,ListAndConversion!$AV$4:$AV$387,0),2),""))</f>
        <v/>
      </c>
      <c r="C368" s="555" t="str">
        <f ca="1">IF(ListAndConversion!BZ370&lt;&gt;"-",ListAndConversion!BZ370,"")</f>
        <v/>
      </c>
      <c r="D368" s="555" t="str">
        <f ca="1">IF(ListAndConversion!BW370&lt;&gt;"-",ListAndConversion!BW370,"")</f>
        <v/>
      </c>
      <c r="E368" s="555" t="str">
        <f ca="1">IF(ListAndConversion!BX370&lt;&gt;"-",ListAndConversion!BX370,"")</f>
        <v/>
      </c>
      <c r="F368" s="565" t="str">
        <f ca="1">IF(ListAndConversion!BY370&lt;&gt;"-",ListAndConversion!BY370,"")</f>
        <v/>
      </c>
      <c r="G368" s="565" t="str">
        <f ca="1">IF(ListAndConversion!CB370&lt;&gt;"-",ListAndConversion!CB370,"")</f>
        <v/>
      </c>
      <c r="H368" s="565" t="str">
        <f ca="1">IF(ListAndConversion!CC370&lt;&gt;"-",ListAndConversion!CC370,"")</f>
        <v/>
      </c>
      <c r="I368" s="565" t="str">
        <f ca="1">IF(ListAndConversion!CC370&lt;&gt;"-","Microfuge1","")</f>
        <v/>
      </c>
      <c r="J368" s="583" t="str">
        <f ca="1">IF(ListAndConversion!CD370&lt;&gt;"-",ListAndConversion!CD370,"")</f>
        <v/>
      </c>
      <c r="K368" s="577" t="str">
        <f t="shared" ca="1" si="5"/>
        <v/>
      </c>
    </row>
    <row r="369" spans="1:11" x14ac:dyDescent="0.65">
      <c r="A369" s="554" t="str">
        <f ca="1">IF(OR(LEFT(ListAndConversion!BW371,3)="Dil",LEFT(ListAndConversion!BW371,3)="Poo"),ListAndConversion!$BT$4,IF(LEFT(ListAndConversion!BW371,3)="Sou",INDEX(ListAndConversion!$AT$4:$AV$387,MATCH(ListAndConversion!BV371,ListAndConversion!$AV$4:$AV$387,0),1),""))</f>
        <v/>
      </c>
      <c r="B369" s="555" t="str">
        <f ca="1">IF(OR(LEFT(ListAndConversion!BW371,3)="Dil",LEFT(ListAndConversion!BW371,3)="Poo"),ListAndConversion!BU371,IF(LEFT(ListAndConversion!BW371,3)="Sou",INDEX(ListAndConversion!$AT$4:$AV$387,MATCH(ListAndConversion!BV371,ListAndConversion!$AV$4:$AV$387,0),2),""))</f>
        <v/>
      </c>
      <c r="C369" s="555" t="str">
        <f ca="1">IF(ListAndConversion!BZ371&lt;&gt;"-",ListAndConversion!BZ371,"")</f>
        <v/>
      </c>
      <c r="D369" s="555" t="str">
        <f ca="1">IF(ListAndConversion!BW371&lt;&gt;"-",ListAndConversion!BW371,"")</f>
        <v/>
      </c>
      <c r="E369" s="555" t="str">
        <f ca="1">IF(ListAndConversion!BX371&lt;&gt;"-",ListAndConversion!BX371,"")</f>
        <v/>
      </c>
      <c r="F369" s="565" t="str">
        <f ca="1">IF(ListAndConversion!BY371&lt;&gt;"-",ListAndConversion!BY371,"")</f>
        <v/>
      </c>
      <c r="G369" s="565" t="str">
        <f ca="1">IF(ListAndConversion!CB371&lt;&gt;"-",ListAndConversion!CB371,"")</f>
        <v/>
      </c>
      <c r="H369" s="565" t="str">
        <f ca="1">IF(ListAndConversion!CC371&lt;&gt;"-",ListAndConversion!CC371,"")</f>
        <v/>
      </c>
      <c r="I369" s="565" t="str">
        <f ca="1">IF(ListAndConversion!CC371&lt;&gt;"-","Microfuge1","")</f>
        <v/>
      </c>
      <c r="J369" s="583" t="str">
        <f ca="1">IF(ListAndConversion!CD371&lt;&gt;"-",ListAndConversion!CD371,"")</f>
        <v/>
      </c>
      <c r="K369" s="577" t="str">
        <f t="shared" ca="1" si="5"/>
        <v/>
      </c>
    </row>
    <row r="370" spans="1:11" x14ac:dyDescent="0.65">
      <c r="A370" s="554" t="str">
        <f ca="1">IF(OR(LEFT(ListAndConversion!BW372,3)="Dil",LEFT(ListAndConversion!BW372,3)="Poo"),ListAndConversion!$BT$4,IF(LEFT(ListAndConversion!BW372,3)="Sou",INDEX(ListAndConversion!$AT$4:$AV$387,MATCH(ListAndConversion!BV372,ListAndConversion!$AV$4:$AV$387,0),1),""))</f>
        <v/>
      </c>
      <c r="B370" s="555" t="str">
        <f ca="1">IF(OR(LEFT(ListAndConversion!BW372,3)="Dil",LEFT(ListAndConversion!BW372,3)="Poo"),ListAndConversion!BU372,IF(LEFT(ListAndConversion!BW372,3)="Sou",INDEX(ListAndConversion!$AT$4:$AV$387,MATCH(ListAndConversion!BV372,ListAndConversion!$AV$4:$AV$387,0),2),""))</f>
        <v/>
      </c>
      <c r="C370" s="555" t="str">
        <f ca="1">IF(ListAndConversion!BZ372&lt;&gt;"-",ListAndConversion!BZ372,"")</f>
        <v/>
      </c>
      <c r="D370" s="555" t="str">
        <f ca="1">IF(ListAndConversion!BW372&lt;&gt;"-",ListAndConversion!BW372,"")</f>
        <v/>
      </c>
      <c r="E370" s="555" t="str">
        <f ca="1">IF(ListAndConversion!BX372&lt;&gt;"-",ListAndConversion!BX372,"")</f>
        <v/>
      </c>
      <c r="F370" s="565" t="str">
        <f ca="1">IF(ListAndConversion!BY372&lt;&gt;"-",ListAndConversion!BY372,"")</f>
        <v/>
      </c>
      <c r="G370" s="565" t="str">
        <f ca="1">IF(ListAndConversion!CB372&lt;&gt;"-",ListAndConversion!CB372,"")</f>
        <v/>
      </c>
      <c r="H370" s="565" t="str">
        <f ca="1">IF(ListAndConversion!CC372&lt;&gt;"-",ListAndConversion!CC372,"")</f>
        <v/>
      </c>
      <c r="I370" s="565" t="str">
        <f ca="1">IF(ListAndConversion!CC372&lt;&gt;"-","Microfuge1","")</f>
        <v/>
      </c>
      <c r="J370" s="583" t="str">
        <f ca="1">IF(ListAndConversion!CD372&lt;&gt;"-",ListAndConversion!CD372,"")</f>
        <v/>
      </c>
      <c r="K370" s="577" t="str">
        <f t="shared" ca="1" si="5"/>
        <v/>
      </c>
    </row>
    <row r="371" spans="1:11" x14ac:dyDescent="0.65">
      <c r="A371" s="554" t="str">
        <f ca="1">IF(OR(LEFT(ListAndConversion!BW373,3)="Dil",LEFT(ListAndConversion!BW373,3)="Poo"),ListAndConversion!$BT$4,IF(LEFT(ListAndConversion!BW373,3)="Sou",INDEX(ListAndConversion!$AT$4:$AV$387,MATCH(ListAndConversion!BV373,ListAndConversion!$AV$4:$AV$387,0),1),""))</f>
        <v/>
      </c>
      <c r="B371" s="555" t="str">
        <f ca="1">IF(OR(LEFT(ListAndConversion!BW373,3)="Dil",LEFT(ListAndConversion!BW373,3)="Poo"),ListAndConversion!BU373,IF(LEFT(ListAndConversion!BW373,3)="Sou",INDEX(ListAndConversion!$AT$4:$AV$387,MATCH(ListAndConversion!BV373,ListAndConversion!$AV$4:$AV$387,0),2),""))</f>
        <v/>
      </c>
      <c r="C371" s="555" t="str">
        <f ca="1">IF(ListAndConversion!BZ373&lt;&gt;"-",ListAndConversion!BZ373,"")</f>
        <v/>
      </c>
      <c r="D371" s="555" t="str">
        <f ca="1">IF(ListAndConversion!BW373&lt;&gt;"-",ListAndConversion!BW373,"")</f>
        <v/>
      </c>
      <c r="E371" s="555" t="str">
        <f ca="1">IF(ListAndConversion!BX373&lt;&gt;"-",ListAndConversion!BX373,"")</f>
        <v/>
      </c>
      <c r="F371" s="565" t="str">
        <f ca="1">IF(ListAndConversion!BY373&lt;&gt;"-",ListAndConversion!BY373,"")</f>
        <v/>
      </c>
      <c r="G371" s="565" t="str">
        <f ca="1">IF(ListAndConversion!CB373&lt;&gt;"-",ListAndConversion!CB373,"")</f>
        <v/>
      </c>
      <c r="H371" s="565" t="str">
        <f ca="1">IF(ListAndConversion!CC373&lt;&gt;"-",ListAndConversion!CC373,"")</f>
        <v/>
      </c>
      <c r="I371" s="565" t="str">
        <f ca="1">IF(ListAndConversion!CC373&lt;&gt;"-","Microfuge1","")</f>
        <v/>
      </c>
      <c r="J371" s="583" t="str">
        <f ca="1">IF(ListAndConversion!CD373&lt;&gt;"-",ListAndConversion!CD373,"")</f>
        <v/>
      </c>
      <c r="K371" s="577" t="str">
        <f t="shared" ca="1" si="5"/>
        <v/>
      </c>
    </row>
    <row r="372" spans="1:11" x14ac:dyDescent="0.65">
      <c r="A372" s="554" t="str">
        <f ca="1">IF(OR(LEFT(ListAndConversion!BW374,3)="Dil",LEFT(ListAndConversion!BW374,3)="Poo"),ListAndConversion!$BT$4,IF(LEFT(ListAndConversion!BW374,3)="Sou",INDEX(ListAndConversion!$AT$4:$AV$387,MATCH(ListAndConversion!BV374,ListAndConversion!$AV$4:$AV$387,0),1),""))</f>
        <v/>
      </c>
      <c r="B372" s="555" t="str">
        <f ca="1">IF(OR(LEFT(ListAndConversion!BW374,3)="Dil",LEFT(ListAndConversion!BW374,3)="Poo"),ListAndConversion!BU374,IF(LEFT(ListAndConversion!BW374,3)="Sou",INDEX(ListAndConversion!$AT$4:$AV$387,MATCH(ListAndConversion!BV374,ListAndConversion!$AV$4:$AV$387,0),2),""))</f>
        <v/>
      </c>
      <c r="C372" s="555" t="str">
        <f ca="1">IF(ListAndConversion!BZ374&lt;&gt;"-",ListAndConversion!BZ374,"")</f>
        <v/>
      </c>
      <c r="D372" s="555" t="str">
        <f ca="1">IF(ListAndConversion!BW374&lt;&gt;"-",ListAndConversion!BW374,"")</f>
        <v/>
      </c>
      <c r="E372" s="555" t="str">
        <f ca="1">IF(ListAndConversion!BX374&lt;&gt;"-",ListAndConversion!BX374,"")</f>
        <v/>
      </c>
      <c r="F372" s="565" t="str">
        <f ca="1">IF(ListAndConversion!BY374&lt;&gt;"-",ListAndConversion!BY374,"")</f>
        <v/>
      </c>
      <c r="G372" s="565" t="str">
        <f ca="1">IF(ListAndConversion!CB374&lt;&gt;"-",ListAndConversion!CB374,"")</f>
        <v/>
      </c>
      <c r="H372" s="565" t="str">
        <f ca="1">IF(ListAndConversion!CC374&lt;&gt;"-",ListAndConversion!CC374,"")</f>
        <v/>
      </c>
      <c r="I372" s="565" t="str">
        <f ca="1">IF(ListAndConversion!CC374&lt;&gt;"-","Microfuge1","")</f>
        <v/>
      </c>
      <c r="J372" s="583" t="str">
        <f ca="1">IF(ListAndConversion!CD374&lt;&gt;"-",ListAndConversion!CD374,"")</f>
        <v/>
      </c>
      <c r="K372" s="577" t="str">
        <f t="shared" ca="1" si="5"/>
        <v/>
      </c>
    </row>
    <row r="373" spans="1:11" x14ac:dyDescent="0.65">
      <c r="A373" s="554" t="str">
        <f ca="1">IF(OR(LEFT(ListAndConversion!BW375,3)="Dil",LEFT(ListAndConversion!BW375,3)="Poo"),ListAndConversion!$BT$4,IF(LEFT(ListAndConversion!BW375,3)="Sou",INDEX(ListAndConversion!$AT$4:$AV$387,MATCH(ListAndConversion!BV375,ListAndConversion!$AV$4:$AV$387,0),1),""))</f>
        <v/>
      </c>
      <c r="B373" s="555" t="str">
        <f ca="1">IF(OR(LEFT(ListAndConversion!BW375,3)="Dil",LEFT(ListAndConversion!BW375,3)="Poo"),ListAndConversion!BU375,IF(LEFT(ListAndConversion!BW375,3)="Sou",INDEX(ListAndConversion!$AT$4:$AV$387,MATCH(ListAndConversion!BV375,ListAndConversion!$AV$4:$AV$387,0),2),""))</f>
        <v/>
      </c>
      <c r="C373" s="555" t="str">
        <f ca="1">IF(ListAndConversion!BZ375&lt;&gt;"-",ListAndConversion!BZ375,"")</f>
        <v/>
      </c>
      <c r="D373" s="555" t="str">
        <f ca="1">IF(ListAndConversion!BW375&lt;&gt;"-",ListAndConversion!BW375,"")</f>
        <v/>
      </c>
      <c r="E373" s="555" t="str">
        <f ca="1">IF(ListAndConversion!BX375&lt;&gt;"-",ListAndConversion!BX375,"")</f>
        <v/>
      </c>
      <c r="F373" s="565" t="str">
        <f ca="1">IF(ListAndConversion!BY375&lt;&gt;"-",ListAndConversion!BY375,"")</f>
        <v/>
      </c>
      <c r="G373" s="565" t="str">
        <f ca="1">IF(ListAndConversion!CB375&lt;&gt;"-",ListAndConversion!CB375,"")</f>
        <v/>
      </c>
      <c r="H373" s="565" t="str">
        <f ca="1">IF(ListAndConversion!CC375&lt;&gt;"-",ListAndConversion!CC375,"")</f>
        <v/>
      </c>
      <c r="I373" s="565" t="str">
        <f ca="1">IF(ListAndConversion!CC375&lt;&gt;"-","Microfuge1","")</f>
        <v/>
      </c>
      <c r="J373" s="583" t="str">
        <f ca="1">IF(ListAndConversion!CD375&lt;&gt;"-",ListAndConversion!CD375,"")</f>
        <v/>
      </c>
      <c r="K373" s="577" t="str">
        <f t="shared" ca="1" si="5"/>
        <v/>
      </c>
    </row>
    <row r="374" spans="1:11" x14ac:dyDescent="0.65">
      <c r="A374" s="554" t="str">
        <f ca="1">IF(OR(LEFT(ListAndConversion!BW376,3)="Dil",LEFT(ListAndConversion!BW376,3)="Poo"),ListAndConversion!$BT$4,IF(LEFT(ListAndConversion!BW376,3)="Sou",INDEX(ListAndConversion!$AT$4:$AV$387,MATCH(ListAndConversion!BV376,ListAndConversion!$AV$4:$AV$387,0),1),""))</f>
        <v/>
      </c>
      <c r="B374" s="555" t="str">
        <f ca="1">IF(OR(LEFT(ListAndConversion!BW376,3)="Dil",LEFT(ListAndConversion!BW376,3)="Poo"),ListAndConversion!BU376,IF(LEFT(ListAndConversion!BW376,3)="Sou",INDEX(ListAndConversion!$AT$4:$AV$387,MATCH(ListAndConversion!BV376,ListAndConversion!$AV$4:$AV$387,0),2),""))</f>
        <v/>
      </c>
      <c r="C374" s="555" t="str">
        <f ca="1">IF(ListAndConversion!BZ376&lt;&gt;"-",ListAndConversion!BZ376,"")</f>
        <v/>
      </c>
      <c r="D374" s="555" t="str">
        <f ca="1">IF(ListAndConversion!BW376&lt;&gt;"-",ListAndConversion!BW376,"")</f>
        <v/>
      </c>
      <c r="E374" s="555" t="str">
        <f ca="1">IF(ListAndConversion!BX376&lt;&gt;"-",ListAndConversion!BX376,"")</f>
        <v/>
      </c>
      <c r="F374" s="565" t="str">
        <f ca="1">IF(ListAndConversion!BY376&lt;&gt;"-",ListAndConversion!BY376,"")</f>
        <v/>
      </c>
      <c r="G374" s="565" t="str">
        <f ca="1">IF(ListAndConversion!CB376&lt;&gt;"-",ListAndConversion!CB376,"")</f>
        <v/>
      </c>
      <c r="H374" s="565" t="str">
        <f ca="1">IF(ListAndConversion!CC376&lt;&gt;"-",ListAndConversion!CC376,"")</f>
        <v/>
      </c>
      <c r="I374" s="565" t="str">
        <f ca="1">IF(ListAndConversion!CC376&lt;&gt;"-","Microfuge1","")</f>
        <v/>
      </c>
      <c r="J374" s="583" t="str">
        <f ca="1">IF(ListAndConversion!CD376&lt;&gt;"-",ListAndConversion!CD376,"")</f>
        <v/>
      </c>
      <c r="K374" s="577" t="str">
        <f t="shared" ca="1" si="5"/>
        <v/>
      </c>
    </row>
    <row r="375" spans="1:11" x14ac:dyDescent="0.65">
      <c r="A375" s="554" t="str">
        <f ca="1">IF(OR(LEFT(ListAndConversion!BW377,3)="Dil",LEFT(ListAndConversion!BW377,3)="Poo"),ListAndConversion!$BT$4,IF(LEFT(ListAndConversion!BW377,3)="Sou",INDEX(ListAndConversion!$AT$4:$AV$387,MATCH(ListAndConversion!BV377,ListAndConversion!$AV$4:$AV$387,0),1),""))</f>
        <v/>
      </c>
      <c r="B375" s="555" t="str">
        <f ca="1">IF(OR(LEFT(ListAndConversion!BW377,3)="Dil",LEFT(ListAndConversion!BW377,3)="Poo"),ListAndConversion!BU377,IF(LEFT(ListAndConversion!BW377,3)="Sou",INDEX(ListAndConversion!$AT$4:$AV$387,MATCH(ListAndConversion!BV377,ListAndConversion!$AV$4:$AV$387,0),2),""))</f>
        <v/>
      </c>
      <c r="C375" s="555" t="str">
        <f ca="1">IF(ListAndConversion!BZ377&lt;&gt;"-",ListAndConversion!BZ377,"")</f>
        <v/>
      </c>
      <c r="D375" s="555" t="str">
        <f ca="1">IF(ListAndConversion!BW377&lt;&gt;"-",ListAndConversion!BW377,"")</f>
        <v/>
      </c>
      <c r="E375" s="555" t="str">
        <f ca="1">IF(ListAndConversion!BX377&lt;&gt;"-",ListAndConversion!BX377,"")</f>
        <v/>
      </c>
      <c r="F375" s="565" t="str">
        <f ca="1">IF(ListAndConversion!BY377&lt;&gt;"-",ListAndConversion!BY377,"")</f>
        <v/>
      </c>
      <c r="G375" s="565" t="str">
        <f ca="1">IF(ListAndConversion!CB377&lt;&gt;"-",ListAndConversion!CB377,"")</f>
        <v/>
      </c>
      <c r="H375" s="565" t="str">
        <f ca="1">IF(ListAndConversion!CC377&lt;&gt;"-",ListAndConversion!CC377,"")</f>
        <v/>
      </c>
      <c r="I375" s="565" t="str">
        <f ca="1">IF(ListAndConversion!CC377&lt;&gt;"-","Microfuge1","")</f>
        <v/>
      </c>
      <c r="J375" s="583" t="str">
        <f ca="1">IF(ListAndConversion!CD377&lt;&gt;"-",ListAndConversion!CD377,"")</f>
        <v/>
      </c>
      <c r="K375" s="577" t="str">
        <f t="shared" ca="1" si="5"/>
        <v/>
      </c>
    </row>
    <row r="376" spans="1:11" x14ac:dyDescent="0.65">
      <c r="A376" s="554" t="str">
        <f ca="1">IF(OR(LEFT(ListAndConversion!BW378,3)="Dil",LEFT(ListAndConversion!BW378,3)="Poo"),ListAndConversion!$BT$4,IF(LEFT(ListAndConversion!BW378,3)="Sou",INDEX(ListAndConversion!$AT$4:$AV$387,MATCH(ListAndConversion!BV378,ListAndConversion!$AV$4:$AV$387,0),1),""))</f>
        <v/>
      </c>
      <c r="B376" s="555" t="str">
        <f ca="1">IF(OR(LEFT(ListAndConversion!BW378,3)="Dil",LEFT(ListAndConversion!BW378,3)="Poo"),ListAndConversion!BU378,IF(LEFT(ListAndConversion!BW378,3)="Sou",INDEX(ListAndConversion!$AT$4:$AV$387,MATCH(ListAndConversion!BV378,ListAndConversion!$AV$4:$AV$387,0),2),""))</f>
        <v/>
      </c>
      <c r="C376" s="555" t="str">
        <f ca="1">IF(ListAndConversion!BZ378&lt;&gt;"-",ListAndConversion!BZ378,"")</f>
        <v/>
      </c>
      <c r="D376" s="555" t="str">
        <f ca="1">IF(ListAndConversion!BW378&lt;&gt;"-",ListAndConversion!BW378,"")</f>
        <v/>
      </c>
      <c r="E376" s="555" t="str">
        <f ca="1">IF(ListAndConversion!BX378&lt;&gt;"-",ListAndConversion!BX378,"")</f>
        <v/>
      </c>
      <c r="F376" s="565" t="str">
        <f ca="1">IF(ListAndConversion!BY378&lt;&gt;"-",ListAndConversion!BY378,"")</f>
        <v/>
      </c>
      <c r="G376" s="565" t="str">
        <f ca="1">IF(ListAndConversion!CB378&lt;&gt;"-",ListAndConversion!CB378,"")</f>
        <v/>
      </c>
      <c r="H376" s="565" t="str">
        <f ca="1">IF(ListAndConversion!CC378&lt;&gt;"-",ListAndConversion!CC378,"")</f>
        <v/>
      </c>
      <c r="I376" s="565" t="str">
        <f ca="1">IF(ListAndConversion!CC378&lt;&gt;"-","Microfuge1","")</f>
        <v/>
      </c>
      <c r="J376" s="583" t="str">
        <f ca="1">IF(ListAndConversion!CD378&lt;&gt;"-",ListAndConversion!CD378,"")</f>
        <v/>
      </c>
      <c r="K376" s="577" t="str">
        <f t="shared" ca="1" si="5"/>
        <v/>
      </c>
    </row>
    <row r="377" spans="1:11" x14ac:dyDescent="0.65">
      <c r="A377" s="554" t="str">
        <f ca="1">IF(OR(LEFT(ListAndConversion!BW379,3)="Dil",LEFT(ListAndConversion!BW379,3)="Poo"),ListAndConversion!$BT$4,IF(LEFT(ListAndConversion!BW379,3)="Sou",INDEX(ListAndConversion!$AT$4:$AV$387,MATCH(ListAndConversion!BV379,ListAndConversion!$AV$4:$AV$387,0),1),""))</f>
        <v/>
      </c>
      <c r="B377" s="555" t="str">
        <f ca="1">IF(OR(LEFT(ListAndConversion!BW379,3)="Dil",LEFT(ListAndConversion!BW379,3)="Poo"),ListAndConversion!BU379,IF(LEFT(ListAndConversion!BW379,3)="Sou",INDEX(ListAndConversion!$AT$4:$AV$387,MATCH(ListAndConversion!BV379,ListAndConversion!$AV$4:$AV$387,0),2),""))</f>
        <v/>
      </c>
      <c r="C377" s="555" t="str">
        <f ca="1">IF(ListAndConversion!BZ379&lt;&gt;"-",ListAndConversion!BZ379,"")</f>
        <v/>
      </c>
      <c r="D377" s="555" t="str">
        <f ca="1">IF(ListAndConversion!BW379&lt;&gt;"-",ListAndConversion!BW379,"")</f>
        <v/>
      </c>
      <c r="E377" s="555" t="str">
        <f ca="1">IF(ListAndConversion!BX379&lt;&gt;"-",ListAndConversion!BX379,"")</f>
        <v/>
      </c>
      <c r="F377" s="565" t="str">
        <f ca="1">IF(ListAndConversion!BY379&lt;&gt;"-",ListAndConversion!BY379,"")</f>
        <v/>
      </c>
      <c r="G377" s="565" t="str">
        <f ca="1">IF(ListAndConversion!CB379&lt;&gt;"-",ListAndConversion!CB379,"")</f>
        <v/>
      </c>
      <c r="H377" s="565" t="str">
        <f ca="1">IF(ListAndConversion!CC379&lt;&gt;"-",ListAndConversion!CC379,"")</f>
        <v/>
      </c>
      <c r="I377" s="565" t="str">
        <f ca="1">IF(ListAndConversion!CC379&lt;&gt;"-","Microfuge1","")</f>
        <v/>
      </c>
      <c r="J377" s="583" t="str">
        <f ca="1">IF(ListAndConversion!CD379&lt;&gt;"-",ListAndConversion!CD379,"")</f>
        <v/>
      </c>
      <c r="K377" s="577" t="str">
        <f t="shared" ca="1" si="5"/>
        <v/>
      </c>
    </row>
    <row r="378" spans="1:11" x14ac:dyDescent="0.65">
      <c r="A378" s="554" t="str">
        <f ca="1">IF(OR(LEFT(ListAndConversion!BW380,3)="Dil",LEFT(ListAndConversion!BW380,3)="Poo"),ListAndConversion!$BT$4,IF(LEFT(ListAndConversion!BW380,3)="Sou",INDEX(ListAndConversion!$AT$4:$AV$387,MATCH(ListAndConversion!BV380,ListAndConversion!$AV$4:$AV$387,0),1),""))</f>
        <v/>
      </c>
      <c r="B378" s="555" t="str">
        <f ca="1">IF(OR(LEFT(ListAndConversion!BW380,3)="Dil",LEFT(ListAndConversion!BW380,3)="Poo"),ListAndConversion!BU380,IF(LEFT(ListAndConversion!BW380,3)="Sou",INDEX(ListAndConversion!$AT$4:$AV$387,MATCH(ListAndConversion!BV380,ListAndConversion!$AV$4:$AV$387,0),2),""))</f>
        <v/>
      </c>
      <c r="C378" s="555" t="str">
        <f ca="1">IF(ListAndConversion!BZ380&lt;&gt;"-",ListAndConversion!BZ380,"")</f>
        <v/>
      </c>
      <c r="D378" s="555" t="str">
        <f ca="1">IF(ListAndConversion!BW380&lt;&gt;"-",ListAndConversion!BW380,"")</f>
        <v/>
      </c>
      <c r="E378" s="555" t="str">
        <f ca="1">IF(ListAndConversion!BX380&lt;&gt;"-",ListAndConversion!BX380,"")</f>
        <v/>
      </c>
      <c r="F378" s="565" t="str">
        <f ca="1">IF(ListAndConversion!BY380&lt;&gt;"-",ListAndConversion!BY380,"")</f>
        <v/>
      </c>
      <c r="G378" s="565" t="str">
        <f ca="1">IF(ListAndConversion!CB380&lt;&gt;"-",ListAndConversion!CB380,"")</f>
        <v/>
      </c>
      <c r="H378" s="565" t="str">
        <f ca="1">IF(ListAndConversion!CC380&lt;&gt;"-",ListAndConversion!CC380,"")</f>
        <v/>
      </c>
      <c r="I378" s="565" t="str">
        <f ca="1">IF(ListAndConversion!CC380&lt;&gt;"-","Microfuge1","")</f>
        <v/>
      </c>
      <c r="J378" s="583" t="str">
        <f ca="1">IF(ListAndConversion!CD380&lt;&gt;"-",ListAndConversion!CD380,"")</f>
        <v/>
      </c>
      <c r="K378" s="577" t="str">
        <f t="shared" ca="1" si="5"/>
        <v/>
      </c>
    </row>
    <row r="379" spans="1:11" x14ac:dyDescent="0.65">
      <c r="A379" s="554" t="str">
        <f ca="1">IF(OR(LEFT(ListAndConversion!BW381,3)="Dil",LEFT(ListAndConversion!BW381,3)="Poo"),ListAndConversion!$BT$4,IF(LEFT(ListAndConversion!BW381,3)="Sou",INDEX(ListAndConversion!$AT$4:$AV$387,MATCH(ListAndConversion!BV381,ListAndConversion!$AV$4:$AV$387,0),1),""))</f>
        <v/>
      </c>
      <c r="B379" s="555" t="str">
        <f ca="1">IF(OR(LEFT(ListAndConversion!BW381,3)="Dil",LEFT(ListAndConversion!BW381,3)="Poo"),ListAndConversion!BU381,IF(LEFT(ListAndConversion!BW381,3)="Sou",INDEX(ListAndConversion!$AT$4:$AV$387,MATCH(ListAndConversion!BV381,ListAndConversion!$AV$4:$AV$387,0),2),""))</f>
        <v/>
      </c>
      <c r="C379" s="555" t="str">
        <f ca="1">IF(ListAndConversion!BZ381&lt;&gt;"-",ListAndConversion!BZ381,"")</f>
        <v/>
      </c>
      <c r="D379" s="555" t="str">
        <f ca="1">IF(ListAndConversion!BW381&lt;&gt;"-",ListAndConversion!BW381,"")</f>
        <v/>
      </c>
      <c r="E379" s="555" t="str">
        <f ca="1">IF(ListAndConversion!BX381&lt;&gt;"-",ListAndConversion!BX381,"")</f>
        <v/>
      </c>
      <c r="F379" s="565" t="str">
        <f ca="1">IF(ListAndConversion!BY381&lt;&gt;"-",ListAndConversion!BY381,"")</f>
        <v/>
      </c>
      <c r="G379" s="565" t="str">
        <f ca="1">IF(ListAndConversion!CB381&lt;&gt;"-",ListAndConversion!CB381,"")</f>
        <v/>
      </c>
      <c r="H379" s="565" t="str">
        <f ca="1">IF(ListAndConversion!CC381&lt;&gt;"-",ListAndConversion!CC381,"")</f>
        <v/>
      </c>
      <c r="I379" s="565" t="str">
        <f ca="1">IF(ListAndConversion!CC381&lt;&gt;"-","Microfuge1","")</f>
        <v/>
      </c>
      <c r="J379" s="583" t="str">
        <f ca="1">IF(ListAndConversion!CD381&lt;&gt;"-",ListAndConversion!CD381,"")</f>
        <v/>
      </c>
      <c r="K379" s="577" t="str">
        <f t="shared" ca="1" si="5"/>
        <v/>
      </c>
    </row>
    <row r="380" spans="1:11" x14ac:dyDescent="0.65">
      <c r="A380" s="554" t="str">
        <f ca="1">IF(OR(LEFT(ListAndConversion!BW382,3)="Dil",LEFT(ListAndConversion!BW382,3)="Poo"),ListAndConversion!$BT$4,IF(LEFT(ListAndConversion!BW382,3)="Sou",INDEX(ListAndConversion!$AT$4:$AV$387,MATCH(ListAndConversion!BV382,ListAndConversion!$AV$4:$AV$387,0),1),""))</f>
        <v/>
      </c>
      <c r="B380" s="555" t="str">
        <f ca="1">IF(OR(LEFT(ListAndConversion!BW382,3)="Dil",LEFT(ListAndConversion!BW382,3)="Poo"),ListAndConversion!BU382,IF(LEFT(ListAndConversion!BW382,3)="Sou",INDEX(ListAndConversion!$AT$4:$AV$387,MATCH(ListAndConversion!BV382,ListAndConversion!$AV$4:$AV$387,0),2),""))</f>
        <v/>
      </c>
      <c r="C380" s="555" t="str">
        <f ca="1">IF(ListAndConversion!BZ382&lt;&gt;"-",ListAndConversion!BZ382,"")</f>
        <v/>
      </c>
      <c r="D380" s="555" t="str">
        <f ca="1">IF(ListAndConversion!BW382&lt;&gt;"-",ListAndConversion!BW382,"")</f>
        <v/>
      </c>
      <c r="E380" s="555" t="str">
        <f ca="1">IF(ListAndConversion!BX382&lt;&gt;"-",ListAndConversion!BX382,"")</f>
        <v/>
      </c>
      <c r="F380" s="565" t="str">
        <f ca="1">IF(ListAndConversion!BY382&lt;&gt;"-",ListAndConversion!BY382,"")</f>
        <v/>
      </c>
      <c r="G380" s="565" t="str">
        <f ca="1">IF(ListAndConversion!CB382&lt;&gt;"-",ListAndConversion!CB382,"")</f>
        <v/>
      </c>
      <c r="H380" s="565" t="str">
        <f ca="1">IF(ListAndConversion!CC382&lt;&gt;"-",ListAndConversion!CC382,"")</f>
        <v/>
      </c>
      <c r="I380" s="565" t="str">
        <f ca="1">IF(ListAndConversion!CC382&lt;&gt;"-","Microfuge1","")</f>
        <v/>
      </c>
      <c r="J380" s="583" t="str">
        <f ca="1">IF(ListAndConversion!CD382&lt;&gt;"-",ListAndConversion!CD382,"")</f>
        <v/>
      </c>
      <c r="K380" s="577" t="str">
        <f t="shared" ca="1" si="5"/>
        <v/>
      </c>
    </row>
    <row r="381" spans="1:11" x14ac:dyDescent="0.65">
      <c r="A381" s="554" t="str">
        <f ca="1">IF(OR(LEFT(ListAndConversion!BW383,3)="Dil",LEFT(ListAndConversion!BW383,3)="Poo"),ListAndConversion!$BT$4,IF(LEFT(ListAndConversion!BW383,3)="Sou",INDEX(ListAndConversion!$AT$4:$AV$387,MATCH(ListAndConversion!BV383,ListAndConversion!$AV$4:$AV$387,0),1),""))</f>
        <v/>
      </c>
      <c r="B381" s="555" t="str">
        <f ca="1">IF(OR(LEFT(ListAndConversion!BW383,3)="Dil",LEFT(ListAndConversion!BW383,3)="Poo"),ListAndConversion!BU383,IF(LEFT(ListAndConversion!BW383,3)="Sou",INDEX(ListAndConversion!$AT$4:$AV$387,MATCH(ListAndConversion!BV383,ListAndConversion!$AV$4:$AV$387,0),2),""))</f>
        <v/>
      </c>
      <c r="C381" s="555" t="str">
        <f ca="1">IF(ListAndConversion!BZ383&lt;&gt;"-",ListAndConversion!BZ383,"")</f>
        <v/>
      </c>
      <c r="D381" s="555" t="str">
        <f ca="1">IF(ListAndConversion!BW383&lt;&gt;"-",ListAndConversion!BW383,"")</f>
        <v/>
      </c>
      <c r="E381" s="555" t="str">
        <f ca="1">IF(ListAndConversion!BX383&lt;&gt;"-",ListAndConversion!BX383,"")</f>
        <v/>
      </c>
      <c r="F381" s="565" t="str">
        <f ca="1">IF(ListAndConversion!BY383&lt;&gt;"-",ListAndConversion!BY383,"")</f>
        <v/>
      </c>
      <c r="G381" s="565" t="str">
        <f ca="1">IF(ListAndConversion!CB383&lt;&gt;"-",ListAndConversion!CB383,"")</f>
        <v/>
      </c>
      <c r="H381" s="565" t="str">
        <f ca="1">IF(ListAndConversion!CC383&lt;&gt;"-",ListAndConversion!CC383,"")</f>
        <v/>
      </c>
      <c r="I381" s="565" t="str">
        <f ca="1">IF(ListAndConversion!CC383&lt;&gt;"-","Microfuge1","")</f>
        <v/>
      </c>
      <c r="J381" s="583" t="str">
        <f ca="1">IF(ListAndConversion!CD383&lt;&gt;"-",ListAndConversion!CD383,"")</f>
        <v/>
      </c>
      <c r="K381" s="577" t="str">
        <f t="shared" ca="1" si="5"/>
        <v/>
      </c>
    </row>
    <row r="382" spans="1:11" x14ac:dyDescent="0.65">
      <c r="A382" s="554" t="str">
        <f ca="1">IF(OR(LEFT(ListAndConversion!BW384,3)="Dil",LEFT(ListAndConversion!BW384,3)="Poo"),ListAndConversion!$BT$4,IF(LEFT(ListAndConversion!BW384,3)="Sou",INDEX(ListAndConversion!$AT$4:$AV$387,MATCH(ListAndConversion!BV384,ListAndConversion!$AV$4:$AV$387,0),1),""))</f>
        <v/>
      </c>
      <c r="B382" s="555" t="str">
        <f ca="1">IF(OR(LEFT(ListAndConversion!BW384,3)="Dil",LEFT(ListAndConversion!BW384,3)="Poo"),ListAndConversion!BU384,IF(LEFT(ListAndConversion!BW384,3)="Sou",INDEX(ListAndConversion!$AT$4:$AV$387,MATCH(ListAndConversion!BV384,ListAndConversion!$AV$4:$AV$387,0),2),""))</f>
        <v/>
      </c>
      <c r="C382" s="555" t="str">
        <f ca="1">IF(ListAndConversion!BZ384&lt;&gt;"-",ListAndConversion!BZ384,"")</f>
        <v/>
      </c>
      <c r="D382" s="555" t="str">
        <f ca="1">IF(ListAndConversion!BW384&lt;&gt;"-",ListAndConversion!BW384,"")</f>
        <v/>
      </c>
      <c r="E382" s="555" t="str">
        <f ca="1">IF(ListAndConversion!BX384&lt;&gt;"-",ListAndConversion!BX384,"")</f>
        <v/>
      </c>
      <c r="F382" s="565" t="str">
        <f ca="1">IF(ListAndConversion!BY384&lt;&gt;"-",ListAndConversion!BY384,"")</f>
        <v/>
      </c>
      <c r="G382" s="565" t="str">
        <f ca="1">IF(ListAndConversion!CB384&lt;&gt;"-",ListAndConversion!CB384,"")</f>
        <v/>
      </c>
      <c r="H382" s="565" t="str">
        <f ca="1">IF(ListAndConversion!CC384&lt;&gt;"-",ListAndConversion!CC384,"")</f>
        <v/>
      </c>
      <c r="I382" s="565" t="str">
        <f ca="1">IF(ListAndConversion!CC384&lt;&gt;"-","Microfuge1","")</f>
        <v/>
      </c>
      <c r="J382" s="583" t="str">
        <f ca="1">IF(ListAndConversion!CD384&lt;&gt;"-",ListAndConversion!CD384,"")</f>
        <v/>
      </c>
      <c r="K382" s="577" t="str">
        <f t="shared" ca="1" si="5"/>
        <v/>
      </c>
    </row>
    <row r="383" spans="1:11" x14ac:dyDescent="0.65">
      <c r="A383" s="554" t="str">
        <f ca="1">IF(OR(LEFT(ListAndConversion!BW385,3)="Dil",LEFT(ListAndConversion!BW385,3)="Poo"),ListAndConversion!$BT$4,IF(LEFT(ListAndConversion!BW385,3)="Sou",INDEX(ListAndConversion!$AT$4:$AV$387,MATCH(ListAndConversion!BV385,ListAndConversion!$AV$4:$AV$387,0),1),""))</f>
        <v/>
      </c>
      <c r="B383" s="555" t="str">
        <f ca="1">IF(OR(LEFT(ListAndConversion!BW385,3)="Dil",LEFT(ListAndConversion!BW385,3)="Poo"),ListAndConversion!BU385,IF(LEFT(ListAndConversion!BW385,3)="Sou",INDEX(ListAndConversion!$AT$4:$AV$387,MATCH(ListAndConversion!BV385,ListAndConversion!$AV$4:$AV$387,0),2),""))</f>
        <v/>
      </c>
      <c r="C383" s="555" t="str">
        <f ca="1">IF(ListAndConversion!BZ385&lt;&gt;"-",ListAndConversion!BZ385,"")</f>
        <v/>
      </c>
      <c r="D383" s="555" t="str">
        <f ca="1">IF(ListAndConversion!BW385&lt;&gt;"-",ListAndConversion!BW385,"")</f>
        <v/>
      </c>
      <c r="E383" s="555" t="str">
        <f ca="1">IF(ListAndConversion!BX385&lt;&gt;"-",ListAndConversion!BX385,"")</f>
        <v/>
      </c>
      <c r="F383" s="565" t="str">
        <f ca="1">IF(ListAndConversion!BY385&lt;&gt;"-",ListAndConversion!BY385,"")</f>
        <v/>
      </c>
      <c r="G383" s="565" t="str">
        <f ca="1">IF(ListAndConversion!CB385&lt;&gt;"-",ListAndConversion!CB385,"")</f>
        <v/>
      </c>
      <c r="H383" s="565" t="str">
        <f ca="1">IF(ListAndConversion!CC385&lt;&gt;"-",ListAndConversion!CC385,"")</f>
        <v/>
      </c>
      <c r="I383" s="565" t="str">
        <f ca="1">IF(ListAndConversion!CC385&lt;&gt;"-","Microfuge1","")</f>
        <v/>
      </c>
      <c r="J383" s="583" t="str">
        <f ca="1">IF(ListAndConversion!CD385&lt;&gt;"-",ListAndConversion!CD385,"")</f>
        <v/>
      </c>
      <c r="K383" s="577" t="str">
        <f t="shared" ca="1" si="5"/>
        <v/>
      </c>
    </row>
    <row r="384" spans="1:11" x14ac:dyDescent="0.65">
      <c r="A384" s="554" t="str">
        <f ca="1">IF(OR(LEFT(ListAndConversion!BW386,3)="Dil",LEFT(ListAndConversion!BW386,3)="Poo"),ListAndConversion!$BT$4,IF(LEFT(ListAndConversion!BW386,3)="Sou",INDEX(ListAndConversion!$AT$4:$AV$387,MATCH(ListAndConversion!BV386,ListAndConversion!$AV$4:$AV$387,0),1),""))</f>
        <v/>
      </c>
      <c r="B384" s="555" t="str">
        <f ca="1">IF(OR(LEFT(ListAndConversion!BW386,3)="Dil",LEFT(ListAndConversion!BW386,3)="Poo"),ListAndConversion!BU386,IF(LEFT(ListAndConversion!BW386,3)="Sou",INDEX(ListAndConversion!$AT$4:$AV$387,MATCH(ListAndConversion!BV386,ListAndConversion!$AV$4:$AV$387,0),2),""))</f>
        <v/>
      </c>
      <c r="C384" s="555" t="str">
        <f ca="1">IF(ListAndConversion!BZ386&lt;&gt;"-",ListAndConversion!BZ386,"")</f>
        <v/>
      </c>
      <c r="D384" s="555" t="str">
        <f ca="1">IF(ListAndConversion!BW386&lt;&gt;"-",ListAndConversion!BW386,"")</f>
        <v/>
      </c>
      <c r="E384" s="555" t="str">
        <f ca="1">IF(ListAndConversion!BX386&lt;&gt;"-",ListAndConversion!BX386,"")</f>
        <v/>
      </c>
      <c r="F384" s="565" t="str">
        <f ca="1">IF(ListAndConversion!BY386&lt;&gt;"-",ListAndConversion!BY386,"")</f>
        <v/>
      </c>
      <c r="G384" s="565" t="str">
        <f ca="1">IF(ListAndConversion!CB386&lt;&gt;"-",ListAndConversion!CB386,"")</f>
        <v/>
      </c>
      <c r="H384" s="565" t="str">
        <f ca="1">IF(ListAndConversion!CC386&lt;&gt;"-",ListAndConversion!CC386,"")</f>
        <v/>
      </c>
      <c r="I384" s="565" t="str">
        <f ca="1">IF(ListAndConversion!CC386&lt;&gt;"-","Microfuge1","")</f>
        <v/>
      </c>
      <c r="J384" s="583" t="str">
        <f ca="1">IF(ListAndConversion!CD386&lt;&gt;"-",ListAndConversion!CD386,"")</f>
        <v/>
      </c>
      <c r="K384" s="577" t="str">
        <f t="shared" ca="1" si="5"/>
        <v/>
      </c>
    </row>
    <row r="385" spans="1:11" x14ac:dyDescent="0.65">
      <c r="A385" s="558" t="str">
        <f ca="1">IF(OR(LEFT(ListAndConversion!BW387,3)="Dil",LEFT(ListAndConversion!BW387,3)="Poo"),ListAndConversion!$BT$4,IF(LEFT(ListAndConversion!BW387,3)="Sou",INDEX(ListAndConversion!$AT$4:$AV$387,MATCH(ListAndConversion!BV387,ListAndConversion!$AV$4:$AV$387,0),1),""))</f>
        <v/>
      </c>
      <c r="B385" s="559" t="str">
        <f ca="1">IF(OR(LEFT(ListAndConversion!BW387,3)="Dil",LEFT(ListAndConversion!BW387,3)="Poo"),ListAndConversion!BU387,IF(LEFT(ListAndConversion!BW387,3)="Sou",INDEX(ListAndConversion!$AT$4:$AV$387,MATCH(ListAndConversion!BV387,ListAndConversion!$AV$4:$AV$387,0),2),""))</f>
        <v/>
      </c>
      <c r="C385" s="559" t="str">
        <f ca="1">IF(ListAndConversion!BZ387&lt;&gt;"-",ListAndConversion!BZ387,"")</f>
        <v/>
      </c>
      <c r="D385" s="559" t="str">
        <f ca="1">IF(ListAndConversion!BW387&lt;&gt;"-",ListAndConversion!BW387,"")</f>
        <v/>
      </c>
      <c r="E385" s="559" t="str">
        <f ca="1">IF(ListAndConversion!BX387&lt;&gt;"-",ListAndConversion!BX387,"")</f>
        <v/>
      </c>
      <c r="F385" s="584" t="str">
        <f ca="1">IF(ListAndConversion!BY387&lt;&gt;"-",ListAndConversion!BY387,"")</f>
        <v/>
      </c>
      <c r="G385" s="584" t="str">
        <f ca="1">IF(ListAndConversion!CB387&lt;&gt;"-",ListAndConversion!CB387,"")</f>
        <v/>
      </c>
      <c r="H385" s="584" t="str">
        <f ca="1">IF(ListAndConversion!CC387&lt;&gt;"-",ListAndConversion!CC387,"")</f>
        <v/>
      </c>
      <c r="I385" s="565" t="str">
        <f ca="1">IF(ListAndConversion!CC387&lt;&gt;"-","Microfuge1","")</f>
        <v/>
      </c>
      <c r="J385" s="585" t="str">
        <f ca="1">IF(ListAndConversion!CD387&lt;&gt;"-",ListAndConversion!CD387,"")</f>
        <v/>
      </c>
      <c r="K385" s="578" t="str">
        <f t="shared" ca="1" si="5"/>
        <v/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85"/>
  <sheetViews>
    <sheetView zoomScaleNormal="100" workbookViewId="0"/>
  </sheetViews>
  <sheetFormatPr defaultRowHeight="14.25" x14ac:dyDescent="0.65"/>
  <cols>
    <col min="1" max="1" width="13.5" style="546"/>
    <col min="2" max="2" width="7.54296875" style="546"/>
    <col min="3" max="3" width="10.26953125" style="546"/>
    <col min="4" max="4" width="9.1796875" style="547"/>
    <col min="5" max="7" width="11.7265625" style="547"/>
    <col min="8" max="8" width="10.90625" style="547"/>
    <col min="9" max="1025" width="11.1796875" style="547"/>
  </cols>
  <sheetData>
    <row r="1" spans="1:8" x14ac:dyDescent="0.65">
      <c r="A1" s="586" t="s">
        <v>484</v>
      </c>
      <c r="B1" s="587" t="s">
        <v>485</v>
      </c>
      <c r="C1" s="587" t="s">
        <v>502</v>
      </c>
      <c r="D1" s="587" t="s">
        <v>503</v>
      </c>
      <c r="E1" s="587" t="s">
        <v>504</v>
      </c>
      <c r="F1" s="587" t="s">
        <v>505</v>
      </c>
      <c r="G1" s="587" t="s">
        <v>506</v>
      </c>
      <c r="H1" s="588" t="s">
        <v>507</v>
      </c>
    </row>
    <row r="2" spans="1:8" x14ac:dyDescent="0.65">
      <c r="A2" s="554" t="str">
        <f t="array" aca="1" ref="A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" s="555" t="str">
        <f t="array" aca="1" ref="B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" s="555" t="str">
        <f ca="1">IF((ROW()-1)&lt;=COUNTIF(ListAndConversion!$CJ$4:$CQ$387,"&lt;&gt;-"),"Strips1","")</f>
        <v/>
      </c>
      <c r="D2" s="555" t="str">
        <f t="array" aca="1" ref="D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" s="555" t="str">
        <f t="array" aca="1" ref="E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" s="555" t="str">
        <f t="shared" ref="F2:F65" ca="1" si="0">IF(D2&lt;=32,"Microfuge1",IF(D2&lt;=64,"Microfuge2",""))</f>
        <v/>
      </c>
      <c r="G2" s="555" t="str">
        <f ca="1">IF(D2&lt;=8,RunName_ExAmpPrep!$H$2,IF(D2&lt;=16,RunName_ExAmpPrep!$H$3,IF(D2&lt;=24,RunName_ExAmpPrep!$H$4,IF(D2&lt;=32,RunName_ExAmpPrep!$H$5,IF(D2&lt;=40,RunName_ExAmpPrep!$H$6,IF(D2&lt;=48,RunName_ExAmpPrep!$H$7,IF(D2&lt;=56,RunName_ExAmpPrep!$H$8,IF(D2&lt;=64,RunName_ExAmpPrep!$H$9,""))))))))</f>
        <v/>
      </c>
      <c r="H2" s="577" t="str">
        <f t="array" aca="1" ref="H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" spans="1:8" x14ac:dyDescent="0.65">
      <c r="A3" s="554" t="str">
        <f t="array" aca="1" ref="A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" s="555" t="str">
        <f t="array" aca="1" ref="B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" s="555" t="str">
        <f ca="1">IF((ROW()-1)&lt;=COUNTIF(ListAndConversion!$CJ$4:$CQ$387,"&lt;&gt;-"),"Strips1","")</f>
        <v/>
      </c>
      <c r="D3" s="555" t="str">
        <f t="array" aca="1" ref="D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" s="555" t="str">
        <f t="array" aca="1" ref="E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" s="555" t="str">
        <f t="shared" ca="1" si="0"/>
        <v/>
      </c>
      <c r="G3" s="555" t="str">
        <f ca="1">IF(D3&lt;=8,RunName_ExAmpPrep!$H$2,IF(D3&lt;=16,RunName_ExAmpPrep!$H$3,IF(D3&lt;=24,RunName_ExAmpPrep!$H$4,IF(D3&lt;=32,RunName_ExAmpPrep!$H$5,IF(D3&lt;=40,RunName_ExAmpPrep!$H$6,IF(D3&lt;=48,RunName_ExAmpPrep!$H$7,IF(D3&lt;=56,RunName_ExAmpPrep!$H$8,IF(D3&lt;=64,RunName_ExAmpPrep!$H$9,""))))))))</f>
        <v/>
      </c>
      <c r="H3" s="577" t="str">
        <f t="array" aca="1" ref="H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4" spans="1:8" x14ac:dyDescent="0.65">
      <c r="A4" s="554" t="str">
        <f t="array" aca="1" ref="A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4" s="555" t="str">
        <f t="array" aca="1" ref="B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4" s="555" t="str">
        <f ca="1">IF((ROW()-1)&lt;=COUNTIF(ListAndConversion!$CJ$4:$CQ$387,"&lt;&gt;-"),"Strips1","")</f>
        <v/>
      </c>
      <c r="D4" s="555" t="str">
        <f t="array" aca="1" ref="D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4" s="555" t="str">
        <f t="array" aca="1" ref="E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4" s="555" t="str">
        <f t="shared" ca="1" si="0"/>
        <v/>
      </c>
      <c r="G4" s="555" t="str">
        <f ca="1">IF(D4&lt;=8,RunName_ExAmpPrep!$H$2,IF(D4&lt;=16,RunName_ExAmpPrep!$H$3,IF(D4&lt;=24,RunName_ExAmpPrep!$H$4,IF(D4&lt;=32,RunName_ExAmpPrep!$H$5,IF(D4&lt;=40,RunName_ExAmpPrep!$H$6,IF(D4&lt;=48,RunName_ExAmpPrep!$H$7,IF(D4&lt;=56,RunName_ExAmpPrep!$H$8,IF(D4&lt;=64,RunName_ExAmpPrep!$H$9,""))))))))</f>
        <v/>
      </c>
      <c r="H4" s="577" t="str">
        <f t="array" aca="1" ref="H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5" spans="1:8" x14ac:dyDescent="0.65">
      <c r="A5" s="554" t="str">
        <f t="array" aca="1" ref="A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5" s="555" t="str">
        <f t="array" aca="1" ref="B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5" s="555" t="str">
        <f ca="1">IF((ROW()-1)&lt;=COUNTIF(ListAndConversion!$CJ$4:$CQ$387,"&lt;&gt;-"),"Strips1","")</f>
        <v/>
      </c>
      <c r="D5" s="555" t="str">
        <f t="array" aca="1" ref="D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5" s="555" t="str">
        <f t="array" aca="1" ref="E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5" s="555" t="str">
        <f t="shared" ca="1" si="0"/>
        <v/>
      </c>
      <c r="G5" s="555" t="str">
        <f ca="1">IF(D5&lt;=8,RunName_ExAmpPrep!$H$2,IF(D5&lt;=16,RunName_ExAmpPrep!$H$3,IF(D5&lt;=24,RunName_ExAmpPrep!$H$4,IF(D5&lt;=32,RunName_ExAmpPrep!$H$5,IF(D5&lt;=40,RunName_ExAmpPrep!$H$6,IF(D5&lt;=48,RunName_ExAmpPrep!$H$7,IF(D5&lt;=56,RunName_ExAmpPrep!$H$8,IF(D5&lt;=64,RunName_ExAmpPrep!$H$9,""))))))))</f>
        <v/>
      </c>
      <c r="H5" s="577" t="str">
        <f t="array" aca="1" ref="H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6" spans="1:8" x14ac:dyDescent="0.65">
      <c r="A6" s="554" t="str">
        <f t="array" aca="1" ref="A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6" s="555" t="str">
        <f t="array" aca="1" ref="B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6" s="555" t="str">
        <f ca="1">IF((ROW()-1)&lt;=COUNTIF(ListAndConversion!$CJ$4:$CQ$387,"&lt;&gt;-"),"Strips1","")</f>
        <v/>
      </c>
      <c r="D6" s="555" t="str">
        <f t="array" aca="1" ref="D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6" s="555" t="str">
        <f t="array" aca="1" ref="E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6" s="555" t="str">
        <f t="shared" ca="1" si="0"/>
        <v/>
      </c>
      <c r="G6" s="555" t="str">
        <f ca="1">IF(D6&lt;=8,RunName_ExAmpPrep!$H$2,IF(D6&lt;=16,RunName_ExAmpPrep!$H$3,IF(D6&lt;=24,RunName_ExAmpPrep!$H$4,IF(D6&lt;=32,RunName_ExAmpPrep!$H$5,IF(D6&lt;=40,RunName_ExAmpPrep!$H$6,IF(D6&lt;=48,RunName_ExAmpPrep!$H$7,IF(D6&lt;=56,RunName_ExAmpPrep!$H$8,IF(D6&lt;=64,RunName_ExAmpPrep!$H$9,""))))))))</f>
        <v/>
      </c>
      <c r="H6" s="577" t="str">
        <f t="array" aca="1" ref="H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7" spans="1:8" x14ac:dyDescent="0.65">
      <c r="A7" s="554" t="str">
        <f t="array" aca="1" ref="A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7" s="555" t="str">
        <f t="array" aca="1" ref="B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7" s="555" t="str">
        <f ca="1">IF((ROW()-1)&lt;=COUNTIF(ListAndConversion!$CJ$4:$CQ$387,"&lt;&gt;-"),"Strips1","")</f>
        <v/>
      </c>
      <c r="D7" s="555" t="str">
        <f t="array" aca="1" ref="D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7" s="555" t="str">
        <f t="array" aca="1" ref="E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7" s="555" t="str">
        <f t="shared" ca="1" si="0"/>
        <v/>
      </c>
      <c r="G7" s="555" t="str">
        <f ca="1">IF(D7&lt;=8,RunName_ExAmpPrep!$H$2,IF(D7&lt;=16,RunName_ExAmpPrep!$H$3,IF(D7&lt;=24,RunName_ExAmpPrep!$H$4,IF(D7&lt;=32,RunName_ExAmpPrep!$H$5,IF(D7&lt;=40,RunName_ExAmpPrep!$H$6,IF(D7&lt;=48,RunName_ExAmpPrep!$H$7,IF(D7&lt;=56,RunName_ExAmpPrep!$H$8,IF(D7&lt;=64,RunName_ExAmpPrep!$H$9,""))))))))</f>
        <v/>
      </c>
      <c r="H7" s="577" t="str">
        <f t="array" aca="1" ref="H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8" spans="1:8" x14ac:dyDescent="0.65">
      <c r="A8" s="554" t="str">
        <f t="array" aca="1" ref="A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8" s="555" t="str">
        <f t="array" aca="1" ref="B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8" s="555" t="str">
        <f ca="1">IF((ROW()-1)&lt;=COUNTIF(ListAndConversion!$CJ$4:$CQ$387,"&lt;&gt;-"),"Strips1","")</f>
        <v/>
      </c>
      <c r="D8" s="555" t="str">
        <f t="array" aca="1" ref="D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8" s="555" t="str">
        <f t="array" aca="1" ref="E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8" s="555" t="str">
        <f t="shared" ca="1" si="0"/>
        <v/>
      </c>
      <c r="G8" s="555" t="str">
        <f ca="1">IF(D8&lt;=8,RunName_ExAmpPrep!$H$2,IF(D8&lt;=16,RunName_ExAmpPrep!$H$3,IF(D8&lt;=24,RunName_ExAmpPrep!$H$4,IF(D8&lt;=32,RunName_ExAmpPrep!$H$5,IF(D8&lt;=40,RunName_ExAmpPrep!$H$6,IF(D8&lt;=48,RunName_ExAmpPrep!$H$7,IF(D8&lt;=56,RunName_ExAmpPrep!$H$8,IF(D8&lt;=64,RunName_ExAmpPrep!$H$9,""))))))))</f>
        <v/>
      </c>
      <c r="H8" s="577" t="str">
        <f t="array" aca="1" ref="H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9" spans="1:8" x14ac:dyDescent="0.65">
      <c r="A9" s="554" t="str">
        <f t="array" aca="1" ref="A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9" s="555" t="str">
        <f t="array" aca="1" ref="B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9" s="555" t="str">
        <f ca="1">IF((ROW()-1)&lt;=COUNTIF(ListAndConversion!$CJ$4:$CQ$387,"&lt;&gt;-"),"Strips1","")</f>
        <v/>
      </c>
      <c r="D9" s="555" t="str">
        <f t="array" aca="1" ref="D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9" s="555" t="str">
        <f t="array" aca="1" ref="E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9" s="555" t="str">
        <f t="shared" ca="1" si="0"/>
        <v/>
      </c>
      <c r="G9" s="555" t="str">
        <f ca="1">IF(D9&lt;=8,RunName_ExAmpPrep!$H$2,IF(D9&lt;=16,RunName_ExAmpPrep!$H$3,IF(D9&lt;=24,RunName_ExAmpPrep!$H$4,IF(D9&lt;=32,RunName_ExAmpPrep!$H$5,IF(D9&lt;=40,RunName_ExAmpPrep!$H$6,IF(D9&lt;=48,RunName_ExAmpPrep!$H$7,IF(D9&lt;=56,RunName_ExAmpPrep!$H$8,IF(D9&lt;=64,RunName_ExAmpPrep!$H$9,""))))))))</f>
        <v/>
      </c>
      <c r="H9" s="577" t="str">
        <f t="array" aca="1" ref="H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0" spans="1:8" x14ac:dyDescent="0.65">
      <c r="A10" s="554" t="str">
        <f t="array" aca="1" ref="A1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0" s="555" t="str">
        <f t="array" aca="1" ref="B1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0" s="555" t="str">
        <f ca="1">IF((ROW()-1)&lt;=COUNTIF(ListAndConversion!$CJ$4:$CQ$387,"&lt;&gt;-"),"Strips1","")</f>
        <v/>
      </c>
      <c r="D10" s="555" t="str">
        <f t="array" aca="1" ref="D1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0" s="555" t="str">
        <f t="array" aca="1" ref="E1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0" s="555" t="str">
        <f t="shared" ca="1" si="0"/>
        <v/>
      </c>
      <c r="G10" s="555" t="str">
        <f ca="1">IF(D10&lt;=8,RunName_ExAmpPrep!$H$2,IF(D10&lt;=16,RunName_ExAmpPrep!$H$3,IF(D10&lt;=24,RunName_ExAmpPrep!$H$4,IF(D10&lt;=32,RunName_ExAmpPrep!$H$5,IF(D10&lt;=40,RunName_ExAmpPrep!$H$6,IF(D10&lt;=48,RunName_ExAmpPrep!$H$7,IF(D10&lt;=56,RunName_ExAmpPrep!$H$8,IF(D10&lt;=64,RunName_ExAmpPrep!$H$9,""))))))))</f>
        <v/>
      </c>
      <c r="H10" s="577" t="str">
        <f t="array" aca="1" ref="H1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1" spans="1:8" x14ac:dyDescent="0.65">
      <c r="A11" s="554" t="str">
        <f t="array" aca="1" ref="A1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1" s="555" t="str">
        <f t="array" aca="1" ref="B1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1" s="555" t="str">
        <f ca="1">IF((ROW()-1)&lt;=COUNTIF(ListAndConversion!$CJ$4:$CQ$387,"&lt;&gt;-"),"Strips1","")</f>
        <v/>
      </c>
      <c r="D11" s="555" t="str">
        <f t="array" aca="1" ref="D1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1" s="555" t="str">
        <f t="array" aca="1" ref="E1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1" s="555" t="str">
        <f t="shared" ca="1" si="0"/>
        <v/>
      </c>
      <c r="G11" s="555" t="str">
        <f ca="1">IF(D11&lt;=8,RunName_ExAmpPrep!$H$2,IF(D11&lt;=16,RunName_ExAmpPrep!$H$3,IF(D11&lt;=24,RunName_ExAmpPrep!$H$4,IF(D11&lt;=32,RunName_ExAmpPrep!$H$5,IF(D11&lt;=40,RunName_ExAmpPrep!$H$6,IF(D11&lt;=48,RunName_ExAmpPrep!$H$7,IF(D11&lt;=56,RunName_ExAmpPrep!$H$8,IF(D11&lt;=64,RunName_ExAmpPrep!$H$9,""))))))))</f>
        <v/>
      </c>
      <c r="H11" s="577" t="str">
        <f t="array" aca="1" ref="H1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2" spans="1:8" x14ac:dyDescent="0.65">
      <c r="A12" s="554" t="str">
        <f t="array" aca="1" ref="A1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2" s="555" t="str">
        <f t="array" aca="1" ref="B1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2" s="555" t="str">
        <f ca="1">IF((ROW()-1)&lt;=COUNTIF(ListAndConversion!$CJ$4:$CQ$387,"&lt;&gt;-"),"Strips1","")</f>
        <v/>
      </c>
      <c r="D12" s="555" t="str">
        <f t="array" aca="1" ref="D1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2" s="555" t="str">
        <f t="array" aca="1" ref="E1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2" s="555" t="str">
        <f t="shared" ca="1" si="0"/>
        <v/>
      </c>
      <c r="G12" s="555" t="str">
        <f ca="1">IF(D12&lt;=8,RunName_ExAmpPrep!$H$2,IF(D12&lt;=16,RunName_ExAmpPrep!$H$3,IF(D12&lt;=24,RunName_ExAmpPrep!$H$4,IF(D12&lt;=32,RunName_ExAmpPrep!$H$5,IF(D12&lt;=40,RunName_ExAmpPrep!$H$6,IF(D12&lt;=48,RunName_ExAmpPrep!$H$7,IF(D12&lt;=56,RunName_ExAmpPrep!$H$8,IF(D12&lt;=64,RunName_ExAmpPrep!$H$9,""))))))))</f>
        <v/>
      </c>
      <c r="H12" s="577" t="str">
        <f t="array" aca="1" ref="H1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3" spans="1:8" x14ac:dyDescent="0.65">
      <c r="A13" s="554" t="str">
        <f t="array" aca="1" ref="A1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3" s="555" t="str">
        <f t="array" aca="1" ref="B1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3" s="555" t="str">
        <f ca="1">IF((ROW()-1)&lt;=COUNTIF(ListAndConversion!$CJ$4:$CQ$387,"&lt;&gt;-"),"Strips1","")</f>
        <v/>
      </c>
      <c r="D13" s="555" t="str">
        <f t="array" aca="1" ref="D1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3" s="555" t="str">
        <f t="array" aca="1" ref="E1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3" s="555" t="str">
        <f t="shared" ca="1" si="0"/>
        <v/>
      </c>
      <c r="G13" s="555" t="str">
        <f ca="1">IF(D13&lt;=8,RunName_ExAmpPrep!$H$2,IF(D13&lt;=16,RunName_ExAmpPrep!$H$3,IF(D13&lt;=24,RunName_ExAmpPrep!$H$4,IF(D13&lt;=32,RunName_ExAmpPrep!$H$5,IF(D13&lt;=40,RunName_ExAmpPrep!$H$6,IF(D13&lt;=48,RunName_ExAmpPrep!$H$7,IF(D13&lt;=56,RunName_ExAmpPrep!$H$8,IF(D13&lt;=64,RunName_ExAmpPrep!$H$9,""))))))))</f>
        <v/>
      </c>
      <c r="H13" s="577" t="str">
        <f t="array" aca="1" ref="H1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4" spans="1:8" x14ac:dyDescent="0.65">
      <c r="A14" s="554" t="str">
        <f t="array" aca="1" ref="A1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4" s="555" t="str">
        <f t="array" aca="1" ref="B1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4" s="555" t="str">
        <f ca="1">IF((ROW()-1)&lt;=COUNTIF(ListAndConversion!$CJ$4:$CQ$387,"&lt;&gt;-"),"Strips1","")</f>
        <v/>
      </c>
      <c r="D14" s="555" t="str">
        <f t="array" aca="1" ref="D1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4" s="555" t="str">
        <f t="array" aca="1" ref="E1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4" s="555" t="str">
        <f t="shared" ca="1" si="0"/>
        <v/>
      </c>
      <c r="G14" s="555" t="str">
        <f ca="1">IF(D14&lt;=8,RunName_ExAmpPrep!$H$2,IF(D14&lt;=16,RunName_ExAmpPrep!$H$3,IF(D14&lt;=24,RunName_ExAmpPrep!$H$4,IF(D14&lt;=32,RunName_ExAmpPrep!$H$5,IF(D14&lt;=40,RunName_ExAmpPrep!$H$6,IF(D14&lt;=48,RunName_ExAmpPrep!$H$7,IF(D14&lt;=56,RunName_ExAmpPrep!$H$8,IF(D14&lt;=64,RunName_ExAmpPrep!$H$9,""))))))))</f>
        <v/>
      </c>
      <c r="H14" s="577" t="str">
        <f t="array" aca="1" ref="H1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5" spans="1:8" x14ac:dyDescent="0.65">
      <c r="A15" s="554" t="str">
        <f t="array" aca="1" ref="A1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5" s="555" t="str">
        <f t="array" aca="1" ref="B1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5" s="555" t="str">
        <f ca="1">IF((ROW()-1)&lt;=COUNTIF(ListAndConversion!$CJ$4:$CQ$387,"&lt;&gt;-"),"Strips1","")</f>
        <v/>
      </c>
      <c r="D15" s="555" t="str">
        <f t="array" aca="1" ref="D1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5" s="555" t="str">
        <f t="array" aca="1" ref="E1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5" s="555" t="str">
        <f t="shared" ca="1" si="0"/>
        <v/>
      </c>
      <c r="G15" s="555" t="str">
        <f ca="1">IF(D15&lt;=8,RunName_ExAmpPrep!$H$2,IF(D15&lt;=16,RunName_ExAmpPrep!$H$3,IF(D15&lt;=24,RunName_ExAmpPrep!$H$4,IF(D15&lt;=32,RunName_ExAmpPrep!$H$5,IF(D15&lt;=40,RunName_ExAmpPrep!$H$6,IF(D15&lt;=48,RunName_ExAmpPrep!$H$7,IF(D15&lt;=56,RunName_ExAmpPrep!$H$8,IF(D15&lt;=64,RunName_ExAmpPrep!$H$9,""))))))))</f>
        <v/>
      </c>
      <c r="H15" s="577" t="str">
        <f t="array" aca="1" ref="H1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6" spans="1:8" x14ac:dyDescent="0.65">
      <c r="A16" s="554" t="str">
        <f t="array" aca="1" ref="A1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6" s="555" t="str">
        <f t="array" aca="1" ref="B1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6" s="555" t="str">
        <f ca="1">IF((ROW()-1)&lt;=COUNTIF(ListAndConversion!$CJ$4:$CQ$387,"&lt;&gt;-"),"Strips1","")</f>
        <v/>
      </c>
      <c r="D16" s="555" t="str">
        <f t="array" aca="1" ref="D1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6" s="555" t="str">
        <f t="array" aca="1" ref="E1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6" s="555" t="str">
        <f t="shared" ca="1" si="0"/>
        <v/>
      </c>
      <c r="G16" s="555" t="str">
        <f ca="1">IF(D16&lt;=8,RunName_ExAmpPrep!$H$2,IF(D16&lt;=16,RunName_ExAmpPrep!$H$3,IF(D16&lt;=24,RunName_ExAmpPrep!$H$4,IF(D16&lt;=32,RunName_ExAmpPrep!$H$5,IF(D16&lt;=40,RunName_ExAmpPrep!$H$6,IF(D16&lt;=48,RunName_ExAmpPrep!$H$7,IF(D16&lt;=56,RunName_ExAmpPrep!$H$8,IF(D16&lt;=64,RunName_ExAmpPrep!$H$9,""))))))))</f>
        <v/>
      </c>
      <c r="H16" s="577" t="str">
        <f t="array" aca="1" ref="H1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7" spans="1:8" x14ac:dyDescent="0.65">
      <c r="A17" s="554" t="str">
        <f t="array" aca="1" ref="A1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7" s="555" t="str">
        <f t="array" aca="1" ref="B1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7" s="555" t="str">
        <f ca="1">IF((ROW()-1)&lt;=COUNTIF(ListAndConversion!$CJ$4:$CQ$387,"&lt;&gt;-"),"Strips1","")</f>
        <v/>
      </c>
      <c r="D17" s="555" t="str">
        <f t="array" aca="1" ref="D1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7" s="555" t="str">
        <f t="array" aca="1" ref="E1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7" s="555" t="str">
        <f t="shared" ca="1" si="0"/>
        <v/>
      </c>
      <c r="G17" s="555" t="str">
        <f ca="1">IF(D17&lt;=8,RunName_ExAmpPrep!$H$2,IF(D17&lt;=16,RunName_ExAmpPrep!$H$3,IF(D17&lt;=24,RunName_ExAmpPrep!$H$4,IF(D17&lt;=32,RunName_ExAmpPrep!$H$5,IF(D17&lt;=40,RunName_ExAmpPrep!$H$6,IF(D17&lt;=48,RunName_ExAmpPrep!$H$7,IF(D17&lt;=56,RunName_ExAmpPrep!$H$8,IF(D17&lt;=64,RunName_ExAmpPrep!$H$9,""))))))))</f>
        <v/>
      </c>
      <c r="H17" s="577" t="str">
        <f t="array" aca="1" ref="H1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8" spans="1:8" x14ac:dyDescent="0.65">
      <c r="A18" s="554" t="str">
        <f t="array" aca="1" ref="A1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8" s="555" t="str">
        <f t="array" aca="1" ref="B1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8" s="555" t="str">
        <f ca="1">IF((ROW()-1)&lt;=COUNTIF(ListAndConversion!$CJ$4:$CQ$387,"&lt;&gt;-"),"Strips1","")</f>
        <v/>
      </c>
      <c r="D18" s="555" t="str">
        <f t="array" aca="1" ref="D1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8" s="555" t="str">
        <f t="array" aca="1" ref="E1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8" s="555" t="str">
        <f t="shared" ca="1" si="0"/>
        <v/>
      </c>
      <c r="G18" s="555" t="str">
        <f ca="1">IF(D18&lt;=8,RunName_ExAmpPrep!$H$2,IF(D18&lt;=16,RunName_ExAmpPrep!$H$3,IF(D18&lt;=24,RunName_ExAmpPrep!$H$4,IF(D18&lt;=32,RunName_ExAmpPrep!$H$5,IF(D18&lt;=40,RunName_ExAmpPrep!$H$6,IF(D18&lt;=48,RunName_ExAmpPrep!$H$7,IF(D18&lt;=56,RunName_ExAmpPrep!$H$8,IF(D18&lt;=64,RunName_ExAmpPrep!$H$9,""))))))))</f>
        <v/>
      </c>
      <c r="H18" s="577" t="str">
        <f t="array" aca="1" ref="H1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9" spans="1:8" x14ac:dyDescent="0.65">
      <c r="A19" s="554" t="str">
        <f t="array" aca="1" ref="A1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9" s="555" t="str">
        <f t="array" aca="1" ref="B1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9" s="555" t="str">
        <f ca="1">IF((ROW()-1)&lt;=COUNTIF(ListAndConversion!$CJ$4:$CQ$387,"&lt;&gt;-"),"Strips1","")</f>
        <v/>
      </c>
      <c r="D19" s="555" t="str">
        <f t="array" aca="1" ref="D1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9" s="555" t="str">
        <f t="array" aca="1" ref="E1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9" s="555" t="str">
        <f t="shared" ca="1" si="0"/>
        <v/>
      </c>
      <c r="G19" s="555" t="str">
        <f ca="1">IF(D19&lt;=8,RunName_ExAmpPrep!$H$2,IF(D19&lt;=16,RunName_ExAmpPrep!$H$3,IF(D19&lt;=24,RunName_ExAmpPrep!$H$4,IF(D19&lt;=32,RunName_ExAmpPrep!$H$5,IF(D19&lt;=40,RunName_ExAmpPrep!$H$6,IF(D19&lt;=48,RunName_ExAmpPrep!$H$7,IF(D19&lt;=56,RunName_ExAmpPrep!$H$8,IF(D19&lt;=64,RunName_ExAmpPrep!$H$9,""))))))))</f>
        <v/>
      </c>
      <c r="H19" s="577" t="str">
        <f t="array" aca="1" ref="H1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0" spans="1:8" x14ac:dyDescent="0.65">
      <c r="A20" s="554" t="str">
        <f t="array" aca="1" ref="A2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0" s="555" t="str">
        <f t="array" aca="1" ref="B2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0" s="555" t="str">
        <f ca="1">IF((ROW()-1)&lt;=COUNTIF(ListAndConversion!$CJ$4:$CQ$387,"&lt;&gt;-"),"Strips1","")</f>
        <v/>
      </c>
      <c r="D20" s="555" t="str">
        <f t="array" aca="1" ref="D2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0" s="555" t="str">
        <f t="array" aca="1" ref="E2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0" s="555" t="str">
        <f t="shared" ca="1" si="0"/>
        <v/>
      </c>
      <c r="G20" s="555" t="str">
        <f ca="1">IF(D20&lt;=8,RunName_ExAmpPrep!$H$2,IF(D20&lt;=16,RunName_ExAmpPrep!$H$3,IF(D20&lt;=24,RunName_ExAmpPrep!$H$4,IF(D20&lt;=32,RunName_ExAmpPrep!$H$5,IF(D20&lt;=40,RunName_ExAmpPrep!$H$6,IF(D20&lt;=48,RunName_ExAmpPrep!$H$7,IF(D20&lt;=56,RunName_ExAmpPrep!$H$8,IF(D20&lt;=64,RunName_ExAmpPrep!$H$9,""))))))))</f>
        <v/>
      </c>
      <c r="H20" s="577" t="str">
        <f t="array" aca="1" ref="H2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1" spans="1:8" x14ac:dyDescent="0.65">
      <c r="A21" s="554" t="str">
        <f t="array" aca="1" ref="A2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1" s="555" t="str">
        <f t="array" aca="1" ref="B2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1" s="555" t="str">
        <f ca="1">IF((ROW()-1)&lt;=COUNTIF(ListAndConversion!$CJ$4:$CQ$387,"&lt;&gt;-"),"Strips1","")</f>
        <v/>
      </c>
      <c r="D21" s="555" t="str">
        <f t="array" aca="1" ref="D2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1" s="555" t="str">
        <f t="array" aca="1" ref="E2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1" s="555" t="str">
        <f t="shared" ca="1" si="0"/>
        <v/>
      </c>
      <c r="G21" s="555" t="str">
        <f ca="1">IF(D21&lt;=8,RunName_ExAmpPrep!$H$2,IF(D21&lt;=16,RunName_ExAmpPrep!$H$3,IF(D21&lt;=24,RunName_ExAmpPrep!$H$4,IF(D21&lt;=32,RunName_ExAmpPrep!$H$5,IF(D21&lt;=40,RunName_ExAmpPrep!$H$6,IF(D21&lt;=48,RunName_ExAmpPrep!$H$7,IF(D21&lt;=56,RunName_ExAmpPrep!$H$8,IF(D21&lt;=64,RunName_ExAmpPrep!$H$9,""))))))))</f>
        <v/>
      </c>
      <c r="H21" s="577" t="str">
        <f t="array" aca="1" ref="H2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2" spans="1:8" x14ac:dyDescent="0.65">
      <c r="A22" s="554" t="str">
        <f t="array" aca="1" ref="A2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2" s="555" t="str">
        <f t="array" aca="1" ref="B2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2" s="555" t="str">
        <f ca="1">IF((ROW()-1)&lt;=COUNTIF(ListAndConversion!$CJ$4:$CQ$387,"&lt;&gt;-"),"Strips1","")</f>
        <v/>
      </c>
      <c r="D22" s="555" t="str">
        <f t="array" aca="1" ref="D2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2" s="555" t="str">
        <f t="array" aca="1" ref="E2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2" s="555" t="str">
        <f t="shared" ca="1" si="0"/>
        <v/>
      </c>
      <c r="G22" s="555" t="str">
        <f ca="1">IF(D22&lt;=8,RunName_ExAmpPrep!$H$2,IF(D22&lt;=16,RunName_ExAmpPrep!$H$3,IF(D22&lt;=24,RunName_ExAmpPrep!$H$4,IF(D22&lt;=32,RunName_ExAmpPrep!$H$5,IF(D22&lt;=40,RunName_ExAmpPrep!$H$6,IF(D22&lt;=48,RunName_ExAmpPrep!$H$7,IF(D22&lt;=56,RunName_ExAmpPrep!$H$8,IF(D22&lt;=64,RunName_ExAmpPrep!$H$9,""))))))))</f>
        <v/>
      </c>
      <c r="H22" s="577" t="str">
        <f t="array" aca="1" ref="H2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3" spans="1:8" x14ac:dyDescent="0.65">
      <c r="A23" s="554" t="str">
        <f t="array" aca="1" ref="A2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3" s="555" t="str">
        <f t="array" aca="1" ref="B2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3" s="555" t="str">
        <f ca="1">IF((ROW()-1)&lt;=COUNTIF(ListAndConversion!$CJ$4:$CQ$387,"&lt;&gt;-"),"Strips1","")</f>
        <v/>
      </c>
      <c r="D23" s="555" t="str">
        <f t="array" aca="1" ref="D2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3" s="555" t="str">
        <f t="array" aca="1" ref="E2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3" s="555" t="str">
        <f t="shared" ca="1" si="0"/>
        <v/>
      </c>
      <c r="G23" s="555" t="str">
        <f ca="1">IF(D23&lt;=8,RunName_ExAmpPrep!$H$2,IF(D23&lt;=16,RunName_ExAmpPrep!$H$3,IF(D23&lt;=24,RunName_ExAmpPrep!$H$4,IF(D23&lt;=32,RunName_ExAmpPrep!$H$5,IF(D23&lt;=40,RunName_ExAmpPrep!$H$6,IF(D23&lt;=48,RunName_ExAmpPrep!$H$7,IF(D23&lt;=56,RunName_ExAmpPrep!$H$8,IF(D23&lt;=64,RunName_ExAmpPrep!$H$9,""))))))))</f>
        <v/>
      </c>
      <c r="H23" s="577" t="str">
        <f t="array" aca="1" ref="H2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4" spans="1:8" x14ac:dyDescent="0.65">
      <c r="A24" s="554" t="str">
        <f t="array" aca="1" ref="A2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4" s="555" t="str">
        <f t="array" aca="1" ref="B2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4" s="555" t="str">
        <f ca="1">IF((ROW()-1)&lt;=COUNTIF(ListAndConversion!$CJ$4:$CQ$387,"&lt;&gt;-"),"Strips1","")</f>
        <v/>
      </c>
      <c r="D24" s="555" t="str">
        <f t="array" aca="1" ref="D2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4" s="555" t="str">
        <f t="array" aca="1" ref="E2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4" s="555" t="str">
        <f t="shared" ca="1" si="0"/>
        <v/>
      </c>
      <c r="G24" s="555" t="str">
        <f ca="1">IF(D24&lt;=8,RunName_ExAmpPrep!$H$2,IF(D24&lt;=16,RunName_ExAmpPrep!$H$3,IF(D24&lt;=24,RunName_ExAmpPrep!$H$4,IF(D24&lt;=32,RunName_ExAmpPrep!$H$5,IF(D24&lt;=40,RunName_ExAmpPrep!$H$6,IF(D24&lt;=48,RunName_ExAmpPrep!$H$7,IF(D24&lt;=56,RunName_ExAmpPrep!$H$8,IF(D24&lt;=64,RunName_ExAmpPrep!$H$9,""))))))))</f>
        <v/>
      </c>
      <c r="H24" s="577" t="str">
        <f t="array" aca="1" ref="H2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5" spans="1:8" x14ac:dyDescent="0.65">
      <c r="A25" s="554" t="str">
        <f t="array" aca="1" ref="A2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5" s="555" t="str">
        <f t="array" aca="1" ref="B2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5" s="555" t="str">
        <f ca="1">IF((ROW()-1)&lt;=COUNTIF(ListAndConversion!$CJ$4:$CQ$387,"&lt;&gt;-"),"Strips1","")</f>
        <v/>
      </c>
      <c r="D25" s="555" t="str">
        <f t="array" aca="1" ref="D2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5" s="555" t="str">
        <f t="array" aca="1" ref="E2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5" s="555" t="str">
        <f t="shared" ca="1" si="0"/>
        <v/>
      </c>
      <c r="G25" s="555" t="str">
        <f ca="1">IF(D25&lt;=8,RunName_ExAmpPrep!$H$2,IF(D25&lt;=16,RunName_ExAmpPrep!$H$3,IF(D25&lt;=24,RunName_ExAmpPrep!$H$4,IF(D25&lt;=32,RunName_ExAmpPrep!$H$5,IF(D25&lt;=40,RunName_ExAmpPrep!$H$6,IF(D25&lt;=48,RunName_ExAmpPrep!$H$7,IF(D25&lt;=56,RunName_ExAmpPrep!$H$8,IF(D25&lt;=64,RunName_ExAmpPrep!$H$9,""))))))))</f>
        <v/>
      </c>
      <c r="H25" s="577" t="str">
        <f t="array" aca="1" ref="H2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6" spans="1:8" x14ac:dyDescent="0.65">
      <c r="A26" s="554" t="str">
        <f t="array" aca="1" ref="A2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6" s="555" t="str">
        <f t="array" aca="1" ref="B2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6" s="555" t="str">
        <f ca="1">IF((ROW()-1)&lt;=COUNTIF(ListAndConversion!$CJ$4:$CQ$387,"&lt;&gt;-"),"Strips1","")</f>
        <v/>
      </c>
      <c r="D26" s="555" t="str">
        <f t="array" aca="1" ref="D2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6" s="555" t="str">
        <f t="array" aca="1" ref="E2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6" s="555" t="str">
        <f t="shared" ca="1" si="0"/>
        <v/>
      </c>
      <c r="G26" s="555" t="str">
        <f ca="1">IF(D26&lt;=8,RunName_ExAmpPrep!$H$2,IF(D26&lt;=16,RunName_ExAmpPrep!$H$3,IF(D26&lt;=24,RunName_ExAmpPrep!$H$4,IF(D26&lt;=32,RunName_ExAmpPrep!$H$5,IF(D26&lt;=40,RunName_ExAmpPrep!$H$6,IF(D26&lt;=48,RunName_ExAmpPrep!$H$7,IF(D26&lt;=56,RunName_ExAmpPrep!$H$8,IF(D26&lt;=64,RunName_ExAmpPrep!$H$9,""))))))))</f>
        <v/>
      </c>
      <c r="H26" s="577" t="str">
        <f t="array" aca="1" ref="H2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7" spans="1:8" x14ac:dyDescent="0.65">
      <c r="A27" s="554" t="str">
        <f t="array" aca="1" ref="A2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7" s="555" t="str">
        <f t="array" aca="1" ref="B2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7" s="555" t="str">
        <f ca="1">IF((ROW()-1)&lt;=COUNTIF(ListAndConversion!$CJ$4:$CQ$387,"&lt;&gt;-"),"Strips1","")</f>
        <v/>
      </c>
      <c r="D27" s="555" t="str">
        <f t="array" aca="1" ref="D2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7" s="555" t="str">
        <f t="array" aca="1" ref="E2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7" s="555" t="str">
        <f t="shared" ca="1" si="0"/>
        <v/>
      </c>
      <c r="G27" s="555" t="str">
        <f ca="1">IF(D27&lt;=8,RunName_ExAmpPrep!$H$2,IF(D27&lt;=16,RunName_ExAmpPrep!$H$3,IF(D27&lt;=24,RunName_ExAmpPrep!$H$4,IF(D27&lt;=32,RunName_ExAmpPrep!$H$5,IF(D27&lt;=40,RunName_ExAmpPrep!$H$6,IF(D27&lt;=48,RunName_ExAmpPrep!$H$7,IF(D27&lt;=56,RunName_ExAmpPrep!$H$8,IF(D27&lt;=64,RunName_ExAmpPrep!$H$9,""))))))))</f>
        <v/>
      </c>
      <c r="H27" s="577" t="str">
        <f t="array" aca="1" ref="H2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8" spans="1:8" x14ac:dyDescent="0.65">
      <c r="A28" s="554" t="str">
        <f t="array" aca="1" ref="A2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8" s="555" t="str">
        <f t="array" aca="1" ref="B2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8" s="555" t="str">
        <f ca="1">IF((ROW()-1)&lt;=COUNTIF(ListAndConversion!$CJ$4:$CQ$387,"&lt;&gt;-"),"Strips1","")</f>
        <v/>
      </c>
      <c r="D28" s="555" t="str">
        <f t="array" aca="1" ref="D2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8" s="555" t="str">
        <f t="array" aca="1" ref="E2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8" s="555" t="str">
        <f t="shared" ca="1" si="0"/>
        <v/>
      </c>
      <c r="G28" s="555" t="str">
        <f ca="1">IF(D28&lt;=8,RunName_ExAmpPrep!$H$2,IF(D28&lt;=16,RunName_ExAmpPrep!$H$3,IF(D28&lt;=24,RunName_ExAmpPrep!$H$4,IF(D28&lt;=32,RunName_ExAmpPrep!$H$5,IF(D28&lt;=40,RunName_ExAmpPrep!$H$6,IF(D28&lt;=48,RunName_ExAmpPrep!$H$7,IF(D28&lt;=56,RunName_ExAmpPrep!$H$8,IF(D28&lt;=64,RunName_ExAmpPrep!$H$9,""))))))))</f>
        <v/>
      </c>
      <c r="H28" s="577" t="str">
        <f t="array" aca="1" ref="H2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9" spans="1:8" x14ac:dyDescent="0.65">
      <c r="A29" s="554" t="str">
        <f t="array" aca="1" ref="A2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9" s="555" t="str">
        <f t="array" aca="1" ref="B2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9" s="555" t="str">
        <f ca="1">IF((ROW()-1)&lt;=COUNTIF(ListAndConversion!$CJ$4:$CQ$387,"&lt;&gt;-"),"Strips1","")</f>
        <v/>
      </c>
      <c r="D29" s="555" t="str">
        <f t="array" aca="1" ref="D2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9" s="555" t="str">
        <f t="array" aca="1" ref="E2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9" s="555" t="str">
        <f t="shared" ca="1" si="0"/>
        <v/>
      </c>
      <c r="G29" s="555" t="str">
        <f ca="1">IF(D29&lt;=8,RunName_ExAmpPrep!$H$2,IF(D29&lt;=16,RunName_ExAmpPrep!$H$3,IF(D29&lt;=24,RunName_ExAmpPrep!$H$4,IF(D29&lt;=32,RunName_ExAmpPrep!$H$5,IF(D29&lt;=40,RunName_ExAmpPrep!$H$6,IF(D29&lt;=48,RunName_ExAmpPrep!$H$7,IF(D29&lt;=56,RunName_ExAmpPrep!$H$8,IF(D29&lt;=64,RunName_ExAmpPrep!$H$9,""))))))))</f>
        <v/>
      </c>
      <c r="H29" s="577" t="str">
        <f t="array" aca="1" ref="H2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0" spans="1:8" x14ac:dyDescent="0.65">
      <c r="A30" s="554" t="str">
        <f t="array" aca="1" ref="A3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0" s="555" t="str">
        <f t="array" aca="1" ref="B3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0" s="555" t="str">
        <f ca="1">IF((ROW()-1)&lt;=COUNTIF(ListAndConversion!$CJ$4:$CQ$387,"&lt;&gt;-"),"Strips1","")</f>
        <v/>
      </c>
      <c r="D30" s="555" t="str">
        <f t="array" aca="1" ref="D3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0" s="555" t="str">
        <f t="array" aca="1" ref="E3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0" s="555" t="str">
        <f t="shared" ca="1" si="0"/>
        <v/>
      </c>
      <c r="G30" s="555" t="str">
        <f ca="1">IF(D30&lt;=8,RunName_ExAmpPrep!$H$2,IF(D30&lt;=16,RunName_ExAmpPrep!$H$3,IF(D30&lt;=24,RunName_ExAmpPrep!$H$4,IF(D30&lt;=32,RunName_ExAmpPrep!$H$5,IF(D30&lt;=40,RunName_ExAmpPrep!$H$6,IF(D30&lt;=48,RunName_ExAmpPrep!$H$7,IF(D30&lt;=56,RunName_ExAmpPrep!$H$8,IF(D30&lt;=64,RunName_ExAmpPrep!$H$9,""))))))))</f>
        <v/>
      </c>
      <c r="H30" s="577" t="str">
        <f t="array" aca="1" ref="H3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1" spans="1:8" x14ac:dyDescent="0.65">
      <c r="A31" s="554" t="str">
        <f t="array" aca="1" ref="A3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1" s="555" t="str">
        <f t="array" aca="1" ref="B3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1" s="555" t="str">
        <f ca="1">IF((ROW()-1)&lt;=COUNTIF(ListAndConversion!$CJ$4:$CQ$387,"&lt;&gt;-"),"Strips1","")</f>
        <v/>
      </c>
      <c r="D31" s="555" t="str">
        <f t="array" aca="1" ref="D3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1" s="555" t="str">
        <f t="array" aca="1" ref="E3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1" s="555" t="str">
        <f t="shared" ca="1" si="0"/>
        <v/>
      </c>
      <c r="G31" s="555" t="str">
        <f ca="1">IF(D31&lt;=8,RunName_ExAmpPrep!$H$2,IF(D31&lt;=16,RunName_ExAmpPrep!$H$3,IF(D31&lt;=24,RunName_ExAmpPrep!$H$4,IF(D31&lt;=32,RunName_ExAmpPrep!$H$5,IF(D31&lt;=40,RunName_ExAmpPrep!$H$6,IF(D31&lt;=48,RunName_ExAmpPrep!$H$7,IF(D31&lt;=56,RunName_ExAmpPrep!$H$8,IF(D31&lt;=64,RunName_ExAmpPrep!$H$9,""))))))))</f>
        <v/>
      </c>
      <c r="H31" s="577" t="str">
        <f t="array" aca="1" ref="H3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2" spans="1:8" x14ac:dyDescent="0.65">
      <c r="A32" s="554" t="str">
        <f t="array" aca="1" ref="A3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2" s="555" t="str">
        <f t="array" aca="1" ref="B3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2" s="555" t="str">
        <f ca="1">IF((ROW()-1)&lt;=COUNTIF(ListAndConversion!$CJ$4:$CQ$387,"&lt;&gt;-"),"Strips1","")</f>
        <v/>
      </c>
      <c r="D32" s="555" t="str">
        <f t="array" aca="1" ref="D3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2" s="555" t="str">
        <f t="array" aca="1" ref="E3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2" s="555" t="str">
        <f t="shared" ca="1" si="0"/>
        <v/>
      </c>
      <c r="G32" s="555" t="str">
        <f ca="1">IF(D32&lt;=8,RunName_ExAmpPrep!$H$2,IF(D32&lt;=16,RunName_ExAmpPrep!$H$3,IF(D32&lt;=24,RunName_ExAmpPrep!$H$4,IF(D32&lt;=32,RunName_ExAmpPrep!$H$5,IF(D32&lt;=40,RunName_ExAmpPrep!$H$6,IF(D32&lt;=48,RunName_ExAmpPrep!$H$7,IF(D32&lt;=56,RunName_ExAmpPrep!$H$8,IF(D32&lt;=64,RunName_ExAmpPrep!$H$9,""))))))))</f>
        <v/>
      </c>
      <c r="H32" s="577" t="str">
        <f t="array" aca="1" ref="H3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3" spans="1:8" x14ac:dyDescent="0.65">
      <c r="A33" s="554" t="str">
        <f t="array" aca="1" ref="A3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3" s="555" t="str">
        <f t="array" aca="1" ref="B3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3" s="555" t="str">
        <f ca="1">IF((ROW()-1)&lt;=COUNTIF(ListAndConversion!$CJ$4:$CQ$387,"&lt;&gt;-"),"Strips1","")</f>
        <v/>
      </c>
      <c r="D33" s="555" t="str">
        <f t="array" aca="1" ref="D3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3" s="555" t="str">
        <f t="array" aca="1" ref="E3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3" s="555" t="str">
        <f t="shared" ca="1" si="0"/>
        <v/>
      </c>
      <c r="G33" s="555" t="str">
        <f ca="1">IF(D33&lt;=8,RunName_ExAmpPrep!$H$2,IF(D33&lt;=16,RunName_ExAmpPrep!$H$3,IF(D33&lt;=24,RunName_ExAmpPrep!$H$4,IF(D33&lt;=32,RunName_ExAmpPrep!$H$5,IF(D33&lt;=40,RunName_ExAmpPrep!$H$6,IF(D33&lt;=48,RunName_ExAmpPrep!$H$7,IF(D33&lt;=56,RunName_ExAmpPrep!$H$8,IF(D33&lt;=64,RunName_ExAmpPrep!$H$9,""))))))))</f>
        <v/>
      </c>
      <c r="H33" s="577" t="str">
        <f t="array" aca="1" ref="H3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4" spans="1:8" x14ac:dyDescent="0.65">
      <c r="A34" s="554" t="str">
        <f t="array" aca="1" ref="A3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4" s="555" t="str">
        <f t="array" aca="1" ref="B3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4" s="555" t="str">
        <f ca="1">IF((ROW()-1)&lt;=COUNTIF(ListAndConversion!$CJ$4:$CQ$387,"&lt;&gt;-"),"Strips1","")</f>
        <v/>
      </c>
      <c r="D34" s="555" t="str">
        <f t="array" aca="1" ref="D3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4" s="555" t="str">
        <f t="array" aca="1" ref="E3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4" s="555" t="str">
        <f t="shared" ca="1" si="0"/>
        <v/>
      </c>
      <c r="G34" s="555" t="str">
        <f ca="1">IF(D34&lt;=8,RunName_ExAmpPrep!$H$2,IF(D34&lt;=16,RunName_ExAmpPrep!$H$3,IF(D34&lt;=24,RunName_ExAmpPrep!$H$4,IF(D34&lt;=32,RunName_ExAmpPrep!$H$5,IF(D34&lt;=40,RunName_ExAmpPrep!$H$6,IF(D34&lt;=48,RunName_ExAmpPrep!$H$7,IF(D34&lt;=56,RunName_ExAmpPrep!$H$8,IF(D34&lt;=64,RunName_ExAmpPrep!$H$9,""))))))))</f>
        <v/>
      </c>
      <c r="H34" s="577" t="str">
        <f t="array" aca="1" ref="H3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5" spans="1:8" x14ac:dyDescent="0.65">
      <c r="A35" s="554" t="str">
        <f t="array" aca="1" ref="A3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5" s="555" t="str">
        <f t="array" aca="1" ref="B3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5" s="555" t="str">
        <f ca="1">IF((ROW()-1)&lt;=COUNTIF(ListAndConversion!$CJ$4:$CQ$387,"&lt;&gt;-"),"Strips1","")</f>
        <v/>
      </c>
      <c r="D35" s="555" t="str">
        <f t="array" aca="1" ref="D3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5" s="555" t="str">
        <f t="array" aca="1" ref="E3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5" s="555" t="str">
        <f t="shared" ca="1" si="0"/>
        <v/>
      </c>
      <c r="G35" s="555" t="str">
        <f ca="1">IF(D35&lt;=8,RunName_ExAmpPrep!$H$2,IF(D35&lt;=16,RunName_ExAmpPrep!$H$3,IF(D35&lt;=24,RunName_ExAmpPrep!$H$4,IF(D35&lt;=32,RunName_ExAmpPrep!$H$5,IF(D35&lt;=40,RunName_ExAmpPrep!$H$6,IF(D35&lt;=48,RunName_ExAmpPrep!$H$7,IF(D35&lt;=56,RunName_ExAmpPrep!$H$8,IF(D35&lt;=64,RunName_ExAmpPrep!$H$9,""))))))))</f>
        <v/>
      </c>
      <c r="H35" s="577" t="str">
        <f t="array" aca="1" ref="H3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6" spans="1:8" x14ac:dyDescent="0.65">
      <c r="A36" s="554" t="str">
        <f t="array" aca="1" ref="A3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6" s="555" t="str">
        <f t="array" aca="1" ref="B3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6" s="555" t="str">
        <f ca="1">IF((ROW()-1)&lt;=COUNTIF(ListAndConversion!$CJ$4:$CQ$387,"&lt;&gt;-"),"Strips1","")</f>
        <v/>
      </c>
      <c r="D36" s="555" t="str">
        <f t="array" aca="1" ref="D3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6" s="555" t="str">
        <f t="array" aca="1" ref="E3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6" s="555" t="str">
        <f t="shared" ca="1" si="0"/>
        <v/>
      </c>
      <c r="G36" s="555" t="str">
        <f ca="1">IF(D36&lt;=8,RunName_ExAmpPrep!$H$2,IF(D36&lt;=16,RunName_ExAmpPrep!$H$3,IF(D36&lt;=24,RunName_ExAmpPrep!$H$4,IF(D36&lt;=32,RunName_ExAmpPrep!$H$5,IF(D36&lt;=40,RunName_ExAmpPrep!$H$6,IF(D36&lt;=48,RunName_ExAmpPrep!$H$7,IF(D36&lt;=56,RunName_ExAmpPrep!$H$8,IF(D36&lt;=64,RunName_ExAmpPrep!$H$9,""))))))))</f>
        <v/>
      </c>
      <c r="H36" s="577" t="str">
        <f t="array" aca="1" ref="H3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7" spans="1:8" x14ac:dyDescent="0.65">
      <c r="A37" s="554" t="str">
        <f t="array" aca="1" ref="A3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7" s="555" t="str">
        <f t="array" aca="1" ref="B3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7" s="555" t="str">
        <f ca="1">IF((ROW()-1)&lt;=COUNTIF(ListAndConversion!$CJ$4:$CQ$387,"&lt;&gt;-"),"Strips1","")</f>
        <v/>
      </c>
      <c r="D37" s="555" t="str">
        <f t="array" aca="1" ref="D3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7" s="555" t="str">
        <f t="array" aca="1" ref="E3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7" s="555" t="str">
        <f t="shared" ca="1" si="0"/>
        <v/>
      </c>
      <c r="G37" s="555" t="str">
        <f ca="1">IF(D37&lt;=8,RunName_ExAmpPrep!$H$2,IF(D37&lt;=16,RunName_ExAmpPrep!$H$3,IF(D37&lt;=24,RunName_ExAmpPrep!$H$4,IF(D37&lt;=32,RunName_ExAmpPrep!$H$5,IF(D37&lt;=40,RunName_ExAmpPrep!$H$6,IF(D37&lt;=48,RunName_ExAmpPrep!$H$7,IF(D37&lt;=56,RunName_ExAmpPrep!$H$8,IF(D37&lt;=64,RunName_ExAmpPrep!$H$9,""))))))))</f>
        <v/>
      </c>
      <c r="H37" s="577" t="str">
        <f t="array" aca="1" ref="H3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8" spans="1:8" x14ac:dyDescent="0.65">
      <c r="A38" s="554" t="str">
        <f t="array" aca="1" ref="A3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8" s="555" t="str">
        <f t="array" aca="1" ref="B3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8" s="555" t="str">
        <f ca="1">IF((ROW()-1)&lt;=COUNTIF(ListAndConversion!$CJ$4:$CQ$387,"&lt;&gt;-"),"Strips1","")</f>
        <v/>
      </c>
      <c r="D38" s="555" t="str">
        <f t="array" aca="1" ref="D3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8" s="555" t="str">
        <f t="array" aca="1" ref="E3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8" s="555" t="str">
        <f t="shared" ca="1" si="0"/>
        <v/>
      </c>
      <c r="G38" s="555" t="str">
        <f ca="1">IF(D38&lt;=8,RunName_ExAmpPrep!$H$2,IF(D38&lt;=16,RunName_ExAmpPrep!$H$3,IF(D38&lt;=24,RunName_ExAmpPrep!$H$4,IF(D38&lt;=32,RunName_ExAmpPrep!$H$5,IF(D38&lt;=40,RunName_ExAmpPrep!$H$6,IF(D38&lt;=48,RunName_ExAmpPrep!$H$7,IF(D38&lt;=56,RunName_ExAmpPrep!$H$8,IF(D38&lt;=64,RunName_ExAmpPrep!$H$9,""))))))))</f>
        <v/>
      </c>
      <c r="H38" s="577" t="str">
        <f t="array" aca="1" ref="H3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9" spans="1:8" x14ac:dyDescent="0.65">
      <c r="A39" s="554" t="str">
        <f t="array" aca="1" ref="A3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9" s="555" t="str">
        <f t="array" aca="1" ref="B3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9" s="555" t="str">
        <f ca="1">IF((ROW()-1)&lt;=COUNTIF(ListAndConversion!$CJ$4:$CQ$387,"&lt;&gt;-"),"Strips1","")</f>
        <v/>
      </c>
      <c r="D39" s="555" t="str">
        <f t="array" aca="1" ref="D3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9" s="555" t="str">
        <f t="array" aca="1" ref="E3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9" s="555" t="str">
        <f t="shared" ca="1" si="0"/>
        <v/>
      </c>
      <c r="G39" s="555" t="str">
        <f ca="1">IF(D39&lt;=8,RunName_ExAmpPrep!$H$2,IF(D39&lt;=16,RunName_ExAmpPrep!$H$3,IF(D39&lt;=24,RunName_ExAmpPrep!$H$4,IF(D39&lt;=32,RunName_ExAmpPrep!$H$5,IF(D39&lt;=40,RunName_ExAmpPrep!$H$6,IF(D39&lt;=48,RunName_ExAmpPrep!$H$7,IF(D39&lt;=56,RunName_ExAmpPrep!$H$8,IF(D39&lt;=64,RunName_ExAmpPrep!$H$9,""))))))))</f>
        <v/>
      </c>
      <c r="H39" s="577" t="str">
        <f t="array" aca="1" ref="H3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40" spans="1:8" x14ac:dyDescent="0.65">
      <c r="A40" s="554" t="str">
        <f t="array" aca="1" ref="A4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40" s="555" t="str">
        <f t="array" aca="1" ref="B4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40" s="555" t="str">
        <f ca="1">IF((ROW()-1)&lt;=COUNTIF(ListAndConversion!$CJ$4:$CQ$387,"&lt;&gt;-"),"Strips1","")</f>
        <v/>
      </c>
      <c r="D40" s="555" t="str">
        <f t="array" aca="1" ref="D4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40" s="555" t="str">
        <f t="array" aca="1" ref="E4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40" s="555" t="str">
        <f t="shared" ca="1" si="0"/>
        <v/>
      </c>
      <c r="G40" s="555" t="str">
        <f ca="1">IF(D40&lt;=8,RunName_ExAmpPrep!$H$2,IF(D40&lt;=16,RunName_ExAmpPrep!$H$3,IF(D40&lt;=24,RunName_ExAmpPrep!$H$4,IF(D40&lt;=32,RunName_ExAmpPrep!$H$5,IF(D40&lt;=40,RunName_ExAmpPrep!$H$6,IF(D40&lt;=48,RunName_ExAmpPrep!$H$7,IF(D40&lt;=56,RunName_ExAmpPrep!$H$8,IF(D40&lt;=64,RunName_ExAmpPrep!$H$9,""))))))))</f>
        <v/>
      </c>
      <c r="H40" s="577" t="str">
        <f t="array" aca="1" ref="H4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41" spans="1:8" x14ac:dyDescent="0.65">
      <c r="A41" s="554" t="str">
        <f t="array" aca="1" ref="A4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41" s="555" t="str">
        <f t="array" aca="1" ref="B4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41" s="555" t="str">
        <f ca="1">IF((ROW()-1)&lt;=COUNTIF(ListAndConversion!$CJ$4:$CQ$387,"&lt;&gt;-"),"Strips1","")</f>
        <v/>
      </c>
      <c r="D41" s="555" t="str">
        <f t="array" aca="1" ref="D4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41" s="555" t="str">
        <f t="array" aca="1" ref="E4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41" s="555" t="str">
        <f t="shared" ca="1" si="0"/>
        <v/>
      </c>
      <c r="G41" s="555" t="str">
        <f ca="1">IF(D41&lt;=8,RunName_ExAmpPrep!$H$2,IF(D41&lt;=16,RunName_ExAmpPrep!$H$3,IF(D41&lt;=24,RunName_ExAmpPrep!$H$4,IF(D41&lt;=32,RunName_ExAmpPrep!$H$5,IF(D41&lt;=40,RunName_ExAmpPrep!$H$6,IF(D41&lt;=48,RunName_ExAmpPrep!$H$7,IF(D41&lt;=56,RunName_ExAmpPrep!$H$8,IF(D41&lt;=64,RunName_ExAmpPrep!$H$9,""))))))))</f>
        <v/>
      </c>
      <c r="H41" s="577" t="str">
        <f t="array" aca="1" ref="H4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42" spans="1:8" x14ac:dyDescent="0.65">
      <c r="A42" s="554" t="str">
        <f t="array" aca="1" ref="A4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42" s="555" t="str">
        <f t="array" aca="1" ref="B4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42" s="555" t="str">
        <f ca="1">IF((ROW()-1)&lt;=COUNTIF(ListAndConversion!$CJ$4:$CQ$387,"&lt;&gt;-"),"Strips1","")</f>
        <v/>
      </c>
      <c r="D42" s="555" t="str">
        <f t="array" aca="1" ref="D4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42" s="555" t="str">
        <f t="array" aca="1" ref="E4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42" s="555" t="str">
        <f t="shared" ca="1" si="0"/>
        <v/>
      </c>
      <c r="G42" s="555" t="str">
        <f ca="1">IF(D42&lt;=8,RunName_ExAmpPrep!$H$2,IF(D42&lt;=16,RunName_ExAmpPrep!$H$3,IF(D42&lt;=24,RunName_ExAmpPrep!$H$4,IF(D42&lt;=32,RunName_ExAmpPrep!$H$5,IF(D42&lt;=40,RunName_ExAmpPrep!$H$6,IF(D42&lt;=48,RunName_ExAmpPrep!$H$7,IF(D42&lt;=56,RunName_ExAmpPrep!$H$8,IF(D42&lt;=64,RunName_ExAmpPrep!$H$9,""))))))))</f>
        <v/>
      </c>
      <c r="H42" s="577" t="str">
        <f t="array" aca="1" ref="H4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43" spans="1:8" x14ac:dyDescent="0.65">
      <c r="A43" s="554" t="str">
        <f t="array" aca="1" ref="A4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43" s="555" t="str">
        <f t="array" aca="1" ref="B4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43" s="555" t="str">
        <f ca="1">IF((ROW()-1)&lt;=COUNTIF(ListAndConversion!$CJ$4:$CQ$387,"&lt;&gt;-"),"Strips1","")</f>
        <v/>
      </c>
      <c r="D43" s="555" t="str">
        <f t="array" aca="1" ref="D4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43" s="555" t="str">
        <f t="array" aca="1" ref="E4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43" s="555" t="str">
        <f t="shared" ca="1" si="0"/>
        <v/>
      </c>
      <c r="G43" s="555" t="str">
        <f ca="1">IF(D43&lt;=8,RunName_ExAmpPrep!$H$2,IF(D43&lt;=16,RunName_ExAmpPrep!$H$3,IF(D43&lt;=24,RunName_ExAmpPrep!$H$4,IF(D43&lt;=32,RunName_ExAmpPrep!$H$5,IF(D43&lt;=40,RunName_ExAmpPrep!$H$6,IF(D43&lt;=48,RunName_ExAmpPrep!$H$7,IF(D43&lt;=56,RunName_ExAmpPrep!$H$8,IF(D43&lt;=64,RunName_ExAmpPrep!$H$9,""))))))))</f>
        <v/>
      </c>
      <c r="H43" s="577" t="str">
        <f t="array" aca="1" ref="H4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44" spans="1:8" x14ac:dyDescent="0.65">
      <c r="A44" s="554" t="str">
        <f t="array" aca="1" ref="A4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44" s="555" t="str">
        <f t="array" aca="1" ref="B4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44" s="555" t="str">
        <f ca="1">IF((ROW()-1)&lt;=COUNTIF(ListAndConversion!$CJ$4:$CQ$387,"&lt;&gt;-"),"Strips1","")</f>
        <v/>
      </c>
      <c r="D44" s="555" t="str">
        <f t="array" aca="1" ref="D4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44" s="555" t="str">
        <f t="array" aca="1" ref="E4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44" s="555" t="str">
        <f t="shared" ca="1" si="0"/>
        <v/>
      </c>
      <c r="G44" s="555" t="str">
        <f ca="1">IF(D44&lt;=8,RunName_ExAmpPrep!$H$2,IF(D44&lt;=16,RunName_ExAmpPrep!$H$3,IF(D44&lt;=24,RunName_ExAmpPrep!$H$4,IF(D44&lt;=32,RunName_ExAmpPrep!$H$5,IF(D44&lt;=40,RunName_ExAmpPrep!$H$6,IF(D44&lt;=48,RunName_ExAmpPrep!$H$7,IF(D44&lt;=56,RunName_ExAmpPrep!$H$8,IF(D44&lt;=64,RunName_ExAmpPrep!$H$9,""))))))))</f>
        <v/>
      </c>
      <c r="H44" s="577" t="str">
        <f t="array" aca="1" ref="H4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45" spans="1:8" x14ac:dyDescent="0.65">
      <c r="A45" s="554" t="str">
        <f t="array" aca="1" ref="A4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45" s="555" t="str">
        <f t="array" aca="1" ref="B4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45" s="555" t="str">
        <f ca="1">IF((ROW()-1)&lt;=COUNTIF(ListAndConversion!$CJ$4:$CQ$387,"&lt;&gt;-"),"Strips1","")</f>
        <v/>
      </c>
      <c r="D45" s="555" t="str">
        <f t="array" aca="1" ref="D4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45" s="555" t="str">
        <f t="array" aca="1" ref="E4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45" s="555" t="str">
        <f t="shared" ca="1" si="0"/>
        <v/>
      </c>
      <c r="G45" s="555" t="str">
        <f ca="1">IF(D45&lt;=8,RunName_ExAmpPrep!$H$2,IF(D45&lt;=16,RunName_ExAmpPrep!$H$3,IF(D45&lt;=24,RunName_ExAmpPrep!$H$4,IF(D45&lt;=32,RunName_ExAmpPrep!$H$5,IF(D45&lt;=40,RunName_ExAmpPrep!$H$6,IF(D45&lt;=48,RunName_ExAmpPrep!$H$7,IF(D45&lt;=56,RunName_ExAmpPrep!$H$8,IF(D45&lt;=64,RunName_ExAmpPrep!$H$9,""))))))))</f>
        <v/>
      </c>
      <c r="H45" s="577" t="str">
        <f t="array" aca="1" ref="H4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46" spans="1:8" x14ac:dyDescent="0.65">
      <c r="A46" s="554" t="str">
        <f t="array" aca="1" ref="A4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46" s="555" t="str">
        <f t="array" aca="1" ref="B4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46" s="555" t="str">
        <f ca="1">IF((ROW()-1)&lt;=COUNTIF(ListAndConversion!$CJ$4:$CQ$387,"&lt;&gt;-"),"Strips1","")</f>
        <v/>
      </c>
      <c r="D46" s="555" t="str">
        <f t="array" aca="1" ref="D4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46" s="555" t="str">
        <f t="array" aca="1" ref="E4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46" s="555" t="str">
        <f t="shared" ca="1" si="0"/>
        <v/>
      </c>
      <c r="G46" s="555" t="str">
        <f ca="1">IF(D46&lt;=8,RunName_ExAmpPrep!$H$2,IF(D46&lt;=16,RunName_ExAmpPrep!$H$3,IF(D46&lt;=24,RunName_ExAmpPrep!$H$4,IF(D46&lt;=32,RunName_ExAmpPrep!$H$5,IF(D46&lt;=40,RunName_ExAmpPrep!$H$6,IF(D46&lt;=48,RunName_ExAmpPrep!$H$7,IF(D46&lt;=56,RunName_ExAmpPrep!$H$8,IF(D46&lt;=64,RunName_ExAmpPrep!$H$9,""))))))))</f>
        <v/>
      </c>
      <c r="H46" s="577" t="str">
        <f t="array" aca="1" ref="H4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47" spans="1:8" x14ac:dyDescent="0.65">
      <c r="A47" s="554" t="str">
        <f t="array" aca="1" ref="A4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47" s="555" t="str">
        <f t="array" aca="1" ref="B4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47" s="555" t="str">
        <f ca="1">IF((ROW()-1)&lt;=COUNTIF(ListAndConversion!$CJ$4:$CQ$387,"&lt;&gt;-"),"Strips1","")</f>
        <v/>
      </c>
      <c r="D47" s="555" t="str">
        <f t="array" aca="1" ref="D4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47" s="555" t="str">
        <f t="array" aca="1" ref="E4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47" s="555" t="str">
        <f t="shared" ca="1" si="0"/>
        <v/>
      </c>
      <c r="G47" s="555" t="str">
        <f ca="1">IF(D47&lt;=8,RunName_ExAmpPrep!$H$2,IF(D47&lt;=16,RunName_ExAmpPrep!$H$3,IF(D47&lt;=24,RunName_ExAmpPrep!$H$4,IF(D47&lt;=32,RunName_ExAmpPrep!$H$5,IF(D47&lt;=40,RunName_ExAmpPrep!$H$6,IF(D47&lt;=48,RunName_ExAmpPrep!$H$7,IF(D47&lt;=56,RunName_ExAmpPrep!$H$8,IF(D47&lt;=64,RunName_ExAmpPrep!$H$9,""))))))))</f>
        <v/>
      </c>
      <c r="H47" s="577" t="str">
        <f t="array" aca="1" ref="H4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48" spans="1:8" x14ac:dyDescent="0.65">
      <c r="A48" s="554" t="str">
        <f t="array" aca="1" ref="A4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48" s="555" t="str">
        <f t="array" aca="1" ref="B4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48" s="555" t="str">
        <f ca="1">IF((ROW()-1)&lt;=COUNTIF(ListAndConversion!$CJ$4:$CQ$387,"&lt;&gt;-"),"Strips1","")</f>
        <v/>
      </c>
      <c r="D48" s="555" t="str">
        <f t="array" aca="1" ref="D4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48" s="555" t="str">
        <f t="array" aca="1" ref="E4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48" s="555" t="str">
        <f t="shared" ca="1" si="0"/>
        <v/>
      </c>
      <c r="G48" s="555" t="str">
        <f ca="1">IF(D48&lt;=8,RunName_ExAmpPrep!$H$2,IF(D48&lt;=16,RunName_ExAmpPrep!$H$3,IF(D48&lt;=24,RunName_ExAmpPrep!$H$4,IF(D48&lt;=32,RunName_ExAmpPrep!$H$5,IF(D48&lt;=40,RunName_ExAmpPrep!$H$6,IF(D48&lt;=48,RunName_ExAmpPrep!$H$7,IF(D48&lt;=56,RunName_ExAmpPrep!$H$8,IF(D48&lt;=64,RunName_ExAmpPrep!$H$9,""))))))))</f>
        <v/>
      </c>
      <c r="H48" s="577" t="str">
        <f t="array" aca="1" ref="H4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49" spans="1:8" x14ac:dyDescent="0.65">
      <c r="A49" s="554" t="str">
        <f t="array" aca="1" ref="A4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49" s="555" t="str">
        <f t="array" aca="1" ref="B4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49" s="555" t="str">
        <f ca="1">IF((ROW()-1)&lt;=COUNTIF(ListAndConversion!$CJ$4:$CQ$387,"&lt;&gt;-"),"Strips1","")</f>
        <v/>
      </c>
      <c r="D49" s="555" t="str">
        <f t="array" aca="1" ref="D4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49" s="555" t="str">
        <f t="array" aca="1" ref="E4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49" s="555" t="str">
        <f t="shared" ca="1" si="0"/>
        <v/>
      </c>
      <c r="G49" s="555" t="str">
        <f ca="1">IF(D49&lt;=8,RunName_ExAmpPrep!$H$2,IF(D49&lt;=16,RunName_ExAmpPrep!$H$3,IF(D49&lt;=24,RunName_ExAmpPrep!$H$4,IF(D49&lt;=32,RunName_ExAmpPrep!$H$5,IF(D49&lt;=40,RunName_ExAmpPrep!$H$6,IF(D49&lt;=48,RunName_ExAmpPrep!$H$7,IF(D49&lt;=56,RunName_ExAmpPrep!$H$8,IF(D49&lt;=64,RunName_ExAmpPrep!$H$9,""))))))))</f>
        <v/>
      </c>
      <c r="H49" s="577" t="str">
        <f t="array" aca="1" ref="H4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50" spans="1:8" x14ac:dyDescent="0.65">
      <c r="A50" s="554" t="str">
        <f t="array" aca="1" ref="A5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50" s="555" t="str">
        <f t="array" aca="1" ref="B5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50" s="555" t="str">
        <f ca="1">IF((ROW()-1)&lt;=COUNTIF(ListAndConversion!$CJ$4:$CQ$387,"&lt;&gt;-"),"Strips1","")</f>
        <v/>
      </c>
      <c r="D50" s="555" t="str">
        <f t="array" aca="1" ref="D5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50" s="555" t="str">
        <f t="array" aca="1" ref="E5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50" s="555" t="str">
        <f t="shared" ca="1" si="0"/>
        <v/>
      </c>
      <c r="G50" s="555" t="str">
        <f ca="1">IF(D50&lt;=8,RunName_ExAmpPrep!$H$2,IF(D50&lt;=16,RunName_ExAmpPrep!$H$3,IF(D50&lt;=24,RunName_ExAmpPrep!$H$4,IF(D50&lt;=32,RunName_ExAmpPrep!$H$5,IF(D50&lt;=40,RunName_ExAmpPrep!$H$6,IF(D50&lt;=48,RunName_ExAmpPrep!$H$7,IF(D50&lt;=56,RunName_ExAmpPrep!$H$8,IF(D50&lt;=64,RunName_ExAmpPrep!$H$9,""))))))))</f>
        <v/>
      </c>
      <c r="H50" s="577" t="str">
        <f t="array" aca="1" ref="H5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51" spans="1:8" x14ac:dyDescent="0.65">
      <c r="A51" s="554" t="str">
        <f t="array" aca="1" ref="A5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51" s="555" t="str">
        <f t="array" aca="1" ref="B5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51" s="555" t="str">
        <f ca="1">IF((ROW()-1)&lt;=COUNTIF(ListAndConversion!$CJ$4:$CQ$387,"&lt;&gt;-"),"Strips1","")</f>
        <v/>
      </c>
      <c r="D51" s="555" t="str">
        <f t="array" aca="1" ref="D5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51" s="555" t="str">
        <f t="array" aca="1" ref="E5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51" s="555" t="str">
        <f t="shared" ca="1" si="0"/>
        <v/>
      </c>
      <c r="G51" s="555" t="str">
        <f ca="1">IF(D51&lt;=8,RunName_ExAmpPrep!$H$2,IF(D51&lt;=16,RunName_ExAmpPrep!$H$3,IF(D51&lt;=24,RunName_ExAmpPrep!$H$4,IF(D51&lt;=32,RunName_ExAmpPrep!$H$5,IF(D51&lt;=40,RunName_ExAmpPrep!$H$6,IF(D51&lt;=48,RunName_ExAmpPrep!$H$7,IF(D51&lt;=56,RunName_ExAmpPrep!$H$8,IF(D51&lt;=64,RunName_ExAmpPrep!$H$9,""))))))))</f>
        <v/>
      </c>
      <c r="H51" s="577" t="str">
        <f t="array" aca="1" ref="H5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52" spans="1:8" x14ac:dyDescent="0.65">
      <c r="A52" s="554" t="str">
        <f t="array" aca="1" ref="A5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52" s="555" t="str">
        <f t="array" aca="1" ref="B5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52" s="555" t="str">
        <f ca="1">IF((ROW()-1)&lt;=COUNTIF(ListAndConversion!$CJ$4:$CQ$387,"&lt;&gt;-"),"Strips1","")</f>
        <v/>
      </c>
      <c r="D52" s="555" t="str">
        <f t="array" aca="1" ref="D5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52" s="555" t="str">
        <f t="array" aca="1" ref="E5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52" s="555" t="str">
        <f t="shared" ca="1" si="0"/>
        <v/>
      </c>
      <c r="G52" s="555" t="str">
        <f ca="1">IF(D52&lt;=8,RunName_ExAmpPrep!$H$2,IF(D52&lt;=16,RunName_ExAmpPrep!$H$3,IF(D52&lt;=24,RunName_ExAmpPrep!$H$4,IF(D52&lt;=32,RunName_ExAmpPrep!$H$5,IF(D52&lt;=40,RunName_ExAmpPrep!$H$6,IF(D52&lt;=48,RunName_ExAmpPrep!$H$7,IF(D52&lt;=56,RunName_ExAmpPrep!$H$8,IF(D52&lt;=64,RunName_ExAmpPrep!$H$9,""))))))))</f>
        <v/>
      </c>
      <c r="H52" s="577" t="str">
        <f t="array" aca="1" ref="H5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53" spans="1:8" x14ac:dyDescent="0.65">
      <c r="A53" s="554" t="str">
        <f t="array" aca="1" ref="A5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53" s="555" t="str">
        <f t="array" aca="1" ref="B5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53" s="555" t="str">
        <f ca="1">IF((ROW()-1)&lt;=COUNTIF(ListAndConversion!$CJ$4:$CQ$387,"&lt;&gt;-"),"Strips1","")</f>
        <v/>
      </c>
      <c r="D53" s="555" t="str">
        <f t="array" aca="1" ref="D5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53" s="555" t="str">
        <f t="array" aca="1" ref="E5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53" s="555" t="str">
        <f t="shared" ca="1" si="0"/>
        <v/>
      </c>
      <c r="G53" s="555" t="str">
        <f ca="1">IF(D53&lt;=8,RunName_ExAmpPrep!$H$2,IF(D53&lt;=16,RunName_ExAmpPrep!$H$3,IF(D53&lt;=24,RunName_ExAmpPrep!$H$4,IF(D53&lt;=32,RunName_ExAmpPrep!$H$5,IF(D53&lt;=40,RunName_ExAmpPrep!$H$6,IF(D53&lt;=48,RunName_ExAmpPrep!$H$7,IF(D53&lt;=56,RunName_ExAmpPrep!$H$8,IF(D53&lt;=64,RunName_ExAmpPrep!$H$9,""))))))))</f>
        <v/>
      </c>
      <c r="H53" s="577" t="str">
        <f t="array" aca="1" ref="H5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54" spans="1:8" x14ac:dyDescent="0.65">
      <c r="A54" s="554" t="str">
        <f t="array" aca="1" ref="A5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54" s="555" t="str">
        <f t="array" aca="1" ref="B5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54" s="555" t="str">
        <f ca="1">IF((ROW()-1)&lt;=COUNTIF(ListAndConversion!$CJ$4:$CQ$387,"&lt;&gt;-"),"Strips1","")</f>
        <v/>
      </c>
      <c r="D54" s="555" t="str">
        <f t="array" aca="1" ref="D5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54" s="555" t="str">
        <f t="array" aca="1" ref="E5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54" s="555" t="str">
        <f t="shared" ca="1" si="0"/>
        <v/>
      </c>
      <c r="G54" s="555" t="str">
        <f ca="1">IF(D54&lt;=8,RunName_ExAmpPrep!$H$2,IF(D54&lt;=16,RunName_ExAmpPrep!$H$3,IF(D54&lt;=24,RunName_ExAmpPrep!$H$4,IF(D54&lt;=32,RunName_ExAmpPrep!$H$5,IF(D54&lt;=40,RunName_ExAmpPrep!$H$6,IF(D54&lt;=48,RunName_ExAmpPrep!$H$7,IF(D54&lt;=56,RunName_ExAmpPrep!$H$8,IF(D54&lt;=64,RunName_ExAmpPrep!$H$9,""))))))))</f>
        <v/>
      </c>
      <c r="H54" s="577" t="str">
        <f t="array" aca="1" ref="H5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55" spans="1:8" x14ac:dyDescent="0.65">
      <c r="A55" s="554" t="str">
        <f t="array" aca="1" ref="A5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55" s="555" t="str">
        <f t="array" aca="1" ref="B5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55" s="555" t="str">
        <f ca="1">IF((ROW()-1)&lt;=COUNTIF(ListAndConversion!$CJ$4:$CQ$387,"&lt;&gt;-"),"Strips1","")</f>
        <v/>
      </c>
      <c r="D55" s="555" t="str">
        <f t="array" aca="1" ref="D5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55" s="555" t="str">
        <f t="array" aca="1" ref="E5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55" s="555" t="str">
        <f t="shared" ca="1" si="0"/>
        <v/>
      </c>
      <c r="G55" s="555" t="str">
        <f ca="1">IF(D55&lt;=8,RunName_ExAmpPrep!$H$2,IF(D55&lt;=16,RunName_ExAmpPrep!$H$3,IF(D55&lt;=24,RunName_ExAmpPrep!$H$4,IF(D55&lt;=32,RunName_ExAmpPrep!$H$5,IF(D55&lt;=40,RunName_ExAmpPrep!$H$6,IF(D55&lt;=48,RunName_ExAmpPrep!$H$7,IF(D55&lt;=56,RunName_ExAmpPrep!$H$8,IF(D55&lt;=64,RunName_ExAmpPrep!$H$9,""))))))))</f>
        <v/>
      </c>
      <c r="H55" s="577" t="str">
        <f t="array" aca="1" ref="H5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56" spans="1:8" x14ac:dyDescent="0.65">
      <c r="A56" s="554" t="str">
        <f t="array" aca="1" ref="A5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56" s="555" t="str">
        <f t="array" aca="1" ref="B5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56" s="555" t="str">
        <f ca="1">IF((ROW()-1)&lt;=COUNTIF(ListAndConversion!$CJ$4:$CQ$387,"&lt;&gt;-"),"Strips1","")</f>
        <v/>
      </c>
      <c r="D56" s="555" t="str">
        <f t="array" aca="1" ref="D5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56" s="555" t="str">
        <f t="array" aca="1" ref="E5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56" s="555" t="str">
        <f t="shared" ca="1" si="0"/>
        <v/>
      </c>
      <c r="G56" s="555" t="str">
        <f ca="1">IF(D56&lt;=8,RunName_ExAmpPrep!$H$2,IF(D56&lt;=16,RunName_ExAmpPrep!$H$3,IF(D56&lt;=24,RunName_ExAmpPrep!$H$4,IF(D56&lt;=32,RunName_ExAmpPrep!$H$5,IF(D56&lt;=40,RunName_ExAmpPrep!$H$6,IF(D56&lt;=48,RunName_ExAmpPrep!$H$7,IF(D56&lt;=56,RunName_ExAmpPrep!$H$8,IF(D56&lt;=64,RunName_ExAmpPrep!$H$9,""))))))))</f>
        <v/>
      </c>
      <c r="H56" s="577" t="str">
        <f t="array" aca="1" ref="H5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57" spans="1:8" x14ac:dyDescent="0.65">
      <c r="A57" s="554" t="str">
        <f t="array" aca="1" ref="A5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57" s="555" t="str">
        <f t="array" aca="1" ref="B5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57" s="555" t="str">
        <f ca="1">IF((ROW()-1)&lt;=COUNTIF(ListAndConversion!$CJ$4:$CQ$387,"&lt;&gt;-"),"Strips1","")</f>
        <v/>
      </c>
      <c r="D57" s="555" t="str">
        <f t="array" aca="1" ref="D5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57" s="555" t="str">
        <f t="array" aca="1" ref="E5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57" s="555" t="str">
        <f t="shared" ca="1" si="0"/>
        <v/>
      </c>
      <c r="G57" s="555" t="str">
        <f ca="1">IF(D57&lt;=8,RunName_ExAmpPrep!$H$2,IF(D57&lt;=16,RunName_ExAmpPrep!$H$3,IF(D57&lt;=24,RunName_ExAmpPrep!$H$4,IF(D57&lt;=32,RunName_ExAmpPrep!$H$5,IF(D57&lt;=40,RunName_ExAmpPrep!$H$6,IF(D57&lt;=48,RunName_ExAmpPrep!$H$7,IF(D57&lt;=56,RunName_ExAmpPrep!$H$8,IF(D57&lt;=64,RunName_ExAmpPrep!$H$9,""))))))))</f>
        <v/>
      </c>
      <c r="H57" s="577" t="str">
        <f t="array" aca="1" ref="H5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58" spans="1:8" x14ac:dyDescent="0.65">
      <c r="A58" s="554" t="str">
        <f t="array" aca="1" ref="A5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58" s="555" t="str">
        <f t="array" aca="1" ref="B5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58" s="555" t="str">
        <f ca="1">IF((ROW()-1)&lt;=COUNTIF(ListAndConversion!$CJ$4:$CQ$387,"&lt;&gt;-"),"Strips1","")</f>
        <v/>
      </c>
      <c r="D58" s="555" t="str">
        <f t="array" aca="1" ref="D5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58" s="555" t="str">
        <f t="array" aca="1" ref="E5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58" s="555" t="str">
        <f t="shared" ca="1" si="0"/>
        <v/>
      </c>
      <c r="G58" s="555" t="str">
        <f ca="1">IF(D58&lt;=8,RunName_ExAmpPrep!$H$2,IF(D58&lt;=16,RunName_ExAmpPrep!$H$3,IF(D58&lt;=24,RunName_ExAmpPrep!$H$4,IF(D58&lt;=32,RunName_ExAmpPrep!$H$5,IF(D58&lt;=40,RunName_ExAmpPrep!$H$6,IF(D58&lt;=48,RunName_ExAmpPrep!$H$7,IF(D58&lt;=56,RunName_ExAmpPrep!$H$8,IF(D58&lt;=64,RunName_ExAmpPrep!$H$9,""))))))))</f>
        <v/>
      </c>
      <c r="H58" s="577" t="str">
        <f t="array" aca="1" ref="H5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59" spans="1:8" x14ac:dyDescent="0.65">
      <c r="A59" s="554" t="str">
        <f t="array" aca="1" ref="A5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59" s="555" t="str">
        <f t="array" aca="1" ref="B5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59" s="555" t="str">
        <f ca="1">IF((ROW()-1)&lt;=COUNTIF(ListAndConversion!$CJ$4:$CQ$387,"&lt;&gt;-"),"Strips1","")</f>
        <v/>
      </c>
      <c r="D59" s="555" t="str">
        <f t="array" aca="1" ref="D5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59" s="555" t="str">
        <f t="array" aca="1" ref="E5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59" s="555" t="str">
        <f t="shared" ca="1" si="0"/>
        <v/>
      </c>
      <c r="G59" s="555" t="str">
        <f ca="1">IF(D59&lt;=8,RunName_ExAmpPrep!$H$2,IF(D59&lt;=16,RunName_ExAmpPrep!$H$3,IF(D59&lt;=24,RunName_ExAmpPrep!$H$4,IF(D59&lt;=32,RunName_ExAmpPrep!$H$5,IF(D59&lt;=40,RunName_ExAmpPrep!$H$6,IF(D59&lt;=48,RunName_ExAmpPrep!$H$7,IF(D59&lt;=56,RunName_ExAmpPrep!$H$8,IF(D59&lt;=64,RunName_ExAmpPrep!$H$9,""))))))))</f>
        <v/>
      </c>
      <c r="H59" s="577" t="str">
        <f t="array" aca="1" ref="H5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60" spans="1:8" x14ac:dyDescent="0.65">
      <c r="A60" s="554" t="str">
        <f t="array" aca="1" ref="A6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60" s="555" t="str">
        <f t="array" aca="1" ref="B6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60" s="555" t="str">
        <f ca="1">IF((ROW()-1)&lt;=COUNTIF(ListAndConversion!$CJ$4:$CQ$387,"&lt;&gt;-"),"Strips1","")</f>
        <v/>
      </c>
      <c r="D60" s="555" t="str">
        <f t="array" aca="1" ref="D6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60" s="555" t="str">
        <f t="array" aca="1" ref="E6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60" s="555" t="str">
        <f t="shared" ca="1" si="0"/>
        <v/>
      </c>
      <c r="G60" s="555" t="str">
        <f ca="1">IF(D60&lt;=8,RunName_ExAmpPrep!$H$2,IF(D60&lt;=16,RunName_ExAmpPrep!$H$3,IF(D60&lt;=24,RunName_ExAmpPrep!$H$4,IF(D60&lt;=32,RunName_ExAmpPrep!$H$5,IF(D60&lt;=40,RunName_ExAmpPrep!$H$6,IF(D60&lt;=48,RunName_ExAmpPrep!$H$7,IF(D60&lt;=56,RunName_ExAmpPrep!$H$8,IF(D60&lt;=64,RunName_ExAmpPrep!$H$9,""))))))))</f>
        <v/>
      </c>
      <c r="H60" s="577" t="str">
        <f t="array" aca="1" ref="H6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61" spans="1:8" x14ac:dyDescent="0.65">
      <c r="A61" s="554" t="str">
        <f t="array" aca="1" ref="A6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61" s="555" t="str">
        <f t="array" aca="1" ref="B6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61" s="555" t="str">
        <f ca="1">IF((ROW()-1)&lt;=COUNTIF(ListAndConversion!$CJ$4:$CQ$387,"&lt;&gt;-"),"Strips1","")</f>
        <v/>
      </c>
      <c r="D61" s="555" t="str">
        <f t="array" aca="1" ref="D6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61" s="555" t="str">
        <f t="array" aca="1" ref="E6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61" s="555" t="str">
        <f t="shared" ca="1" si="0"/>
        <v/>
      </c>
      <c r="G61" s="555" t="str">
        <f ca="1">IF(D61&lt;=8,RunName_ExAmpPrep!$H$2,IF(D61&lt;=16,RunName_ExAmpPrep!$H$3,IF(D61&lt;=24,RunName_ExAmpPrep!$H$4,IF(D61&lt;=32,RunName_ExAmpPrep!$H$5,IF(D61&lt;=40,RunName_ExAmpPrep!$H$6,IF(D61&lt;=48,RunName_ExAmpPrep!$H$7,IF(D61&lt;=56,RunName_ExAmpPrep!$H$8,IF(D61&lt;=64,RunName_ExAmpPrep!$H$9,""))))))))</f>
        <v/>
      </c>
      <c r="H61" s="577" t="str">
        <f t="array" aca="1" ref="H6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62" spans="1:8" x14ac:dyDescent="0.65">
      <c r="A62" s="554" t="str">
        <f t="array" aca="1" ref="A6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62" s="555" t="str">
        <f t="array" aca="1" ref="B6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62" s="555" t="str">
        <f ca="1">IF((ROW()-1)&lt;=COUNTIF(ListAndConversion!$CJ$4:$CQ$387,"&lt;&gt;-"),"Strips1","")</f>
        <v/>
      </c>
      <c r="D62" s="555" t="str">
        <f t="array" aca="1" ref="D6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62" s="555" t="str">
        <f t="array" aca="1" ref="E6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62" s="555" t="str">
        <f t="shared" ca="1" si="0"/>
        <v/>
      </c>
      <c r="G62" s="555" t="str">
        <f ca="1">IF(D62&lt;=8,RunName_ExAmpPrep!$H$2,IF(D62&lt;=16,RunName_ExAmpPrep!$H$3,IF(D62&lt;=24,RunName_ExAmpPrep!$H$4,IF(D62&lt;=32,RunName_ExAmpPrep!$H$5,IF(D62&lt;=40,RunName_ExAmpPrep!$H$6,IF(D62&lt;=48,RunName_ExAmpPrep!$H$7,IF(D62&lt;=56,RunName_ExAmpPrep!$H$8,IF(D62&lt;=64,RunName_ExAmpPrep!$H$9,""))))))))</f>
        <v/>
      </c>
      <c r="H62" s="577" t="str">
        <f t="array" aca="1" ref="H6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63" spans="1:8" x14ac:dyDescent="0.65">
      <c r="A63" s="554" t="str">
        <f t="array" aca="1" ref="A6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63" s="555" t="str">
        <f t="array" aca="1" ref="B6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63" s="555" t="str">
        <f ca="1">IF((ROW()-1)&lt;=COUNTIF(ListAndConversion!$CJ$4:$CQ$387,"&lt;&gt;-"),"Strips1","")</f>
        <v/>
      </c>
      <c r="D63" s="555" t="str">
        <f t="array" aca="1" ref="D6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63" s="555" t="str">
        <f t="array" aca="1" ref="E6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63" s="555" t="str">
        <f t="shared" ca="1" si="0"/>
        <v/>
      </c>
      <c r="G63" s="555" t="str">
        <f ca="1">IF(D63&lt;=8,RunName_ExAmpPrep!$H$2,IF(D63&lt;=16,RunName_ExAmpPrep!$H$3,IF(D63&lt;=24,RunName_ExAmpPrep!$H$4,IF(D63&lt;=32,RunName_ExAmpPrep!$H$5,IF(D63&lt;=40,RunName_ExAmpPrep!$H$6,IF(D63&lt;=48,RunName_ExAmpPrep!$H$7,IF(D63&lt;=56,RunName_ExAmpPrep!$H$8,IF(D63&lt;=64,RunName_ExAmpPrep!$H$9,""))))))))</f>
        <v/>
      </c>
      <c r="H63" s="577" t="str">
        <f t="array" aca="1" ref="H6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64" spans="1:8" x14ac:dyDescent="0.65">
      <c r="A64" s="554" t="str">
        <f t="array" aca="1" ref="A6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64" s="555" t="str">
        <f t="array" aca="1" ref="B6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64" s="555" t="str">
        <f ca="1">IF((ROW()-1)&lt;=COUNTIF(ListAndConversion!$CJ$4:$CQ$387,"&lt;&gt;-"),"Strips1","")</f>
        <v/>
      </c>
      <c r="D64" s="555" t="str">
        <f t="array" aca="1" ref="D6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64" s="555" t="str">
        <f t="array" aca="1" ref="E6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64" s="555" t="str">
        <f t="shared" ca="1" si="0"/>
        <v/>
      </c>
      <c r="G64" s="555" t="str">
        <f ca="1">IF(D64&lt;=8,RunName_ExAmpPrep!$H$2,IF(D64&lt;=16,RunName_ExAmpPrep!$H$3,IF(D64&lt;=24,RunName_ExAmpPrep!$H$4,IF(D64&lt;=32,RunName_ExAmpPrep!$H$5,IF(D64&lt;=40,RunName_ExAmpPrep!$H$6,IF(D64&lt;=48,RunName_ExAmpPrep!$H$7,IF(D64&lt;=56,RunName_ExAmpPrep!$H$8,IF(D64&lt;=64,RunName_ExAmpPrep!$H$9,""))))))))</f>
        <v/>
      </c>
      <c r="H64" s="577" t="str">
        <f t="array" aca="1" ref="H6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65" spans="1:8" x14ac:dyDescent="0.65">
      <c r="A65" s="554" t="str">
        <f t="array" aca="1" ref="A6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65" s="555" t="str">
        <f t="array" aca="1" ref="B6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65" s="555" t="str">
        <f ca="1">IF((ROW()-1)&lt;=COUNTIF(ListAndConversion!$CJ$4:$CQ$387,"&lt;&gt;-"),"Strips1","")</f>
        <v/>
      </c>
      <c r="D65" s="555" t="str">
        <f t="array" aca="1" ref="D6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65" s="555" t="str">
        <f t="array" aca="1" ref="E6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65" s="555" t="str">
        <f t="shared" ca="1" si="0"/>
        <v/>
      </c>
      <c r="G65" s="555" t="str">
        <f ca="1">IF(D65&lt;=8,RunName_ExAmpPrep!$H$2,IF(D65&lt;=16,RunName_ExAmpPrep!$H$3,IF(D65&lt;=24,RunName_ExAmpPrep!$H$4,IF(D65&lt;=32,RunName_ExAmpPrep!$H$5,IF(D65&lt;=40,RunName_ExAmpPrep!$H$6,IF(D65&lt;=48,RunName_ExAmpPrep!$H$7,IF(D65&lt;=56,RunName_ExAmpPrep!$H$8,IF(D65&lt;=64,RunName_ExAmpPrep!$H$9,""))))))))</f>
        <v/>
      </c>
      <c r="H65" s="577" t="str">
        <f t="array" aca="1" ref="H6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66" spans="1:8" x14ac:dyDescent="0.65">
      <c r="A66" s="554" t="str">
        <f t="array" aca="1" ref="A6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66" s="555" t="str">
        <f t="array" aca="1" ref="B6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66" s="555" t="str">
        <f ca="1">IF((ROW()-1)&lt;=COUNTIF(ListAndConversion!$CJ$4:$CQ$387,"&lt;&gt;-"),"Strips1","")</f>
        <v/>
      </c>
      <c r="D66" s="555" t="str">
        <f t="array" aca="1" ref="D6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66" s="555" t="str">
        <f t="array" aca="1" ref="E6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66" s="555" t="str">
        <f t="shared" ref="F66:F129" ca="1" si="1">IF(D66&lt;=32,"Microfuge1",IF(D66&lt;=64,"Microfuge2",""))</f>
        <v/>
      </c>
      <c r="G66" s="555" t="str">
        <f ca="1">IF(D66&lt;=8,RunName_ExAmpPrep!$H$2,IF(D66&lt;=16,RunName_ExAmpPrep!$H$3,IF(D66&lt;=24,RunName_ExAmpPrep!$H$4,IF(D66&lt;=32,RunName_ExAmpPrep!$H$5,IF(D66&lt;=40,RunName_ExAmpPrep!$H$6,IF(D66&lt;=48,RunName_ExAmpPrep!$H$7,IF(D66&lt;=56,RunName_ExAmpPrep!$H$8,IF(D66&lt;=64,RunName_ExAmpPrep!$H$9,""))))))))</f>
        <v/>
      </c>
      <c r="H66" s="577" t="str">
        <f t="array" aca="1" ref="H6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67" spans="1:8" x14ac:dyDescent="0.65">
      <c r="A67" s="554" t="str">
        <f t="array" aca="1" ref="A6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67" s="555" t="str">
        <f t="array" aca="1" ref="B6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67" s="555" t="str">
        <f ca="1">IF((ROW()-1)&lt;=COUNTIF(ListAndConversion!$CJ$4:$CQ$387,"&lt;&gt;-"),"Strips1","")</f>
        <v/>
      </c>
      <c r="D67" s="555" t="str">
        <f t="array" aca="1" ref="D6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67" s="555" t="str">
        <f t="array" aca="1" ref="E6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67" s="555" t="str">
        <f t="shared" ca="1" si="1"/>
        <v/>
      </c>
      <c r="G67" s="555" t="str">
        <f ca="1">IF(D67&lt;=8,RunName_ExAmpPrep!$H$2,IF(D67&lt;=16,RunName_ExAmpPrep!$H$3,IF(D67&lt;=24,RunName_ExAmpPrep!$H$4,IF(D67&lt;=32,RunName_ExAmpPrep!$H$5,IF(D67&lt;=40,RunName_ExAmpPrep!$H$6,IF(D67&lt;=48,RunName_ExAmpPrep!$H$7,IF(D67&lt;=56,RunName_ExAmpPrep!$H$8,IF(D67&lt;=64,RunName_ExAmpPrep!$H$9,""))))))))</f>
        <v/>
      </c>
      <c r="H67" s="577" t="str">
        <f t="array" aca="1" ref="H6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68" spans="1:8" x14ac:dyDescent="0.65">
      <c r="A68" s="554" t="str">
        <f t="array" aca="1" ref="A6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68" s="555" t="str">
        <f t="array" aca="1" ref="B6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68" s="555" t="str">
        <f ca="1">IF((ROW()-1)&lt;=COUNTIF(ListAndConversion!$CJ$4:$CQ$387,"&lt;&gt;-"),"Strips1","")</f>
        <v/>
      </c>
      <c r="D68" s="555" t="str">
        <f t="array" aca="1" ref="D6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68" s="555" t="str">
        <f t="array" aca="1" ref="E6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68" s="555" t="str">
        <f t="shared" ca="1" si="1"/>
        <v/>
      </c>
      <c r="G68" s="555" t="str">
        <f ca="1">IF(D68&lt;=8,RunName_ExAmpPrep!$H$2,IF(D68&lt;=16,RunName_ExAmpPrep!$H$3,IF(D68&lt;=24,RunName_ExAmpPrep!$H$4,IF(D68&lt;=32,RunName_ExAmpPrep!$H$5,IF(D68&lt;=40,RunName_ExAmpPrep!$H$6,IF(D68&lt;=48,RunName_ExAmpPrep!$H$7,IF(D68&lt;=56,RunName_ExAmpPrep!$H$8,IF(D68&lt;=64,RunName_ExAmpPrep!$H$9,""))))))))</f>
        <v/>
      </c>
      <c r="H68" s="577" t="str">
        <f t="array" aca="1" ref="H6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69" spans="1:8" x14ac:dyDescent="0.65">
      <c r="A69" s="554" t="str">
        <f t="array" aca="1" ref="A6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69" s="555" t="str">
        <f t="array" aca="1" ref="B6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69" s="555" t="str">
        <f ca="1">IF((ROW()-1)&lt;=COUNTIF(ListAndConversion!$CJ$4:$CQ$387,"&lt;&gt;-"),"Strips1","")</f>
        <v/>
      </c>
      <c r="D69" s="555" t="str">
        <f t="array" aca="1" ref="D6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69" s="555" t="str">
        <f t="array" aca="1" ref="E6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69" s="555" t="str">
        <f t="shared" ca="1" si="1"/>
        <v/>
      </c>
      <c r="G69" s="555" t="str">
        <f ca="1">IF(D69&lt;=8,RunName_ExAmpPrep!$H$2,IF(D69&lt;=16,RunName_ExAmpPrep!$H$3,IF(D69&lt;=24,RunName_ExAmpPrep!$H$4,IF(D69&lt;=32,RunName_ExAmpPrep!$H$5,IF(D69&lt;=40,RunName_ExAmpPrep!$H$6,IF(D69&lt;=48,RunName_ExAmpPrep!$H$7,IF(D69&lt;=56,RunName_ExAmpPrep!$H$8,IF(D69&lt;=64,RunName_ExAmpPrep!$H$9,""))))))))</f>
        <v/>
      </c>
      <c r="H69" s="577" t="str">
        <f t="array" aca="1" ref="H6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70" spans="1:8" x14ac:dyDescent="0.65">
      <c r="A70" s="554" t="str">
        <f t="array" aca="1" ref="A7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70" s="555" t="str">
        <f t="array" aca="1" ref="B7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70" s="555" t="str">
        <f ca="1">IF((ROW()-1)&lt;=COUNTIF(ListAndConversion!$CJ$4:$CQ$387,"&lt;&gt;-"),"Strips1","")</f>
        <v/>
      </c>
      <c r="D70" s="555" t="str">
        <f t="array" aca="1" ref="D7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70" s="555" t="str">
        <f t="array" aca="1" ref="E7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70" s="555" t="str">
        <f t="shared" ca="1" si="1"/>
        <v/>
      </c>
      <c r="G70" s="555" t="str">
        <f ca="1">IF(D70&lt;=8,RunName_ExAmpPrep!$H$2,IF(D70&lt;=16,RunName_ExAmpPrep!$H$3,IF(D70&lt;=24,RunName_ExAmpPrep!$H$4,IF(D70&lt;=32,RunName_ExAmpPrep!$H$5,IF(D70&lt;=40,RunName_ExAmpPrep!$H$6,IF(D70&lt;=48,RunName_ExAmpPrep!$H$7,IF(D70&lt;=56,RunName_ExAmpPrep!$H$8,IF(D70&lt;=64,RunName_ExAmpPrep!$H$9,""))))))))</f>
        <v/>
      </c>
      <c r="H70" s="577" t="str">
        <f t="array" aca="1" ref="H7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71" spans="1:8" x14ac:dyDescent="0.65">
      <c r="A71" s="554" t="str">
        <f t="array" aca="1" ref="A7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71" s="555" t="str">
        <f t="array" aca="1" ref="B7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71" s="555" t="str">
        <f ca="1">IF((ROW()-1)&lt;=COUNTIF(ListAndConversion!$CJ$4:$CQ$387,"&lt;&gt;-"),"Strips1","")</f>
        <v/>
      </c>
      <c r="D71" s="555" t="str">
        <f t="array" aca="1" ref="D7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71" s="555" t="str">
        <f t="array" aca="1" ref="E7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71" s="555" t="str">
        <f t="shared" ca="1" si="1"/>
        <v/>
      </c>
      <c r="G71" s="555" t="str">
        <f ca="1">IF(D71&lt;=8,RunName_ExAmpPrep!$H$2,IF(D71&lt;=16,RunName_ExAmpPrep!$H$3,IF(D71&lt;=24,RunName_ExAmpPrep!$H$4,IF(D71&lt;=32,RunName_ExAmpPrep!$H$5,IF(D71&lt;=40,RunName_ExAmpPrep!$H$6,IF(D71&lt;=48,RunName_ExAmpPrep!$H$7,IF(D71&lt;=56,RunName_ExAmpPrep!$H$8,IF(D71&lt;=64,RunName_ExAmpPrep!$H$9,""))))))))</f>
        <v/>
      </c>
      <c r="H71" s="577" t="str">
        <f t="array" aca="1" ref="H7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72" spans="1:8" x14ac:dyDescent="0.65">
      <c r="A72" s="554" t="str">
        <f t="array" aca="1" ref="A7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72" s="555" t="str">
        <f t="array" aca="1" ref="B7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72" s="555" t="str">
        <f ca="1">IF((ROW()-1)&lt;=COUNTIF(ListAndConversion!$CJ$4:$CQ$387,"&lt;&gt;-"),"Strips1","")</f>
        <v/>
      </c>
      <c r="D72" s="555" t="str">
        <f t="array" aca="1" ref="D7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72" s="555" t="str">
        <f t="array" aca="1" ref="E7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72" s="555" t="str">
        <f t="shared" ca="1" si="1"/>
        <v/>
      </c>
      <c r="G72" s="555" t="str">
        <f ca="1">IF(D72&lt;=8,RunName_ExAmpPrep!$H$2,IF(D72&lt;=16,RunName_ExAmpPrep!$H$3,IF(D72&lt;=24,RunName_ExAmpPrep!$H$4,IF(D72&lt;=32,RunName_ExAmpPrep!$H$5,IF(D72&lt;=40,RunName_ExAmpPrep!$H$6,IF(D72&lt;=48,RunName_ExAmpPrep!$H$7,IF(D72&lt;=56,RunName_ExAmpPrep!$H$8,IF(D72&lt;=64,RunName_ExAmpPrep!$H$9,""))))))))</f>
        <v/>
      </c>
      <c r="H72" s="577" t="str">
        <f t="array" aca="1" ref="H7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73" spans="1:8" x14ac:dyDescent="0.65">
      <c r="A73" s="554" t="str">
        <f t="array" aca="1" ref="A7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73" s="555" t="str">
        <f t="array" aca="1" ref="B7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73" s="555" t="str">
        <f ca="1">IF((ROW()-1)&lt;=COUNTIF(ListAndConversion!$CJ$4:$CQ$387,"&lt;&gt;-"),"Strips1","")</f>
        <v/>
      </c>
      <c r="D73" s="555" t="str">
        <f t="array" aca="1" ref="D7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73" s="555" t="str">
        <f t="array" aca="1" ref="E7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73" s="555" t="str">
        <f t="shared" ca="1" si="1"/>
        <v/>
      </c>
      <c r="G73" s="555" t="str">
        <f ca="1">IF(D73&lt;=8,RunName_ExAmpPrep!$H$2,IF(D73&lt;=16,RunName_ExAmpPrep!$H$3,IF(D73&lt;=24,RunName_ExAmpPrep!$H$4,IF(D73&lt;=32,RunName_ExAmpPrep!$H$5,IF(D73&lt;=40,RunName_ExAmpPrep!$H$6,IF(D73&lt;=48,RunName_ExAmpPrep!$H$7,IF(D73&lt;=56,RunName_ExAmpPrep!$H$8,IF(D73&lt;=64,RunName_ExAmpPrep!$H$9,""))))))))</f>
        <v/>
      </c>
      <c r="H73" s="577" t="str">
        <f t="array" aca="1" ref="H7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74" spans="1:8" x14ac:dyDescent="0.65">
      <c r="A74" s="554" t="str">
        <f t="array" aca="1" ref="A7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74" s="555" t="str">
        <f t="array" aca="1" ref="B7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74" s="555" t="str">
        <f ca="1">IF((ROW()-1)&lt;=COUNTIF(ListAndConversion!$CJ$4:$CQ$387,"&lt;&gt;-"),"Strips1","")</f>
        <v/>
      </c>
      <c r="D74" s="555" t="str">
        <f t="array" aca="1" ref="D7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74" s="555" t="str">
        <f t="array" aca="1" ref="E7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74" s="555" t="str">
        <f t="shared" ca="1" si="1"/>
        <v/>
      </c>
      <c r="G74" s="555" t="str">
        <f ca="1">IF(D74&lt;=8,RunName_ExAmpPrep!$H$2,IF(D74&lt;=16,RunName_ExAmpPrep!$H$3,IF(D74&lt;=24,RunName_ExAmpPrep!$H$4,IF(D74&lt;=32,RunName_ExAmpPrep!$H$5,IF(D74&lt;=40,RunName_ExAmpPrep!$H$6,IF(D74&lt;=48,RunName_ExAmpPrep!$H$7,IF(D74&lt;=56,RunName_ExAmpPrep!$H$8,IF(D74&lt;=64,RunName_ExAmpPrep!$H$9,""))))))))</f>
        <v/>
      </c>
      <c r="H74" s="577" t="str">
        <f t="array" aca="1" ref="H7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75" spans="1:8" x14ac:dyDescent="0.65">
      <c r="A75" s="554" t="str">
        <f t="array" aca="1" ref="A7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75" s="555" t="str">
        <f t="array" aca="1" ref="B7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75" s="555" t="str">
        <f ca="1">IF((ROW()-1)&lt;=COUNTIF(ListAndConversion!$CJ$4:$CQ$387,"&lt;&gt;-"),"Strips1","")</f>
        <v/>
      </c>
      <c r="D75" s="555" t="str">
        <f t="array" aca="1" ref="D7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75" s="555" t="str">
        <f t="array" aca="1" ref="E7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75" s="555" t="str">
        <f t="shared" ca="1" si="1"/>
        <v/>
      </c>
      <c r="G75" s="555" t="str">
        <f ca="1">IF(D75&lt;=8,RunName_ExAmpPrep!$H$2,IF(D75&lt;=16,RunName_ExAmpPrep!$H$3,IF(D75&lt;=24,RunName_ExAmpPrep!$H$4,IF(D75&lt;=32,RunName_ExAmpPrep!$H$5,IF(D75&lt;=40,RunName_ExAmpPrep!$H$6,IF(D75&lt;=48,RunName_ExAmpPrep!$H$7,IF(D75&lt;=56,RunName_ExAmpPrep!$H$8,IF(D75&lt;=64,RunName_ExAmpPrep!$H$9,""))))))))</f>
        <v/>
      </c>
      <c r="H75" s="577" t="str">
        <f t="array" aca="1" ref="H7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76" spans="1:8" x14ac:dyDescent="0.65">
      <c r="A76" s="554" t="str">
        <f t="array" aca="1" ref="A7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76" s="555" t="str">
        <f t="array" aca="1" ref="B7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76" s="555" t="str">
        <f ca="1">IF((ROW()-1)&lt;=COUNTIF(ListAndConversion!$CJ$4:$CQ$387,"&lt;&gt;-"),"Strips1","")</f>
        <v/>
      </c>
      <c r="D76" s="555" t="str">
        <f t="array" aca="1" ref="D7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76" s="555" t="str">
        <f t="array" aca="1" ref="E7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76" s="555" t="str">
        <f t="shared" ca="1" si="1"/>
        <v/>
      </c>
      <c r="G76" s="555" t="str">
        <f ca="1">IF(D76&lt;=8,RunName_ExAmpPrep!$H$2,IF(D76&lt;=16,RunName_ExAmpPrep!$H$3,IF(D76&lt;=24,RunName_ExAmpPrep!$H$4,IF(D76&lt;=32,RunName_ExAmpPrep!$H$5,IF(D76&lt;=40,RunName_ExAmpPrep!$H$6,IF(D76&lt;=48,RunName_ExAmpPrep!$H$7,IF(D76&lt;=56,RunName_ExAmpPrep!$H$8,IF(D76&lt;=64,RunName_ExAmpPrep!$H$9,""))))))))</f>
        <v/>
      </c>
      <c r="H76" s="577" t="str">
        <f t="array" aca="1" ref="H7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77" spans="1:8" x14ac:dyDescent="0.65">
      <c r="A77" s="554" t="str">
        <f t="array" aca="1" ref="A7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77" s="555" t="str">
        <f t="array" aca="1" ref="B7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77" s="555" t="str">
        <f ca="1">IF((ROW()-1)&lt;=COUNTIF(ListAndConversion!$CJ$4:$CQ$387,"&lt;&gt;-"),"Strips1","")</f>
        <v/>
      </c>
      <c r="D77" s="555" t="str">
        <f t="array" aca="1" ref="D7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77" s="555" t="str">
        <f t="array" aca="1" ref="E7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77" s="555" t="str">
        <f t="shared" ca="1" si="1"/>
        <v/>
      </c>
      <c r="G77" s="555" t="str">
        <f ca="1">IF(D77&lt;=8,RunName_ExAmpPrep!$H$2,IF(D77&lt;=16,RunName_ExAmpPrep!$H$3,IF(D77&lt;=24,RunName_ExAmpPrep!$H$4,IF(D77&lt;=32,RunName_ExAmpPrep!$H$5,IF(D77&lt;=40,RunName_ExAmpPrep!$H$6,IF(D77&lt;=48,RunName_ExAmpPrep!$H$7,IF(D77&lt;=56,RunName_ExAmpPrep!$H$8,IF(D77&lt;=64,RunName_ExAmpPrep!$H$9,""))))))))</f>
        <v/>
      </c>
      <c r="H77" s="577" t="str">
        <f t="array" aca="1" ref="H7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78" spans="1:8" x14ac:dyDescent="0.65">
      <c r="A78" s="554" t="str">
        <f t="array" aca="1" ref="A7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78" s="555" t="str">
        <f t="array" aca="1" ref="B7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78" s="555" t="str">
        <f ca="1">IF((ROW()-1)&lt;=COUNTIF(ListAndConversion!$CJ$4:$CQ$387,"&lt;&gt;-"),"Strips1","")</f>
        <v/>
      </c>
      <c r="D78" s="555" t="str">
        <f t="array" aca="1" ref="D7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78" s="555" t="str">
        <f t="array" aca="1" ref="E7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78" s="555" t="str">
        <f t="shared" ca="1" si="1"/>
        <v/>
      </c>
      <c r="G78" s="555" t="str">
        <f ca="1">IF(D78&lt;=8,RunName_ExAmpPrep!$H$2,IF(D78&lt;=16,RunName_ExAmpPrep!$H$3,IF(D78&lt;=24,RunName_ExAmpPrep!$H$4,IF(D78&lt;=32,RunName_ExAmpPrep!$H$5,IF(D78&lt;=40,RunName_ExAmpPrep!$H$6,IF(D78&lt;=48,RunName_ExAmpPrep!$H$7,IF(D78&lt;=56,RunName_ExAmpPrep!$H$8,IF(D78&lt;=64,RunName_ExAmpPrep!$H$9,""))))))))</f>
        <v/>
      </c>
      <c r="H78" s="577" t="str">
        <f t="array" aca="1" ref="H7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79" spans="1:8" x14ac:dyDescent="0.65">
      <c r="A79" s="554" t="str">
        <f t="array" aca="1" ref="A7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79" s="555" t="str">
        <f t="array" aca="1" ref="B7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79" s="555" t="str">
        <f ca="1">IF((ROW()-1)&lt;=COUNTIF(ListAndConversion!$CJ$4:$CQ$387,"&lt;&gt;-"),"Strips1","")</f>
        <v/>
      </c>
      <c r="D79" s="555" t="str">
        <f t="array" aca="1" ref="D7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79" s="555" t="str">
        <f t="array" aca="1" ref="E7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79" s="555" t="str">
        <f t="shared" ca="1" si="1"/>
        <v/>
      </c>
      <c r="G79" s="555" t="str">
        <f ca="1">IF(D79&lt;=8,RunName_ExAmpPrep!$H$2,IF(D79&lt;=16,RunName_ExAmpPrep!$H$3,IF(D79&lt;=24,RunName_ExAmpPrep!$H$4,IF(D79&lt;=32,RunName_ExAmpPrep!$H$5,IF(D79&lt;=40,RunName_ExAmpPrep!$H$6,IF(D79&lt;=48,RunName_ExAmpPrep!$H$7,IF(D79&lt;=56,RunName_ExAmpPrep!$H$8,IF(D79&lt;=64,RunName_ExAmpPrep!$H$9,""))))))))</f>
        <v/>
      </c>
      <c r="H79" s="577" t="str">
        <f t="array" aca="1" ref="H7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80" spans="1:8" x14ac:dyDescent="0.65">
      <c r="A80" s="554" t="str">
        <f t="array" aca="1" ref="A8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80" s="555" t="str">
        <f t="array" aca="1" ref="B8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80" s="555" t="str">
        <f ca="1">IF((ROW()-1)&lt;=COUNTIF(ListAndConversion!$CJ$4:$CQ$387,"&lt;&gt;-"),"Strips1","")</f>
        <v/>
      </c>
      <c r="D80" s="555" t="str">
        <f t="array" aca="1" ref="D8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80" s="555" t="str">
        <f t="array" aca="1" ref="E8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80" s="555" t="str">
        <f t="shared" ca="1" si="1"/>
        <v/>
      </c>
      <c r="G80" s="555" t="str">
        <f ca="1">IF(D80&lt;=8,RunName_ExAmpPrep!$H$2,IF(D80&lt;=16,RunName_ExAmpPrep!$H$3,IF(D80&lt;=24,RunName_ExAmpPrep!$H$4,IF(D80&lt;=32,RunName_ExAmpPrep!$H$5,IF(D80&lt;=40,RunName_ExAmpPrep!$H$6,IF(D80&lt;=48,RunName_ExAmpPrep!$H$7,IF(D80&lt;=56,RunName_ExAmpPrep!$H$8,IF(D80&lt;=64,RunName_ExAmpPrep!$H$9,""))))))))</f>
        <v/>
      </c>
      <c r="H80" s="577" t="str">
        <f t="array" aca="1" ref="H8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81" spans="1:8" x14ac:dyDescent="0.65">
      <c r="A81" s="554" t="str">
        <f t="array" aca="1" ref="A8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81" s="555" t="str">
        <f t="array" aca="1" ref="B8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81" s="555" t="str">
        <f ca="1">IF((ROW()-1)&lt;=COUNTIF(ListAndConversion!$CJ$4:$CQ$387,"&lt;&gt;-"),"Strips1","")</f>
        <v/>
      </c>
      <c r="D81" s="555" t="str">
        <f t="array" aca="1" ref="D8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81" s="555" t="str">
        <f t="array" aca="1" ref="E8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81" s="555" t="str">
        <f t="shared" ca="1" si="1"/>
        <v/>
      </c>
      <c r="G81" s="555" t="str">
        <f ca="1">IF(D81&lt;=8,RunName_ExAmpPrep!$H$2,IF(D81&lt;=16,RunName_ExAmpPrep!$H$3,IF(D81&lt;=24,RunName_ExAmpPrep!$H$4,IF(D81&lt;=32,RunName_ExAmpPrep!$H$5,IF(D81&lt;=40,RunName_ExAmpPrep!$H$6,IF(D81&lt;=48,RunName_ExAmpPrep!$H$7,IF(D81&lt;=56,RunName_ExAmpPrep!$H$8,IF(D81&lt;=64,RunName_ExAmpPrep!$H$9,""))))))))</f>
        <v/>
      </c>
      <c r="H81" s="577" t="str">
        <f t="array" aca="1" ref="H8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82" spans="1:8" x14ac:dyDescent="0.65">
      <c r="A82" s="554" t="str">
        <f t="array" aca="1" ref="A8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82" s="555" t="str">
        <f t="array" aca="1" ref="B8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82" s="555" t="str">
        <f ca="1">IF((ROW()-1)&lt;=COUNTIF(ListAndConversion!$CJ$4:$CQ$387,"&lt;&gt;-"),"Strips1","")</f>
        <v/>
      </c>
      <c r="D82" s="555" t="str">
        <f t="array" aca="1" ref="D8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82" s="555" t="str">
        <f t="array" aca="1" ref="E8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82" s="555" t="str">
        <f t="shared" ca="1" si="1"/>
        <v/>
      </c>
      <c r="G82" s="555" t="str">
        <f ca="1">IF(D82&lt;=8,RunName_ExAmpPrep!$H$2,IF(D82&lt;=16,RunName_ExAmpPrep!$H$3,IF(D82&lt;=24,RunName_ExAmpPrep!$H$4,IF(D82&lt;=32,RunName_ExAmpPrep!$H$5,IF(D82&lt;=40,RunName_ExAmpPrep!$H$6,IF(D82&lt;=48,RunName_ExAmpPrep!$H$7,IF(D82&lt;=56,RunName_ExAmpPrep!$H$8,IF(D82&lt;=64,RunName_ExAmpPrep!$H$9,""))))))))</f>
        <v/>
      </c>
      <c r="H82" s="577" t="str">
        <f t="array" aca="1" ref="H8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83" spans="1:8" x14ac:dyDescent="0.65">
      <c r="A83" s="554" t="str">
        <f t="array" aca="1" ref="A8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83" s="555" t="str">
        <f t="array" aca="1" ref="B8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83" s="555" t="str">
        <f ca="1">IF((ROW()-1)&lt;=COUNTIF(ListAndConversion!$CJ$4:$CQ$387,"&lt;&gt;-"),"Strips1","")</f>
        <v/>
      </c>
      <c r="D83" s="555" t="str">
        <f t="array" aca="1" ref="D8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83" s="555" t="str">
        <f t="array" aca="1" ref="E8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83" s="555" t="str">
        <f t="shared" ca="1" si="1"/>
        <v/>
      </c>
      <c r="G83" s="555" t="str">
        <f ca="1">IF(D83&lt;=8,RunName_ExAmpPrep!$H$2,IF(D83&lt;=16,RunName_ExAmpPrep!$H$3,IF(D83&lt;=24,RunName_ExAmpPrep!$H$4,IF(D83&lt;=32,RunName_ExAmpPrep!$H$5,IF(D83&lt;=40,RunName_ExAmpPrep!$H$6,IF(D83&lt;=48,RunName_ExAmpPrep!$H$7,IF(D83&lt;=56,RunName_ExAmpPrep!$H$8,IF(D83&lt;=64,RunName_ExAmpPrep!$H$9,""))))))))</f>
        <v/>
      </c>
      <c r="H83" s="577" t="str">
        <f t="array" aca="1" ref="H8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84" spans="1:8" x14ac:dyDescent="0.65">
      <c r="A84" s="554" t="str">
        <f t="array" aca="1" ref="A8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84" s="555" t="str">
        <f t="array" aca="1" ref="B8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84" s="555" t="str">
        <f ca="1">IF((ROW()-1)&lt;=COUNTIF(ListAndConversion!$CJ$4:$CQ$387,"&lt;&gt;-"),"Strips1","")</f>
        <v/>
      </c>
      <c r="D84" s="555" t="str">
        <f t="array" aca="1" ref="D8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84" s="555" t="str">
        <f t="array" aca="1" ref="E8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84" s="555" t="str">
        <f t="shared" ca="1" si="1"/>
        <v/>
      </c>
      <c r="G84" s="555" t="str">
        <f ca="1">IF(D84&lt;=8,RunName_ExAmpPrep!$H$2,IF(D84&lt;=16,RunName_ExAmpPrep!$H$3,IF(D84&lt;=24,RunName_ExAmpPrep!$H$4,IF(D84&lt;=32,RunName_ExAmpPrep!$H$5,IF(D84&lt;=40,RunName_ExAmpPrep!$H$6,IF(D84&lt;=48,RunName_ExAmpPrep!$H$7,IF(D84&lt;=56,RunName_ExAmpPrep!$H$8,IF(D84&lt;=64,RunName_ExAmpPrep!$H$9,""))))))))</f>
        <v/>
      </c>
      <c r="H84" s="577" t="str">
        <f t="array" aca="1" ref="H8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85" spans="1:8" x14ac:dyDescent="0.65">
      <c r="A85" s="554" t="str">
        <f t="array" aca="1" ref="A8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85" s="555" t="str">
        <f t="array" aca="1" ref="B8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85" s="555" t="str">
        <f ca="1">IF((ROW()-1)&lt;=COUNTIF(ListAndConversion!$CJ$4:$CQ$387,"&lt;&gt;-"),"Strips1","")</f>
        <v/>
      </c>
      <c r="D85" s="555" t="str">
        <f t="array" aca="1" ref="D8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85" s="555" t="str">
        <f t="array" aca="1" ref="E8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85" s="555" t="str">
        <f t="shared" ca="1" si="1"/>
        <v/>
      </c>
      <c r="G85" s="555" t="str">
        <f ca="1">IF(D85&lt;=8,RunName_ExAmpPrep!$H$2,IF(D85&lt;=16,RunName_ExAmpPrep!$H$3,IF(D85&lt;=24,RunName_ExAmpPrep!$H$4,IF(D85&lt;=32,RunName_ExAmpPrep!$H$5,IF(D85&lt;=40,RunName_ExAmpPrep!$H$6,IF(D85&lt;=48,RunName_ExAmpPrep!$H$7,IF(D85&lt;=56,RunName_ExAmpPrep!$H$8,IF(D85&lt;=64,RunName_ExAmpPrep!$H$9,""))))))))</f>
        <v/>
      </c>
      <c r="H85" s="577" t="str">
        <f t="array" aca="1" ref="H8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86" spans="1:8" x14ac:dyDescent="0.65">
      <c r="A86" s="554" t="str">
        <f t="array" aca="1" ref="A8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86" s="555" t="str">
        <f t="array" aca="1" ref="B8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86" s="555" t="str">
        <f ca="1">IF((ROW()-1)&lt;=COUNTIF(ListAndConversion!$CJ$4:$CQ$387,"&lt;&gt;-"),"Strips1","")</f>
        <v/>
      </c>
      <c r="D86" s="555" t="str">
        <f t="array" aca="1" ref="D8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86" s="555" t="str">
        <f t="array" aca="1" ref="E8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86" s="555" t="str">
        <f t="shared" ca="1" si="1"/>
        <v/>
      </c>
      <c r="G86" s="555" t="str">
        <f ca="1">IF(D86&lt;=8,RunName_ExAmpPrep!$H$2,IF(D86&lt;=16,RunName_ExAmpPrep!$H$3,IF(D86&lt;=24,RunName_ExAmpPrep!$H$4,IF(D86&lt;=32,RunName_ExAmpPrep!$H$5,IF(D86&lt;=40,RunName_ExAmpPrep!$H$6,IF(D86&lt;=48,RunName_ExAmpPrep!$H$7,IF(D86&lt;=56,RunName_ExAmpPrep!$H$8,IF(D86&lt;=64,RunName_ExAmpPrep!$H$9,""))))))))</f>
        <v/>
      </c>
      <c r="H86" s="577" t="str">
        <f t="array" aca="1" ref="H8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87" spans="1:8" x14ac:dyDescent="0.65">
      <c r="A87" s="554" t="str">
        <f t="array" aca="1" ref="A8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87" s="555" t="str">
        <f t="array" aca="1" ref="B8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87" s="555" t="str">
        <f ca="1">IF((ROW()-1)&lt;=COUNTIF(ListAndConversion!$CJ$4:$CQ$387,"&lt;&gt;-"),"Strips1","")</f>
        <v/>
      </c>
      <c r="D87" s="555" t="str">
        <f t="array" aca="1" ref="D8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87" s="555" t="str">
        <f t="array" aca="1" ref="E8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87" s="555" t="str">
        <f t="shared" ca="1" si="1"/>
        <v/>
      </c>
      <c r="G87" s="555" t="str">
        <f ca="1">IF(D87&lt;=8,RunName_ExAmpPrep!$H$2,IF(D87&lt;=16,RunName_ExAmpPrep!$H$3,IF(D87&lt;=24,RunName_ExAmpPrep!$H$4,IF(D87&lt;=32,RunName_ExAmpPrep!$H$5,IF(D87&lt;=40,RunName_ExAmpPrep!$H$6,IF(D87&lt;=48,RunName_ExAmpPrep!$H$7,IF(D87&lt;=56,RunName_ExAmpPrep!$H$8,IF(D87&lt;=64,RunName_ExAmpPrep!$H$9,""))))))))</f>
        <v/>
      </c>
      <c r="H87" s="577" t="str">
        <f t="array" aca="1" ref="H8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88" spans="1:8" x14ac:dyDescent="0.65">
      <c r="A88" s="554" t="str">
        <f t="array" aca="1" ref="A8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88" s="555" t="str">
        <f t="array" aca="1" ref="B8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88" s="555" t="str">
        <f ca="1">IF((ROW()-1)&lt;=COUNTIF(ListAndConversion!$CJ$4:$CQ$387,"&lt;&gt;-"),"Strips1","")</f>
        <v/>
      </c>
      <c r="D88" s="555" t="str">
        <f t="array" aca="1" ref="D8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88" s="555" t="str">
        <f t="array" aca="1" ref="E8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88" s="555" t="str">
        <f t="shared" ca="1" si="1"/>
        <v/>
      </c>
      <c r="G88" s="555" t="str">
        <f ca="1">IF(D88&lt;=8,RunName_ExAmpPrep!$H$2,IF(D88&lt;=16,RunName_ExAmpPrep!$H$3,IF(D88&lt;=24,RunName_ExAmpPrep!$H$4,IF(D88&lt;=32,RunName_ExAmpPrep!$H$5,IF(D88&lt;=40,RunName_ExAmpPrep!$H$6,IF(D88&lt;=48,RunName_ExAmpPrep!$H$7,IF(D88&lt;=56,RunName_ExAmpPrep!$H$8,IF(D88&lt;=64,RunName_ExAmpPrep!$H$9,""))))))))</f>
        <v/>
      </c>
      <c r="H88" s="577" t="str">
        <f t="array" aca="1" ref="H8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89" spans="1:8" x14ac:dyDescent="0.65">
      <c r="A89" s="554" t="str">
        <f t="array" aca="1" ref="A8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89" s="555" t="str">
        <f t="array" aca="1" ref="B8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89" s="555" t="str">
        <f ca="1">IF((ROW()-1)&lt;=COUNTIF(ListAndConversion!$CJ$4:$CQ$387,"&lt;&gt;-"),"Strips1","")</f>
        <v/>
      </c>
      <c r="D89" s="555" t="str">
        <f t="array" aca="1" ref="D8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89" s="555" t="str">
        <f t="array" aca="1" ref="E8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89" s="555" t="str">
        <f t="shared" ca="1" si="1"/>
        <v/>
      </c>
      <c r="G89" s="555" t="str">
        <f ca="1">IF(D89&lt;=8,RunName_ExAmpPrep!$H$2,IF(D89&lt;=16,RunName_ExAmpPrep!$H$3,IF(D89&lt;=24,RunName_ExAmpPrep!$H$4,IF(D89&lt;=32,RunName_ExAmpPrep!$H$5,IF(D89&lt;=40,RunName_ExAmpPrep!$H$6,IF(D89&lt;=48,RunName_ExAmpPrep!$H$7,IF(D89&lt;=56,RunName_ExAmpPrep!$H$8,IF(D89&lt;=64,RunName_ExAmpPrep!$H$9,""))))))))</f>
        <v/>
      </c>
      <c r="H89" s="577" t="str">
        <f t="array" aca="1" ref="H8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90" spans="1:8" x14ac:dyDescent="0.65">
      <c r="A90" s="554" t="str">
        <f t="array" aca="1" ref="A9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90" s="555" t="str">
        <f t="array" aca="1" ref="B9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90" s="555" t="str">
        <f ca="1">IF((ROW()-1)&lt;=COUNTIF(ListAndConversion!$CJ$4:$CQ$387,"&lt;&gt;-"),"Strips1","")</f>
        <v/>
      </c>
      <c r="D90" s="555" t="str">
        <f t="array" aca="1" ref="D9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90" s="555" t="str">
        <f t="array" aca="1" ref="E9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90" s="555" t="str">
        <f t="shared" ca="1" si="1"/>
        <v/>
      </c>
      <c r="G90" s="555" t="str">
        <f ca="1">IF(D90&lt;=8,RunName_ExAmpPrep!$H$2,IF(D90&lt;=16,RunName_ExAmpPrep!$H$3,IF(D90&lt;=24,RunName_ExAmpPrep!$H$4,IF(D90&lt;=32,RunName_ExAmpPrep!$H$5,IF(D90&lt;=40,RunName_ExAmpPrep!$H$6,IF(D90&lt;=48,RunName_ExAmpPrep!$H$7,IF(D90&lt;=56,RunName_ExAmpPrep!$H$8,IF(D90&lt;=64,RunName_ExAmpPrep!$H$9,""))))))))</f>
        <v/>
      </c>
      <c r="H90" s="577" t="str">
        <f t="array" aca="1" ref="H9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91" spans="1:8" x14ac:dyDescent="0.65">
      <c r="A91" s="554" t="str">
        <f t="array" aca="1" ref="A9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91" s="555" t="str">
        <f t="array" aca="1" ref="B9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91" s="555" t="str">
        <f ca="1">IF((ROW()-1)&lt;=COUNTIF(ListAndConversion!$CJ$4:$CQ$387,"&lt;&gt;-"),"Strips1","")</f>
        <v/>
      </c>
      <c r="D91" s="555" t="str">
        <f t="array" aca="1" ref="D9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91" s="555" t="str">
        <f t="array" aca="1" ref="E9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91" s="555" t="str">
        <f t="shared" ca="1" si="1"/>
        <v/>
      </c>
      <c r="G91" s="555" t="str">
        <f ca="1">IF(D91&lt;=8,RunName_ExAmpPrep!$H$2,IF(D91&lt;=16,RunName_ExAmpPrep!$H$3,IF(D91&lt;=24,RunName_ExAmpPrep!$H$4,IF(D91&lt;=32,RunName_ExAmpPrep!$H$5,IF(D91&lt;=40,RunName_ExAmpPrep!$H$6,IF(D91&lt;=48,RunName_ExAmpPrep!$H$7,IF(D91&lt;=56,RunName_ExAmpPrep!$H$8,IF(D91&lt;=64,RunName_ExAmpPrep!$H$9,""))))))))</f>
        <v/>
      </c>
      <c r="H91" s="577" t="str">
        <f t="array" aca="1" ref="H9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92" spans="1:8" x14ac:dyDescent="0.65">
      <c r="A92" s="554" t="str">
        <f t="array" aca="1" ref="A9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92" s="555" t="str">
        <f t="array" aca="1" ref="B9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92" s="555" t="str">
        <f ca="1">IF((ROW()-1)&lt;=COUNTIF(ListAndConversion!$CJ$4:$CQ$387,"&lt;&gt;-"),"Strips1","")</f>
        <v/>
      </c>
      <c r="D92" s="555" t="str">
        <f t="array" aca="1" ref="D9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92" s="555" t="str">
        <f t="array" aca="1" ref="E9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92" s="555" t="str">
        <f t="shared" ca="1" si="1"/>
        <v/>
      </c>
      <c r="G92" s="555" t="str">
        <f ca="1">IF(D92&lt;=8,RunName_ExAmpPrep!$H$2,IF(D92&lt;=16,RunName_ExAmpPrep!$H$3,IF(D92&lt;=24,RunName_ExAmpPrep!$H$4,IF(D92&lt;=32,RunName_ExAmpPrep!$H$5,IF(D92&lt;=40,RunName_ExAmpPrep!$H$6,IF(D92&lt;=48,RunName_ExAmpPrep!$H$7,IF(D92&lt;=56,RunName_ExAmpPrep!$H$8,IF(D92&lt;=64,RunName_ExAmpPrep!$H$9,""))))))))</f>
        <v/>
      </c>
      <c r="H92" s="577" t="str">
        <f t="array" aca="1" ref="H9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93" spans="1:8" x14ac:dyDescent="0.65">
      <c r="A93" s="554" t="str">
        <f t="array" aca="1" ref="A9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93" s="555" t="str">
        <f t="array" aca="1" ref="B9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93" s="555" t="str">
        <f ca="1">IF((ROW()-1)&lt;=COUNTIF(ListAndConversion!$CJ$4:$CQ$387,"&lt;&gt;-"),"Strips1","")</f>
        <v/>
      </c>
      <c r="D93" s="555" t="str">
        <f t="array" aca="1" ref="D9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93" s="555" t="str">
        <f t="array" aca="1" ref="E9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93" s="555" t="str">
        <f t="shared" ca="1" si="1"/>
        <v/>
      </c>
      <c r="G93" s="555" t="str">
        <f ca="1">IF(D93&lt;=8,RunName_ExAmpPrep!$H$2,IF(D93&lt;=16,RunName_ExAmpPrep!$H$3,IF(D93&lt;=24,RunName_ExAmpPrep!$H$4,IF(D93&lt;=32,RunName_ExAmpPrep!$H$5,IF(D93&lt;=40,RunName_ExAmpPrep!$H$6,IF(D93&lt;=48,RunName_ExAmpPrep!$H$7,IF(D93&lt;=56,RunName_ExAmpPrep!$H$8,IF(D93&lt;=64,RunName_ExAmpPrep!$H$9,""))))))))</f>
        <v/>
      </c>
      <c r="H93" s="577" t="str">
        <f t="array" aca="1" ref="H9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94" spans="1:8" x14ac:dyDescent="0.65">
      <c r="A94" s="554" t="str">
        <f t="array" aca="1" ref="A9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94" s="555" t="str">
        <f t="array" aca="1" ref="B9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94" s="555" t="str">
        <f ca="1">IF((ROW()-1)&lt;=COUNTIF(ListAndConversion!$CJ$4:$CQ$387,"&lt;&gt;-"),"Strips1","")</f>
        <v/>
      </c>
      <c r="D94" s="555" t="str">
        <f t="array" aca="1" ref="D9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94" s="555" t="str">
        <f t="array" aca="1" ref="E9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94" s="555" t="str">
        <f t="shared" ca="1" si="1"/>
        <v/>
      </c>
      <c r="G94" s="555" t="str">
        <f ca="1">IF(D94&lt;=8,RunName_ExAmpPrep!$H$2,IF(D94&lt;=16,RunName_ExAmpPrep!$H$3,IF(D94&lt;=24,RunName_ExAmpPrep!$H$4,IF(D94&lt;=32,RunName_ExAmpPrep!$H$5,IF(D94&lt;=40,RunName_ExAmpPrep!$H$6,IF(D94&lt;=48,RunName_ExAmpPrep!$H$7,IF(D94&lt;=56,RunName_ExAmpPrep!$H$8,IF(D94&lt;=64,RunName_ExAmpPrep!$H$9,""))))))))</f>
        <v/>
      </c>
      <c r="H94" s="577" t="str">
        <f t="array" aca="1" ref="H9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95" spans="1:8" x14ac:dyDescent="0.65">
      <c r="A95" s="554" t="str">
        <f t="array" aca="1" ref="A9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95" s="555" t="str">
        <f t="array" aca="1" ref="B9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95" s="555" t="str">
        <f ca="1">IF((ROW()-1)&lt;=COUNTIF(ListAndConversion!$CJ$4:$CQ$387,"&lt;&gt;-"),"Strips1","")</f>
        <v/>
      </c>
      <c r="D95" s="555" t="str">
        <f t="array" aca="1" ref="D9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95" s="555" t="str">
        <f t="array" aca="1" ref="E9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95" s="555" t="str">
        <f t="shared" ca="1" si="1"/>
        <v/>
      </c>
      <c r="G95" s="555" t="str">
        <f ca="1">IF(D95&lt;=8,RunName_ExAmpPrep!$H$2,IF(D95&lt;=16,RunName_ExAmpPrep!$H$3,IF(D95&lt;=24,RunName_ExAmpPrep!$H$4,IF(D95&lt;=32,RunName_ExAmpPrep!$H$5,IF(D95&lt;=40,RunName_ExAmpPrep!$H$6,IF(D95&lt;=48,RunName_ExAmpPrep!$H$7,IF(D95&lt;=56,RunName_ExAmpPrep!$H$8,IF(D95&lt;=64,RunName_ExAmpPrep!$H$9,""))))))))</f>
        <v/>
      </c>
      <c r="H95" s="577" t="str">
        <f t="array" aca="1" ref="H9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96" spans="1:8" x14ac:dyDescent="0.65">
      <c r="A96" s="554" t="str">
        <f t="array" aca="1" ref="A9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96" s="555" t="str">
        <f t="array" aca="1" ref="B9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96" s="555" t="str">
        <f ca="1">IF((ROW()-1)&lt;=COUNTIF(ListAndConversion!$CJ$4:$CQ$387,"&lt;&gt;-"),"Strips1","")</f>
        <v/>
      </c>
      <c r="D96" s="555" t="str">
        <f t="array" aca="1" ref="D9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96" s="555" t="str">
        <f t="array" aca="1" ref="E9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96" s="555" t="str">
        <f t="shared" ca="1" si="1"/>
        <v/>
      </c>
      <c r="G96" s="555" t="str">
        <f ca="1">IF(D96&lt;=8,RunName_ExAmpPrep!$H$2,IF(D96&lt;=16,RunName_ExAmpPrep!$H$3,IF(D96&lt;=24,RunName_ExAmpPrep!$H$4,IF(D96&lt;=32,RunName_ExAmpPrep!$H$5,IF(D96&lt;=40,RunName_ExAmpPrep!$H$6,IF(D96&lt;=48,RunName_ExAmpPrep!$H$7,IF(D96&lt;=56,RunName_ExAmpPrep!$H$8,IF(D96&lt;=64,RunName_ExAmpPrep!$H$9,""))))))))</f>
        <v/>
      </c>
      <c r="H96" s="577" t="str">
        <f t="array" aca="1" ref="H9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97" spans="1:8" x14ac:dyDescent="0.65">
      <c r="A97" s="554" t="str">
        <f t="array" aca="1" ref="A9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97" s="555" t="str">
        <f t="array" aca="1" ref="B9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97" s="555" t="str">
        <f ca="1">IF((ROW()-1)&lt;=COUNTIF(ListAndConversion!$CJ$4:$CQ$387,"&lt;&gt;-"),"Strips1","")</f>
        <v/>
      </c>
      <c r="D97" s="555" t="str">
        <f t="array" aca="1" ref="D9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97" s="555" t="str">
        <f t="array" aca="1" ref="E9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97" s="555" t="str">
        <f t="shared" ca="1" si="1"/>
        <v/>
      </c>
      <c r="G97" s="555" t="str">
        <f ca="1">IF(D97&lt;=8,RunName_ExAmpPrep!$H$2,IF(D97&lt;=16,RunName_ExAmpPrep!$H$3,IF(D97&lt;=24,RunName_ExAmpPrep!$H$4,IF(D97&lt;=32,RunName_ExAmpPrep!$H$5,IF(D97&lt;=40,RunName_ExAmpPrep!$H$6,IF(D97&lt;=48,RunName_ExAmpPrep!$H$7,IF(D97&lt;=56,RunName_ExAmpPrep!$H$8,IF(D97&lt;=64,RunName_ExAmpPrep!$H$9,""))))))))</f>
        <v/>
      </c>
      <c r="H97" s="577" t="str">
        <f t="array" aca="1" ref="H9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98" spans="1:8" x14ac:dyDescent="0.65">
      <c r="A98" s="554" t="str">
        <f t="array" aca="1" ref="A9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98" s="555" t="str">
        <f t="array" aca="1" ref="B9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98" s="555" t="str">
        <f ca="1">IF((ROW()-1)&lt;=COUNTIF(ListAndConversion!$CJ$4:$CQ$387,"&lt;&gt;-"),"Strips1","")</f>
        <v/>
      </c>
      <c r="D98" s="555" t="str">
        <f t="array" aca="1" ref="D9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98" s="555" t="str">
        <f t="array" aca="1" ref="E9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98" s="555" t="str">
        <f t="shared" ca="1" si="1"/>
        <v/>
      </c>
      <c r="G98" s="555" t="str">
        <f ca="1">IF(D98&lt;=8,RunName_ExAmpPrep!$H$2,IF(D98&lt;=16,RunName_ExAmpPrep!$H$3,IF(D98&lt;=24,RunName_ExAmpPrep!$H$4,IF(D98&lt;=32,RunName_ExAmpPrep!$H$5,IF(D98&lt;=40,RunName_ExAmpPrep!$H$6,IF(D98&lt;=48,RunName_ExAmpPrep!$H$7,IF(D98&lt;=56,RunName_ExAmpPrep!$H$8,IF(D98&lt;=64,RunName_ExAmpPrep!$H$9,""))))))))</f>
        <v/>
      </c>
      <c r="H98" s="577" t="str">
        <f t="array" aca="1" ref="H9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99" spans="1:8" x14ac:dyDescent="0.65">
      <c r="A99" s="554" t="str">
        <f t="array" aca="1" ref="A9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99" s="555" t="str">
        <f t="array" aca="1" ref="B9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99" s="555" t="str">
        <f ca="1">IF((ROW()-1)&lt;=COUNTIF(ListAndConversion!$CJ$4:$CQ$387,"&lt;&gt;-"),"Strips1","")</f>
        <v/>
      </c>
      <c r="D99" s="555" t="str">
        <f t="array" aca="1" ref="D9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99" s="555" t="str">
        <f t="array" aca="1" ref="E9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99" s="555" t="str">
        <f t="shared" ca="1" si="1"/>
        <v/>
      </c>
      <c r="G99" s="555" t="str">
        <f ca="1">IF(D99&lt;=8,RunName_ExAmpPrep!$H$2,IF(D99&lt;=16,RunName_ExAmpPrep!$H$3,IF(D99&lt;=24,RunName_ExAmpPrep!$H$4,IF(D99&lt;=32,RunName_ExAmpPrep!$H$5,IF(D99&lt;=40,RunName_ExAmpPrep!$H$6,IF(D99&lt;=48,RunName_ExAmpPrep!$H$7,IF(D99&lt;=56,RunName_ExAmpPrep!$H$8,IF(D99&lt;=64,RunName_ExAmpPrep!$H$9,""))))))))</f>
        <v/>
      </c>
      <c r="H99" s="577" t="str">
        <f t="array" aca="1" ref="H9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00" spans="1:8" x14ac:dyDescent="0.65">
      <c r="A100" s="554" t="str">
        <f t="array" aca="1" ref="A10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00" s="555" t="str">
        <f t="array" aca="1" ref="B10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00" s="555" t="str">
        <f ca="1">IF((ROW()-1)&lt;=COUNTIF(ListAndConversion!$CJ$4:$CQ$387,"&lt;&gt;-"),"Strips1","")</f>
        <v/>
      </c>
      <c r="D100" s="555" t="str">
        <f t="array" aca="1" ref="D10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00" s="555" t="str">
        <f t="array" aca="1" ref="E10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00" s="555" t="str">
        <f t="shared" ca="1" si="1"/>
        <v/>
      </c>
      <c r="G100" s="555" t="str">
        <f ca="1">IF(D100&lt;=8,RunName_ExAmpPrep!$H$2,IF(D100&lt;=16,RunName_ExAmpPrep!$H$3,IF(D100&lt;=24,RunName_ExAmpPrep!$H$4,IF(D100&lt;=32,RunName_ExAmpPrep!$H$5,IF(D100&lt;=40,RunName_ExAmpPrep!$H$6,IF(D100&lt;=48,RunName_ExAmpPrep!$H$7,IF(D100&lt;=56,RunName_ExAmpPrep!$H$8,IF(D100&lt;=64,RunName_ExAmpPrep!$H$9,""))))))))</f>
        <v/>
      </c>
      <c r="H100" s="577" t="str">
        <f t="array" aca="1" ref="H10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01" spans="1:8" x14ac:dyDescent="0.65">
      <c r="A101" s="554" t="str">
        <f t="array" aca="1" ref="A10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01" s="555" t="str">
        <f t="array" aca="1" ref="B10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01" s="555" t="str">
        <f ca="1">IF((ROW()-1)&lt;=COUNTIF(ListAndConversion!$CJ$4:$CQ$387,"&lt;&gt;-"),"Strips1","")</f>
        <v/>
      </c>
      <c r="D101" s="555" t="str">
        <f t="array" aca="1" ref="D10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01" s="555" t="str">
        <f t="array" aca="1" ref="E10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01" s="555" t="str">
        <f t="shared" ca="1" si="1"/>
        <v/>
      </c>
      <c r="G101" s="555" t="str">
        <f ca="1">IF(D101&lt;=8,RunName_ExAmpPrep!$H$2,IF(D101&lt;=16,RunName_ExAmpPrep!$H$3,IF(D101&lt;=24,RunName_ExAmpPrep!$H$4,IF(D101&lt;=32,RunName_ExAmpPrep!$H$5,IF(D101&lt;=40,RunName_ExAmpPrep!$H$6,IF(D101&lt;=48,RunName_ExAmpPrep!$H$7,IF(D101&lt;=56,RunName_ExAmpPrep!$H$8,IF(D101&lt;=64,RunName_ExAmpPrep!$H$9,""))))))))</f>
        <v/>
      </c>
      <c r="H101" s="577" t="str">
        <f t="array" aca="1" ref="H10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02" spans="1:8" x14ac:dyDescent="0.65">
      <c r="A102" s="554" t="str">
        <f t="array" aca="1" ref="A10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02" s="555" t="str">
        <f t="array" aca="1" ref="B10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02" s="555" t="str">
        <f ca="1">IF((ROW()-1)&lt;=COUNTIF(ListAndConversion!$CJ$4:$CQ$387,"&lt;&gt;-"),"Strips1","")</f>
        <v/>
      </c>
      <c r="D102" s="555" t="str">
        <f t="array" aca="1" ref="D10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02" s="555" t="str">
        <f t="array" aca="1" ref="E10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02" s="555" t="str">
        <f t="shared" ca="1" si="1"/>
        <v/>
      </c>
      <c r="G102" s="555" t="str">
        <f ca="1">IF(D102&lt;=8,RunName_ExAmpPrep!$H$2,IF(D102&lt;=16,RunName_ExAmpPrep!$H$3,IF(D102&lt;=24,RunName_ExAmpPrep!$H$4,IF(D102&lt;=32,RunName_ExAmpPrep!$H$5,IF(D102&lt;=40,RunName_ExAmpPrep!$H$6,IF(D102&lt;=48,RunName_ExAmpPrep!$H$7,IF(D102&lt;=56,RunName_ExAmpPrep!$H$8,IF(D102&lt;=64,RunName_ExAmpPrep!$H$9,""))))))))</f>
        <v/>
      </c>
      <c r="H102" s="577" t="str">
        <f t="array" aca="1" ref="H10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03" spans="1:8" x14ac:dyDescent="0.65">
      <c r="A103" s="554" t="str">
        <f t="array" aca="1" ref="A10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03" s="555" t="str">
        <f t="array" aca="1" ref="B10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03" s="555" t="str">
        <f ca="1">IF((ROW()-1)&lt;=COUNTIF(ListAndConversion!$CJ$4:$CQ$387,"&lt;&gt;-"),"Strips1","")</f>
        <v/>
      </c>
      <c r="D103" s="555" t="str">
        <f t="array" aca="1" ref="D10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03" s="555" t="str">
        <f t="array" aca="1" ref="E10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03" s="555" t="str">
        <f t="shared" ca="1" si="1"/>
        <v/>
      </c>
      <c r="G103" s="555" t="str">
        <f ca="1">IF(D103&lt;=8,RunName_ExAmpPrep!$H$2,IF(D103&lt;=16,RunName_ExAmpPrep!$H$3,IF(D103&lt;=24,RunName_ExAmpPrep!$H$4,IF(D103&lt;=32,RunName_ExAmpPrep!$H$5,IF(D103&lt;=40,RunName_ExAmpPrep!$H$6,IF(D103&lt;=48,RunName_ExAmpPrep!$H$7,IF(D103&lt;=56,RunName_ExAmpPrep!$H$8,IF(D103&lt;=64,RunName_ExAmpPrep!$H$9,""))))))))</f>
        <v/>
      </c>
      <c r="H103" s="577" t="str">
        <f t="array" aca="1" ref="H10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04" spans="1:8" x14ac:dyDescent="0.65">
      <c r="A104" s="554" t="str">
        <f t="array" aca="1" ref="A10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04" s="555" t="str">
        <f t="array" aca="1" ref="B10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04" s="555" t="str">
        <f ca="1">IF((ROW()-1)&lt;=COUNTIF(ListAndConversion!$CJ$4:$CQ$387,"&lt;&gt;-"),"Strips1","")</f>
        <v/>
      </c>
      <c r="D104" s="555" t="str">
        <f t="array" aca="1" ref="D10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04" s="555" t="str">
        <f t="array" aca="1" ref="E10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04" s="555" t="str">
        <f t="shared" ca="1" si="1"/>
        <v/>
      </c>
      <c r="G104" s="555" t="str">
        <f ca="1">IF(D104&lt;=8,RunName_ExAmpPrep!$H$2,IF(D104&lt;=16,RunName_ExAmpPrep!$H$3,IF(D104&lt;=24,RunName_ExAmpPrep!$H$4,IF(D104&lt;=32,RunName_ExAmpPrep!$H$5,IF(D104&lt;=40,RunName_ExAmpPrep!$H$6,IF(D104&lt;=48,RunName_ExAmpPrep!$H$7,IF(D104&lt;=56,RunName_ExAmpPrep!$H$8,IF(D104&lt;=64,RunName_ExAmpPrep!$H$9,""))))))))</f>
        <v/>
      </c>
      <c r="H104" s="577" t="str">
        <f t="array" aca="1" ref="H10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05" spans="1:8" x14ac:dyDescent="0.65">
      <c r="A105" s="554" t="str">
        <f t="array" aca="1" ref="A10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05" s="555" t="str">
        <f t="array" aca="1" ref="B10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05" s="555" t="str">
        <f ca="1">IF((ROW()-1)&lt;=COUNTIF(ListAndConversion!$CJ$4:$CQ$387,"&lt;&gt;-"),"Strips1","")</f>
        <v/>
      </c>
      <c r="D105" s="555" t="str">
        <f t="array" aca="1" ref="D10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05" s="555" t="str">
        <f t="array" aca="1" ref="E10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05" s="555" t="str">
        <f t="shared" ca="1" si="1"/>
        <v/>
      </c>
      <c r="G105" s="555" t="str">
        <f ca="1">IF(D105&lt;=8,RunName_ExAmpPrep!$H$2,IF(D105&lt;=16,RunName_ExAmpPrep!$H$3,IF(D105&lt;=24,RunName_ExAmpPrep!$H$4,IF(D105&lt;=32,RunName_ExAmpPrep!$H$5,IF(D105&lt;=40,RunName_ExAmpPrep!$H$6,IF(D105&lt;=48,RunName_ExAmpPrep!$H$7,IF(D105&lt;=56,RunName_ExAmpPrep!$H$8,IF(D105&lt;=64,RunName_ExAmpPrep!$H$9,""))))))))</f>
        <v/>
      </c>
      <c r="H105" s="577" t="str">
        <f t="array" aca="1" ref="H10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06" spans="1:8" x14ac:dyDescent="0.65">
      <c r="A106" s="554" t="str">
        <f t="array" aca="1" ref="A10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06" s="555" t="str">
        <f t="array" aca="1" ref="B10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06" s="555" t="str">
        <f ca="1">IF((ROW()-1)&lt;=COUNTIF(ListAndConversion!$CJ$4:$CQ$387,"&lt;&gt;-"),"Strips1","")</f>
        <v/>
      </c>
      <c r="D106" s="555" t="str">
        <f t="array" aca="1" ref="D10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06" s="555" t="str">
        <f t="array" aca="1" ref="E10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06" s="555" t="str">
        <f t="shared" ca="1" si="1"/>
        <v/>
      </c>
      <c r="G106" s="555" t="str">
        <f ca="1">IF(D106&lt;=8,RunName_ExAmpPrep!$H$2,IF(D106&lt;=16,RunName_ExAmpPrep!$H$3,IF(D106&lt;=24,RunName_ExAmpPrep!$H$4,IF(D106&lt;=32,RunName_ExAmpPrep!$H$5,IF(D106&lt;=40,RunName_ExAmpPrep!$H$6,IF(D106&lt;=48,RunName_ExAmpPrep!$H$7,IF(D106&lt;=56,RunName_ExAmpPrep!$H$8,IF(D106&lt;=64,RunName_ExAmpPrep!$H$9,""))))))))</f>
        <v/>
      </c>
      <c r="H106" s="577" t="str">
        <f t="array" aca="1" ref="H10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07" spans="1:8" x14ac:dyDescent="0.65">
      <c r="A107" s="554" t="str">
        <f t="array" aca="1" ref="A10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07" s="555" t="str">
        <f t="array" aca="1" ref="B10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07" s="555" t="str">
        <f ca="1">IF((ROW()-1)&lt;=COUNTIF(ListAndConversion!$CJ$4:$CQ$387,"&lt;&gt;-"),"Strips1","")</f>
        <v/>
      </c>
      <c r="D107" s="555" t="str">
        <f t="array" aca="1" ref="D10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07" s="555" t="str">
        <f t="array" aca="1" ref="E10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07" s="555" t="str">
        <f t="shared" ca="1" si="1"/>
        <v/>
      </c>
      <c r="G107" s="555" t="str">
        <f ca="1">IF(D107&lt;=8,RunName_ExAmpPrep!$H$2,IF(D107&lt;=16,RunName_ExAmpPrep!$H$3,IF(D107&lt;=24,RunName_ExAmpPrep!$H$4,IF(D107&lt;=32,RunName_ExAmpPrep!$H$5,IF(D107&lt;=40,RunName_ExAmpPrep!$H$6,IF(D107&lt;=48,RunName_ExAmpPrep!$H$7,IF(D107&lt;=56,RunName_ExAmpPrep!$H$8,IF(D107&lt;=64,RunName_ExAmpPrep!$H$9,""))))))))</f>
        <v/>
      </c>
      <c r="H107" s="577" t="str">
        <f t="array" aca="1" ref="H10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08" spans="1:8" x14ac:dyDescent="0.65">
      <c r="A108" s="554" t="str">
        <f t="array" aca="1" ref="A10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08" s="555" t="str">
        <f t="array" aca="1" ref="B10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08" s="555" t="str">
        <f ca="1">IF((ROW()-1)&lt;=COUNTIF(ListAndConversion!$CJ$4:$CQ$387,"&lt;&gt;-"),"Strips1","")</f>
        <v/>
      </c>
      <c r="D108" s="555" t="str">
        <f t="array" aca="1" ref="D10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08" s="555" t="str">
        <f t="array" aca="1" ref="E10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08" s="555" t="str">
        <f t="shared" ca="1" si="1"/>
        <v/>
      </c>
      <c r="G108" s="555" t="str">
        <f ca="1">IF(D108&lt;=8,RunName_ExAmpPrep!$H$2,IF(D108&lt;=16,RunName_ExAmpPrep!$H$3,IF(D108&lt;=24,RunName_ExAmpPrep!$H$4,IF(D108&lt;=32,RunName_ExAmpPrep!$H$5,IF(D108&lt;=40,RunName_ExAmpPrep!$H$6,IF(D108&lt;=48,RunName_ExAmpPrep!$H$7,IF(D108&lt;=56,RunName_ExAmpPrep!$H$8,IF(D108&lt;=64,RunName_ExAmpPrep!$H$9,""))))))))</f>
        <v/>
      </c>
      <c r="H108" s="577" t="str">
        <f t="array" aca="1" ref="H10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09" spans="1:8" x14ac:dyDescent="0.65">
      <c r="A109" s="554" t="str">
        <f t="array" aca="1" ref="A10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09" s="555" t="str">
        <f t="array" aca="1" ref="B10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09" s="555" t="str">
        <f ca="1">IF((ROW()-1)&lt;=COUNTIF(ListAndConversion!$CJ$4:$CQ$387,"&lt;&gt;-"),"Strips1","")</f>
        <v/>
      </c>
      <c r="D109" s="555" t="str">
        <f t="array" aca="1" ref="D10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09" s="555" t="str">
        <f t="array" aca="1" ref="E10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09" s="555" t="str">
        <f t="shared" ca="1" si="1"/>
        <v/>
      </c>
      <c r="G109" s="555" t="str">
        <f ca="1">IF(D109&lt;=8,RunName_ExAmpPrep!$H$2,IF(D109&lt;=16,RunName_ExAmpPrep!$H$3,IF(D109&lt;=24,RunName_ExAmpPrep!$H$4,IF(D109&lt;=32,RunName_ExAmpPrep!$H$5,IF(D109&lt;=40,RunName_ExAmpPrep!$H$6,IF(D109&lt;=48,RunName_ExAmpPrep!$H$7,IF(D109&lt;=56,RunName_ExAmpPrep!$H$8,IF(D109&lt;=64,RunName_ExAmpPrep!$H$9,""))))))))</f>
        <v/>
      </c>
      <c r="H109" s="577" t="str">
        <f t="array" aca="1" ref="H10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10" spans="1:8" x14ac:dyDescent="0.65">
      <c r="A110" s="554" t="str">
        <f t="array" aca="1" ref="A11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10" s="555" t="str">
        <f t="array" aca="1" ref="B11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10" s="555" t="str">
        <f ca="1">IF((ROW()-1)&lt;=COUNTIF(ListAndConversion!$CJ$4:$CQ$387,"&lt;&gt;-"),"Strips1","")</f>
        <v/>
      </c>
      <c r="D110" s="555" t="str">
        <f t="array" aca="1" ref="D11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10" s="555" t="str">
        <f t="array" aca="1" ref="E11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10" s="555" t="str">
        <f t="shared" ca="1" si="1"/>
        <v/>
      </c>
      <c r="G110" s="555" t="str">
        <f ca="1">IF(D110&lt;=8,RunName_ExAmpPrep!$H$2,IF(D110&lt;=16,RunName_ExAmpPrep!$H$3,IF(D110&lt;=24,RunName_ExAmpPrep!$H$4,IF(D110&lt;=32,RunName_ExAmpPrep!$H$5,IF(D110&lt;=40,RunName_ExAmpPrep!$H$6,IF(D110&lt;=48,RunName_ExAmpPrep!$H$7,IF(D110&lt;=56,RunName_ExAmpPrep!$H$8,IF(D110&lt;=64,RunName_ExAmpPrep!$H$9,""))))))))</f>
        <v/>
      </c>
      <c r="H110" s="577" t="str">
        <f t="array" aca="1" ref="H11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11" spans="1:8" x14ac:dyDescent="0.65">
      <c r="A111" s="554" t="str">
        <f t="array" aca="1" ref="A11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11" s="555" t="str">
        <f t="array" aca="1" ref="B11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11" s="555" t="str">
        <f ca="1">IF((ROW()-1)&lt;=COUNTIF(ListAndConversion!$CJ$4:$CQ$387,"&lt;&gt;-"),"Strips1","")</f>
        <v/>
      </c>
      <c r="D111" s="555" t="str">
        <f t="array" aca="1" ref="D11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11" s="555" t="str">
        <f t="array" aca="1" ref="E11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11" s="555" t="str">
        <f t="shared" ca="1" si="1"/>
        <v/>
      </c>
      <c r="G111" s="555" t="str">
        <f ca="1">IF(D111&lt;=8,RunName_ExAmpPrep!$H$2,IF(D111&lt;=16,RunName_ExAmpPrep!$H$3,IF(D111&lt;=24,RunName_ExAmpPrep!$H$4,IF(D111&lt;=32,RunName_ExAmpPrep!$H$5,IF(D111&lt;=40,RunName_ExAmpPrep!$H$6,IF(D111&lt;=48,RunName_ExAmpPrep!$H$7,IF(D111&lt;=56,RunName_ExAmpPrep!$H$8,IF(D111&lt;=64,RunName_ExAmpPrep!$H$9,""))))))))</f>
        <v/>
      </c>
      <c r="H111" s="577" t="str">
        <f t="array" aca="1" ref="H11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12" spans="1:8" x14ac:dyDescent="0.65">
      <c r="A112" s="554" t="str">
        <f t="array" aca="1" ref="A11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12" s="555" t="str">
        <f t="array" aca="1" ref="B11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12" s="555" t="str">
        <f ca="1">IF((ROW()-1)&lt;=COUNTIF(ListAndConversion!$CJ$4:$CQ$387,"&lt;&gt;-"),"Strips1","")</f>
        <v/>
      </c>
      <c r="D112" s="555" t="str">
        <f t="array" aca="1" ref="D11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12" s="555" t="str">
        <f t="array" aca="1" ref="E11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12" s="555" t="str">
        <f t="shared" ca="1" si="1"/>
        <v/>
      </c>
      <c r="G112" s="555" t="str">
        <f ca="1">IF(D112&lt;=8,RunName_ExAmpPrep!$H$2,IF(D112&lt;=16,RunName_ExAmpPrep!$H$3,IF(D112&lt;=24,RunName_ExAmpPrep!$H$4,IF(D112&lt;=32,RunName_ExAmpPrep!$H$5,IF(D112&lt;=40,RunName_ExAmpPrep!$H$6,IF(D112&lt;=48,RunName_ExAmpPrep!$H$7,IF(D112&lt;=56,RunName_ExAmpPrep!$H$8,IF(D112&lt;=64,RunName_ExAmpPrep!$H$9,""))))))))</f>
        <v/>
      </c>
      <c r="H112" s="577" t="str">
        <f t="array" aca="1" ref="H11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13" spans="1:8" x14ac:dyDescent="0.65">
      <c r="A113" s="554" t="str">
        <f t="array" aca="1" ref="A11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13" s="555" t="str">
        <f t="array" aca="1" ref="B11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13" s="555" t="str">
        <f ca="1">IF((ROW()-1)&lt;=COUNTIF(ListAndConversion!$CJ$4:$CQ$387,"&lt;&gt;-"),"Strips1","")</f>
        <v/>
      </c>
      <c r="D113" s="555" t="str">
        <f t="array" aca="1" ref="D11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13" s="555" t="str">
        <f t="array" aca="1" ref="E11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13" s="555" t="str">
        <f t="shared" ca="1" si="1"/>
        <v/>
      </c>
      <c r="G113" s="555" t="str">
        <f ca="1">IF(D113&lt;=8,RunName_ExAmpPrep!$H$2,IF(D113&lt;=16,RunName_ExAmpPrep!$H$3,IF(D113&lt;=24,RunName_ExAmpPrep!$H$4,IF(D113&lt;=32,RunName_ExAmpPrep!$H$5,IF(D113&lt;=40,RunName_ExAmpPrep!$H$6,IF(D113&lt;=48,RunName_ExAmpPrep!$H$7,IF(D113&lt;=56,RunName_ExAmpPrep!$H$8,IF(D113&lt;=64,RunName_ExAmpPrep!$H$9,""))))))))</f>
        <v/>
      </c>
      <c r="H113" s="577" t="str">
        <f t="array" aca="1" ref="H11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14" spans="1:8" x14ac:dyDescent="0.65">
      <c r="A114" s="554" t="str">
        <f t="array" aca="1" ref="A11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14" s="555" t="str">
        <f t="array" aca="1" ref="B11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14" s="555" t="str">
        <f ca="1">IF((ROW()-1)&lt;=COUNTIF(ListAndConversion!$CJ$4:$CQ$387,"&lt;&gt;-"),"Strips1","")</f>
        <v/>
      </c>
      <c r="D114" s="555" t="str">
        <f t="array" aca="1" ref="D11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14" s="555" t="str">
        <f t="array" aca="1" ref="E11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14" s="555" t="str">
        <f t="shared" ca="1" si="1"/>
        <v/>
      </c>
      <c r="G114" s="555" t="str">
        <f ca="1">IF(D114&lt;=8,RunName_ExAmpPrep!$H$2,IF(D114&lt;=16,RunName_ExAmpPrep!$H$3,IF(D114&lt;=24,RunName_ExAmpPrep!$H$4,IF(D114&lt;=32,RunName_ExAmpPrep!$H$5,IF(D114&lt;=40,RunName_ExAmpPrep!$H$6,IF(D114&lt;=48,RunName_ExAmpPrep!$H$7,IF(D114&lt;=56,RunName_ExAmpPrep!$H$8,IF(D114&lt;=64,RunName_ExAmpPrep!$H$9,""))))))))</f>
        <v/>
      </c>
      <c r="H114" s="577" t="str">
        <f t="array" aca="1" ref="H11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15" spans="1:8" x14ac:dyDescent="0.65">
      <c r="A115" s="554" t="str">
        <f t="array" aca="1" ref="A11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15" s="555" t="str">
        <f t="array" aca="1" ref="B11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15" s="555" t="str">
        <f ca="1">IF((ROW()-1)&lt;=COUNTIF(ListAndConversion!$CJ$4:$CQ$387,"&lt;&gt;-"),"Strips1","")</f>
        <v/>
      </c>
      <c r="D115" s="555" t="str">
        <f t="array" aca="1" ref="D11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15" s="555" t="str">
        <f t="array" aca="1" ref="E11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15" s="555" t="str">
        <f t="shared" ca="1" si="1"/>
        <v/>
      </c>
      <c r="G115" s="555" t="str">
        <f ca="1">IF(D115&lt;=8,RunName_ExAmpPrep!$H$2,IF(D115&lt;=16,RunName_ExAmpPrep!$H$3,IF(D115&lt;=24,RunName_ExAmpPrep!$H$4,IF(D115&lt;=32,RunName_ExAmpPrep!$H$5,IF(D115&lt;=40,RunName_ExAmpPrep!$H$6,IF(D115&lt;=48,RunName_ExAmpPrep!$H$7,IF(D115&lt;=56,RunName_ExAmpPrep!$H$8,IF(D115&lt;=64,RunName_ExAmpPrep!$H$9,""))))))))</f>
        <v/>
      </c>
      <c r="H115" s="577" t="str">
        <f t="array" aca="1" ref="H11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16" spans="1:8" x14ac:dyDescent="0.65">
      <c r="A116" s="554" t="str">
        <f t="array" aca="1" ref="A11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16" s="555" t="str">
        <f t="array" aca="1" ref="B11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16" s="555" t="str">
        <f ca="1">IF((ROW()-1)&lt;=COUNTIF(ListAndConversion!$CJ$4:$CQ$387,"&lt;&gt;-"),"Strips1","")</f>
        <v/>
      </c>
      <c r="D116" s="555" t="str">
        <f t="array" aca="1" ref="D11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16" s="555" t="str">
        <f t="array" aca="1" ref="E11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16" s="555" t="str">
        <f t="shared" ca="1" si="1"/>
        <v/>
      </c>
      <c r="G116" s="555" t="str">
        <f ca="1">IF(D116&lt;=8,RunName_ExAmpPrep!$H$2,IF(D116&lt;=16,RunName_ExAmpPrep!$H$3,IF(D116&lt;=24,RunName_ExAmpPrep!$H$4,IF(D116&lt;=32,RunName_ExAmpPrep!$H$5,IF(D116&lt;=40,RunName_ExAmpPrep!$H$6,IF(D116&lt;=48,RunName_ExAmpPrep!$H$7,IF(D116&lt;=56,RunName_ExAmpPrep!$H$8,IF(D116&lt;=64,RunName_ExAmpPrep!$H$9,""))))))))</f>
        <v/>
      </c>
      <c r="H116" s="577" t="str">
        <f t="array" aca="1" ref="H11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17" spans="1:8" x14ac:dyDescent="0.65">
      <c r="A117" s="554" t="str">
        <f t="array" aca="1" ref="A11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17" s="555" t="str">
        <f t="array" aca="1" ref="B11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17" s="555" t="str">
        <f ca="1">IF((ROW()-1)&lt;=COUNTIF(ListAndConversion!$CJ$4:$CQ$387,"&lt;&gt;-"),"Strips1","")</f>
        <v/>
      </c>
      <c r="D117" s="555" t="str">
        <f t="array" aca="1" ref="D11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17" s="555" t="str">
        <f t="array" aca="1" ref="E11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17" s="555" t="str">
        <f t="shared" ca="1" si="1"/>
        <v/>
      </c>
      <c r="G117" s="555" t="str">
        <f ca="1">IF(D117&lt;=8,RunName_ExAmpPrep!$H$2,IF(D117&lt;=16,RunName_ExAmpPrep!$H$3,IF(D117&lt;=24,RunName_ExAmpPrep!$H$4,IF(D117&lt;=32,RunName_ExAmpPrep!$H$5,IF(D117&lt;=40,RunName_ExAmpPrep!$H$6,IF(D117&lt;=48,RunName_ExAmpPrep!$H$7,IF(D117&lt;=56,RunName_ExAmpPrep!$H$8,IF(D117&lt;=64,RunName_ExAmpPrep!$H$9,""))))))))</f>
        <v/>
      </c>
      <c r="H117" s="577" t="str">
        <f t="array" aca="1" ref="H11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18" spans="1:8" x14ac:dyDescent="0.65">
      <c r="A118" s="554" t="str">
        <f t="array" aca="1" ref="A11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18" s="555" t="str">
        <f t="array" aca="1" ref="B11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18" s="555" t="str">
        <f ca="1">IF((ROW()-1)&lt;=COUNTIF(ListAndConversion!$CJ$4:$CQ$387,"&lt;&gt;-"),"Strips1","")</f>
        <v/>
      </c>
      <c r="D118" s="555" t="str">
        <f t="array" aca="1" ref="D11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18" s="555" t="str">
        <f t="array" aca="1" ref="E11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18" s="555" t="str">
        <f t="shared" ca="1" si="1"/>
        <v/>
      </c>
      <c r="G118" s="555" t="str">
        <f ca="1">IF(D118&lt;=8,RunName_ExAmpPrep!$H$2,IF(D118&lt;=16,RunName_ExAmpPrep!$H$3,IF(D118&lt;=24,RunName_ExAmpPrep!$H$4,IF(D118&lt;=32,RunName_ExAmpPrep!$H$5,IF(D118&lt;=40,RunName_ExAmpPrep!$H$6,IF(D118&lt;=48,RunName_ExAmpPrep!$H$7,IF(D118&lt;=56,RunName_ExAmpPrep!$H$8,IF(D118&lt;=64,RunName_ExAmpPrep!$H$9,""))))))))</f>
        <v/>
      </c>
      <c r="H118" s="577" t="str">
        <f t="array" aca="1" ref="H11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19" spans="1:8" x14ac:dyDescent="0.65">
      <c r="A119" s="554" t="str">
        <f t="array" aca="1" ref="A11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19" s="555" t="str">
        <f t="array" aca="1" ref="B11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19" s="555" t="str">
        <f ca="1">IF((ROW()-1)&lt;=COUNTIF(ListAndConversion!$CJ$4:$CQ$387,"&lt;&gt;-"),"Strips1","")</f>
        <v/>
      </c>
      <c r="D119" s="555" t="str">
        <f t="array" aca="1" ref="D11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19" s="555" t="str">
        <f t="array" aca="1" ref="E11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19" s="555" t="str">
        <f t="shared" ca="1" si="1"/>
        <v/>
      </c>
      <c r="G119" s="555" t="str">
        <f ca="1">IF(D119&lt;=8,RunName_ExAmpPrep!$H$2,IF(D119&lt;=16,RunName_ExAmpPrep!$H$3,IF(D119&lt;=24,RunName_ExAmpPrep!$H$4,IF(D119&lt;=32,RunName_ExAmpPrep!$H$5,IF(D119&lt;=40,RunName_ExAmpPrep!$H$6,IF(D119&lt;=48,RunName_ExAmpPrep!$H$7,IF(D119&lt;=56,RunName_ExAmpPrep!$H$8,IF(D119&lt;=64,RunName_ExAmpPrep!$H$9,""))))))))</f>
        <v/>
      </c>
      <c r="H119" s="577" t="str">
        <f t="array" aca="1" ref="H11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20" spans="1:8" x14ac:dyDescent="0.65">
      <c r="A120" s="554" t="str">
        <f t="array" aca="1" ref="A12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20" s="555" t="str">
        <f t="array" aca="1" ref="B12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20" s="555" t="str">
        <f ca="1">IF((ROW()-1)&lt;=COUNTIF(ListAndConversion!$CJ$4:$CQ$387,"&lt;&gt;-"),"Strips1","")</f>
        <v/>
      </c>
      <c r="D120" s="555" t="str">
        <f t="array" aca="1" ref="D12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20" s="555" t="str">
        <f t="array" aca="1" ref="E12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20" s="555" t="str">
        <f t="shared" ca="1" si="1"/>
        <v/>
      </c>
      <c r="G120" s="555" t="str">
        <f ca="1">IF(D120&lt;=8,RunName_ExAmpPrep!$H$2,IF(D120&lt;=16,RunName_ExAmpPrep!$H$3,IF(D120&lt;=24,RunName_ExAmpPrep!$H$4,IF(D120&lt;=32,RunName_ExAmpPrep!$H$5,IF(D120&lt;=40,RunName_ExAmpPrep!$H$6,IF(D120&lt;=48,RunName_ExAmpPrep!$H$7,IF(D120&lt;=56,RunName_ExAmpPrep!$H$8,IF(D120&lt;=64,RunName_ExAmpPrep!$H$9,""))))))))</f>
        <v/>
      </c>
      <c r="H120" s="577" t="str">
        <f t="array" aca="1" ref="H12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21" spans="1:8" x14ac:dyDescent="0.65">
      <c r="A121" s="554" t="str">
        <f t="array" aca="1" ref="A12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21" s="555" t="str">
        <f t="array" aca="1" ref="B12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21" s="555" t="str">
        <f ca="1">IF((ROW()-1)&lt;=COUNTIF(ListAndConversion!$CJ$4:$CQ$387,"&lt;&gt;-"),"Strips1","")</f>
        <v/>
      </c>
      <c r="D121" s="555" t="str">
        <f t="array" aca="1" ref="D12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21" s="555" t="str">
        <f t="array" aca="1" ref="E12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21" s="555" t="str">
        <f t="shared" ca="1" si="1"/>
        <v/>
      </c>
      <c r="G121" s="555" t="str">
        <f ca="1">IF(D121&lt;=8,RunName_ExAmpPrep!$H$2,IF(D121&lt;=16,RunName_ExAmpPrep!$H$3,IF(D121&lt;=24,RunName_ExAmpPrep!$H$4,IF(D121&lt;=32,RunName_ExAmpPrep!$H$5,IF(D121&lt;=40,RunName_ExAmpPrep!$H$6,IF(D121&lt;=48,RunName_ExAmpPrep!$H$7,IF(D121&lt;=56,RunName_ExAmpPrep!$H$8,IF(D121&lt;=64,RunName_ExAmpPrep!$H$9,""))))))))</f>
        <v/>
      </c>
      <c r="H121" s="577" t="str">
        <f t="array" aca="1" ref="H12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22" spans="1:8" x14ac:dyDescent="0.65">
      <c r="A122" s="554" t="str">
        <f t="array" aca="1" ref="A12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22" s="555" t="str">
        <f t="array" aca="1" ref="B12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22" s="555" t="str">
        <f ca="1">IF((ROW()-1)&lt;=COUNTIF(ListAndConversion!$CJ$4:$CQ$387,"&lt;&gt;-"),"Strips1","")</f>
        <v/>
      </c>
      <c r="D122" s="555" t="str">
        <f t="array" aca="1" ref="D12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22" s="555" t="str">
        <f t="array" aca="1" ref="E12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22" s="555" t="str">
        <f t="shared" ca="1" si="1"/>
        <v/>
      </c>
      <c r="G122" s="555" t="str">
        <f ca="1">IF(D122&lt;=8,RunName_ExAmpPrep!$H$2,IF(D122&lt;=16,RunName_ExAmpPrep!$H$3,IF(D122&lt;=24,RunName_ExAmpPrep!$H$4,IF(D122&lt;=32,RunName_ExAmpPrep!$H$5,IF(D122&lt;=40,RunName_ExAmpPrep!$H$6,IF(D122&lt;=48,RunName_ExAmpPrep!$H$7,IF(D122&lt;=56,RunName_ExAmpPrep!$H$8,IF(D122&lt;=64,RunName_ExAmpPrep!$H$9,""))))))))</f>
        <v/>
      </c>
      <c r="H122" s="577" t="str">
        <f t="array" aca="1" ref="H12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23" spans="1:8" x14ac:dyDescent="0.65">
      <c r="A123" s="554" t="str">
        <f t="array" aca="1" ref="A12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23" s="555" t="str">
        <f t="array" aca="1" ref="B12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23" s="555" t="str">
        <f ca="1">IF((ROW()-1)&lt;=COUNTIF(ListAndConversion!$CJ$4:$CQ$387,"&lt;&gt;-"),"Strips1","")</f>
        <v/>
      </c>
      <c r="D123" s="555" t="str">
        <f t="array" aca="1" ref="D12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23" s="555" t="str">
        <f t="array" aca="1" ref="E12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23" s="555" t="str">
        <f t="shared" ca="1" si="1"/>
        <v/>
      </c>
      <c r="G123" s="555" t="str">
        <f ca="1">IF(D123&lt;=8,RunName_ExAmpPrep!$H$2,IF(D123&lt;=16,RunName_ExAmpPrep!$H$3,IF(D123&lt;=24,RunName_ExAmpPrep!$H$4,IF(D123&lt;=32,RunName_ExAmpPrep!$H$5,IF(D123&lt;=40,RunName_ExAmpPrep!$H$6,IF(D123&lt;=48,RunName_ExAmpPrep!$H$7,IF(D123&lt;=56,RunName_ExAmpPrep!$H$8,IF(D123&lt;=64,RunName_ExAmpPrep!$H$9,""))))))))</f>
        <v/>
      </c>
      <c r="H123" s="577" t="str">
        <f t="array" aca="1" ref="H12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24" spans="1:8" x14ac:dyDescent="0.65">
      <c r="A124" s="554" t="str">
        <f t="array" aca="1" ref="A12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24" s="555" t="str">
        <f t="array" aca="1" ref="B12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24" s="555" t="str">
        <f ca="1">IF((ROW()-1)&lt;=COUNTIF(ListAndConversion!$CJ$4:$CQ$387,"&lt;&gt;-"),"Strips1","")</f>
        <v/>
      </c>
      <c r="D124" s="555" t="str">
        <f t="array" aca="1" ref="D12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24" s="555" t="str">
        <f t="array" aca="1" ref="E12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24" s="555" t="str">
        <f t="shared" ca="1" si="1"/>
        <v/>
      </c>
      <c r="G124" s="555" t="str">
        <f ca="1">IF(D124&lt;=8,RunName_ExAmpPrep!$H$2,IF(D124&lt;=16,RunName_ExAmpPrep!$H$3,IF(D124&lt;=24,RunName_ExAmpPrep!$H$4,IF(D124&lt;=32,RunName_ExAmpPrep!$H$5,IF(D124&lt;=40,RunName_ExAmpPrep!$H$6,IF(D124&lt;=48,RunName_ExAmpPrep!$H$7,IF(D124&lt;=56,RunName_ExAmpPrep!$H$8,IF(D124&lt;=64,RunName_ExAmpPrep!$H$9,""))))))))</f>
        <v/>
      </c>
      <c r="H124" s="577" t="str">
        <f t="array" aca="1" ref="H12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25" spans="1:8" x14ac:dyDescent="0.65">
      <c r="A125" s="554" t="str">
        <f t="array" aca="1" ref="A12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25" s="555" t="str">
        <f t="array" aca="1" ref="B12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25" s="555" t="str">
        <f ca="1">IF((ROW()-1)&lt;=COUNTIF(ListAndConversion!$CJ$4:$CQ$387,"&lt;&gt;-"),"Strips1","")</f>
        <v/>
      </c>
      <c r="D125" s="555" t="str">
        <f t="array" aca="1" ref="D12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25" s="555" t="str">
        <f t="array" aca="1" ref="E12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25" s="555" t="str">
        <f t="shared" ca="1" si="1"/>
        <v/>
      </c>
      <c r="G125" s="555" t="str">
        <f ca="1">IF(D125&lt;=8,RunName_ExAmpPrep!$H$2,IF(D125&lt;=16,RunName_ExAmpPrep!$H$3,IF(D125&lt;=24,RunName_ExAmpPrep!$H$4,IF(D125&lt;=32,RunName_ExAmpPrep!$H$5,IF(D125&lt;=40,RunName_ExAmpPrep!$H$6,IF(D125&lt;=48,RunName_ExAmpPrep!$H$7,IF(D125&lt;=56,RunName_ExAmpPrep!$H$8,IF(D125&lt;=64,RunName_ExAmpPrep!$H$9,""))))))))</f>
        <v/>
      </c>
      <c r="H125" s="577" t="str">
        <f t="array" aca="1" ref="H12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26" spans="1:8" x14ac:dyDescent="0.65">
      <c r="A126" s="554" t="str">
        <f t="array" aca="1" ref="A12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26" s="555" t="str">
        <f t="array" aca="1" ref="B12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26" s="555" t="str">
        <f ca="1">IF((ROW()-1)&lt;=COUNTIF(ListAndConversion!$CJ$4:$CQ$387,"&lt;&gt;-"),"Strips1","")</f>
        <v/>
      </c>
      <c r="D126" s="555" t="str">
        <f t="array" aca="1" ref="D12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26" s="555" t="str">
        <f t="array" aca="1" ref="E12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26" s="555" t="str">
        <f t="shared" ca="1" si="1"/>
        <v/>
      </c>
      <c r="G126" s="555" t="str">
        <f ca="1">IF(D126&lt;=8,RunName_ExAmpPrep!$H$2,IF(D126&lt;=16,RunName_ExAmpPrep!$H$3,IF(D126&lt;=24,RunName_ExAmpPrep!$H$4,IF(D126&lt;=32,RunName_ExAmpPrep!$H$5,IF(D126&lt;=40,RunName_ExAmpPrep!$H$6,IF(D126&lt;=48,RunName_ExAmpPrep!$H$7,IF(D126&lt;=56,RunName_ExAmpPrep!$H$8,IF(D126&lt;=64,RunName_ExAmpPrep!$H$9,""))))))))</f>
        <v/>
      </c>
      <c r="H126" s="577" t="str">
        <f t="array" aca="1" ref="H12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27" spans="1:8" x14ac:dyDescent="0.65">
      <c r="A127" s="554" t="str">
        <f t="array" aca="1" ref="A12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27" s="555" t="str">
        <f t="array" aca="1" ref="B12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27" s="555" t="str">
        <f ca="1">IF((ROW()-1)&lt;=COUNTIF(ListAndConversion!$CJ$4:$CQ$387,"&lt;&gt;-"),"Strips1","")</f>
        <v/>
      </c>
      <c r="D127" s="555" t="str">
        <f t="array" aca="1" ref="D12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27" s="555" t="str">
        <f t="array" aca="1" ref="E12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27" s="555" t="str">
        <f t="shared" ca="1" si="1"/>
        <v/>
      </c>
      <c r="G127" s="555" t="str">
        <f ca="1">IF(D127&lt;=8,RunName_ExAmpPrep!$H$2,IF(D127&lt;=16,RunName_ExAmpPrep!$H$3,IF(D127&lt;=24,RunName_ExAmpPrep!$H$4,IF(D127&lt;=32,RunName_ExAmpPrep!$H$5,IF(D127&lt;=40,RunName_ExAmpPrep!$H$6,IF(D127&lt;=48,RunName_ExAmpPrep!$H$7,IF(D127&lt;=56,RunName_ExAmpPrep!$H$8,IF(D127&lt;=64,RunName_ExAmpPrep!$H$9,""))))))))</f>
        <v/>
      </c>
      <c r="H127" s="577" t="str">
        <f t="array" aca="1" ref="H12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28" spans="1:8" x14ac:dyDescent="0.65">
      <c r="A128" s="554" t="str">
        <f t="array" aca="1" ref="A12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28" s="555" t="str">
        <f t="array" aca="1" ref="B12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28" s="555" t="str">
        <f ca="1">IF((ROW()-1)&lt;=COUNTIF(ListAndConversion!$CJ$4:$CQ$387,"&lt;&gt;-"),"Strips1","")</f>
        <v/>
      </c>
      <c r="D128" s="555" t="str">
        <f t="array" aca="1" ref="D12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28" s="555" t="str">
        <f t="array" aca="1" ref="E12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28" s="555" t="str">
        <f t="shared" ca="1" si="1"/>
        <v/>
      </c>
      <c r="G128" s="555" t="str">
        <f ca="1">IF(D128&lt;=8,RunName_ExAmpPrep!$H$2,IF(D128&lt;=16,RunName_ExAmpPrep!$H$3,IF(D128&lt;=24,RunName_ExAmpPrep!$H$4,IF(D128&lt;=32,RunName_ExAmpPrep!$H$5,IF(D128&lt;=40,RunName_ExAmpPrep!$H$6,IF(D128&lt;=48,RunName_ExAmpPrep!$H$7,IF(D128&lt;=56,RunName_ExAmpPrep!$H$8,IF(D128&lt;=64,RunName_ExAmpPrep!$H$9,""))))))))</f>
        <v/>
      </c>
      <c r="H128" s="577" t="str">
        <f t="array" aca="1" ref="H12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29" spans="1:8" x14ac:dyDescent="0.65">
      <c r="A129" s="554" t="str">
        <f t="array" aca="1" ref="A12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29" s="555" t="str">
        <f t="array" aca="1" ref="B12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29" s="555" t="str">
        <f ca="1">IF((ROW()-1)&lt;=COUNTIF(ListAndConversion!$CJ$4:$CQ$387,"&lt;&gt;-"),"Strips1","")</f>
        <v/>
      </c>
      <c r="D129" s="555" t="str">
        <f t="array" aca="1" ref="D12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29" s="555" t="str">
        <f t="array" aca="1" ref="E12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29" s="555" t="str">
        <f t="shared" ca="1" si="1"/>
        <v/>
      </c>
      <c r="G129" s="555" t="str">
        <f ca="1">IF(D129&lt;=8,RunName_ExAmpPrep!$H$2,IF(D129&lt;=16,RunName_ExAmpPrep!$H$3,IF(D129&lt;=24,RunName_ExAmpPrep!$H$4,IF(D129&lt;=32,RunName_ExAmpPrep!$H$5,IF(D129&lt;=40,RunName_ExAmpPrep!$H$6,IF(D129&lt;=48,RunName_ExAmpPrep!$H$7,IF(D129&lt;=56,RunName_ExAmpPrep!$H$8,IF(D129&lt;=64,RunName_ExAmpPrep!$H$9,""))))))))</f>
        <v/>
      </c>
      <c r="H129" s="577" t="str">
        <f t="array" aca="1" ref="H12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30" spans="1:8" x14ac:dyDescent="0.65">
      <c r="A130" s="554" t="str">
        <f t="array" aca="1" ref="A13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30" s="555" t="str">
        <f t="array" aca="1" ref="B13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30" s="555" t="str">
        <f ca="1">IF((ROW()-1)&lt;=COUNTIF(ListAndConversion!$CJ$4:$CQ$387,"&lt;&gt;-"),"Strips1","")</f>
        <v/>
      </c>
      <c r="D130" s="555" t="str">
        <f t="array" aca="1" ref="D13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30" s="555" t="str">
        <f t="array" aca="1" ref="E13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30" s="555" t="str">
        <f t="shared" ref="F130:F193" ca="1" si="2">IF(D130&lt;=32,"Microfuge1",IF(D130&lt;=64,"Microfuge2",""))</f>
        <v/>
      </c>
      <c r="G130" s="555" t="str">
        <f ca="1">IF(D130&lt;=8,RunName_ExAmpPrep!$H$2,IF(D130&lt;=16,RunName_ExAmpPrep!$H$3,IF(D130&lt;=24,RunName_ExAmpPrep!$H$4,IF(D130&lt;=32,RunName_ExAmpPrep!$H$5,IF(D130&lt;=40,RunName_ExAmpPrep!$H$6,IF(D130&lt;=48,RunName_ExAmpPrep!$H$7,IF(D130&lt;=56,RunName_ExAmpPrep!$H$8,IF(D130&lt;=64,RunName_ExAmpPrep!$H$9,""))))))))</f>
        <v/>
      </c>
      <c r="H130" s="577" t="str">
        <f t="array" aca="1" ref="H13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31" spans="1:8" x14ac:dyDescent="0.65">
      <c r="A131" s="554" t="str">
        <f t="array" aca="1" ref="A13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31" s="555" t="str">
        <f t="array" aca="1" ref="B13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31" s="555" t="str">
        <f ca="1">IF((ROW()-1)&lt;=COUNTIF(ListAndConversion!$CJ$4:$CQ$387,"&lt;&gt;-"),"Strips1","")</f>
        <v/>
      </c>
      <c r="D131" s="555" t="str">
        <f t="array" aca="1" ref="D13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31" s="555" t="str">
        <f t="array" aca="1" ref="E13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31" s="555" t="str">
        <f t="shared" ca="1" si="2"/>
        <v/>
      </c>
      <c r="G131" s="555" t="str">
        <f ca="1">IF(D131&lt;=8,RunName_ExAmpPrep!$H$2,IF(D131&lt;=16,RunName_ExAmpPrep!$H$3,IF(D131&lt;=24,RunName_ExAmpPrep!$H$4,IF(D131&lt;=32,RunName_ExAmpPrep!$H$5,IF(D131&lt;=40,RunName_ExAmpPrep!$H$6,IF(D131&lt;=48,RunName_ExAmpPrep!$H$7,IF(D131&lt;=56,RunName_ExAmpPrep!$H$8,IF(D131&lt;=64,RunName_ExAmpPrep!$H$9,""))))))))</f>
        <v/>
      </c>
      <c r="H131" s="577" t="str">
        <f t="array" aca="1" ref="H13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32" spans="1:8" x14ac:dyDescent="0.65">
      <c r="A132" s="554" t="str">
        <f t="array" aca="1" ref="A13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32" s="555" t="str">
        <f t="array" aca="1" ref="B13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32" s="555" t="str">
        <f ca="1">IF((ROW()-1)&lt;=COUNTIF(ListAndConversion!$CJ$4:$CQ$387,"&lt;&gt;-"),"Strips1","")</f>
        <v/>
      </c>
      <c r="D132" s="555" t="str">
        <f t="array" aca="1" ref="D13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32" s="555" t="str">
        <f t="array" aca="1" ref="E13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32" s="555" t="str">
        <f t="shared" ca="1" si="2"/>
        <v/>
      </c>
      <c r="G132" s="555" t="str">
        <f ca="1">IF(D132&lt;=8,RunName_ExAmpPrep!$H$2,IF(D132&lt;=16,RunName_ExAmpPrep!$H$3,IF(D132&lt;=24,RunName_ExAmpPrep!$H$4,IF(D132&lt;=32,RunName_ExAmpPrep!$H$5,IF(D132&lt;=40,RunName_ExAmpPrep!$H$6,IF(D132&lt;=48,RunName_ExAmpPrep!$H$7,IF(D132&lt;=56,RunName_ExAmpPrep!$H$8,IF(D132&lt;=64,RunName_ExAmpPrep!$H$9,""))))))))</f>
        <v/>
      </c>
      <c r="H132" s="577" t="str">
        <f t="array" aca="1" ref="H13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33" spans="1:8" x14ac:dyDescent="0.65">
      <c r="A133" s="554" t="str">
        <f t="array" aca="1" ref="A13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33" s="555" t="str">
        <f t="array" aca="1" ref="B13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33" s="555" t="str">
        <f ca="1">IF((ROW()-1)&lt;=COUNTIF(ListAndConversion!$CJ$4:$CQ$387,"&lt;&gt;-"),"Strips1","")</f>
        <v/>
      </c>
      <c r="D133" s="555" t="str">
        <f t="array" aca="1" ref="D13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33" s="555" t="str">
        <f t="array" aca="1" ref="E13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33" s="555" t="str">
        <f t="shared" ca="1" si="2"/>
        <v/>
      </c>
      <c r="G133" s="555" t="str">
        <f ca="1">IF(D133&lt;=8,RunName_ExAmpPrep!$H$2,IF(D133&lt;=16,RunName_ExAmpPrep!$H$3,IF(D133&lt;=24,RunName_ExAmpPrep!$H$4,IF(D133&lt;=32,RunName_ExAmpPrep!$H$5,IF(D133&lt;=40,RunName_ExAmpPrep!$H$6,IF(D133&lt;=48,RunName_ExAmpPrep!$H$7,IF(D133&lt;=56,RunName_ExAmpPrep!$H$8,IF(D133&lt;=64,RunName_ExAmpPrep!$H$9,""))))))))</f>
        <v/>
      </c>
      <c r="H133" s="577" t="str">
        <f t="array" aca="1" ref="H13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34" spans="1:8" x14ac:dyDescent="0.65">
      <c r="A134" s="554" t="str">
        <f t="array" aca="1" ref="A13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34" s="555" t="str">
        <f t="array" aca="1" ref="B13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34" s="555" t="str">
        <f ca="1">IF((ROW()-1)&lt;=COUNTIF(ListAndConversion!$CJ$4:$CQ$387,"&lt;&gt;-"),"Strips1","")</f>
        <v/>
      </c>
      <c r="D134" s="555" t="str">
        <f t="array" aca="1" ref="D13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34" s="555" t="str">
        <f t="array" aca="1" ref="E13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34" s="555" t="str">
        <f t="shared" ca="1" si="2"/>
        <v/>
      </c>
      <c r="G134" s="555" t="str">
        <f ca="1">IF(D134&lt;=8,RunName_ExAmpPrep!$H$2,IF(D134&lt;=16,RunName_ExAmpPrep!$H$3,IF(D134&lt;=24,RunName_ExAmpPrep!$H$4,IF(D134&lt;=32,RunName_ExAmpPrep!$H$5,IF(D134&lt;=40,RunName_ExAmpPrep!$H$6,IF(D134&lt;=48,RunName_ExAmpPrep!$H$7,IF(D134&lt;=56,RunName_ExAmpPrep!$H$8,IF(D134&lt;=64,RunName_ExAmpPrep!$H$9,""))))))))</f>
        <v/>
      </c>
      <c r="H134" s="577" t="str">
        <f t="array" aca="1" ref="H13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35" spans="1:8" x14ac:dyDescent="0.65">
      <c r="A135" s="554" t="str">
        <f t="array" aca="1" ref="A13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35" s="555" t="str">
        <f t="array" aca="1" ref="B13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35" s="555" t="str">
        <f ca="1">IF((ROW()-1)&lt;=COUNTIF(ListAndConversion!$CJ$4:$CQ$387,"&lt;&gt;-"),"Strips1","")</f>
        <v/>
      </c>
      <c r="D135" s="555" t="str">
        <f t="array" aca="1" ref="D13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35" s="555" t="str">
        <f t="array" aca="1" ref="E13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35" s="555" t="str">
        <f t="shared" ca="1" si="2"/>
        <v/>
      </c>
      <c r="G135" s="555" t="str">
        <f ca="1">IF(D135&lt;=8,RunName_ExAmpPrep!$H$2,IF(D135&lt;=16,RunName_ExAmpPrep!$H$3,IF(D135&lt;=24,RunName_ExAmpPrep!$H$4,IF(D135&lt;=32,RunName_ExAmpPrep!$H$5,IF(D135&lt;=40,RunName_ExAmpPrep!$H$6,IF(D135&lt;=48,RunName_ExAmpPrep!$H$7,IF(D135&lt;=56,RunName_ExAmpPrep!$H$8,IF(D135&lt;=64,RunName_ExAmpPrep!$H$9,""))))))))</f>
        <v/>
      </c>
      <c r="H135" s="577" t="str">
        <f t="array" aca="1" ref="H13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36" spans="1:8" x14ac:dyDescent="0.65">
      <c r="A136" s="554" t="str">
        <f t="array" aca="1" ref="A13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36" s="555" t="str">
        <f t="array" aca="1" ref="B13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36" s="555" t="str">
        <f ca="1">IF((ROW()-1)&lt;=COUNTIF(ListAndConversion!$CJ$4:$CQ$387,"&lt;&gt;-"),"Strips1","")</f>
        <v/>
      </c>
      <c r="D136" s="555" t="str">
        <f t="array" aca="1" ref="D13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36" s="555" t="str">
        <f t="array" aca="1" ref="E13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36" s="555" t="str">
        <f t="shared" ca="1" si="2"/>
        <v/>
      </c>
      <c r="G136" s="555" t="str">
        <f ca="1">IF(D136&lt;=8,RunName_ExAmpPrep!$H$2,IF(D136&lt;=16,RunName_ExAmpPrep!$H$3,IF(D136&lt;=24,RunName_ExAmpPrep!$H$4,IF(D136&lt;=32,RunName_ExAmpPrep!$H$5,IF(D136&lt;=40,RunName_ExAmpPrep!$H$6,IF(D136&lt;=48,RunName_ExAmpPrep!$H$7,IF(D136&lt;=56,RunName_ExAmpPrep!$H$8,IF(D136&lt;=64,RunName_ExAmpPrep!$H$9,""))))))))</f>
        <v/>
      </c>
      <c r="H136" s="577" t="str">
        <f t="array" aca="1" ref="H13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37" spans="1:8" x14ac:dyDescent="0.65">
      <c r="A137" s="554" t="str">
        <f t="array" aca="1" ref="A13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37" s="555" t="str">
        <f t="array" aca="1" ref="B13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37" s="555" t="str">
        <f ca="1">IF((ROW()-1)&lt;=COUNTIF(ListAndConversion!$CJ$4:$CQ$387,"&lt;&gt;-"),"Strips1","")</f>
        <v/>
      </c>
      <c r="D137" s="555" t="str">
        <f t="array" aca="1" ref="D13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37" s="555" t="str">
        <f t="array" aca="1" ref="E13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37" s="555" t="str">
        <f t="shared" ca="1" si="2"/>
        <v/>
      </c>
      <c r="G137" s="555" t="str">
        <f ca="1">IF(D137&lt;=8,RunName_ExAmpPrep!$H$2,IF(D137&lt;=16,RunName_ExAmpPrep!$H$3,IF(D137&lt;=24,RunName_ExAmpPrep!$H$4,IF(D137&lt;=32,RunName_ExAmpPrep!$H$5,IF(D137&lt;=40,RunName_ExAmpPrep!$H$6,IF(D137&lt;=48,RunName_ExAmpPrep!$H$7,IF(D137&lt;=56,RunName_ExAmpPrep!$H$8,IF(D137&lt;=64,RunName_ExAmpPrep!$H$9,""))))))))</f>
        <v/>
      </c>
      <c r="H137" s="577" t="str">
        <f t="array" aca="1" ref="H13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38" spans="1:8" x14ac:dyDescent="0.65">
      <c r="A138" s="554" t="str">
        <f t="array" aca="1" ref="A13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38" s="555" t="str">
        <f t="array" aca="1" ref="B13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38" s="555" t="str">
        <f ca="1">IF((ROW()-1)&lt;=COUNTIF(ListAndConversion!$CJ$4:$CQ$387,"&lt;&gt;-"),"Strips1","")</f>
        <v/>
      </c>
      <c r="D138" s="555" t="str">
        <f t="array" aca="1" ref="D13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38" s="555" t="str">
        <f t="array" aca="1" ref="E13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38" s="555" t="str">
        <f t="shared" ca="1" si="2"/>
        <v/>
      </c>
      <c r="G138" s="555" t="str">
        <f ca="1">IF(D138&lt;=8,RunName_ExAmpPrep!$H$2,IF(D138&lt;=16,RunName_ExAmpPrep!$H$3,IF(D138&lt;=24,RunName_ExAmpPrep!$H$4,IF(D138&lt;=32,RunName_ExAmpPrep!$H$5,IF(D138&lt;=40,RunName_ExAmpPrep!$H$6,IF(D138&lt;=48,RunName_ExAmpPrep!$H$7,IF(D138&lt;=56,RunName_ExAmpPrep!$H$8,IF(D138&lt;=64,RunName_ExAmpPrep!$H$9,""))))))))</f>
        <v/>
      </c>
      <c r="H138" s="577" t="str">
        <f t="array" aca="1" ref="H13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39" spans="1:8" x14ac:dyDescent="0.65">
      <c r="A139" s="554" t="str">
        <f t="array" aca="1" ref="A13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39" s="555" t="str">
        <f t="array" aca="1" ref="B13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39" s="555" t="str">
        <f ca="1">IF((ROW()-1)&lt;=COUNTIF(ListAndConversion!$CJ$4:$CQ$387,"&lt;&gt;-"),"Strips1","")</f>
        <v/>
      </c>
      <c r="D139" s="555" t="str">
        <f t="array" aca="1" ref="D13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39" s="555" t="str">
        <f t="array" aca="1" ref="E13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39" s="555" t="str">
        <f t="shared" ca="1" si="2"/>
        <v/>
      </c>
      <c r="G139" s="555" t="str">
        <f ca="1">IF(D139&lt;=8,RunName_ExAmpPrep!$H$2,IF(D139&lt;=16,RunName_ExAmpPrep!$H$3,IF(D139&lt;=24,RunName_ExAmpPrep!$H$4,IF(D139&lt;=32,RunName_ExAmpPrep!$H$5,IF(D139&lt;=40,RunName_ExAmpPrep!$H$6,IF(D139&lt;=48,RunName_ExAmpPrep!$H$7,IF(D139&lt;=56,RunName_ExAmpPrep!$H$8,IF(D139&lt;=64,RunName_ExAmpPrep!$H$9,""))))))))</f>
        <v/>
      </c>
      <c r="H139" s="577" t="str">
        <f t="array" aca="1" ref="H13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40" spans="1:8" x14ac:dyDescent="0.65">
      <c r="A140" s="554" t="str">
        <f t="array" aca="1" ref="A14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40" s="555" t="str">
        <f t="array" aca="1" ref="B14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40" s="555" t="str">
        <f ca="1">IF((ROW()-1)&lt;=COUNTIF(ListAndConversion!$CJ$4:$CQ$387,"&lt;&gt;-"),"Strips1","")</f>
        <v/>
      </c>
      <c r="D140" s="555" t="str">
        <f t="array" aca="1" ref="D14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40" s="555" t="str">
        <f t="array" aca="1" ref="E14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40" s="555" t="str">
        <f t="shared" ca="1" si="2"/>
        <v/>
      </c>
      <c r="G140" s="555" t="str">
        <f ca="1">IF(D140&lt;=8,RunName_ExAmpPrep!$H$2,IF(D140&lt;=16,RunName_ExAmpPrep!$H$3,IF(D140&lt;=24,RunName_ExAmpPrep!$H$4,IF(D140&lt;=32,RunName_ExAmpPrep!$H$5,IF(D140&lt;=40,RunName_ExAmpPrep!$H$6,IF(D140&lt;=48,RunName_ExAmpPrep!$H$7,IF(D140&lt;=56,RunName_ExAmpPrep!$H$8,IF(D140&lt;=64,RunName_ExAmpPrep!$H$9,""))))))))</f>
        <v/>
      </c>
      <c r="H140" s="577" t="str">
        <f t="array" aca="1" ref="H14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41" spans="1:8" x14ac:dyDescent="0.65">
      <c r="A141" s="554" t="str">
        <f t="array" aca="1" ref="A14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41" s="555" t="str">
        <f t="array" aca="1" ref="B14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41" s="555" t="str">
        <f ca="1">IF((ROW()-1)&lt;=COUNTIF(ListAndConversion!$CJ$4:$CQ$387,"&lt;&gt;-"),"Strips1","")</f>
        <v/>
      </c>
      <c r="D141" s="555" t="str">
        <f t="array" aca="1" ref="D14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41" s="555" t="str">
        <f t="array" aca="1" ref="E14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41" s="555" t="str">
        <f t="shared" ca="1" si="2"/>
        <v/>
      </c>
      <c r="G141" s="555" t="str">
        <f ca="1">IF(D141&lt;=8,RunName_ExAmpPrep!$H$2,IF(D141&lt;=16,RunName_ExAmpPrep!$H$3,IF(D141&lt;=24,RunName_ExAmpPrep!$H$4,IF(D141&lt;=32,RunName_ExAmpPrep!$H$5,IF(D141&lt;=40,RunName_ExAmpPrep!$H$6,IF(D141&lt;=48,RunName_ExAmpPrep!$H$7,IF(D141&lt;=56,RunName_ExAmpPrep!$H$8,IF(D141&lt;=64,RunName_ExAmpPrep!$H$9,""))))))))</f>
        <v/>
      </c>
      <c r="H141" s="577" t="str">
        <f t="array" aca="1" ref="H14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42" spans="1:8" x14ac:dyDescent="0.65">
      <c r="A142" s="554" t="str">
        <f t="array" aca="1" ref="A14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42" s="555" t="str">
        <f t="array" aca="1" ref="B14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42" s="555" t="str">
        <f ca="1">IF((ROW()-1)&lt;=COUNTIF(ListAndConversion!$CJ$4:$CQ$387,"&lt;&gt;-"),"Strips1","")</f>
        <v/>
      </c>
      <c r="D142" s="555" t="str">
        <f t="array" aca="1" ref="D14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42" s="555" t="str">
        <f t="array" aca="1" ref="E14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42" s="555" t="str">
        <f t="shared" ca="1" si="2"/>
        <v/>
      </c>
      <c r="G142" s="555" t="str">
        <f ca="1">IF(D142&lt;=8,RunName_ExAmpPrep!$H$2,IF(D142&lt;=16,RunName_ExAmpPrep!$H$3,IF(D142&lt;=24,RunName_ExAmpPrep!$H$4,IF(D142&lt;=32,RunName_ExAmpPrep!$H$5,IF(D142&lt;=40,RunName_ExAmpPrep!$H$6,IF(D142&lt;=48,RunName_ExAmpPrep!$H$7,IF(D142&lt;=56,RunName_ExAmpPrep!$H$8,IF(D142&lt;=64,RunName_ExAmpPrep!$H$9,""))))))))</f>
        <v/>
      </c>
      <c r="H142" s="577" t="str">
        <f t="array" aca="1" ref="H14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43" spans="1:8" x14ac:dyDescent="0.65">
      <c r="A143" s="554" t="str">
        <f t="array" aca="1" ref="A14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43" s="555" t="str">
        <f t="array" aca="1" ref="B14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43" s="555" t="str">
        <f ca="1">IF((ROW()-1)&lt;=COUNTIF(ListAndConversion!$CJ$4:$CQ$387,"&lt;&gt;-"),"Strips1","")</f>
        <v/>
      </c>
      <c r="D143" s="555" t="str">
        <f t="array" aca="1" ref="D14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43" s="555" t="str">
        <f t="array" aca="1" ref="E14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43" s="555" t="str">
        <f t="shared" ca="1" si="2"/>
        <v/>
      </c>
      <c r="G143" s="555" t="str">
        <f ca="1">IF(D143&lt;=8,RunName_ExAmpPrep!$H$2,IF(D143&lt;=16,RunName_ExAmpPrep!$H$3,IF(D143&lt;=24,RunName_ExAmpPrep!$H$4,IF(D143&lt;=32,RunName_ExAmpPrep!$H$5,IF(D143&lt;=40,RunName_ExAmpPrep!$H$6,IF(D143&lt;=48,RunName_ExAmpPrep!$H$7,IF(D143&lt;=56,RunName_ExAmpPrep!$H$8,IF(D143&lt;=64,RunName_ExAmpPrep!$H$9,""))))))))</f>
        <v/>
      </c>
      <c r="H143" s="577" t="str">
        <f t="array" aca="1" ref="H14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44" spans="1:8" x14ac:dyDescent="0.65">
      <c r="A144" s="554" t="str">
        <f t="array" aca="1" ref="A14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44" s="555" t="str">
        <f t="array" aca="1" ref="B14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44" s="555" t="str">
        <f ca="1">IF((ROW()-1)&lt;=COUNTIF(ListAndConversion!$CJ$4:$CQ$387,"&lt;&gt;-"),"Strips1","")</f>
        <v/>
      </c>
      <c r="D144" s="555" t="str">
        <f t="array" aca="1" ref="D14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44" s="555" t="str">
        <f t="array" aca="1" ref="E14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44" s="555" t="str">
        <f t="shared" ca="1" si="2"/>
        <v/>
      </c>
      <c r="G144" s="555" t="str">
        <f ca="1">IF(D144&lt;=8,RunName_ExAmpPrep!$H$2,IF(D144&lt;=16,RunName_ExAmpPrep!$H$3,IF(D144&lt;=24,RunName_ExAmpPrep!$H$4,IF(D144&lt;=32,RunName_ExAmpPrep!$H$5,IF(D144&lt;=40,RunName_ExAmpPrep!$H$6,IF(D144&lt;=48,RunName_ExAmpPrep!$H$7,IF(D144&lt;=56,RunName_ExAmpPrep!$H$8,IF(D144&lt;=64,RunName_ExAmpPrep!$H$9,""))))))))</f>
        <v/>
      </c>
      <c r="H144" s="577" t="str">
        <f t="array" aca="1" ref="H14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45" spans="1:8" x14ac:dyDescent="0.65">
      <c r="A145" s="554" t="str">
        <f t="array" aca="1" ref="A14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45" s="555" t="str">
        <f t="array" aca="1" ref="B14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45" s="555" t="str">
        <f ca="1">IF((ROW()-1)&lt;=COUNTIF(ListAndConversion!$CJ$4:$CQ$387,"&lt;&gt;-"),"Strips1","")</f>
        <v/>
      </c>
      <c r="D145" s="555" t="str">
        <f t="array" aca="1" ref="D14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45" s="555" t="str">
        <f t="array" aca="1" ref="E14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45" s="555" t="str">
        <f t="shared" ca="1" si="2"/>
        <v/>
      </c>
      <c r="G145" s="555" t="str">
        <f ca="1">IF(D145&lt;=8,RunName_ExAmpPrep!$H$2,IF(D145&lt;=16,RunName_ExAmpPrep!$H$3,IF(D145&lt;=24,RunName_ExAmpPrep!$H$4,IF(D145&lt;=32,RunName_ExAmpPrep!$H$5,IF(D145&lt;=40,RunName_ExAmpPrep!$H$6,IF(D145&lt;=48,RunName_ExAmpPrep!$H$7,IF(D145&lt;=56,RunName_ExAmpPrep!$H$8,IF(D145&lt;=64,RunName_ExAmpPrep!$H$9,""))))))))</f>
        <v/>
      </c>
      <c r="H145" s="577" t="str">
        <f t="array" aca="1" ref="H14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46" spans="1:8" x14ac:dyDescent="0.65">
      <c r="A146" s="554" t="str">
        <f t="array" aca="1" ref="A14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46" s="555" t="str">
        <f t="array" aca="1" ref="B14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46" s="555" t="str">
        <f ca="1">IF((ROW()-1)&lt;=COUNTIF(ListAndConversion!$CJ$4:$CQ$387,"&lt;&gt;-"),"Strips1","")</f>
        <v/>
      </c>
      <c r="D146" s="555" t="str">
        <f t="array" aca="1" ref="D14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46" s="555" t="str">
        <f t="array" aca="1" ref="E14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46" s="555" t="str">
        <f t="shared" ca="1" si="2"/>
        <v/>
      </c>
      <c r="G146" s="555" t="str">
        <f ca="1">IF(D146&lt;=8,RunName_ExAmpPrep!$H$2,IF(D146&lt;=16,RunName_ExAmpPrep!$H$3,IF(D146&lt;=24,RunName_ExAmpPrep!$H$4,IF(D146&lt;=32,RunName_ExAmpPrep!$H$5,IF(D146&lt;=40,RunName_ExAmpPrep!$H$6,IF(D146&lt;=48,RunName_ExAmpPrep!$H$7,IF(D146&lt;=56,RunName_ExAmpPrep!$H$8,IF(D146&lt;=64,RunName_ExAmpPrep!$H$9,""))))))))</f>
        <v/>
      </c>
      <c r="H146" s="577" t="str">
        <f t="array" aca="1" ref="H14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47" spans="1:8" x14ac:dyDescent="0.65">
      <c r="A147" s="554" t="str">
        <f t="array" aca="1" ref="A14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47" s="555" t="str">
        <f t="array" aca="1" ref="B14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47" s="555" t="str">
        <f ca="1">IF((ROW()-1)&lt;=COUNTIF(ListAndConversion!$CJ$4:$CQ$387,"&lt;&gt;-"),"Strips1","")</f>
        <v/>
      </c>
      <c r="D147" s="555" t="str">
        <f t="array" aca="1" ref="D14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47" s="555" t="str">
        <f t="array" aca="1" ref="E14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47" s="555" t="str">
        <f t="shared" ca="1" si="2"/>
        <v/>
      </c>
      <c r="G147" s="555" t="str">
        <f ca="1">IF(D147&lt;=8,RunName_ExAmpPrep!$H$2,IF(D147&lt;=16,RunName_ExAmpPrep!$H$3,IF(D147&lt;=24,RunName_ExAmpPrep!$H$4,IF(D147&lt;=32,RunName_ExAmpPrep!$H$5,IF(D147&lt;=40,RunName_ExAmpPrep!$H$6,IF(D147&lt;=48,RunName_ExAmpPrep!$H$7,IF(D147&lt;=56,RunName_ExAmpPrep!$H$8,IF(D147&lt;=64,RunName_ExAmpPrep!$H$9,""))))))))</f>
        <v/>
      </c>
      <c r="H147" s="577" t="str">
        <f t="array" aca="1" ref="H14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48" spans="1:8" x14ac:dyDescent="0.65">
      <c r="A148" s="554" t="str">
        <f t="array" aca="1" ref="A14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48" s="555" t="str">
        <f t="array" aca="1" ref="B14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48" s="555" t="str">
        <f ca="1">IF((ROW()-1)&lt;=COUNTIF(ListAndConversion!$CJ$4:$CQ$387,"&lt;&gt;-"),"Strips1","")</f>
        <v/>
      </c>
      <c r="D148" s="555" t="str">
        <f t="array" aca="1" ref="D14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48" s="555" t="str">
        <f t="array" aca="1" ref="E14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48" s="555" t="str">
        <f t="shared" ca="1" si="2"/>
        <v/>
      </c>
      <c r="G148" s="555" t="str">
        <f ca="1">IF(D148&lt;=8,RunName_ExAmpPrep!$H$2,IF(D148&lt;=16,RunName_ExAmpPrep!$H$3,IF(D148&lt;=24,RunName_ExAmpPrep!$H$4,IF(D148&lt;=32,RunName_ExAmpPrep!$H$5,IF(D148&lt;=40,RunName_ExAmpPrep!$H$6,IF(D148&lt;=48,RunName_ExAmpPrep!$H$7,IF(D148&lt;=56,RunName_ExAmpPrep!$H$8,IF(D148&lt;=64,RunName_ExAmpPrep!$H$9,""))))))))</f>
        <v/>
      </c>
      <c r="H148" s="577" t="str">
        <f t="array" aca="1" ref="H14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49" spans="1:8" x14ac:dyDescent="0.65">
      <c r="A149" s="554" t="str">
        <f t="array" aca="1" ref="A14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49" s="555" t="str">
        <f t="array" aca="1" ref="B14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49" s="555" t="str">
        <f ca="1">IF((ROW()-1)&lt;=COUNTIF(ListAndConversion!$CJ$4:$CQ$387,"&lt;&gt;-"),"Strips1","")</f>
        <v/>
      </c>
      <c r="D149" s="555" t="str">
        <f t="array" aca="1" ref="D14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49" s="555" t="str">
        <f t="array" aca="1" ref="E14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49" s="555" t="str">
        <f t="shared" ca="1" si="2"/>
        <v/>
      </c>
      <c r="G149" s="555" t="str">
        <f ca="1">IF(D149&lt;=8,RunName_ExAmpPrep!$H$2,IF(D149&lt;=16,RunName_ExAmpPrep!$H$3,IF(D149&lt;=24,RunName_ExAmpPrep!$H$4,IF(D149&lt;=32,RunName_ExAmpPrep!$H$5,IF(D149&lt;=40,RunName_ExAmpPrep!$H$6,IF(D149&lt;=48,RunName_ExAmpPrep!$H$7,IF(D149&lt;=56,RunName_ExAmpPrep!$H$8,IF(D149&lt;=64,RunName_ExAmpPrep!$H$9,""))))))))</f>
        <v/>
      </c>
      <c r="H149" s="577" t="str">
        <f t="array" aca="1" ref="H14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50" spans="1:8" x14ac:dyDescent="0.65">
      <c r="A150" s="554" t="str">
        <f t="array" aca="1" ref="A15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50" s="555" t="str">
        <f t="array" aca="1" ref="B15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50" s="555" t="str">
        <f ca="1">IF((ROW()-1)&lt;=COUNTIF(ListAndConversion!$CJ$4:$CQ$387,"&lt;&gt;-"),"Strips1","")</f>
        <v/>
      </c>
      <c r="D150" s="555" t="str">
        <f t="array" aca="1" ref="D15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50" s="555" t="str">
        <f t="array" aca="1" ref="E15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50" s="555" t="str">
        <f t="shared" ca="1" si="2"/>
        <v/>
      </c>
      <c r="G150" s="555" t="str">
        <f ca="1">IF(D150&lt;=8,RunName_ExAmpPrep!$H$2,IF(D150&lt;=16,RunName_ExAmpPrep!$H$3,IF(D150&lt;=24,RunName_ExAmpPrep!$H$4,IF(D150&lt;=32,RunName_ExAmpPrep!$H$5,IF(D150&lt;=40,RunName_ExAmpPrep!$H$6,IF(D150&lt;=48,RunName_ExAmpPrep!$H$7,IF(D150&lt;=56,RunName_ExAmpPrep!$H$8,IF(D150&lt;=64,RunName_ExAmpPrep!$H$9,""))))))))</f>
        <v/>
      </c>
      <c r="H150" s="577" t="str">
        <f t="array" aca="1" ref="H15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51" spans="1:8" x14ac:dyDescent="0.65">
      <c r="A151" s="554" t="str">
        <f t="array" aca="1" ref="A15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51" s="555" t="str">
        <f t="array" aca="1" ref="B15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51" s="555" t="str">
        <f ca="1">IF((ROW()-1)&lt;=COUNTIF(ListAndConversion!$CJ$4:$CQ$387,"&lt;&gt;-"),"Strips1","")</f>
        <v/>
      </c>
      <c r="D151" s="555" t="str">
        <f t="array" aca="1" ref="D15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51" s="555" t="str">
        <f t="array" aca="1" ref="E15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51" s="555" t="str">
        <f t="shared" ca="1" si="2"/>
        <v/>
      </c>
      <c r="G151" s="555" t="str">
        <f ca="1">IF(D151&lt;=8,RunName_ExAmpPrep!$H$2,IF(D151&lt;=16,RunName_ExAmpPrep!$H$3,IF(D151&lt;=24,RunName_ExAmpPrep!$H$4,IF(D151&lt;=32,RunName_ExAmpPrep!$H$5,IF(D151&lt;=40,RunName_ExAmpPrep!$H$6,IF(D151&lt;=48,RunName_ExAmpPrep!$H$7,IF(D151&lt;=56,RunName_ExAmpPrep!$H$8,IF(D151&lt;=64,RunName_ExAmpPrep!$H$9,""))))))))</f>
        <v/>
      </c>
      <c r="H151" s="577" t="str">
        <f t="array" aca="1" ref="H15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52" spans="1:8" x14ac:dyDescent="0.65">
      <c r="A152" s="554" t="str">
        <f t="array" aca="1" ref="A15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52" s="555" t="str">
        <f t="array" aca="1" ref="B15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52" s="555" t="str">
        <f ca="1">IF((ROW()-1)&lt;=COUNTIF(ListAndConversion!$CJ$4:$CQ$387,"&lt;&gt;-"),"Strips1","")</f>
        <v/>
      </c>
      <c r="D152" s="555" t="str">
        <f t="array" aca="1" ref="D15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52" s="555" t="str">
        <f t="array" aca="1" ref="E15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52" s="555" t="str">
        <f t="shared" ca="1" si="2"/>
        <v/>
      </c>
      <c r="G152" s="555" t="str">
        <f ca="1">IF(D152&lt;=8,RunName_ExAmpPrep!$H$2,IF(D152&lt;=16,RunName_ExAmpPrep!$H$3,IF(D152&lt;=24,RunName_ExAmpPrep!$H$4,IF(D152&lt;=32,RunName_ExAmpPrep!$H$5,IF(D152&lt;=40,RunName_ExAmpPrep!$H$6,IF(D152&lt;=48,RunName_ExAmpPrep!$H$7,IF(D152&lt;=56,RunName_ExAmpPrep!$H$8,IF(D152&lt;=64,RunName_ExAmpPrep!$H$9,""))))))))</f>
        <v/>
      </c>
      <c r="H152" s="577" t="str">
        <f t="array" aca="1" ref="H15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53" spans="1:8" x14ac:dyDescent="0.65">
      <c r="A153" s="554" t="str">
        <f t="array" aca="1" ref="A15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53" s="555" t="str">
        <f t="array" aca="1" ref="B15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53" s="555" t="str">
        <f ca="1">IF((ROW()-1)&lt;=COUNTIF(ListAndConversion!$CJ$4:$CQ$387,"&lt;&gt;-"),"Strips1","")</f>
        <v/>
      </c>
      <c r="D153" s="555" t="str">
        <f t="array" aca="1" ref="D15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53" s="555" t="str">
        <f t="array" aca="1" ref="E15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53" s="555" t="str">
        <f t="shared" ca="1" si="2"/>
        <v/>
      </c>
      <c r="G153" s="555" t="str">
        <f ca="1">IF(D153&lt;=8,RunName_ExAmpPrep!$H$2,IF(D153&lt;=16,RunName_ExAmpPrep!$H$3,IF(D153&lt;=24,RunName_ExAmpPrep!$H$4,IF(D153&lt;=32,RunName_ExAmpPrep!$H$5,IF(D153&lt;=40,RunName_ExAmpPrep!$H$6,IF(D153&lt;=48,RunName_ExAmpPrep!$H$7,IF(D153&lt;=56,RunName_ExAmpPrep!$H$8,IF(D153&lt;=64,RunName_ExAmpPrep!$H$9,""))))))))</f>
        <v/>
      </c>
      <c r="H153" s="577" t="str">
        <f t="array" aca="1" ref="H15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54" spans="1:8" x14ac:dyDescent="0.65">
      <c r="A154" s="554" t="str">
        <f t="array" aca="1" ref="A15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54" s="555" t="str">
        <f t="array" aca="1" ref="B15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54" s="555" t="str">
        <f ca="1">IF((ROW()-1)&lt;=COUNTIF(ListAndConversion!$CJ$4:$CQ$387,"&lt;&gt;-"),"Strips1","")</f>
        <v/>
      </c>
      <c r="D154" s="555" t="str">
        <f t="array" aca="1" ref="D15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54" s="555" t="str">
        <f t="array" aca="1" ref="E15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54" s="555" t="str">
        <f t="shared" ca="1" si="2"/>
        <v/>
      </c>
      <c r="G154" s="555" t="str">
        <f ca="1">IF(D154&lt;=8,RunName_ExAmpPrep!$H$2,IF(D154&lt;=16,RunName_ExAmpPrep!$H$3,IF(D154&lt;=24,RunName_ExAmpPrep!$H$4,IF(D154&lt;=32,RunName_ExAmpPrep!$H$5,IF(D154&lt;=40,RunName_ExAmpPrep!$H$6,IF(D154&lt;=48,RunName_ExAmpPrep!$H$7,IF(D154&lt;=56,RunName_ExAmpPrep!$H$8,IF(D154&lt;=64,RunName_ExAmpPrep!$H$9,""))))))))</f>
        <v/>
      </c>
      <c r="H154" s="577" t="str">
        <f t="array" aca="1" ref="H15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55" spans="1:8" x14ac:dyDescent="0.65">
      <c r="A155" s="554" t="str">
        <f t="array" aca="1" ref="A15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55" s="555" t="str">
        <f t="array" aca="1" ref="B15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55" s="555" t="str">
        <f ca="1">IF((ROW()-1)&lt;=COUNTIF(ListAndConversion!$CJ$4:$CQ$387,"&lt;&gt;-"),"Strips1","")</f>
        <v/>
      </c>
      <c r="D155" s="555" t="str">
        <f t="array" aca="1" ref="D15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55" s="555" t="str">
        <f t="array" aca="1" ref="E15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55" s="555" t="str">
        <f t="shared" ca="1" si="2"/>
        <v/>
      </c>
      <c r="G155" s="555" t="str">
        <f ca="1">IF(D155&lt;=8,RunName_ExAmpPrep!$H$2,IF(D155&lt;=16,RunName_ExAmpPrep!$H$3,IF(D155&lt;=24,RunName_ExAmpPrep!$H$4,IF(D155&lt;=32,RunName_ExAmpPrep!$H$5,IF(D155&lt;=40,RunName_ExAmpPrep!$H$6,IF(D155&lt;=48,RunName_ExAmpPrep!$H$7,IF(D155&lt;=56,RunName_ExAmpPrep!$H$8,IF(D155&lt;=64,RunName_ExAmpPrep!$H$9,""))))))))</f>
        <v/>
      </c>
      <c r="H155" s="577" t="str">
        <f t="array" aca="1" ref="H15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56" spans="1:8" x14ac:dyDescent="0.65">
      <c r="A156" s="554" t="str">
        <f t="array" aca="1" ref="A15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56" s="555" t="str">
        <f t="array" aca="1" ref="B15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56" s="555" t="str">
        <f ca="1">IF((ROW()-1)&lt;=COUNTIF(ListAndConversion!$CJ$4:$CQ$387,"&lt;&gt;-"),"Strips1","")</f>
        <v/>
      </c>
      <c r="D156" s="555" t="str">
        <f t="array" aca="1" ref="D15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56" s="555" t="str">
        <f t="array" aca="1" ref="E15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56" s="555" t="str">
        <f t="shared" ca="1" si="2"/>
        <v/>
      </c>
      <c r="G156" s="555" t="str">
        <f ca="1">IF(D156&lt;=8,RunName_ExAmpPrep!$H$2,IF(D156&lt;=16,RunName_ExAmpPrep!$H$3,IF(D156&lt;=24,RunName_ExAmpPrep!$H$4,IF(D156&lt;=32,RunName_ExAmpPrep!$H$5,IF(D156&lt;=40,RunName_ExAmpPrep!$H$6,IF(D156&lt;=48,RunName_ExAmpPrep!$H$7,IF(D156&lt;=56,RunName_ExAmpPrep!$H$8,IF(D156&lt;=64,RunName_ExAmpPrep!$H$9,""))))))))</f>
        <v/>
      </c>
      <c r="H156" s="577" t="str">
        <f t="array" aca="1" ref="H15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57" spans="1:8" x14ac:dyDescent="0.65">
      <c r="A157" s="554" t="str">
        <f t="array" aca="1" ref="A15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57" s="555" t="str">
        <f t="array" aca="1" ref="B15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57" s="555" t="str">
        <f ca="1">IF((ROW()-1)&lt;=COUNTIF(ListAndConversion!$CJ$4:$CQ$387,"&lt;&gt;-"),"Strips1","")</f>
        <v/>
      </c>
      <c r="D157" s="555" t="str">
        <f t="array" aca="1" ref="D15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57" s="555" t="str">
        <f t="array" aca="1" ref="E15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57" s="555" t="str">
        <f t="shared" ca="1" si="2"/>
        <v/>
      </c>
      <c r="G157" s="555" t="str">
        <f ca="1">IF(D157&lt;=8,RunName_ExAmpPrep!$H$2,IF(D157&lt;=16,RunName_ExAmpPrep!$H$3,IF(D157&lt;=24,RunName_ExAmpPrep!$H$4,IF(D157&lt;=32,RunName_ExAmpPrep!$H$5,IF(D157&lt;=40,RunName_ExAmpPrep!$H$6,IF(D157&lt;=48,RunName_ExAmpPrep!$H$7,IF(D157&lt;=56,RunName_ExAmpPrep!$H$8,IF(D157&lt;=64,RunName_ExAmpPrep!$H$9,""))))))))</f>
        <v/>
      </c>
      <c r="H157" s="577" t="str">
        <f t="array" aca="1" ref="H15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58" spans="1:8" x14ac:dyDescent="0.65">
      <c r="A158" s="554" t="str">
        <f t="array" aca="1" ref="A15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58" s="555" t="str">
        <f t="array" aca="1" ref="B15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58" s="555" t="str">
        <f ca="1">IF((ROW()-1)&lt;=COUNTIF(ListAndConversion!$CJ$4:$CQ$387,"&lt;&gt;-"),"Strips1","")</f>
        <v/>
      </c>
      <c r="D158" s="555" t="str">
        <f t="array" aca="1" ref="D15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58" s="555" t="str">
        <f t="array" aca="1" ref="E15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58" s="555" t="str">
        <f t="shared" ca="1" si="2"/>
        <v/>
      </c>
      <c r="G158" s="555" t="str">
        <f ca="1">IF(D158&lt;=8,RunName_ExAmpPrep!$H$2,IF(D158&lt;=16,RunName_ExAmpPrep!$H$3,IF(D158&lt;=24,RunName_ExAmpPrep!$H$4,IF(D158&lt;=32,RunName_ExAmpPrep!$H$5,IF(D158&lt;=40,RunName_ExAmpPrep!$H$6,IF(D158&lt;=48,RunName_ExAmpPrep!$H$7,IF(D158&lt;=56,RunName_ExAmpPrep!$H$8,IF(D158&lt;=64,RunName_ExAmpPrep!$H$9,""))))))))</f>
        <v/>
      </c>
      <c r="H158" s="577" t="str">
        <f t="array" aca="1" ref="H15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59" spans="1:8" x14ac:dyDescent="0.65">
      <c r="A159" s="554" t="str">
        <f t="array" aca="1" ref="A15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59" s="555" t="str">
        <f t="array" aca="1" ref="B15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59" s="555" t="str">
        <f ca="1">IF((ROW()-1)&lt;=COUNTIF(ListAndConversion!$CJ$4:$CQ$387,"&lt;&gt;-"),"Strips1","")</f>
        <v/>
      </c>
      <c r="D159" s="555" t="str">
        <f t="array" aca="1" ref="D15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59" s="555" t="str">
        <f t="array" aca="1" ref="E15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59" s="555" t="str">
        <f t="shared" ca="1" si="2"/>
        <v/>
      </c>
      <c r="G159" s="555" t="str">
        <f ca="1">IF(D159&lt;=8,RunName_ExAmpPrep!$H$2,IF(D159&lt;=16,RunName_ExAmpPrep!$H$3,IF(D159&lt;=24,RunName_ExAmpPrep!$H$4,IF(D159&lt;=32,RunName_ExAmpPrep!$H$5,IF(D159&lt;=40,RunName_ExAmpPrep!$H$6,IF(D159&lt;=48,RunName_ExAmpPrep!$H$7,IF(D159&lt;=56,RunName_ExAmpPrep!$H$8,IF(D159&lt;=64,RunName_ExAmpPrep!$H$9,""))))))))</f>
        <v/>
      </c>
      <c r="H159" s="577" t="str">
        <f t="array" aca="1" ref="H15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60" spans="1:8" x14ac:dyDescent="0.65">
      <c r="A160" s="554" t="str">
        <f t="array" aca="1" ref="A16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60" s="555" t="str">
        <f t="array" aca="1" ref="B16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60" s="555" t="str">
        <f ca="1">IF((ROW()-1)&lt;=COUNTIF(ListAndConversion!$CJ$4:$CQ$387,"&lt;&gt;-"),"Strips1","")</f>
        <v/>
      </c>
      <c r="D160" s="555" t="str">
        <f t="array" aca="1" ref="D16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60" s="555" t="str">
        <f t="array" aca="1" ref="E16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60" s="555" t="str">
        <f t="shared" ca="1" si="2"/>
        <v/>
      </c>
      <c r="G160" s="555" t="str">
        <f ca="1">IF(D160&lt;=8,RunName_ExAmpPrep!$H$2,IF(D160&lt;=16,RunName_ExAmpPrep!$H$3,IF(D160&lt;=24,RunName_ExAmpPrep!$H$4,IF(D160&lt;=32,RunName_ExAmpPrep!$H$5,IF(D160&lt;=40,RunName_ExAmpPrep!$H$6,IF(D160&lt;=48,RunName_ExAmpPrep!$H$7,IF(D160&lt;=56,RunName_ExAmpPrep!$H$8,IF(D160&lt;=64,RunName_ExAmpPrep!$H$9,""))))))))</f>
        <v/>
      </c>
      <c r="H160" s="577" t="str">
        <f t="array" aca="1" ref="H16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61" spans="1:8" x14ac:dyDescent="0.65">
      <c r="A161" s="554" t="str">
        <f t="array" aca="1" ref="A16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61" s="555" t="str">
        <f t="array" aca="1" ref="B16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61" s="555" t="str">
        <f ca="1">IF((ROW()-1)&lt;=COUNTIF(ListAndConversion!$CJ$4:$CQ$387,"&lt;&gt;-"),"Strips1","")</f>
        <v/>
      </c>
      <c r="D161" s="555" t="str">
        <f t="array" aca="1" ref="D16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61" s="555" t="str">
        <f t="array" aca="1" ref="E16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61" s="555" t="str">
        <f t="shared" ca="1" si="2"/>
        <v/>
      </c>
      <c r="G161" s="555" t="str">
        <f ca="1">IF(D161&lt;=8,RunName_ExAmpPrep!$H$2,IF(D161&lt;=16,RunName_ExAmpPrep!$H$3,IF(D161&lt;=24,RunName_ExAmpPrep!$H$4,IF(D161&lt;=32,RunName_ExAmpPrep!$H$5,IF(D161&lt;=40,RunName_ExAmpPrep!$H$6,IF(D161&lt;=48,RunName_ExAmpPrep!$H$7,IF(D161&lt;=56,RunName_ExAmpPrep!$H$8,IF(D161&lt;=64,RunName_ExAmpPrep!$H$9,""))))))))</f>
        <v/>
      </c>
      <c r="H161" s="577" t="str">
        <f t="array" aca="1" ref="H16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62" spans="1:8" x14ac:dyDescent="0.65">
      <c r="A162" s="554" t="str">
        <f t="array" aca="1" ref="A16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62" s="555" t="str">
        <f t="array" aca="1" ref="B16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62" s="555" t="str">
        <f ca="1">IF((ROW()-1)&lt;=COUNTIF(ListAndConversion!$CJ$4:$CQ$387,"&lt;&gt;-"),"Strips1","")</f>
        <v/>
      </c>
      <c r="D162" s="555" t="str">
        <f t="array" aca="1" ref="D16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62" s="555" t="str">
        <f t="array" aca="1" ref="E16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62" s="555" t="str">
        <f t="shared" ca="1" si="2"/>
        <v/>
      </c>
      <c r="G162" s="555" t="str">
        <f ca="1">IF(D162&lt;=8,RunName_ExAmpPrep!$H$2,IF(D162&lt;=16,RunName_ExAmpPrep!$H$3,IF(D162&lt;=24,RunName_ExAmpPrep!$H$4,IF(D162&lt;=32,RunName_ExAmpPrep!$H$5,IF(D162&lt;=40,RunName_ExAmpPrep!$H$6,IF(D162&lt;=48,RunName_ExAmpPrep!$H$7,IF(D162&lt;=56,RunName_ExAmpPrep!$H$8,IF(D162&lt;=64,RunName_ExAmpPrep!$H$9,""))))))))</f>
        <v/>
      </c>
      <c r="H162" s="577" t="str">
        <f t="array" aca="1" ref="H16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63" spans="1:8" x14ac:dyDescent="0.65">
      <c r="A163" s="554" t="str">
        <f t="array" aca="1" ref="A16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63" s="555" t="str">
        <f t="array" aca="1" ref="B16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63" s="555" t="str">
        <f ca="1">IF((ROW()-1)&lt;=COUNTIF(ListAndConversion!$CJ$4:$CQ$387,"&lt;&gt;-"),"Strips1","")</f>
        <v/>
      </c>
      <c r="D163" s="555" t="str">
        <f t="array" aca="1" ref="D16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63" s="555" t="str">
        <f t="array" aca="1" ref="E16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63" s="555" t="str">
        <f t="shared" ca="1" si="2"/>
        <v/>
      </c>
      <c r="G163" s="555" t="str">
        <f ca="1">IF(D163&lt;=8,RunName_ExAmpPrep!$H$2,IF(D163&lt;=16,RunName_ExAmpPrep!$H$3,IF(D163&lt;=24,RunName_ExAmpPrep!$H$4,IF(D163&lt;=32,RunName_ExAmpPrep!$H$5,IF(D163&lt;=40,RunName_ExAmpPrep!$H$6,IF(D163&lt;=48,RunName_ExAmpPrep!$H$7,IF(D163&lt;=56,RunName_ExAmpPrep!$H$8,IF(D163&lt;=64,RunName_ExAmpPrep!$H$9,""))))))))</f>
        <v/>
      </c>
      <c r="H163" s="577" t="str">
        <f t="array" aca="1" ref="H16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64" spans="1:8" x14ac:dyDescent="0.65">
      <c r="A164" s="554" t="str">
        <f t="array" aca="1" ref="A16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64" s="555" t="str">
        <f t="array" aca="1" ref="B16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64" s="555" t="str">
        <f ca="1">IF((ROW()-1)&lt;=COUNTIF(ListAndConversion!$CJ$4:$CQ$387,"&lt;&gt;-"),"Strips1","")</f>
        <v/>
      </c>
      <c r="D164" s="555" t="str">
        <f t="array" aca="1" ref="D16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64" s="555" t="str">
        <f t="array" aca="1" ref="E16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64" s="555" t="str">
        <f t="shared" ca="1" si="2"/>
        <v/>
      </c>
      <c r="G164" s="555" t="str">
        <f ca="1">IF(D164&lt;=8,RunName_ExAmpPrep!$H$2,IF(D164&lt;=16,RunName_ExAmpPrep!$H$3,IF(D164&lt;=24,RunName_ExAmpPrep!$H$4,IF(D164&lt;=32,RunName_ExAmpPrep!$H$5,IF(D164&lt;=40,RunName_ExAmpPrep!$H$6,IF(D164&lt;=48,RunName_ExAmpPrep!$H$7,IF(D164&lt;=56,RunName_ExAmpPrep!$H$8,IF(D164&lt;=64,RunName_ExAmpPrep!$H$9,""))))))))</f>
        <v/>
      </c>
      <c r="H164" s="577" t="str">
        <f t="array" aca="1" ref="H16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65" spans="1:8" x14ac:dyDescent="0.65">
      <c r="A165" s="554" t="str">
        <f t="array" aca="1" ref="A16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65" s="555" t="str">
        <f t="array" aca="1" ref="B16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65" s="555" t="str">
        <f ca="1">IF((ROW()-1)&lt;=COUNTIF(ListAndConversion!$CJ$4:$CQ$387,"&lt;&gt;-"),"Strips1","")</f>
        <v/>
      </c>
      <c r="D165" s="555" t="str">
        <f t="array" aca="1" ref="D16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65" s="555" t="str">
        <f t="array" aca="1" ref="E16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65" s="555" t="str">
        <f t="shared" ca="1" si="2"/>
        <v/>
      </c>
      <c r="G165" s="555" t="str">
        <f ca="1">IF(D165&lt;=8,RunName_ExAmpPrep!$H$2,IF(D165&lt;=16,RunName_ExAmpPrep!$H$3,IF(D165&lt;=24,RunName_ExAmpPrep!$H$4,IF(D165&lt;=32,RunName_ExAmpPrep!$H$5,IF(D165&lt;=40,RunName_ExAmpPrep!$H$6,IF(D165&lt;=48,RunName_ExAmpPrep!$H$7,IF(D165&lt;=56,RunName_ExAmpPrep!$H$8,IF(D165&lt;=64,RunName_ExAmpPrep!$H$9,""))))))))</f>
        <v/>
      </c>
      <c r="H165" s="577" t="str">
        <f t="array" aca="1" ref="H16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66" spans="1:8" x14ac:dyDescent="0.65">
      <c r="A166" s="554" t="str">
        <f t="array" aca="1" ref="A16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66" s="555" t="str">
        <f t="array" aca="1" ref="B16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66" s="555" t="str">
        <f ca="1">IF((ROW()-1)&lt;=COUNTIF(ListAndConversion!$CJ$4:$CQ$387,"&lt;&gt;-"),"Strips1","")</f>
        <v/>
      </c>
      <c r="D166" s="555" t="str">
        <f t="array" aca="1" ref="D16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66" s="555" t="str">
        <f t="array" aca="1" ref="E16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66" s="555" t="str">
        <f t="shared" ca="1" si="2"/>
        <v/>
      </c>
      <c r="G166" s="555" t="str">
        <f ca="1">IF(D166&lt;=8,RunName_ExAmpPrep!$H$2,IF(D166&lt;=16,RunName_ExAmpPrep!$H$3,IF(D166&lt;=24,RunName_ExAmpPrep!$H$4,IF(D166&lt;=32,RunName_ExAmpPrep!$H$5,IF(D166&lt;=40,RunName_ExAmpPrep!$H$6,IF(D166&lt;=48,RunName_ExAmpPrep!$H$7,IF(D166&lt;=56,RunName_ExAmpPrep!$H$8,IF(D166&lt;=64,RunName_ExAmpPrep!$H$9,""))))))))</f>
        <v/>
      </c>
      <c r="H166" s="577" t="str">
        <f t="array" aca="1" ref="H16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67" spans="1:8" x14ac:dyDescent="0.65">
      <c r="A167" s="554" t="str">
        <f t="array" aca="1" ref="A16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67" s="555" t="str">
        <f t="array" aca="1" ref="B16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67" s="555" t="str">
        <f ca="1">IF((ROW()-1)&lt;=COUNTIF(ListAndConversion!$CJ$4:$CQ$387,"&lt;&gt;-"),"Strips1","")</f>
        <v/>
      </c>
      <c r="D167" s="555" t="str">
        <f t="array" aca="1" ref="D16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67" s="555" t="str">
        <f t="array" aca="1" ref="E16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67" s="555" t="str">
        <f t="shared" ca="1" si="2"/>
        <v/>
      </c>
      <c r="G167" s="555" t="str">
        <f ca="1">IF(D167&lt;=8,RunName_ExAmpPrep!$H$2,IF(D167&lt;=16,RunName_ExAmpPrep!$H$3,IF(D167&lt;=24,RunName_ExAmpPrep!$H$4,IF(D167&lt;=32,RunName_ExAmpPrep!$H$5,IF(D167&lt;=40,RunName_ExAmpPrep!$H$6,IF(D167&lt;=48,RunName_ExAmpPrep!$H$7,IF(D167&lt;=56,RunName_ExAmpPrep!$H$8,IF(D167&lt;=64,RunName_ExAmpPrep!$H$9,""))))))))</f>
        <v/>
      </c>
      <c r="H167" s="577" t="str">
        <f t="array" aca="1" ref="H16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68" spans="1:8" x14ac:dyDescent="0.65">
      <c r="A168" s="554" t="str">
        <f t="array" aca="1" ref="A16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68" s="555" t="str">
        <f t="array" aca="1" ref="B16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68" s="555" t="str">
        <f ca="1">IF((ROW()-1)&lt;=COUNTIF(ListAndConversion!$CJ$4:$CQ$387,"&lt;&gt;-"),"Strips1","")</f>
        <v/>
      </c>
      <c r="D168" s="555" t="str">
        <f t="array" aca="1" ref="D16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68" s="555" t="str">
        <f t="array" aca="1" ref="E16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68" s="555" t="str">
        <f t="shared" ca="1" si="2"/>
        <v/>
      </c>
      <c r="G168" s="555" t="str">
        <f ca="1">IF(D168&lt;=8,RunName_ExAmpPrep!$H$2,IF(D168&lt;=16,RunName_ExAmpPrep!$H$3,IF(D168&lt;=24,RunName_ExAmpPrep!$H$4,IF(D168&lt;=32,RunName_ExAmpPrep!$H$5,IF(D168&lt;=40,RunName_ExAmpPrep!$H$6,IF(D168&lt;=48,RunName_ExAmpPrep!$H$7,IF(D168&lt;=56,RunName_ExAmpPrep!$H$8,IF(D168&lt;=64,RunName_ExAmpPrep!$H$9,""))))))))</f>
        <v/>
      </c>
      <c r="H168" s="577" t="str">
        <f t="array" aca="1" ref="H16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69" spans="1:8" x14ac:dyDescent="0.65">
      <c r="A169" s="554" t="str">
        <f t="array" aca="1" ref="A16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69" s="555" t="str">
        <f t="array" aca="1" ref="B16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69" s="555" t="str">
        <f ca="1">IF((ROW()-1)&lt;=COUNTIF(ListAndConversion!$CJ$4:$CQ$387,"&lt;&gt;-"),"Strips1","")</f>
        <v/>
      </c>
      <c r="D169" s="555" t="str">
        <f t="array" aca="1" ref="D16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69" s="555" t="str">
        <f t="array" aca="1" ref="E16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69" s="555" t="str">
        <f t="shared" ca="1" si="2"/>
        <v/>
      </c>
      <c r="G169" s="555" t="str">
        <f ca="1">IF(D169&lt;=8,RunName_ExAmpPrep!$H$2,IF(D169&lt;=16,RunName_ExAmpPrep!$H$3,IF(D169&lt;=24,RunName_ExAmpPrep!$H$4,IF(D169&lt;=32,RunName_ExAmpPrep!$H$5,IF(D169&lt;=40,RunName_ExAmpPrep!$H$6,IF(D169&lt;=48,RunName_ExAmpPrep!$H$7,IF(D169&lt;=56,RunName_ExAmpPrep!$H$8,IF(D169&lt;=64,RunName_ExAmpPrep!$H$9,""))))))))</f>
        <v/>
      </c>
      <c r="H169" s="577" t="str">
        <f t="array" aca="1" ref="H16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70" spans="1:8" x14ac:dyDescent="0.65">
      <c r="A170" s="554" t="str">
        <f t="array" aca="1" ref="A17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70" s="555" t="str">
        <f t="array" aca="1" ref="B17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70" s="555" t="str">
        <f ca="1">IF((ROW()-1)&lt;=COUNTIF(ListAndConversion!$CJ$4:$CQ$387,"&lt;&gt;-"),"Strips1","")</f>
        <v/>
      </c>
      <c r="D170" s="555" t="str">
        <f t="array" aca="1" ref="D17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70" s="555" t="str">
        <f t="array" aca="1" ref="E17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70" s="555" t="str">
        <f t="shared" ca="1" si="2"/>
        <v/>
      </c>
      <c r="G170" s="555" t="str">
        <f ca="1">IF(D170&lt;=8,RunName_ExAmpPrep!$H$2,IF(D170&lt;=16,RunName_ExAmpPrep!$H$3,IF(D170&lt;=24,RunName_ExAmpPrep!$H$4,IF(D170&lt;=32,RunName_ExAmpPrep!$H$5,IF(D170&lt;=40,RunName_ExAmpPrep!$H$6,IF(D170&lt;=48,RunName_ExAmpPrep!$H$7,IF(D170&lt;=56,RunName_ExAmpPrep!$H$8,IF(D170&lt;=64,RunName_ExAmpPrep!$H$9,""))))))))</f>
        <v/>
      </c>
      <c r="H170" s="577" t="str">
        <f t="array" aca="1" ref="H17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71" spans="1:8" x14ac:dyDescent="0.65">
      <c r="A171" s="554" t="str">
        <f t="array" aca="1" ref="A17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71" s="555" t="str">
        <f t="array" aca="1" ref="B17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71" s="555" t="str">
        <f ca="1">IF((ROW()-1)&lt;=COUNTIF(ListAndConversion!$CJ$4:$CQ$387,"&lt;&gt;-"),"Strips1","")</f>
        <v/>
      </c>
      <c r="D171" s="555" t="str">
        <f t="array" aca="1" ref="D17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71" s="555" t="str">
        <f t="array" aca="1" ref="E17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71" s="555" t="str">
        <f t="shared" ca="1" si="2"/>
        <v/>
      </c>
      <c r="G171" s="555" t="str">
        <f ca="1">IF(D171&lt;=8,RunName_ExAmpPrep!$H$2,IF(D171&lt;=16,RunName_ExAmpPrep!$H$3,IF(D171&lt;=24,RunName_ExAmpPrep!$H$4,IF(D171&lt;=32,RunName_ExAmpPrep!$H$5,IF(D171&lt;=40,RunName_ExAmpPrep!$H$6,IF(D171&lt;=48,RunName_ExAmpPrep!$H$7,IF(D171&lt;=56,RunName_ExAmpPrep!$H$8,IF(D171&lt;=64,RunName_ExAmpPrep!$H$9,""))))))))</f>
        <v/>
      </c>
      <c r="H171" s="577" t="str">
        <f t="array" aca="1" ref="H17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72" spans="1:8" x14ac:dyDescent="0.65">
      <c r="A172" s="554" t="str">
        <f t="array" aca="1" ref="A17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72" s="555" t="str">
        <f t="array" aca="1" ref="B17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72" s="555" t="str">
        <f ca="1">IF((ROW()-1)&lt;=COUNTIF(ListAndConversion!$CJ$4:$CQ$387,"&lt;&gt;-"),"Strips1","")</f>
        <v/>
      </c>
      <c r="D172" s="555" t="str">
        <f t="array" aca="1" ref="D17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72" s="555" t="str">
        <f t="array" aca="1" ref="E17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72" s="555" t="str">
        <f t="shared" ca="1" si="2"/>
        <v/>
      </c>
      <c r="G172" s="555" t="str">
        <f ca="1">IF(D172&lt;=8,RunName_ExAmpPrep!$H$2,IF(D172&lt;=16,RunName_ExAmpPrep!$H$3,IF(D172&lt;=24,RunName_ExAmpPrep!$H$4,IF(D172&lt;=32,RunName_ExAmpPrep!$H$5,IF(D172&lt;=40,RunName_ExAmpPrep!$H$6,IF(D172&lt;=48,RunName_ExAmpPrep!$H$7,IF(D172&lt;=56,RunName_ExAmpPrep!$H$8,IF(D172&lt;=64,RunName_ExAmpPrep!$H$9,""))))))))</f>
        <v/>
      </c>
      <c r="H172" s="577" t="str">
        <f t="array" aca="1" ref="H17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73" spans="1:8" x14ac:dyDescent="0.65">
      <c r="A173" s="554" t="str">
        <f t="array" aca="1" ref="A17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73" s="555" t="str">
        <f t="array" aca="1" ref="B17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73" s="555" t="str">
        <f ca="1">IF((ROW()-1)&lt;=COUNTIF(ListAndConversion!$CJ$4:$CQ$387,"&lt;&gt;-"),"Strips1","")</f>
        <v/>
      </c>
      <c r="D173" s="555" t="str">
        <f t="array" aca="1" ref="D17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73" s="555" t="str">
        <f t="array" aca="1" ref="E17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73" s="555" t="str">
        <f t="shared" ca="1" si="2"/>
        <v/>
      </c>
      <c r="G173" s="555" t="str">
        <f ca="1">IF(D173&lt;=8,RunName_ExAmpPrep!$H$2,IF(D173&lt;=16,RunName_ExAmpPrep!$H$3,IF(D173&lt;=24,RunName_ExAmpPrep!$H$4,IF(D173&lt;=32,RunName_ExAmpPrep!$H$5,IF(D173&lt;=40,RunName_ExAmpPrep!$H$6,IF(D173&lt;=48,RunName_ExAmpPrep!$H$7,IF(D173&lt;=56,RunName_ExAmpPrep!$H$8,IF(D173&lt;=64,RunName_ExAmpPrep!$H$9,""))))))))</f>
        <v/>
      </c>
      <c r="H173" s="577" t="str">
        <f t="array" aca="1" ref="H17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74" spans="1:8" x14ac:dyDescent="0.65">
      <c r="A174" s="554" t="str">
        <f t="array" aca="1" ref="A17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74" s="555" t="str">
        <f t="array" aca="1" ref="B17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74" s="555" t="str">
        <f ca="1">IF((ROW()-1)&lt;=COUNTIF(ListAndConversion!$CJ$4:$CQ$387,"&lt;&gt;-"),"Strips1","")</f>
        <v/>
      </c>
      <c r="D174" s="555" t="str">
        <f t="array" aca="1" ref="D17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74" s="555" t="str">
        <f t="array" aca="1" ref="E17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74" s="555" t="str">
        <f t="shared" ca="1" si="2"/>
        <v/>
      </c>
      <c r="G174" s="555" t="str">
        <f ca="1">IF(D174&lt;=8,RunName_ExAmpPrep!$H$2,IF(D174&lt;=16,RunName_ExAmpPrep!$H$3,IF(D174&lt;=24,RunName_ExAmpPrep!$H$4,IF(D174&lt;=32,RunName_ExAmpPrep!$H$5,IF(D174&lt;=40,RunName_ExAmpPrep!$H$6,IF(D174&lt;=48,RunName_ExAmpPrep!$H$7,IF(D174&lt;=56,RunName_ExAmpPrep!$H$8,IF(D174&lt;=64,RunName_ExAmpPrep!$H$9,""))))))))</f>
        <v/>
      </c>
      <c r="H174" s="577" t="str">
        <f t="array" aca="1" ref="H17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75" spans="1:8" x14ac:dyDescent="0.65">
      <c r="A175" s="554" t="str">
        <f t="array" aca="1" ref="A17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75" s="555" t="str">
        <f t="array" aca="1" ref="B17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75" s="555" t="str">
        <f ca="1">IF((ROW()-1)&lt;=COUNTIF(ListAndConversion!$CJ$4:$CQ$387,"&lt;&gt;-"),"Strips1","")</f>
        <v/>
      </c>
      <c r="D175" s="555" t="str">
        <f t="array" aca="1" ref="D17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75" s="555" t="str">
        <f t="array" aca="1" ref="E17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75" s="555" t="str">
        <f t="shared" ca="1" si="2"/>
        <v/>
      </c>
      <c r="G175" s="555" t="str">
        <f ca="1">IF(D175&lt;=8,RunName_ExAmpPrep!$H$2,IF(D175&lt;=16,RunName_ExAmpPrep!$H$3,IF(D175&lt;=24,RunName_ExAmpPrep!$H$4,IF(D175&lt;=32,RunName_ExAmpPrep!$H$5,IF(D175&lt;=40,RunName_ExAmpPrep!$H$6,IF(D175&lt;=48,RunName_ExAmpPrep!$H$7,IF(D175&lt;=56,RunName_ExAmpPrep!$H$8,IF(D175&lt;=64,RunName_ExAmpPrep!$H$9,""))))))))</f>
        <v/>
      </c>
      <c r="H175" s="577" t="str">
        <f t="array" aca="1" ref="H17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76" spans="1:8" x14ac:dyDescent="0.65">
      <c r="A176" s="554" t="str">
        <f t="array" aca="1" ref="A17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76" s="555" t="str">
        <f t="array" aca="1" ref="B17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76" s="555" t="str">
        <f ca="1">IF((ROW()-1)&lt;=COUNTIF(ListAndConversion!$CJ$4:$CQ$387,"&lt;&gt;-"),"Strips1","")</f>
        <v/>
      </c>
      <c r="D176" s="555" t="str">
        <f t="array" aca="1" ref="D17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76" s="555" t="str">
        <f t="array" aca="1" ref="E17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76" s="555" t="str">
        <f t="shared" ca="1" si="2"/>
        <v/>
      </c>
      <c r="G176" s="555" t="str">
        <f ca="1">IF(D176&lt;=8,RunName_ExAmpPrep!$H$2,IF(D176&lt;=16,RunName_ExAmpPrep!$H$3,IF(D176&lt;=24,RunName_ExAmpPrep!$H$4,IF(D176&lt;=32,RunName_ExAmpPrep!$H$5,IF(D176&lt;=40,RunName_ExAmpPrep!$H$6,IF(D176&lt;=48,RunName_ExAmpPrep!$H$7,IF(D176&lt;=56,RunName_ExAmpPrep!$H$8,IF(D176&lt;=64,RunName_ExAmpPrep!$H$9,""))))))))</f>
        <v/>
      </c>
      <c r="H176" s="577" t="str">
        <f t="array" aca="1" ref="H17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77" spans="1:8" x14ac:dyDescent="0.65">
      <c r="A177" s="554" t="str">
        <f t="array" aca="1" ref="A17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77" s="555" t="str">
        <f t="array" aca="1" ref="B17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77" s="555" t="str">
        <f ca="1">IF((ROW()-1)&lt;=COUNTIF(ListAndConversion!$CJ$4:$CQ$387,"&lt;&gt;-"),"Strips1","")</f>
        <v/>
      </c>
      <c r="D177" s="555" t="str">
        <f t="array" aca="1" ref="D17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77" s="555" t="str">
        <f t="array" aca="1" ref="E17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77" s="555" t="str">
        <f t="shared" ca="1" si="2"/>
        <v/>
      </c>
      <c r="G177" s="555" t="str">
        <f ca="1">IF(D177&lt;=8,RunName_ExAmpPrep!$H$2,IF(D177&lt;=16,RunName_ExAmpPrep!$H$3,IF(D177&lt;=24,RunName_ExAmpPrep!$H$4,IF(D177&lt;=32,RunName_ExAmpPrep!$H$5,IF(D177&lt;=40,RunName_ExAmpPrep!$H$6,IF(D177&lt;=48,RunName_ExAmpPrep!$H$7,IF(D177&lt;=56,RunName_ExAmpPrep!$H$8,IF(D177&lt;=64,RunName_ExAmpPrep!$H$9,""))))))))</f>
        <v/>
      </c>
      <c r="H177" s="577" t="str">
        <f t="array" aca="1" ref="H17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78" spans="1:8" x14ac:dyDescent="0.65">
      <c r="A178" s="554" t="str">
        <f t="array" aca="1" ref="A17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78" s="555" t="str">
        <f t="array" aca="1" ref="B17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78" s="555" t="str">
        <f ca="1">IF((ROW()-1)&lt;=COUNTIF(ListAndConversion!$CJ$4:$CQ$387,"&lt;&gt;-"),"Strips1","")</f>
        <v/>
      </c>
      <c r="D178" s="555" t="str">
        <f t="array" aca="1" ref="D17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78" s="555" t="str">
        <f t="array" aca="1" ref="E17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78" s="555" t="str">
        <f t="shared" ca="1" si="2"/>
        <v/>
      </c>
      <c r="G178" s="555" t="str">
        <f ca="1">IF(D178&lt;=8,RunName_ExAmpPrep!$H$2,IF(D178&lt;=16,RunName_ExAmpPrep!$H$3,IF(D178&lt;=24,RunName_ExAmpPrep!$H$4,IF(D178&lt;=32,RunName_ExAmpPrep!$H$5,IF(D178&lt;=40,RunName_ExAmpPrep!$H$6,IF(D178&lt;=48,RunName_ExAmpPrep!$H$7,IF(D178&lt;=56,RunName_ExAmpPrep!$H$8,IF(D178&lt;=64,RunName_ExAmpPrep!$H$9,""))))))))</f>
        <v/>
      </c>
      <c r="H178" s="577" t="str">
        <f t="array" aca="1" ref="H17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79" spans="1:8" x14ac:dyDescent="0.65">
      <c r="A179" s="554" t="str">
        <f t="array" aca="1" ref="A17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79" s="555" t="str">
        <f t="array" aca="1" ref="B17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79" s="555" t="str">
        <f ca="1">IF((ROW()-1)&lt;=COUNTIF(ListAndConversion!$CJ$4:$CQ$387,"&lt;&gt;-"),"Strips1","")</f>
        <v/>
      </c>
      <c r="D179" s="555" t="str">
        <f t="array" aca="1" ref="D17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79" s="555" t="str">
        <f t="array" aca="1" ref="E17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79" s="555" t="str">
        <f t="shared" ca="1" si="2"/>
        <v/>
      </c>
      <c r="G179" s="555" t="str">
        <f ca="1">IF(D179&lt;=8,RunName_ExAmpPrep!$H$2,IF(D179&lt;=16,RunName_ExAmpPrep!$H$3,IF(D179&lt;=24,RunName_ExAmpPrep!$H$4,IF(D179&lt;=32,RunName_ExAmpPrep!$H$5,IF(D179&lt;=40,RunName_ExAmpPrep!$H$6,IF(D179&lt;=48,RunName_ExAmpPrep!$H$7,IF(D179&lt;=56,RunName_ExAmpPrep!$H$8,IF(D179&lt;=64,RunName_ExAmpPrep!$H$9,""))))))))</f>
        <v/>
      </c>
      <c r="H179" s="577" t="str">
        <f t="array" aca="1" ref="H17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80" spans="1:8" x14ac:dyDescent="0.65">
      <c r="A180" s="554" t="str">
        <f t="array" aca="1" ref="A18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80" s="555" t="str">
        <f t="array" aca="1" ref="B18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80" s="555" t="str">
        <f ca="1">IF((ROW()-1)&lt;=COUNTIF(ListAndConversion!$CJ$4:$CQ$387,"&lt;&gt;-"),"Strips1","")</f>
        <v/>
      </c>
      <c r="D180" s="555" t="str">
        <f t="array" aca="1" ref="D18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80" s="555" t="str">
        <f t="array" aca="1" ref="E18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80" s="555" t="str">
        <f t="shared" ca="1" si="2"/>
        <v/>
      </c>
      <c r="G180" s="555" t="str">
        <f ca="1">IF(D180&lt;=8,RunName_ExAmpPrep!$H$2,IF(D180&lt;=16,RunName_ExAmpPrep!$H$3,IF(D180&lt;=24,RunName_ExAmpPrep!$H$4,IF(D180&lt;=32,RunName_ExAmpPrep!$H$5,IF(D180&lt;=40,RunName_ExAmpPrep!$H$6,IF(D180&lt;=48,RunName_ExAmpPrep!$H$7,IF(D180&lt;=56,RunName_ExAmpPrep!$H$8,IF(D180&lt;=64,RunName_ExAmpPrep!$H$9,""))))))))</f>
        <v/>
      </c>
      <c r="H180" s="577" t="str">
        <f t="array" aca="1" ref="H18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81" spans="1:8" x14ac:dyDescent="0.65">
      <c r="A181" s="554" t="str">
        <f t="array" aca="1" ref="A18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81" s="555" t="str">
        <f t="array" aca="1" ref="B18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81" s="555" t="str">
        <f ca="1">IF((ROW()-1)&lt;=COUNTIF(ListAndConversion!$CJ$4:$CQ$387,"&lt;&gt;-"),"Strips1","")</f>
        <v/>
      </c>
      <c r="D181" s="555" t="str">
        <f t="array" aca="1" ref="D18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81" s="555" t="str">
        <f t="array" aca="1" ref="E18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81" s="555" t="str">
        <f t="shared" ca="1" si="2"/>
        <v/>
      </c>
      <c r="G181" s="555" t="str">
        <f ca="1">IF(D181&lt;=8,RunName_ExAmpPrep!$H$2,IF(D181&lt;=16,RunName_ExAmpPrep!$H$3,IF(D181&lt;=24,RunName_ExAmpPrep!$H$4,IF(D181&lt;=32,RunName_ExAmpPrep!$H$5,IF(D181&lt;=40,RunName_ExAmpPrep!$H$6,IF(D181&lt;=48,RunName_ExAmpPrep!$H$7,IF(D181&lt;=56,RunName_ExAmpPrep!$H$8,IF(D181&lt;=64,RunName_ExAmpPrep!$H$9,""))))))))</f>
        <v/>
      </c>
      <c r="H181" s="577" t="str">
        <f t="array" aca="1" ref="H18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82" spans="1:8" x14ac:dyDescent="0.65">
      <c r="A182" s="554" t="str">
        <f t="array" aca="1" ref="A18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82" s="555" t="str">
        <f t="array" aca="1" ref="B18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82" s="555" t="str">
        <f ca="1">IF((ROW()-1)&lt;=COUNTIF(ListAndConversion!$CJ$4:$CQ$387,"&lt;&gt;-"),"Strips1","")</f>
        <v/>
      </c>
      <c r="D182" s="555" t="str">
        <f t="array" aca="1" ref="D18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82" s="555" t="str">
        <f t="array" aca="1" ref="E18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82" s="555" t="str">
        <f t="shared" ca="1" si="2"/>
        <v/>
      </c>
      <c r="G182" s="555" t="str">
        <f ca="1">IF(D182&lt;=8,RunName_ExAmpPrep!$H$2,IF(D182&lt;=16,RunName_ExAmpPrep!$H$3,IF(D182&lt;=24,RunName_ExAmpPrep!$H$4,IF(D182&lt;=32,RunName_ExAmpPrep!$H$5,IF(D182&lt;=40,RunName_ExAmpPrep!$H$6,IF(D182&lt;=48,RunName_ExAmpPrep!$H$7,IF(D182&lt;=56,RunName_ExAmpPrep!$H$8,IF(D182&lt;=64,RunName_ExAmpPrep!$H$9,""))))))))</f>
        <v/>
      </c>
      <c r="H182" s="577" t="str">
        <f t="array" aca="1" ref="H18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83" spans="1:8" x14ac:dyDescent="0.65">
      <c r="A183" s="554" t="str">
        <f t="array" aca="1" ref="A18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83" s="555" t="str">
        <f t="array" aca="1" ref="B18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83" s="555" t="str">
        <f ca="1">IF((ROW()-1)&lt;=COUNTIF(ListAndConversion!$CJ$4:$CQ$387,"&lt;&gt;-"),"Strips1","")</f>
        <v/>
      </c>
      <c r="D183" s="555" t="str">
        <f t="array" aca="1" ref="D18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83" s="555" t="str">
        <f t="array" aca="1" ref="E18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83" s="555" t="str">
        <f t="shared" ca="1" si="2"/>
        <v/>
      </c>
      <c r="G183" s="555" t="str">
        <f ca="1">IF(D183&lt;=8,RunName_ExAmpPrep!$H$2,IF(D183&lt;=16,RunName_ExAmpPrep!$H$3,IF(D183&lt;=24,RunName_ExAmpPrep!$H$4,IF(D183&lt;=32,RunName_ExAmpPrep!$H$5,IF(D183&lt;=40,RunName_ExAmpPrep!$H$6,IF(D183&lt;=48,RunName_ExAmpPrep!$H$7,IF(D183&lt;=56,RunName_ExAmpPrep!$H$8,IF(D183&lt;=64,RunName_ExAmpPrep!$H$9,""))))))))</f>
        <v/>
      </c>
      <c r="H183" s="577" t="str">
        <f t="array" aca="1" ref="H18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84" spans="1:8" x14ac:dyDescent="0.65">
      <c r="A184" s="554" t="str">
        <f t="array" aca="1" ref="A18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84" s="555" t="str">
        <f t="array" aca="1" ref="B18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84" s="555" t="str">
        <f ca="1">IF((ROW()-1)&lt;=COUNTIF(ListAndConversion!$CJ$4:$CQ$387,"&lt;&gt;-"),"Strips1","")</f>
        <v/>
      </c>
      <c r="D184" s="555" t="str">
        <f t="array" aca="1" ref="D18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84" s="555" t="str">
        <f t="array" aca="1" ref="E18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84" s="555" t="str">
        <f t="shared" ca="1" si="2"/>
        <v/>
      </c>
      <c r="G184" s="555" t="str">
        <f ca="1">IF(D184&lt;=8,RunName_ExAmpPrep!$H$2,IF(D184&lt;=16,RunName_ExAmpPrep!$H$3,IF(D184&lt;=24,RunName_ExAmpPrep!$H$4,IF(D184&lt;=32,RunName_ExAmpPrep!$H$5,IF(D184&lt;=40,RunName_ExAmpPrep!$H$6,IF(D184&lt;=48,RunName_ExAmpPrep!$H$7,IF(D184&lt;=56,RunName_ExAmpPrep!$H$8,IF(D184&lt;=64,RunName_ExAmpPrep!$H$9,""))))))))</f>
        <v/>
      </c>
      <c r="H184" s="577" t="str">
        <f t="array" aca="1" ref="H18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85" spans="1:8" x14ac:dyDescent="0.65">
      <c r="A185" s="554" t="str">
        <f t="array" aca="1" ref="A18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85" s="555" t="str">
        <f t="array" aca="1" ref="B18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85" s="555" t="str">
        <f ca="1">IF((ROW()-1)&lt;=COUNTIF(ListAndConversion!$CJ$4:$CQ$387,"&lt;&gt;-"),"Strips1","")</f>
        <v/>
      </c>
      <c r="D185" s="555" t="str">
        <f t="array" aca="1" ref="D18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85" s="555" t="str">
        <f t="array" aca="1" ref="E18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85" s="555" t="str">
        <f t="shared" ca="1" si="2"/>
        <v/>
      </c>
      <c r="G185" s="555" t="str">
        <f ca="1">IF(D185&lt;=8,RunName_ExAmpPrep!$H$2,IF(D185&lt;=16,RunName_ExAmpPrep!$H$3,IF(D185&lt;=24,RunName_ExAmpPrep!$H$4,IF(D185&lt;=32,RunName_ExAmpPrep!$H$5,IF(D185&lt;=40,RunName_ExAmpPrep!$H$6,IF(D185&lt;=48,RunName_ExAmpPrep!$H$7,IF(D185&lt;=56,RunName_ExAmpPrep!$H$8,IF(D185&lt;=64,RunName_ExAmpPrep!$H$9,""))))))))</f>
        <v/>
      </c>
      <c r="H185" s="577" t="str">
        <f t="array" aca="1" ref="H18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86" spans="1:8" x14ac:dyDescent="0.65">
      <c r="A186" s="554" t="str">
        <f t="array" aca="1" ref="A18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86" s="555" t="str">
        <f t="array" aca="1" ref="B18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86" s="555" t="str">
        <f ca="1">IF((ROW()-1)&lt;=COUNTIF(ListAndConversion!$CJ$4:$CQ$387,"&lt;&gt;-"),"Strips1","")</f>
        <v/>
      </c>
      <c r="D186" s="555" t="str">
        <f t="array" aca="1" ref="D18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86" s="555" t="str">
        <f t="array" aca="1" ref="E18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86" s="555" t="str">
        <f t="shared" ca="1" si="2"/>
        <v/>
      </c>
      <c r="G186" s="555" t="str">
        <f ca="1">IF(D186&lt;=8,RunName_ExAmpPrep!$H$2,IF(D186&lt;=16,RunName_ExAmpPrep!$H$3,IF(D186&lt;=24,RunName_ExAmpPrep!$H$4,IF(D186&lt;=32,RunName_ExAmpPrep!$H$5,IF(D186&lt;=40,RunName_ExAmpPrep!$H$6,IF(D186&lt;=48,RunName_ExAmpPrep!$H$7,IF(D186&lt;=56,RunName_ExAmpPrep!$H$8,IF(D186&lt;=64,RunName_ExAmpPrep!$H$9,""))))))))</f>
        <v/>
      </c>
      <c r="H186" s="577" t="str">
        <f t="array" aca="1" ref="H18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87" spans="1:8" x14ac:dyDescent="0.65">
      <c r="A187" s="554" t="str">
        <f t="array" aca="1" ref="A18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87" s="555" t="str">
        <f t="array" aca="1" ref="B18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87" s="555" t="str">
        <f ca="1">IF((ROW()-1)&lt;=COUNTIF(ListAndConversion!$CJ$4:$CQ$387,"&lt;&gt;-"),"Strips1","")</f>
        <v/>
      </c>
      <c r="D187" s="555" t="str">
        <f t="array" aca="1" ref="D18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87" s="555" t="str">
        <f t="array" aca="1" ref="E18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87" s="555" t="str">
        <f t="shared" ca="1" si="2"/>
        <v/>
      </c>
      <c r="G187" s="555" t="str">
        <f ca="1">IF(D187&lt;=8,RunName_ExAmpPrep!$H$2,IF(D187&lt;=16,RunName_ExAmpPrep!$H$3,IF(D187&lt;=24,RunName_ExAmpPrep!$H$4,IF(D187&lt;=32,RunName_ExAmpPrep!$H$5,IF(D187&lt;=40,RunName_ExAmpPrep!$H$6,IF(D187&lt;=48,RunName_ExAmpPrep!$H$7,IF(D187&lt;=56,RunName_ExAmpPrep!$H$8,IF(D187&lt;=64,RunName_ExAmpPrep!$H$9,""))))))))</f>
        <v/>
      </c>
      <c r="H187" s="577" t="str">
        <f t="array" aca="1" ref="H18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88" spans="1:8" x14ac:dyDescent="0.65">
      <c r="A188" s="554" t="str">
        <f t="array" aca="1" ref="A18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88" s="555" t="str">
        <f t="array" aca="1" ref="B18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88" s="555" t="str">
        <f ca="1">IF((ROW()-1)&lt;=COUNTIF(ListAndConversion!$CJ$4:$CQ$387,"&lt;&gt;-"),"Strips1","")</f>
        <v/>
      </c>
      <c r="D188" s="555" t="str">
        <f t="array" aca="1" ref="D18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88" s="555" t="str">
        <f t="array" aca="1" ref="E18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88" s="555" t="str">
        <f t="shared" ca="1" si="2"/>
        <v/>
      </c>
      <c r="G188" s="555" t="str">
        <f ca="1">IF(D188&lt;=8,RunName_ExAmpPrep!$H$2,IF(D188&lt;=16,RunName_ExAmpPrep!$H$3,IF(D188&lt;=24,RunName_ExAmpPrep!$H$4,IF(D188&lt;=32,RunName_ExAmpPrep!$H$5,IF(D188&lt;=40,RunName_ExAmpPrep!$H$6,IF(D188&lt;=48,RunName_ExAmpPrep!$H$7,IF(D188&lt;=56,RunName_ExAmpPrep!$H$8,IF(D188&lt;=64,RunName_ExAmpPrep!$H$9,""))))))))</f>
        <v/>
      </c>
      <c r="H188" s="577" t="str">
        <f t="array" aca="1" ref="H18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89" spans="1:8" x14ac:dyDescent="0.65">
      <c r="A189" s="554" t="str">
        <f t="array" aca="1" ref="A18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89" s="555" t="str">
        <f t="array" aca="1" ref="B18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89" s="555" t="str">
        <f ca="1">IF((ROW()-1)&lt;=COUNTIF(ListAndConversion!$CJ$4:$CQ$387,"&lt;&gt;-"),"Strips1","")</f>
        <v/>
      </c>
      <c r="D189" s="555" t="str">
        <f t="array" aca="1" ref="D18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89" s="555" t="str">
        <f t="array" aca="1" ref="E18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89" s="555" t="str">
        <f t="shared" ca="1" si="2"/>
        <v/>
      </c>
      <c r="G189" s="555" t="str">
        <f ca="1">IF(D189&lt;=8,RunName_ExAmpPrep!$H$2,IF(D189&lt;=16,RunName_ExAmpPrep!$H$3,IF(D189&lt;=24,RunName_ExAmpPrep!$H$4,IF(D189&lt;=32,RunName_ExAmpPrep!$H$5,IF(D189&lt;=40,RunName_ExAmpPrep!$H$6,IF(D189&lt;=48,RunName_ExAmpPrep!$H$7,IF(D189&lt;=56,RunName_ExAmpPrep!$H$8,IF(D189&lt;=64,RunName_ExAmpPrep!$H$9,""))))))))</f>
        <v/>
      </c>
      <c r="H189" s="577" t="str">
        <f t="array" aca="1" ref="H18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90" spans="1:8" x14ac:dyDescent="0.65">
      <c r="A190" s="554" t="str">
        <f t="array" aca="1" ref="A19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90" s="555" t="str">
        <f t="array" aca="1" ref="B19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90" s="555" t="str">
        <f ca="1">IF((ROW()-1)&lt;=COUNTIF(ListAndConversion!$CJ$4:$CQ$387,"&lt;&gt;-"),"Strips1","")</f>
        <v/>
      </c>
      <c r="D190" s="555" t="str">
        <f t="array" aca="1" ref="D19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90" s="555" t="str">
        <f t="array" aca="1" ref="E19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90" s="555" t="str">
        <f t="shared" ca="1" si="2"/>
        <v/>
      </c>
      <c r="G190" s="555" t="str">
        <f ca="1">IF(D190&lt;=8,RunName_ExAmpPrep!$H$2,IF(D190&lt;=16,RunName_ExAmpPrep!$H$3,IF(D190&lt;=24,RunName_ExAmpPrep!$H$4,IF(D190&lt;=32,RunName_ExAmpPrep!$H$5,IF(D190&lt;=40,RunName_ExAmpPrep!$H$6,IF(D190&lt;=48,RunName_ExAmpPrep!$H$7,IF(D190&lt;=56,RunName_ExAmpPrep!$H$8,IF(D190&lt;=64,RunName_ExAmpPrep!$H$9,""))))))))</f>
        <v/>
      </c>
      <c r="H190" s="577" t="str">
        <f t="array" aca="1" ref="H19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91" spans="1:8" x14ac:dyDescent="0.65">
      <c r="A191" s="554" t="str">
        <f t="array" aca="1" ref="A19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91" s="555" t="str">
        <f t="array" aca="1" ref="B19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91" s="555" t="str">
        <f ca="1">IF((ROW()-1)&lt;=COUNTIF(ListAndConversion!$CJ$4:$CQ$387,"&lt;&gt;-"),"Strips1","")</f>
        <v/>
      </c>
      <c r="D191" s="555" t="str">
        <f t="array" aca="1" ref="D19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91" s="555" t="str">
        <f t="array" aca="1" ref="E19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91" s="555" t="str">
        <f t="shared" ca="1" si="2"/>
        <v/>
      </c>
      <c r="G191" s="555" t="str">
        <f ca="1">IF(D191&lt;=8,RunName_ExAmpPrep!$H$2,IF(D191&lt;=16,RunName_ExAmpPrep!$H$3,IF(D191&lt;=24,RunName_ExAmpPrep!$H$4,IF(D191&lt;=32,RunName_ExAmpPrep!$H$5,IF(D191&lt;=40,RunName_ExAmpPrep!$H$6,IF(D191&lt;=48,RunName_ExAmpPrep!$H$7,IF(D191&lt;=56,RunName_ExAmpPrep!$H$8,IF(D191&lt;=64,RunName_ExAmpPrep!$H$9,""))))))))</f>
        <v/>
      </c>
      <c r="H191" s="577" t="str">
        <f t="array" aca="1" ref="H19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92" spans="1:8" x14ac:dyDescent="0.65">
      <c r="A192" s="554" t="str">
        <f t="array" aca="1" ref="A19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92" s="555" t="str">
        <f t="array" aca="1" ref="B19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92" s="555" t="str">
        <f ca="1">IF((ROW()-1)&lt;=COUNTIF(ListAndConversion!$CJ$4:$CQ$387,"&lt;&gt;-"),"Strips1","")</f>
        <v/>
      </c>
      <c r="D192" s="555" t="str">
        <f t="array" aca="1" ref="D19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92" s="555" t="str">
        <f t="array" aca="1" ref="E19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92" s="555" t="str">
        <f t="shared" ca="1" si="2"/>
        <v/>
      </c>
      <c r="G192" s="555" t="str">
        <f ca="1">IF(D192&lt;=8,RunName_ExAmpPrep!$H$2,IF(D192&lt;=16,RunName_ExAmpPrep!$H$3,IF(D192&lt;=24,RunName_ExAmpPrep!$H$4,IF(D192&lt;=32,RunName_ExAmpPrep!$H$5,IF(D192&lt;=40,RunName_ExAmpPrep!$H$6,IF(D192&lt;=48,RunName_ExAmpPrep!$H$7,IF(D192&lt;=56,RunName_ExAmpPrep!$H$8,IF(D192&lt;=64,RunName_ExAmpPrep!$H$9,""))))))))</f>
        <v/>
      </c>
      <c r="H192" s="577" t="str">
        <f t="array" aca="1" ref="H19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93" spans="1:8" x14ac:dyDescent="0.65">
      <c r="A193" s="554" t="str">
        <f t="array" aca="1" ref="A19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93" s="555" t="str">
        <f t="array" aca="1" ref="B19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93" s="555" t="str">
        <f ca="1">IF((ROW()-1)&lt;=COUNTIF(ListAndConversion!$CJ$4:$CQ$387,"&lt;&gt;-"),"Strips1","")</f>
        <v/>
      </c>
      <c r="D193" s="555" t="str">
        <f t="array" aca="1" ref="D19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93" s="555" t="str">
        <f t="array" aca="1" ref="E19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93" s="555" t="str">
        <f t="shared" ca="1" si="2"/>
        <v/>
      </c>
      <c r="G193" s="555" t="str">
        <f ca="1">IF(D193&lt;=8,RunName_ExAmpPrep!$H$2,IF(D193&lt;=16,RunName_ExAmpPrep!$H$3,IF(D193&lt;=24,RunName_ExAmpPrep!$H$4,IF(D193&lt;=32,RunName_ExAmpPrep!$H$5,IF(D193&lt;=40,RunName_ExAmpPrep!$H$6,IF(D193&lt;=48,RunName_ExAmpPrep!$H$7,IF(D193&lt;=56,RunName_ExAmpPrep!$H$8,IF(D193&lt;=64,RunName_ExAmpPrep!$H$9,""))))))))</f>
        <v/>
      </c>
      <c r="H193" s="577" t="str">
        <f t="array" aca="1" ref="H19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94" spans="1:8" x14ac:dyDescent="0.65">
      <c r="A194" s="554" t="str">
        <f t="array" aca="1" ref="A19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94" s="555" t="str">
        <f t="array" aca="1" ref="B19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94" s="555" t="str">
        <f ca="1">IF((ROW()-1)&lt;=COUNTIF(ListAndConversion!$CJ$4:$CQ$387,"&lt;&gt;-"),"Strips1","")</f>
        <v/>
      </c>
      <c r="D194" s="555" t="str">
        <f t="array" aca="1" ref="D19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94" s="555" t="str">
        <f t="array" aca="1" ref="E19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94" s="555" t="str">
        <f t="shared" ref="F194:F257" ca="1" si="3">IF(D194&lt;=32,"Microfuge1",IF(D194&lt;=64,"Microfuge2",""))</f>
        <v/>
      </c>
      <c r="G194" s="555" t="str">
        <f ca="1">IF(D194&lt;=8,RunName_ExAmpPrep!$H$2,IF(D194&lt;=16,RunName_ExAmpPrep!$H$3,IF(D194&lt;=24,RunName_ExAmpPrep!$H$4,IF(D194&lt;=32,RunName_ExAmpPrep!$H$5,IF(D194&lt;=40,RunName_ExAmpPrep!$H$6,IF(D194&lt;=48,RunName_ExAmpPrep!$H$7,IF(D194&lt;=56,RunName_ExAmpPrep!$H$8,IF(D194&lt;=64,RunName_ExAmpPrep!$H$9,""))))))))</f>
        <v/>
      </c>
      <c r="H194" s="577" t="str">
        <f t="array" aca="1" ref="H19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95" spans="1:8" x14ac:dyDescent="0.65">
      <c r="A195" s="554" t="str">
        <f t="array" aca="1" ref="A19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95" s="555" t="str">
        <f t="array" aca="1" ref="B19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95" s="555" t="str">
        <f ca="1">IF((ROW()-1)&lt;=COUNTIF(ListAndConversion!$CJ$4:$CQ$387,"&lt;&gt;-"),"Strips1","")</f>
        <v/>
      </c>
      <c r="D195" s="555" t="str">
        <f t="array" aca="1" ref="D19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95" s="555" t="str">
        <f t="array" aca="1" ref="E19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95" s="555" t="str">
        <f t="shared" ca="1" si="3"/>
        <v/>
      </c>
      <c r="G195" s="555" t="str">
        <f ca="1">IF(D195&lt;=8,RunName_ExAmpPrep!$H$2,IF(D195&lt;=16,RunName_ExAmpPrep!$H$3,IF(D195&lt;=24,RunName_ExAmpPrep!$H$4,IF(D195&lt;=32,RunName_ExAmpPrep!$H$5,IF(D195&lt;=40,RunName_ExAmpPrep!$H$6,IF(D195&lt;=48,RunName_ExAmpPrep!$H$7,IF(D195&lt;=56,RunName_ExAmpPrep!$H$8,IF(D195&lt;=64,RunName_ExAmpPrep!$H$9,""))))))))</f>
        <v/>
      </c>
      <c r="H195" s="577" t="str">
        <f t="array" aca="1" ref="H19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96" spans="1:8" x14ac:dyDescent="0.65">
      <c r="A196" s="554" t="str">
        <f t="array" aca="1" ref="A19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96" s="555" t="str">
        <f t="array" aca="1" ref="B19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96" s="555" t="str">
        <f ca="1">IF((ROW()-1)&lt;=COUNTIF(ListAndConversion!$CJ$4:$CQ$387,"&lt;&gt;-"),"Strips1","")</f>
        <v/>
      </c>
      <c r="D196" s="555" t="str">
        <f t="array" aca="1" ref="D19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96" s="555" t="str">
        <f t="array" aca="1" ref="E19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96" s="555" t="str">
        <f t="shared" ca="1" si="3"/>
        <v/>
      </c>
      <c r="G196" s="555" t="str">
        <f ca="1">IF(D196&lt;=8,RunName_ExAmpPrep!$H$2,IF(D196&lt;=16,RunName_ExAmpPrep!$H$3,IF(D196&lt;=24,RunName_ExAmpPrep!$H$4,IF(D196&lt;=32,RunName_ExAmpPrep!$H$5,IF(D196&lt;=40,RunName_ExAmpPrep!$H$6,IF(D196&lt;=48,RunName_ExAmpPrep!$H$7,IF(D196&lt;=56,RunName_ExAmpPrep!$H$8,IF(D196&lt;=64,RunName_ExAmpPrep!$H$9,""))))))))</f>
        <v/>
      </c>
      <c r="H196" s="577" t="str">
        <f t="array" aca="1" ref="H19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97" spans="1:8" x14ac:dyDescent="0.65">
      <c r="A197" s="554" t="str">
        <f t="array" aca="1" ref="A19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97" s="555" t="str">
        <f t="array" aca="1" ref="B19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97" s="555" t="str">
        <f ca="1">IF((ROW()-1)&lt;=COUNTIF(ListAndConversion!$CJ$4:$CQ$387,"&lt;&gt;-"),"Strips1","")</f>
        <v/>
      </c>
      <c r="D197" s="555" t="str">
        <f t="array" aca="1" ref="D19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97" s="555" t="str">
        <f t="array" aca="1" ref="E19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97" s="555" t="str">
        <f t="shared" ca="1" si="3"/>
        <v/>
      </c>
      <c r="G197" s="555" t="str">
        <f ca="1">IF(D197&lt;=8,RunName_ExAmpPrep!$H$2,IF(D197&lt;=16,RunName_ExAmpPrep!$H$3,IF(D197&lt;=24,RunName_ExAmpPrep!$H$4,IF(D197&lt;=32,RunName_ExAmpPrep!$H$5,IF(D197&lt;=40,RunName_ExAmpPrep!$H$6,IF(D197&lt;=48,RunName_ExAmpPrep!$H$7,IF(D197&lt;=56,RunName_ExAmpPrep!$H$8,IF(D197&lt;=64,RunName_ExAmpPrep!$H$9,""))))))))</f>
        <v/>
      </c>
      <c r="H197" s="577" t="str">
        <f t="array" aca="1" ref="H19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98" spans="1:8" x14ac:dyDescent="0.65">
      <c r="A198" s="554" t="str">
        <f t="array" aca="1" ref="A19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98" s="555" t="str">
        <f t="array" aca="1" ref="B19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98" s="555" t="str">
        <f ca="1">IF((ROW()-1)&lt;=COUNTIF(ListAndConversion!$CJ$4:$CQ$387,"&lt;&gt;-"),"Strips1","")</f>
        <v/>
      </c>
      <c r="D198" s="555" t="str">
        <f t="array" aca="1" ref="D19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98" s="555" t="str">
        <f t="array" aca="1" ref="E19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98" s="555" t="str">
        <f t="shared" ca="1" si="3"/>
        <v/>
      </c>
      <c r="G198" s="555" t="str">
        <f ca="1">IF(D198&lt;=8,RunName_ExAmpPrep!$H$2,IF(D198&lt;=16,RunName_ExAmpPrep!$H$3,IF(D198&lt;=24,RunName_ExAmpPrep!$H$4,IF(D198&lt;=32,RunName_ExAmpPrep!$H$5,IF(D198&lt;=40,RunName_ExAmpPrep!$H$6,IF(D198&lt;=48,RunName_ExAmpPrep!$H$7,IF(D198&lt;=56,RunName_ExAmpPrep!$H$8,IF(D198&lt;=64,RunName_ExAmpPrep!$H$9,""))))))))</f>
        <v/>
      </c>
      <c r="H198" s="577" t="str">
        <f t="array" aca="1" ref="H19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199" spans="1:8" x14ac:dyDescent="0.65">
      <c r="A199" s="554" t="str">
        <f t="array" aca="1" ref="A19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199" s="555" t="str">
        <f t="array" aca="1" ref="B19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199" s="555" t="str">
        <f ca="1">IF((ROW()-1)&lt;=COUNTIF(ListAndConversion!$CJ$4:$CQ$387,"&lt;&gt;-"),"Strips1","")</f>
        <v/>
      </c>
      <c r="D199" s="555" t="str">
        <f t="array" aca="1" ref="D19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199" s="555" t="str">
        <f t="array" aca="1" ref="E19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199" s="555" t="str">
        <f t="shared" ca="1" si="3"/>
        <v/>
      </c>
      <c r="G199" s="555" t="str">
        <f ca="1">IF(D199&lt;=8,RunName_ExAmpPrep!$H$2,IF(D199&lt;=16,RunName_ExAmpPrep!$H$3,IF(D199&lt;=24,RunName_ExAmpPrep!$H$4,IF(D199&lt;=32,RunName_ExAmpPrep!$H$5,IF(D199&lt;=40,RunName_ExAmpPrep!$H$6,IF(D199&lt;=48,RunName_ExAmpPrep!$H$7,IF(D199&lt;=56,RunName_ExAmpPrep!$H$8,IF(D199&lt;=64,RunName_ExAmpPrep!$H$9,""))))))))</f>
        <v/>
      </c>
      <c r="H199" s="577" t="str">
        <f t="array" aca="1" ref="H19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00" spans="1:8" x14ac:dyDescent="0.65">
      <c r="A200" s="554" t="str">
        <f t="array" aca="1" ref="A20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00" s="555" t="str">
        <f t="array" aca="1" ref="B20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00" s="555" t="str">
        <f ca="1">IF((ROW()-1)&lt;=COUNTIF(ListAndConversion!$CJ$4:$CQ$387,"&lt;&gt;-"),"Strips1","")</f>
        <v/>
      </c>
      <c r="D200" s="555" t="str">
        <f t="array" aca="1" ref="D20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00" s="555" t="str">
        <f t="array" aca="1" ref="E20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00" s="555" t="str">
        <f t="shared" ca="1" si="3"/>
        <v/>
      </c>
      <c r="G200" s="555" t="str">
        <f ca="1">IF(D200&lt;=8,RunName_ExAmpPrep!$H$2,IF(D200&lt;=16,RunName_ExAmpPrep!$H$3,IF(D200&lt;=24,RunName_ExAmpPrep!$H$4,IF(D200&lt;=32,RunName_ExAmpPrep!$H$5,IF(D200&lt;=40,RunName_ExAmpPrep!$H$6,IF(D200&lt;=48,RunName_ExAmpPrep!$H$7,IF(D200&lt;=56,RunName_ExAmpPrep!$H$8,IF(D200&lt;=64,RunName_ExAmpPrep!$H$9,""))))))))</f>
        <v/>
      </c>
      <c r="H200" s="577" t="str">
        <f t="array" aca="1" ref="H20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01" spans="1:8" x14ac:dyDescent="0.65">
      <c r="A201" s="554" t="str">
        <f t="array" aca="1" ref="A20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01" s="555" t="str">
        <f t="array" aca="1" ref="B20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01" s="555" t="str">
        <f ca="1">IF((ROW()-1)&lt;=COUNTIF(ListAndConversion!$CJ$4:$CQ$387,"&lt;&gt;-"),"Strips1","")</f>
        <v/>
      </c>
      <c r="D201" s="555" t="str">
        <f t="array" aca="1" ref="D20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01" s="555" t="str">
        <f t="array" aca="1" ref="E20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01" s="555" t="str">
        <f t="shared" ca="1" si="3"/>
        <v/>
      </c>
      <c r="G201" s="555" t="str">
        <f ca="1">IF(D201&lt;=8,RunName_ExAmpPrep!$H$2,IF(D201&lt;=16,RunName_ExAmpPrep!$H$3,IF(D201&lt;=24,RunName_ExAmpPrep!$H$4,IF(D201&lt;=32,RunName_ExAmpPrep!$H$5,IF(D201&lt;=40,RunName_ExAmpPrep!$H$6,IF(D201&lt;=48,RunName_ExAmpPrep!$H$7,IF(D201&lt;=56,RunName_ExAmpPrep!$H$8,IF(D201&lt;=64,RunName_ExAmpPrep!$H$9,""))))))))</f>
        <v/>
      </c>
      <c r="H201" s="577" t="str">
        <f t="array" aca="1" ref="H20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02" spans="1:8" x14ac:dyDescent="0.65">
      <c r="A202" s="554" t="str">
        <f t="array" aca="1" ref="A20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02" s="555" t="str">
        <f t="array" aca="1" ref="B20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02" s="555" t="str">
        <f ca="1">IF((ROW()-1)&lt;=COUNTIF(ListAndConversion!$CJ$4:$CQ$387,"&lt;&gt;-"),"Strips1","")</f>
        <v/>
      </c>
      <c r="D202" s="555" t="str">
        <f t="array" aca="1" ref="D20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02" s="555" t="str">
        <f t="array" aca="1" ref="E20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02" s="555" t="str">
        <f t="shared" ca="1" si="3"/>
        <v/>
      </c>
      <c r="G202" s="555" t="str">
        <f ca="1">IF(D202&lt;=8,RunName_ExAmpPrep!$H$2,IF(D202&lt;=16,RunName_ExAmpPrep!$H$3,IF(D202&lt;=24,RunName_ExAmpPrep!$H$4,IF(D202&lt;=32,RunName_ExAmpPrep!$H$5,IF(D202&lt;=40,RunName_ExAmpPrep!$H$6,IF(D202&lt;=48,RunName_ExAmpPrep!$H$7,IF(D202&lt;=56,RunName_ExAmpPrep!$H$8,IF(D202&lt;=64,RunName_ExAmpPrep!$H$9,""))))))))</f>
        <v/>
      </c>
      <c r="H202" s="577" t="str">
        <f t="array" aca="1" ref="H20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03" spans="1:8" x14ac:dyDescent="0.65">
      <c r="A203" s="554" t="str">
        <f t="array" aca="1" ref="A20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03" s="555" t="str">
        <f t="array" aca="1" ref="B20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03" s="555" t="str">
        <f ca="1">IF((ROW()-1)&lt;=COUNTIF(ListAndConversion!$CJ$4:$CQ$387,"&lt;&gt;-"),"Strips1","")</f>
        <v/>
      </c>
      <c r="D203" s="555" t="str">
        <f t="array" aca="1" ref="D20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03" s="555" t="str">
        <f t="array" aca="1" ref="E20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03" s="555" t="str">
        <f t="shared" ca="1" si="3"/>
        <v/>
      </c>
      <c r="G203" s="555" t="str">
        <f ca="1">IF(D203&lt;=8,RunName_ExAmpPrep!$H$2,IF(D203&lt;=16,RunName_ExAmpPrep!$H$3,IF(D203&lt;=24,RunName_ExAmpPrep!$H$4,IF(D203&lt;=32,RunName_ExAmpPrep!$H$5,IF(D203&lt;=40,RunName_ExAmpPrep!$H$6,IF(D203&lt;=48,RunName_ExAmpPrep!$H$7,IF(D203&lt;=56,RunName_ExAmpPrep!$H$8,IF(D203&lt;=64,RunName_ExAmpPrep!$H$9,""))))))))</f>
        <v/>
      </c>
      <c r="H203" s="577" t="str">
        <f t="array" aca="1" ref="H20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04" spans="1:8" x14ac:dyDescent="0.65">
      <c r="A204" s="554" t="str">
        <f t="array" aca="1" ref="A20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04" s="555" t="str">
        <f t="array" aca="1" ref="B20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04" s="555" t="str">
        <f ca="1">IF((ROW()-1)&lt;=COUNTIF(ListAndConversion!$CJ$4:$CQ$387,"&lt;&gt;-"),"Strips1","")</f>
        <v/>
      </c>
      <c r="D204" s="555" t="str">
        <f t="array" aca="1" ref="D20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04" s="555" t="str">
        <f t="array" aca="1" ref="E20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04" s="555" t="str">
        <f t="shared" ca="1" si="3"/>
        <v/>
      </c>
      <c r="G204" s="555" t="str">
        <f ca="1">IF(D204&lt;=8,RunName_ExAmpPrep!$H$2,IF(D204&lt;=16,RunName_ExAmpPrep!$H$3,IF(D204&lt;=24,RunName_ExAmpPrep!$H$4,IF(D204&lt;=32,RunName_ExAmpPrep!$H$5,IF(D204&lt;=40,RunName_ExAmpPrep!$H$6,IF(D204&lt;=48,RunName_ExAmpPrep!$H$7,IF(D204&lt;=56,RunName_ExAmpPrep!$H$8,IF(D204&lt;=64,RunName_ExAmpPrep!$H$9,""))))))))</f>
        <v/>
      </c>
      <c r="H204" s="577" t="str">
        <f t="array" aca="1" ref="H20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05" spans="1:8" x14ac:dyDescent="0.65">
      <c r="A205" s="554" t="str">
        <f t="array" aca="1" ref="A20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05" s="555" t="str">
        <f t="array" aca="1" ref="B20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05" s="555" t="str">
        <f ca="1">IF((ROW()-1)&lt;=COUNTIF(ListAndConversion!$CJ$4:$CQ$387,"&lt;&gt;-"),"Strips1","")</f>
        <v/>
      </c>
      <c r="D205" s="555" t="str">
        <f t="array" aca="1" ref="D20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05" s="555" t="str">
        <f t="array" aca="1" ref="E20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05" s="555" t="str">
        <f t="shared" ca="1" si="3"/>
        <v/>
      </c>
      <c r="G205" s="555" t="str">
        <f ca="1">IF(D205&lt;=8,RunName_ExAmpPrep!$H$2,IF(D205&lt;=16,RunName_ExAmpPrep!$H$3,IF(D205&lt;=24,RunName_ExAmpPrep!$H$4,IF(D205&lt;=32,RunName_ExAmpPrep!$H$5,IF(D205&lt;=40,RunName_ExAmpPrep!$H$6,IF(D205&lt;=48,RunName_ExAmpPrep!$H$7,IF(D205&lt;=56,RunName_ExAmpPrep!$H$8,IF(D205&lt;=64,RunName_ExAmpPrep!$H$9,""))))))))</f>
        <v/>
      </c>
      <c r="H205" s="577" t="str">
        <f t="array" aca="1" ref="H20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06" spans="1:8" x14ac:dyDescent="0.65">
      <c r="A206" s="554" t="str">
        <f t="array" aca="1" ref="A20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06" s="555" t="str">
        <f t="array" aca="1" ref="B20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06" s="555" t="str">
        <f ca="1">IF((ROW()-1)&lt;=COUNTIF(ListAndConversion!$CJ$4:$CQ$387,"&lt;&gt;-"),"Strips1","")</f>
        <v/>
      </c>
      <c r="D206" s="555" t="str">
        <f t="array" aca="1" ref="D20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06" s="555" t="str">
        <f t="array" aca="1" ref="E20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06" s="555" t="str">
        <f t="shared" ca="1" si="3"/>
        <v/>
      </c>
      <c r="G206" s="555" t="str">
        <f ca="1">IF(D206&lt;=8,RunName_ExAmpPrep!$H$2,IF(D206&lt;=16,RunName_ExAmpPrep!$H$3,IF(D206&lt;=24,RunName_ExAmpPrep!$H$4,IF(D206&lt;=32,RunName_ExAmpPrep!$H$5,IF(D206&lt;=40,RunName_ExAmpPrep!$H$6,IF(D206&lt;=48,RunName_ExAmpPrep!$H$7,IF(D206&lt;=56,RunName_ExAmpPrep!$H$8,IF(D206&lt;=64,RunName_ExAmpPrep!$H$9,""))))))))</f>
        <v/>
      </c>
      <c r="H206" s="577" t="str">
        <f t="array" aca="1" ref="H20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07" spans="1:8" x14ac:dyDescent="0.65">
      <c r="A207" s="554" t="str">
        <f t="array" aca="1" ref="A20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07" s="555" t="str">
        <f t="array" aca="1" ref="B20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07" s="555" t="str">
        <f ca="1">IF((ROW()-1)&lt;=COUNTIF(ListAndConversion!$CJ$4:$CQ$387,"&lt;&gt;-"),"Strips1","")</f>
        <v/>
      </c>
      <c r="D207" s="555" t="str">
        <f t="array" aca="1" ref="D20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07" s="555" t="str">
        <f t="array" aca="1" ref="E20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07" s="555" t="str">
        <f t="shared" ca="1" si="3"/>
        <v/>
      </c>
      <c r="G207" s="555" t="str">
        <f ca="1">IF(D207&lt;=8,RunName_ExAmpPrep!$H$2,IF(D207&lt;=16,RunName_ExAmpPrep!$H$3,IF(D207&lt;=24,RunName_ExAmpPrep!$H$4,IF(D207&lt;=32,RunName_ExAmpPrep!$H$5,IF(D207&lt;=40,RunName_ExAmpPrep!$H$6,IF(D207&lt;=48,RunName_ExAmpPrep!$H$7,IF(D207&lt;=56,RunName_ExAmpPrep!$H$8,IF(D207&lt;=64,RunName_ExAmpPrep!$H$9,""))))))))</f>
        <v/>
      </c>
      <c r="H207" s="577" t="str">
        <f t="array" aca="1" ref="H20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08" spans="1:8" x14ac:dyDescent="0.65">
      <c r="A208" s="554" t="str">
        <f t="array" aca="1" ref="A20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08" s="555" t="str">
        <f t="array" aca="1" ref="B20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08" s="555" t="str">
        <f ca="1">IF((ROW()-1)&lt;=COUNTIF(ListAndConversion!$CJ$4:$CQ$387,"&lt;&gt;-"),"Strips1","")</f>
        <v/>
      </c>
      <c r="D208" s="555" t="str">
        <f t="array" aca="1" ref="D20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08" s="555" t="str">
        <f t="array" aca="1" ref="E20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08" s="555" t="str">
        <f t="shared" ca="1" si="3"/>
        <v/>
      </c>
      <c r="G208" s="555" t="str">
        <f ca="1">IF(D208&lt;=8,RunName_ExAmpPrep!$H$2,IF(D208&lt;=16,RunName_ExAmpPrep!$H$3,IF(D208&lt;=24,RunName_ExAmpPrep!$H$4,IF(D208&lt;=32,RunName_ExAmpPrep!$H$5,IF(D208&lt;=40,RunName_ExAmpPrep!$H$6,IF(D208&lt;=48,RunName_ExAmpPrep!$H$7,IF(D208&lt;=56,RunName_ExAmpPrep!$H$8,IF(D208&lt;=64,RunName_ExAmpPrep!$H$9,""))))))))</f>
        <v/>
      </c>
      <c r="H208" s="577" t="str">
        <f t="array" aca="1" ref="H20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09" spans="1:8" x14ac:dyDescent="0.65">
      <c r="A209" s="554" t="str">
        <f t="array" aca="1" ref="A20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09" s="555" t="str">
        <f t="array" aca="1" ref="B20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09" s="555" t="str">
        <f ca="1">IF((ROW()-1)&lt;=COUNTIF(ListAndConversion!$CJ$4:$CQ$387,"&lt;&gt;-"),"Strips1","")</f>
        <v/>
      </c>
      <c r="D209" s="555" t="str">
        <f t="array" aca="1" ref="D20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09" s="555" t="str">
        <f t="array" aca="1" ref="E20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09" s="555" t="str">
        <f t="shared" ca="1" si="3"/>
        <v/>
      </c>
      <c r="G209" s="555" t="str">
        <f ca="1">IF(D209&lt;=8,RunName_ExAmpPrep!$H$2,IF(D209&lt;=16,RunName_ExAmpPrep!$H$3,IF(D209&lt;=24,RunName_ExAmpPrep!$H$4,IF(D209&lt;=32,RunName_ExAmpPrep!$H$5,IF(D209&lt;=40,RunName_ExAmpPrep!$H$6,IF(D209&lt;=48,RunName_ExAmpPrep!$H$7,IF(D209&lt;=56,RunName_ExAmpPrep!$H$8,IF(D209&lt;=64,RunName_ExAmpPrep!$H$9,""))))))))</f>
        <v/>
      </c>
      <c r="H209" s="577" t="str">
        <f t="array" aca="1" ref="H20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10" spans="1:8" x14ac:dyDescent="0.65">
      <c r="A210" s="554" t="str">
        <f t="array" aca="1" ref="A21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10" s="555" t="str">
        <f t="array" aca="1" ref="B21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10" s="555" t="str">
        <f ca="1">IF((ROW()-1)&lt;=COUNTIF(ListAndConversion!$CJ$4:$CQ$387,"&lt;&gt;-"),"Strips1","")</f>
        <v/>
      </c>
      <c r="D210" s="555" t="str">
        <f t="array" aca="1" ref="D21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10" s="555" t="str">
        <f t="array" aca="1" ref="E21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10" s="555" t="str">
        <f t="shared" ca="1" si="3"/>
        <v/>
      </c>
      <c r="G210" s="555" t="str">
        <f ca="1">IF(D210&lt;=8,RunName_ExAmpPrep!$H$2,IF(D210&lt;=16,RunName_ExAmpPrep!$H$3,IF(D210&lt;=24,RunName_ExAmpPrep!$H$4,IF(D210&lt;=32,RunName_ExAmpPrep!$H$5,IF(D210&lt;=40,RunName_ExAmpPrep!$H$6,IF(D210&lt;=48,RunName_ExAmpPrep!$H$7,IF(D210&lt;=56,RunName_ExAmpPrep!$H$8,IF(D210&lt;=64,RunName_ExAmpPrep!$H$9,""))))))))</f>
        <v/>
      </c>
      <c r="H210" s="577" t="str">
        <f t="array" aca="1" ref="H21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11" spans="1:8" x14ac:dyDescent="0.65">
      <c r="A211" s="554" t="str">
        <f t="array" aca="1" ref="A21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11" s="555" t="str">
        <f t="array" aca="1" ref="B21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11" s="555" t="str">
        <f ca="1">IF((ROW()-1)&lt;=COUNTIF(ListAndConversion!$CJ$4:$CQ$387,"&lt;&gt;-"),"Strips1","")</f>
        <v/>
      </c>
      <c r="D211" s="555" t="str">
        <f t="array" aca="1" ref="D21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11" s="555" t="str">
        <f t="array" aca="1" ref="E21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11" s="555" t="str">
        <f t="shared" ca="1" si="3"/>
        <v/>
      </c>
      <c r="G211" s="555" t="str">
        <f ca="1">IF(D211&lt;=8,RunName_ExAmpPrep!$H$2,IF(D211&lt;=16,RunName_ExAmpPrep!$H$3,IF(D211&lt;=24,RunName_ExAmpPrep!$H$4,IF(D211&lt;=32,RunName_ExAmpPrep!$H$5,IF(D211&lt;=40,RunName_ExAmpPrep!$H$6,IF(D211&lt;=48,RunName_ExAmpPrep!$H$7,IF(D211&lt;=56,RunName_ExAmpPrep!$H$8,IF(D211&lt;=64,RunName_ExAmpPrep!$H$9,""))))))))</f>
        <v/>
      </c>
      <c r="H211" s="577" t="str">
        <f t="array" aca="1" ref="H21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12" spans="1:8" x14ac:dyDescent="0.65">
      <c r="A212" s="554" t="str">
        <f t="array" aca="1" ref="A21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12" s="555" t="str">
        <f t="array" aca="1" ref="B21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12" s="555" t="str">
        <f ca="1">IF((ROW()-1)&lt;=COUNTIF(ListAndConversion!$CJ$4:$CQ$387,"&lt;&gt;-"),"Strips1","")</f>
        <v/>
      </c>
      <c r="D212" s="555" t="str">
        <f t="array" aca="1" ref="D21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12" s="555" t="str">
        <f t="array" aca="1" ref="E21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12" s="555" t="str">
        <f t="shared" ca="1" si="3"/>
        <v/>
      </c>
      <c r="G212" s="555" t="str">
        <f ca="1">IF(D212&lt;=8,RunName_ExAmpPrep!$H$2,IF(D212&lt;=16,RunName_ExAmpPrep!$H$3,IF(D212&lt;=24,RunName_ExAmpPrep!$H$4,IF(D212&lt;=32,RunName_ExAmpPrep!$H$5,IF(D212&lt;=40,RunName_ExAmpPrep!$H$6,IF(D212&lt;=48,RunName_ExAmpPrep!$H$7,IF(D212&lt;=56,RunName_ExAmpPrep!$H$8,IF(D212&lt;=64,RunName_ExAmpPrep!$H$9,""))))))))</f>
        <v/>
      </c>
      <c r="H212" s="577" t="str">
        <f t="array" aca="1" ref="H21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13" spans="1:8" x14ac:dyDescent="0.65">
      <c r="A213" s="554" t="str">
        <f t="array" aca="1" ref="A21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13" s="555" t="str">
        <f t="array" aca="1" ref="B21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13" s="555" t="str">
        <f ca="1">IF((ROW()-1)&lt;=COUNTIF(ListAndConversion!$CJ$4:$CQ$387,"&lt;&gt;-"),"Strips1","")</f>
        <v/>
      </c>
      <c r="D213" s="555" t="str">
        <f t="array" aca="1" ref="D21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13" s="555" t="str">
        <f t="array" aca="1" ref="E21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13" s="555" t="str">
        <f t="shared" ca="1" si="3"/>
        <v/>
      </c>
      <c r="G213" s="555" t="str">
        <f ca="1">IF(D213&lt;=8,RunName_ExAmpPrep!$H$2,IF(D213&lt;=16,RunName_ExAmpPrep!$H$3,IF(D213&lt;=24,RunName_ExAmpPrep!$H$4,IF(D213&lt;=32,RunName_ExAmpPrep!$H$5,IF(D213&lt;=40,RunName_ExAmpPrep!$H$6,IF(D213&lt;=48,RunName_ExAmpPrep!$H$7,IF(D213&lt;=56,RunName_ExAmpPrep!$H$8,IF(D213&lt;=64,RunName_ExAmpPrep!$H$9,""))))))))</f>
        <v/>
      </c>
      <c r="H213" s="577" t="str">
        <f t="array" aca="1" ref="H21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14" spans="1:8" x14ac:dyDescent="0.65">
      <c r="A214" s="554" t="str">
        <f t="array" aca="1" ref="A21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14" s="555" t="str">
        <f t="array" aca="1" ref="B21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14" s="555" t="str">
        <f ca="1">IF((ROW()-1)&lt;=COUNTIF(ListAndConversion!$CJ$4:$CQ$387,"&lt;&gt;-"),"Strips1","")</f>
        <v/>
      </c>
      <c r="D214" s="555" t="str">
        <f t="array" aca="1" ref="D21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14" s="555" t="str">
        <f t="array" aca="1" ref="E21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14" s="555" t="str">
        <f t="shared" ca="1" si="3"/>
        <v/>
      </c>
      <c r="G214" s="555" t="str">
        <f ca="1">IF(D214&lt;=8,RunName_ExAmpPrep!$H$2,IF(D214&lt;=16,RunName_ExAmpPrep!$H$3,IF(D214&lt;=24,RunName_ExAmpPrep!$H$4,IF(D214&lt;=32,RunName_ExAmpPrep!$H$5,IF(D214&lt;=40,RunName_ExAmpPrep!$H$6,IF(D214&lt;=48,RunName_ExAmpPrep!$H$7,IF(D214&lt;=56,RunName_ExAmpPrep!$H$8,IF(D214&lt;=64,RunName_ExAmpPrep!$H$9,""))))))))</f>
        <v/>
      </c>
      <c r="H214" s="577" t="str">
        <f t="array" aca="1" ref="H21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15" spans="1:8" x14ac:dyDescent="0.65">
      <c r="A215" s="554" t="str">
        <f t="array" aca="1" ref="A21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15" s="555" t="str">
        <f t="array" aca="1" ref="B21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15" s="555" t="str">
        <f ca="1">IF((ROW()-1)&lt;=COUNTIF(ListAndConversion!$CJ$4:$CQ$387,"&lt;&gt;-"),"Strips1","")</f>
        <v/>
      </c>
      <c r="D215" s="555" t="str">
        <f t="array" aca="1" ref="D21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15" s="555" t="str">
        <f t="array" aca="1" ref="E21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15" s="555" t="str">
        <f t="shared" ca="1" si="3"/>
        <v/>
      </c>
      <c r="G215" s="555" t="str">
        <f ca="1">IF(D215&lt;=8,RunName_ExAmpPrep!$H$2,IF(D215&lt;=16,RunName_ExAmpPrep!$H$3,IF(D215&lt;=24,RunName_ExAmpPrep!$H$4,IF(D215&lt;=32,RunName_ExAmpPrep!$H$5,IF(D215&lt;=40,RunName_ExAmpPrep!$H$6,IF(D215&lt;=48,RunName_ExAmpPrep!$H$7,IF(D215&lt;=56,RunName_ExAmpPrep!$H$8,IF(D215&lt;=64,RunName_ExAmpPrep!$H$9,""))))))))</f>
        <v/>
      </c>
      <c r="H215" s="577" t="str">
        <f t="array" aca="1" ref="H21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16" spans="1:8" x14ac:dyDescent="0.65">
      <c r="A216" s="554" t="str">
        <f t="array" aca="1" ref="A21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16" s="555" t="str">
        <f t="array" aca="1" ref="B21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16" s="555" t="str">
        <f ca="1">IF((ROW()-1)&lt;=COUNTIF(ListAndConversion!$CJ$4:$CQ$387,"&lt;&gt;-"),"Strips1","")</f>
        <v/>
      </c>
      <c r="D216" s="555" t="str">
        <f t="array" aca="1" ref="D21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16" s="555" t="str">
        <f t="array" aca="1" ref="E21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16" s="555" t="str">
        <f t="shared" ca="1" si="3"/>
        <v/>
      </c>
      <c r="G216" s="555" t="str">
        <f ca="1">IF(D216&lt;=8,RunName_ExAmpPrep!$H$2,IF(D216&lt;=16,RunName_ExAmpPrep!$H$3,IF(D216&lt;=24,RunName_ExAmpPrep!$H$4,IF(D216&lt;=32,RunName_ExAmpPrep!$H$5,IF(D216&lt;=40,RunName_ExAmpPrep!$H$6,IF(D216&lt;=48,RunName_ExAmpPrep!$H$7,IF(D216&lt;=56,RunName_ExAmpPrep!$H$8,IF(D216&lt;=64,RunName_ExAmpPrep!$H$9,""))))))))</f>
        <v/>
      </c>
      <c r="H216" s="577" t="str">
        <f t="array" aca="1" ref="H21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17" spans="1:8" x14ac:dyDescent="0.65">
      <c r="A217" s="554" t="str">
        <f t="array" aca="1" ref="A21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17" s="555" t="str">
        <f t="array" aca="1" ref="B21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17" s="555" t="str">
        <f ca="1">IF((ROW()-1)&lt;=COUNTIF(ListAndConversion!$CJ$4:$CQ$387,"&lt;&gt;-"),"Strips1","")</f>
        <v/>
      </c>
      <c r="D217" s="555" t="str">
        <f t="array" aca="1" ref="D21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17" s="555" t="str">
        <f t="array" aca="1" ref="E21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17" s="555" t="str">
        <f t="shared" ca="1" si="3"/>
        <v/>
      </c>
      <c r="G217" s="555" t="str">
        <f ca="1">IF(D217&lt;=8,RunName_ExAmpPrep!$H$2,IF(D217&lt;=16,RunName_ExAmpPrep!$H$3,IF(D217&lt;=24,RunName_ExAmpPrep!$H$4,IF(D217&lt;=32,RunName_ExAmpPrep!$H$5,IF(D217&lt;=40,RunName_ExAmpPrep!$H$6,IF(D217&lt;=48,RunName_ExAmpPrep!$H$7,IF(D217&lt;=56,RunName_ExAmpPrep!$H$8,IF(D217&lt;=64,RunName_ExAmpPrep!$H$9,""))))))))</f>
        <v/>
      </c>
      <c r="H217" s="577" t="str">
        <f t="array" aca="1" ref="H21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18" spans="1:8" x14ac:dyDescent="0.65">
      <c r="A218" s="554" t="str">
        <f t="array" aca="1" ref="A21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18" s="555" t="str">
        <f t="array" aca="1" ref="B21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18" s="555" t="str">
        <f ca="1">IF((ROW()-1)&lt;=COUNTIF(ListAndConversion!$CJ$4:$CQ$387,"&lt;&gt;-"),"Strips1","")</f>
        <v/>
      </c>
      <c r="D218" s="555" t="str">
        <f t="array" aca="1" ref="D21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18" s="555" t="str">
        <f t="array" aca="1" ref="E21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18" s="555" t="str">
        <f t="shared" ca="1" si="3"/>
        <v/>
      </c>
      <c r="G218" s="555" t="str">
        <f ca="1">IF(D218&lt;=8,RunName_ExAmpPrep!$H$2,IF(D218&lt;=16,RunName_ExAmpPrep!$H$3,IF(D218&lt;=24,RunName_ExAmpPrep!$H$4,IF(D218&lt;=32,RunName_ExAmpPrep!$H$5,IF(D218&lt;=40,RunName_ExAmpPrep!$H$6,IF(D218&lt;=48,RunName_ExAmpPrep!$H$7,IF(D218&lt;=56,RunName_ExAmpPrep!$H$8,IF(D218&lt;=64,RunName_ExAmpPrep!$H$9,""))))))))</f>
        <v/>
      </c>
      <c r="H218" s="577" t="str">
        <f t="array" aca="1" ref="H21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19" spans="1:8" x14ac:dyDescent="0.65">
      <c r="A219" s="554" t="str">
        <f t="array" aca="1" ref="A21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19" s="555" t="str">
        <f t="array" aca="1" ref="B21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19" s="555" t="str">
        <f ca="1">IF((ROW()-1)&lt;=COUNTIF(ListAndConversion!$CJ$4:$CQ$387,"&lt;&gt;-"),"Strips1","")</f>
        <v/>
      </c>
      <c r="D219" s="555" t="str">
        <f t="array" aca="1" ref="D21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19" s="555" t="str">
        <f t="array" aca="1" ref="E21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19" s="555" t="str">
        <f t="shared" ca="1" si="3"/>
        <v/>
      </c>
      <c r="G219" s="555" t="str">
        <f ca="1">IF(D219&lt;=8,RunName_ExAmpPrep!$H$2,IF(D219&lt;=16,RunName_ExAmpPrep!$H$3,IF(D219&lt;=24,RunName_ExAmpPrep!$H$4,IF(D219&lt;=32,RunName_ExAmpPrep!$H$5,IF(D219&lt;=40,RunName_ExAmpPrep!$H$6,IF(D219&lt;=48,RunName_ExAmpPrep!$H$7,IF(D219&lt;=56,RunName_ExAmpPrep!$H$8,IF(D219&lt;=64,RunName_ExAmpPrep!$H$9,""))))))))</f>
        <v/>
      </c>
      <c r="H219" s="577" t="str">
        <f t="array" aca="1" ref="H21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20" spans="1:8" x14ac:dyDescent="0.65">
      <c r="A220" s="554" t="str">
        <f t="array" aca="1" ref="A22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20" s="555" t="str">
        <f t="array" aca="1" ref="B22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20" s="555" t="str">
        <f ca="1">IF((ROW()-1)&lt;=COUNTIF(ListAndConversion!$CJ$4:$CQ$387,"&lt;&gt;-"),"Strips1","")</f>
        <v/>
      </c>
      <c r="D220" s="555" t="str">
        <f t="array" aca="1" ref="D22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20" s="555" t="str">
        <f t="array" aca="1" ref="E22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20" s="555" t="str">
        <f t="shared" ca="1" si="3"/>
        <v/>
      </c>
      <c r="G220" s="555" t="str">
        <f ca="1">IF(D220&lt;=8,RunName_ExAmpPrep!$H$2,IF(D220&lt;=16,RunName_ExAmpPrep!$H$3,IF(D220&lt;=24,RunName_ExAmpPrep!$H$4,IF(D220&lt;=32,RunName_ExAmpPrep!$H$5,IF(D220&lt;=40,RunName_ExAmpPrep!$H$6,IF(D220&lt;=48,RunName_ExAmpPrep!$H$7,IF(D220&lt;=56,RunName_ExAmpPrep!$H$8,IF(D220&lt;=64,RunName_ExAmpPrep!$H$9,""))))))))</f>
        <v/>
      </c>
      <c r="H220" s="577" t="str">
        <f t="array" aca="1" ref="H22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21" spans="1:8" x14ac:dyDescent="0.65">
      <c r="A221" s="554" t="str">
        <f t="array" aca="1" ref="A22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21" s="555" t="str">
        <f t="array" aca="1" ref="B22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21" s="555" t="str">
        <f ca="1">IF((ROW()-1)&lt;=COUNTIF(ListAndConversion!$CJ$4:$CQ$387,"&lt;&gt;-"),"Strips1","")</f>
        <v/>
      </c>
      <c r="D221" s="555" t="str">
        <f t="array" aca="1" ref="D22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21" s="555" t="str">
        <f t="array" aca="1" ref="E22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21" s="555" t="str">
        <f t="shared" ca="1" si="3"/>
        <v/>
      </c>
      <c r="G221" s="555" t="str">
        <f ca="1">IF(D221&lt;=8,RunName_ExAmpPrep!$H$2,IF(D221&lt;=16,RunName_ExAmpPrep!$H$3,IF(D221&lt;=24,RunName_ExAmpPrep!$H$4,IF(D221&lt;=32,RunName_ExAmpPrep!$H$5,IF(D221&lt;=40,RunName_ExAmpPrep!$H$6,IF(D221&lt;=48,RunName_ExAmpPrep!$H$7,IF(D221&lt;=56,RunName_ExAmpPrep!$H$8,IF(D221&lt;=64,RunName_ExAmpPrep!$H$9,""))))))))</f>
        <v/>
      </c>
      <c r="H221" s="577" t="str">
        <f t="array" aca="1" ref="H22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22" spans="1:8" x14ac:dyDescent="0.65">
      <c r="A222" s="554" t="str">
        <f t="array" aca="1" ref="A22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22" s="555" t="str">
        <f t="array" aca="1" ref="B22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22" s="555" t="str">
        <f ca="1">IF((ROW()-1)&lt;=COUNTIF(ListAndConversion!$CJ$4:$CQ$387,"&lt;&gt;-"),"Strips1","")</f>
        <v/>
      </c>
      <c r="D222" s="555" t="str">
        <f t="array" aca="1" ref="D22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22" s="555" t="str">
        <f t="array" aca="1" ref="E22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22" s="555" t="str">
        <f t="shared" ca="1" si="3"/>
        <v/>
      </c>
      <c r="G222" s="555" t="str">
        <f ca="1">IF(D222&lt;=8,RunName_ExAmpPrep!$H$2,IF(D222&lt;=16,RunName_ExAmpPrep!$H$3,IF(D222&lt;=24,RunName_ExAmpPrep!$H$4,IF(D222&lt;=32,RunName_ExAmpPrep!$H$5,IF(D222&lt;=40,RunName_ExAmpPrep!$H$6,IF(D222&lt;=48,RunName_ExAmpPrep!$H$7,IF(D222&lt;=56,RunName_ExAmpPrep!$H$8,IF(D222&lt;=64,RunName_ExAmpPrep!$H$9,""))))))))</f>
        <v/>
      </c>
      <c r="H222" s="577" t="str">
        <f t="array" aca="1" ref="H22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23" spans="1:8" x14ac:dyDescent="0.65">
      <c r="A223" s="554" t="str">
        <f t="array" aca="1" ref="A22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23" s="555" t="str">
        <f t="array" aca="1" ref="B22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23" s="555" t="str">
        <f ca="1">IF((ROW()-1)&lt;=COUNTIF(ListAndConversion!$CJ$4:$CQ$387,"&lt;&gt;-"),"Strips1","")</f>
        <v/>
      </c>
      <c r="D223" s="555" t="str">
        <f t="array" aca="1" ref="D22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23" s="555" t="str">
        <f t="array" aca="1" ref="E22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23" s="555" t="str">
        <f t="shared" ca="1" si="3"/>
        <v/>
      </c>
      <c r="G223" s="555" t="str">
        <f ca="1">IF(D223&lt;=8,RunName_ExAmpPrep!$H$2,IF(D223&lt;=16,RunName_ExAmpPrep!$H$3,IF(D223&lt;=24,RunName_ExAmpPrep!$H$4,IF(D223&lt;=32,RunName_ExAmpPrep!$H$5,IF(D223&lt;=40,RunName_ExAmpPrep!$H$6,IF(D223&lt;=48,RunName_ExAmpPrep!$H$7,IF(D223&lt;=56,RunName_ExAmpPrep!$H$8,IF(D223&lt;=64,RunName_ExAmpPrep!$H$9,""))))))))</f>
        <v/>
      </c>
      <c r="H223" s="577" t="str">
        <f t="array" aca="1" ref="H22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24" spans="1:8" x14ac:dyDescent="0.65">
      <c r="A224" s="554" t="str">
        <f t="array" aca="1" ref="A22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24" s="555" t="str">
        <f t="array" aca="1" ref="B22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24" s="555" t="str">
        <f ca="1">IF((ROW()-1)&lt;=COUNTIF(ListAndConversion!$CJ$4:$CQ$387,"&lt;&gt;-"),"Strips1","")</f>
        <v/>
      </c>
      <c r="D224" s="555" t="str">
        <f t="array" aca="1" ref="D22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24" s="555" t="str">
        <f t="array" aca="1" ref="E22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24" s="555" t="str">
        <f t="shared" ca="1" si="3"/>
        <v/>
      </c>
      <c r="G224" s="555" t="str">
        <f ca="1">IF(D224&lt;=8,RunName_ExAmpPrep!$H$2,IF(D224&lt;=16,RunName_ExAmpPrep!$H$3,IF(D224&lt;=24,RunName_ExAmpPrep!$H$4,IF(D224&lt;=32,RunName_ExAmpPrep!$H$5,IF(D224&lt;=40,RunName_ExAmpPrep!$H$6,IF(D224&lt;=48,RunName_ExAmpPrep!$H$7,IF(D224&lt;=56,RunName_ExAmpPrep!$H$8,IF(D224&lt;=64,RunName_ExAmpPrep!$H$9,""))))))))</f>
        <v/>
      </c>
      <c r="H224" s="577" t="str">
        <f t="array" aca="1" ref="H22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25" spans="1:8" x14ac:dyDescent="0.65">
      <c r="A225" s="554" t="str">
        <f t="array" aca="1" ref="A22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25" s="555" t="str">
        <f t="array" aca="1" ref="B22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25" s="555" t="str">
        <f ca="1">IF((ROW()-1)&lt;=COUNTIF(ListAndConversion!$CJ$4:$CQ$387,"&lt;&gt;-"),"Strips1","")</f>
        <v/>
      </c>
      <c r="D225" s="555" t="str">
        <f t="array" aca="1" ref="D22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25" s="555" t="str">
        <f t="array" aca="1" ref="E22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25" s="555" t="str">
        <f t="shared" ca="1" si="3"/>
        <v/>
      </c>
      <c r="G225" s="555" t="str">
        <f ca="1">IF(D225&lt;=8,RunName_ExAmpPrep!$H$2,IF(D225&lt;=16,RunName_ExAmpPrep!$H$3,IF(D225&lt;=24,RunName_ExAmpPrep!$H$4,IF(D225&lt;=32,RunName_ExAmpPrep!$H$5,IF(D225&lt;=40,RunName_ExAmpPrep!$H$6,IF(D225&lt;=48,RunName_ExAmpPrep!$H$7,IF(D225&lt;=56,RunName_ExAmpPrep!$H$8,IF(D225&lt;=64,RunName_ExAmpPrep!$H$9,""))))))))</f>
        <v/>
      </c>
      <c r="H225" s="577" t="str">
        <f t="array" aca="1" ref="H22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26" spans="1:8" x14ac:dyDescent="0.65">
      <c r="A226" s="554" t="str">
        <f t="array" aca="1" ref="A22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26" s="555" t="str">
        <f t="array" aca="1" ref="B22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26" s="555" t="str">
        <f ca="1">IF((ROW()-1)&lt;=COUNTIF(ListAndConversion!$CJ$4:$CQ$387,"&lt;&gt;-"),"Strips1","")</f>
        <v/>
      </c>
      <c r="D226" s="555" t="str">
        <f t="array" aca="1" ref="D22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26" s="555" t="str">
        <f t="array" aca="1" ref="E22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26" s="555" t="str">
        <f t="shared" ca="1" si="3"/>
        <v/>
      </c>
      <c r="G226" s="555" t="str">
        <f ca="1">IF(D226&lt;=8,RunName_ExAmpPrep!$H$2,IF(D226&lt;=16,RunName_ExAmpPrep!$H$3,IF(D226&lt;=24,RunName_ExAmpPrep!$H$4,IF(D226&lt;=32,RunName_ExAmpPrep!$H$5,IF(D226&lt;=40,RunName_ExAmpPrep!$H$6,IF(D226&lt;=48,RunName_ExAmpPrep!$H$7,IF(D226&lt;=56,RunName_ExAmpPrep!$H$8,IF(D226&lt;=64,RunName_ExAmpPrep!$H$9,""))))))))</f>
        <v/>
      </c>
      <c r="H226" s="577" t="str">
        <f t="array" aca="1" ref="H22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27" spans="1:8" x14ac:dyDescent="0.65">
      <c r="A227" s="554" t="str">
        <f t="array" aca="1" ref="A22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27" s="555" t="str">
        <f t="array" aca="1" ref="B22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27" s="555" t="str">
        <f ca="1">IF((ROW()-1)&lt;=COUNTIF(ListAndConversion!$CJ$4:$CQ$387,"&lt;&gt;-"),"Strips1","")</f>
        <v/>
      </c>
      <c r="D227" s="555" t="str">
        <f t="array" aca="1" ref="D22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27" s="555" t="str">
        <f t="array" aca="1" ref="E22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27" s="555" t="str">
        <f t="shared" ca="1" si="3"/>
        <v/>
      </c>
      <c r="G227" s="555" t="str">
        <f ca="1">IF(D227&lt;=8,RunName_ExAmpPrep!$H$2,IF(D227&lt;=16,RunName_ExAmpPrep!$H$3,IF(D227&lt;=24,RunName_ExAmpPrep!$H$4,IF(D227&lt;=32,RunName_ExAmpPrep!$H$5,IF(D227&lt;=40,RunName_ExAmpPrep!$H$6,IF(D227&lt;=48,RunName_ExAmpPrep!$H$7,IF(D227&lt;=56,RunName_ExAmpPrep!$H$8,IF(D227&lt;=64,RunName_ExAmpPrep!$H$9,""))))))))</f>
        <v/>
      </c>
      <c r="H227" s="577" t="str">
        <f t="array" aca="1" ref="H22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28" spans="1:8" x14ac:dyDescent="0.65">
      <c r="A228" s="554" t="str">
        <f t="array" aca="1" ref="A22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28" s="555" t="str">
        <f t="array" aca="1" ref="B22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28" s="555" t="str">
        <f ca="1">IF((ROW()-1)&lt;=COUNTIF(ListAndConversion!$CJ$4:$CQ$387,"&lt;&gt;-"),"Strips1","")</f>
        <v/>
      </c>
      <c r="D228" s="555" t="str">
        <f t="array" aca="1" ref="D22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28" s="555" t="str">
        <f t="array" aca="1" ref="E22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28" s="555" t="str">
        <f t="shared" ca="1" si="3"/>
        <v/>
      </c>
      <c r="G228" s="555" t="str">
        <f ca="1">IF(D228&lt;=8,RunName_ExAmpPrep!$H$2,IF(D228&lt;=16,RunName_ExAmpPrep!$H$3,IF(D228&lt;=24,RunName_ExAmpPrep!$H$4,IF(D228&lt;=32,RunName_ExAmpPrep!$H$5,IF(D228&lt;=40,RunName_ExAmpPrep!$H$6,IF(D228&lt;=48,RunName_ExAmpPrep!$H$7,IF(D228&lt;=56,RunName_ExAmpPrep!$H$8,IF(D228&lt;=64,RunName_ExAmpPrep!$H$9,""))))))))</f>
        <v/>
      </c>
      <c r="H228" s="577" t="str">
        <f t="array" aca="1" ref="H22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29" spans="1:8" x14ac:dyDescent="0.65">
      <c r="A229" s="554" t="str">
        <f t="array" aca="1" ref="A22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29" s="555" t="str">
        <f t="array" aca="1" ref="B22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29" s="555" t="str">
        <f ca="1">IF((ROW()-1)&lt;=COUNTIF(ListAndConversion!$CJ$4:$CQ$387,"&lt;&gt;-"),"Strips1","")</f>
        <v/>
      </c>
      <c r="D229" s="555" t="str">
        <f t="array" aca="1" ref="D22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29" s="555" t="str">
        <f t="array" aca="1" ref="E22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29" s="555" t="str">
        <f t="shared" ca="1" si="3"/>
        <v/>
      </c>
      <c r="G229" s="555" t="str">
        <f ca="1">IF(D229&lt;=8,RunName_ExAmpPrep!$H$2,IF(D229&lt;=16,RunName_ExAmpPrep!$H$3,IF(D229&lt;=24,RunName_ExAmpPrep!$H$4,IF(D229&lt;=32,RunName_ExAmpPrep!$H$5,IF(D229&lt;=40,RunName_ExAmpPrep!$H$6,IF(D229&lt;=48,RunName_ExAmpPrep!$H$7,IF(D229&lt;=56,RunName_ExAmpPrep!$H$8,IF(D229&lt;=64,RunName_ExAmpPrep!$H$9,""))))))))</f>
        <v/>
      </c>
      <c r="H229" s="577" t="str">
        <f t="array" aca="1" ref="H22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30" spans="1:8" x14ac:dyDescent="0.65">
      <c r="A230" s="554" t="str">
        <f t="array" aca="1" ref="A23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30" s="555" t="str">
        <f t="array" aca="1" ref="B23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30" s="555" t="str">
        <f ca="1">IF((ROW()-1)&lt;=COUNTIF(ListAndConversion!$CJ$4:$CQ$387,"&lt;&gt;-"),"Strips1","")</f>
        <v/>
      </c>
      <c r="D230" s="555" t="str">
        <f t="array" aca="1" ref="D23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30" s="555" t="str">
        <f t="array" aca="1" ref="E23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30" s="555" t="str">
        <f t="shared" ca="1" si="3"/>
        <v/>
      </c>
      <c r="G230" s="555" t="str">
        <f ca="1">IF(D230&lt;=8,RunName_ExAmpPrep!$H$2,IF(D230&lt;=16,RunName_ExAmpPrep!$H$3,IF(D230&lt;=24,RunName_ExAmpPrep!$H$4,IF(D230&lt;=32,RunName_ExAmpPrep!$H$5,IF(D230&lt;=40,RunName_ExAmpPrep!$H$6,IF(D230&lt;=48,RunName_ExAmpPrep!$H$7,IF(D230&lt;=56,RunName_ExAmpPrep!$H$8,IF(D230&lt;=64,RunName_ExAmpPrep!$H$9,""))))))))</f>
        <v/>
      </c>
      <c r="H230" s="577" t="str">
        <f t="array" aca="1" ref="H23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31" spans="1:8" x14ac:dyDescent="0.65">
      <c r="A231" s="554" t="str">
        <f t="array" aca="1" ref="A23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31" s="555" t="str">
        <f t="array" aca="1" ref="B23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31" s="555" t="str">
        <f ca="1">IF((ROW()-1)&lt;=COUNTIF(ListAndConversion!$CJ$4:$CQ$387,"&lt;&gt;-"),"Strips1","")</f>
        <v/>
      </c>
      <c r="D231" s="555" t="str">
        <f t="array" aca="1" ref="D23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31" s="555" t="str">
        <f t="array" aca="1" ref="E23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31" s="555" t="str">
        <f t="shared" ca="1" si="3"/>
        <v/>
      </c>
      <c r="G231" s="555" t="str">
        <f ca="1">IF(D231&lt;=8,RunName_ExAmpPrep!$H$2,IF(D231&lt;=16,RunName_ExAmpPrep!$H$3,IF(D231&lt;=24,RunName_ExAmpPrep!$H$4,IF(D231&lt;=32,RunName_ExAmpPrep!$H$5,IF(D231&lt;=40,RunName_ExAmpPrep!$H$6,IF(D231&lt;=48,RunName_ExAmpPrep!$H$7,IF(D231&lt;=56,RunName_ExAmpPrep!$H$8,IF(D231&lt;=64,RunName_ExAmpPrep!$H$9,""))))))))</f>
        <v/>
      </c>
      <c r="H231" s="577" t="str">
        <f t="array" aca="1" ref="H23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32" spans="1:8" x14ac:dyDescent="0.65">
      <c r="A232" s="554" t="str">
        <f t="array" aca="1" ref="A23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32" s="555" t="str">
        <f t="array" aca="1" ref="B23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32" s="555" t="str">
        <f ca="1">IF((ROW()-1)&lt;=COUNTIF(ListAndConversion!$CJ$4:$CQ$387,"&lt;&gt;-"),"Strips1","")</f>
        <v/>
      </c>
      <c r="D232" s="555" t="str">
        <f t="array" aca="1" ref="D23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32" s="555" t="str">
        <f t="array" aca="1" ref="E23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32" s="555" t="str">
        <f t="shared" ca="1" si="3"/>
        <v/>
      </c>
      <c r="G232" s="555" t="str">
        <f ca="1">IF(D232&lt;=8,RunName_ExAmpPrep!$H$2,IF(D232&lt;=16,RunName_ExAmpPrep!$H$3,IF(D232&lt;=24,RunName_ExAmpPrep!$H$4,IF(D232&lt;=32,RunName_ExAmpPrep!$H$5,IF(D232&lt;=40,RunName_ExAmpPrep!$H$6,IF(D232&lt;=48,RunName_ExAmpPrep!$H$7,IF(D232&lt;=56,RunName_ExAmpPrep!$H$8,IF(D232&lt;=64,RunName_ExAmpPrep!$H$9,""))))))))</f>
        <v/>
      </c>
      <c r="H232" s="577" t="str">
        <f t="array" aca="1" ref="H23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33" spans="1:8" x14ac:dyDescent="0.65">
      <c r="A233" s="554" t="str">
        <f t="array" aca="1" ref="A23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33" s="555" t="str">
        <f t="array" aca="1" ref="B23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33" s="555" t="str">
        <f ca="1">IF((ROW()-1)&lt;=COUNTIF(ListAndConversion!$CJ$4:$CQ$387,"&lt;&gt;-"),"Strips1","")</f>
        <v/>
      </c>
      <c r="D233" s="555" t="str">
        <f t="array" aca="1" ref="D23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33" s="555" t="str">
        <f t="array" aca="1" ref="E23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33" s="555" t="str">
        <f t="shared" ca="1" si="3"/>
        <v/>
      </c>
      <c r="G233" s="555" t="str">
        <f ca="1">IF(D233&lt;=8,RunName_ExAmpPrep!$H$2,IF(D233&lt;=16,RunName_ExAmpPrep!$H$3,IF(D233&lt;=24,RunName_ExAmpPrep!$H$4,IF(D233&lt;=32,RunName_ExAmpPrep!$H$5,IF(D233&lt;=40,RunName_ExAmpPrep!$H$6,IF(D233&lt;=48,RunName_ExAmpPrep!$H$7,IF(D233&lt;=56,RunName_ExAmpPrep!$H$8,IF(D233&lt;=64,RunName_ExAmpPrep!$H$9,""))))))))</f>
        <v/>
      </c>
      <c r="H233" s="577" t="str">
        <f t="array" aca="1" ref="H23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34" spans="1:8" x14ac:dyDescent="0.65">
      <c r="A234" s="554" t="str">
        <f t="array" aca="1" ref="A23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34" s="555" t="str">
        <f t="array" aca="1" ref="B23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34" s="555" t="str">
        <f ca="1">IF((ROW()-1)&lt;=COUNTIF(ListAndConversion!$CJ$4:$CQ$387,"&lt;&gt;-"),"Strips1","")</f>
        <v/>
      </c>
      <c r="D234" s="555" t="str">
        <f t="array" aca="1" ref="D23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34" s="555" t="str">
        <f t="array" aca="1" ref="E23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34" s="555" t="str">
        <f t="shared" ca="1" si="3"/>
        <v/>
      </c>
      <c r="G234" s="555" t="str">
        <f ca="1">IF(D234&lt;=8,RunName_ExAmpPrep!$H$2,IF(D234&lt;=16,RunName_ExAmpPrep!$H$3,IF(D234&lt;=24,RunName_ExAmpPrep!$H$4,IF(D234&lt;=32,RunName_ExAmpPrep!$H$5,IF(D234&lt;=40,RunName_ExAmpPrep!$H$6,IF(D234&lt;=48,RunName_ExAmpPrep!$H$7,IF(D234&lt;=56,RunName_ExAmpPrep!$H$8,IF(D234&lt;=64,RunName_ExAmpPrep!$H$9,""))))))))</f>
        <v/>
      </c>
      <c r="H234" s="577" t="str">
        <f t="array" aca="1" ref="H23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35" spans="1:8" x14ac:dyDescent="0.65">
      <c r="A235" s="554" t="str">
        <f t="array" aca="1" ref="A23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35" s="555" t="str">
        <f t="array" aca="1" ref="B23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35" s="555" t="str">
        <f ca="1">IF((ROW()-1)&lt;=COUNTIF(ListAndConversion!$CJ$4:$CQ$387,"&lt;&gt;-"),"Strips1","")</f>
        <v/>
      </c>
      <c r="D235" s="555" t="str">
        <f t="array" aca="1" ref="D23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35" s="555" t="str">
        <f t="array" aca="1" ref="E23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35" s="555" t="str">
        <f t="shared" ca="1" si="3"/>
        <v/>
      </c>
      <c r="G235" s="555" t="str">
        <f ca="1">IF(D235&lt;=8,RunName_ExAmpPrep!$H$2,IF(D235&lt;=16,RunName_ExAmpPrep!$H$3,IF(D235&lt;=24,RunName_ExAmpPrep!$H$4,IF(D235&lt;=32,RunName_ExAmpPrep!$H$5,IF(D235&lt;=40,RunName_ExAmpPrep!$H$6,IF(D235&lt;=48,RunName_ExAmpPrep!$H$7,IF(D235&lt;=56,RunName_ExAmpPrep!$H$8,IF(D235&lt;=64,RunName_ExAmpPrep!$H$9,""))))))))</f>
        <v/>
      </c>
      <c r="H235" s="577" t="str">
        <f t="array" aca="1" ref="H23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36" spans="1:8" x14ac:dyDescent="0.65">
      <c r="A236" s="554" t="str">
        <f t="array" aca="1" ref="A23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36" s="555" t="str">
        <f t="array" aca="1" ref="B23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36" s="555" t="str">
        <f ca="1">IF((ROW()-1)&lt;=COUNTIF(ListAndConversion!$CJ$4:$CQ$387,"&lt;&gt;-"),"Strips1","")</f>
        <v/>
      </c>
      <c r="D236" s="555" t="str">
        <f t="array" aca="1" ref="D23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36" s="555" t="str">
        <f t="array" aca="1" ref="E23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36" s="555" t="str">
        <f t="shared" ca="1" si="3"/>
        <v/>
      </c>
      <c r="G236" s="555" t="str">
        <f ca="1">IF(D236&lt;=8,RunName_ExAmpPrep!$H$2,IF(D236&lt;=16,RunName_ExAmpPrep!$H$3,IF(D236&lt;=24,RunName_ExAmpPrep!$H$4,IF(D236&lt;=32,RunName_ExAmpPrep!$H$5,IF(D236&lt;=40,RunName_ExAmpPrep!$H$6,IF(D236&lt;=48,RunName_ExAmpPrep!$H$7,IF(D236&lt;=56,RunName_ExAmpPrep!$H$8,IF(D236&lt;=64,RunName_ExAmpPrep!$H$9,""))))))))</f>
        <v/>
      </c>
      <c r="H236" s="577" t="str">
        <f t="array" aca="1" ref="H23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37" spans="1:8" x14ac:dyDescent="0.65">
      <c r="A237" s="554" t="str">
        <f t="array" aca="1" ref="A23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37" s="555" t="str">
        <f t="array" aca="1" ref="B23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37" s="555" t="str">
        <f ca="1">IF((ROW()-1)&lt;=COUNTIF(ListAndConversion!$CJ$4:$CQ$387,"&lt;&gt;-"),"Strips1","")</f>
        <v/>
      </c>
      <c r="D237" s="555" t="str">
        <f t="array" aca="1" ref="D23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37" s="555" t="str">
        <f t="array" aca="1" ref="E23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37" s="555" t="str">
        <f t="shared" ca="1" si="3"/>
        <v/>
      </c>
      <c r="G237" s="555" t="str">
        <f ca="1">IF(D237&lt;=8,RunName_ExAmpPrep!$H$2,IF(D237&lt;=16,RunName_ExAmpPrep!$H$3,IF(D237&lt;=24,RunName_ExAmpPrep!$H$4,IF(D237&lt;=32,RunName_ExAmpPrep!$H$5,IF(D237&lt;=40,RunName_ExAmpPrep!$H$6,IF(D237&lt;=48,RunName_ExAmpPrep!$H$7,IF(D237&lt;=56,RunName_ExAmpPrep!$H$8,IF(D237&lt;=64,RunName_ExAmpPrep!$H$9,""))))))))</f>
        <v/>
      </c>
      <c r="H237" s="577" t="str">
        <f t="array" aca="1" ref="H23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38" spans="1:8" x14ac:dyDescent="0.65">
      <c r="A238" s="554" t="str">
        <f t="array" aca="1" ref="A23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38" s="555" t="str">
        <f t="array" aca="1" ref="B23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38" s="555" t="str">
        <f ca="1">IF((ROW()-1)&lt;=COUNTIF(ListAndConversion!$CJ$4:$CQ$387,"&lt;&gt;-"),"Strips1","")</f>
        <v/>
      </c>
      <c r="D238" s="555" t="str">
        <f t="array" aca="1" ref="D23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38" s="555" t="str">
        <f t="array" aca="1" ref="E23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38" s="555" t="str">
        <f t="shared" ca="1" si="3"/>
        <v/>
      </c>
      <c r="G238" s="555" t="str">
        <f ca="1">IF(D238&lt;=8,RunName_ExAmpPrep!$H$2,IF(D238&lt;=16,RunName_ExAmpPrep!$H$3,IF(D238&lt;=24,RunName_ExAmpPrep!$H$4,IF(D238&lt;=32,RunName_ExAmpPrep!$H$5,IF(D238&lt;=40,RunName_ExAmpPrep!$H$6,IF(D238&lt;=48,RunName_ExAmpPrep!$H$7,IF(D238&lt;=56,RunName_ExAmpPrep!$H$8,IF(D238&lt;=64,RunName_ExAmpPrep!$H$9,""))))))))</f>
        <v/>
      </c>
      <c r="H238" s="577" t="str">
        <f t="array" aca="1" ref="H23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39" spans="1:8" x14ac:dyDescent="0.65">
      <c r="A239" s="554" t="str">
        <f t="array" aca="1" ref="A23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39" s="555" t="str">
        <f t="array" aca="1" ref="B23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39" s="555" t="str">
        <f ca="1">IF((ROW()-1)&lt;=COUNTIF(ListAndConversion!$CJ$4:$CQ$387,"&lt;&gt;-"),"Strips1","")</f>
        <v/>
      </c>
      <c r="D239" s="555" t="str">
        <f t="array" aca="1" ref="D23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39" s="555" t="str">
        <f t="array" aca="1" ref="E23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39" s="555" t="str">
        <f t="shared" ca="1" si="3"/>
        <v/>
      </c>
      <c r="G239" s="555" t="str">
        <f ca="1">IF(D239&lt;=8,RunName_ExAmpPrep!$H$2,IF(D239&lt;=16,RunName_ExAmpPrep!$H$3,IF(D239&lt;=24,RunName_ExAmpPrep!$H$4,IF(D239&lt;=32,RunName_ExAmpPrep!$H$5,IF(D239&lt;=40,RunName_ExAmpPrep!$H$6,IF(D239&lt;=48,RunName_ExAmpPrep!$H$7,IF(D239&lt;=56,RunName_ExAmpPrep!$H$8,IF(D239&lt;=64,RunName_ExAmpPrep!$H$9,""))))))))</f>
        <v/>
      </c>
      <c r="H239" s="577" t="str">
        <f t="array" aca="1" ref="H23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40" spans="1:8" x14ac:dyDescent="0.65">
      <c r="A240" s="554" t="str">
        <f t="array" aca="1" ref="A24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40" s="555" t="str">
        <f t="array" aca="1" ref="B24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40" s="555" t="str">
        <f ca="1">IF((ROW()-1)&lt;=COUNTIF(ListAndConversion!$CJ$4:$CQ$387,"&lt;&gt;-"),"Strips1","")</f>
        <v/>
      </c>
      <c r="D240" s="555" t="str">
        <f t="array" aca="1" ref="D24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40" s="555" t="str">
        <f t="array" aca="1" ref="E24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40" s="555" t="str">
        <f t="shared" ca="1" si="3"/>
        <v/>
      </c>
      <c r="G240" s="555" t="str">
        <f ca="1">IF(D240&lt;=8,RunName_ExAmpPrep!$H$2,IF(D240&lt;=16,RunName_ExAmpPrep!$H$3,IF(D240&lt;=24,RunName_ExAmpPrep!$H$4,IF(D240&lt;=32,RunName_ExAmpPrep!$H$5,IF(D240&lt;=40,RunName_ExAmpPrep!$H$6,IF(D240&lt;=48,RunName_ExAmpPrep!$H$7,IF(D240&lt;=56,RunName_ExAmpPrep!$H$8,IF(D240&lt;=64,RunName_ExAmpPrep!$H$9,""))))))))</f>
        <v/>
      </c>
      <c r="H240" s="577" t="str">
        <f t="array" aca="1" ref="H24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41" spans="1:8" x14ac:dyDescent="0.65">
      <c r="A241" s="554" t="str">
        <f t="array" aca="1" ref="A24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41" s="555" t="str">
        <f t="array" aca="1" ref="B24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41" s="555" t="str">
        <f ca="1">IF((ROW()-1)&lt;=COUNTIF(ListAndConversion!$CJ$4:$CQ$387,"&lt;&gt;-"),"Strips1","")</f>
        <v/>
      </c>
      <c r="D241" s="555" t="str">
        <f t="array" aca="1" ref="D24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41" s="555" t="str">
        <f t="array" aca="1" ref="E24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41" s="555" t="str">
        <f t="shared" ca="1" si="3"/>
        <v/>
      </c>
      <c r="G241" s="555" t="str">
        <f ca="1">IF(D241&lt;=8,RunName_ExAmpPrep!$H$2,IF(D241&lt;=16,RunName_ExAmpPrep!$H$3,IF(D241&lt;=24,RunName_ExAmpPrep!$H$4,IF(D241&lt;=32,RunName_ExAmpPrep!$H$5,IF(D241&lt;=40,RunName_ExAmpPrep!$H$6,IF(D241&lt;=48,RunName_ExAmpPrep!$H$7,IF(D241&lt;=56,RunName_ExAmpPrep!$H$8,IF(D241&lt;=64,RunName_ExAmpPrep!$H$9,""))))))))</f>
        <v/>
      </c>
      <c r="H241" s="577" t="str">
        <f t="array" aca="1" ref="H24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42" spans="1:8" x14ac:dyDescent="0.65">
      <c r="A242" s="554" t="str">
        <f t="array" aca="1" ref="A24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42" s="555" t="str">
        <f t="array" aca="1" ref="B24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42" s="555" t="str">
        <f ca="1">IF((ROW()-1)&lt;=COUNTIF(ListAndConversion!$CJ$4:$CQ$387,"&lt;&gt;-"),"Strips1","")</f>
        <v/>
      </c>
      <c r="D242" s="555" t="str">
        <f t="array" aca="1" ref="D24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42" s="555" t="str">
        <f t="array" aca="1" ref="E24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42" s="555" t="str">
        <f t="shared" ca="1" si="3"/>
        <v/>
      </c>
      <c r="G242" s="555" t="str">
        <f ca="1">IF(D242&lt;=8,RunName_ExAmpPrep!$H$2,IF(D242&lt;=16,RunName_ExAmpPrep!$H$3,IF(D242&lt;=24,RunName_ExAmpPrep!$H$4,IF(D242&lt;=32,RunName_ExAmpPrep!$H$5,IF(D242&lt;=40,RunName_ExAmpPrep!$H$6,IF(D242&lt;=48,RunName_ExAmpPrep!$H$7,IF(D242&lt;=56,RunName_ExAmpPrep!$H$8,IF(D242&lt;=64,RunName_ExAmpPrep!$H$9,""))))))))</f>
        <v/>
      </c>
      <c r="H242" s="577" t="str">
        <f t="array" aca="1" ref="H24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43" spans="1:8" x14ac:dyDescent="0.65">
      <c r="A243" s="554" t="str">
        <f t="array" aca="1" ref="A24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43" s="555" t="str">
        <f t="array" aca="1" ref="B24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43" s="555" t="str">
        <f ca="1">IF((ROW()-1)&lt;=COUNTIF(ListAndConversion!$CJ$4:$CQ$387,"&lt;&gt;-"),"Strips1","")</f>
        <v/>
      </c>
      <c r="D243" s="555" t="str">
        <f t="array" aca="1" ref="D24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43" s="555" t="str">
        <f t="array" aca="1" ref="E24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43" s="555" t="str">
        <f t="shared" ca="1" si="3"/>
        <v/>
      </c>
      <c r="G243" s="555" t="str">
        <f ca="1">IF(D243&lt;=8,RunName_ExAmpPrep!$H$2,IF(D243&lt;=16,RunName_ExAmpPrep!$H$3,IF(D243&lt;=24,RunName_ExAmpPrep!$H$4,IF(D243&lt;=32,RunName_ExAmpPrep!$H$5,IF(D243&lt;=40,RunName_ExAmpPrep!$H$6,IF(D243&lt;=48,RunName_ExAmpPrep!$H$7,IF(D243&lt;=56,RunName_ExAmpPrep!$H$8,IF(D243&lt;=64,RunName_ExAmpPrep!$H$9,""))))))))</f>
        <v/>
      </c>
      <c r="H243" s="577" t="str">
        <f t="array" aca="1" ref="H24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44" spans="1:8" x14ac:dyDescent="0.65">
      <c r="A244" s="554" t="str">
        <f t="array" aca="1" ref="A24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44" s="555" t="str">
        <f t="array" aca="1" ref="B24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44" s="555" t="str">
        <f ca="1">IF((ROW()-1)&lt;=COUNTIF(ListAndConversion!$CJ$4:$CQ$387,"&lt;&gt;-"),"Strips1","")</f>
        <v/>
      </c>
      <c r="D244" s="555" t="str">
        <f t="array" aca="1" ref="D24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44" s="555" t="str">
        <f t="array" aca="1" ref="E24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44" s="555" t="str">
        <f t="shared" ca="1" si="3"/>
        <v/>
      </c>
      <c r="G244" s="555" t="str">
        <f ca="1">IF(D244&lt;=8,RunName_ExAmpPrep!$H$2,IF(D244&lt;=16,RunName_ExAmpPrep!$H$3,IF(D244&lt;=24,RunName_ExAmpPrep!$H$4,IF(D244&lt;=32,RunName_ExAmpPrep!$H$5,IF(D244&lt;=40,RunName_ExAmpPrep!$H$6,IF(D244&lt;=48,RunName_ExAmpPrep!$H$7,IF(D244&lt;=56,RunName_ExAmpPrep!$H$8,IF(D244&lt;=64,RunName_ExAmpPrep!$H$9,""))))))))</f>
        <v/>
      </c>
      <c r="H244" s="577" t="str">
        <f t="array" aca="1" ref="H24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45" spans="1:8" x14ac:dyDescent="0.65">
      <c r="A245" s="554" t="str">
        <f t="array" aca="1" ref="A24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45" s="555" t="str">
        <f t="array" aca="1" ref="B24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45" s="555" t="str">
        <f ca="1">IF((ROW()-1)&lt;=COUNTIF(ListAndConversion!$CJ$4:$CQ$387,"&lt;&gt;-"),"Strips1","")</f>
        <v/>
      </c>
      <c r="D245" s="555" t="str">
        <f t="array" aca="1" ref="D24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45" s="555" t="str">
        <f t="array" aca="1" ref="E24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45" s="555" t="str">
        <f t="shared" ca="1" si="3"/>
        <v/>
      </c>
      <c r="G245" s="555" t="str">
        <f ca="1">IF(D245&lt;=8,RunName_ExAmpPrep!$H$2,IF(D245&lt;=16,RunName_ExAmpPrep!$H$3,IF(D245&lt;=24,RunName_ExAmpPrep!$H$4,IF(D245&lt;=32,RunName_ExAmpPrep!$H$5,IF(D245&lt;=40,RunName_ExAmpPrep!$H$6,IF(D245&lt;=48,RunName_ExAmpPrep!$H$7,IF(D245&lt;=56,RunName_ExAmpPrep!$H$8,IF(D245&lt;=64,RunName_ExAmpPrep!$H$9,""))))))))</f>
        <v/>
      </c>
      <c r="H245" s="577" t="str">
        <f t="array" aca="1" ref="H24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46" spans="1:8" x14ac:dyDescent="0.65">
      <c r="A246" s="554" t="str">
        <f t="array" aca="1" ref="A24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46" s="555" t="str">
        <f t="array" aca="1" ref="B24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46" s="555" t="str">
        <f ca="1">IF((ROW()-1)&lt;=COUNTIF(ListAndConversion!$CJ$4:$CQ$387,"&lt;&gt;-"),"Strips1","")</f>
        <v/>
      </c>
      <c r="D246" s="555" t="str">
        <f t="array" aca="1" ref="D24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46" s="555" t="str">
        <f t="array" aca="1" ref="E24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46" s="555" t="str">
        <f t="shared" ca="1" si="3"/>
        <v/>
      </c>
      <c r="G246" s="555" t="str">
        <f ca="1">IF(D246&lt;=8,RunName_ExAmpPrep!$H$2,IF(D246&lt;=16,RunName_ExAmpPrep!$H$3,IF(D246&lt;=24,RunName_ExAmpPrep!$H$4,IF(D246&lt;=32,RunName_ExAmpPrep!$H$5,IF(D246&lt;=40,RunName_ExAmpPrep!$H$6,IF(D246&lt;=48,RunName_ExAmpPrep!$H$7,IF(D246&lt;=56,RunName_ExAmpPrep!$H$8,IF(D246&lt;=64,RunName_ExAmpPrep!$H$9,""))))))))</f>
        <v/>
      </c>
      <c r="H246" s="577" t="str">
        <f t="array" aca="1" ref="H24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47" spans="1:8" x14ac:dyDescent="0.65">
      <c r="A247" s="554" t="str">
        <f t="array" aca="1" ref="A24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47" s="555" t="str">
        <f t="array" aca="1" ref="B24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47" s="555" t="str">
        <f ca="1">IF((ROW()-1)&lt;=COUNTIF(ListAndConversion!$CJ$4:$CQ$387,"&lt;&gt;-"),"Strips1","")</f>
        <v/>
      </c>
      <c r="D247" s="555" t="str">
        <f t="array" aca="1" ref="D24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47" s="555" t="str">
        <f t="array" aca="1" ref="E24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47" s="555" t="str">
        <f t="shared" ca="1" si="3"/>
        <v/>
      </c>
      <c r="G247" s="555" t="str">
        <f ca="1">IF(D247&lt;=8,RunName_ExAmpPrep!$H$2,IF(D247&lt;=16,RunName_ExAmpPrep!$H$3,IF(D247&lt;=24,RunName_ExAmpPrep!$H$4,IF(D247&lt;=32,RunName_ExAmpPrep!$H$5,IF(D247&lt;=40,RunName_ExAmpPrep!$H$6,IF(D247&lt;=48,RunName_ExAmpPrep!$H$7,IF(D247&lt;=56,RunName_ExAmpPrep!$H$8,IF(D247&lt;=64,RunName_ExAmpPrep!$H$9,""))))))))</f>
        <v/>
      </c>
      <c r="H247" s="577" t="str">
        <f t="array" aca="1" ref="H24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48" spans="1:8" x14ac:dyDescent="0.65">
      <c r="A248" s="554" t="str">
        <f t="array" aca="1" ref="A24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48" s="555" t="str">
        <f t="array" aca="1" ref="B24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48" s="555" t="str">
        <f ca="1">IF((ROW()-1)&lt;=COUNTIF(ListAndConversion!$CJ$4:$CQ$387,"&lt;&gt;-"),"Strips1","")</f>
        <v/>
      </c>
      <c r="D248" s="555" t="str">
        <f t="array" aca="1" ref="D24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48" s="555" t="str">
        <f t="array" aca="1" ref="E24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48" s="555" t="str">
        <f t="shared" ca="1" si="3"/>
        <v/>
      </c>
      <c r="G248" s="555" t="str">
        <f ca="1">IF(D248&lt;=8,RunName_ExAmpPrep!$H$2,IF(D248&lt;=16,RunName_ExAmpPrep!$H$3,IF(D248&lt;=24,RunName_ExAmpPrep!$H$4,IF(D248&lt;=32,RunName_ExAmpPrep!$H$5,IF(D248&lt;=40,RunName_ExAmpPrep!$H$6,IF(D248&lt;=48,RunName_ExAmpPrep!$H$7,IF(D248&lt;=56,RunName_ExAmpPrep!$H$8,IF(D248&lt;=64,RunName_ExAmpPrep!$H$9,""))))))))</f>
        <v/>
      </c>
      <c r="H248" s="577" t="str">
        <f t="array" aca="1" ref="H24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49" spans="1:8" x14ac:dyDescent="0.65">
      <c r="A249" s="554" t="str">
        <f t="array" aca="1" ref="A24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49" s="555" t="str">
        <f t="array" aca="1" ref="B24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49" s="555" t="str">
        <f ca="1">IF((ROW()-1)&lt;=COUNTIF(ListAndConversion!$CJ$4:$CQ$387,"&lt;&gt;-"),"Strips1","")</f>
        <v/>
      </c>
      <c r="D249" s="555" t="str">
        <f t="array" aca="1" ref="D24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49" s="555" t="str">
        <f t="array" aca="1" ref="E24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49" s="555" t="str">
        <f t="shared" ca="1" si="3"/>
        <v/>
      </c>
      <c r="G249" s="555" t="str">
        <f ca="1">IF(D249&lt;=8,RunName_ExAmpPrep!$H$2,IF(D249&lt;=16,RunName_ExAmpPrep!$H$3,IF(D249&lt;=24,RunName_ExAmpPrep!$H$4,IF(D249&lt;=32,RunName_ExAmpPrep!$H$5,IF(D249&lt;=40,RunName_ExAmpPrep!$H$6,IF(D249&lt;=48,RunName_ExAmpPrep!$H$7,IF(D249&lt;=56,RunName_ExAmpPrep!$H$8,IF(D249&lt;=64,RunName_ExAmpPrep!$H$9,""))))))))</f>
        <v/>
      </c>
      <c r="H249" s="577" t="str">
        <f t="array" aca="1" ref="H24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50" spans="1:8" x14ac:dyDescent="0.65">
      <c r="A250" s="554" t="str">
        <f t="array" aca="1" ref="A25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50" s="555" t="str">
        <f t="array" aca="1" ref="B25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50" s="555" t="str">
        <f ca="1">IF((ROW()-1)&lt;=COUNTIF(ListAndConversion!$CJ$4:$CQ$387,"&lt;&gt;-"),"Strips1","")</f>
        <v/>
      </c>
      <c r="D250" s="555" t="str">
        <f t="array" aca="1" ref="D25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50" s="555" t="str">
        <f t="array" aca="1" ref="E25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50" s="555" t="str">
        <f t="shared" ca="1" si="3"/>
        <v/>
      </c>
      <c r="G250" s="555" t="str">
        <f ca="1">IF(D250&lt;=8,RunName_ExAmpPrep!$H$2,IF(D250&lt;=16,RunName_ExAmpPrep!$H$3,IF(D250&lt;=24,RunName_ExAmpPrep!$H$4,IF(D250&lt;=32,RunName_ExAmpPrep!$H$5,IF(D250&lt;=40,RunName_ExAmpPrep!$H$6,IF(D250&lt;=48,RunName_ExAmpPrep!$H$7,IF(D250&lt;=56,RunName_ExAmpPrep!$H$8,IF(D250&lt;=64,RunName_ExAmpPrep!$H$9,""))))))))</f>
        <v/>
      </c>
      <c r="H250" s="577" t="str">
        <f t="array" aca="1" ref="H25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51" spans="1:8" x14ac:dyDescent="0.65">
      <c r="A251" s="554" t="str">
        <f t="array" aca="1" ref="A25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51" s="555" t="str">
        <f t="array" aca="1" ref="B25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51" s="555" t="str">
        <f ca="1">IF((ROW()-1)&lt;=COUNTIF(ListAndConversion!$CJ$4:$CQ$387,"&lt;&gt;-"),"Strips1","")</f>
        <v/>
      </c>
      <c r="D251" s="555" t="str">
        <f t="array" aca="1" ref="D25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51" s="555" t="str">
        <f t="array" aca="1" ref="E25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51" s="555" t="str">
        <f t="shared" ca="1" si="3"/>
        <v/>
      </c>
      <c r="G251" s="555" t="str">
        <f ca="1">IF(D251&lt;=8,RunName_ExAmpPrep!$H$2,IF(D251&lt;=16,RunName_ExAmpPrep!$H$3,IF(D251&lt;=24,RunName_ExAmpPrep!$H$4,IF(D251&lt;=32,RunName_ExAmpPrep!$H$5,IF(D251&lt;=40,RunName_ExAmpPrep!$H$6,IF(D251&lt;=48,RunName_ExAmpPrep!$H$7,IF(D251&lt;=56,RunName_ExAmpPrep!$H$8,IF(D251&lt;=64,RunName_ExAmpPrep!$H$9,""))))))))</f>
        <v/>
      </c>
      <c r="H251" s="577" t="str">
        <f t="array" aca="1" ref="H25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52" spans="1:8" x14ac:dyDescent="0.65">
      <c r="A252" s="554" t="str">
        <f t="array" aca="1" ref="A25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52" s="555" t="str">
        <f t="array" aca="1" ref="B25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52" s="555" t="str">
        <f ca="1">IF((ROW()-1)&lt;=COUNTIF(ListAndConversion!$CJ$4:$CQ$387,"&lt;&gt;-"),"Strips1","")</f>
        <v/>
      </c>
      <c r="D252" s="555" t="str">
        <f t="array" aca="1" ref="D25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52" s="555" t="str">
        <f t="array" aca="1" ref="E25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52" s="555" t="str">
        <f t="shared" ca="1" si="3"/>
        <v/>
      </c>
      <c r="G252" s="555" t="str">
        <f ca="1">IF(D252&lt;=8,RunName_ExAmpPrep!$H$2,IF(D252&lt;=16,RunName_ExAmpPrep!$H$3,IF(D252&lt;=24,RunName_ExAmpPrep!$H$4,IF(D252&lt;=32,RunName_ExAmpPrep!$H$5,IF(D252&lt;=40,RunName_ExAmpPrep!$H$6,IF(D252&lt;=48,RunName_ExAmpPrep!$H$7,IF(D252&lt;=56,RunName_ExAmpPrep!$H$8,IF(D252&lt;=64,RunName_ExAmpPrep!$H$9,""))))))))</f>
        <v/>
      </c>
      <c r="H252" s="577" t="str">
        <f t="array" aca="1" ref="H25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53" spans="1:8" x14ac:dyDescent="0.65">
      <c r="A253" s="554" t="str">
        <f t="array" aca="1" ref="A25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53" s="555" t="str">
        <f t="array" aca="1" ref="B25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53" s="555" t="str">
        <f ca="1">IF((ROW()-1)&lt;=COUNTIF(ListAndConversion!$CJ$4:$CQ$387,"&lt;&gt;-"),"Strips1","")</f>
        <v/>
      </c>
      <c r="D253" s="555" t="str">
        <f t="array" aca="1" ref="D25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53" s="555" t="str">
        <f t="array" aca="1" ref="E25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53" s="555" t="str">
        <f t="shared" ca="1" si="3"/>
        <v/>
      </c>
      <c r="G253" s="555" t="str">
        <f ca="1">IF(D253&lt;=8,RunName_ExAmpPrep!$H$2,IF(D253&lt;=16,RunName_ExAmpPrep!$H$3,IF(D253&lt;=24,RunName_ExAmpPrep!$H$4,IF(D253&lt;=32,RunName_ExAmpPrep!$H$5,IF(D253&lt;=40,RunName_ExAmpPrep!$H$6,IF(D253&lt;=48,RunName_ExAmpPrep!$H$7,IF(D253&lt;=56,RunName_ExAmpPrep!$H$8,IF(D253&lt;=64,RunName_ExAmpPrep!$H$9,""))))))))</f>
        <v/>
      </c>
      <c r="H253" s="577" t="str">
        <f t="array" aca="1" ref="H25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54" spans="1:8" x14ac:dyDescent="0.65">
      <c r="A254" s="554" t="str">
        <f t="array" aca="1" ref="A25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54" s="555" t="str">
        <f t="array" aca="1" ref="B25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54" s="555" t="str">
        <f ca="1">IF((ROW()-1)&lt;=COUNTIF(ListAndConversion!$CJ$4:$CQ$387,"&lt;&gt;-"),"Strips1","")</f>
        <v/>
      </c>
      <c r="D254" s="555" t="str">
        <f t="array" aca="1" ref="D25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54" s="555" t="str">
        <f t="array" aca="1" ref="E25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54" s="555" t="str">
        <f t="shared" ca="1" si="3"/>
        <v/>
      </c>
      <c r="G254" s="555" t="str">
        <f ca="1">IF(D254&lt;=8,RunName_ExAmpPrep!$H$2,IF(D254&lt;=16,RunName_ExAmpPrep!$H$3,IF(D254&lt;=24,RunName_ExAmpPrep!$H$4,IF(D254&lt;=32,RunName_ExAmpPrep!$H$5,IF(D254&lt;=40,RunName_ExAmpPrep!$H$6,IF(D254&lt;=48,RunName_ExAmpPrep!$H$7,IF(D254&lt;=56,RunName_ExAmpPrep!$H$8,IF(D254&lt;=64,RunName_ExAmpPrep!$H$9,""))))))))</f>
        <v/>
      </c>
      <c r="H254" s="577" t="str">
        <f t="array" aca="1" ref="H25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55" spans="1:8" x14ac:dyDescent="0.65">
      <c r="A255" s="554" t="str">
        <f t="array" aca="1" ref="A25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55" s="555" t="str">
        <f t="array" aca="1" ref="B25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55" s="555" t="str">
        <f ca="1">IF((ROW()-1)&lt;=COUNTIF(ListAndConversion!$CJ$4:$CQ$387,"&lt;&gt;-"),"Strips1","")</f>
        <v/>
      </c>
      <c r="D255" s="555" t="str">
        <f t="array" aca="1" ref="D25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55" s="555" t="str">
        <f t="array" aca="1" ref="E25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55" s="555" t="str">
        <f t="shared" ca="1" si="3"/>
        <v/>
      </c>
      <c r="G255" s="555" t="str">
        <f ca="1">IF(D255&lt;=8,RunName_ExAmpPrep!$H$2,IF(D255&lt;=16,RunName_ExAmpPrep!$H$3,IF(D255&lt;=24,RunName_ExAmpPrep!$H$4,IF(D255&lt;=32,RunName_ExAmpPrep!$H$5,IF(D255&lt;=40,RunName_ExAmpPrep!$H$6,IF(D255&lt;=48,RunName_ExAmpPrep!$H$7,IF(D255&lt;=56,RunName_ExAmpPrep!$H$8,IF(D255&lt;=64,RunName_ExAmpPrep!$H$9,""))))))))</f>
        <v/>
      </c>
      <c r="H255" s="577" t="str">
        <f t="array" aca="1" ref="H25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56" spans="1:8" x14ac:dyDescent="0.65">
      <c r="A256" s="554" t="str">
        <f t="array" aca="1" ref="A25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56" s="555" t="str">
        <f t="array" aca="1" ref="B25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56" s="555" t="str">
        <f ca="1">IF((ROW()-1)&lt;=COUNTIF(ListAndConversion!$CJ$4:$CQ$387,"&lt;&gt;-"),"Strips1","")</f>
        <v/>
      </c>
      <c r="D256" s="555" t="str">
        <f t="array" aca="1" ref="D25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56" s="555" t="str">
        <f t="array" aca="1" ref="E25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56" s="555" t="str">
        <f t="shared" ca="1" si="3"/>
        <v/>
      </c>
      <c r="G256" s="555" t="str">
        <f ca="1">IF(D256&lt;=8,RunName_ExAmpPrep!$H$2,IF(D256&lt;=16,RunName_ExAmpPrep!$H$3,IF(D256&lt;=24,RunName_ExAmpPrep!$H$4,IF(D256&lt;=32,RunName_ExAmpPrep!$H$5,IF(D256&lt;=40,RunName_ExAmpPrep!$H$6,IF(D256&lt;=48,RunName_ExAmpPrep!$H$7,IF(D256&lt;=56,RunName_ExAmpPrep!$H$8,IF(D256&lt;=64,RunName_ExAmpPrep!$H$9,""))))))))</f>
        <v/>
      </c>
      <c r="H256" s="577" t="str">
        <f t="array" aca="1" ref="H25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57" spans="1:8" x14ac:dyDescent="0.65">
      <c r="A257" s="554" t="str">
        <f t="array" aca="1" ref="A25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57" s="555" t="str">
        <f t="array" aca="1" ref="B25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57" s="555" t="str">
        <f ca="1">IF((ROW()-1)&lt;=COUNTIF(ListAndConversion!$CJ$4:$CQ$387,"&lt;&gt;-"),"Strips1","")</f>
        <v/>
      </c>
      <c r="D257" s="555" t="str">
        <f t="array" aca="1" ref="D25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57" s="555" t="str">
        <f t="array" aca="1" ref="E25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57" s="555" t="str">
        <f t="shared" ca="1" si="3"/>
        <v/>
      </c>
      <c r="G257" s="555" t="str">
        <f ca="1">IF(D257&lt;=8,RunName_ExAmpPrep!$H$2,IF(D257&lt;=16,RunName_ExAmpPrep!$H$3,IF(D257&lt;=24,RunName_ExAmpPrep!$H$4,IF(D257&lt;=32,RunName_ExAmpPrep!$H$5,IF(D257&lt;=40,RunName_ExAmpPrep!$H$6,IF(D257&lt;=48,RunName_ExAmpPrep!$H$7,IF(D257&lt;=56,RunName_ExAmpPrep!$H$8,IF(D257&lt;=64,RunName_ExAmpPrep!$H$9,""))))))))</f>
        <v/>
      </c>
      <c r="H257" s="577" t="str">
        <f t="array" aca="1" ref="H25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58" spans="1:8" x14ac:dyDescent="0.65">
      <c r="A258" s="554" t="str">
        <f t="array" aca="1" ref="A25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58" s="555" t="str">
        <f t="array" aca="1" ref="B25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58" s="555" t="str">
        <f ca="1">IF((ROW()-1)&lt;=COUNTIF(ListAndConversion!$CJ$4:$CQ$387,"&lt;&gt;-"),"Strips1","")</f>
        <v/>
      </c>
      <c r="D258" s="555" t="str">
        <f t="array" aca="1" ref="D25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58" s="555" t="str">
        <f t="array" aca="1" ref="E25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58" s="555" t="str">
        <f t="shared" ref="F258:F321" ca="1" si="4">IF(D258&lt;=32,"Microfuge1",IF(D258&lt;=64,"Microfuge2",""))</f>
        <v/>
      </c>
      <c r="G258" s="555" t="str">
        <f ca="1">IF(D258&lt;=8,RunName_ExAmpPrep!$H$2,IF(D258&lt;=16,RunName_ExAmpPrep!$H$3,IF(D258&lt;=24,RunName_ExAmpPrep!$H$4,IF(D258&lt;=32,RunName_ExAmpPrep!$H$5,IF(D258&lt;=40,RunName_ExAmpPrep!$H$6,IF(D258&lt;=48,RunName_ExAmpPrep!$H$7,IF(D258&lt;=56,RunName_ExAmpPrep!$H$8,IF(D258&lt;=64,RunName_ExAmpPrep!$H$9,""))))))))</f>
        <v/>
      </c>
      <c r="H258" s="577" t="str">
        <f t="array" aca="1" ref="H25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59" spans="1:8" x14ac:dyDescent="0.65">
      <c r="A259" s="554" t="str">
        <f t="array" aca="1" ref="A25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59" s="555" t="str">
        <f t="array" aca="1" ref="B25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59" s="555" t="str">
        <f ca="1">IF((ROW()-1)&lt;=COUNTIF(ListAndConversion!$CJ$4:$CQ$387,"&lt;&gt;-"),"Strips1","")</f>
        <v/>
      </c>
      <c r="D259" s="555" t="str">
        <f t="array" aca="1" ref="D25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59" s="555" t="str">
        <f t="array" aca="1" ref="E25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59" s="555" t="str">
        <f t="shared" ca="1" si="4"/>
        <v/>
      </c>
      <c r="G259" s="555" t="str">
        <f ca="1">IF(D259&lt;=8,RunName_ExAmpPrep!$H$2,IF(D259&lt;=16,RunName_ExAmpPrep!$H$3,IF(D259&lt;=24,RunName_ExAmpPrep!$H$4,IF(D259&lt;=32,RunName_ExAmpPrep!$H$5,IF(D259&lt;=40,RunName_ExAmpPrep!$H$6,IF(D259&lt;=48,RunName_ExAmpPrep!$H$7,IF(D259&lt;=56,RunName_ExAmpPrep!$H$8,IF(D259&lt;=64,RunName_ExAmpPrep!$H$9,""))))))))</f>
        <v/>
      </c>
      <c r="H259" s="577" t="str">
        <f t="array" aca="1" ref="H25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60" spans="1:8" x14ac:dyDescent="0.65">
      <c r="A260" s="554" t="str">
        <f t="array" aca="1" ref="A26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60" s="555" t="str">
        <f t="array" aca="1" ref="B26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60" s="555" t="str">
        <f ca="1">IF((ROW()-1)&lt;=COUNTIF(ListAndConversion!$CJ$4:$CQ$387,"&lt;&gt;-"),"Strips1","")</f>
        <v/>
      </c>
      <c r="D260" s="555" t="str">
        <f t="array" aca="1" ref="D26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60" s="555" t="str">
        <f t="array" aca="1" ref="E26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60" s="555" t="str">
        <f t="shared" ca="1" si="4"/>
        <v/>
      </c>
      <c r="G260" s="555" t="str">
        <f ca="1">IF(D260&lt;=8,RunName_ExAmpPrep!$H$2,IF(D260&lt;=16,RunName_ExAmpPrep!$H$3,IF(D260&lt;=24,RunName_ExAmpPrep!$H$4,IF(D260&lt;=32,RunName_ExAmpPrep!$H$5,IF(D260&lt;=40,RunName_ExAmpPrep!$H$6,IF(D260&lt;=48,RunName_ExAmpPrep!$H$7,IF(D260&lt;=56,RunName_ExAmpPrep!$H$8,IF(D260&lt;=64,RunName_ExAmpPrep!$H$9,""))))))))</f>
        <v/>
      </c>
      <c r="H260" s="577" t="str">
        <f t="array" aca="1" ref="H26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61" spans="1:8" x14ac:dyDescent="0.65">
      <c r="A261" s="554" t="str">
        <f t="array" aca="1" ref="A26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61" s="555" t="str">
        <f t="array" aca="1" ref="B26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61" s="555" t="str">
        <f ca="1">IF((ROW()-1)&lt;=COUNTIF(ListAndConversion!$CJ$4:$CQ$387,"&lt;&gt;-"),"Strips1","")</f>
        <v/>
      </c>
      <c r="D261" s="555" t="str">
        <f t="array" aca="1" ref="D26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61" s="555" t="str">
        <f t="array" aca="1" ref="E26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61" s="555" t="str">
        <f t="shared" ca="1" si="4"/>
        <v/>
      </c>
      <c r="G261" s="555" t="str">
        <f ca="1">IF(D261&lt;=8,RunName_ExAmpPrep!$H$2,IF(D261&lt;=16,RunName_ExAmpPrep!$H$3,IF(D261&lt;=24,RunName_ExAmpPrep!$H$4,IF(D261&lt;=32,RunName_ExAmpPrep!$H$5,IF(D261&lt;=40,RunName_ExAmpPrep!$H$6,IF(D261&lt;=48,RunName_ExAmpPrep!$H$7,IF(D261&lt;=56,RunName_ExAmpPrep!$H$8,IF(D261&lt;=64,RunName_ExAmpPrep!$H$9,""))))))))</f>
        <v/>
      </c>
      <c r="H261" s="577" t="str">
        <f t="array" aca="1" ref="H26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62" spans="1:8" x14ac:dyDescent="0.65">
      <c r="A262" s="554" t="str">
        <f t="array" aca="1" ref="A26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62" s="555" t="str">
        <f t="array" aca="1" ref="B26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62" s="555" t="str">
        <f ca="1">IF((ROW()-1)&lt;=COUNTIF(ListAndConversion!$CJ$4:$CQ$387,"&lt;&gt;-"),"Strips1","")</f>
        <v/>
      </c>
      <c r="D262" s="555" t="str">
        <f t="array" aca="1" ref="D26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62" s="555" t="str">
        <f t="array" aca="1" ref="E26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62" s="555" t="str">
        <f t="shared" ca="1" si="4"/>
        <v/>
      </c>
      <c r="G262" s="555" t="str">
        <f ca="1">IF(D262&lt;=8,RunName_ExAmpPrep!$H$2,IF(D262&lt;=16,RunName_ExAmpPrep!$H$3,IF(D262&lt;=24,RunName_ExAmpPrep!$H$4,IF(D262&lt;=32,RunName_ExAmpPrep!$H$5,IF(D262&lt;=40,RunName_ExAmpPrep!$H$6,IF(D262&lt;=48,RunName_ExAmpPrep!$H$7,IF(D262&lt;=56,RunName_ExAmpPrep!$H$8,IF(D262&lt;=64,RunName_ExAmpPrep!$H$9,""))))))))</f>
        <v/>
      </c>
      <c r="H262" s="577" t="str">
        <f t="array" aca="1" ref="H26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63" spans="1:8" x14ac:dyDescent="0.65">
      <c r="A263" s="554" t="str">
        <f t="array" aca="1" ref="A26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63" s="555" t="str">
        <f t="array" aca="1" ref="B26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63" s="555" t="str">
        <f ca="1">IF((ROW()-1)&lt;=COUNTIF(ListAndConversion!$CJ$4:$CQ$387,"&lt;&gt;-"),"Strips1","")</f>
        <v/>
      </c>
      <c r="D263" s="555" t="str">
        <f t="array" aca="1" ref="D26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63" s="555" t="str">
        <f t="array" aca="1" ref="E26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63" s="555" t="str">
        <f t="shared" ca="1" si="4"/>
        <v/>
      </c>
      <c r="G263" s="555" t="str">
        <f ca="1">IF(D263&lt;=8,RunName_ExAmpPrep!$H$2,IF(D263&lt;=16,RunName_ExAmpPrep!$H$3,IF(D263&lt;=24,RunName_ExAmpPrep!$H$4,IF(D263&lt;=32,RunName_ExAmpPrep!$H$5,IF(D263&lt;=40,RunName_ExAmpPrep!$H$6,IF(D263&lt;=48,RunName_ExAmpPrep!$H$7,IF(D263&lt;=56,RunName_ExAmpPrep!$H$8,IF(D263&lt;=64,RunName_ExAmpPrep!$H$9,""))))))))</f>
        <v/>
      </c>
      <c r="H263" s="577" t="str">
        <f t="array" aca="1" ref="H26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64" spans="1:8" x14ac:dyDescent="0.65">
      <c r="A264" s="554" t="str">
        <f t="array" aca="1" ref="A26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64" s="555" t="str">
        <f t="array" aca="1" ref="B26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64" s="555" t="str">
        <f ca="1">IF((ROW()-1)&lt;=COUNTIF(ListAndConversion!$CJ$4:$CQ$387,"&lt;&gt;-"),"Strips1","")</f>
        <v/>
      </c>
      <c r="D264" s="555" t="str">
        <f t="array" aca="1" ref="D26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64" s="555" t="str">
        <f t="array" aca="1" ref="E26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64" s="555" t="str">
        <f t="shared" ca="1" si="4"/>
        <v/>
      </c>
      <c r="G264" s="555" t="str">
        <f ca="1">IF(D264&lt;=8,RunName_ExAmpPrep!$H$2,IF(D264&lt;=16,RunName_ExAmpPrep!$H$3,IF(D264&lt;=24,RunName_ExAmpPrep!$H$4,IF(D264&lt;=32,RunName_ExAmpPrep!$H$5,IF(D264&lt;=40,RunName_ExAmpPrep!$H$6,IF(D264&lt;=48,RunName_ExAmpPrep!$H$7,IF(D264&lt;=56,RunName_ExAmpPrep!$H$8,IF(D264&lt;=64,RunName_ExAmpPrep!$H$9,""))))))))</f>
        <v/>
      </c>
      <c r="H264" s="577" t="str">
        <f t="array" aca="1" ref="H26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65" spans="1:8" x14ac:dyDescent="0.65">
      <c r="A265" s="554" t="str">
        <f t="array" aca="1" ref="A26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65" s="555" t="str">
        <f t="array" aca="1" ref="B26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65" s="555" t="str">
        <f ca="1">IF((ROW()-1)&lt;=COUNTIF(ListAndConversion!$CJ$4:$CQ$387,"&lt;&gt;-"),"Strips1","")</f>
        <v/>
      </c>
      <c r="D265" s="555" t="str">
        <f t="array" aca="1" ref="D26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65" s="555" t="str">
        <f t="array" aca="1" ref="E26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65" s="555" t="str">
        <f t="shared" ca="1" si="4"/>
        <v/>
      </c>
      <c r="G265" s="555" t="str">
        <f ca="1">IF(D265&lt;=8,RunName_ExAmpPrep!$H$2,IF(D265&lt;=16,RunName_ExAmpPrep!$H$3,IF(D265&lt;=24,RunName_ExAmpPrep!$H$4,IF(D265&lt;=32,RunName_ExAmpPrep!$H$5,IF(D265&lt;=40,RunName_ExAmpPrep!$H$6,IF(D265&lt;=48,RunName_ExAmpPrep!$H$7,IF(D265&lt;=56,RunName_ExAmpPrep!$H$8,IF(D265&lt;=64,RunName_ExAmpPrep!$H$9,""))))))))</f>
        <v/>
      </c>
      <c r="H265" s="577" t="str">
        <f t="array" aca="1" ref="H26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66" spans="1:8" x14ac:dyDescent="0.65">
      <c r="A266" s="554" t="str">
        <f t="array" aca="1" ref="A26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66" s="555" t="str">
        <f t="array" aca="1" ref="B26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66" s="555" t="str">
        <f ca="1">IF((ROW()-1)&lt;=COUNTIF(ListAndConversion!$CJ$4:$CQ$387,"&lt;&gt;-"),"Strips1","")</f>
        <v/>
      </c>
      <c r="D266" s="555" t="str">
        <f t="array" aca="1" ref="D26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66" s="555" t="str">
        <f t="array" aca="1" ref="E26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66" s="555" t="str">
        <f t="shared" ca="1" si="4"/>
        <v/>
      </c>
      <c r="G266" s="555" t="str">
        <f ca="1">IF(D266&lt;=8,RunName_ExAmpPrep!$H$2,IF(D266&lt;=16,RunName_ExAmpPrep!$H$3,IF(D266&lt;=24,RunName_ExAmpPrep!$H$4,IF(D266&lt;=32,RunName_ExAmpPrep!$H$5,IF(D266&lt;=40,RunName_ExAmpPrep!$H$6,IF(D266&lt;=48,RunName_ExAmpPrep!$H$7,IF(D266&lt;=56,RunName_ExAmpPrep!$H$8,IF(D266&lt;=64,RunName_ExAmpPrep!$H$9,""))))))))</f>
        <v/>
      </c>
      <c r="H266" s="577" t="str">
        <f t="array" aca="1" ref="H26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67" spans="1:8" x14ac:dyDescent="0.65">
      <c r="A267" s="554" t="str">
        <f t="array" aca="1" ref="A26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67" s="555" t="str">
        <f t="array" aca="1" ref="B26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67" s="555" t="str">
        <f ca="1">IF((ROW()-1)&lt;=COUNTIF(ListAndConversion!$CJ$4:$CQ$387,"&lt;&gt;-"),"Strips1","")</f>
        <v/>
      </c>
      <c r="D267" s="555" t="str">
        <f t="array" aca="1" ref="D26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67" s="555" t="str">
        <f t="array" aca="1" ref="E26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67" s="555" t="str">
        <f t="shared" ca="1" si="4"/>
        <v/>
      </c>
      <c r="G267" s="555" t="str">
        <f ca="1">IF(D267&lt;=8,RunName_ExAmpPrep!$H$2,IF(D267&lt;=16,RunName_ExAmpPrep!$H$3,IF(D267&lt;=24,RunName_ExAmpPrep!$H$4,IF(D267&lt;=32,RunName_ExAmpPrep!$H$5,IF(D267&lt;=40,RunName_ExAmpPrep!$H$6,IF(D267&lt;=48,RunName_ExAmpPrep!$H$7,IF(D267&lt;=56,RunName_ExAmpPrep!$H$8,IF(D267&lt;=64,RunName_ExAmpPrep!$H$9,""))))))))</f>
        <v/>
      </c>
      <c r="H267" s="577" t="str">
        <f t="array" aca="1" ref="H26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68" spans="1:8" x14ac:dyDescent="0.65">
      <c r="A268" s="554" t="str">
        <f t="array" aca="1" ref="A26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68" s="555" t="str">
        <f t="array" aca="1" ref="B26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68" s="555" t="str">
        <f ca="1">IF((ROW()-1)&lt;=COUNTIF(ListAndConversion!$CJ$4:$CQ$387,"&lt;&gt;-"),"Strips1","")</f>
        <v/>
      </c>
      <c r="D268" s="555" t="str">
        <f t="array" aca="1" ref="D26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68" s="555" t="str">
        <f t="array" aca="1" ref="E26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68" s="555" t="str">
        <f t="shared" ca="1" si="4"/>
        <v/>
      </c>
      <c r="G268" s="555" t="str">
        <f ca="1">IF(D268&lt;=8,RunName_ExAmpPrep!$H$2,IF(D268&lt;=16,RunName_ExAmpPrep!$H$3,IF(D268&lt;=24,RunName_ExAmpPrep!$H$4,IF(D268&lt;=32,RunName_ExAmpPrep!$H$5,IF(D268&lt;=40,RunName_ExAmpPrep!$H$6,IF(D268&lt;=48,RunName_ExAmpPrep!$H$7,IF(D268&lt;=56,RunName_ExAmpPrep!$H$8,IF(D268&lt;=64,RunName_ExAmpPrep!$H$9,""))))))))</f>
        <v/>
      </c>
      <c r="H268" s="577" t="str">
        <f t="array" aca="1" ref="H26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69" spans="1:8" x14ac:dyDescent="0.65">
      <c r="A269" s="554" t="str">
        <f t="array" aca="1" ref="A26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69" s="555" t="str">
        <f t="array" aca="1" ref="B26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69" s="555" t="str">
        <f ca="1">IF((ROW()-1)&lt;=COUNTIF(ListAndConversion!$CJ$4:$CQ$387,"&lt;&gt;-"),"Strips1","")</f>
        <v/>
      </c>
      <c r="D269" s="555" t="str">
        <f t="array" aca="1" ref="D26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69" s="555" t="str">
        <f t="array" aca="1" ref="E26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69" s="555" t="str">
        <f t="shared" ca="1" si="4"/>
        <v/>
      </c>
      <c r="G269" s="555" t="str">
        <f ca="1">IF(D269&lt;=8,RunName_ExAmpPrep!$H$2,IF(D269&lt;=16,RunName_ExAmpPrep!$H$3,IF(D269&lt;=24,RunName_ExAmpPrep!$H$4,IF(D269&lt;=32,RunName_ExAmpPrep!$H$5,IF(D269&lt;=40,RunName_ExAmpPrep!$H$6,IF(D269&lt;=48,RunName_ExAmpPrep!$H$7,IF(D269&lt;=56,RunName_ExAmpPrep!$H$8,IF(D269&lt;=64,RunName_ExAmpPrep!$H$9,""))))))))</f>
        <v/>
      </c>
      <c r="H269" s="577" t="str">
        <f t="array" aca="1" ref="H26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70" spans="1:8" x14ac:dyDescent="0.65">
      <c r="A270" s="554" t="str">
        <f t="array" aca="1" ref="A27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70" s="555" t="str">
        <f t="array" aca="1" ref="B27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70" s="555" t="str">
        <f ca="1">IF((ROW()-1)&lt;=COUNTIF(ListAndConversion!$CJ$4:$CQ$387,"&lt;&gt;-"),"Strips1","")</f>
        <v/>
      </c>
      <c r="D270" s="555" t="str">
        <f t="array" aca="1" ref="D27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70" s="555" t="str">
        <f t="array" aca="1" ref="E27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70" s="555" t="str">
        <f t="shared" ca="1" si="4"/>
        <v/>
      </c>
      <c r="G270" s="555" t="str">
        <f ca="1">IF(D270&lt;=8,RunName_ExAmpPrep!$H$2,IF(D270&lt;=16,RunName_ExAmpPrep!$H$3,IF(D270&lt;=24,RunName_ExAmpPrep!$H$4,IF(D270&lt;=32,RunName_ExAmpPrep!$H$5,IF(D270&lt;=40,RunName_ExAmpPrep!$H$6,IF(D270&lt;=48,RunName_ExAmpPrep!$H$7,IF(D270&lt;=56,RunName_ExAmpPrep!$H$8,IF(D270&lt;=64,RunName_ExAmpPrep!$H$9,""))))))))</f>
        <v/>
      </c>
      <c r="H270" s="577" t="str">
        <f t="array" aca="1" ref="H27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71" spans="1:8" x14ac:dyDescent="0.65">
      <c r="A271" s="554" t="str">
        <f t="array" aca="1" ref="A27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71" s="555" t="str">
        <f t="array" aca="1" ref="B27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71" s="555" t="str">
        <f ca="1">IF((ROW()-1)&lt;=COUNTIF(ListAndConversion!$CJ$4:$CQ$387,"&lt;&gt;-"),"Strips1","")</f>
        <v/>
      </c>
      <c r="D271" s="555" t="str">
        <f t="array" aca="1" ref="D27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71" s="555" t="str">
        <f t="array" aca="1" ref="E27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71" s="555" t="str">
        <f t="shared" ca="1" si="4"/>
        <v/>
      </c>
      <c r="G271" s="555" t="str">
        <f ca="1">IF(D271&lt;=8,RunName_ExAmpPrep!$H$2,IF(D271&lt;=16,RunName_ExAmpPrep!$H$3,IF(D271&lt;=24,RunName_ExAmpPrep!$H$4,IF(D271&lt;=32,RunName_ExAmpPrep!$H$5,IF(D271&lt;=40,RunName_ExAmpPrep!$H$6,IF(D271&lt;=48,RunName_ExAmpPrep!$H$7,IF(D271&lt;=56,RunName_ExAmpPrep!$H$8,IF(D271&lt;=64,RunName_ExAmpPrep!$H$9,""))))))))</f>
        <v/>
      </c>
      <c r="H271" s="577" t="str">
        <f t="array" aca="1" ref="H27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72" spans="1:8" x14ac:dyDescent="0.65">
      <c r="A272" s="554" t="str">
        <f t="array" aca="1" ref="A27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72" s="555" t="str">
        <f t="array" aca="1" ref="B27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72" s="555" t="str">
        <f ca="1">IF((ROW()-1)&lt;=COUNTIF(ListAndConversion!$CJ$4:$CQ$387,"&lt;&gt;-"),"Strips1","")</f>
        <v/>
      </c>
      <c r="D272" s="555" t="str">
        <f t="array" aca="1" ref="D27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72" s="555" t="str">
        <f t="array" aca="1" ref="E27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72" s="555" t="str">
        <f t="shared" ca="1" si="4"/>
        <v/>
      </c>
      <c r="G272" s="555" t="str">
        <f ca="1">IF(D272&lt;=8,RunName_ExAmpPrep!$H$2,IF(D272&lt;=16,RunName_ExAmpPrep!$H$3,IF(D272&lt;=24,RunName_ExAmpPrep!$H$4,IF(D272&lt;=32,RunName_ExAmpPrep!$H$5,IF(D272&lt;=40,RunName_ExAmpPrep!$H$6,IF(D272&lt;=48,RunName_ExAmpPrep!$H$7,IF(D272&lt;=56,RunName_ExAmpPrep!$H$8,IF(D272&lt;=64,RunName_ExAmpPrep!$H$9,""))))))))</f>
        <v/>
      </c>
      <c r="H272" s="577" t="str">
        <f t="array" aca="1" ref="H27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73" spans="1:8" x14ac:dyDescent="0.65">
      <c r="A273" s="554" t="str">
        <f t="array" aca="1" ref="A27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73" s="555" t="str">
        <f t="array" aca="1" ref="B27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73" s="555" t="str">
        <f ca="1">IF((ROW()-1)&lt;=COUNTIF(ListAndConversion!$CJ$4:$CQ$387,"&lt;&gt;-"),"Strips1","")</f>
        <v/>
      </c>
      <c r="D273" s="555" t="str">
        <f t="array" aca="1" ref="D27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73" s="555" t="str">
        <f t="array" aca="1" ref="E27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73" s="555" t="str">
        <f t="shared" ca="1" si="4"/>
        <v/>
      </c>
      <c r="G273" s="555" t="str">
        <f ca="1">IF(D273&lt;=8,RunName_ExAmpPrep!$H$2,IF(D273&lt;=16,RunName_ExAmpPrep!$H$3,IF(D273&lt;=24,RunName_ExAmpPrep!$H$4,IF(D273&lt;=32,RunName_ExAmpPrep!$H$5,IF(D273&lt;=40,RunName_ExAmpPrep!$H$6,IF(D273&lt;=48,RunName_ExAmpPrep!$H$7,IF(D273&lt;=56,RunName_ExAmpPrep!$H$8,IF(D273&lt;=64,RunName_ExAmpPrep!$H$9,""))))))))</f>
        <v/>
      </c>
      <c r="H273" s="577" t="str">
        <f t="array" aca="1" ref="H27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74" spans="1:8" x14ac:dyDescent="0.65">
      <c r="A274" s="554" t="str">
        <f t="array" aca="1" ref="A27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74" s="555" t="str">
        <f t="array" aca="1" ref="B27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74" s="555" t="str">
        <f ca="1">IF((ROW()-1)&lt;=COUNTIF(ListAndConversion!$CJ$4:$CQ$387,"&lt;&gt;-"),"Strips1","")</f>
        <v/>
      </c>
      <c r="D274" s="555" t="str">
        <f t="array" aca="1" ref="D27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74" s="555" t="str">
        <f t="array" aca="1" ref="E27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74" s="555" t="str">
        <f t="shared" ca="1" si="4"/>
        <v/>
      </c>
      <c r="G274" s="555" t="str">
        <f ca="1">IF(D274&lt;=8,RunName_ExAmpPrep!$H$2,IF(D274&lt;=16,RunName_ExAmpPrep!$H$3,IF(D274&lt;=24,RunName_ExAmpPrep!$H$4,IF(D274&lt;=32,RunName_ExAmpPrep!$H$5,IF(D274&lt;=40,RunName_ExAmpPrep!$H$6,IF(D274&lt;=48,RunName_ExAmpPrep!$H$7,IF(D274&lt;=56,RunName_ExAmpPrep!$H$8,IF(D274&lt;=64,RunName_ExAmpPrep!$H$9,""))))))))</f>
        <v/>
      </c>
      <c r="H274" s="577" t="str">
        <f t="array" aca="1" ref="H27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75" spans="1:8" x14ac:dyDescent="0.65">
      <c r="A275" s="554" t="str">
        <f t="array" aca="1" ref="A27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75" s="555" t="str">
        <f t="array" aca="1" ref="B27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75" s="555" t="str">
        <f ca="1">IF((ROW()-1)&lt;=COUNTIF(ListAndConversion!$CJ$4:$CQ$387,"&lt;&gt;-"),"Strips1","")</f>
        <v/>
      </c>
      <c r="D275" s="555" t="str">
        <f t="array" aca="1" ref="D27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75" s="555" t="str">
        <f t="array" aca="1" ref="E27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75" s="555" t="str">
        <f t="shared" ca="1" si="4"/>
        <v/>
      </c>
      <c r="G275" s="555" t="str">
        <f ca="1">IF(D275&lt;=8,RunName_ExAmpPrep!$H$2,IF(D275&lt;=16,RunName_ExAmpPrep!$H$3,IF(D275&lt;=24,RunName_ExAmpPrep!$H$4,IF(D275&lt;=32,RunName_ExAmpPrep!$H$5,IF(D275&lt;=40,RunName_ExAmpPrep!$H$6,IF(D275&lt;=48,RunName_ExAmpPrep!$H$7,IF(D275&lt;=56,RunName_ExAmpPrep!$H$8,IF(D275&lt;=64,RunName_ExAmpPrep!$H$9,""))))))))</f>
        <v/>
      </c>
      <c r="H275" s="577" t="str">
        <f t="array" aca="1" ref="H27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76" spans="1:8" x14ac:dyDescent="0.65">
      <c r="A276" s="554" t="str">
        <f t="array" aca="1" ref="A27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76" s="555" t="str">
        <f t="array" aca="1" ref="B27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76" s="555" t="str">
        <f ca="1">IF((ROW()-1)&lt;=COUNTIF(ListAndConversion!$CJ$4:$CQ$387,"&lt;&gt;-"),"Strips1","")</f>
        <v/>
      </c>
      <c r="D276" s="555" t="str">
        <f t="array" aca="1" ref="D27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76" s="555" t="str">
        <f t="array" aca="1" ref="E27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76" s="555" t="str">
        <f t="shared" ca="1" si="4"/>
        <v/>
      </c>
      <c r="G276" s="555" t="str">
        <f ca="1">IF(D276&lt;=8,RunName_ExAmpPrep!$H$2,IF(D276&lt;=16,RunName_ExAmpPrep!$H$3,IF(D276&lt;=24,RunName_ExAmpPrep!$H$4,IF(D276&lt;=32,RunName_ExAmpPrep!$H$5,IF(D276&lt;=40,RunName_ExAmpPrep!$H$6,IF(D276&lt;=48,RunName_ExAmpPrep!$H$7,IF(D276&lt;=56,RunName_ExAmpPrep!$H$8,IF(D276&lt;=64,RunName_ExAmpPrep!$H$9,""))))))))</f>
        <v/>
      </c>
      <c r="H276" s="577" t="str">
        <f t="array" aca="1" ref="H27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77" spans="1:8" x14ac:dyDescent="0.65">
      <c r="A277" s="554" t="str">
        <f t="array" aca="1" ref="A27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77" s="555" t="str">
        <f t="array" aca="1" ref="B27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77" s="555" t="str">
        <f ca="1">IF((ROW()-1)&lt;=COUNTIF(ListAndConversion!$CJ$4:$CQ$387,"&lt;&gt;-"),"Strips1","")</f>
        <v/>
      </c>
      <c r="D277" s="555" t="str">
        <f t="array" aca="1" ref="D27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77" s="555" t="str">
        <f t="array" aca="1" ref="E27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77" s="555" t="str">
        <f t="shared" ca="1" si="4"/>
        <v/>
      </c>
      <c r="G277" s="555" t="str">
        <f ca="1">IF(D277&lt;=8,RunName_ExAmpPrep!$H$2,IF(D277&lt;=16,RunName_ExAmpPrep!$H$3,IF(D277&lt;=24,RunName_ExAmpPrep!$H$4,IF(D277&lt;=32,RunName_ExAmpPrep!$H$5,IF(D277&lt;=40,RunName_ExAmpPrep!$H$6,IF(D277&lt;=48,RunName_ExAmpPrep!$H$7,IF(D277&lt;=56,RunName_ExAmpPrep!$H$8,IF(D277&lt;=64,RunName_ExAmpPrep!$H$9,""))))))))</f>
        <v/>
      </c>
      <c r="H277" s="577" t="str">
        <f t="array" aca="1" ref="H27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78" spans="1:8" x14ac:dyDescent="0.65">
      <c r="A278" s="554" t="str">
        <f t="array" aca="1" ref="A27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78" s="555" t="str">
        <f t="array" aca="1" ref="B27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78" s="555" t="str">
        <f ca="1">IF((ROW()-1)&lt;=COUNTIF(ListAndConversion!$CJ$4:$CQ$387,"&lt;&gt;-"),"Strips1","")</f>
        <v/>
      </c>
      <c r="D278" s="555" t="str">
        <f t="array" aca="1" ref="D27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78" s="555" t="str">
        <f t="array" aca="1" ref="E27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78" s="555" t="str">
        <f t="shared" ca="1" si="4"/>
        <v/>
      </c>
      <c r="G278" s="555" t="str">
        <f ca="1">IF(D278&lt;=8,RunName_ExAmpPrep!$H$2,IF(D278&lt;=16,RunName_ExAmpPrep!$H$3,IF(D278&lt;=24,RunName_ExAmpPrep!$H$4,IF(D278&lt;=32,RunName_ExAmpPrep!$H$5,IF(D278&lt;=40,RunName_ExAmpPrep!$H$6,IF(D278&lt;=48,RunName_ExAmpPrep!$H$7,IF(D278&lt;=56,RunName_ExAmpPrep!$H$8,IF(D278&lt;=64,RunName_ExAmpPrep!$H$9,""))))))))</f>
        <v/>
      </c>
      <c r="H278" s="577" t="str">
        <f t="array" aca="1" ref="H27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79" spans="1:8" x14ac:dyDescent="0.65">
      <c r="A279" s="554" t="str">
        <f t="array" aca="1" ref="A27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79" s="555" t="str">
        <f t="array" aca="1" ref="B27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79" s="555" t="str">
        <f ca="1">IF((ROW()-1)&lt;=COUNTIF(ListAndConversion!$CJ$4:$CQ$387,"&lt;&gt;-"),"Strips1","")</f>
        <v/>
      </c>
      <c r="D279" s="555" t="str">
        <f t="array" aca="1" ref="D27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79" s="555" t="str">
        <f t="array" aca="1" ref="E27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79" s="555" t="str">
        <f t="shared" ca="1" si="4"/>
        <v/>
      </c>
      <c r="G279" s="555" t="str">
        <f ca="1">IF(D279&lt;=8,RunName_ExAmpPrep!$H$2,IF(D279&lt;=16,RunName_ExAmpPrep!$H$3,IF(D279&lt;=24,RunName_ExAmpPrep!$H$4,IF(D279&lt;=32,RunName_ExAmpPrep!$H$5,IF(D279&lt;=40,RunName_ExAmpPrep!$H$6,IF(D279&lt;=48,RunName_ExAmpPrep!$H$7,IF(D279&lt;=56,RunName_ExAmpPrep!$H$8,IF(D279&lt;=64,RunName_ExAmpPrep!$H$9,""))))))))</f>
        <v/>
      </c>
      <c r="H279" s="577" t="str">
        <f t="array" aca="1" ref="H27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80" spans="1:8" x14ac:dyDescent="0.65">
      <c r="A280" s="554" t="str">
        <f t="array" aca="1" ref="A28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80" s="555" t="str">
        <f t="array" aca="1" ref="B28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80" s="555" t="str">
        <f ca="1">IF((ROW()-1)&lt;=COUNTIF(ListAndConversion!$CJ$4:$CQ$387,"&lt;&gt;-"),"Strips1","")</f>
        <v/>
      </c>
      <c r="D280" s="555" t="str">
        <f t="array" aca="1" ref="D28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80" s="555" t="str">
        <f t="array" aca="1" ref="E28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80" s="555" t="str">
        <f t="shared" ca="1" si="4"/>
        <v/>
      </c>
      <c r="G280" s="555" t="str">
        <f ca="1">IF(D280&lt;=8,RunName_ExAmpPrep!$H$2,IF(D280&lt;=16,RunName_ExAmpPrep!$H$3,IF(D280&lt;=24,RunName_ExAmpPrep!$H$4,IF(D280&lt;=32,RunName_ExAmpPrep!$H$5,IF(D280&lt;=40,RunName_ExAmpPrep!$H$6,IF(D280&lt;=48,RunName_ExAmpPrep!$H$7,IF(D280&lt;=56,RunName_ExAmpPrep!$H$8,IF(D280&lt;=64,RunName_ExAmpPrep!$H$9,""))))))))</f>
        <v/>
      </c>
      <c r="H280" s="577" t="str">
        <f t="array" aca="1" ref="H28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81" spans="1:8" x14ac:dyDescent="0.65">
      <c r="A281" s="554" t="str">
        <f t="array" aca="1" ref="A28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81" s="555" t="str">
        <f t="array" aca="1" ref="B28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81" s="555" t="str">
        <f ca="1">IF((ROW()-1)&lt;=COUNTIF(ListAndConversion!$CJ$4:$CQ$387,"&lt;&gt;-"),"Strips1","")</f>
        <v/>
      </c>
      <c r="D281" s="555" t="str">
        <f t="array" aca="1" ref="D28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81" s="555" t="str">
        <f t="array" aca="1" ref="E28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81" s="555" t="str">
        <f t="shared" ca="1" si="4"/>
        <v/>
      </c>
      <c r="G281" s="555" t="str">
        <f ca="1">IF(D281&lt;=8,RunName_ExAmpPrep!$H$2,IF(D281&lt;=16,RunName_ExAmpPrep!$H$3,IF(D281&lt;=24,RunName_ExAmpPrep!$H$4,IF(D281&lt;=32,RunName_ExAmpPrep!$H$5,IF(D281&lt;=40,RunName_ExAmpPrep!$H$6,IF(D281&lt;=48,RunName_ExAmpPrep!$H$7,IF(D281&lt;=56,RunName_ExAmpPrep!$H$8,IF(D281&lt;=64,RunName_ExAmpPrep!$H$9,""))))))))</f>
        <v/>
      </c>
      <c r="H281" s="577" t="str">
        <f t="array" aca="1" ref="H28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82" spans="1:8" x14ac:dyDescent="0.65">
      <c r="A282" s="554" t="str">
        <f t="array" aca="1" ref="A28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82" s="555" t="str">
        <f t="array" aca="1" ref="B28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82" s="555" t="str">
        <f ca="1">IF((ROW()-1)&lt;=COUNTIF(ListAndConversion!$CJ$4:$CQ$387,"&lt;&gt;-"),"Strips1","")</f>
        <v/>
      </c>
      <c r="D282" s="555" t="str">
        <f t="array" aca="1" ref="D28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82" s="555" t="str">
        <f t="array" aca="1" ref="E28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82" s="555" t="str">
        <f t="shared" ca="1" si="4"/>
        <v/>
      </c>
      <c r="G282" s="555" t="str">
        <f ca="1">IF(D282&lt;=8,RunName_ExAmpPrep!$H$2,IF(D282&lt;=16,RunName_ExAmpPrep!$H$3,IF(D282&lt;=24,RunName_ExAmpPrep!$H$4,IF(D282&lt;=32,RunName_ExAmpPrep!$H$5,IF(D282&lt;=40,RunName_ExAmpPrep!$H$6,IF(D282&lt;=48,RunName_ExAmpPrep!$H$7,IF(D282&lt;=56,RunName_ExAmpPrep!$H$8,IF(D282&lt;=64,RunName_ExAmpPrep!$H$9,""))))))))</f>
        <v/>
      </c>
      <c r="H282" s="577" t="str">
        <f t="array" aca="1" ref="H28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83" spans="1:8" x14ac:dyDescent="0.65">
      <c r="A283" s="554" t="str">
        <f t="array" aca="1" ref="A28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83" s="555" t="str">
        <f t="array" aca="1" ref="B28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83" s="555" t="str">
        <f ca="1">IF((ROW()-1)&lt;=COUNTIF(ListAndConversion!$CJ$4:$CQ$387,"&lt;&gt;-"),"Strips1","")</f>
        <v/>
      </c>
      <c r="D283" s="555" t="str">
        <f t="array" aca="1" ref="D28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83" s="555" t="str">
        <f t="array" aca="1" ref="E28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83" s="555" t="str">
        <f t="shared" ca="1" si="4"/>
        <v/>
      </c>
      <c r="G283" s="555" t="str">
        <f ca="1">IF(D283&lt;=8,RunName_ExAmpPrep!$H$2,IF(D283&lt;=16,RunName_ExAmpPrep!$H$3,IF(D283&lt;=24,RunName_ExAmpPrep!$H$4,IF(D283&lt;=32,RunName_ExAmpPrep!$H$5,IF(D283&lt;=40,RunName_ExAmpPrep!$H$6,IF(D283&lt;=48,RunName_ExAmpPrep!$H$7,IF(D283&lt;=56,RunName_ExAmpPrep!$H$8,IF(D283&lt;=64,RunName_ExAmpPrep!$H$9,""))))))))</f>
        <v/>
      </c>
      <c r="H283" s="577" t="str">
        <f t="array" aca="1" ref="H28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84" spans="1:8" x14ac:dyDescent="0.65">
      <c r="A284" s="554" t="str">
        <f t="array" aca="1" ref="A28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84" s="555" t="str">
        <f t="array" aca="1" ref="B28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84" s="555" t="str">
        <f ca="1">IF((ROW()-1)&lt;=COUNTIF(ListAndConversion!$CJ$4:$CQ$387,"&lt;&gt;-"),"Strips1","")</f>
        <v/>
      </c>
      <c r="D284" s="555" t="str">
        <f t="array" aca="1" ref="D28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84" s="555" t="str">
        <f t="array" aca="1" ref="E28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84" s="555" t="str">
        <f t="shared" ca="1" si="4"/>
        <v/>
      </c>
      <c r="G284" s="555" t="str">
        <f ca="1">IF(D284&lt;=8,RunName_ExAmpPrep!$H$2,IF(D284&lt;=16,RunName_ExAmpPrep!$H$3,IF(D284&lt;=24,RunName_ExAmpPrep!$H$4,IF(D284&lt;=32,RunName_ExAmpPrep!$H$5,IF(D284&lt;=40,RunName_ExAmpPrep!$H$6,IF(D284&lt;=48,RunName_ExAmpPrep!$H$7,IF(D284&lt;=56,RunName_ExAmpPrep!$H$8,IF(D284&lt;=64,RunName_ExAmpPrep!$H$9,""))))))))</f>
        <v/>
      </c>
      <c r="H284" s="577" t="str">
        <f t="array" aca="1" ref="H28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85" spans="1:8" x14ac:dyDescent="0.65">
      <c r="A285" s="554" t="str">
        <f t="array" aca="1" ref="A28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85" s="555" t="str">
        <f t="array" aca="1" ref="B28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85" s="555" t="str">
        <f ca="1">IF((ROW()-1)&lt;=COUNTIF(ListAndConversion!$CJ$4:$CQ$387,"&lt;&gt;-"),"Strips1","")</f>
        <v/>
      </c>
      <c r="D285" s="555" t="str">
        <f t="array" aca="1" ref="D28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85" s="555" t="str">
        <f t="array" aca="1" ref="E28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85" s="555" t="str">
        <f t="shared" ca="1" si="4"/>
        <v/>
      </c>
      <c r="G285" s="555" t="str">
        <f ca="1">IF(D285&lt;=8,RunName_ExAmpPrep!$H$2,IF(D285&lt;=16,RunName_ExAmpPrep!$H$3,IF(D285&lt;=24,RunName_ExAmpPrep!$H$4,IF(D285&lt;=32,RunName_ExAmpPrep!$H$5,IF(D285&lt;=40,RunName_ExAmpPrep!$H$6,IF(D285&lt;=48,RunName_ExAmpPrep!$H$7,IF(D285&lt;=56,RunName_ExAmpPrep!$H$8,IF(D285&lt;=64,RunName_ExAmpPrep!$H$9,""))))))))</f>
        <v/>
      </c>
      <c r="H285" s="577" t="str">
        <f t="array" aca="1" ref="H28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86" spans="1:8" x14ac:dyDescent="0.65">
      <c r="A286" s="554" t="str">
        <f t="array" aca="1" ref="A28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86" s="555" t="str">
        <f t="array" aca="1" ref="B28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86" s="555" t="str">
        <f ca="1">IF((ROW()-1)&lt;=COUNTIF(ListAndConversion!$CJ$4:$CQ$387,"&lt;&gt;-"),"Strips1","")</f>
        <v/>
      </c>
      <c r="D286" s="555" t="str">
        <f t="array" aca="1" ref="D28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86" s="555" t="str">
        <f t="array" aca="1" ref="E28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86" s="555" t="str">
        <f t="shared" ca="1" si="4"/>
        <v/>
      </c>
      <c r="G286" s="555" t="str">
        <f ca="1">IF(D286&lt;=8,RunName_ExAmpPrep!$H$2,IF(D286&lt;=16,RunName_ExAmpPrep!$H$3,IF(D286&lt;=24,RunName_ExAmpPrep!$H$4,IF(D286&lt;=32,RunName_ExAmpPrep!$H$5,IF(D286&lt;=40,RunName_ExAmpPrep!$H$6,IF(D286&lt;=48,RunName_ExAmpPrep!$H$7,IF(D286&lt;=56,RunName_ExAmpPrep!$H$8,IF(D286&lt;=64,RunName_ExAmpPrep!$H$9,""))))))))</f>
        <v/>
      </c>
      <c r="H286" s="577" t="str">
        <f t="array" aca="1" ref="H28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87" spans="1:8" x14ac:dyDescent="0.65">
      <c r="A287" s="554" t="str">
        <f t="array" aca="1" ref="A28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87" s="555" t="str">
        <f t="array" aca="1" ref="B28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87" s="555" t="str">
        <f ca="1">IF((ROW()-1)&lt;=COUNTIF(ListAndConversion!$CJ$4:$CQ$387,"&lt;&gt;-"),"Strips1","")</f>
        <v/>
      </c>
      <c r="D287" s="555" t="str">
        <f t="array" aca="1" ref="D28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87" s="555" t="str">
        <f t="array" aca="1" ref="E28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87" s="555" t="str">
        <f t="shared" ca="1" si="4"/>
        <v/>
      </c>
      <c r="G287" s="555" t="str">
        <f ca="1">IF(D287&lt;=8,RunName_ExAmpPrep!$H$2,IF(D287&lt;=16,RunName_ExAmpPrep!$H$3,IF(D287&lt;=24,RunName_ExAmpPrep!$H$4,IF(D287&lt;=32,RunName_ExAmpPrep!$H$5,IF(D287&lt;=40,RunName_ExAmpPrep!$H$6,IF(D287&lt;=48,RunName_ExAmpPrep!$H$7,IF(D287&lt;=56,RunName_ExAmpPrep!$H$8,IF(D287&lt;=64,RunName_ExAmpPrep!$H$9,""))))))))</f>
        <v/>
      </c>
      <c r="H287" s="577" t="str">
        <f t="array" aca="1" ref="H28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88" spans="1:8" x14ac:dyDescent="0.65">
      <c r="A288" s="554" t="str">
        <f t="array" aca="1" ref="A28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88" s="555" t="str">
        <f t="array" aca="1" ref="B28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88" s="555" t="str">
        <f ca="1">IF((ROW()-1)&lt;=COUNTIF(ListAndConversion!$CJ$4:$CQ$387,"&lt;&gt;-"),"Strips1","")</f>
        <v/>
      </c>
      <c r="D288" s="555" t="str">
        <f t="array" aca="1" ref="D28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88" s="555" t="str">
        <f t="array" aca="1" ref="E28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88" s="555" t="str">
        <f t="shared" ca="1" si="4"/>
        <v/>
      </c>
      <c r="G288" s="555" t="str">
        <f ca="1">IF(D288&lt;=8,RunName_ExAmpPrep!$H$2,IF(D288&lt;=16,RunName_ExAmpPrep!$H$3,IF(D288&lt;=24,RunName_ExAmpPrep!$H$4,IF(D288&lt;=32,RunName_ExAmpPrep!$H$5,IF(D288&lt;=40,RunName_ExAmpPrep!$H$6,IF(D288&lt;=48,RunName_ExAmpPrep!$H$7,IF(D288&lt;=56,RunName_ExAmpPrep!$H$8,IF(D288&lt;=64,RunName_ExAmpPrep!$H$9,""))))))))</f>
        <v/>
      </c>
      <c r="H288" s="577" t="str">
        <f t="array" aca="1" ref="H28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89" spans="1:8" x14ac:dyDescent="0.65">
      <c r="A289" s="554" t="str">
        <f t="array" aca="1" ref="A28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89" s="555" t="str">
        <f t="array" aca="1" ref="B28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89" s="555" t="str">
        <f ca="1">IF((ROW()-1)&lt;=COUNTIF(ListAndConversion!$CJ$4:$CQ$387,"&lt;&gt;-"),"Strips1","")</f>
        <v/>
      </c>
      <c r="D289" s="555" t="str">
        <f t="array" aca="1" ref="D28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89" s="555" t="str">
        <f t="array" aca="1" ref="E28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89" s="555" t="str">
        <f t="shared" ca="1" si="4"/>
        <v/>
      </c>
      <c r="G289" s="555" t="str">
        <f ca="1">IF(D289&lt;=8,RunName_ExAmpPrep!$H$2,IF(D289&lt;=16,RunName_ExAmpPrep!$H$3,IF(D289&lt;=24,RunName_ExAmpPrep!$H$4,IF(D289&lt;=32,RunName_ExAmpPrep!$H$5,IF(D289&lt;=40,RunName_ExAmpPrep!$H$6,IF(D289&lt;=48,RunName_ExAmpPrep!$H$7,IF(D289&lt;=56,RunName_ExAmpPrep!$H$8,IF(D289&lt;=64,RunName_ExAmpPrep!$H$9,""))))))))</f>
        <v/>
      </c>
      <c r="H289" s="577" t="str">
        <f t="array" aca="1" ref="H28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90" spans="1:8" x14ac:dyDescent="0.65">
      <c r="A290" s="554" t="str">
        <f t="array" aca="1" ref="A29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90" s="555" t="str">
        <f t="array" aca="1" ref="B29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90" s="555" t="str">
        <f ca="1">IF((ROW()-1)&lt;=COUNTIF(ListAndConversion!$CJ$4:$CQ$387,"&lt;&gt;-"),"Strips1","")</f>
        <v/>
      </c>
      <c r="D290" s="555" t="str">
        <f t="array" aca="1" ref="D29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90" s="555" t="str">
        <f t="array" aca="1" ref="E29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90" s="555" t="str">
        <f t="shared" ca="1" si="4"/>
        <v/>
      </c>
      <c r="G290" s="555" t="str">
        <f ca="1">IF(D290&lt;=8,RunName_ExAmpPrep!$H$2,IF(D290&lt;=16,RunName_ExAmpPrep!$H$3,IF(D290&lt;=24,RunName_ExAmpPrep!$H$4,IF(D290&lt;=32,RunName_ExAmpPrep!$H$5,IF(D290&lt;=40,RunName_ExAmpPrep!$H$6,IF(D290&lt;=48,RunName_ExAmpPrep!$H$7,IF(D290&lt;=56,RunName_ExAmpPrep!$H$8,IF(D290&lt;=64,RunName_ExAmpPrep!$H$9,""))))))))</f>
        <v/>
      </c>
      <c r="H290" s="577" t="str">
        <f t="array" aca="1" ref="H29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91" spans="1:8" x14ac:dyDescent="0.65">
      <c r="A291" s="554" t="str">
        <f t="array" aca="1" ref="A29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91" s="555" t="str">
        <f t="array" aca="1" ref="B29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91" s="555" t="str">
        <f ca="1">IF((ROW()-1)&lt;=COUNTIF(ListAndConversion!$CJ$4:$CQ$387,"&lt;&gt;-"),"Strips1","")</f>
        <v/>
      </c>
      <c r="D291" s="555" t="str">
        <f t="array" aca="1" ref="D29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91" s="555" t="str">
        <f t="array" aca="1" ref="E29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91" s="555" t="str">
        <f t="shared" ca="1" si="4"/>
        <v/>
      </c>
      <c r="G291" s="555" t="str">
        <f ca="1">IF(D291&lt;=8,RunName_ExAmpPrep!$H$2,IF(D291&lt;=16,RunName_ExAmpPrep!$H$3,IF(D291&lt;=24,RunName_ExAmpPrep!$H$4,IF(D291&lt;=32,RunName_ExAmpPrep!$H$5,IF(D291&lt;=40,RunName_ExAmpPrep!$H$6,IF(D291&lt;=48,RunName_ExAmpPrep!$H$7,IF(D291&lt;=56,RunName_ExAmpPrep!$H$8,IF(D291&lt;=64,RunName_ExAmpPrep!$H$9,""))))))))</f>
        <v/>
      </c>
      <c r="H291" s="577" t="str">
        <f t="array" aca="1" ref="H29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92" spans="1:8" x14ac:dyDescent="0.65">
      <c r="A292" s="554" t="str">
        <f t="array" aca="1" ref="A29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92" s="555" t="str">
        <f t="array" aca="1" ref="B29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92" s="555" t="str">
        <f ca="1">IF((ROW()-1)&lt;=COUNTIF(ListAndConversion!$CJ$4:$CQ$387,"&lt;&gt;-"),"Strips1","")</f>
        <v/>
      </c>
      <c r="D292" s="555" t="str">
        <f t="array" aca="1" ref="D29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92" s="555" t="str">
        <f t="array" aca="1" ref="E29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92" s="555" t="str">
        <f t="shared" ca="1" si="4"/>
        <v/>
      </c>
      <c r="G292" s="555" t="str">
        <f ca="1">IF(D292&lt;=8,RunName_ExAmpPrep!$H$2,IF(D292&lt;=16,RunName_ExAmpPrep!$H$3,IF(D292&lt;=24,RunName_ExAmpPrep!$H$4,IF(D292&lt;=32,RunName_ExAmpPrep!$H$5,IF(D292&lt;=40,RunName_ExAmpPrep!$H$6,IF(D292&lt;=48,RunName_ExAmpPrep!$H$7,IF(D292&lt;=56,RunName_ExAmpPrep!$H$8,IF(D292&lt;=64,RunName_ExAmpPrep!$H$9,""))))))))</f>
        <v/>
      </c>
      <c r="H292" s="577" t="str">
        <f t="array" aca="1" ref="H29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93" spans="1:8" x14ac:dyDescent="0.65">
      <c r="A293" s="554" t="str">
        <f t="array" aca="1" ref="A29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93" s="555" t="str">
        <f t="array" aca="1" ref="B29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93" s="555" t="str">
        <f ca="1">IF((ROW()-1)&lt;=COUNTIF(ListAndConversion!$CJ$4:$CQ$387,"&lt;&gt;-"),"Strips1","")</f>
        <v/>
      </c>
      <c r="D293" s="555" t="str">
        <f t="array" aca="1" ref="D29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93" s="555" t="str">
        <f t="array" aca="1" ref="E29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93" s="555" t="str">
        <f t="shared" ca="1" si="4"/>
        <v/>
      </c>
      <c r="G293" s="555" t="str">
        <f ca="1">IF(D293&lt;=8,RunName_ExAmpPrep!$H$2,IF(D293&lt;=16,RunName_ExAmpPrep!$H$3,IF(D293&lt;=24,RunName_ExAmpPrep!$H$4,IF(D293&lt;=32,RunName_ExAmpPrep!$H$5,IF(D293&lt;=40,RunName_ExAmpPrep!$H$6,IF(D293&lt;=48,RunName_ExAmpPrep!$H$7,IF(D293&lt;=56,RunName_ExAmpPrep!$H$8,IF(D293&lt;=64,RunName_ExAmpPrep!$H$9,""))))))))</f>
        <v/>
      </c>
      <c r="H293" s="577" t="str">
        <f t="array" aca="1" ref="H29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94" spans="1:8" x14ac:dyDescent="0.65">
      <c r="A294" s="554" t="str">
        <f t="array" aca="1" ref="A29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94" s="555" t="str">
        <f t="array" aca="1" ref="B29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94" s="555" t="str">
        <f ca="1">IF((ROW()-1)&lt;=COUNTIF(ListAndConversion!$CJ$4:$CQ$387,"&lt;&gt;-"),"Strips1","")</f>
        <v/>
      </c>
      <c r="D294" s="555" t="str">
        <f t="array" aca="1" ref="D29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94" s="555" t="str">
        <f t="array" aca="1" ref="E29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94" s="555" t="str">
        <f t="shared" ca="1" si="4"/>
        <v/>
      </c>
      <c r="G294" s="555" t="str">
        <f ca="1">IF(D294&lt;=8,RunName_ExAmpPrep!$H$2,IF(D294&lt;=16,RunName_ExAmpPrep!$H$3,IF(D294&lt;=24,RunName_ExAmpPrep!$H$4,IF(D294&lt;=32,RunName_ExAmpPrep!$H$5,IF(D294&lt;=40,RunName_ExAmpPrep!$H$6,IF(D294&lt;=48,RunName_ExAmpPrep!$H$7,IF(D294&lt;=56,RunName_ExAmpPrep!$H$8,IF(D294&lt;=64,RunName_ExAmpPrep!$H$9,""))))))))</f>
        <v/>
      </c>
      <c r="H294" s="577" t="str">
        <f t="array" aca="1" ref="H29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95" spans="1:8" x14ac:dyDescent="0.65">
      <c r="A295" s="554" t="str">
        <f t="array" aca="1" ref="A29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95" s="555" t="str">
        <f t="array" aca="1" ref="B29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95" s="555" t="str">
        <f ca="1">IF((ROW()-1)&lt;=COUNTIF(ListAndConversion!$CJ$4:$CQ$387,"&lt;&gt;-"),"Strips1","")</f>
        <v/>
      </c>
      <c r="D295" s="555" t="str">
        <f t="array" aca="1" ref="D29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95" s="555" t="str">
        <f t="array" aca="1" ref="E29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95" s="555" t="str">
        <f t="shared" ca="1" si="4"/>
        <v/>
      </c>
      <c r="G295" s="555" t="str">
        <f ca="1">IF(D295&lt;=8,RunName_ExAmpPrep!$H$2,IF(D295&lt;=16,RunName_ExAmpPrep!$H$3,IF(D295&lt;=24,RunName_ExAmpPrep!$H$4,IF(D295&lt;=32,RunName_ExAmpPrep!$H$5,IF(D295&lt;=40,RunName_ExAmpPrep!$H$6,IF(D295&lt;=48,RunName_ExAmpPrep!$H$7,IF(D295&lt;=56,RunName_ExAmpPrep!$H$8,IF(D295&lt;=64,RunName_ExAmpPrep!$H$9,""))))))))</f>
        <v/>
      </c>
      <c r="H295" s="577" t="str">
        <f t="array" aca="1" ref="H29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96" spans="1:8" x14ac:dyDescent="0.65">
      <c r="A296" s="554" t="str">
        <f t="array" aca="1" ref="A29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96" s="555" t="str">
        <f t="array" aca="1" ref="B29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96" s="555" t="str">
        <f ca="1">IF((ROW()-1)&lt;=COUNTIF(ListAndConversion!$CJ$4:$CQ$387,"&lt;&gt;-"),"Strips1","")</f>
        <v/>
      </c>
      <c r="D296" s="555" t="str">
        <f t="array" aca="1" ref="D29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96" s="555" t="str">
        <f t="array" aca="1" ref="E29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96" s="555" t="str">
        <f t="shared" ca="1" si="4"/>
        <v/>
      </c>
      <c r="G296" s="555" t="str">
        <f ca="1">IF(D296&lt;=8,RunName_ExAmpPrep!$H$2,IF(D296&lt;=16,RunName_ExAmpPrep!$H$3,IF(D296&lt;=24,RunName_ExAmpPrep!$H$4,IF(D296&lt;=32,RunName_ExAmpPrep!$H$5,IF(D296&lt;=40,RunName_ExAmpPrep!$H$6,IF(D296&lt;=48,RunName_ExAmpPrep!$H$7,IF(D296&lt;=56,RunName_ExAmpPrep!$H$8,IF(D296&lt;=64,RunName_ExAmpPrep!$H$9,""))))))))</f>
        <v/>
      </c>
      <c r="H296" s="577" t="str">
        <f t="array" aca="1" ref="H29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97" spans="1:8" x14ac:dyDescent="0.65">
      <c r="A297" s="554" t="str">
        <f t="array" aca="1" ref="A29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97" s="555" t="str">
        <f t="array" aca="1" ref="B29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97" s="555" t="str">
        <f ca="1">IF((ROW()-1)&lt;=COUNTIF(ListAndConversion!$CJ$4:$CQ$387,"&lt;&gt;-"),"Strips1","")</f>
        <v/>
      </c>
      <c r="D297" s="555" t="str">
        <f t="array" aca="1" ref="D29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97" s="555" t="str">
        <f t="array" aca="1" ref="E29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97" s="555" t="str">
        <f t="shared" ca="1" si="4"/>
        <v/>
      </c>
      <c r="G297" s="555" t="str">
        <f ca="1">IF(D297&lt;=8,RunName_ExAmpPrep!$H$2,IF(D297&lt;=16,RunName_ExAmpPrep!$H$3,IF(D297&lt;=24,RunName_ExAmpPrep!$H$4,IF(D297&lt;=32,RunName_ExAmpPrep!$H$5,IF(D297&lt;=40,RunName_ExAmpPrep!$H$6,IF(D297&lt;=48,RunName_ExAmpPrep!$H$7,IF(D297&lt;=56,RunName_ExAmpPrep!$H$8,IF(D297&lt;=64,RunName_ExAmpPrep!$H$9,""))))))))</f>
        <v/>
      </c>
      <c r="H297" s="577" t="str">
        <f t="array" aca="1" ref="H29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98" spans="1:8" x14ac:dyDescent="0.65">
      <c r="A298" s="554" t="str">
        <f t="array" aca="1" ref="A29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98" s="555" t="str">
        <f t="array" aca="1" ref="B29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98" s="555" t="str">
        <f ca="1">IF((ROW()-1)&lt;=COUNTIF(ListAndConversion!$CJ$4:$CQ$387,"&lt;&gt;-"),"Strips1","")</f>
        <v/>
      </c>
      <c r="D298" s="555" t="str">
        <f t="array" aca="1" ref="D29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98" s="555" t="str">
        <f t="array" aca="1" ref="E29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98" s="555" t="str">
        <f t="shared" ca="1" si="4"/>
        <v/>
      </c>
      <c r="G298" s="555" t="str">
        <f ca="1">IF(D298&lt;=8,RunName_ExAmpPrep!$H$2,IF(D298&lt;=16,RunName_ExAmpPrep!$H$3,IF(D298&lt;=24,RunName_ExAmpPrep!$H$4,IF(D298&lt;=32,RunName_ExAmpPrep!$H$5,IF(D298&lt;=40,RunName_ExAmpPrep!$H$6,IF(D298&lt;=48,RunName_ExAmpPrep!$H$7,IF(D298&lt;=56,RunName_ExAmpPrep!$H$8,IF(D298&lt;=64,RunName_ExAmpPrep!$H$9,""))))))))</f>
        <v/>
      </c>
      <c r="H298" s="577" t="str">
        <f t="array" aca="1" ref="H29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299" spans="1:8" x14ac:dyDescent="0.65">
      <c r="A299" s="554" t="str">
        <f t="array" aca="1" ref="A29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299" s="555" t="str">
        <f t="array" aca="1" ref="B29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299" s="555" t="str">
        <f ca="1">IF((ROW()-1)&lt;=COUNTIF(ListAndConversion!$CJ$4:$CQ$387,"&lt;&gt;-"),"Strips1","")</f>
        <v/>
      </c>
      <c r="D299" s="555" t="str">
        <f t="array" aca="1" ref="D29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299" s="555" t="str">
        <f t="array" aca="1" ref="E29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299" s="555" t="str">
        <f t="shared" ca="1" si="4"/>
        <v/>
      </c>
      <c r="G299" s="555" t="str">
        <f ca="1">IF(D299&lt;=8,RunName_ExAmpPrep!$H$2,IF(D299&lt;=16,RunName_ExAmpPrep!$H$3,IF(D299&lt;=24,RunName_ExAmpPrep!$H$4,IF(D299&lt;=32,RunName_ExAmpPrep!$H$5,IF(D299&lt;=40,RunName_ExAmpPrep!$H$6,IF(D299&lt;=48,RunName_ExAmpPrep!$H$7,IF(D299&lt;=56,RunName_ExAmpPrep!$H$8,IF(D299&lt;=64,RunName_ExAmpPrep!$H$9,""))))))))</f>
        <v/>
      </c>
      <c r="H299" s="577" t="str">
        <f t="array" aca="1" ref="H29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00" spans="1:8" x14ac:dyDescent="0.65">
      <c r="A300" s="554" t="str">
        <f t="array" aca="1" ref="A30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00" s="555" t="str">
        <f t="array" aca="1" ref="B30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00" s="555" t="str">
        <f ca="1">IF((ROW()-1)&lt;=COUNTIF(ListAndConversion!$CJ$4:$CQ$387,"&lt;&gt;-"),"Strips1","")</f>
        <v/>
      </c>
      <c r="D300" s="555" t="str">
        <f t="array" aca="1" ref="D30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00" s="555" t="str">
        <f t="array" aca="1" ref="E30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00" s="555" t="str">
        <f t="shared" ca="1" si="4"/>
        <v/>
      </c>
      <c r="G300" s="555" t="str">
        <f ca="1">IF(D300&lt;=8,RunName_ExAmpPrep!$H$2,IF(D300&lt;=16,RunName_ExAmpPrep!$H$3,IF(D300&lt;=24,RunName_ExAmpPrep!$H$4,IF(D300&lt;=32,RunName_ExAmpPrep!$H$5,IF(D300&lt;=40,RunName_ExAmpPrep!$H$6,IF(D300&lt;=48,RunName_ExAmpPrep!$H$7,IF(D300&lt;=56,RunName_ExAmpPrep!$H$8,IF(D300&lt;=64,RunName_ExAmpPrep!$H$9,""))))))))</f>
        <v/>
      </c>
      <c r="H300" s="577" t="str">
        <f t="array" aca="1" ref="H30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01" spans="1:8" x14ac:dyDescent="0.65">
      <c r="A301" s="554" t="str">
        <f t="array" aca="1" ref="A30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01" s="555" t="str">
        <f t="array" aca="1" ref="B30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01" s="555" t="str">
        <f ca="1">IF((ROW()-1)&lt;=COUNTIF(ListAndConversion!$CJ$4:$CQ$387,"&lt;&gt;-"),"Strips1","")</f>
        <v/>
      </c>
      <c r="D301" s="555" t="str">
        <f t="array" aca="1" ref="D30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01" s="555" t="str">
        <f t="array" aca="1" ref="E30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01" s="555" t="str">
        <f t="shared" ca="1" si="4"/>
        <v/>
      </c>
      <c r="G301" s="555" t="str">
        <f ca="1">IF(D301&lt;=8,RunName_ExAmpPrep!$H$2,IF(D301&lt;=16,RunName_ExAmpPrep!$H$3,IF(D301&lt;=24,RunName_ExAmpPrep!$H$4,IF(D301&lt;=32,RunName_ExAmpPrep!$H$5,IF(D301&lt;=40,RunName_ExAmpPrep!$H$6,IF(D301&lt;=48,RunName_ExAmpPrep!$H$7,IF(D301&lt;=56,RunName_ExAmpPrep!$H$8,IF(D301&lt;=64,RunName_ExAmpPrep!$H$9,""))))))))</f>
        <v/>
      </c>
      <c r="H301" s="577" t="str">
        <f t="array" aca="1" ref="H30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02" spans="1:8" x14ac:dyDescent="0.65">
      <c r="A302" s="554" t="str">
        <f t="array" aca="1" ref="A30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02" s="555" t="str">
        <f t="array" aca="1" ref="B30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02" s="555" t="str">
        <f ca="1">IF((ROW()-1)&lt;=COUNTIF(ListAndConversion!$CJ$4:$CQ$387,"&lt;&gt;-"),"Strips1","")</f>
        <v/>
      </c>
      <c r="D302" s="555" t="str">
        <f t="array" aca="1" ref="D30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02" s="555" t="str">
        <f t="array" aca="1" ref="E30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02" s="555" t="str">
        <f t="shared" ca="1" si="4"/>
        <v/>
      </c>
      <c r="G302" s="555" t="str">
        <f ca="1">IF(D302&lt;=8,RunName_ExAmpPrep!$H$2,IF(D302&lt;=16,RunName_ExAmpPrep!$H$3,IF(D302&lt;=24,RunName_ExAmpPrep!$H$4,IF(D302&lt;=32,RunName_ExAmpPrep!$H$5,IF(D302&lt;=40,RunName_ExAmpPrep!$H$6,IF(D302&lt;=48,RunName_ExAmpPrep!$H$7,IF(D302&lt;=56,RunName_ExAmpPrep!$H$8,IF(D302&lt;=64,RunName_ExAmpPrep!$H$9,""))))))))</f>
        <v/>
      </c>
      <c r="H302" s="577" t="str">
        <f t="array" aca="1" ref="H30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03" spans="1:8" x14ac:dyDescent="0.65">
      <c r="A303" s="554" t="str">
        <f t="array" aca="1" ref="A30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03" s="555" t="str">
        <f t="array" aca="1" ref="B30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03" s="555" t="str">
        <f ca="1">IF((ROW()-1)&lt;=COUNTIF(ListAndConversion!$CJ$4:$CQ$387,"&lt;&gt;-"),"Strips1","")</f>
        <v/>
      </c>
      <c r="D303" s="555" t="str">
        <f t="array" aca="1" ref="D30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03" s="555" t="str">
        <f t="array" aca="1" ref="E30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03" s="555" t="str">
        <f t="shared" ca="1" si="4"/>
        <v/>
      </c>
      <c r="G303" s="555" t="str">
        <f ca="1">IF(D303&lt;=8,RunName_ExAmpPrep!$H$2,IF(D303&lt;=16,RunName_ExAmpPrep!$H$3,IF(D303&lt;=24,RunName_ExAmpPrep!$H$4,IF(D303&lt;=32,RunName_ExAmpPrep!$H$5,IF(D303&lt;=40,RunName_ExAmpPrep!$H$6,IF(D303&lt;=48,RunName_ExAmpPrep!$H$7,IF(D303&lt;=56,RunName_ExAmpPrep!$H$8,IF(D303&lt;=64,RunName_ExAmpPrep!$H$9,""))))))))</f>
        <v/>
      </c>
      <c r="H303" s="577" t="str">
        <f t="array" aca="1" ref="H30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04" spans="1:8" x14ac:dyDescent="0.65">
      <c r="A304" s="554" t="str">
        <f t="array" aca="1" ref="A30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04" s="555" t="str">
        <f t="array" aca="1" ref="B30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04" s="555" t="str">
        <f ca="1">IF((ROW()-1)&lt;=COUNTIF(ListAndConversion!$CJ$4:$CQ$387,"&lt;&gt;-"),"Strips1","")</f>
        <v/>
      </c>
      <c r="D304" s="555" t="str">
        <f t="array" aca="1" ref="D30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04" s="555" t="str">
        <f t="array" aca="1" ref="E30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04" s="555" t="str">
        <f t="shared" ca="1" si="4"/>
        <v/>
      </c>
      <c r="G304" s="555" t="str">
        <f ca="1">IF(D304&lt;=8,RunName_ExAmpPrep!$H$2,IF(D304&lt;=16,RunName_ExAmpPrep!$H$3,IF(D304&lt;=24,RunName_ExAmpPrep!$H$4,IF(D304&lt;=32,RunName_ExAmpPrep!$H$5,IF(D304&lt;=40,RunName_ExAmpPrep!$H$6,IF(D304&lt;=48,RunName_ExAmpPrep!$H$7,IF(D304&lt;=56,RunName_ExAmpPrep!$H$8,IF(D304&lt;=64,RunName_ExAmpPrep!$H$9,""))))))))</f>
        <v/>
      </c>
      <c r="H304" s="577" t="str">
        <f t="array" aca="1" ref="H30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05" spans="1:8" x14ac:dyDescent="0.65">
      <c r="A305" s="554" t="str">
        <f t="array" aca="1" ref="A30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05" s="555" t="str">
        <f t="array" aca="1" ref="B30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05" s="555" t="str">
        <f ca="1">IF((ROW()-1)&lt;=COUNTIF(ListAndConversion!$CJ$4:$CQ$387,"&lt;&gt;-"),"Strips1","")</f>
        <v/>
      </c>
      <c r="D305" s="555" t="str">
        <f t="array" aca="1" ref="D30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05" s="555" t="str">
        <f t="array" aca="1" ref="E30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05" s="555" t="str">
        <f t="shared" ca="1" si="4"/>
        <v/>
      </c>
      <c r="G305" s="555" t="str">
        <f ca="1">IF(D305&lt;=8,RunName_ExAmpPrep!$H$2,IF(D305&lt;=16,RunName_ExAmpPrep!$H$3,IF(D305&lt;=24,RunName_ExAmpPrep!$H$4,IF(D305&lt;=32,RunName_ExAmpPrep!$H$5,IF(D305&lt;=40,RunName_ExAmpPrep!$H$6,IF(D305&lt;=48,RunName_ExAmpPrep!$H$7,IF(D305&lt;=56,RunName_ExAmpPrep!$H$8,IF(D305&lt;=64,RunName_ExAmpPrep!$H$9,""))))))))</f>
        <v/>
      </c>
      <c r="H305" s="577" t="str">
        <f t="array" aca="1" ref="H30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06" spans="1:8" x14ac:dyDescent="0.65">
      <c r="A306" s="554" t="str">
        <f t="array" aca="1" ref="A30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06" s="555" t="str">
        <f t="array" aca="1" ref="B30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06" s="555" t="str">
        <f ca="1">IF((ROW()-1)&lt;=COUNTIF(ListAndConversion!$CJ$4:$CQ$387,"&lt;&gt;-"),"Strips1","")</f>
        <v/>
      </c>
      <c r="D306" s="555" t="str">
        <f t="array" aca="1" ref="D30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06" s="555" t="str">
        <f t="array" aca="1" ref="E30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06" s="555" t="str">
        <f t="shared" ca="1" si="4"/>
        <v/>
      </c>
      <c r="G306" s="555" t="str">
        <f ca="1">IF(D306&lt;=8,RunName_ExAmpPrep!$H$2,IF(D306&lt;=16,RunName_ExAmpPrep!$H$3,IF(D306&lt;=24,RunName_ExAmpPrep!$H$4,IF(D306&lt;=32,RunName_ExAmpPrep!$H$5,IF(D306&lt;=40,RunName_ExAmpPrep!$H$6,IF(D306&lt;=48,RunName_ExAmpPrep!$H$7,IF(D306&lt;=56,RunName_ExAmpPrep!$H$8,IF(D306&lt;=64,RunName_ExAmpPrep!$H$9,""))))))))</f>
        <v/>
      </c>
      <c r="H306" s="577" t="str">
        <f t="array" aca="1" ref="H30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07" spans="1:8" x14ac:dyDescent="0.65">
      <c r="A307" s="554" t="str">
        <f t="array" aca="1" ref="A30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07" s="555" t="str">
        <f t="array" aca="1" ref="B30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07" s="555" t="str">
        <f ca="1">IF((ROW()-1)&lt;=COUNTIF(ListAndConversion!$CJ$4:$CQ$387,"&lt;&gt;-"),"Strips1","")</f>
        <v/>
      </c>
      <c r="D307" s="555" t="str">
        <f t="array" aca="1" ref="D30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07" s="555" t="str">
        <f t="array" aca="1" ref="E30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07" s="555" t="str">
        <f t="shared" ca="1" si="4"/>
        <v/>
      </c>
      <c r="G307" s="555" t="str">
        <f ca="1">IF(D307&lt;=8,RunName_ExAmpPrep!$H$2,IF(D307&lt;=16,RunName_ExAmpPrep!$H$3,IF(D307&lt;=24,RunName_ExAmpPrep!$H$4,IF(D307&lt;=32,RunName_ExAmpPrep!$H$5,IF(D307&lt;=40,RunName_ExAmpPrep!$H$6,IF(D307&lt;=48,RunName_ExAmpPrep!$H$7,IF(D307&lt;=56,RunName_ExAmpPrep!$H$8,IF(D307&lt;=64,RunName_ExAmpPrep!$H$9,""))))))))</f>
        <v/>
      </c>
      <c r="H307" s="577" t="str">
        <f t="array" aca="1" ref="H30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08" spans="1:8" x14ac:dyDescent="0.65">
      <c r="A308" s="554" t="str">
        <f t="array" aca="1" ref="A30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08" s="555" t="str">
        <f t="array" aca="1" ref="B30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08" s="555" t="str">
        <f ca="1">IF((ROW()-1)&lt;=COUNTIF(ListAndConversion!$CJ$4:$CQ$387,"&lt;&gt;-"),"Strips1","")</f>
        <v/>
      </c>
      <c r="D308" s="555" t="str">
        <f t="array" aca="1" ref="D30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08" s="555" t="str">
        <f t="array" aca="1" ref="E30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08" s="555" t="str">
        <f t="shared" ca="1" si="4"/>
        <v/>
      </c>
      <c r="G308" s="555" t="str">
        <f ca="1">IF(D308&lt;=8,RunName_ExAmpPrep!$H$2,IF(D308&lt;=16,RunName_ExAmpPrep!$H$3,IF(D308&lt;=24,RunName_ExAmpPrep!$H$4,IF(D308&lt;=32,RunName_ExAmpPrep!$H$5,IF(D308&lt;=40,RunName_ExAmpPrep!$H$6,IF(D308&lt;=48,RunName_ExAmpPrep!$H$7,IF(D308&lt;=56,RunName_ExAmpPrep!$H$8,IF(D308&lt;=64,RunName_ExAmpPrep!$H$9,""))))))))</f>
        <v/>
      </c>
      <c r="H308" s="577" t="str">
        <f t="array" aca="1" ref="H30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09" spans="1:8" x14ac:dyDescent="0.65">
      <c r="A309" s="554" t="str">
        <f t="array" aca="1" ref="A30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09" s="555" t="str">
        <f t="array" aca="1" ref="B30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09" s="555" t="str">
        <f ca="1">IF((ROW()-1)&lt;=COUNTIF(ListAndConversion!$CJ$4:$CQ$387,"&lt;&gt;-"),"Strips1","")</f>
        <v/>
      </c>
      <c r="D309" s="555" t="str">
        <f t="array" aca="1" ref="D30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09" s="555" t="str">
        <f t="array" aca="1" ref="E30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09" s="555" t="str">
        <f t="shared" ca="1" si="4"/>
        <v/>
      </c>
      <c r="G309" s="555" t="str">
        <f ca="1">IF(D309&lt;=8,RunName_ExAmpPrep!$H$2,IF(D309&lt;=16,RunName_ExAmpPrep!$H$3,IF(D309&lt;=24,RunName_ExAmpPrep!$H$4,IF(D309&lt;=32,RunName_ExAmpPrep!$H$5,IF(D309&lt;=40,RunName_ExAmpPrep!$H$6,IF(D309&lt;=48,RunName_ExAmpPrep!$H$7,IF(D309&lt;=56,RunName_ExAmpPrep!$H$8,IF(D309&lt;=64,RunName_ExAmpPrep!$H$9,""))))))))</f>
        <v/>
      </c>
      <c r="H309" s="577" t="str">
        <f t="array" aca="1" ref="H30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10" spans="1:8" x14ac:dyDescent="0.65">
      <c r="A310" s="554" t="str">
        <f t="array" aca="1" ref="A31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10" s="555" t="str">
        <f t="array" aca="1" ref="B31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10" s="555" t="str">
        <f ca="1">IF((ROW()-1)&lt;=COUNTIF(ListAndConversion!$CJ$4:$CQ$387,"&lt;&gt;-"),"Strips1","")</f>
        <v/>
      </c>
      <c r="D310" s="555" t="str">
        <f t="array" aca="1" ref="D31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10" s="555" t="str">
        <f t="array" aca="1" ref="E31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10" s="555" t="str">
        <f t="shared" ca="1" si="4"/>
        <v/>
      </c>
      <c r="G310" s="555" t="str">
        <f ca="1">IF(D310&lt;=8,RunName_ExAmpPrep!$H$2,IF(D310&lt;=16,RunName_ExAmpPrep!$H$3,IF(D310&lt;=24,RunName_ExAmpPrep!$H$4,IF(D310&lt;=32,RunName_ExAmpPrep!$H$5,IF(D310&lt;=40,RunName_ExAmpPrep!$H$6,IF(D310&lt;=48,RunName_ExAmpPrep!$H$7,IF(D310&lt;=56,RunName_ExAmpPrep!$H$8,IF(D310&lt;=64,RunName_ExAmpPrep!$H$9,""))))))))</f>
        <v/>
      </c>
      <c r="H310" s="577" t="str">
        <f t="array" aca="1" ref="H31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11" spans="1:8" x14ac:dyDescent="0.65">
      <c r="A311" s="554" t="str">
        <f t="array" aca="1" ref="A31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11" s="555" t="str">
        <f t="array" aca="1" ref="B31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11" s="555" t="str">
        <f ca="1">IF((ROW()-1)&lt;=COUNTIF(ListAndConversion!$CJ$4:$CQ$387,"&lt;&gt;-"),"Strips1","")</f>
        <v/>
      </c>
      <c r="D311" s="555" t="str">
        <f t="array" aca="1" ref="D31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11" s="555" t="str">
        <f t="array" aca="1" ref="E31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11" s="555" t="str">
        <f t="shared" ca="1" si="4"/>
        <v/>
      </c>
      <c r="G311" s="555" t="str">
        <f ca="1">IF(D311&lt;=8,RunName_ExAmpPrep!$H$2,IF(D311&lt;=16,RunName_ExAmpPrep!$H$3,IF(D311&lt;=24,RunName_ExAmpPrep!$H$4,IF(D311&lt;=32,RunName_ExAmpPrep!$H$5,IF(D311&lt;=40,RunName_ExAmpPrep!$H$6,IF(D311&lt;=48,RunName_ExAmpPrep!$H$7,IF(D311&lt;=56,RunName_ExAmpPrep!$H$8,IF(D311&lt;=64,RunName_ExAmpPrep!$H$9,""))))))))</f>
        <v/>
      </c>
      <c r="H311" s="577" t="str">
        <f t="array" aca="1" ref="H31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12" spans="1:8" x14ac:dyDescent="0.65">
      <c r="A312" s="554" t="str">
        <f t="array" aca="1" ref="A31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12" s="555" t="str">
        <f t="array" aca="1" ref="B31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12" s="555" t="str">
        <f ca="1">IF((ROW()-1)&lt;=COUNTIF(ListAndConversion!$CJ$4:$CQ$387,"&lt;&gt;-"),"Strips1","")</f>
        <v/>
      </c>
      <c r="D312" s="555" t="str">
        <f t="array" aca="1" ref="D31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12" s="555" t="str">
        <f t="array" aca="1" ref="E31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12" s="555" t="str">
        <f t="shared" ca="1" si="4"/>
        <v/>
      </c>
      <c r="G312" s="555" t="str">
        <f ca="1">IF(D312&lt;=8,RunName_ExAmpPrep!$H$2,IF(D312&lt;=16,RunName_ExAmpPrep!$H$3,IF(D312&lt;=24,RunName_ExAmpPrep!$H$4,IF(D312&lt;=32,RunName_ExAmpPrep!$H$5,IF(D312&lt;=40,RunName_ExAmpPrep!$H$6,IF(D312&lt;=48,RunName_ExAmpPrep!$H$7,IF(D312&lt;=56,RunName_ExAmpPrep!$H$8,IF(D312&lt;=64,RunName_ExAmpPrep!$H$9,""))))))))</f>
        <v/>
      </c>
      <c r="H312" s="577" t="str">
        <f t="array" aca="1" ref="H31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13" spans="1:8" x14ac:dyDescent="0.65">
      <c r="A313" s="554" t="str">
        <f t="array" aca="1" ref="A31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13" s="555" t="str">
        <f t="array" aca="1" ref="B31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13" s="555" t="str">
        <f ca="1">IF((ROW()-1)&lt;=COUNTIF(ListAndConversion!$CJ$4:$CQ$387,"&lt;&gt;-"),"Strips1","")</f>
        <v/>
      </c>
      <c r="D313" s="555" t="str">
        <f t="array" aca="1" ref="D31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13" s="555" t="str">
        <f t="array" aca="1" ref="E31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13" s="555" t="str">
        <f t="shared" ca="1" si="4"/>
        <v/>
      </c>
      <c r="G313" s="555" t="str">
        <f ca="1">IF(D313&lt;=8,RunName_ExAmpPrep!$H$2,IF(D313&lt;=16,RunName_ExAmpPrep!$H$3,IF(D313&lt;=24,RunName_ExAmpPrep!$H$4,IF(D313&lt;=32,RunName_ExAmpPrep!$H$5,IF(D313&lt;=40,RunName_ExAmpPrep!$H$6,IF(D313&lt;=48,RunName_ExAmpPrep!$H$7,IF(D313&lt;=56,RunName_ExAmpPrep!$H$8,IF(D313&lt;=64,RunName_ExAmpPrep!$H$9,""))))))))</f>
        <v/>
      </c>
      <c r="H313" s="577" t="str">
        <f t="array" aca="1" ref="H31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14" spans="1:8" x14ac:dyDescent="0.65">
      <c r="A314" s="554" t="str">
        <f t="array" aca="1" ref="A31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14" s="555" t="str">
        <f t="array" aca="1" ref="B31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14" s="555" t="str">
        <f ca="1">IF((ROW()-1)&lt;=COUNTIF(ListAndConversion!$CJ$4:$CQ$387,"&lt;&gt;-"),"Strips1","")</f>
        <v/>
      </c>
      <c r="D314" s="555" t="str">
        <f t="array" aca="1" ref="D31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14" s="555" t="str">
        <f t="array" aca="1" ref="E31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14" s="555" t="str">
        <f t="shared" ca="1" si="4"/>
        <v/>
      </c>
      <c r="G314" s="555" t="str">
        <f ca="1">IF(D314&lt;=8,RunName_ExAmpPrep!$H$2,IF(D314&lt;=16,RunName_ExAmpPrep!$H$3,IF(D314&lt;=24,RunName_ExAmpPrep!$H$4,IF(D314&lt;=32,RunName_ExAmpPrep!$H$5,IF(D314&lt;=40,RunName_ExAmpPrep!$H$6,IF(D314&lt;=48,RunName_ExAmpPrep!$H$7,IF(D314&lt;=56,RunName_ExAmpPrep!$H$8,IF(D314&lt;=64,RunName_ExAmpPrep!$H$9,""))))))))</f>
        <v/>
      </c>
      <c r="H314" s="577" t="str">
        <f t="array" aca="1" ref="H31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15" spans="1:8" x14ac:dyDescent="0.65">
      <c r="A315" s="554" t="str">
        <f t="array" aca="1" ref="A31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15" s="555" t="str">
        <f t="array" aca="1" ref="B31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15" s="555" t="str">
        <f ca="1">IF((ROW()-1)&lt;=COUNTIF(ListAndConversion!$CJ$4:$CQ$387,"&lt;&gt;-"),"Strips1","")</f>
        <v/>
      </c>
      <c r="D315" s="555" t="str">
        <f t="array" aca="1" ref="D31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15" s="555" t="str">
        <f t="array" aca="1" ref="E31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15" s="555" t="str">
        <f t="shared" ca="1" si="4"/>
        <v/>
      </c>
      <c r="G315" s="555" t="str">
        <f ca="1">IF(D315&lt;=8,RunName_ExAmpPrep!$H$2,IF(D315&lt;=16,RunName_ExAmpPrep!$H$3,IF(D315&lt;=24,RunName_ExAmpPrep!$H$4,IF(D315&lt;=32,RunName_ExAmpPrep!$H$5,IF(D315&lt;=40,RunName_ExAmpPrep!$H$6,IF(D315&lt;=48,RunName_ExAmpPrep!$H$7,IF(D315&lt;=56,RunName_ExAmpPrep!$H$8,IF(D315&lt;=64,RunName_ExAmpPrep!$H$9,""))))))))</f>
        <v/>
      </c>
      <c r="H315" s="577" t="str">
        <f t="array" aca="1" ref="H31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16" spans="1:8" x14ac:dyDescent="0.65">
      <c r="A316" s="554" t="str">
        <f t="array" aca="1" ref="A31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16" s="555" t="str">
        <f t="array" aca="1" ref="B31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16" s="555" t="str">
        <f ca="1">IF((ROW()-1)&lt;=COUNTIF(ListAndConversion!$CJ$4:$CQ$387,"&lt;&gt;-"),"Strips1","")</f>
        <v/>
      </c>
      <c r="D316" s="555" t="str">
        <f t="array" aca="1" ref="D31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16" s="555" t="str">
        <f t="array" aca="1" ref="E31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16" s="555" t="str">
        <f t="shared" ca="1" si="4"/>
        <v/>
      </c>
      <c r="G316" s="555" t="str">
        <f ca="1">IF(D316&lt;=8,RunName_ExAmpPrep!$H$2,IF(D316&lt;=16,RunName_ExAmpPrep!$H$3,IF(D316&lt;=24,RunName_ExAmpPrep!$H$4,IF(D316&lt;=32,RunName_ExAmpPrep!$H$5,IF(D316&lt;=40,RunName_ExAmpPrep!$H$6,IF(D316&lt;=48,RunName_ExAmpPrep!$H$7,IF(D316&lt;=56,RunName_ExAmpPrep!$H$8,IF(D316&lt;=64,RunName_ExAmpPrep!$H$9,""))))))))</f>
        <v/>
      </c>
      <c r="H316" s="577" t="str">
        <f t="array" aca="1" ref="H31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17" spans="1:8" x14ac:dyDescent="0.65">
      <c r="A317" s="554" t="str">
        <f t="array" aca="1" ref="A31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17" s="555" t="str">
        <f t="array" aca="1" ref="B31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17" s="555" t="str">
        <f ca="1">IF((ROW()-1)&lt;=COUNTIF(ListAndConversion!$CJ$4:$CQ$387,"&lt;&gt;-"),"Strips1","")</f>
        <v/>
      </c>
      <c r="D317" s="555" t="str">
        <f t="array" aca="1" ref="D31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17" s="555" t="str">
        <f t="array" aca="1" ref="E31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17" s="555" t="str">
        <f t="shared" ca="1" si="4"/>
        <v/>
      </c>
      <c r="G317" s="555" t="str">
        <f ca="1">IF(D317&lt;=8,RunName_ExAmpPrep!$H$2,IF(D317&lt;=16,RunName_ExAmpPrep!$H$3,IF(D317&lt;=24,RunName_ExAmpPrep!$H$4,IF(D317&lt;=32,RunName_ExAmpPrep!$H$5,IF(D317&lt;=40,RunName_ExAmpPrep!$H$6,IF(D317&lt;=48,RunName_ExAmpPrep!$H$7,IF(D317&lt;=56,RunName_ExAmpPrep!$H$8,IF(D317&lt;=64,RunName_ExAmpPrep!$H$9,""))))))))</f>
        <v/>
      </c>
      <c r="H317" s="577" t="str">
        <f t="array" aca="1" ref="H31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18" spans="1:8" x14ac:dyDescent="0.65">
      <c r="A318" s="554" t="str">
        <f t="array" aca="1" ref="A31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18" s="555" t="str">
        <f t="array" aca="1" ref="B31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18" s="555" t="str">
        <f ca="1">IF((ROW()-1)&lt;=COUNTIF(ListAndConversion!$CJ$4:$CQ$387,"&lt;&gt;-"),"Strips1","")</f>
        <v/>
      </c>
      <c r="D318" s="555" t="str">
        <f t="array" aca="1" ref="D31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18" s="555" t="str">
        <f t="array" aca="1" ref="E31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18" s="555" t="str">
        <f t="shared" ca="1" si="4"/>
        <v/>
      </c>
      <c r="G318" s="555" t="str">
        <f ca="1">IF(D318&lt;=8,RunName_ExAmpPrep!$H$2,IF(D318&lt;=16,RunName_ExAmpPrep!$H$3,IF(D318&lt;=24,RunName_ExAmpPrep!$H$4,IF(D318&lt;=32,RunName_ExAmpPrep!$H$5,IF(D318&lt;=40,RunName_ExAmpPrep!$H$6,IF(D318&lt;=48,RunName_ExAmpPrep!$H$7,IF(D318&lt;=56,RunName_ExAmpPrep!$H$8,IF(D318&lt;=64,RunName_ExAmpPrep!$H$9,""))))))))</f>
        <v/>
      </c>
      <c r="H318" s="577" t="str">
        <f t="array" aca="1" ref="H31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19" spans="1:8" x14ac:dyDescent="0.65">
      <c r="A319" s="554" t="str">
        <f t="array" aca="1" ref="A31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19" s="555" t="str">
        <f t="array" aca="1" ref="B31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19" s="555" t="str">
        <f ca="1">IF((ROW()-1)&lt;=COUNTIF(ListAndConversion!$CJ$4:$CQ$387,"&lt;&gt;-"),"Strips1","")</f>
        <v/>
      </c>
      <c r="D319" s="555" t="str">
        <f t="array" aca="1" ref="D31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19" s="555" t="str">
        <f t="array" aca="1" ref="E31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19" s="555" t="str">
        <f t="shared" ca="1" si="4"/>
        <v/>
      </c>
      <c r="G319" s="555" t="str">
        <f ca="1">IF(D319&lt;=8,RunName_ExAmpPrep!$H$2,IF(D319&lt;=16,RunName_ExAmpPrep!$H$3,IF(D319&lt;=24,RunName_ExAmpPrep!$H$4,IF(D319&lt;=32,RunName_ExAmpPrep!$H$5,IF(D319&lt;=40,RunName_ExAmpPrep!$H$6,IF(D319&lt;=48,RunName_ExAmpPrep!$H$7,IF(D319&lt;=56,RunName_ExAmpPrep!$H$8,IF(D319&lt;=64,RunName_ExAmpPrep!$H$9,""))))))))</f>
        <v/>
      </c>
      <c r="H319" s="577" t="str">
        <f t="array" aca="1" ref="H31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20" spans="1:8" x14ac:dyDescent="0.65">
      <c r="A320" s="554" t="str">
        <f t="array" aca="1" ref="A32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20" s="555" t="str">
        <f t="array" aca="1" ref="B32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20" s="555" t="str">
        <f ca="1">IF((ROW()-1)&lt;=COUNTIF(ListAndConversion!$CJ$4:$CQ$387,"&lt;&gt;-"),"Strips1","")</f>
        <v/>
      </c>
      <c r="D320" s="555" t="str">
        <f t="array" aca="1" ref="D32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20" s="555" t="str">
        <f t="array" aca="1" ref="E32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20" s="555" t="str">
        <f t="shared" ca="1" si="4"/>
        <v/>
      </c>
      <c r="G320" s="555" t="str">
        <f ca="1">IF(D320&lt;=8,RunName_ExAmpPrep!$H$2,IF(D320&lt;=16,RunName_ExAmpPrep!$H$3,IF(D320&lt;=24,RunName_ExAmpPrep!$H$4,IF(D320&lt;=32,RunName_ExAmpPrep!$H$5,IF(D320&lt;=40,RunName_ExAmpPrep!$H$6,IF(D320&lt;=48,RunName_ExAmpPrep!$H$7,IF(D320&lt;=56,RunName_ExAmpPrep!$H$8,IF(D320&lt;=64,RunName_ExAmpPrep!$H$9,""))))))))</f>
        <v/>
      </c>
      <c r="H320" s="577" t="str">
        <f t="array" aca="1" ref="H32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21" spans="1:8" x14ac:dyDescent="0.65">
      <c r="A321" s="554" t="str">
        <f t="array" aca="1" ref="A32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21" s="555" t="str">
        <f t="array" aca="1" ref="B32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21" s="555" t="str">
        <f ca="1">IF((ROW()-1)&lt;=COUNTIF(ListAndConversion!$CJ$4:$CQ$387,"&lt;&gt;-"),"Strips1","")</f>
        <v/>
      </c>
      <c r="D321" s="555" t="str">
        <f t="array" aca="1" ref="D32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21" s="555" t="str">
        <f t="array" aca="1" ref="E32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21" s="555" t="str">
        <f t="shared" ca="1" si="4"/>
        <v/>
      </c>
      <c r="G321" s="555" t="str">
        <f ca="1">IF(D321&lt;=8,RunName_ExAmpPrep!$H$2,IF(D321&lt;=16,RunName_ExAmpPrep!$H$3,IF(D321&lt;=24,RunName_ExAmpPrep!$H$4,IF(D321&lt;=32,RunName_ExAmpPrep!$H$5,IF(D321&lt;=40,RunName_ExAmpPrep!$H$6,IF(D321&lt;=48,RunName_ExAmpPrep!$H$7,IF(D321&lt;=56,RunName_ExAmpPrep!$H$8,IF(D321&lt;=64,RunName_ExAmpPrep!$H$9,""))))))))</f>
        <v/>
      </c>
      <c r="H321" s="577" t="str">
        <f t="array" aca="1" ref="H32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22" spans="1:8" x14ac:dyDescent="0.65">
      <c r="A322" s="554" t="str">
        <f t="array" aca="1" ref="A32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22" s="555" t="str">
        <f t="array" aca="1" ref="B32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22" s="555" t="str">
        <f ca="1">IF((ROW()-1)&lt;=COUNTIF(ListAndConversion!$CJ$4:$CQ$387,"&lt;&gt;-"),"Strips1","")</f>
        <v/>
      </c>
      <c r="D322" s="555" t="str">
        <f t="array" aca="1" ref="D32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22" s="555" t="str">
        <f t="array" aca="1" ref="E32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22" s="555" t="str">
        <f t="shared" ref="F322:F385" ca="1" si="5">IF(D322&lt;=32,"Microfuge1",IF(D322&lt;=64,"Microfuge2",""))</f>
        <v/>
      </c>
      <c r="G322" s="555" t="str">
        <f ca="1">IF(D322&lt;=8,RunName_ExAmpPrep!$H$2,IF(D322&lt;=16,RunName_ExAmpPrep!$H$3,IF(D322&lt;=24,RunName_ExAmpPrep!$H$4,IF(D322&lt;=32,RunName_ExAmpPrep!$H$5,IF(D322&lt;=40,RunName_ExAmpPrep!$H$6,IF(D322&lt;=48,RunName_ExAmpPrep!$H$7,IF(D322&lt;=56,RunName_ExAmpPrep!$H$8,IF(D322&lt;=64,RunName_ExAmpPrep!$H$9,""))))))))</f>
        <v/>
      </c>
      <c r="H322" s="577" t="str">
        <f t="array" aca="1" ref="H32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23" spans="1:8" x14ac:dyDescent="0.65">
      <c r="A323" s="554" t="str">
        <f t="array" aca="1" ref="A32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23" s="555" t="str">
        <f t="array" aca="1" ref="B32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23" s="555" t="str">
        <f ca="1">IF((ROW()-1)&lt;=COUNTIF(ListAndConversion!$CJ$4:$CQ$387,"&lt;&gt;-"),"Strips1","")</f>
        <v/>
      </c>
      <c r="D323" s="555" t="str">
        <f t="array" aca="1" ref="D32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23" s="555" t="str">
        <f t="array" aca="1" ref="E32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23" s="555" t="str">
        <f t="shared" ca="1" si="5"/>
        <v/>
      </c>
      <c r="G323" s="555" t="str">
        <f ca="1">IF(D323&lt;=8,RunName_ExAmpPrep!$H$2,IF(D323&lt;=16,RunName_ExAmpPrep!$H$3,IF(D323&lt;=24,RunName_ExAmpPrep!$H$4,IF(D323&lt;=32,RunName_ExAmpPrep!$H$5,IF(D323&lt;=40,RunName_ExAmpPrep!$H$6,IF(D323&lt;=48,RunName_ExAmpPrep!$H$7,IF(D323&lt;=56,RunName_ExAmpPrep!$H$8,IF(D323&lt;=64,RunName_ExAmpPrep!$H$9,""))))))))</f>
        <v/>
      </c>
      <c r="H323" s="577" t="str">
        <f t="array" aca="1" ref="H32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24" spans="1:8" x14ac:dyDescent="0.65">
      <c r="A324" s="554" t="str">
        <f t="array" aca="1" ref="A32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24" s="555" t="str">
        <f t="array" aca="1" ref="B32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24" s="555" t="str">
        <f ca="1">IF((ROW()-1)&lt;=COUNTIF(ListAndConversion!$CJ$4:$CQ$387,"&lt;&gt;-"),"Strips1","")</f>
        <v/>
      </c>
      <c r="D324" s="555" t="str">
        <f t="array" aca="1" ref="D32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24" s="555" t="str">
        <f t="array" aca="1" ref="E32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24" s="555" t="str">
        <f t="shared" ca="1" si="5"/>
        <v/>
      </c>
      <c r="G324" s="555" t="str">
        <f ca="1">IF(D324&lt;=8,RunName_ExAmpPrep!$H$2,IF(D324&lt;=16,RunName_ExAmpPrep!$H$3,IF(D324&lt;=24,RunName_ExAmpPrep!$H$4,IF(D324&lt;=32,RunName_ExAmpPrep!$H$5,IF(D324&lt;=40,RunName_ExAmpPrep!$H$6,IF(D324&lt;=48,RunName_ExAmpPrep!$H$7,IF(D324&lt;=56,RunName_ExAmpPrep!$H$8,IF(D324&lt;=64,RunName_ExAmpPrep!$H$9,""))))))))</f>
        <v/>
      </c>
      <c r="H324" s="577" t="str">
        <f t="array" aca="1" ref="H32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25" spans="1:8" x14ac:dyDescent="0.65">
      <c r="A325" s="554" t="str">
        <f t="array" aca="1" ref="A32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25" s="555" t="str">
        <f t="array" aca="1" ref="B32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25" s="555" t="str">
        <f ca="1">IF((ROW()-1)&lt;=COUNTIF(ListAndConversion!$CJ$4:$CQ$387,"&lt;&gt;-"),"Strips1","")</f>
        <v/>
      </c>
      <c r="D325" s="555" t="str">
        <f t="array" aca="1" ref="D32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25" s="555" t="str">
        <f t="array" aca="1" ref="E32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25" s="555" t="str">
        <f t="shared" ca="1" si="5"/>
        <v/>
      </c>
      <c r="G325" s="555" t="str">
        <f ca="1">IF(D325&lt;=8,RunName_ExAmpPrep!$H$2,IF(D325&lt;=16,RunName_ExAmpPrep!$H$3,IF(D325&lt;=24,RunName_ExAmpPrep!$H$4,IF(D325&lt;=32,RunName_ExAmpPrep!$H$5,IF(D325&lt;=40,RunName_ExAmpPrep!$H$6,IF(D325&lt;=48,RunName_ExAmpPrep!$H$7,IF(D325&lt;=56,RunName_ExAmpPrep!$H$8,IF(D325&lt;=64,RunName_ExAmpPrep!$H$9,""))))))))</f>
        <v/>
      </c>
      <c r="H325" s="577" t="str">
        <f t="array" aca="1" ref="H32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26" spans="1:8" x14ac:dyDescent="0.65">
      <c r="A326" s="554" t="str">
        <f t="array" aca="1" ref="A32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26" s="555" t="str">
        <f t="array" aca="1" ref="B32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26" s="555" t="str">
        <f ca="1">IF((ROW()-1)&lt;=COUNTIF(ListAndConversion!$CJ$4:$CQ$387,"&lt;&gt;-"),"Strips1","")</f>
        <v/>
      </c>
      <c r="D326" s="555" t="str">
        <f t="array" aca="1" ref="D32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26" s="555" t="str">
        <f t="array" aca="1" ref="E32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26" s="555" t="str">
        <f t="shared" ca="1" si="5"/>
        <v/>
      </c>
      <c r="G326" s="555" t="str">
        <f ca="1">IF(D326&lt;=8,RunName_ExAmpPrep!$H$2,IF(D326&lt;=16,RunName_ExAmpPrep!$H$3,IF(D326&lt;=24,RunName_ExAmpPrep!$H$4,IF(D326&lt;=32,RunName_ExAmpPrep!$H$5,IF(D326&lt;=40,RunName_ExAmpPrep!$H$6,IF(D326&lt;=48,RunName_ExAmpPrep!$H$7,IF(D326&lt;=56,RunName_ExAmpPrep!$H$8,IF(D326&lt;=64,RunName_ExAmpPrep!$H$9,""))))))))</f>
        <v/>
      </c>
      <c r="H326" s="577" t="str">
        <f t="array" aca="1" ref="H32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27" spans="1:8" x14ac:dyDescent="0.65">
      <c r="A327" s="554" t="str">
        <f t="array" aca="1" ref="A32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27" s="555" t="str">
        <f t="array" aca="1" ref="B32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27" s="555" t="str">
        <f ca="1">IF((ROW()-1)&lt;=COUNTIF(ListAndConversion!$CJ$4:$CQ$387,"&lt;&gt;-"),"Strips1","")</f>
        <v/>
      </c>
      <c r="D327" s="555" t="str">
        <f t="array" aca="1" ref="D32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27" s="555" t="str">
        <f t="array" aca="1" ref="E32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27" s="555" t="str">
        <f t="shared" ca="1" si="5"/>
        <v/>
      </c>
      <c r="G327" s="555" t="str">
        <f ca="1">IF(D327&lt;=8,RunName_ExAmpPrep!$H$2,IF(D327&lt;=16,RunName_ExAmpPrep!$H$3,IF(D327&lt;=24,RunName_ExAmpPrep!$H$4,IF(D327&lt;=32,RunName_ExAmpPrep!$H$5,IF(D327&lt;=40,RunName_ExAmpPrep!$H$6,IF(D327&lt;=48,RunName_ExAmpPrep!$H$7,IF(D327&lt;=56,RunName_ExAmpPrep!$H$8,IF(D327&lt;=64,RunName_ExAmpPrep!$H$9,""))))))))</f>
        <v/>
      </c>
      <c r="H327" s="577" t="str">
        <f t="array" aca="1" ref="H32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28" spans="1:8" x14ac:dyDescent="0.65">
      <c r="A328" s="554" t="str">
        <f t="array" aca="1" ref="A32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28" s="555" t="str">
        <f t="array" aca="1" ref="B32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28" s="555" t="str">
        <f ca="1">IF((ROW()-1)&lt;=COUNTIF(ListAndConversion!$CJ$4:$CQ$387,"&lt;&gt;-"),"Strips1","")</f>
        <v/>
      </c>
      <c r="D328" s="555" t="str">
        <f t="array" aca="1" ref="D32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28" s="555" t="str">
        <f t="array" aca="1" ref="E32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28" s="555" t="str">
        <f t="shared" ca="1" si="5"/>
        <v/>
      </c>
      <c r="G328" s="555" t="str">
        <f ca="1">IF(D328&lt;=8,RunName_ExAmpPrep!$H$2,IF(D328&lt;=16,RunName_ExAmpPrep!$H$3,IF(D328&lt;=24,RunName_ExAmpPrep!$H$4,IF(D328&lt;=32,RunName_ExAmpPrep!$H$5,IF(D328&lt;=40,RunName_ExAmpPrep!$H$6,IF(D328&lt;=48,RunName_ExAmpPrep!$H$7,IF(D328&lt;=56,RunName_ExAmpPrep!$H$8,IF(D328&lt;=64,RunName_ExAmpPrep!$H$9,""))))))))</f>
        <v/>
      </c>
      <c r="H328" s="577" t="str">
        <f t="array" aca="1" ref="H32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29" spans="1:8" x14ac:dyDescent="0.65">
      <c r="A329" s="554" t="str">
        <f t="array" aca="1" ref="A32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29" s="555" t="str">
        <f t="array" aca="1" ref="B32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29" s="555" t="str">
        <f ca="1">IF((ROW()-1)&lt;=COUNTIF(ListAndConversion!$CJ$4:$CQ$387,"&lt;&gt;-"),"Strips1","")</f>
        <v/>
      </c>
      <c r="D329" s="555" t="str">
        <f t="array" aca="1" ref="D32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29" s="555" t="str">
        <f t="array" aca="1" ref="E32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29" s="555" t="str">
        <f t="shared" ca="1" si="5"/>
        <v/>
      </c>
      <c r="G329" s="555" t="str">
        <f ca="1">IF(D329&lt;=8,RunName_ExAmpPrep!$H$2,IF(D329&lt;=16,RunName_ExAmpPrep!$H$3,IF(D329&lt;=24,RunName_ExAmpPrep!$H$4,IF(D329&lt;=32,RunName_ExAmpPrep!$H$5,IF(D329&lt;=40,RunName_ExAmpPrep!$H$6,IF(D329&lt;=48,RunName_ExAmpPrep!$H$7,IF(D329&lt;=56,RunName_ExAmpPrep!$H$8,IF(D329&lt;=64,RunName_ExAmpPrep!$H$9,""))))))))</f>
        <v/>
      </c>
      <c r="H329" s="577" t="str">
        <f t="array" aca="1" ref="H32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30" spans="1:8" x14ac:dyDescent="0.65">
      <c r="A330" s="554" t="str">
        <f t="array" aca="1" ref="A33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30" s="555" t="str">
        <f t="array" aca="1" ref="B33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30" s="555" t="str">
        <f ca="1">IF((ROW()-1)&lt;=COUNTIF(ListAndConversion!$CJ$4:$CQ$387,"&lt;&gt;-"),"Strips1","")</f>
        <v/>
      </c>
      <c r="D330" s="555" t="str">
        <f t="array" aca="1" ref="D33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30" s="555" t="str">
        <f t="array" aca="1" ref="E33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30" s="555" t="str">
        <f t="shared" ca="1" si="5"/>
        <v/>
      </c>
      <c r="G330" s="555" t="str">
        <f ca="1">IF(D330&lt;=8,RunName_ExAmpPrep!$H$2,IF(D330&lt;=16,RunName_ExAmpPrep!$H$3,IF(D330&lt;=24,RunName_ExAmpPrep!$H$4,IF(D330&lt;=32,RunName_ExAmpPrep!$H$5,IF(D330&lt;=40,RunName_ExAmpPrep!$H$6,IF(D330&lt;=48,RunName_ExAmpPrep!$H$7,IF(D330&lt;=56,RunName_ExAmpPrep!$H$8,IF(D330&lt;=64,RunName_ExAmpPrep!$H$9,""))))))))</f>
        <v/>
      </c>
      <c r="H330" s="577" t="str">
        <f t="array" aca="1" ref="H33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31" spans="1:8" x14ac:dyDescent="0.65">
      <c r="A331" s="554" t="str">
        <f t="array" aca="1" ref="A33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31" s="555" t="str">
        <f t="array" aca="1" ref="B33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31" s="555" t="str">
        <f ca="1">IF((ROW()-1)&lt;=COUNTIF(ListAndConversion!$CJ$4:$CQ$387,"&lt;&gt;-"),"Strips1","")</f>
        <v/>
      </c>
      <c r="D331" s="555" t="str">
        <f t="array" aca="1" ref="D33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31" s="555" t="str">
        <f t="array" aca="1" ref="E33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31" s="555" t="str">
        <f t="shared" ca="1" si="5"/>
        <v/>
      </c>
      <c r="G331" s="555" t="str">
        <f ca="1">IF(D331&lt;=8,RunName_ExAmpPrep!$H$2,IF(D331&lt;=16,RunName_ExAmpPrep!$H$3,IF(D331&lt;=24,RunName_ExAmpPrep!$H$4,IF(D331&lt;=32,RunName_ExAmpPrep!$H$5,IF(D331&lt;=40,RunName_ExAmpPrep!$H$6,IF(D331&lt;=48,RunName_ExAmpPrep!$H$7,IF(D331&lt;=56,RunName_ExAmpPrep!$H$8,IF(D331&lt;=64,RunName_ExAmpPrep!$H$9,""))))))))</f>
        <v/>
      </c>
      <c r="H331" s="577" t="str">
        <f t="array" aca="1" ref="H33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32" spans="1:8" x14ac:dyDescent="0.65">
      <c r="A332" s="554" t="str">
        <f t="array" aca="1" ref="A33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32" s="555" t="str">
        <f t="array" aca="1" ref="B33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32" s="555" t="str">
        <f ca="1">IF((ROW()-1)&lt;=COUNTIF(ListAndConversion!$CJ$4:$CQ$387,"&lt;&gt;-"),"Strips1","")</f>
        <v/>
      </c>
      <c r="D332" s="555" t="str">
        <f t="array" aca="1" ref="D33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32" s="555" t="str">
        <f t="array" aca="1" ref="E33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32" s="555" t="str">
        <f t="shared" ca="1" si="5"/>
        <v/>
      </c>
      <c r="G332" s="555" t="str">
        <f ca="1">IF(D332&lt;=8,RunName_ExAmpPrep!$H$2,IF(D332&lt;=16,RunName_ExAmpPrep!$H$3,IF(D332&lt;=24,RunName_ExAmpPrep!$H$4,IF(D332&lt;=32,RunName_ExAmpPrep!$H$5,IF(D332&lt;=40,RunName_ExAmpPrep!$H$6,IF(D332&lt;=48,RunName_ExAmpPrep!$H$7,IF(D332&lt;=56,RunName_ExAmpPrep!$H$8,IF(D332&lt;=64,RunName_ExAmpPrep!$H$9,""))))))))</f>
        <v/>
      </c>
      <c r="H332" s="577" t="str">
        <f t="array" aca="1" ref="H33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33" spans="1:8" x14ac:dyDescent="0.65">
      <c r="A333" s="554" t="str">
        <f t="array" aca="1" ref="A33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33" s="555" t="str">
        <f t="array" aca="1" ref="B33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33" s="555" t="str">
        <f ca="1">IF((ROW()-1)&lt;=COUNTIF(ListAndConversion!$CJ$4:$CQ$387,"&lt;&gt;-"),"Strips1","")</f>
        <v/>
      </c>
      <c r="D333" s="555" t="str">
        <f t="array" aca="1" ref="D33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33" s="555" t="str">
        <f t="array" aca="1" ref="E33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33" s="555" t="str">
        <f t="shared" ca="1" si="5"/>
        <v/>
      </c>
      <c r="G333" s="555" t="str">
        <f ca="1">IF(D333&lt;=8,RunName_ExAmpPrep!$H$2,IF(D333&lt;=16,RunName_ExAmpPrep!$H$3,IF(D333&lt;=24,RunName_ExAmpPrep!$H$4,IF(D333&lt;=32,RunName_ExAmpPrep!$H$5,IF(D333&lt;=40,RunName_ExAmpPrep!$H$6,IF(D333&lt;=48,RunName_ExAmpPrep!$H$7,IF(D333&lt;=56,RunName_ExAmpPrep!$H$8,IF(D333&lt;=64,RunName_ExAmpPrep!$H$9,""))))))))</f>
        <v/>
      </c>
      <c r="H333" s="577" t="str">
        <f t="array" aca="1" ref="H33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34" spans="1:8" x14ac:dyDescent="0.65">
      <c r="A334" s="554" t="str">
        <f t="array" aca="1" ref="A33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34" s="555" t="str">
        <f t="array" aca="1" ref="B33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34" s="555" t="str">
        <f ca="1">IF((ROW()-1)&lt;=COUNTIF(ListAndConversion!$CJ$4:$CQ$387,"&lt;&gt;-"),"Strips1","")</f>
        <v/>
      </c>
      <c r="D334" s="555" t="str">
        <f t="array" aca="1" ref="D33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34" s="555" t="str">
        <f t="array" aca="1" ref="E33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34" s="555" t="str">
        <f t="shared" ca="1" si="5"/>
        <v/>
      </c>
      <c r="G334" s="555" t="str">
        <f ca="1">IF(D334&lt;=8,RunName_ExAmpPrep!$H$2,IF(D334&lt;=16,RunName_ExAmpPrep!$H$3,IF(D334&lt;=24,RunName_ExAmpPrep!$H$4,IF(D334&lt;=32,RunName_ExAmpPrep!$H$5,IF(D334&lt;=40,RunName_ExAmpPrep!$H$6,IF(D334&lt;=48,RunName_ExAmpPrep!$H$7,IF(D334&lt;=56,RunName_ExAmpPrep!$H$8,IF(D334&lt;=64,RunName_ExAmpPrep!$H$9,""))))))))</f>
        <v/>
      </c>
      <c r="H334" s="577" t="str">
        <f t="array" aca="1" ref="H33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35" spans="1:8" x14ac:dyDescent="0.65">
      <c r="A335" s="554" t="str">
        <f t="array" aca="1" ref="A33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35" s="555" t="str">
        <f t="array" aca="1" ref="B33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35" s="555" t="str">
        <f ca="1">IF((ROW()-1)&lt;=COUNTIF(ListAndConversion!$CJ$4:$CQ$387,"&lt;&gt;-"),"Strips1","")</f>
        <v/>
      </c>
      <c r="D335" s="555" t="str">
        <f t="array" aca="1" ref="D33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35" s="555" t="str">
        <f t="array" aca="1" ref="E33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35" s="555" t="str">
        <f t="shared" ca="1" si="5"/>
        <v/>
      </c>
      <c r="G335" s="555" t="str">
        <f ca="1">IF(D335&lt;=8,RunName_ExAmpPrep!$H$2,IF(D335&lt;=16,RunName_ExAmpPrep!$H$3,IF(D335&lt;=24,RunName_ExAmpPrep!$H$4,IF(D335&lt;=32,RunName_ExAmpPrep!$H$5,IF(D335&lt;=40,RunName_ExAmpPrep!$H$6,IF(D335&lt;=48,RunName_ExAmpPrep!$H$7,IF(D335&lt;=56,RunName_ExAmpPrep!$H$8,IF(D335&lt;=64,RunName_ExAmpPrep!$H$9,""))))))))</f>
        <v/>
      </c>
      <c r="H335" s="577" t="str">
        <f t="array" aca="1" ref="H33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36" spans="1:8" x14ac:dyDescent="0.65">
      <c r="A336" s="554" t="str">
        <f t="array" aca="1" ref="A33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36" s="555" t="str">
        <f t="array" aca="1" ref="B33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36" s="555" t="str">
        <f ca="1">IF((ROW()-1)&lt;=COUNTIF(ListAndConversion!$CJ$4:$CQ$387,"&lt;&gt;-"),"Strips1","")</f>
        <v/>
      </c>
      <c r="D336" s="555" t="str">
        <f t="array" aca="1" ref="D33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36" s="555" t="str">
        <f t="array" aca="1" ref="E33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36" s="555" t="str">
        <f t="shared" ca="1" si="5"/>
        <v/>
      </c>
      <c r="G336" s="555" t="str">
        <f ca="1">IF(D336&lt;=8,RunName_ExAmpPrep!$H$2,IF(D336&lt;=16,RunName_ExAmpPrep!$H$3,IF(D336&lt;=24,RunName_ExAmpPrep!$H$4,IF(D336&lt;=32,RunName_ExAmpPrep!$H$5,IF(D336&lt;=40,RunName_ExAmpPrep!$H$6,IF(D336&lt;=48,RunName_ExAmpPrep!$H$7,IF(D336&lt;=56,RunName_ExAmpPrep!$H$8,IF(D336&lt;=64,RunName_ExAmpPrep!$H$9,""))))))))</f>
        <v/>
      </c>
      <c r="H336" s="577" t="str">
        <f t="array" aca="1" ref="H33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37" spans="1:8" x14ac:dyDescent="0.65">
      <c r="A337" s="554" t="str">
        <f t="array" aca="1" ref="A33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37" s="555" t="str">
        <f t="array" aca="1" ref="B33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37" s="555" t="str">
        <f ca="1">IF((ROW()-1)&lt;=COUNTIF(ListAndConversion!$CJ$4:$CQ$387,"&lt;&gt;-"),"Strips1","")</f>
        <v/>
      </c>
      <c r="D337" s="555" t="str">
        <f t="array" aca="1" ref="D33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37" s="555" t="str">
        <f t="array" aca="1" ref="E33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37" s="555" t="str">
        <f t="shared" ca="1" si="5"/>
        <v/>
      </c>
      <c r="G337" s="555" t="str">
        <f ca="1">IF(D337&lt;=8,RunName_ExAmpPrep!$H$2,IF(D337&lt;=16,RunName_ExAmpPrep!$H$3,IF(D337&lt;=24,RunName_ExAmpPrep!$H$4,IF(D337&lt;=32,RunName_ExAmpPrep!$H$5,IF(D337&lt;=40,RunName_ExAmpPrep!$H$6,IF(D337&lt;=48,RunName_ExAmpPrep!$H$7,IF(D337&lt;=56,RunName_ExAmpPrep!$H$8,IF(D337&lt;=64,RunName_ExAmpPrep!$H$9,""))))))))</f>
        <v/>
      </c>
      <c r="H337" s="577" t="str">
        <f t="array" aca="1" ref="H33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38" spans="1:8" x14ac:dyDescent="0.65">
      <c r="A338" s="554" t="str">
        <f t="array" aca="1" ref="A33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38" s="555" t="str">
        <f t="array" aca="1" ref="B33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38" s="555" t="str">
        <f ca="1">IF((ROW()-1)&lt;=COUNTIF(ListAndConversion!$CJ$4:$CQ$387,"&lt;&gt;-"),"Strips1","")</f>
        <v/>
      </c>
      <c r="D338" s="555" t="str">
        <f t="array" aca="1" ref="D33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38" s="555" t="str">
        <f t="array" aca="1" ref="E33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38" s="555" t="str">
        <f t="shared" ca="1" si="5"/>
        <v/>
      </c>
      <c r="G338" s="555" t="str">
        <f ca="1">IF(D338&lt;=8,RunName_ExAmpPrep!$H$2,IF(D338&lt;=16,RunName_ExAmpPrep!$H$3,IF(D338&lt;=24,RunName_ExAmpPrep!$H$4,IF(D338&lt;=32,RunName_ExAmpPrep!$H$5,IF(D338&lt;=40,RunName_ExAmpPrep!$H$6,IF(D338&lt;=48,RunName_ExAmpPrep!$H$7,IF(D338&lt;=56,RunName_ExAmpPrep!$H$8,IF(D338&lt;=64,RunName_ExAmpPrep!$H$9,""))))))))</f>
        <v/>
      </c>
      <c r="H338" s="577" t="str">
        <f t="array" aca="1" ref="H33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39" spans="1:8" x14ac:dyDescent="0.65">
      <c r="A339" s="554" t="str">
        <f t="array" aca="1" ref="A33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39" s="555" t="str">
        <f t="array" aca="1" ref="B33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39" s="555" t="str">
        <f ca="1">IF((ROW()-1)&lt;=COUNTIF(ListAndConversion!$CJ$4:$CQ$387,"&lt;&gt;-"),"Strips1","")</f>
        <v/>
      </c>
      <c r="D339" s="555" t="str">
        <f t="array" aca="1" ref="D33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39" s="555" t="str">
        <f t="array" aca="1" ref="E33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39" s="555" t="str">
        <f t="shared" ca="1" si="5"/>
        <v/>
      </c>
      <c r="G339" s="555" t="str">
        <f ca="1">IF(D339&lt;=8,RunName_ExAmpPrep!$H$2,IF(D339&lt;=16,RunName_ExAmpPrep!$H$3,IF(D339&lt;=24,RunName_ExAmpPrep!$H$4,IF(D339&lt;=32,RunName_ExAmpPrep!$H$5,IF(D339&lt;=40,RunName_ExAmpPrep!$H$6,IF(D339&lt;=48,RunName_ExAmpPrep!$H$7,IF(D339&lt;=56,RunName_ExAmpPrep!$H$8,IF(D339&lt;=64,RunName_ExAmpPrep!$H$9,""))))))))</f>
        <v/>
      </c>
      <c r="H339" s="577" t="str">
        <f t="array" aca="1" ref="H33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40" spans="1:8" x14ac:dyDescent="0.65">
      <c r="A340" s="554" t="str">
        <f t="array" aca="1" ref="A34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40" s="555" t="str">
        <f t="array" aca="1" ref="B34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40" s="555" t="str">
        <f ca="1">IF((ROW()-1)&lt;=COUNTIF(ListAndConversion!$CJ$4:$CQ$387,"&lt;&gt;-"),"Strips1","")</f>
        <v/>
      </c>
      <c r="D340" s="555" t="str">
        <f t="array" aca="1" ref="D34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40" s="555" t="str">
        <f t="array" aca="1" ref="E34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40" s="555" t="str">
        <f t="shared" ca="1" si="5"/>
        <v/>
      </c>
      <c r="G340" s="555" t="str">
        <f ca="1">IF(D340&lt;=8,RunName_ExAmpPrep!$H$2,IF(D340&lt;=16,RunName_ExAmpPrep!$H$3,IF(D340&lt;=24,RunName_ExAmpPrep!$H$4,IF(D340&lt;=32,RunName_ExAmpPrep!$H$5,IF(D340&lt;=40,RunName_ExAmpPrep!$H$6,IF(D340&lt;=48,RunName_ExAmpPrep!$H$7,IF(D340&lt;=56,RunName_ExAmpPrep!$H$8,IF(D340&lt;=64,RunName_ExAmpPrep!$H$9,""))))))))</f>
        <v/>
      </c>
      <c r="H340" s="577" t="str">
        <f t="array" aca="1" ref="H34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41" spans="1:8" x14ac:dyDescent="0.65">
      <c r="A341" s="554" t="str">
        <f t="array" aca="1" ref="A34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41" s="555" t="str">
        <f t="array" aca="1" ref="B34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41" s="555" t="str">
        <f ca="1">IF((ROW()-1)&lt;=COUNTIF(ListAndConversion!$CJ$4:$CQ$387,"&lt;&gt;-"),"Strips1","")</f>
        <v/>
      </c>
      <c r="D341" s="555" t="str">
        <f t="array" aca="1" ref="D34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41" s="555" t="str">
        <f t="array" aca="1" ref="E34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41" s="555" t="str">
        <f t="shared" ca="1" si="5"/>
        <v/>
      </c>
      <c r="G341" s="555" t="str">
        <f ca="1">IF(D341&lt;=8,RunName_ExAmpPrep!$H$2,IF(D341&lt;=16,RunName_ExAmpPrep!$H$3,IF(D341&lt;=24,RunName_ExAmpPrep!$H$4,IF(D341&lt;=32,RunName_ExAmpPrep!$H$5,IF(D341&lt;=40,RunName_ExAmpPrep!$H$6,IF(D341&lt;=48,RunName_ExAmpPrep!$H$7,IF(D341&lt;=56,RunName_ExAmpPrep!$H$8,IF(D341&lt;=64,RunName_ExAmpPrep!$H$9,""))))))))</f>
        <v/>
      </c>
      <c r="H341" s="577" t="str">
        <f t="array" aca="1" ref="H34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42" spans="1:8" x14ac:dyDescent="0.65">
      <c r="A342" s="554" t="str">
        <f t="array" aca="1" ref="A34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42" s="555" t="str">
        <f t="array" aca="1" ref="B34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42" s="555" t="str">
        <f ca="1">IF((ROW()-1)&lt;=COUNTIF(ListAndConversion!$CJ$4:$CQ$387,"&lt;&gt;-"),"Strips1","")</f>
        <v/>
      </c>
      <c r="D342" s="555" t="str">
        <f t="array" aca="1" ref="D34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42" s="555" t="str">
        <f t="array" aca="1" ref="E34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42" s="555" t="str">
        <f t="shared" ca="1" si="5"/>
        <v/>
      </c>
      <c r="G342" s="555" t="str">
        <f ca="1">IF(D342&lt;=8,RunName_ExAmpPrep!$H$2,IF(D342&lt;=16,RunName_ExAmpPrep!$H$3,IF(D342&lt;=24,RunName_ExAmpPrep!$H$4,IF(D342&lt;=32,RunName_ExAmpPrep!$H$5,IF(D342&lt;=40,RunName_ExAmpPrep!$H$6,IF(D342&lt;=48,RunName_ExAmpPrep!$H$7,IF(D342&lt;=56,RunName_ExAmpPrep!$H$8,IF(D342&lt;=64,RunName_ExAmpPrep!$H$9,""))))))))</f>
        <v/>
      </c>
      <c r="H342" s="577" t="str">
        <f t="array" aca="1" ref="H34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43" spans="1:8" x14ac:dyDescent="0.65">
      <c r="A343" s="554" t="str">
        <f t="array" aca="1" ref="A34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43" s="555" t="str">
        <f t="array" aca="1" ref="B34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43" s="555" t="str">
        <f ca="1">IF((ROW()-1)&lt;=COUNTIF(ListAndConversion!$CJ$4:$CQ$387,"&lt;&gt;-"),"Strips1","")</f>
        <v/>
      </c>
      <c r="D343" s="555" t="str">
        <f t="array" aca="1" ref="D34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43" s="555" t="str">
        <f t="array" aca="1" ref="E34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43" s="555" t="str">
        <f t="shared" ca="1" si="5"/>
        <v/>
      </c>
      <c r="G343" s="555" t="str">
        <f ca="1">IF(D343&lt;=8,RunName_ExAmpPrep!$H$2,IF(D343&lt;=16,RunName_ExAmpPrep!$H$3,IF(D343&lt;=24,RunName_ExAmpPrep!$H$4,IF(D343&lt;=32,RunName_ExAmpPrep!$H$5,IF(D343&lt;=40,RunName_ExAmpPrep!$H$6,IF(D343&lt;=48,RunName_ExAmpPrep!$H$7,IF(D343&lt;=56,RunName_ExAmpPrep!$H$8,IF(D343&lt;=64,RunName_ExAmpPrep!$H$9,""))))))))</f>
        <v/>
      </c>
      <c r="H343" s="577" t="str">
        <f t="array" aca="1" ref="H34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44" spans="1:8" x14ac:dyDescent="0.65">
      <c r="A344" s="554" t="str">
        <f t="array" aca="1" ref="A34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44" s="555" t="str">
        <f t="array" aca="1" ref="B34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44" s="555" t="str">
        <f ca="1">IF((ROW()-1)&lt;=COUNTIF(ListAndConversion!$CJ$4:$CQ$387,"&lt;&gt;-"),"Strips1","")</f>
        <v/>
      </c>
      <c r="D344" s="555" t="str">
        <f t="array" aca="1" ref="D34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44" s="555" t="str">
        <f t="array" aca="1" ref="E34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44" s="555" t="str">
        <f t="shared" ca="1" si="5"/>
        <v/>
      </c>
      <c r="G344" s="555" t="str">
        <f ca="1">IF(D344&lt;=8,RunName_ExAmpPrep!$H$2,IF(D344&lt;=16,RunName_ExAmpPrep!$H$3,IF(D344&lt;=24,RunName_ExAmpPrep!$H$4,IF(D344&lt;=32,RunName_ExAmpPrep!$H$5,IF(D344&lt;=40,RunName_ExAmpPrep!$H$6,IF(D344&lt;=48,RunName_ExAmpPrep!$H$7,IF(D344&lt;=56,RunName_ExAmpPrep!$H$8,IF(D344&lt;=64,RunName_ExAmpPrep!$H$9,""))))))))</f>
        <v/>
      </c>
      <c r="H344" s="577" t="str">
        <f t="array" aca="1" ref="H34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45" spans="1:8" x14ac:dyDescent="0.65">
      <c r="A345" s="554" t="str">
        <f t="array" aca="1" ref="A34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45" s="555" t="str">
        <f t="array" aca="1" ref="B34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45" s="555" t="str">
        <f ca="1">IF((ROW()-1)&lt;=COUNTIF(ListAndConversion!$CJ$4:$CQ$387,"&lt;&gt;-"),"Strips1","")</f>
        <v/>
      </c>
      <c r="D345" s="555" t="str">
        <f t="array" aca="1" ref="D34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45" s="555" t="str">
        <f t="array" aca="1" ref="E34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45" s="555" t="str">
        <f t="shared" ca="1" si="5"/>
        <v/>
      </c>
      <c r="G345" s="555" t="str">
        <f ca="1">IF(D345&lt;=8,RunName_ExAmpPrep!$H$2,IF(D345&lt;=16,RunName_ExAmpPrep!$H$3,IF(D345&lt;=24,RunName_ExAmpPrep!$H$4,IF(D345&lt;=32,RunName_ExAmpPrep!$H$5,IF(D345&lt;=40,RunName_ExAmpPrep!$H$6,IF(D345&lt;=48,RunName_ExAmpPrep!$H$7,IF(D345&lt;=56,RunName_ExAmpPrep!$H$8,IF(D345&lt;=64,RunName_ExAmpPrep!$H$9,""))))))))</f>
        <v/>
      </c>
      <c r="H345" s="577" t="str">
        <f t="array" aca="1" ref="H34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46" spans="1:8" x14ac:dyDescent="0.65">
      <c r="A346" s="554" t="str">
        <f t="array" aca="1" ref="A34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46" s="555" t="str">
        <f t="array" aca="1" ref="B34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46" s="555" t="str">
        <f ca="1">IF((ROW()-1)&lt;=COUNTIF(ListAndConversion!$CJ$4:$CQ$387,"&lt;&gt;-"),"Strips1","")</f>
        <v/>
      </c>
      <c r="D346" s="555" t="str">
        <f t="array" aca="1" ref="D34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46" s="555" t="str">
        <f t="array" aca="1" ref="E34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46" s="555" t="str">
        <f t="shared" ca="1" si="5"/>
        <v/>
      </c>
      <c r="G346" s="555" t="str">
        <f ca="1">IF(D346&lt;=8,RunName_ExAmpPrep!$H$2,IF(D346&lt;=16,RunName_ExAmpPrep!$H$3,IF(D346&lt;=24,RunName_ExAmpPrep!$H$4,IF(D346&lt;=32,RunName_ExAmpPrep!$H$5,IF(D346&lt;=40,RunName_ExAmpPrep!$H$6,IF(D346&lt;=48,RunName_ExAmpPrep!$H$7,IF(D346&lt;=56,RunName_ExAmpPrep!$H$8,IF(D346&lt;=64,RunName_ExAmpPrep!$H$9,""))))))))</f>
        <v/>
      </c>
      <c r="H346" s="577" t="str">
        <f t="array" aca="1" ref="H34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47" spans="1:8" x14ac:dyDescent="0.65">
      <c r="A347" s="554" t="str">
        <f t="array" aca="1" ref="A34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47" s="555" t="str">
        <f t="array" aca="1" ref="B34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47" s="555" t="str">
        <f ca="1">IF((ROW()-1)&lt;=COUNTIF(ListAndConversion!$CJ$4:$CQ$387,"&lt;&gt;-"),"Strips1","")</f>
        <v/>
      </c>
      <c r="D347" s="555" t="str">
        <f t="array" aca="1" ref="D34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47" s="555" t="str">
        <f t="array" aca="1" ref="E34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47" s="555" t="str">
        <f t="shared" ca="1" si="5"/>
        <v/>
      </c>
      <c r="G347" s="555" t="str">
        <f ca="1">IF(D347&lt;=8,RunName_ExAmpPrep!$H$2,IF(D347&lt;=16,RunName_ExAmpPrep!$H$3,IF(D347&lt;=24,RunName_ExAmpPrep!$H$4,IF(D347&lt;=32,RunName_ExAmpPrep!$H$5,IF(D347&lt;=40,RunName_ExAmpPrep!$H$6,IF(D347&lt;=48,RunName_ExAmpPrep!$H$7,IF(D347&lt;=56,RunName_ExAmpPrep!$H$8,IF(D347&lt;=64,RunName_ExAmpPrep!$H$9,""))))))))</f>
        <v/>
      </c>
      <c r="H347" s="577" t="str">
        <f t="array" aca="1" ref="H34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48" spans="1:8" x14ac:dyDescent="0.65">
      <c r="A348" s="554" t="str">
        <f t="array" aca="1" ref="A34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48" s="555" t="str">
        <f t="array" aca="1" ref="B34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48" s="555" t="str">
        <f ca="1">IF((ROW()-1)&lt;=COUNTIF(ListAndConversion!$CJ$4:$CQ$387,"&lt;&gt;-"),"Strips1","")</f>
        <v/>
      </c>
      <c r="D348" s="555" t="str">
        <f t="array" aca="1" ref="D34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48" s="555" t="str">
        <f t="array" aca="1" ref="E34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48" s="555" t="str">
        <f t="shared" ca="1" si="5"/>
        <v/>
      </c>
      <c r="G348" s="555" t="str">
        <f ca="1">IF(D348&lt;=8,RunName_ExAmpPrep!$H$2,IF(D348&lt;=16,RunName_ExAmpPrep!$H$3,IF(D348&lt;=24,RunName_ExAmpPrep!$H$4,IF(D348&lt;=32,RunName_ExAmpPrep!$H$5,IF(D348&lt;=40,RunName_ExAmpPrep!$H$6,IF(D348&lt;=48,RunName_ExAmpPrep!$H$7,IF(D348&lt;=56,RunName_ExAmpPrep!$H$8,IF(D348&lt;=64,RunName_ExAmpPrep!$H$9,""))))))))</f>
        <v/>
      </c>
      <c r="H348" s="577" t="str">
        <f t="array" aca="1" ref="H34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49" spans="1:8" x14ac:dyDescent="0.65">
      <c r="A349" s="554" t="str">
        <f t="array" aca="1" ref="A34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49" s="555" t="str">
        <f t="array" aca="1" ref="B34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49" s="555" t="str">
        <f ca="1">IF((ROW()-1)&lt;=COUNTIF(ListAndConversion!$CJ$4:$CQ$387,"&lt;&gt;-"),"Strips1","")</f>
        <v/>
      </c>
      <c r="D349" s="555" t="str">
        <f t="array" aca="1" ref="D34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49" s="555" t="str">
        <f t="array" aca="1" ref="E34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49" s="555" t="str">
        <f t="shared" ca="1" si="5"/>
        <v/>
      </c>
      <c r="G349" s="555" t="str">
        <f ca="1">IF(D349&lt;=8,RunName_ExAmpPrep!$H$2,IF(D349&lt;=16,RunName_ExAmpPrep!$H$3,IF(D349&lt;=24,RunName_ExAmpPrep!$H$4,IF(D349&lt;=32,RunName_ExAmpPrep!$H$5,IF(D349&lt;=40,RunName_ExAmpPrep!$H$6,IF(D349&lt;=48,RunName_ExAmpPrep!$H$7,IF(D349&lt;=56,RunName_ExAmpPrep!$H$8,IF(D349&lt;=64,RunName_ExAmpPrep!$H$9,""))))))))</f>
        <v/>
      </c>
      <c r="H349" s="577" t="str">
        <f t="array" aca="1" ref="H34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50" spans="1:8" x14ac:dyDescent="0.65">
      <c r="A350" s="554" t="str">
        <f t="array" aca="1" ref="A35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50" s="555" t="str">
        <f t="array" aca="1" ref="B35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50" s="555" t="str">
        <f ca="1">IF((ROW()-1)&lt;=COUNTIF(ListAndConversion!$CJ$4:$CQ$387,"&lt;&gt;-"),"Strips1","")</f>
        <v/>
      </c>
      <c r="D350" s="555" t="str">
        <f t="array" aca="1" ref="D35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50" s="555" t="str">
        <f t="array" aca="1" ref="E35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50" s="555" t="str">
        <f t="shared" ca="1" si="5"/>
        <v/>
      </c>
      <c r="G350" s="555" t="str">
        <f ca="1">IF(D350&lt;=8,RunName_ExAmpPrep!$H$2,IF(D350&lt;=16,RunName_ExAmpPrep!$H$3,IF(D350&lt;=24,RunName_ExAmpPrep!$H$4,IF(D350&lt;=32,RunName_ExAmpPrep!$H$5,IF(D350&lt;=40,RunName_ExAmpPrep!$H$6,IF(D350&lt;=48,RunName_ExAmpPrep!$H$7,IF(D350&lt;=56,RunName_ExAmpPrep!$H$8,IF(D350&lt;=64,RunName_ExAmpPrep!$H$9,""))))))))</f>
        <v/>
      </c>
      <c r="H350" s="577" t="str">
        <f t="array" aca="1" ref="H35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51" spans="1:8" x14ac:dyDescent="0.65">
      <c r="A351" s="554" t="str">
        <f t="array" aca="1" ref="A35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51" s="555" t="str">
        <f t="array" aca="1" ref="B35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51" s="555" t="str">
        <f ca="1">IF((ROW()-1)&lt;=COUNTIF(ListAndConversion!$CJ$4:$CQ$387,"&lt;&gt;-"),"Strips1","")</f>
        <v/>
      </c>
      <c r="D351" s="555" t="str">
        <f t="array" aca="1" ref="D35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51" s="555" t="str">
        <f t="array" aca="1" ref="E35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51" s="555" t="str">
        <f t="shared" ca="1" si="5"/>
        <v/>
      </c>
      <c r="G351" s="555" t="str">
        <f ca="1">IF(D351&lt;=8,RunName_ExAmpPrep!$H$2,IF(D351&lt;=16,RunName_ExAmpPrep!$H$3,IF(D351&lt;=24,RunName_ExAmpPrep!$H$4,IF(D351&lt;=32,RunName_ExAmpPrep!$H$5,IF(D351&lt;=40,RunName_ExAmpPrep!$H$6,IF(D351&lt;=48,RunName_ExAmpPrep!$H$7,IF(D351&lt;=56,RunName_ExAmpPrep!$H$8,IF(D351&lt;=64,RunName_ExAmpPrep!$H$9,""))))))))</f>
        <v/>
      </c>
      <c r="H351" s="577" t="str">
        <f t="array" aca="1" ref="H35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52" spans="1:8" x14ac:dyDescent="0.65">
      <c r="A352" s="554" t="str">
        <f t="array" aca="1" ref="A35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52" s="555" t="str">
        <f t="array" aca="1" ref="B35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52" s="555" t="str">
        <f ca="1">IF((ROW()-1)&lt;=COUNTIF(ListAndConversion!$CJ$4:$CQ$387,"&lt;&gt;-"),"Strips1","")</f>
        <v/>
      </c>
      <c r="D352" s="555" t="str">
        <f t="array" aca="1" ref="D35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52" s="555" t="str">
        <f t="array" aca="1" ref="E35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52" s="555" t="str">
        <f t="shared" ca="1" si="5"/>
        <v/>
      </c>
      <c r="G352" s="555" t="str">
        <f ca="1">IF(D352&lt;=8,RunName_ExAmpPrep!$H$2,IF(D352&lt;=16,RunName_ExAmpPrep!$H$3,IF(D352&lt;=24,RunName_ExAmpPrep!$H$4,IF(D352&lt;=32,RunName_ExAmpPrep!$H$5,IF(D352&lt;=40,RunName_ExAmpPrep!$H$6,IF(D352&lt;=48,RunName_ExAmpPrep!$H$7,IF(D352&lt;=56,RunName_ExAmpPrep!$H$8,IF(D352&lt;=64,RunName_ExAmpPrep!$H$9,""))))))))</f>
        <v/>
      </c>
      <c r="H352" s="577" t="str">
        <f t="array" aca="1" ref="H35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53" spans="1:8" x14ac:dyDescent="0.65">
      <c r="A353" s="554" t="str">
        <f t="array" aca="1" ref="A35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53" s="555" t="str">
        <f t="array" aca="1" ref="B35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53" s="555" t="str">
        <f ca="1">IF((ROW()-1)&lt;=COUNTIF(ListAndConversion!$CJ$4:$CQ$387,"&lt;&gt;-"),"Strips1","")</f>
        <v/>
      </c>
      <c r="D353" s="555" t="str">
        <f t="array" aca="1" ref="D35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53" s="555" t="str">
        <f t="array" aca="1" ref="E35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53" s="555" t="str">
        <f t="shared" ca="1" si="5"/>
        <v/>
      </c>
      <c r="G353" s="555" t="str">
        <f ca="1">IF(D353&lt;=8,RunName_ExAmpPrep!$H$2,IF(D353&lt;=16,RunName_ExAmpPrep!$H$3,IF(D353&lt;=24,RunName_ExAmpPrep!$H$4,IF(D353&lt;=32,RunName_ExAmpPrep!$H$5,IF(D353&lt;=40,RunName_ExAmpPrep!$H$6,IF(D353&lt;=48,RunName_ExAmpPrep!$H$7,IF(D353&lt;=56,RunName_ExAmpPrep!$H$8,IF(D353&lt;=64,RunName_ExAmpPrep!$H$9,""))))))))</f>
        <v/>
      </c>
      <c r="H353" s="577" t="str">
        <f t="array" aca="1" ref="H35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54" spans="1:8" x14ac:dyDescent="0.65">
      <c r="A354" s="554" t="str">
        <f t="array" aca="1" ref="A35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54" s="555" t="str">
        <f t="array" aca="1" ref="B35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54" s="555" t="str">
        <f ca="1">IF((ROW()-1)&lt;=COUNTIF(ListAndConversion!$CJ$4:$CQ$387,"&lt;&gt;-"),"Strips1","")</f>
        <v/>
      </c>
      <c r="D354" s="555" t="str">
        <f t="array" aca="1" ref="D35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54" s="555" t="str">
        <f t="array" aca="1" ref="E35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54" s="555" t="str">
        <f t="shared" ca="1" si="5"/>
        <v/>
      </c>
      <c r="G354" s="555" t="str">
        <f ca="1">IF(D354&lt;=8,RunName_ExAmpPrep!$H$2,IF(D354&lt;=16,RunName_ExAmpPrep!$H$3,IF(D354&lt;=24,RunName_ExAmpPrep!$H$4,IF(D354&lt;=32,RunName_ExAmpPrep!$H$5,IF(D354&lt;=40,RunName_ExAmpPrep!$H$6,IF(D354&lt;=48,RunName_ExAmpPrep!$H$7,IF(D354&lt;=56,RunName_ExAmpPrep!$H$8,IF(D354&lt;=64,RunName_ExAmpPrep!$H$9,""))))))))</f>
        <v/>
      </c>
      <c r="H354" s="577" t="str">
        <f t="array" aca="1" ref="H35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55" spans="1:8" x14ac:dyDescent="0.65">
      <c r="A355" s="554" t="str">
        <f t="array" aca="1" ref="A35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55" s="555" t="str">
        <f t="array" aca="1" ref="B35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55" s="555" t="str">
        <f ca="1">IF((ROW()-1)&lt;=COUNTIF(ListAndConversion!$CJ$4:$CQ$387,"&lt;&gt;-"),"Strips1","")</f>
        <v/>
      </c>
      <c r="D355" s="555" t="str">
        <f t="array" aca="1" ref="D35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55" s="555" t="str">
        <f t="array" aca="1" ref="E35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55" s="555" t="str">
        <f t="shared" ca="1" si="5"/>
        <v/>
      </c>
      <c r="G355" s="555" t="str">
        <f ca="1">IF(D355&lt;=8,RunName_ExAmpPrep!$H$2,IF(D355&lt;=16,RunName_ExAmpPrep!$H$3,IF(D355&lt;=24,RunName_ExAmpPrep!$H$4,IF(D355&lt;=32,RunName_ExAmpPrep!$H$5,IF(D355&lt;=40,RunName_ExAmpPrep!$H$6,IF(D355&lt;=48,RunName_ExAmpPrep!$H$7,IF(D355&lt;=56,RunName_ExAmpPrep!$H$8,IF(D355&lt;=64,RunName_ExAmpPrep!$H$9,""))))))))</f>
        <v/>
      </c>
      <c r="H355" s="577" t="str">
        <f t="array" aca="1" ref="H35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56" spans="1:8" x14ac:dyDescent="0.65">
      <c r="A356" s="554" t="str">
        <f t="array" aca="1" ref="A35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56" s="555" t="str">
        <f t="array" aca="1" ref="B35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56" s="555" t="str">
        <f ca="1">IF((ROW()-1)&lt;=COUNTIF(ListAndConversion!$CJ$4:$CQ$387,"&lt;&gt;-"),"Strips1","")</f>
        <v/>
      </c>
      <c r="D356" s="555" t="str">
        <f t="array" aca="1" ref="D35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56" s="555" t="str">
        <f t="array" aca="1" ref="E35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56" s="555" t="str">
        <f t="shared" ca="1" si="5"/>
        <v/>
      </c>
      <c r="G356" s="555" t="str">
        <f ca="1">IF(D356&lt;=8,RunName_ExAmpPrep!$H$2,IF(D356&lt;=16,RunName_ExAmpPrep!$H$3,IF(D356&lt;=24,RunName_ExAmpPrep!$H$4,IF(D356&lt;=32,RunName_ExAmpPrep!$H$5,IF(D356&lt;=40,RunName_ExAmpPrep!$H$6,IF(D356&lt;=48,RunName_ExAmpPrep!$H$7,IF(D356&lt;=56,RunName_ExAmpPrep!$H$8,IF(D356&lt;=64,RunName_ExAmpPrep!$H$9,""))))))))</f>
        <v/>
      </c>
      <c r="H356" s="577" t="str">
        <f t="array" aca="1" ref="H35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57" spans="1:8" x14ac:dyDescent="0.65">
      <c r="A357" s="554" t="str">
        <f t="array" aca="1" ref="A35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57" s="555" t="str">
        <f t="array" aca="1" ref="B35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57" s="555" t="str">
        <f ca="1">IF((ROW()-1)&lt;=COUNTIF(ListAndConversion!$CJ$4:$CQ$387,"&lt;&gt;-"),"Strips1","")</f>
        <v/>
      </c>
      <c r="D357" s="555" t="str">
        <f t="array" aca="1" ref="D35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57" s="555" t="str">
        <f t="array" aca="1" ref="E35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57" s="555" t="str">
        <f t="shared" ca="1" si="5"/>
        <v/>
      </c>
      <c r="G357" s="555" t="str">
        <f ca="1">IF(D357&lt;=8,RunName_ExAmpPrep!$H$2,IF(D357&lt;=16,RunName_ExAmpPrep!$H$3,IF(D357&lt;=24,RunName_ExAmpPrep!$H$4,IF(D357&lt;=32,RunName_ExAmpPrep!$H$5,IF(D357&lt;=40,RunName_ExAmpPrep!$H$6,IF(D357&lt;=48,RunName_ExAmpPrep!$H$7,IF(D357&lt;=56,RunName_ExAmpPrep!$H$8,IF(D357&lt;=64,RunName_ExAmpPrep!$H$9,""))))))))</f>
        <v/>
      </c>
      <c r="H357" s="577" t="str">
        <f t="array" aca="1" ref="H35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58" spans="1:8" x14ac:dyDescent="0.65">
      <c r="A358" s="554" t="str">
        <f t="array" aca="1" ref="A35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58" s="555" t="str">
        <f t="array" aca="1" ref="B35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58" s="555" t="str">
        <f ca="1">IF((ROW()-1)&lt;=COUNTIF(ListAndConversion!$CJ$4:$CQ$387,"&lt;&gt;-"),"Strips1","")</f>
        <v/>
      </c>
      <c r="D358" s="555" t="str">
        <f t="array" aca="1" ref="D35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58" s="555" t="str">
        <f t="array" aca="1" ref="E35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58" s="555" t="str">
        <f t="shared" ca="1" si="5"/>
        <v/>
      </c>
      <c r="G358" s="555" t="str">
        <f ca="1">IF(D358&lt;=8,RunName_ExAmpPrep!$H$2,IF(D358&lt;=16,RunName_ExAmpPrep!$H$3,IF(D358&lt;=24,RunName_ExAmpPrep!$H$4,IF(D358&lt;=32,RunName_ExAmpPrep!$H$5,IF(D358&lt;=40,RunName_ExAmpPrep!$H$6,IF(D358&lt;=48,RunName_ExAmpPrep!$H$7,IF(D358&lt;=56,RunName_ExAmpPrep!$H$8,IF(D358&lt;=64,RunName_ExAmpPrep!$H$9,""))))))))</f>
        <v/>
      </c>
      <c r="H358" s="577" t="str">
        <f t="array" aca="1" ref="H35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59" spans="1:8" x14ac:dyDescent="0.65">
      <c r="A359" s="554" t="str">
        <f t="array" aca="1" ref="A35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59" s="555" t="str">
        <f t="array" aca="1" ref="B35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59" s="555" t="str">
        <f ca="1">IF((ROW()-1)&lt;=COUNTIF(ListAndConversion!$CJ$4:$CQ$387,"&lt;&gt;-"),"Strips1","")</f>
        <v/>
      </c>
      <c r="D359" s="555" t="str">
        <f t="array" aca="1" ref="D35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59" s="555" t="str">
        <f t="array" aca="1" ref="E35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59" s="555" t="str">
        <f t="shared" ca="1" si="5"/>
        <v/>
      </c>
      <c r="G359" s="555" t="str">
        <f ca="1">IF(D359&lt;=8,RunName_ExAmpPrep!$H$2,IF(D359&lt;=16,RunName_ExAmpPrep!$H$3,IF(D359&lt;=24,RunName_ExAmpPrep!$H$4,IF(D359&lt;=32,RunName_ExAmpPrep!$H$5,IF(D359&lt;=40,RunName_ExAmpPrep!$H$6,IF(D359&lt;=48,RunName_ExAmpPrep!$H$7,IF(D359&lt;=56,RunName_ExAmpPrep!$H$8,IF(D359&lt;=64,RunName_ExAmpPrep!$H$9,""))))))))</f>
        <v/>
      </c>
      <c r="H359" s="577" t="str">
        <f t="array" aca="1" ref="H35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60" spans="1:8" x14ac:dyDescent="0.65">
      <c r="A360" s="554" t="str">
        <f t="array" aca="1" ref="A36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60" s="555" t="str">
        <f t="array" aca="1" ref="B36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60" s="555" t="str">
        <f ca="1">IF((ROW()-1)&lt;=COUNTIF(ListAndConversion!$CJ$4:$CQ$387,"&lt;&gt;-"),"Strips1","")</f>
        <v/>
      </c>
      <c r="D360" s="555" t="str">
        <f t="array" aca="1" ref="D36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60" s="555" t="str">
        <f t="array" aca="1" ref="E36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60" s="555" t="str">
        <f t="shared" ca="1" si="5"/>
        <v/>
      </c>
      <c r="G360" s="555" t="str">
        <f ca="1">IF(D360&lt;=8,RunName_ExAmpPrep!$H$2,IF(D360&lt;=16,RunName_ExAmpPrep!$H$3,IF(D360&lt;=24,RunName_ExAmpPrep!$H$4,IF(D360&lt;=32,RunName_ExAmpPrep!$H$5,IF(D360&lt;=40,RunName_ExAmpPrep!$H$6,IF(D360&lt;=48,RunName_ExAmpPrep!$H$7,IF(D360&lt;=56,RunName_ExAmpPrep!$H$8,IF(D360&lt;=64,RunName_ExAmpPrep!$H$9,""))))))))</f>
        <v/>
      </c>
      <c r="H360" s="577" t="str">
        <f t="array" aca="1" ref="H36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61" spans="1:8" x14ac:dyDescent="0.65">
      <c r="A361" s="554" t="str">
        <f t="array" aca="1" ref="A36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61" s="555" t="str">
        <f t="array" aca="1" ref="B36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61" s="555" t="str">
        <f ca="1">IF((ROW()-1)&lt;=COUNTIF(ListAndConversion!$CJ$4:$CQ$387,"&lt;&gt;-"),"Strips1","")</f>
        <v/>
      </c>
      <c r="D361" s="555" t="str">
        <f t="array" aca="1" ref="D36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61" s="555" t="str">
        <f t="array" aca="1" ref="E36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61" s="555" t="str">
        <f t="shared" ca="1" si="5"/>
        <v/>
      </c>
      <c r="G361" s="555" t="str">
        <f ca="1">IF(D361&lt;=8,RunName_ExAmpPrep!$H$2,IF(D361&lt;=16,RunName_ExAmpPrep!$H$3,IF(D361&lt;=24,RunName_ExAmpPrep!$H$4,IF(D361&lt;=32,RunName_ExAmpPrep!$H$5,IF(D361&lt;=40,RunName_ExAmpPrep!$H$6,IF(D361&lt;=48,RunName_ExAmpPrep!$H$7,IF(D361&lt;=56,RunName_ExAmpPrep!$H$8,IF(D361&lt;=64,RunName_ExAmpPrep!$H$9,""))))))))</f>
        <v/>
      </c>
      <c r="H361" s="577" t="str">
        <f t="array" aca="1" ref="H36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62" spans="1:8" x14ac:dyDescent="0.65">
      <c r="A362" s="554" t="str">
        <f t="array" aca="1" ref="A36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62" s="555" t="str">
        <f t="array" aca="1" ref="B36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62" s="555" t="str">
        <f ca="1">IF((ROW()-1)&lt;=COUNTIF(ListAndConversion!$CJ$4:$CQ$387,"&lt;&gt;-"),"Strips1","")</f>
        <v/>
      </c>
      <c r="D362" s="555" t="str">
        <f t="array" aca="1" ref="D36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62" s="555" t="str">
        <f t="array" aca="1" ref="E36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62" s="555" t="str">
        <f t="shared" ca="1" si="5"/>
        <v/>
      </c>
      <c r="G362" s="555" t="str">
        <f ca="1">IF(D362&lt;=8,RunName_ExAmpPrep!$H$2,IF(D362&lt;=16,RunName_ExAmpPrep!$H$3,IF(D362&lt;=24,RunName_ExAmpPrep!$H$4,IF(D362&lt;=32,RunName_ExAmpPrep!$H$5,IF(D362&lt;=40,RunName_ExAmpPrep!$H$6,IF(D362&lt;=48,RunName_ExAmpPrep!$H$7,IF(D362&lt;=56,RunName_ExAmpPrep!$H$8,IF(D362&lt;=64,RunName_ExAmpPrep!$H$9,""))))))))</f>
        <v/>
      </c>
      <c r="H362" s="577" t="str">
        <f t="array" aca="1" ref="H36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63" spans="1:8" x14ac:dyDescent="0.65">
      <c r="A363" s="554" t="str">
        <f t="array" aca="1" ref="A36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63" s="555" t="str">
        <f t="array" aca="1" ref="B36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63" s="555" t="str">
        <f ca="1">IF((ROW()-1)&lt;=COUNTIF(ListAndConversion!$CJ$4:$CQ$387,"&lt;&gt;-"),"Strips1","")</f>
        <v/>
      </c>
      <c r="D363" s="555" t="str">
        <f t="array" aca="1" ref="D36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63" s="555" t="str">
        <f t="array" aca="1" ref="E36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63" s="555" t="str">
        <f t="shared" ca="1" si="5"/>
        <v/>
      </c>
      <c r="G363" s="555" t="str">
        <f ca="1">IF(D363&lt;=8,RunName_ExAmpPrep!$H$2,IF(D363&lt;=16,RunName_ExAmpPrep!$H$3,IF(D363&lt;=24,RunName_ExAmpPrep!$H$4,IF(D363&lt;=32,RunName_ExAmpPrep!$H$5,IF(D363&lt;=40,RunName_ExAmpPrep!$H$6,IF(D363&lt;=48,RunName_ExAmpPrep!$H$7,IF(D363&lt;=56,RunName_ExAmpPrep!$H$8,IF(D363&lt;=64,RunName_ExAmpPrep!$H$9,""))))))))</f>
        <v/>
      </c>
      <c r="H363" s="577" t="str">
        <f t="array" aca="1" ref="H36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64" spans="1:8" x14ac:dyDescent="0.65">
      <c r="A364" s="554" t="str">
        <f t="array" aca="1" ref="A36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64" s="555" t="str">
        <f t="array" aca="1" ref="B36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64" s="555" t="str">
        <f ca="1">IF((ROW()-1)&lt;=COUNTIF(ListAndConversion!$CJ$4:$CQ$387,"&lt;&gt;-"),"Strips1","")</f>
        <v/>
      </c>
      <c r="D364" s="555" t="str">
        <f t="array" aca="1" ref="D36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64" s="555" t="str">
        <f t="array" aca="1" ref="E36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64" s="555" t="str">
        <f t="shared" ca="1" si="5"/>
        <v/>
      </c>
      <c r="G364" s="555" t="str">
        <f ca="1">IF(D364&lt;=8,RunName_ExAmpPrep!$H$2,IF(D364&lt;=16,RunName_ExAmpPrep!$H$3,IF(D364&lt;=24,RunName_ExAmpPrep!$H$4,IF(D364&lt;=32,RunName_ExAmpPrep!$H$5,IF(D364&lt;=40,RunName_ExAmpPrep!$H$6,IF(D364&lt;=48,RunName_ExAmpPrep!$H$7,IF(D364&lt;=56,RunName_ExAmpPrep!$H$8,IF(D364&lt;=64,RunName_ExAmpPrep!$H$9,""))))))))</f>
        <v/>
      </c>
      <c r="H364" s="577" t="str">
        <f t="array" aca="1" ref="H36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65" spans="1:8" x14ac:dyDescent="0.65">
      <c r="A365" s="554" t="str">
        <f t="array" aca="1" ref="A36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65" s="555" t="str">
        <f t="array" aca="1" ref="B36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65" s="555" t="str">
        <f ca="1">IF((ROW()-1)&lt;=COUNTIF(ListAndConversion!$CJ$4:$CQ$387,"&lt;&gt;-"),"Strips1","")</f>
        <v/>
      </c>
      <c r="D365" s="555" t="str">
        <f t="array" aca="1" ref="D36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65" s="555" t="str">
        <f t="array" aca="1" ref="E36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65" s="555" t="str">
        <f t="shared" ca="1" si="5"/>
        <v/>
      </c>
      <c r="G365" s="555" t="str">
        <f ca="1">IF(D365&lt;=8,RunName_ExAmpPrep!$H$2,IF(D365&lt;=16,RunName_ExAmpPrep!$H$3,IF(D365&lt;=24,RunName_ExAmpPrep!$H$4,IF(D365&lt;=32,RunName_ExAmpPrep!$H$5,IF(D365&lt;=40,RunName_ExAmpPrep!$H$6,IF(D365&lt;=48,RunName_ExAmpPrep!$H$7,IF(D365&lt;=56,RunName_ExAmpPrep!$H$8,IF(D365&lt;=64,RunName_ExAmpPrep!$H$9,""))))))))</f>
        <v/>
      </c>
      <c r="H365" s="577" t="str">
        <f t="array" aca="1" ref="H36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66" spans="1:8" x14ac:dyDescent="0.65">
      <c r="A366" s="554" t="str">
        <f t="array" aca="1" ref="A36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66" s="555" t="str">
        <f t="array" aca="1" ref="B36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66" s="555" t="str">
        <f ca="1">IF((ROW()-1)&lt;=COUNTIF(ListAndConversion!$CJ$4:$CQ$387,"&lt;&gt;-"),"Strips1","")</f>
        <v/>
      </c>
      <c r="D366" s="555" t="str">
        <f t="array" aca="1" ref="D36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66" s="555" t="str">
        <f t="array" aca="1" ref="E36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66" s="555" t="str">
        <f t="shared" ca="1" si="5"/>
        <v/>
      </c>
      <c r="G366" s="555" t="str">
        <f ca="1">IF(D366&lt;=8,RunName_ExAmpPrep!$H$2,IF(D366&lt;=16,RunName_ExAmpPrep!$H$3,IF(D366&lt;=24,RunName_ExAmpPrep!$H$4,IF(D366&lt;=32,RunName_ExAmpPrep!$H$5,IF(D366&lt;=40,RunName_ExAmpPrep!$H$6,IF(D366&lt;=48,RunName_ExAmpPrep!$H$7,IF(D366&lt;=56,RunName_ExAmpPrep!$H$8,IF(D366&lt;=64,RunName_ExAmpPrep!$H$9,""))))))))</f>
        <v/>
      </c>
      <c r="H366" s="577" t="str">
        <f t="array" aca="1" ref="H36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67" spans="1:8" x14ac:dyDescent="0.65">
      <c r="A367" s="554" t="str">
        <f t="array" aca="1" ref="A36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67" s="555" t="str">
        <f t="array" aca="1" ref="B36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67" s="555" t="str">
        <f ca="1">IF((ROW()-1)&lt;=COUNTIF(ListAndConversion!$CJ$4:$CQ$387,"&lt;&gt;-"),"Strips1","")</f>
        <v/>
      </c>
      <c r="D367" s="555" t="str">
        <f t="array" aca="1" ref="D36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67" s="555" t="str">
        <f t="array" aca="1" ref="E36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67" s="555" t="str">
        <f t="shared" ca="1" si="5"/>
        <v/>
      </c>
      <c r="G367" s="555" t="str">
        <f ca="1">IF(D367&lt;=8,RunName_ExAmpPrep!$H$2,IF(D367&lt;=16,RunName_ExAmpPrep!$H$3,IF(D367&lt;=24,RunName_ExAmpPrep!$H$4,IF(D367&lt;=32,RunName_ExAmpPrep!$H$5,IF(D367&lt;=40,RunName_ExAmpPrep!$H$6,IF(D367&lt;=48,RunName_ExAmpPrep!$H$7,IF(D367&lt;=56,RunName_ExAmpPrep!$H$8,IF(D367&lt;=64,RunName_ExAmpPrep!$H$9,""))))))))</f>
        <v/>
      </c>
      <c r="H367" s="577" t="str">
        <f t="array" aca="1" ref="H36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68" spans="1:8" x14ac:dyDescent="0.65">
      <c r="A368" s="554" t="str">
        <f t="array" aca="1" ref="A36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68" s="555" t="str">
        <f t="array" aca="1" ref="B36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68" s="555" t="str">
        <f ca="1">IF((ROW()-1)&lt;=COUNTIF(ListAndConversion!$CJ$4:$CQ$387,"&lt;&gt;-"),"Strips1","")</f>
        <v/>
      </c>
      <c r="D368" s="555" t="str">
        <f t="array" aca="1" ref="D36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68" s="555" t="str">
        <f t="array" aca="1" ref="E36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68" s="555" t="str">
        <f t="shared" ca="1" si="5"/>
        <v/>
      </c>
      <c r="G368" s="555" t="str">
        <f ca="1">IF(D368&lt;=8,RunName_ExAmpPrep!$H$2,IF(D368&lt;=16,RunName_ExAmpPrep!$H$3,IF(D368&lt;=24,RunName_ExAmpPrep!$H$4,IF(D368&lt;=32,RunName_ExAmpPrep!$H$5,IF(D368&lt;=40,RunName_ExAmpPrep!$H$6,IF(D368&lt;=48,RunName_ExAmpPrep!$H$7,IF(D368&lt;=56,RunName_ExAmpPrep!$H$8,IF(D368&lt;=64,RunName_ExAmpPrep!$H$9,""))))))))</f>
        <v/>
      </c>
      <c r="H368" s="577" t="str">
        <f t="array" aca="1" ref="H36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69" spans="1:8" x14ac:dyDescent="0.65">
      <c r="A369" s="554" t="str">
        <f t="array" aca="1" ref="A36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69" s="555" t="str">
        <f t="array" aca="1" ref="B36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69" s="555" t="str">
        <f ca="1">IF((ROW()-1)&lt;=COUNTIF(ListAndConversion!$CJ$4:$CQ$387,"&lt;&gt;-"),"Strips1","")</f>
        <v/>
      </c>
      <c r="D369" s="555" t="str">
        <f t="array" aca="1" ref="D36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69" s="555" t="str">
        <f t="array" aca="1" ref="E36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69" s="555" t="str">
        <f t="shared" ca="1" si="5"/>
        <v/>
      </c>
      <c r="G369" s="555" t="str">
        <f ca="1">IF(D369&lt;=8,RunName_ExAmpPrep!$H$2,IF(D369&lt;=16,RunName_ExAmpPrep!$H$3,IF(D369&lt;=24,RunName_ExAmpPrep!$H$4,IF(D369&lt;=32,RunName_ExAmpPrep!$H$5,IF(D369&lt;=40,RunName_ExAmpPrep!$H$6,IF(D369&lt;=48,RunName_ExAmpPrep!$H$7,IF(D369&lt;=56,RunName_ExAmpPrep!$H$8,IF(D369&lt;=64,RunName_ExAmpPrep!$H$9,""))))))))</f>
        <v/>
      </c>
      <c r="H369" s="577" t="str">
        <f t="array" aca="1" ref="H36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70" spans="1:8" x14ac:dyDescent="0.65">
      <c r="A370" s="554" t="str">
        <f t="array" aca="1" ref="A37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70" s="555" t="str">
        <f t="array" aca="1" ref="B37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70" s="555" t="str">
        <f ca="1">IF((ROW()-1)&lt;=COUNTIF(ListAndConversion!$CJ$4:$CQ$387,"&lt;&gt;-"),"Strips1","")</f>
        <v/>
      </c>
      <c r="D370" s="555" t="str">
        <f t="array" aca="1" ref="D37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70" s="555" t="str">
        <f t="array" aca="1" ref="E37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70" s="555" t="str">
        <f t="shared" ca="1" si="5"/>
        <v/>
      </c>
      <c r="G370" s="555" t="str">
        <f ca="1">IF(D370&lt;=8,RunName_ExAmpPrep!$H$2,IF(D370&lt;=16,RunName_ExAmpPrep!$H$3,IF(D370&lt;=24,RunName_ExAmpPrep!$H$4,IF(D370&lt;=32,RunName_ExAmpPrep!$H$5,IF(D370&lt;=40,RunName_ExAmpPrep!$H$6,IF(D370&lt;=48,RunName_ExAmpPrep!$H$7,IF(D370&lt;=56,RunName_ExAmpPrep!$H$8,IF(D370&lt;=64,RunName_ExAmpPrep!$H$9,""))))))))</f>
        <v/>
      </c>
      <c r="H370" s="577" t="str">
        <f t="array" aca="1" ref="H37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71" spans="1:8" x14ac:dyDescent="0.65">
      <c r="A371" s="554" t="str">
        <f t="array" aca="1" ref="A37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71" s="555" t="str">
        <f t="array" aca="1" ref="B37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71" s="555" t="str">
        <f ca="1">IF((ROW()-1)&lt;=COUNTIF(ListAndConversion!$CJ$4:$CQ$387,"&lt;&gt;-"),"Strips1","")</f>
        <v/>
      </c>
      <c r="D371" s="555" t="str">
        <f t="array" aca="1" ref="D37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71" s="555" t="str">
        <f t="array" aca="1" ref="E37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71" s="555" t="str">
        <f t="shared" ca="1" si="5"/>
        <v/>
      </c>
      <c r="G371" s="555" t="str">
        <f ca="1">IF(D371&lt;=8,RunName_ExAmpPrep!$H$2,IF(D371&lt;=16,RunName_ExAmpPrep!$H$3,IF(D371&lt;=24,RunName_ExAmpPrep!$H$4,IF(D371&lt;=32,RunName_ExAmpPrep!$H$5,IF(D371&lt;=40,RunName_ExAmpPrep!$H$6,IF(D371&lt;=48,RunName_ExAmpPrep!$H$7,IF(D371&lt;=56,RunName_ExAmpPrep!$H$8,IF(D371&lt;=64,RunName_ExAmpPrep!$H$9,""))))))))</f>
        <v/>
      </c>
      <c r="H371" s="577" t="str">
        <f t="array" aca="1" ref="H37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72" spans="1:8" x14ac:dyDescent="0.65">
      <c r="A372" s="554" t="str">
        <f t="array" aca="1" ref="A37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72" s="555" t="str">
        <f t="array" aca="1" ref="B37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72" s="555" t="str">
        <f ca="1">IF((ROW()-1)&lt;=COUNTIF(ListAndConversion!$CJ$4:$CQ$387,"&lt;&gt;-"),"Strips1","")</f>
        <v/>
      </c>
      <c r="D372" s="555" t="str">
        <f t="array" aca="1" ref="D37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72" s="555" t="str">
        <f t="array" aca="1" ref="E37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72" s="555" t="str">
        <f t="shared" ca="1" si="5"/>
        <v/>
      </c>
      <c r="G372" s="555" t="str">
        <f ca="1">IF(D372&lt;=8,RunName_ExAmpPrep!$H$2,IF(D372&lt;=16,RunName_ExAmpPrep!$H$3,IF(D372&lt;=24,RunName_ExAmpPrep!$H$4,IF(D372&lt;=32,RunName_ExAmpPrep!$H$5,IF(D372&lt;=40,RunName_ExAmpPrep!$H$6,IF(D372&lt;=48,RunName_ExAmpPrep!$H$7,IF(D372&lt;=56,RunName_ExAmpPrep!$H$8,IF(D372&lt;=64,RunName_ExAmpPrep!$H$9,""))))))))</f>
        <v/>
      </c>
      <c r="H372" s="577" t="str">
        <f t="array" aca="1" ref="H37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73" spans="1:8" x14ac:dyDescent="0.65">
      <c r="A373" s="554" t="str">
        <f t="array" aca="1" ref="A37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73" s="555" t="str">
        <f t="array" aca="1" ref="B37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73" s="555" t="str">
        <f ca="1">IF((ROW()-1)&lt;=COUNTIF(ListAndConversion!$CJ$4:$CQ$387,"&lt;&gt;-"),"Strips1","")</f>
        <v/>
      </c>
      <c r="D373" s="555" t="str">
        <f t="array" aca="1" ref="D37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73" s="555" t="str">
        <f t="array" aca="1" ref="E37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73" s="555" t="str">
        <f t="shared" ca="1" si="5"/>
        <v/>
      </c>
      <c r="G373" s="555" t="str">
        <f ca="1">IF(D373&lt;=8,RunName_ExAmpPrep!$H$2,IF(D373&lt;=16,RunName_ExAmpPrep!$H$3,IF(D373&lt;=24,RunName_ExAmpPrep!$H$4,IF(D373&lt;=32,RunName_ExAmpPrep!$H$5,IF(D373&lt;=40,RunName_ExAmpPrep!$H$6,IF(D373&lt;=48,RunName_ExAmpPrep!$H$7,IF(D373&lt;=56,RunName_ExAmpPrep!$H$8,IF(D373&lt;=64,RunName_ExAmpPrep!$H$9,""))))))))</f>
        <v/>
      </c>
      <c r="H373" s="577" t="str">
        <f t="array" aca="1" ref="H37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74" spans="1:8" x14ac:dyDescent="0.65">
      <c r="A374" s="554" t="str">
        <f t="array" aca="1" ref="A37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74" s="555" t="str">
        <f t="array" aca="1" ref="B37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74" s="555" t="str">
        <f ca="1">IF((ROW()-1)&lt;=COUNTIF(ListAndConversion!$CJ$4:$CQ$387,"&lt;&gt;-"),"Strips1","")</f>
        <v/>
      </c>
      <c r="D374" s="555" t="str">
        <f t="array" aca="1" ref="D37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74" s="555" t="str">
        <f t="array" aca="1" ref="E37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74" s="555" t="str">
        <f t="shared" ca="1" si="5"/>
        <v/>
      </c>
      <c r="G374" s="555" t="str">
        <f ca="1">IF(D374&lt;=8,RunName_ExAmpPrep!$H$2,IF(D374&lt;=16,RunName_ExAmpPrep!$H$3,IF(D374&lt;=24,RunName_ExAmpPrep!$H$4,IF(D374&lt;=32,RunName_ExAmpPrep!$H$5,IF(D374&lt;=40,RunName_ExAmpPrep!$H$6,IF(D374&lt;=48,RunName_ExAmpPrep!$H$7,IF(D374&lt;=56,RunName_ExAmpPrep!$H$8,IF(D374&lt;=64,RunName_ExAmpPrep!$H$9,""))))))))</f>
        <v/>
      </c>
      <c r="H374" s="577" t="str">
        <f t="array" aca="1" ref="H37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75" spans="1:8" x14ac:dyDescent="0.65">
      <c r="A375" s="554" t="str">
        <f t="array" aca="1" ref="A37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75" s="555" t="str">
        <f t="array" aca="1" ref="B37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75" s="555" t="str">
        <f ca="1">IF((ROW()-1)&lt;=COUNTIF(ListAndConversion!$CJ$4:$CQ$387,"&lt;&gt;-"),"Strips1","")</f>
        <v/>
      </c>
      <c r="D375" s="555" t="str">
        <f t="array" aca="1" ref="D37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75" s="555" t="str">
        <f t="array" aca="1" ref="E37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75" s="555" t="str">
        <f t="shared" ca="1" si="5"/>
        <v/>
      </c>
      <c r="G375" s="555" t="str">
        <f ca="1">IF(D375&lt;=8,RunName_ExAmpPrep!$H$2,IF(D375&lt;=16,RunName_ExAmpPrep!$H$3,IF(D375&lt;=24,RunName_ExAmpPrep!$H$4,IF(D375&lt;=32,RunName_ExAmpPrep!$H$5,IF(D375&lt;=40,RunName_ExAmpPrep!$H$6,IF(D375&lt;=48,RunName_ExAmpPrep!$H$7,IF(D375&lt;=56,RunName_ExAmpPrep!$H$8,IF(D375&lt;=64,RunName_ExAmpPrep!$H$9,""))))))))</f>
        <v/>
      </c>
      <c r="H375" s="577" t="str">
        <f t="array" aca="1" ref="H37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76" spans="1:8" x14ac:dyDescent="0.65">
      <c r="A376" s="554" t="str">
        <f t="array" aca="1" ref="A376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76" s="555" t="str">
        <f t="array" aca="1" ref="B376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76" s="555" t="str">
        <f ca="1">IF((ROW()-1)&lt;=COUNTIF(ListAndConversion!$CJ$4:$CQ$387,"&lt;&gt;-"),"Strips1","")</f>
        <v/>
      </c>
      <c r="D376" s="555" t="str">
        <f t="array" aca="1" ref="D376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76" s="555" t="str">
        <f t="array" aca="1" ref="E376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76" s="555" t="str">
        <f t="shared" ca="1" si="5"/>
        <v/>
      </c>
      <c r="G376" s="555" t="str">
        <f ca="1">IF(D376&lt;=8,RunName_ExAmpPrep!$H$2,IF(D376&lt;=16,RunName_ExAmpPrep!$H$3,IF(D376&lt;=24,RunName_ExAmpPrep!$H$4,IF(D376&lt;=32,RunName_ExAmpPrep!$H$5,IF(D376&lt;=40,RunName_ExAmpPrep!$H$6,IF(D376&lt;=48,RunName_ExAmpPrep!$H$7,IF(D376&lt;=56,RunName_ExAmpPrep!$H$8,IF(D376&lt;=64,RunName_ExAmpPrep!$H$9,""))))))))</f>
        <v/>
      </c>
      <c r="H376" s="577" t="str">
        <f t="array" aca="1" ref="H376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77" spans="1:8" x14ac:dyDescent="0.65">
      <c r="A377" s="554" t="str">
        <f t="array" aca="1" ref="A377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77" s="555" t="str">
        <f t="array" aca="1" ref="B377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77" s="555" t="str">
        <f ca="1">IF((ROW()-1)&lt;=COUNTIF(ListAndConversion!$CJ$4:$CQ$387,"&lt;&gt;-"),"Strips1","")</f>
        <v/>
      </c>
      <c r="D377" s="555" t="str">
        <f t="array" aca="1" ref="D377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77" s="555" t="str">
        <f t="array" aca="1" ref="E377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77" s="555" t="str">
        <f t="shared" ca="1" si="5"/>
        <v/>
      </c>
      <c r="G377" s="555" t="str">
        <f ca="1">IF(D377&lt;=8,RunName_ExAmpPrep!$H$2,IF(D377&lt;=16,RunName_ExAmpPrep!$H$3,IF(D377&lt;=24,RunName_ExAmpPrep!$H$4,IF(D377&lt;=32,RunName_ExAmpPrep!$H$5,IF(D377&lt;=40,RunName_ExAmpPrep!$H$6,IF(D377&lt;=48,RunName_ExAmpPrep!$H$7,IF(D377&lt;=56,RunName_ExAmpPrep!$H$8,IF(D377&lt;=64,RunName_ExAmpPrep!$H$9,""))))))))</f>
        <v/>
      </c>
      <c r="H377" s="577" t="str">
        <f t="array" aca="1" ref="H377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78" spans="1:8" x14ac:dyDescent="0.65">
      <c r="A378" s="554" t="str">
        <f t="array" aca="1" ref="A378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78" s="555" t="str">
        <f t="array" aca="1" ref="B378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78" s="555" t="str">
        <f ca="1">IF((ROW()-1)&lt;=COUNTIF(ListAndConversion!$CJ$4:$CQ$387,"&lt;&gt;-"),"Strips1","")</f>
        <v/>
      </c>
      <c r="D378" s="555" t="str">
        <f t="array" aca="1" ref="D378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78" s="555" t="str">
        <f t="array" aca="1" ref="E378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78" s="555" t="str">
        <f t="shared" ca="1" si="5"/>
        <v/>
      </c>
      <c r="G378" s="555" t="str">
        <f ca="1">IF(D378&lt;=8,RunName_ExAmpPrep!$H$2,IF(D378&lt;=16,RunName_ExAmpPrep!$H$3,IF(D378&lt;=24,RunName_ExAmpPrep!$H$4,IF(D378&lt;=32,RunName_ExAmpPrep!$H$5,IF(D378&lt;=40,RunName_ExAmpPrep!$H$6,IF(D378&lt;=48,RunName_ExAmpPrep!$H$7,IF(D378&lt;=56,RunName_ExAmpPrep!$H$8,IF(D378&lt;=64,RunName_ExAmpPrep!$H$9,""))))))))</f>
        <v/>
      </c>
      <c r="H378" s="577" t="str">
        <f t="array" aca="1" ref="H378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79" spans="1:8" x14ac:dyDescent="0.65">
      <c r="A379" s="554" t="str">
        <f t="array" aca="1" ref="A379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79" s="555" t="str">
        <f t="array" aca="1" ref="B379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79" s="555" t="str">
        <f ca="1">IF((ROW()-1)&lt;=COUNTIF(ListAndConversion!$CJ$4:$CQ$387,"&lt;&gt;-"),"Strips1","")</f>
        <v/>
      </c>
      <c r="D379" s="555" t="str">
        <f t="array" aca="1" ref="D379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79" s="555" t="str">
        <f t="array" aca="1" ref="E379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79" s="555" t="str">
        <f t="shared" ca="1" si="5"/>
        <v/>
      </c>
      <c r="G379" s="555" t="str">
        <f ca="1">IF(D379&lt;=8,RunName_ExAmpPrep!$H$2,IF(D379&lt;=16,RunName_ExAmpPrep!$H$3,IF(D379&lt;=24,RunName_ExAmpPrep!$H$4,IF(D379&lt;=32,RunName_ExAmpPrep!$H$5,IF(D379&lt;=40,RunName_ExAmpPrep!$H$6,IF(D379&lt;=48,RunName_ExAmpPrep!$H$7,IF(D379&lt;=56,RunName_ExAmpPrep!$H$8,IF(D379&lt;=64,RunName_ExAmpPrep!$H$9,""))))))))</f>
        <v/>
      </c>
      <c r="H379" s="577" t="str">
        <f t="array" aca="1" ref="H379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80" spans="1:8" x14ac:dyDescent="0.65">
      <c r="A380" s="554" t="str">
        <f t="array" aca="1" ref="A380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80" s="555" t="str">
        <f t="array" aca="1" ref="B380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80" s="555" t="str">
        <f ca="1">IF((ROW()-1)&lt;=COUNTIF(ListAndConversion!$CJ$4:$CQ$387,"&lt;&gt;-"),"Strips1","")</f>
        <v/>
      </c>
      <c r="D380" s="555" t="str">
        <f t="array" aca="1" ref="D380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80" s="555" t="str">
        <f t="array" aca="1" ref="E380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80" s="555" t="str">
        <f t="shared" ca="1" si="5"/>
        <v/>
      </c>
      <c r="G380" s="555" t="str">
        <f ca="1">IF(D380&lt;=8,RunName_ExAmpPrep!$H$2,IF(D380&lt;=16,RunName_ExAmpPrep!$H$3,IF(D380&lt;=24,RunName_ExAmpPrep!$H$4,IF(D380&lt;=32,RunName_ExAmpPrep!$H$5,IF(D380&lt;=40,RunName_ExAmpPrep!$H$6,IF(D380&lt;=48,RunName_ExAmpPrep!$H$7,IF(D380&lt;=56,RunName_ExAmpPrep!$H$8,IF(D380&lt;=64,RunName_ExAmpPrep!$H$9,""))))))))</f>
        <v/>
      </c>
      <c r="H380" s="577" t="str">
        <f t="array" aca="1" ref="H380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81" spans="1:8" x14ac:dyDescent="0.65">
      <c r="A381" s="554" t="str">
        <f t="array" aca="1" ref="A381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81" s="555" t="str">
        <f t="array" aca="1" ref="B381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81" s="555" t="str">
        <f ca="1">IF((ROW()-1)&lt;=COUNTIF(ListAndConversion!$CJ$4:$CQ$387,"&lt;&gt;-"),"Strips1","")</f>
        <v/>
      </c>
      <c r="D381" s="555" t="str">
        <f t="array" aca="1" ref="D381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81" s="555" t="str">
        <f t="array" aca="1" ref="E381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81" s="555" t="str">
        <f t="shared" ca="1" si="5"/>
        <v/>
      </c>
      <c r="G381" s="555" t="str">
        <f ca="1">IF(D381&lt;=8,RunName_ExAmpPrep!$H$2,IF(D381&lt;=16,RunName_ExAmpPrep!$H$3,IF(D381&lt;=24,RunName_ExAmpPrep!$H$4,IF(D381&lt;=32,RunName_ExAmpPrep!$H$5,IF(D381&lt;=40,RunName_ExAmpPrep!$H$6,IF(D381&lt;=48,RunName_ExAmpPrep!$H$7,IF(D381&lt;=56,RunName_ExAmpPrep!$H$8,IF(D381&lt;=64,RunName_ExAmpPrep!$H$9,""))))))))</f>
        <v/>
      </c>
      <c r="H381" s="577" t="str">
        <f t="array" aca="1" ref="H381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82" spans="1:8" x14ac:dyDescent="0.65">
      <c r="A382" s="554" t="str">
        <f t="array" aca="1" ref="A382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82" s="555" t="str">
        <f t="array" aca="1" ref="B382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82" s="555" t="str">
        <f ca="1">IF((ROW()-1)&lt;=COUNTIF(ListAndConversion!$CJ$4:$CQ$387,"&lt;&gt;-"),"Strips1","")</f>
        <v/>
      </c>
      <c r="D382" s="555" t="str">
        <f t="array" aca="1" ref="D382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82" s="555" t="str">
        <f t="array" aca="1" ref="E382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82" s="555" t="str">
        <f t="shared" ca="1" si="5"/>
        <v/>
      </c>
      <c r="G382" s="555" t="str">
        <f ca="1">IF(D382&lt;=8,RunName_ExAmpPrep!$H$2,IF(D382&lt;=16,RunName_ExAmpPrep!$H$3,IF(D382&lt;=24,RunName_ExAmpPrep!$H$4,IF(D382&lt;=32,RunName_ExAmpPrep!$H$5,IF(D382&lt;=40,RunName_ExAmpPrep!$H$6,IF(D382&lt;=48,RunName_ExAmpPrep!$H$7,IF(D382&lt;=56,RunName_ExAmpPrep!$H$8,IF(D382&lt;=64,RunName_ExAmpPrep!$H$9,""))))))))</f>
        <v/>
      </c>
      <c r="H382" s="577" t="str">
        <f t="array" aca="1" ref="H382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83" spans="1:8" x14ac:dyDescent="0.65">
      <c r="A383" s="554" t="str">
        <f t="array" aca="1" ref="A383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83" s="555" t="str">
        <f t="array" aca="1" ref="B383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83" s="555" t="str">
        <f ca="1">IF((ROW()-1)&lt;=COUNTIF(ListAndConversion!$CJ$4:$CQ$387,"&lt;&gt;-"),"Strips1","")</f>
        <v/>
      </c>
      <c r="D383" s="555" t="str">
        <f t="array" aca="1" ref="D383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83" s="555" t="str">
        <f t="array" aca="1" ref="E383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83" s="555" t="str">
        <f t="shared" ca="1" si="5"/>
        <v/>
      </c>
      <c r="G383" s="555" t="str">
        <f ca="1">IF(D383&lt;=8,RunName_ExAmpPrep!$H$2,IF(D383&lt;=16,RunName_ExAmpPrep!$H$3,IF(D383&lt;=24,RunName_ExAmpPrep!$H$4,IF(D383&lt;=32,RunName_ExAmpPrep!$H$5,IF(D383&lt;=40,RunName_ExAmpPrep!$H$6,IF(D383&lt;=48,RunName_ExAmpPrep!$H$7,IF(D383&lt;=56,RunName_ExAmpPrep!$H$8,IF(D383&lt;=64,RunName_ExAmpPrep!$H$9,""))))))))</f>
        <v/>
      </c>
      <c r="H383" s="577" t="str">
        <f t="array" aca="1" ref="H383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84" spans="1:8" x14ac:dyDescent="0.65">
      <c r="A384" s="554" t="str">
        <f t="array" aca="1" ref="A384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84" s="555" t="str">
        <f t="array" aca="1" ref="B384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84" s="555" t="str">
        <f ca="1">IF((ROW()-1)&lt;=COUNTIF(ListAndConversion!$CJ$4:$CQ$387,"&lt;&gt;-"),"Strips1","")</f>
        <v/>
      </c>
      <c r="D384" s="555" t="str">
        <f t="array" aca="1" ref="D384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84" s="555" t="str">
        <f t="array" aca="1" ref="E384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84" s="555" t="str">
        <f t="shared" ca="1" si="5"/>
        <v/>
      </c>
      <c r="G384" s="555" t="str">
        <f ca="1">IF(D384&lt;=8,RunName_ExAmpPrep!$H$2,IF(D384&lt;=16,RunName_ExAmpPrep!$H$3,IF(D384&lt;=24,RunName_ExAmpPrep!$H$4,IF(D384&lt;=32,RunName_ExAmpPrep!$H$5,IF(D384&lt;=40,RunName_ExAmpPrep!$H$6,IF(D384&lt;=48,RunName_ExAmpPrep!$H$7,IF(D384&lt;=56,RunName_ExAmpPrep!$H$8,IF(D384&lt;=64,RunName_ExAmpPrep!$H$9,""))))))))</f>
        <v/>
      </c>
      <c r="H384" s="577" t="str">
        <f t="array" aca="1" ref="H384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  <row r="385" spans="1:8" x14ac:dyDescent="0.65">
      <c r="A385" s="558" t="str">
        <f t="array" aca="1" ref="A385" ca="1">IFERROR(INDEX(Trans_All,SMALL(ROW(Trans_1)*(Trans_1&lt;&gt;"-"),COUNTIF(Trans_1,"-")+ROW()-1)-3,1),IFERROR(INDEX(Trans_All,SMALL(ROW(Trans_2)*(Trans_2&lt;&gt;"-"),COUNTIF(Trans_2,"-")+ROW()-1-COUNTIF(Trans_1,"&lt;&gt;-"))-3,1),IFERROR(INDEX(Trans_All,SMALL(ROW(Trans_3)*(Trans_3&lt;&gt;"-"),COUNTIF(Trans_3,"-")+ROW()-1-COUNTIF(Trans_12,"&lt;&gt;-"))-3,1),IFERROR(INDEX(Trans_All,SMALL(ROW(Trans_4)*(Trans_4&lt;&gt;"-"),COUNTIF(Trans_4,"-")+ROW()-1-COUNTIF(Trans_123,"&lt;&gt;-"))-3,1),IFERROR(INDEX(Trans_All,SMALL(ROW(Trans_5)*(Trans_5&lt;&gt;"-"),COUNTIF(Trans_5,"-")+ROW()-1-COUNTIF(Trans_1234,"&lt;&gt;-"))-3,1),IFERROR(INDEX(Trans_All,SMALL(ROW(Trans_6)*(Trans_6&lt;&gt;"-"),COUNTIF(Trans_6,"-")+ROW()-1-COUNTIF(Trans_12345,"&lt;&gt;-"))-3,1),IFERROR(INDEX(Trans_All,SMALL(ROW(Trans_7)*(Trans_7&lt;&gt;"-"),COUNTIF(Trans_7,"-")+ROW()-1-COUNTIF(Trans_123456,"&lt;&gt;-"))-3,1),IFERROR(INDEX(Trans_All,SMALL(ROW(Trans_8)*(Trans_8&lt;&gt;"-"),COUNTIF(Trans_8,"-")+ROW()-1-COUNTIF(Trans_1234567,"&lt;&gt;-"))-3,1),""))))))))</f>
        <v/>
      </c>
      <c r="B385" s="559" t="str">
        <f t="array" aca="1" ref="B385" ca="1">IFERROR(INDEX(Trans_All,SMALL(ROW(Trans_1)*(Trans_1&lt;&gt;"-"),COUNTIF(Trans_1,"-")+ROW()-1)-3,2),IFERROR(INDEX(Trans_All,SMALL(ROW(Trans_2)*(Trans_2&lt;&gt;"-"),COUNTIF(Trans_2,"-")+ROW()-1-COUNTIF(Trans_1,"&lt;&gt;-"))-3,2),IFERROR(INDEX(Trans_All,SMALL(ROW(Trans_3)*(Trans_3&lt;&gt;"-"),COUNTIF(Trans_3,"-")+ROW()-1-COUNTIF(Trans_12,"&lt;&gt;-"))-3,2),IFERROR(INDEX(Trans_All,SMALL(ROW(Trans_4)*(Trans_4&lt;&gt;"-"),COUNTIF(Trans_4,"-")+ROW()-1-COUNTIF(Trans_123,"&lt;&gt;-"))-3,2),IFERROR(INDEX(Trans_All,SMALL(ROW(Trans_5)*(Trans_5&lt;&gt;"-"),COUNTIF(Trans_5,"-")+ROW()-1-COUNTIF(Trans_1234,"&lt;&gt;-"))-3,2),IFERROR(INDEX(Trans_All,SMALL(ROW(Trans_6)*(Trans_6&lt;&gt;"-"),COUNTIF(Trans_6,"-")+ROW()-1-COUNTIF(Trans_12345,"&lt;&gt;-"))-3,2),IFERROR(INDEX(Trans_All,SMALL(ROW(Trans_7)*(Trans_7&lt;&gt;"-"),COUNTIF(Trans_7,"-")+ROW()-1-COUNTIF(Trans_123456,"&lt;&gt;-"))-3,2),IFERROR(INDEX(Trans_All,SMALL(ROW(Trans_8)*(Trans_8&lt;&gt;"-"),COUNTIF(Trans_8,"-")+ROW()-1-COUNTIF(Trans_1234567,"&lt;&gt;-"))-3,2),""))))))))</f>
        <v/>
      </c>
      <c r="C385" s="559" t="str">
        <f ca="1">IF((ROW()-1)&lt;=COUNTIF(ListAndConversion!$CJ$4:$CQ$387,"&lt;&gt;-"),"Strips1","")</f>
        <v/>
      </c>
      <c r="D385" s="559" t="str">
        <f t="array" aca="1" ref="D385" ca="1">IFERROR(INDEX(Trans_1,SMALL(ROW(Trans_1)*(Trans_1&lt;&gt;"-"),COUNTIF(Trans_1,"-")+ROW()-1)-3,1),IFERROR(INDEX(Trans_2,SMALL(ROW(Trans_2)*(Trans_2&lt;&gt;"-"),COUNTIF(Trans_2,"-")+ROW()-1-COUNTIF(Trans_1,"&lt;&gt;-"))-3,1),IFERROR(INDEX(Trans_3,SMALL(ROW(Trans_3)*(Trans_3&lt;&gt;"-"),COUNTIF(Trans_3,"-")+ROW()-1-COUNTIF(Trans_12,"&lt;&gt;-"))-3,1),IFERROR(INDEX(Trans_4,SMALL(ROW(Trans_4)*(Trans_4&lt;&gt;"-"),COUNTIF(Trans_4,"-")+ROW()-1-COUNTIF(Trans_123,"&lt;&gt;-"))-3,1),IFERROR(INDEX(Trans_5,SMALL(ROW(Trans_5)*(Trans_5&lt;&gt;"-"),COUNTIF(Trans_5,"-")+ROW()-1-COUNTIF(Trans_1234,"&lt;&gt;-"))-3,1),IFERROR(INDEX(Trans_6,SMALL(ROW(Trans_6)*(Trans_6&lt;&gt;"-"),COUNTIF(Trans_6,"-")+ROW()-1-COUNTIF(Trans_12345,"&lt;&gt;-"))-3,1),IFERROR(INDEX(Trans_7,SMALL(ROW(Trans_7)*(Trans_7&lt;&gt;"-"),COUNTIF(Trans_7,"-")+ROW()-1-COUNTIF(Trans_123456,"&lt;&gt;-"))-3,1),IFERROR(INDEX(Trans_8,SMALL(ROW(Trans_8)*(Trans_8&lt;&gt;"-"),COUNTIF(Trans_8,"-")+ROW()-1-COUNTIF(Trans_1234567,"&lt;&gt;-"))-3,1),""))))))))</f>
        <v/>
      </c>
      <c r="E385" s="559" t="str">
        <f t="array" aca="1" ref="E385" ca="1">IFERROR(INDEX(Trans_All,SMALL(ROW(Trans_1)*(Trans_1&lt;&gt;"-"),COUNTIF(Trans_1,"-")+ROW()-1)-3,13),IFERROR(INDEX(Trans_All,SMALL(ROW(Trans_2)*(Trans_2&lt;&gt;"-"),COUNTIF(Trans_2,"-")+ROW()-1-COUNTIF(Trans_1,"&lt;&gt;-"))-3,13),IFERROR(INDEX(Trans_All,SMALL(ROW(Trans_3)*(Trans_3&lt;&gt;"-"),COUNTIF(Trans_3,"-")+ROW()-1-COUNTIF(Trans_12,"&lt;&gt;-"))-3,13),IFERROR(INDEX(Trans_All,SMALL(ROW(Trans_4)*(Trans_4&lt;&gt;"-"),COUNTIF(Trans_4,"-")+ROW()-1-COUNTIF(Trans_123,"&lt;&gt;-"))-3,13),IFERROR(INDEX(Trans_All,SMALL(ROW(Trans_5)*(Trans_5&lt;&gt;"-"),COUNTIF(Trans_5,"-")+ROW()-1-COUNTIF(Trans_1234,"&lt;&gt;-"))-3,13),IFERROR(INDEX(Trans_All,SMALL(ROW(Trans_6)*(Trans_6&lt;&gt;"-"),COUNTIF(Trans_6,"-")+ROW()-1-COUNTIF(Trans_12345,"&lt;&gt;-"))-3,13),IFERROR(INDEX(Trans_All,SMALL(ROW(Trans_7)*(Trans_7&lt;&gt;"-"),COUNTIF(Trans_7,"-")+ROW()-1-COUNTIF(Trans_123456,"&lt;&gt;-"))-3,13),IFERROR(INDEX(Trans_All,SMALL(ROW(Trans_8)*(Trans_8&lt;&gt;"-"),COUNTIF(Trans_8,"-")+ROW()-1-COUNTIF(Trans_1234567,"&lt;&gt;-"))-3,13),""))))))))</f>
        <v/>
      </c>
      <c r="F385" s="555" t="str">
        <f t="shared" ca="1" si="5"/>
        <v/>
      </c>
      <c r="G385" s="555" t="str">
        <f ca="1">IF(D385&lt;=8,RunName_ExAmpPrep!$H$2,IF(D385&lt;=16,RunName_ExAmpPrep!$H$3,IF(D385&lt;=24,RunName_ExAmpPrep!$H$4,IF(D385&lt;=32,RunName_ExAmpPrep!$H$5,IF(D385&lt;=40,RunName_ExAmpPrep!$H$6,IF(D385&lt;=48,RunName_ExAmpPrep!$H$7,IF(D385&lt;=56,RunName_ExAmpPrep!$H$8,IF(D385&lt;=64,RunName_ExAmpPrep!$H$9,""))))))))</f>
        <v/>
      </c>
      <c r="H385" s="578" t="str">
        <f t="array" aca="1" ref="H385" ca="1">IFERROR(INDEX(Trans_All,SMALL(ROW(Trans_1)*(Trans_1&lt;&gt;"-"),COUNTIF(Trans_1,"-")+ROW()-1)-3,14),IFERROR(INDEX(Trans_All,SMALL(ROW(Trans_2)*(Trans_2&lt;&gt;"-"),COUNTIF(Trans_2,"-")+ROW()-1-COUNTIF(Trans_1,"&lt;&gt;-"))-3,14),IFERROR(INDEX(Trans_All,SMALL(ROW(Trans_3)*(Trans_3&lt;&gt;"-"),COUNTIF(Trans_3,"-")+ROW()-1-COUNTIF(Trans_12,"&lt;&gt;-"))-3,14),IFERROR(INDEX(Trans_All,SMALL(ROW(Trans_4)*(Trans_4&lt;&gt;"-"),COUNTIF(Trans_4,"-")+ROW()-1-COUNTIF(Trans_123,"&lt;&gt;-"))-3,14),IFERROR(INDEX(Trans_All,SMALL(ROW(Trans_5)*(Trans_5&lt;&gt;"-"),COUNTIF(Trans_5,"-")+ROW()-1-COUNTIF(Trans_1234,"&lt;&gt;-"))-3,14),IFERROR(INDEX(Trans_All,SMALL(ROW(Trans_6)*(Trans_6&lt;&gt;"-"),COUNTIF(Trans_6,"-")+ROW()-1-COUNTIF(Trans_12345,"&lt;&gt;-"))-3,14),IFERROR(INDEX(Trans_All,SMALL(ROW(Trans_7)*(Trans_7&lt;&gt;"-"),COUNTIF(Trans_7,"-")+ROW()-1-COUNTIF(Trans_123456,"&lt;&gt;-"))-3,14),IFERROR(INDEX(Trans_All,SMALL(ROW(Trans_8)*(Trans_8&lt;&gt;"-"),COUNTIF(Trans_8,"-")+ROW()-1-COUNTIF(Trans_1234567,"&lt;&gt;-"))-3,14),""))))))))</f>
        <v/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zoomScaleNormal="100" workbookViewId="0"/>
  </sheetViews>
  <sheetFormatPr defaultRowHeight="12.5" x14ac:dyDescent="0.5"/>
  <cols>
    <col min="1" max="1025" width="11.1796875"/>
  </cols>
  <sheetData>
    <row r="1" spans="1:8" x14ac:dyDescent="0.5">
      <c r="A1" s="589" t="s">
        <v>508</v>
      </c>
      <c r="B1" s="590" t="s">
        <v>509</v>
      </c>
      <c r="C1" s="590" t="s">
        <v>510</v>
      </c>
      <c r="D1" s="591" t="s">
        <v>511</v>
      </c>
      <c r="E1" s="591" t="s">
        <v>512</v>
      </c>
      <c r="F1" s="592" t="s">
        <v>513</v>
      </c>
      <c r="G1" s="592" t="s">
        <v>514</v>
      </c>
      <c r="H1" s="593" t="s">
        <v>506</v>
      </c>
    </row>
    <row r="2" spans="1:8" x14ac:dyDescent="0.5">
      <c r="A2" s="386" t="e">
        <f>IF(Calculation!$H$6&gt;(ROW()-2),"Microfuge1","")</f>
        <v>#DIV/0!</v>
      </c>
      <c r="B2" s="365" t="e">
        <f>IF(A2&lt;&gt;"",ROW()+7,"")</f>
        <v>#DIV/0!</v>
      </c>
      <c r="C2" s="365" t="e">
        <f>IF(A2&lt;&gt;"",4.2*Cluster!$W$23,"")</f>
        <v>#DIV/0!</v>
      </c>
      <c r="D2" s="365" t="e">
        <f>IF(A2&lt;&gt;"",ROW()+11,"")</f>
        <v>#DIV/0!</v>
      </c>
      <c r="E2" s="365" t="e">
        <f>IF(A2&lt;&gt;"",0.6*Cluster!$W$23,"")</f>
        <v>#DIV/0!</v>
      </c>
      <c r="F2" s="365" t="e">
        <f>IF(A2&lt;&gt;"",ROW()+15,"")</f>
        <v>#DIV/0!</v>
      </c>
      <c r="G2" s="365" t="e">
        <f>IF(A2&lt;&gt;"",2.2*Cluster!$W$23,"")</f>
        <v>#DIV/0!</v>
      </c>
      <c r="H2" s="387" t="e">
        <f>IF(A2&lt;&gt;"",ROW()+19,"")</f>
        <v>#DIV/0!</v>
      </c>
    </row>
    <row r="3" spans="1:8" x14ac:dyDescent="0.5">
      <c r="A3" s="386" t="e">
        <f>IF(Calculation!$H$6&gt;(ROW()-2),"Microfuge1","")</f>
        <v>#DIV/0!</v>
      </c>
      <c r="B3" s="365" t="e">
        <f>IF(A3&lt;&gt;"",ROW()+7,"")</f>
        <v>#DIV/0!</v>
      </c>
      <c r="C3" s="365" t="e">
        <f>IF(A3&lt;&gt;"",4.2*Cluster!$W$23,"")</f>
        <v>#DIV/0!</v>
      </c>
      <c r="D3" s="365" t="e">
        <f>IF(A3&lt;&gt;"",ROW()+11,"")</f>
        <v>#DIV/0!</v>
      </c>
      <c r="E3" s="365" t="e">
        <f>IF(A3&lt;&gt;"",0.6*Cluster!$W$23,"")</f>
        <v>#DIV/0!</v>
      </c>
      <c r="F3" s="365" t="e">
        <f>IF(A3&lt;&gt;"",ROW()+15,"")</f>
        <v>#DIV/0!</v>
      </c>
      <c r="G3" s="365" t="e">
        <f>IF(A3&lt;&gt;"",2.2*Cluster!$W$23,"")</f>
        <v>#DIV/0!</v>
      </c>
      <c r="H3" s="387" t="e">
        <f>IF(A3&lt;&gt;"",ROW()+19,"")</f>
        <v>#DIV/0!</v>
      </c>
    </row>
    <row r="4" spans="1:8" x14ac:dyDescent="0.5">
      <c r="A4" s="386" t="e">
        <f>IF(Calculation!$H$6&gt;(ROW()-2),"Microfuge1","")</f>
        <v>#DIV/0!</v>
      </c>
      <c r="B4" s="365" t="e">
        <f>IF(A4&lt;&gt;"",ROW()+7,"")</f>
        <v>#DIV/0!</v>
      </c>
      <c r="C4" s="365" t="e">
        <f>IF(A4&lt;&gt;"",4.2*Cluster!$W$23,"")</f>
        <v>#DIV/0!</v>
      </c>
      <c r="D4" s="365" t="e">
        <f>IF(A4&lt;&gt;"",ROW()+11,"")</f>
        <v>#DIV/0!</v>
      </c>
      <c r="E4" s="365" t="e">
        <f>IF(A4&lt;&gt;"",0.6*Cluster!$W$23,"")</f>
        <v>#DIV/0!</v>
      </c>
      <c r="F4" s="365" t="e">
        <f>IF(A4&lt;&gt;"",ROW()+15,"")</f>
        <v>#DIV/0!</v>
      </c>
      <c r="G4" s="365" t="e">
        <f>IF(A4&lt;&gt;"",2.2*Cluster!$W$23,"")</f>
        <v>#DIV/0!</v>
      </c>
      <c r="H4" s="387" t="e">
        <f>IF(A4&lt;&gt;"",ROW()+19,"")</f>
        <v>#DIV/0!</v>
      </c>
    </row>
    <row r="5" spans="1:8" x14ac:dyDescent="0.5">
      <c r="A5" s="386" t="e">
        <f>IF(Calculation!$H$6&gt;(ROW()-2),"Microfuge1","")</f>
        <v>#DIV/0!</v>
      </c>
      <c r="B5" s="365" t="e">
        <f>IF(A5&lt;&gt;"",ROW()+7,"")</f>
        <v>#DIV/0!</v>
      </c>
      <c r="C5" s="365" t="e">
        <f>IF(A5&lt;&gt;"",4.2*Cluster!$W$23,"")</f>
        <v>#DIV/0!</v>
      </c>
      <c r="D5" s="365" t="e">
        <f>IF(A5&lt;&gt;"",ROW()+11,"")</f>
        <v>#DIV/0!</v>
      </c>
      <c r="E5" s="365" t="e">
        <f>IF(A5&lt;&gt;"",0.6*Cluster!$W$23,"")</f>
        <v>#DIV/0!</v>
      </c>
      <c r="F5" s="365" t="e">
        <f>IF(A5&lt;&gt;"",ROW()+15,"")</f>
        <v>#DIV/0!</v>
      </c>
      <c r="G5" s="365" t="e">
        <f>IF(A5&lt;&gt;"",2.2*Cluster!$W$23,"")</f>
        <v>#DIV/0!</v>
      </c>
      <c r="H5" s="387" t="e">
        <f>IF(A5&lt;&gt;"",ROW()+19,"")</f>
        <v>#DIV/0!</v>
      </c>
    </row>
    <row r="6" spans="1:8" x14ac:dyDescent="0.5">
      <c r="A6" s="386" t="e">
        <f>IF(Calculation!$H$6&gt;(ROW()-2),"Microfuge2","")</f>
        <v>#DIV/0!</v>
      </c>
      <c r="B6" s="365" t="e">
        <f>IF(A6&lt;&gt;"",ROW()-5,"")</f>
        <v>#DIV/0!</v>
      </c>
      <c r="C6" s="365" t="e">
        <f>IF(A6&lt;&gt;"",4.2*Cluster!$W$23,"")</f>
        <v>#DIV/0!</v>
      </c>
      <c r="D6" s="431" t="e">
        <f>IF(A6&lt;&gt;"",ROW()-1,"")</f>
        <v>#DIV/0!</v>
      </c>
      <c r="E6" s="365" t="e">
        <f>IF(A6&lt;&gt;"",0.6*Cluster!$W$23,"")</f>
        <v>#DIV/0!</v>
      </c>
      <c r="F6" s="431" t="e">
        <f>IF(A6&lt;&gt;"",ROW()+3,"")</f>
        <v>#DIV/0!</v>
      </c>
      <c r="G6" s="365" t="e">
        <f>IF(A6&lt;&gt;"",2.2*Cluster!$W$23,"")</f>
        <v>#DIV/0!</v>
      </c>
      <c r="H6" s="387" t="e">
        <f>IF(A6&lt;&gt;"",ROW()+7,"")</f>
        <v>#DIV/0!</v>
      </c>
    </row>
    <row r="7" spans="1:8" x14ac:dyDescent="0.5">
      <c r="A7" s="386" t="e">
        <f>IF(Calculation!$H$6&gt;(ROW()-2),"Microfuge2","")</f>
        <v>#DIV/0!</v>
      </c>
      <c r="B7" s="365" t="e">
        <f>IF(A7&lt;&gt;"",ROW()-5,"")</f>
        <v>#DIV/0!</v>
      </c>
      <c r="C7" s="365" t="e">
        <f>IF(A7&lt;&gt;"",4.2*Cluster!$W$23,"")</f>
        <v>#DIV/0!</v>
      </c>
      <c r="D7" s="431" t="e">
        <f>IF(A7&lt;&gt;"",ROW()-1,"")</f>
        <v>#DIV/0!</v>
      </c>
      <c r="E7" s="365" t="e">
        <f>IF(A7&lt;&gt;"",0.6*Cluster!$W$23,"")</f>
        <v>#DIV/0!</v>
      </c>
      <c r="F7" s="431" t="e">
        <f>IF(A7&lt;&gt;"",ROW()+3,"")</f>
        <v>#DIV/0!</v>
      </c>
      <c r="G7" s="365" t="e">
        <f>IF(A7&lt;&gt;"",2.2*Cluster!$W$23,"")</f>
        <v>#DIV/0!</v>
      </c>
      <c r="H7" s="387" t="e">
        <f>IF(A7&lt;&gt;"",ROW()+7,"")</f>
        <v>#DIV/0!</v>
      </c>
    </row>
    <row r="8" spans="1:8" x14ac:dyDescent="0.5">
      <c r="A8" s="386" t="e">
        <f>IF(Calculation!$H$6&gt;(ROW()-2),"Microfuge2","")</f>
        <v>#DIV/0!</v>
      </c>
      <c r="B8" s="365" t="e">
        <f>IF(A8&lt;&gt;"",ROW()-5,"")</f>
        <v>#DIV/0!</v>
      </c>
      <c r="C8" s="365" t="e">
        <f>IF(A8&lt;&gt;"",4.2*Cluster!$W$23,"")</f>
        <v>#DIV/0!</v>
      </c>
      <c r="D8" s="431" t="e">
        <f>IF(A8&lt;&gt;"",ROW()-1,"")</f>
        <v>#DIV/0!</v>
      </c>
      <c r="E8" s="365" t="e">
        <f>IF(A8&lt;&gt;"",0.6*Cluster!$W$23,"")</f>
        <v>#DIV/0!</v>
      </c>
      <c r="F8" s="431" t="e">
        <f>IF(A8&lt;&gt;"",ROW()+3,"")</f>
        <v>#DIV/0!</v>
      </c>
      <c r="G8" s="365" t="e">
        <f>IF(A8&lt;&gt;"",2.2*Cluster!$W$23,"")</f>
        <v>#DIV/0!</v>
      </c>
      <c r="H8" s="387" t="e">
        <f>IF(A8&lt;&gt;"",ROW()+7,"")</f>
        <v>#DIV/0!</v>
      </c>
    </row>
    <row r="9" spans="1:8" x14ac:dyDescent="0.5">
      <c r="A9" s="383" t="e">
        <f>IF(Calculation!$H$6&gt;(ROW()-2),"Microfuge2","")</f>
        <v>#DIV/0!</v>
      </c>
      <c r="B9" s="385" t="e">
        <f>IF(A9&lt;&gt;"",ROW()-5,"")</f>
        <v>#DIV/0!</v>
      </c>
      <c r="C9" s="385" t="e">
        <f>IF(A9&lt;&gt;"",4.2*Cluster!$W$23,"")</f>
        <v>#DIV/0!</v>
      </c>
      <c r="D9" s="594" t="e">
        <f>IF(A9&lt;&gt;"",ROW()-1,"")</f>
        <v>#DIV/0!</v>
      </c>
      <c r="E9" s="385" t="e">
        <f>IF(A9&lt;&gt;"",0.6*Cluster!$W$23,"")</f>
        <v>#DIV/0!</v>
      </c>
      <c r="F9" s="594" t="e">
        <f>IF(A9&lt;&gt;"",ROW()+3,"")</f>
        <v>#DIV/0!</v>
      </c>
      <c r="G9" s="385" t="e">
        <f>IF(A9&lt;&gt;"",2.2*Cluster!$W$23,"")</f>
        <v>#DIV/0!</v>
      </c>
      <c r="H9" s="384" t="e">
        <f>IF(A9&lt;&gt;"",ROW()+7,"")</f>
        <v>#DIV/0!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zoomScaleNormal="100" workbookViewId="0">
      <selection activeCell="C31" sqref="C31"/>
    </sheetView>
  </sheetViews>
  <sheetFormatPr defaultRowHeight="12.5" x14ac:dyDescent="0.5"/>
  <cols>
    <col min="1" max="1" width="11.31640625"/>
    <col min="2" max="2" width="9.86328125"/>
    <col min="3" max="3" width="72.5"/>
  </cols>
  <sheetData>
    <row r="1" spans="1:3" s="597" customFormat="1" x14ac:dyDescent="0.5">
      <c r="A1" s="595" t="s">
        <v>515</v>
      </c>
      <c r="B1" s="596" t="s">
        <v>516</v>
      </c>
      <c r="C1" s="596" t="s">
        <v>517</v>
      </c>
    </row>
    <row r="2" spans="1:3" x14ac:dyDescent="0.5">
      <c r="A2" s="598">
        <v>42212</v>
      </c>
      <c r="B2" s="599" t="s">
        <v>518</v>
      </c>
      <c r="C2" s="339" t="s">
        <v>519</v>
      </c>
    </row>
    <row r="3" spans="1:3" x14ac:dyDescent="0.5">
      <c r="A3" s="600">
        <v>42213</v>
      </c>
      <c r="B3" s="282" t="s">
        <v>520</v>
      </c>
      <c r="C3" s="282" t="s">
        <v>521</v>
      </c>
    </row>
    <row r="4" spans="1:3" x14ac:dyDescent="0.5">
      <c r="A4" s="600">
        <v>42213</v>
      </c>
      <c r="B4" s="282" t="s">
        <v>522</v>
      </c>
      <c r="C4" s="282" t="s">
        <v>523</v>
      </c>
    </row>
    <row r="5" spans="1:3" x14ac:dyDescent="0.5">
      <c r="A5" s="600">
        <v>42242</v>
      </c>
      <c r="B5" s="282" t="s">
        <v>524</v>
      </c>
      <c r="C5" s="282" t="s">
        <v>525</v>
      </c>
    </row>
    <row r="6" spans="1:3" x14ac:dyDescent="0.5">
      <c r="A6" s="600">
        <v>42250</v>
      </c>
      <c r="B6" s="282" t="s">
        <v>526</v>
      </c>
      <c r="C6" s="282" t="s">
        <v>527</v>
      </c>
    </row>
    <row r="7" spans="1:3" x14ac:dyDescent="0.5">
      <c r="A7" s="600">
        <v>42276</v>
      </c>
      <c r="B7" s="282" t="s">
        <v>528</v>
      </c>
      <c r="C7" s="282" t="s">
        <v>527</v>
      </c>
    </row>
    <row r="8" spans="1:3" x14ac:dyDescent="0.5">
      <c r="A8" s="600">
        <v>42277</v>
      </c>
      <c r="B8" s="282" t="s">
        <v>529</v>
      </c>
      <c r="C8" s="282" t="s">
        <v>530</v>
      </c>
    </row>
    <row r="9" spans="1:3" x14ac:dyDescent="0.5">
      <c r="A9" s="600">
        <v>42338</v>
      </c>
      <c r="B9" s="282" t="s">
        <v>531</v>
      </c>
      <c r="C9" s="282" t="s">
        <v>532</v>
      </c>
    </row>
    <row r="10" spans="1:3" x14ac:dyDescent="0.5">
      <c r="A10" s="600">
        <v>42377</v>
      </c>
      <c r="B10" s="282" t="s">
        <v>533</v>
      </c>
      <c r="C10" s="282" t="s">
        <v>534</v>
      </c>
    </row>
    <row r="11" spans="1:3" x14ac:dyDescent="0.5">
      <c r="A11" s="600">
        <v>42379</v>
      </c>
      <c r="B11" s="282" t="s">
        <v>535</v>
      </c>
      <c r="C11" s="282" t="s">
        <v>536</v>
      </c>
    </row>
    <row r="12" spans="1:3" x14ac:dyDescent="0.5">
      <c r="A12" s="600">
        <v>42396</v>
      </c>
      <c r="B12" s="282" t="s">
        <v>537</v>
      </c>
      <c r="C12" s="282" t="s">
        <v>538</v>
      </c>
    </row>
    <row r="13" spans="1:3" x14ac:dyDescent="0.5">
      <c r="A13" s="600">
        <v>42396</v>
      </c>
      <c r="B13" s="282" t="s">
        <v>539</v>
      </c>
      <c r="C13" s="282" t="s">
        <v>540</v>
      </c>
    </row>
    <row r="14" spans="1:3" x14ac:dyDescent="0.5">
      <c r="A14" s="600">
        <v>42396</v>
      </c>
      <c r="B14" s="282" t="s">
        <v>541</v>
      </c>
      <c r="C14" s="282" t="s">
        <v>542</v>
      </c>
    </row>
    <row r="15" spans="1:3" x14ac:dyDescent="0.5">
      <c r="A15" s="600">
        <v>42397</v>
      </c>
      <c r="B15" s="282" t="s">
        <v>543</v>
      </c>
      <c r="C15" s="282" t="s">
        <v>544</v>
      </c>
    </row>
    <row r="16" spans="1:3" x14ac:dyDescent="0.5">
      <c r="A16" s="600">
        <v>42401</v>
      </c>
      <c r="B16" s="282" t="s">
        <v>545</v>
      </c>
      <c r="C16" s="282" t="s">
        <v>546</v>
      </c>
    </row>
    <row r="17" spans="1:3" x14ac:dyDescent="0.5">
      <c r="A17" s="600">
        <v>42401</v>
      </c>
      <c r="B17" s="282" t="s">
        <v>545</v>
      </c>
      <c r="C17" s="282" t="s">
        <v>547</v>
      </c>
    </row>
    <row r="18" spans="1:3" x14ac:dyDescent="0.5">
      <c r="A18" s="600">
        <v>42416</v>
      </c>
      <c r="B18" s="282" t="s">
        <v>548</v>
      </c>
      <c r="C18" s="282" t="s">
        <v>549</v>
      </c>
    </row>
    <row r="19" spans="1:3" x14ac:dyDescent="0.5">
      <c r="A19" s="600">
        <v>42418</v>
      </c>
      <c r="B19" s="282" t="s">
        <v>550</v>
      </c>
      <c r="C19" s="282" t="s">
        <v>551</v>
      </c>
    </row>
    <row r="20" spans="1:3" x14ac:dyDescent="0.5">
      <c r="A20" s="600">
        <v>42418</v>
      </c>
      <c r="B20" s="282" t="s">
        <v>552</v>
      </c>
      <c r="C20" s="282" t="s">
        <v>553</v>
      </c>
    </row>
    <row r="21" spans="1:3" x14ac:dyDescent="0.5">
      <c r="A21" s="600">
        <v>42426</v>
      </c>
      <c r="B21" s="282" t="s">
        <v>554</v>
      </c>
      <c r="C21" s="282" t="s">
        <v>555</v>
      </c>
    </row>
    <row r="22" spans="1:3" x14ac:dyDescent="0.5">
      <c r="A22" s="600">
        <v>42429</v>
      </c>
      <c r="B22" s="282" t="s">
        <v>556</v>
      </c>
      <c r="C22" s="282" t="s">
        <v>557</v>
      </c>
    </row>
    <row r="23" spans="1:3" x14ac:dyDescent="0.5">
      <c r="A23" s="600">
        <v>42439</v>
      </c>
      <c r="B23" s="282" t="s">
        <v>558</v>
      </c>
      <c r="C23" s="282" t="s">
        <v>559</v>
      </c>
    </row>
    <row r="24" spans="1:3" x14ac:dyDescent="0.5">
      <c r="A24" s="600">
        <v>42459</v>
      </c>
      <c r="B24" s="282" t="s">
        <v>560</v>
      </c>
      <c r="C24" s="282" t="s">
        <v>561</v>
      </c>
    </row>
    <row r="25" spans="1:3" x14ac:dyDescent="0.5">
      <c r="A25" s="600">
        <v>42474</v>
      </c>
      <c r="B25" s="282" t="s">
        <v>562</v>
      </c>
      <c r="C25" s="282" t="s">
        <v>563</v>
      </c>
    </row>
    <row r="26" spans="1:3" x14ac:dyDescent="0.5">
      <c r="A26" s="600">
        <v>42474</v>
      </c>
      <c r="B26" s="282" t="s">
        <v>562</v>
      </c>
      <c r="C26" s="282" t="s">
        <v>564</v>
      </c>
    </row>
    <row r="27" spans="1:3" x14ac:dyDescent="0.5">
      <c r="A27" s="600">
        <v>42475</v>
      </c>
      <c r="B27" s="282" t="s">
        <v>565</v>
      </c>
      <c r="C27" s="282" t="s">
        <v>566</v>
      </c>
    </row>
    <row r="28" spans="1:3" x14ac:dyDescent="0.5">
      <c r="A28" s="600">
        <v>42475</v>
      </c>
      <c r="B28" s="282" t="s">
        <v>567</v>
      </c>
      <c r="C28" s="282" t="s">
        <v>568</v>
      </c>
    </row>
    <row r="29" spans="1:3" x14ac:dyDescent="0.5">
      <c r="A29" s="600">
        <v>42485</v>
      </c>
      <c r="B29" s="282" t="s">
        <v>569</v>
      </c>
      <c r="C29" s="282" t="s">
        <v>570</v>
      </c>
    </row>
    <row r="30" spans="1:3" x14ac:dyDescent="0.5">
      <c r="A30" s="600">
        <v>42493</v>
      </c>
      <c r="B30" s="282" t="s">
        <v>571</v>
      </c>
      <c r="C30" s="282" t="s">
        <v>572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33</vt:i4>
      </vt:variant>
    </vt:vector>
  </HeadingPairs>
  <TitlesOfParts>
    <vt:vector size="48" baseType="lpstr">
      <vt:lpstr>LibraryDataEntry</vt:lpstr>
      <vt:lpstr>TrackIT_Lines</vt:lpstr>
      <vt:lpstr>Cluster</vt:lpstr>
      <vt:lpstr>Lots_reagents</vt:lpstr>
      <vt:lpstr>PRINT</vt:lpstr>
      <vt:lpstr>Calculation</vt:lpstr>
      <vt:lpstr>ListAndConversion</vt:lpstr>
      <vt:lpstr>RunName_Diluent</vt:lpstr>
      <vt:lpstr>RunName_IntermediateDil</vt:lpstr>
      <vt:lpstr>RunName_MainDilution</vt:lpstr>
      <vt:lpstr>RunName_Pooling</vt:lpstr>
      <vt:lpstr>RunName_Denaturation</vt:lpstr>
      <vt:lpstr>RunName_TransOnStrip</vt:lpstr>
      <vt:lpstr>RunName_ExAmpPrep</vt:lpstr>
      <vt:lpstr>Change History</vt:lpstr>
      <vt:lpstr>RunName_Diluent!_FilterDatabase</vt:lpstr>
      <vt:lpstr>TrackIT_Lines!_FilterDatabase</vt:lpstr>
      <vt:lpstr>Calculation_Tab</vt:lpstr>
      <vt:lpstr>Cluster</vt:lpstr>
      <vt:lpstr>Coordinate</vt:lpstr>
      <vt:lpstr>Direct_Denaturation</vt:lpstr>
      <vt:lpstr>Flow_Cell</vt:lpstr>
      <vt:lpstr>Flow_Cell_Lane</vt:lpstr>
      <vt:lpstr>Identifier</vt:lpstr>
      <vt:lpstr>Identifier_Cluster</vt:lpstr>
      <vt:lpstr>Main_Dil</vt:lpstr>
      <vt:lpstr>Plate_Barcode</vt:lpstr>
      <vt:lpstr>Cluster!Print_Area</vt:lpstr>
      <vt:lpstr>PRINT!Print_Area</vt:lpstr>
      <vt:lpstr>QC</vt:lpstr>
      <vt:lpstr>Sample_Intermediate_Dil</vt:lpstr>
      <vt:lpstr>ToPool</vt:lpstr>
      <vt:lpstr>Trans_1</vt:lpstr>
      <vt:lpstr>Trans_12</vt:lpstr>
      <vt:lpstr>Trans_123</vt:lpstr>
      <vt:lpstr>Trans_1234</vt:lpstr>
      <vt:lpstr>Trans_12345</vt:lpstr>
      <vt:lpstr>Trans_123456</vt:lpstr>
      <vt:lpstr>Trans_1234567</vt:lpstr>
      <vt:lpstr>Trans_2</vt:lpstr>
      <vt:lpstr>Trans_3</vt:lpstr>
      <vt:lpstr>Trans_4</vt:lpstr>
      <vt:lpstr>Trans_5</vt:lpstr>
      <vt:lpstr>Trans_6</vt:lpstr>
      <vt:lpstr>Trans_7</vt:lpstr>
      <vt:lpstr>Trans_8</vt:lpstr>
      <vt:lpstr>Trans_All</vt:lpstr>
      <vt:lpstr>UniqueFCLane</vt:lpstr>
    </vt:vector>
  </TitlesOfParts>
  <Company>Innovation Centre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abelisle</dc:creator>
  <dc:description/>
  <cp:lastModifiedBy>Alexander Mazur</cp:lastModifiedBy>
  <cp:revision>2</cp:revision>
  <cp:lastPrinted>2018-03-16T17:37:38Z</cp:lastPrinted>
  <dcterms:created xsi:type="dcterms:W3CDTF">2009-02-27T15:02:13Z</dcterms:created>
  <dcterms:modified xsi:type="dcterms:W3CDTF">2018-08-07T16:46:11Z</dcterms:modified>
  <dc:language>en-CA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Innovation Centre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